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filterPrivacy="1" updateLinks="never"/>
  <xr:revisionPtr revIDLastSave="0" documentId="13_ncr:1_{20C63D48-570C-45CF-95DA-A320F4520AC9}" xr6:coauthVersionLast="47" xr6:coauthVersionMax="47" xr10:uidLastSave="{00000000-0000-0000-0000-000000000000}"/>
  <bookViews>
    <workbookView xWindow="40920" yWindow="-8280" windowWidth="29040" windowHeight="15840" tabRatio="884" xr2:uid="{00000000-000D-0000-FFFF-FFFF00000000}"/>
  </bookViews>
  <sheets>
    <sheet name="Instructions" sheetId="28" r:id="rId1"/>
    <sheet name="INPUTS&gt;&gt;" sheetId="39" r:id="rId2"/>
    <sheet name="Base inputs" sheetId="1" r:id="rId3"/>
    <sheet name="EM" sheetId="4" r:id="rId4"/>
    <sheet name="PHASES&gt;&gt;" sheetId="38" r:id="rId5"/>
    <sheet name="Vehicle manufacturing" sheetId="3" r:id="rId6"/>
    <sheet name="Transport" sheetId="23" r:id="rId7"/>
    <sheet name="Use" sheetId="24" r:id="rId8"/>
    <sheet name="Operational services" sheetId="25" r:id="rId9"/>
    <sheet name="Infrastructure" sheetId="26" r:id="rId10"/>
    <sheet name="RESULTS&gt;&gt;" sheetId="40" r:id="rId11"/>
    <sheet name="Summary" sheetId="27" r:id="rId12"/>
    <sheet name="Graphs" sheetId="36" r:id="rId13"/>
    <sheet name="DATA_SHEETS&gt;&gt;" sheetId="37" r:id="rId14"/>
    <sheet name="Defaultvalues" sheetId="35" r:id="rId15"/>
    <sheet name="Default_data_source" sheetId="86" r:id="rId16"/>
    <sheet name="Base variables computation" sheetId="2" r:id="rId17"/>
    <sheet name="WTW_Fuel_properties" sheetId="5" r:id="rId18"/>
    <sheet name="GPG" sheetId="8" r:id="rId19"/>
    <sheet name="MFG_inputs" sheetId="12" r:id="rId20"/>
    <sheet name="TRA_inputs" sheetId="13" r:id="rId21"/>
    <sheet name="OPE_inputs" sheetId="14" r:id="rId22"/>
    <sheet name="Tech_Spec_Escoot" sheetId="15" r:id="rId23"/>
    <sheet name="Tech_Spec_New_Escoot" sheetId="16" r:id="rId24"/>
    <sheet name="Tech_Spec_Rail" sheetId="18" r:id="rId25"/>
    <sheet name="Tech_Specs_Car" sheetId="19" r:id="rId26"/>
    <sheet name="Tech_Specs_Infra" sheetId="20" r:id="rId27"/>
    <sheet name="Convert" sheetId="22" r:id="rId28"/>
    <sheet name="GREET1_2_DATASHEETS&gt;&gt;" sheetId="87" r:id="rId29"/>
    <sheet name="Battery_Sum" sheetId="42" r:id="rId30"/>
    <sheet name="Mat_Inputs" sheetId="41" r:id="rId31"/>
    <sheet name="Vehi_ADR" sheetId="57" r:id="rId32"/>
    <sheet name="Vehi_Comp_Sum" sheetId="58" r:id="rId33"/>
    <sheet name="Vehi_Fluids" sheetId="62" r:id="rId34"/>
    <sheet name="Vehi_Inputs" sheetId="77" r:id="rId35"/>
    <sheet name="Battery Assembly" sheetId="63" r:id="rId36"/>
    <sheet name="LiMn2O4" sheetId="59" r:id="rId37"/>
    <sheet name="Mat_Sum" sheetId="60" r:id="rId38"/>
    <sheet name="Car" sheetId="56" r:id="rId39"/>
    <sheet name="SUV" sheetId="61" r:id="rId40"/>
    <sheet name="Steel" sheetId="47" r:id="rId41"/>
    <sheet name="C.Iron" sheetId="48" r:id="rId42"/>
    <sheet name="W.Al" sheetId="49" r:id="rId43"/>
    <sheet name="C.Al" sheetId="50" r:id="rId44"/>
    <sheet name="Copper" sheetId="51" r:id="rId45"/>
    <sheet name="Glass" sheetId="52" r:id="rId46"/>
    <sheet name="Plastic" sheetId="53" r:id="rId47"/>
    <sheet name="Rubber" sheetId="54" r:id="rId48"/>
    <sheet name="Cement_Concrete" sheetId="55" r:id="rId49"/>
    <sheet name="Battery Assembly_AlSmeltingCoal" sheetId="64" r:id="rId50"/>
    <sheet name="C.Al_AlSmeltingCoal" sheetId="65" r:id="rId51"/>
    <sheet name="C.Iron_AlSmeltingCoal" sheetId="66" r:id="rId52"/>
    <sheet name="W.Al_AlSmeltingCoal" sheetId="67" r:id="rId53"/>
    <sheet name="Steel_AlSmeltingCoal" sheetId="68" r:id="rId54"/>
    <sheet name="Copper_AlSmeltingCoal" sheetId="69" r:id="rId55"/>
    <sheet name="Glass_AlSmeltingCoal" sheetId="70" r:id="rId56"/>
    <sheet name="Plastic_AlSmeltingCoal" sheetId="71" r:id="rId57"/>
    <sheet name="Rubber_AlSmeltingCoal" sheetId="72" r:id="rId58"/>
    <sheet name="Vehi_ADR_AlSmeltingCoal" sheetId="73" r:id="rId59"/>
    <sheet name="Vehi_Inputs_AlSmeltingCoal" sheetId="74" r:id="rId60"/>
    <sheet name="Battery_Sum_AlSmeltingCoal" sheetId="75" r:id="rId61"/>
    <sheet name="LiMn2O4_AlSmeltingCoal" sheetId="76" r:id="rId62"/>
    <sheet name="Mat_Inputs_AlSmeltingCoal" sheetId="78" r:id="rId63"/>
    <sheet name="Mat_Sum_AlSmeltingCoal" sheetId="79" r:id="rId64"/>
    <sheet name="Vehi_Comp_Sum_SUV" sheetId="80" r:id="rId65"/>
    <sheet name="Petroleum" sheetId="43" r:id="rId66"/>
    <sheet name="Electric" sheetId="44" r:id="rId67"/>
    <sheet name="NG" sheetId="88" r:id="rId68"/>
    <sheet name="Hydrogen" sheetId="45" r:id="rId69"/>
    <sheet name="Vehicles" sheetId="46" r:id="rId70"/>
    <sheet name="Hydrogen_ElectrolysisCoal" sheetId="81" r:id="rId71"/>
    <sheet name="Hydrogen_ElectrolysisOil" sheetId="82" r:id="rId72"/>
    <sheet name="Hydrogen_ElectrolysisNG" sheetId="83" r:id="rId73"/>
    <sheet name="Hydrogen_ElectrolysisNuclear" sheetId="84" r:id="rId74"/>
    <sheet name="Hydrogen_ElectrolysisRenew" sheetId="85" r:id="rId75"/>
  </sheets>
  <externalReferences>
    <externalReference r:id="rId76"/>
  </externalReferences>
  <definedNames>
    <definedName name="_xlnm._FilterDatabase" localSheetId="32" hidden="1">Vehi_Comp_Sum!$A$1:$A$405</definedName>
    <definedName name="_xlnm._FilterDatabase" localSheetId="64" hidden="1">Vehi_Comp_Sum_SUV!$A$1:$A$405</definedName>
    <definedName name="_Toc124962346" localSheetId="0">Instructions!#REF!</definedName>
    <definedName name="Default_value">Defaultvalues!A1</definedName>
    <definedName name="GREET2_Assembly" localSheetId="58">Vehi_ADR_AlSmeltingCoal!$J$106:$J$132</definedName>
    <definedName name="GREET2_RecSteel" localSheetId="53">Steel_AlSmeltingCoal!$E$162:$E$188</definedName>
    <definedName name="GREET2_Steel" localSheetId="53">Steel_AlSmeltingCoal!$U$94:$U$120</definedName>
  </definedNames>
  <calcPr calcId="191029"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27" l="1"/>
  <c r="D9" i="2"/>
  <c r="W52" i="35"/>
  <c r="V52" i="35"/>
  <c r="U52" i="35"/>
  <c r="T52" i="35"/>
  <c r="S52" i="35"/>
  <c r="R52" i="35"/>
  <c r="Q52" i="35"/>
  <c r="P52" i="35"/>
  <c r="O52" i="35"/>
  <c r="N52" i="35"/>
  <c r="M52" i="35"/>
  <c r="L52" i="35"/>
  <c r="K52" i="35"/>
  <c r="J52" i="35"/>
  <c r="H52" i="35"/>
  <c r="L51" i="35"/>
  <c r="K51" i="35"/>
  <c r="J51" i="35"/>
  <c r="I51" i="35"/>
  <c r="H51" i="35"/>
  <c r="L44" i="35"/>
  <c r="K44" i="35"/>
  <c r="J44" i="35"/>
  <c r="I44" i="35"/>
  <c r="H44" i="35"/>
  <c r="G44" i="35"/>
  <c r="F44" i="35"/>
  <c r="E44" i="35"/>
  <c r="D44" i="35"/>
  <c r="C44" i="35"/>
  <c r="D19" i="24" l="1"/>
  <c r="D9" i="26"/>
  <c r="D60" i="1"/>
  <c r="D14" i="1" l="1"/>
  <c r="AB72" i="26"/>
  <c r="C50" i="1" l="1"/>
  <c r="AB36" i="24" l="1"/>
  <c r="AA36" i="24"/>
  <c r="Z36" i="24"/>
  <c r="Y36" i="24"/>
  <c r="X36" i="24"/>
  <c r="V36" i="24"/>
  <c r="U36" i="24"/>
  <c r="T36" i="24"/>
  <c r="S36" i="24"/>
  <c r="R36" i="24"/>
  <c r="Q36" i="24"/>
  <c r="P36" i="24"/>
  <c r="O36" i="24"/>
  <c r="N36" i="24"/>
  <c r="M36" i="24"/>
  <c r="L36" i="24"/>
  <c r="K36" i="24"/>
  <c r="J36" i="24"/>
  <c r="I36" i="24"/>
  <c r="H36" i="24"/>
  <c r="G36" i="24"/>
  <c r="F36" i="24"/>
  <c r="E36" i="24"/>
  <c r="D36" i="24"/>
  <c r="C36" i="24"/>
  <c r="G4" i="1"/>
  <c r="H4" i="1"/>
  <c r="I4" i="1"/>
  <c r="J4" i="1"/>
  <c r="K4" i="1"/>
  <c r="L4" i="1"/>
  <c r="M4" i="1"/>
  <c r="N4" i="1"/>
  <c r="O4" i="1"/>
  <c r="P4" i="1"/>
  <c r="Q4" i="1"/>
  <c r="R4" i="1"/>
  <c r="S4" i="1"/>
  <c r="T4" i="1"/>
  <c r="U4" i="1"/>
  <c r="V4" i="1"/>
  <c r="W4" i="1"/>
  <c r="X4" i="1"/>
  <c r="Y4" i="1"/>
  <c r="Z4" i="1"/>
  <c r="AA4" i="1"/>
  <c r="AB4" i="1"/>
  <c r="W10" i="26" l="1"/>
  <c r="W42" i="24"/>
  <c r="W45" i="24" s="1"/>
  <c r="W43" i="24"/>
  <c r="W17" i="24"/>
  <c r="W81" i="23"/>
  <c r="W83" i="23"/>
  <c r="W85" i="23"/>
  <c r="W87" i="23"/>
  <c r="W43" i="23"/>
  <c r="W44" i="23"/>
  <c r="W45" i="23"/>
  <c r="W46" i="23"/>
  <c r="W47" i="23"/>
  <c r="W48" i="23"/>
  <c r="W49" i="23"/>
  <c r="W50" i="23"/>
  <c r="W51" i="23"/>
  <c r="W31" i="23"/>
  <c r="W32" i="23"/>
  <c r="W34" i="23"/>
  <c r="W35" i="23"/>
  <c r="W59" i="23" s="1"/>
  <c r="W36" i="23"/>
  <c r="W37" i="23"/>
  <c r="W61" i="23" s="1"/>
  <c r="W38" i="23"/>
  <c r="W39" i="23"/>
  <c r="W10" i="2"/>
  <c r="W20" i="24" s="1"/>
  <c r="W13" i="2"/>
  <c r="W22" i="24" s="1"/>
  <c r="W135" i="3"/>
  <c r="W24" i="3"/>
  <c r="W25" i="3"/>
  <c r="W26" i="3"/>
  <c r="W38" i="24"/>
  <c r="W47" i="24" s="1"/>
  <c r="W11" i="1"/>
  <c r="W35" i="1"/>
  <c r="W28" i="3" s="1"/>
  <c r="W34" i="1"/>
  <c r="W15" i="2" s="1"/>
  <c r="W33" i="1"/>
  <c r="W36" i="3" s="1"/>
  <c r="W60" i="1"/>
  <c r="W11" i="2" s="1"/>
  <c r="W57" i="1"/>
  <c r="W12" i="2" s="1"/>
  <c r="W23" i="24" s="1"/>
  <c r="W55" i="1"/>
  <c r="W9" i="2" s="1"/>
  <c r="W19" i="24" s="1"/>
  <c r="W51" i="1"/>
  <c r="W9" i="25" s="1"/>
  <c r="W5" i="25"/>
  <c r="W47" i="1"/>
  <c r="W17" i="23" s="1"/>
  <c r="W46" i="1"/>
  <c r="W16" i="23" s="1"/>
  <c r="W45" i="1"/>
  <c r="W15" i="23" s="1"/>
  <c r="W44" i="1"/>
  <c r="W14" i="23" s="1"/>
  <c r="W43" i="1"/>
  <c r="W13" i="23" s="1"/>
  <c r="W42" i="1"/>
  <c r="W12" i="23" s="1"/>
  <c r="W41" i="1"/>
  <c r="W11" i="23" s="1"/>
  <c r="W40" i="1"/>
  <c r="W10" i="23" s="1"/>
  <c r="W39" i="1"/>
  <c r="W9" i="23" s="1"/>
  <c r="W30" i="1"/>
  <c r="W16" i="2" s="1"/>
  <c r="W28" i="1"/>
  <c r="W20" i="3" s="1"/>
  <c r="W27" i="1"/>
  <c r="W19" i="3" s="1"/>
  <c r="W26" i="1"/>
  <c r="W18" i="3" s="1"/>
  <c r="W25" i="1"/>
  <c r="W17" i="3" s="1"/>
  <c r="W24" i="1"/>
  <c r="W16" i="3" s="1"/>
  <c r="W23" i="1"/>
  <c r="W15" i="3" s="1"/>
  <c r="W22" i="1"/>
  <c r="W14" i="3" s="1"/>
  <c r="W21" i="1"/>
  <c r="W13" i="3" s="1"/>
  <c r="W20" i="1"/>
  <c r="W12" i="3" s="1"/>
  <c r="W19" i="1"/>
  <c r="W11" i="3" s="1"/>
  <c r="W18" i="1"/>
  <c r="W10" i="3" s="1"/>
  <c r="W16" i="1"/>
  <c r="W5" i="3" s="1"/>
  <c r="W15" i="1"/>
  <c r="W18" i="2" s="1"/>
  <c r="W14" i="1"/>
  <c r="W12" i="24" s="1"/>
  <c r="W14" i="24" s="1"/>
  <c r="W7" i="25" s="1"/>
  <c r="W13" i="1"/>
  <c r="W11" i="24" s="1"/>
  <c r="W9" i="1"/>
  <c r="W8" i="1"/>
  <c r="W7" i="1"/>
  <c r="W52" i="1"/>
  <c r="W22" i="2" s="1"/>
  <c r="W10" i="25" s="1"/>
  <c r="Z9" i="1"/>
  <c r="X9" i="1"/>
  <c r="U9" i="1"/>
  <c r="P9" i="1"/>
  <c r="O9" i="1"/>
  <c r="N9" i="1"/>
  <c r="M9" i="1"/>
  <c r="K9" i="1"/>
  <c r="I9" i="1"/>
  <c r="G9" i="1"/>
  <c r="E9" i="1"/>
  <c r="C9" i="1"/>
  <c r="W60" i="23" l="1"/>
  <c r="W62" i="23"/>
  <c r="W14" i="25"/>
  <c r="W15" i="25"/>
  <c r="W56" i="23"/>
  <c r="W63" i="23"/>
  <c r="W55" i="23"/>
  <c r="W58" i="23"/>
  <c r="W14" i="2"/>
  <c r="W62" i="3"/>
  <c r="W110" i="3"/>
  <c r="W12" i="25"/>
  <c r="W20" i="2"/>
  <c r="W19" i="2"/>
  <c r="W6" i="3"/>
  <c r="W6" i="2"/>
  <c r="W5" i="2"/>
  <c r="W21" i="24" s="1"/>
  <c r="W34" i="24"/>
  <c r="W29" i="1"/>
  <c r="W21" i="3" s="1"/>
  <c r="D6" i="5"/>
  <c r="C6" i="5"/>
  <c r="W7" i="2" l="1"/>
  <c r="W8" i="2"/>
  <c r="W23" i="2" l="1"/>
  <c r="W15" i="24"/>
  <c r="W21" i="2"/>
  <c r="I13" i="1"/>
  <c r="W8" i="25" l="1"/>
  <c r="V10" i="26"/>
  <c r="U10" i="26"/>
  <c r="V42" i="24" l="1"/>
  <c r="U43" i="24"/>
  <c r="U44" i="24"/>
  <c r="V44" i="24"/>
  <c r="V38" i="24"/>
  <c r="V47" i="24" s="1"/>
  <c r="U40" i="24"/>
  <c r="V40" i="24"/>
  <c r="V34" i="24"/>
  <c r="U9" i="24"/>
  <c r="U5" i="24"/>
  <c r="U81" i="23"/>
  <c r="V81" i="23"/>
  <c r="U83" i="23"/>
  <c r="V83" i="23"/>
  <c r="U85" i="23"/>
  <c r="V85" i="23"/>
  <c r="U87" i="23"/>
  <c r="V87" i="23"/>
  <c r="U31" i="23"/>
  <c r="V31" i="23"/>
  <c r="U32" i="23"/>
  <c r="V32" i="23"/>
  <c r="U34" i="23"/>
  <c r="V34" i="23"/>
  <c r="U35" i="23"/>
  <c r="V35" i="23"/>
  <c r="U36" i="23"/>
  <c r="V36" i="23"/>
  <c r="U37" i="23"/>
  <c r="V37" i="23"/>
  <c r="U38" i="23"/>
  <c r="V38" i="23"/>
  <c r="U39" i="23"/>
  <c r="V39" i="23"/>
  <c r="U43" i="23"/>
  <c r="V43" i="23"/>
  <c r="U44" i="23"/>
  <c r="V44" i="23"/>
  <c r="U45" i="23"/>
  <c r="V45" i="23"/>
  <c r="U46" i="23"/>
  <c r="V46" i="23"/>
  <c r="U47" i="23"/>
  <c r="V47" i="23"/>
  <c r="U48" i="23"/>
  <c r="V48" i="23"/>
  <c r="U49" i="23"/>
  <c r="V49" i="23"/>
  <c r="U50" i="23"/>
  <c r="V50" i="23"/>
  <c r="U51" i="23"/>
  <c r="V51" i="23"/>
  <c r="U10" i="2"/>
  <c r="U20" i="24" s="1"/>
  <c r="V10" i="2"/>
  <c r="V20" i="24" s="1"/>
  <c r="U13" i="2"/>
  <c r="U22" i="24" s="1"/>
  <c r="V13" i="2"/>
  <c r="V22" i="24" s="1"/>
  <c r="U15" i="2"/>
  <c r="U110" i="3"/>
  <c r="U113" i="3" s="1"/>
  <c r="U125" i="3" s="1"/>
  <c r="U62" i="3"/>
  <c r="U65" i="3" s="1"/>
  <c r="U77" i="3" s="1"/>
  <c r="U24" i="3"/>
  <c r="V24" i="3"/>
  <c r="U25" i="3"/>
  <c r="V25" i="3"/>
  <c r="U26" i="3"/>
  <c r="V26" i="3"/>
  <c r="U60" i="23" l="1"/>
  <c r="V61" i="23"/>
  <c r="U63" i="23"/>
  <c r="V62" i="23"/>
  <c r="V60" i="23"/>
  <c r="U112" i="3"/>
  <c r="U124" i="3" s="1"/>
  <c r="V59" i="23"/>
  <c r="V56" i="23"/>
  <c r="U56" i="23"/>
  <c r="V55" i="23"/>
  <c r="U55" i="23"/>
  <c r="V63" i="23"/>
  <c r="U58" i="23"/>
  <c r="U59" i="23"/>
  <c r="V58" i="23"/>
  <c r="U62" i="23"/>
  <c r="U61" i="23"/>
  <c r="U64" i="3"/>
  <c r="D50" i="1"/>
  <c r="E50" i="1"/>
  <c r="F50" i="1"/>
  <c r="G50" i="1"/>
  <c r="H50" i="1"/>
  <c r="I50" i="1"/>
  <c r="J50" i="1"/>
  <c r="X50" i="1"/>
  <c r="Y50" i="1"/>
  <c r="Z50" i="1"/>
  <c r="AA50" i="1"/>
  <c r="AB50" i="1"/>
  <c r="U8" i="1"/>
  <c r="U7" i="1"/>
  <c r="V135" i="3"/>
  <c r="V52" i="1"/>
  <c r="V22" i="2" s="1"/>
  <c r="V10" i="25" s="1"/>
  <c r="U52" i="1"/>
  <c r="U22" i="2" s="1"/>
  <c r="U10" i="25" s="1"/>
  <c r="V57" i="1"/>
  <c r="V12" i="2" s="1"/>
  <c r="V23" i="24" s="1"/>
  <c r="U57" i="1"/>
  <c r="U12" i="2" s="1"/>
  <c r="U23" i="24" s="1"/>
  <c r="U135" i="3"/>
  <c r="V10" i="1"/>
  <c r="V7" i="24" s="1"/>
  <c r="V43" i="24" s="1"/>
  <c r="V12" i="1"/>
  <c r="V9" i="24" s="1"/>
  <c r="U13" i="1"/>
  <c r="V13" i="1"/>
  <c r="U14" i="1"/>
  <c r="V14" i="1"/>
  <c r="U15" i="1"/>
  <c r="U18" i="2" s="1"/>
  <c r="V15" i="1"/>
  <c r="V18" i="2" s="1"/>
  <c r="U16" i="1"/>
  <c r="U14" i="2" s="1"/>
  <c r="V16" i="1"/>
  <c r="V14" i="2" s="1"/>
  <c r="U18" i="1"/>
  <c r="U10" i="3" s="1"/>
  <c r="V18" i="1"/>
  <c r="V10" i="3" s="1"/>
  <c r="U19" i="1"/>
  <c r="U11" i="3" s="1"/>
  <c r="V19" i="1"/>
  <c r="V11" i="3" s="1"/>
  <c r="U20" i="1"/>
  <c r="U12" i="3" s="1"/>
  <c r="V20" i="1"/>
  <c r="V12" i="3" s="1"/>
  <c r="U21" i="1"/>
  <c r="U13" i="3" s="1"/>
  <c r="V21" i="1"/>
  <c r="V13" i="3" s="1"/>
  <c r="U22" i="1"/>
  <c r="U14" i="3" s="1"/>
  <c r="V22" i="1"/>
  <c r="V14" i="3" s="1"/>
  <c r="U23" i="1"/>
  <c r="U15" i="3" s="1"/>
  <c r="V23" i="1"/>
  <c r="V15" i="3" s="1"/>
  <c r="U24" i="1"/>
  <c r="U16" i="3" s="1"/>
  <c r="V24" i="1"/>
  <c r="V16" i="3" s="1"/>
  <c r="U25" i="1"/>
  <c r="U17" i="3" s="1"/>
  <c r="V25" i="1"/>
  <c r="V17" i="3" s="1"/>
  <c r="U26" i="1"/>
  <c r="U18" i="3" s="1"/>
  <c r="V26" i="1"/>
  <c r="V18" i="3" s="1"/>
  <c r="U27" i="1"/>
  <c r="U19" i="3" s="1"/>
  <c r="V27" i="1"/>
  <c r="V19" i="3" s="1"/>
  <c r="U28" i="1"/>
  <c r="U20" i="3" s="1"/>
  <c r="V28" i="1"/>
  <c r="V20" i="3" s="1"/>
  <c r="U30" i="1"/>
  <c r="U16" i="2" s="1"/>
  <c r="V30" i="1"/>
  <c r="V16" i="2" s="1"/>
  <c r="V33" i="1"/>
  <c r="V36" i="3" s="1"/>
  <c r="V34" i="1"/>
  <c r="V15" i="2" s="1"/>
  <c r="V35" i="1"/>
  <c r="V28" i="3" s="1"/>
  <c r="U39" i="1"/>
  <c r="U9" i="23" s="1"/>
  <c r="V39" i="1"/>
  <c r="V9" i="23" s="1"/>
  <c r="U40" i="1"/>
  <c r="U10" i="23" s="1"/>
  <c r="V40" i="1"/>
  <c r="V10" i="23" s="1"/>
  <c r="U41" i="1"/>
  <c r="U11" i="23" s="1"/>
  <c r="V41" i="1"/>
  <c r="V11" i="23" s="1"/>
  <c r="U42" i="1"/>
  <c r="U12" i="23" s="1"/>
  <c r="V42" i="1"/>
  <c r="V12" i="23" s="1"/>
  <c r="U43" i="1"/>
  <c r="U13" i="23" s="1"/>
  <c r="V43" i="1"/>
  <c r="V13" i="23" s="1"/>
  <c r="U44" i="1"/>
  <c r="U14" i="23" s="1"/>
  <c r="V44" i="1"/>
  <c r="V14" i="23" s="1"/>
  <c r="U45" i="1"/>
  <c r="U15" i="23" s="1"/>
  <c r="V45" i="1"/>
  <c r="V15" i="23" s="1"/>
  <c r="U46" i="1"/>
  <c r="U16" i="23" s="1"/>
  <c r="V46" i="1"/>
  <c r="V16" i="23" s="1"/>
  <c r="U47" i="1"/>
  <c r="U17" i="23" s="1"/>
  <c r="V47" i="1"/>
  <c r="V17" i="23" s="1"/>
  <c r="U51" i="1"/>
  <c r="V51" i="1"/>
  <c r="U55" i="1"/>
  <c r="U9" i="2" s="1"/>
  <c r="U19" i="24" s="1"/>
  <c r="V55" i="1"/>
  <c r="V9" i="2" s="1"/>
  <c r="V19" i="24" s="1"/>
  <c r="U60" i="1"/>
  <c r="U11" i="2" s="1"/>
  <c r="V60" i="1"/>
  <c r="V11" i="2" s="1"/>
  <c r="V45" i="24" l="1"/>
  <c r="V5" i="3"/>
  <c r="U5" i="3"/>
  <c r="V6" i="3"/>
  <c r="U5" i="25"/>
  <c r="U19" i="2"/>
  <c r="V20" i="2"/>
  <c r="V9" i="25"/>
  <c r="U5" i="23"/>
  <c r="U20" i="2"/>
  <c r="U9" i="25"/>
  <c r="V12" i="24"/>
  <c r="V14" i="24" s="1"/>
  <c r="V7" i="25" s="1"/>
  <c r="V6" i="2"/>
  <c r="V62" i="3"/>
  <c r="V110" i="3"/>
  <c r="U12" i="24"/>
  <c r="U14" i="24" s="1"/>
  <c r="U7" i="25" s="1"/>
  <c r="U6" i="2"/>
  <c r="V5" i="2"/>
  <c r="V21" i="24" s="1"/>
  <c r="V11" i="24"/>
  <c r="U5" i="2"/>
  <c r="U21" i="24" s="1"/>
  <c r="U11" i="24"/>
  <c r="V5" i="25"/>
  <c r="V19" i="2"/>
  <c r="U76" i="3"/>
  <c r="V29" i="1"/>
  <c r="V21" i="3" s="1"/>
  <c r="U29" i="1"/>
  <c r="U21" i="3" s="1"/>
  <c r="U14" i="25" l="1"/>
  <c r="U15" i="25"/>
  <c r="V14" i="25"/>
  <c r="V15" i="25"/>
  <c r="V12" i="25"/>
  <c r="U12" i="25"/>
  <c r="V7" i="2"/>
  <c r="V8" i="2"/>
  <c r="V21" i="2" s="1"/>
  <c r="U7" i="2"/>
  <c r="U8" i="2"/>
  <c r="U23" i="2" l="1"/>
  <c r="U15" i="24"/>
  <c r="U8" i="25" s="1"/>
  <c r="U21" i="2"/>
  <c r="V23" i="2"/>
  <c r="V15" i="24"/>
  <c r="V8" i="25" s="1"/>
  <c r="Q16" i="1" l="1"/>
  <c r="E15" i="2"/>
  <c r="G15" i="2"/>
  <c r="I15" i="2"/>
  <c r="K15" i="2"/>
  <c r="M15" i="2"/>
  <c r="N15" i="2"/>
  <c r="O15" i="2"/>
  <c r="P15" i="2"/>
  <c r="X15" i="2"/>
  <c r="Z15" i="2"/>
  <c r="AB15" i="2"/>
  <c r="C15" i="2"/>
  <c r="C135" i="3" l="1"/>
  <c r="AA35" i="1" l="1"/>
  <c r="AA28" i="3" s="1"/>
  <c r="Y35" i="1"/>
  <c r="Y28" i="3" s="1"/>
  <c r="T35" i="1"/>
  <c r="T28" i="3" s="1"/>
  <c r="S35" i="1"/>
  <c r="S28" i="3" s="1"/>
  <c r="R35" i="1"/>
  <c r="R28" i="3" s="1"/>
  <c r="Q35" i="1"/>
  <c r="Q28" i="3" s="1"/>
  <c r="L35" i="1"/>
  <c r="L28" i="3" s="1"/>
  <c r="J35" i="1"/>
  <c r="J28" i="3" s="1"/>
  <c r="H35" i="1"/>
  <c r="H28" i="3" s="1"/>
  <c r="F35" i="1"/>
  <c r="F28" i="3" s="1"/>
  <c r="D35" i="1"/>
  <c r="D28" i="3" s="1"/>
  <c r="J12" i="1" l="1"/>
  <c r="F12" i="1"/>
  <c r="C39" i="1" l="1"/>
  <c r="C9" i="24" l="1"/>
  <c r="E9" i="24"/>
  <c r="F9" i="24"/>
  <c r="G9" i="24"/>
  <c r="I9" i="24"/>
  <c r="J9" i="24"/>
  <c r="K9" i="24"/>
  <c r="M9" i="24"/>
  <c r="N9" i="24"/>
  <c r="O9" i="24"/>
  <c r="P9" i="24"/>
  <c r="X9" i="24"/>
  <c r="D30" i="1" l="1"/>
  <c r="D16" i="2" s="1"/>
  <c r="E30" i="1"/>
  <c r="E16" i="2" s="1"/>
  <c r="F30" i="1"/>
  <c r="F16" i="2" s="1"/>
  <c r="G30" i="1"/>
  <c r="G16" i="2" s="1"/>
  <c r="H30" i="1"/>
  <c r="H16" i="2" s="1"/>
  <c r="I30" i="1"/>
  <c r="I16" i="2" s="1"/>
  <c r="J30" i="1"/>
  <c r="J16" i="2" s="1"/>
  <c r="K30" i="1"/>
  <c r="K16" i="2" s="1"/>
  <c r="L30" i="1"/>
  <c r="L16" i="2" s="1"/>
  <c r="M30" i="1"/>
  <c r="M16" i="2" s="1"/>
  <c r="N30" i="1"/>
  <c r="N16" i="2" s="1"/>
  <c r="O30" i="1"/>
  <c r="O16" i="2" s="1"/>
  <c r="P30" i="1"/>
  <c r="P16" i="2" s="1"/>
  <c r="Q30" i="1"/>
  <c r="Q16" i="2" s="1"/>
  <c r="R30" i="1"/>
  <c r="R16" i="2" s="1"/>
  <c r="S30" i="1"/>
  <c r="S16" i="2" s="1"/>
  <c r="T30" i="1"/>
  <c r="T16" i="2" s="1"/>
  <c r="X30" i="1"/>
  <c r="X16" i="2" s="1"/>
  <c r="U7" i="3" s="1"/>
  <c r="Y30" i="1"/>
  <c r="Y16" i="2" s="1"/>
  <c r="V7" i="3" s="1"/>
  <c r="Z30" i="1"/>
  <c r="Z16" i="2" s="1"/>
  <c r="W7" i="3" s="1"/>
  <c r="AA30" i="1"/>
  <c r="AA16" i="2" s="1"/>
  <c r="AB30" i="1"/>
  <c r="AB16" i="2" s="1"/>
  <c r="C30" i="1"/>
  <c r="C16" i="2" s="1"/>
  <c r="W56" i="3" l="1"/>
  <c r="W87" i="3"/>
  <c r="W104" i="3"/>
  <c r="W109" i="3"/>
  <c r="W61" i="3"/>
  <c r="W39" i="3"/>
  <c r="V104" i="3"/>
  <c r="V61" i="3"/>
  <c r="V87" i="3"/>
  <c r="V39" i="3"/>
  <c r="V109" i="3"/>
  <c r="V56" i="3"/>
  <c r="U104" i="3"/>
  <c r="U61" i="3"/>
  <c r="U39" i="3"/>
  <c r="U87" i="3"/>
  <c r="U109" i="3"/>
  <c r="U111" i="3" s="1"/>
  <c r="U56" i="3"/>
  <c r="W101" i="3" l="1"/>
  <c r="U114" i="3"/>
  <c r="U123" i="3"/>
  <c r="U126" i="3" s="1"/>
  <c r="U101" i="3"/>
  <c r="V101" i="3"/>
  <c r="H10" i="22" l="1"/>
  <c r="G10" i="22"/>
  <c r="K85" i="15"/>
  <c r="E61" i="15"/>
  <c r="F56" i="15"/>
  <c r="F55" i="15"/>
  <c r="E55" i="15"/>
  <c r="E42" i="15"/>
  <c r="E39" i="15"/>
  <c r="L30" i="15"/>
  <c r="F10" i="15"/>
  <c r="F9" i="15"/>
  <c r="L12" i="15"/>
  <c r="L11" i="15"/>
  <c r="L9" i="15"/>
  <c r="L8" i="15"/>
  <c r="Q13" i="14"/>
  <c r="R13" i="14"/>
  <c r="M13" i="14"/>
  <c r="I13" i="14"/>
  <c r="F7" i="14"/>
  <c r="L4" i="14"/>
  <c r="K4" i="14"/>
  <c r="J4" i="14"/>
  <c r="H4" i="14"/>
  <c r="G4" i="14"/>
  <c r="F4" i="14"/>
  <c r="G82" i="12"/>
  <c r="F82" i="12"/>
  <c r="E82" i="12"/>
  <c r="D82" i="12"/>
  <c r="D71" i="12"/>
  <c r="C71" i="12"/>
  <c r="D63" i="12"/>
  <c r="D62" i="12"/>
  <c r="C63" i="12"/>
  <c r="W106" i="3" s="1"/>
  <c r="W119" i="3" s="1"/>
  <c r="C62" i="12"/>
  <c r="W105" i="3" s="1"/>
  <c r="W118" i="3" s="1"/>
  <c r="C98" i="5"/>
  <c r="K98" i="5" s="1"/>
  <c r="L105" i="5"/>
  <c r="L106" i="5"/>
  <c r="L107" i="5"/>
  <c r="K106" i="5"/>
  <c r="D108" i="5"/>
  <c r="L108" i="5" s="1"/>
  <c r="D104" i="5"/>
  <c r="L104" i="5" s="1"/>
  <c r="D103" i="5"/>
  <c r="L103" i="5" s="1"/>
  <c r="D100" i="5"/>
  <c r="D101" i="5"/>
  <c r="L101" i="5" s="1"/>
  <c r="D102" i="5"/>
  <c r="L102" i="5" s="1"/>
  <c r="D99" i="5"/>
  <c r="L99" i="5" s="1"/>
  <c r="D97" i="5"/>
  <c r="L97" i="5" s="1"/>
  <c r="D98" i="5"/>
  <c r="L98" i="5" s="1"/>
  <c r="D96" i="5"/>
  <c r="L96" i="5" s="1"/>
  <c r="D95" i="5"/>
  <c r="L95" i="5" s="1"/>
  <c r="D94" i="5"/>
  <c r="L94" i="5" s="1"/>
  <c r="C109" i="5"/>
  <c r="K109" i="5" s="1"/>
  <c r="C108" i="5"/>
  <c r="K108" i="5" s="1"/>
  <c r="C107" i="5"/>
  <c r="K107" i="5" s="1"/>
  <c r="C105" i="5"/>
  <c r="K105" i="5" s="1"/>
  <c r="C102" i="5"/>
  <c r="K102" i="5" s="1"/>
  <c r="C101" i="5"/>
  <c r="K101" i="5" s="1"/>
  <c r="C99" i="5"/>
  <c r="K99" i="5" s="1"/>
  <c r="C97" i="5"/>
  <c r="K97" i="5" s="1"/>
  <c r="C96" i="5"/>
  <c r="C95" i="5"/>
  <c r="K95" i="5" s="1"/>
  <c r="C94" i="5"/>
  <c r="A93" i="5"/>
  <c r="D50" i="5"/>
  <c r="D51" i="5"/>
  <c r="D52" i="5"/>
  <c r="B2" i="4"/>
  <c r="U38" i="24" l="1"/>
  <c r="U47" i="24" s="1"/>
  <c r="E50" i="13"/>
  <c r="E51" i="13"/>
  <c r="U82" i="23" s="1"/>
  <c r="F10" i="14"/>
  <c r="E52" i="13"/>
  <c r="W79" i="23" s="1"/>
  <c r="F13" i="14"/>
  <c r="K96" i="5"/>
  <c r="V82" i="23"/>
  <c r="L100" i="5"/>
  <c r="C100" i="5"/>
  <c r="K100" i="5" s="1"/>
  <c r="U105" i="3"/>
  <c r="U118" i="3" s="1"/>
  <c r="U130" i="3" s="1"/>
  <c r="V105" i="3"/>
  <c r="V118" i="3" s="1"/>
  <c r="K94" i="5"/>
  <c r="U106" i="3"/>
  <c r="U119" i="3" s="1"/>
  <c r="U131" i="3" s="1"/>
  <c r="V106" i="3"/>
  <c r="V119" i="3" s="1"/>
  <c r="V80" i="23" l="1"/>
  <c r="V86" i="23"/>
  <c r="U84" i="23"/>
  <c r="U86" i="23"/>
  <c r="V84" i="23"/>
  <c r="W80" i="23"/>
  <c r="W84" i="23"/>
  <c r="W86" i="23"/>
  <c r="W82" i="23"/>
  <c r="U79" i="23"/>
  <c r="V79" i="23"/>
  <c r="U80" i="23"/>
  <c r="E55" i="1"/>
  <c r="F55" i="1"/>
  <c r="G55" i="1"/>
  <c r="H55" i="1"/>
  <c r="J55" i="1"/>
  <c r="M55" i="1"/>
  <c r="N55" i="1"/>
  <c r="O55" i="1"/>
  <c r="P55" i="1"/>
  <c r="Q55" i="1"/>
  <c r="R55" i="1"/>
  <c r="S55" i="1"/>
  <c r="T55" i="1"/>
  <c r="Y55" i="1"/>
  <c r="Z55" i="1"/>
  <c r="AA55" i="1"/>
  <c r="AB55" i="1"/>
  <c r="AB135" i="3" l="1"/>
  <c r="AA135" i="3"/>
  <c r="Y135" i="3"/>
  <c r="T135" i="3"/>
  <c r="S135" i="3"/>
  <c r="R135" i="3"/>
  <c r="Q135" i="3"/>
  <c r="L135" i="3"/>
  <c r="J135" i="3"/>
  <c r="H135" i="3"/>
  <c r="F135" i="3"/>
  <c r="D135" i="3"/>
  <c r="E135" i="3"/>
  <c r="G135" i="3"/>
  <c r="I135" i="3"/>
  <c r="K135" i="3"/>
  <c r="M135" i="3"/>
  <c r="N135" i="3"/>
  <c r="O135" i="3"/>
  <c r="P135" i="3"/>
  <c r="X135" i="3"/>
  <c r="Z135" i="3"/>
  <c r="C60" i="1"/>
  <c r="E60" i="1"/>
  <c r="G60" i="1"/>
  <c r="I60" i="1"/>
  <c r="K60" i="1"/>
  <c r="M60" i="1"/>
  <c r="N60" i="1"/>
  <c r="O60" i="1"/>
  <c r="P60" i="1"/>
  <c r="X60" i="1"/>
  <c r="Z60" i="1"/>
  <c r="M61" i="15" l="1"/>
  <c r="M60" i="15"/>
  <c r="S66" i="5" l="1"/>
  <c r="S64" i="5"/>
  <c r="Q64" i="5"/>
  <c r="F64" i="5"/>
  <c r="D64" i="5"/>
  <c r="S63" i="5"/>
  <c r="Q63" i="5"/>
  <c r="F63" i="5"/>
  <c r="D63" i="5"/>
  <c r="Q67" i="5"/>
  <c r="F67" i="5"/>
  <c r="D67" i="5"/>
  <c r="Q66" i="5"/>
  <c r="F66" i="5"/>
  <c r="D66" i="5"/>
  <c r="S62" i="5"/>
  <c r="Q62" i="5"/>
  <c r="F62" i="5"/>
  <c r="D62" i="5"/>
  <c r="S61" i="5"/>
  <c r="Q61" i="5"/>
  <c r="F61" i="5"/>
  <c r="D61" i="5"/>
  <c r="G9" i="22" l="1"/>
  <c r="B9" i="22"/>
  <c r="G8" i="22"/>
  <c r="O7" i="22"/>
  <c r="O8" i="22" s="1"/>
  <c r="G7" i="22"/>
  <c r="K4" i="22" s="1"/>
  <c r="M5" i="22"/>
  <c r="G5" i="22"/>
  <c r="M4" i="22"/>
  <c r="C349" i="20"/>
  <c r="C348" i="20"/>
  <c r="C347" i="20"/>
  <c r="C346" i="20"/>
  <c r="C345" i="20"/>
  <c r="C344" i="20"/>
  <c r="C341" i="20"/>
  <c r="C340" i="20"/>
  <c r="C339" i="20"/>
  <c r="D329" i="20"/>
  <c r="D334" i="20" s="1"/>
  <c r="C329" i="20"/>
  <c r="C328" i="20"/>
  <c r="D328" i="20" s="1"/>
  <c r="D333" i="20" s="1"/>
  <c r="C327" i="20"/>
  <c r="C332" i="20" s="1"/>
  <c r="C317" i="20"/>
  <c r="C316" i="20"/>
  <c r="C249" i="20" s="1"/>
  <c r="C315" i="20"/>
  <c r="C314" i="20"/>
  <c r="C313" i="20"/>
  <c r="C311" i="20"/>
  <c r="C310" i="20"/>
  <c r="C309" i="20"/>
  <c r="C302" i="20"/>
  <c r="C318" i="20" s="1"/>
  <c r="C301" i="20"/>
  <c r="C296" i="20"/>
  <c r="C290" i="20" s="1"/>
  <c r="C291" i="20" s="1"/>
  <c r="C288" i="20"/>
  <c r="C282" i="20"/>
  <c r="C276" i="20"/>
  <c r="C278" i="20" s="1"/>
  <c r="C271" i="20"/>
  <c r="C268" i="20"/>
  <c r="C265" i="20"/>
  <c r="C266" i="20" s="1"/>
  <c r="C259" i="20"/>
  <c r="C258" i="20"/>
  <c r="C261" i="20" s="1"/>
  <c r="C257" i="20"/>
  <c r="C260" i="20" s="1"/>
  <c r="C252" i="20"/>
  <c r="C245" i="20"/>
  <c r="C243" i="20"/>
  <c r="C244" i="20" s="1"/>
  <c r="C246" i="20" s="1"/>
  <c r="C248" i="20" s="1"/>
  <c r="A236" i="20"/>
  <c r="B226" i="20" s="1"/>
  <c r="AB7" i="26" s="1"/>
  <c r="A235" i="20"/>
  <c r="B225" i="20" s="1"/>
  <c r="A234" i="20"/>
  <c r="B223" i="20" s="1"/>
  <c r="W7" i="26" s="1"/>
  <c r="A232" i="20"/>
  <c r="A231" i="20"/>
  <c r="C219" i="20" s="1"/>
  <c r="A230" i="20"/>
  <c r="B219" i="20" s="1"/>
  <c r="D219" i="20"/>
  <c r="E219" i="20" s="1"/>
  <c r="E218" i="20"/>
  <c r="D218" i="20"/>
  <c r="E213" i="20"/>
  <c r="C212" i="20"/>
  <c r="E212" i="20" s="1"/>
  <c r="C211" i="20"/>
  <c r="E211" i="20" s="1"/>
  <c r="C210" i="20"/>
  <c r="E210" i="20" s="1"/>
  <c r="C209" i="20"/>
  <c r="E209" i="20" s="1"/>
  <c r="F18" i="20" s="1"/>
  <c r="F11" i="20" s="1"/>
  <c r="C208" i="20"/>
  <c r="E208" i="20" s="1"/>
  <c r="C205" i="20"/>
  <c r="C204" i="20"/>
  <c r="E204" i="20" s="1"/>
  <c r="C203" i="20"/>
  <c r="E203" i="20" s="1"/>
  <c r="C202" i="20"/>
  <c r="E202" i="20" s="1"/>
  <c r="C201" i="20"/>
  <c r="E201" i="20" s="1"/>
  <c r="C183" i="20"/>
  <c r="E183" i="20" s="1"/>
  <c r="A183" i="20"/>
  <c r="C182" i="20"/>
  <c r="E182" i="20" s="1"/>
  <c r="C181" i="20"/>
  <c r="E181" i="20" s="1"/>
  <c r="A181" i="20"/>
  <c r="C179" i="20"/>
  <c r="E179" i="20" s="1"/>
  <c r="C178" i="20"/>
  <c r="E178" i="20" s="1"/>
  <c r="A178" i="20"/>
  <c r="C177" i="20"/>
  <c r="E177" i="20" s="1"/>
  <c r="A177" i="20"/>
  <c r="A179" i="20" s="1"/>
  <c r="K171" i="20"/>
  <c r="J171" i="20"/>
  <c r="K170" i="20"/>
  <c r="J170" i="20"/>
  <c r="K169" i="20"/>
  <c r="J169" i="20"/>
  <c r="K168" i="20"/>
  <c r="J168" i="20"/>
  <c r="B167" i="20"/>
  <c r="K167" i="20" s="1"/>
  <c r="C207" i="20" s="1"/>
  <c r="E207" i="20" s="1"/>
  <c r="D145" i="20"/>
  <c r="D144" i="20"/>
  <c r="D143" i="20"/>
  <c r="B142" i="20"/>
  <c r="D142" i="20" s="1"/>
  <c r="D141" i="20"/>
  <c r="D140" i="20"/>
  <c r="C138" i="20"/>
  <c r="E138" i="20" s="1"/>
  <c r="E137" i="20"/>
  <c r="E136" i="20"/>
  <c r="E135" i="20"/>
  <c r="A135" i="20"/>
  <c r="A136" i="20" s="1"/>
  <c r="A137" i="20" s="1"/>
  <c r="A138" i="20" s="1"/>
  <c r="A139" i="20" s="1"/>
  <c r="E134" i="20"/>
  <c r="E133" i="20"/>
  <c r="E132" i="20"/>
  <c r="E131" i="20"/>
  <c r="C126" i="20"/>
  <c r="C125" i="20"/>
  <c r="C117" i="20" s="1"/>
  <c r="I123" i="20"/>
  <c r="W64" i="26" s="1"/>
  <c r="I122" i="20"/>
  <c r="I121" i="20"/>
  <c r="W62" i="26" s="1"/>
  <c r="I120" i="20"/>
  <c r="Q61" i="26" s="1"/>
  <c r="C115" i="20"/>
  <c r="I114" i="20"/>
  <c r="W38" i="26" s="1"/>
  <c r="I111" i="20"/>
  <c r="W35" i="26" s="1"/>
  <c r="F103" i="20"/>
  <c r="E103" i="20"/>
  <c r="D103" i="20"/>
  <c r="C103" i="20"/>
  <c r="F102" i="20"/>
  <c r="E102" i="20"/>
  <c r="D102" i="20"/>
  <c r="C102" i="20"/>
  <c r="G101" i="20"/>
  <c r="G100" i="20"/>
  <c r="P99" i="20"/>
  <c r="O99" i="20"/>
  <c r="K99" i="20"/>
  <c r="J99" i="20"/>
  <c r="I99" i="20"/>
  <c r="H99" i="20"/>
  <c r="G99" i="20"/>
  <c r="G98" i="20"/>
  <c r="F98" i="20"/>
  <c r="K98" i="20" s="1"/>
  <c r="E98" i="20"/>
  <c r="E96" i="20" s="1"/>
  <c r="J96" i="20" s="1"/>
  <c r="D98" i="20"/>
  <c r="I98" i="20" s="1"/>
  <c r="C98" i="20"/>
  <c r="P98" i="20" s="1"/>
  <c r="P97" i="20"/>
  <c r="O97" i="20"/>
  <c r="K97" i="20"/>
  <c r="J97" i="20"/>
  <c r="I97" i="20"/>
  <c r="H97" i="20"/>
  <c r="G97" i="20"/>
  <c r="G96" i="20"/>
  <c r="D96" i="20"/>
  <c r="I96" i="20" s="1"/>
  <c r="P95" i="20"/>
  <c r="O95" i="20"/>
  <c r="K95" i="20"/>
  <c r="J95" i="20"/>
  <c r="I95" i="20"/>
  <c r="H95" i="20"/>
  <c r="G95" i="20"/>
  <c r="P94" i="20"/>
  <c r="C88" i="20"/>
  <c r="E88" i="20" s="1"/>
  <c r="C87" i="20"/>
  <c r="E87" i="20" s="1"/>
  <c r="C86" i="20"/>
  <c r="E86" i="20" s="1"/>
  <c r="E85" i="20"/>
  <c r="C72" i="20"/>
  <c r="E72" i="20" s="1"/>
  <c r="E71" i="20"/>
  <c r="A71" i="20"/>
  <c r="A72" i="20" s="1"/>
  <c r="E70" i="20"/>
  <c r="E69" i="20"/>
  <c r="E68" i="20"/>
  <c r="A68" i="20"/>
  <c r="A69" i="20" s="1"/>
  <c r="E66" i="20"/>
  <c r="C15" i="20" s="1"/>
  <c r="B50" i="20"/>
  <c r="B49" i="20"/>
  <c r="B33" i="20"/>
  <c r="B24" i="20" s="1"/>
  <c r="B32" i="20"/>
  <c r="B28" i="20"/>
  <c r="B27" i="20" s="1"/>
  <c r="B25" i="20"/>
  <c r="C11" i="20"/>
  <c r="C10" i="20"/>
  <c r="F5" i="20"/>
  <c r="A3" i="20"/>
  <c r="G16" i="19"/>
  <c r="E16" i="19"/>
  <c r="C16" i="19"/>
  <c r="B93" i="18"/>
  <c r="B92" i="18"/>
  <c r="B91" i="18"/>
  <c r="A90" i="18"/>
  <c r="Q28" i="18" s="1"/>
  <c r="B88" i="18"/>
  <c r="E82" i="18"/>
  <c r="C81" i="18"/>
  <c r="C82" i="18" s="1"/>
  <c r="F78" i="18"/>
  <c r="E78" i="18"/>
  <c r="D78" i="18"/>
  <c r="C78" i="18"/>
  <c r="B78" i="18"/>
  <c r="G77" i="18"/>
  <c r="H36" i="18" s="1"/>
  <c r="A77" i="18"/>
  <c r="G76" i="18"/>
  <c r="H35" i="18" s="1"/>
  <c r="A76" i="18"/>
  <c r="G75" i="18"/>
  <c r="H34" i="18" s="1"/>
  <c r="A75" i="18"/>
  <c r="G74" i="18"/>
  <c r="H33" i="18" s="1"/>
  <c r="A74" i="18"/>
  <c r="G73" i="18"/>
  <c r="H32" i="18" s="1"/>
  <c r="A73" i="18"/>
  <c r="G72" i="18"/>
  <c r="H31" i="18" s="1"/>
  <c r="A72" i="18"/>
  <c r="G71" i="18"/>
  <c r="H30" i="18" s="1"/>
  <c r="A71" i="18"/>
  <c r="A69" i="18"/>
  <c r="H28" i="18" s="1"/>
  <c r="P28" i="18" s="1"/>
  <c r="F67" i="18"/>
  <c r="E67" i="18"/>
  <c r="D67" i="18"/>
  <c r="C67" i="18"/>
  <c r="B67" i="18"/>
  <c r="G66" i="18"/>
  <c r="G36" i="18" s="1"/>
  <c r="A66" i="18"/>
  <c r="G65" i="18"/>
  <c r="G35" i="18" s="1"/>
  <c r="A65" i="18"/>
  <c r="G64" i="18"/>
  <c r="G34" i="18" s="1"/>
  <c r="A64" i="18"/>
  <c r="G63" i="18"/>
  <c r="G33" i="18" s="1"/>
  <c r="A63" i="18"/>
  <c r="G62" i="18"/>
  <c r="G32" i="18" s="1"/>
  <c r="A62" i="18"/>
  <c r="G61" i="18"/>
  <c r="G31" i="18" s="1"/>
  <c r="A61" i="18"/>
  <c r="G60" i="18"/>
  <c r="G30" i="18" s="1"/>
  <c r="A60" i="18"/>
  <c r="E54" i="18"/>
  <c r="D54" i="18"/>
  <c r="C54" i="18"/>
  <c r="B54" i="18"/>
  <c r="E53" i="18"/>
  <c r="D53" i="18"/>
  <c r="C53" i="18"/>
  <c r="B53" i="18"/>
  <c r="E52" i="18"/>
  <c r="D52" i="18"/>
  <c r="C52" i="18"/>
  <c r="B52" i="18"/>
  <c r="E51" i="18"/>
  <c r="D51" i="18"/>
  <c r="C51" i="18"/>
  <c r="B51" i="18"/>
  <c r="E50" i="18"/>
  <c r="D50" i="18"/>
  <c r="C50" i="18"/>
  <c r="B50" i="18"/>
  <c r="E49" i="18"/>
  <c r="D49" i="18"/>
  <c r="C49" i="18"/>
  <c r="B49" i="18"/>
  <c r="B55" i="18" s="1"/>
  <c r="E48" i="18"/>
  <c r="D48" i="18"/>
  <c r="C48" i="18"/>
  <c r="B48" i="18"/>
  <c r="E46" i="18"/>
  <c r="M45" i="18" s="1"/>
  <c r="D46" i="18"/>
  <c r="C46" i="18"/>
  <c r="K41" i="18" s="1"/>
  <c r="B46" i="18"/>
  <c r="J41" i="18" s="1"/>
  <c r="L43" i="18"/>
  <c r="E37" i="18"/>
  <c r="M32" i="18" s="1"/>
  <c r="D37" i="18"/>
  <c r="L37" i="18" s="1"/>
  <c r="C37" i="18"/>
  <c r="K30" i="18" s="1"/>
  <c r="B37" i="18"/>
  <c r="J31" i="18" s="1"/>
  <c r="V36" i="18"/>
  <c r="F36" i="18"/>
  <c r="V35" i="18"/>
  <c r="F35" i="18"/>
  <c r="V34" i="18"/>
  <c r="V33" i="18"/>
  <c r="V32" i="18"/>
  <c r="Q32" i="18"/>
  <c r="V31" i="18"/>
  <c r="Q31" i="18"/>
  <c r="F31" i="18"/>
  <c r="Q30" i="18"/>
  <c r="F30" i="18"/>
  <c r="L28" i="18"/>
  <c r="G28" i="18"/>
  <c r="F28" i="18"/>
  <c r="B80" i="18" s="1"/>
  <c r="E28" i="18"/>
  <c r="D28" i="18"/>
  <c r="C28" i="18"/>
  <c r="K28" i="18" s="1"/>
  <c r="B28" i="18"/>
  <c r="J28" i="18" s="1"/>
  <c r="B16" i="18"/>
  <c r="E15" i="18"/>
  <c r="C15" i="18"/>
  <c r="E14" i="18"/>
  <c r="D14" i="18"/>
  <c r="C14" i="18"/>
  <c r="B14" i="18"/>
  <c r="E13" i="18"/>
  <c r="D13" i="18"/>
  <c r="C13" i="18"/>
  <c r="E12" i="18"/>
  <c r="D12" i="18"/>
  <c r="B12" i="18"/>
  <c r="B13" i="18" s="1"/>
  <c r="B15" i="18" s="1"/>
  <c r="E11" i="18"/>
  <c r="D11" i="18"/>
  <c r="C11" i="18"/>
  <c r="E10" i="18"/>
  <c r="D10" i="18"/>
  <c r="C10" i="18"/>
  <c r="E9" i="18"/>
  <c r="D9" i="18"/>
  <c r="C9" i="18"/>
  <c r="E8" i="18"/>
  <c r="D8" i="18"/>
  <c r="C8" i="18"/>
  <c r="B7" i="18"/>
  <c r="K57" i="16"/>
  <c r="J57" i="16"/>
  <c r="I57" i="16"/>
  <c r="H57" i="16"/>
  <c r="B56" i="16"/>
  <c r="N57" i="16"/>
  <c r="C54" i="16"/>
  <c r="M52" i="16"/>
  <c r="B48" i="16"/>
  <c r="B49" i="16" s="1"/>
  <c r="B50" i="16" s="1"/>
  <c r="B51" i="16" s="1"/>
  <c r="C46" i="16"/>
  <c r="C45" i="16"/>
  <c r="A39" i="16"/>
  <c r="B19" i="16"/>
  <c r="C12" i="16"/>
  <c r="B12" i="16"/>
  <c r="B13" i="16" s="1"/>
  <c r="B11" i="16"/>
  <c r="K84" i="15"/>
  <c r="K82" i="15"/>
  <c r="K83" i="15" s="1"/>
  <c r="K81" i="15"/>
  <c r="K80" i="15"/>
  <c r="I78" i="15"/>
  <c r="E78" i="15"/>
  <c r="E79" i="15" s="1"/>
  <c r="D78" i="15"/>
  <c r="D79" i="15" s="1"/>
  <c r="H77" i="15"/>
  <c r="J77" i="15" s="1"/>
  <c r="F77" i="15"/>
  <c r="I77" i="15" s="1"/>
  <c r="G71" i="15"/>
  <c r="F71" i="15"/>
  <c r="A70" i="15"/>
  <c r="A71" i="15" s="1"/>
  <c r="B68" i="15"/>
  <c r="F63" i="15"/>
  <c r="D63" i="15"/>
  <c r="K61" i="15"/>
  <c r="H61" i="15"/>
  <c r="F61" i="15"/>
  <c r="L25" i="15"/>
  <c r="L27" i="15" s="1"/>
  <c r="A61" i="15"/>
  <c r="A85" i="15" s="1"/>
  <c r="N60" i="15"/>
  <c r="N61" i="15" s="1"/>
  <c r="L60" i="15"/>
  <c r="M59" i="15"/>
  <c r="K59" i="15" s="1"/>
  <c r="A52" i="15"/>
  <c r="A51" i="15"/>
  <c r="A50" i="15"/>
  <c r="A49" i="15"/>
  <c r="A48" i="15"/>
  <c r="F46" i="15"/>
  <c r="F47" i="15" s="1"/>
  <c r="F48" i="15" s="1"/>
  <c r="F51" i="15" s="1"/>
  <c r="F53" i="15" s="1"/>
  <c r="F50" i="15" s="1"/>
  <c r="A46" i="15"/>
  <c r="L42" i="15"/>
  <c r="L39" i="15" s="1"/>
  <c r="K41" i="15"/>
  <c r="C41" i="15"/>
  <c r="E41" i="15" s="1"/>
  <c r="I40" i="15"/>
  <c r="C40" i="15" s="1"/>
  <c r="E40" i="15" s="1"/>
  <c r="F39" i="15"/>
  <c r="F38" i="15"/>
  <c r="J37" i="15"/>
  <c r="J40" i="15" s="1"/>
  <c r="J41" i="15" s="1"/>
  <c r="I37" i="15"/>
  <c r="K37" i="15" s="1"/>
  <c r="H37" i="15"/>
  <c r="H40" i="15" s="1"/>
  <c r="H41" i="15" s="1"/>
  <c r="G37" i="15"/>
  <c r="G42" i="15" s="1"/>
  <c r="G39" i="15" s="1"/>
  <c r="F37" i="15"/>
  <c r="F40" i="15" s="1"/>
  <c r="D37" i="15"/>
  <c r="D41" i="15" s="1"/>
  <c r="D36" i="15"/>
  <c r="A36" i="15"/>
  <c r="A47" i="15" s="1"/>
  <c r="K35" i="15"/>
  <c r="C35" i="15"/>
  <c r="E35" i="15" s="1"/>
  <c r="J30" i="15"/>
  <c r="L29" i="15"/>
  <c r="J27" i="15"/>
  <c r="D27" i="15"/>
  <c r="C36" i="15" s="1"/>
  <c r="E36" i="15" s="1"/>
  <c r="L26" i="15"/>
  <c r="J25" i="15"/>
  <c r="C25" i="15"/>
  <c r="K60" i="15" s="1"/>
  <c r="C10" i="15" s="1"/>
  <c r="L24" i="15"/>
  <c r="J21" i="15"/>
  <c r="C21" i="15"/>
  <c r="L21" i="15" s="1"/>
  <c r="J20" i="15"/>
  <c r="C20" i="15"/>
  <c r="L20" i="15" s="1"/>
  <c r="J19" i="15"/>
  <c r="C19" i="15"/>
  <c r="L19" i="15" s="1"/>
  <c r="J17" i="15"/>
  <c r="J15" i="15"/>
  <c r="J14" i="15"/>
  <c r="J13" i="15"/>
  <c r="J12" i="15"/>
  <c r="D12" i="15"/>
  <c r="J11" i="15"/>
  <c r="D11" i="15"/>
  <c r="J10" i="15"/>
  <c r="K9" i="15"/>
  <c r="D9" i="15"/>
  <c r="K8" i="15"/>
  <c r="D8" i="15"/>
  <c r="K7" i="15"/>
  <c r="J7" i="15"/>
  <c r="C7" i="15"/>
  <c r="J6" i="15"/>
  <c r="L5" i="15"/>
  <c r="J4" i="15"/>
  <c r="J7" i="14"/>
  <c r="O4" i="14"/>
  <c r="N4" i="14"/>
  <c r="E39" i="13"/>
  <c r="E37" i="13"/>
  <c r="E35" i="13"/>
  <c r="G32" i="13"/>
  <c r="E29" i="13"/>
  <c r="E25" i="13"/>
  <c r="E23" i="13"/>
  <c r="E21" i="13"/>
  <c r="G18" i="13"/>
  <c r="H16" i="13"/>
  <c r="W33" i="23" s="1"/>
  <c r="W57" i="23" s="1"/>
  <c r="F16" i="13"/>
  <c r="G87" i="12"/>
  <c r="G86" i="12" s="1"/>
  <c r="F87" i="12"/>
  <c r="F86" i="12" s="1"/>
  <c r="E87" i="12"/>
  <c r="E86" i="12" s="1"/>
  <c r="D87" i="12"/>
  <c r="D86" i="12" s="1"/>
  <c r="G83" i="12"/>
  <c r="F83" i="12"/>
  <c r="E83" i="12"/>
  <c r="D83" i="12"/>
  <c r="L75" i="12"/>
  <c r="J75" i="12"/>
  <c r="K75" i="12" s="1"/>
  <c r="I75" i="12"/>
  <c r="H75" i="12"/>
  <c r="G75" i="12"/>
  <c r="F75" i="12"/>
  <c r="E75" i="12"/>
  <c r="D75" i="12"/>
  <c r="L74" i="12"/>
  <c r="J74" i="12"/>
  <c r="K74" i="12" s="1"/>
  <c r="I74" i="12"/>
  <c r="H74" i="12"/>
  <c r="G74" i="12"/>
  <c r="F74" i="12"/>
  <c r="E74" i="12"/>
  <c r="D74" i="12"/>
  <c r="D67" i="12"/>
  <c r="C67" i="12"/>
  <c r="D57" i="12"/>
  <c r="C57" i="12"/>
  <c r="W100" i="3" s="1"/>
  <c r="D56" i="12"/>
  <c r="C56" i="12"/>
  <c r="W99" i="3" s="1"/>
  <c r="D55" i="12"/>
  <c r="C55" i="12"/>
  <c r="W98" i="3" s="1"/>
  <c r="D54" i="12"/>
  <c r="C54" i="12"/>
  <c r="W97" i="3" s="1"/>
  <c r="D53" i="12"/>
  <c r="C53" i="12"/>
  <c r="W96" i="3" s="1"/>
  <c r="D52" i="12"/>
  <c r="C52" i="12"/>
  <c r="W95" i="3" s="1"/>
  <c r="D51" i="12"/>
  <c r="C51" i="12"/>
  <c r="W94" i="3" s="1"/>
  <c r="D50" i="12"/>
  <c r="C50" i="12"/>
  <c r="W93" i="3" s="1"/>
  <c r="D49" i="12"/>
  <c r="C49" i="12"/>
  <c r="W92" i="3" s="1"/>
  <c r="D48" i="12"/>
  <c r="C48" i="12"/>
  <c r="W91" i="3" s="1"/>
  <c r="D47" i="12"/>
  <c r="C47" i="12"/>
  <c r="W90" i="3" s="1"/>
  <c r="D46" i="12"/>
  <c r="C46" i="12"/>
  <c r="W89" i="3" s="1"/>
  <c r="D45" i="12"/>
  <c r="C45" i="12"/>
  <c r="W88" i="3" s="1"/>
  <c r="L41" i="12"/>
  <c r="J41" i="12"/>
  <c r="K41" i="12" s="1"/>
  <c r="I41" i="12"/>
  <c r="H41" i="12"/>
  <c r="G41" i="12"/>
  <c r="F41" i="12"/>
  <c r="E41" i="12"/>
  <c r="D41" i="12"/>
  <c r="L39" i="12"/>
  <c r="J39" i="12"/>
  <c r="K39" i="12" s="1"/>
  <c r="I39" i="12"/>
  <c r="H39" i="12"/>
  <c r="G39" i="12"/>
  <c r="F39" i="12"/>
  <c r="E39" i="12"/>
  <c r="D39" i="12"/>
  <c r="L38" i="12"/>
  <c r="K38" i="12"/>
  <c r="J38" i="12"/>
  <c r="I38" i="12"/>
  <c r="H38" i="12"/>
  <c r="G38" i="12"/>
  <c r="F38" i="12"/>
  <c r="E38" i="12"/>
  <c r="D38" i="12"/>
  <c r="B22" i="12"/>
  <c r="B21" i="12"/>
  <c r="B20" i="12"/>
  <c r="B19" i="12"/>
  <c r="B18" i="12"/>
  <c r="B17" i="12"/>
  <c r="B16" i="12"/>
  <c r="B15" i="12"/>
  <c r="B14" i="12"/>
  <c r="B13" i="12"/>
  <c r="B12" i="12"/>
  <c r="B11" i="12"/>
  <c r="B10" i="12"/>
  <c r="K6" i="12"/>
  <c r="J6" i="12"/>
  <c r="I6" i="12"/>
  <c r="H6" i="12"/>
  <c r="G6" i="12"/>
  <c r="E6" i="12"/>
  <c r="F6" i="12" s="1"/>
  <c r="D6" i="12"/>
  <c r="C6" i="12"/>
  <c r="K5" i="12"/>
  <c r="J5" i="12"/>
  <c r="I5" i="12"/>
  <c r="H5" i="12"/>
  <c r="G5" i="12"/>
  <c r="F5" i="12"/>
  <c r="E5" i="12"/>
  <c r="D5" i="12"/>
  <c r="C5" i="12"/>
  <c r="B5" i="12"/>
  <c r="S23" i="8"/>
  <c r="N6" i="8" s="1"/>
  <c r="K34" i="5" s="1"/>
  <c r="M10" i="8"/>
  <c r="L10" i="8"/>
  <c r="K10" i="8"/>
  <c r="J10" i="8"/>
  <c r="I10" i="8"/>
  <c r="H10" i="8"/>
  <c r="G10" i="8"/>
  <c r="F10" i="8"/>
  <c r="E10" i="8"/>
  <c r="D10" i="8"/>
  <c r="C10" i="8"/>
  <c r="B10" i="8"/>
  <c r="M9" i="8"/>
  <c r="L9" i="8"/>
  <c r="K9" i="8"/>
  <c r="J9" i="8"/>
  <c r="I9" i="8"/>
  <c r="H9" i="8"/>
  <c r="G9" i="8"/>
  <c r="F9" i="8"/>
  <c r="E9" i="8"/>
  <c r="D9" i="8"/>
  <c r="C9" i="8"/>
  <c r="B9" i="8"/>
  <c r="M8" i="8"/>
  <c r="L8" i="8"/>
  <c r="K8" i="8"/>
  <c r="J8" i="8"/>
  <c r="I8" i="8"/>
  <c r="H8" i="8"/>
  <c r="G8" i="8"/>
  <c r="F8" i="8"/>
  <c r="E8" i="8"/>
  <c r="D8" i="8"/>
  <c r="C8" i="8"/>
  <c r="B8" i="8"/>
  <c r="N7" i="8"/>
  <c r="K35" i="5" s="1"/>
  <c r="M7" i="8"/>
  <c r="L7" i="8"/>
  <c r="K7" i="8"/>
  <c r="J7" i="8"/>
  <c r="I7" i="8"/>
  <c r="H7" i="8"/>
  <c r="G7" i="8"/>
  <c r="F7" i="8"/>
  <c r="E7" i="8"/>
  <c r="D7" i="8"/>
  <c r="C7" i="8"/>
  <c r="B7" i="8"/>
  <c r="M6" i="8"/>
  <c r="L6" i="8"/>
  <c r="K6" i="8"/>
  <c r="J6" i="8"/>
  <c r="I6" i="8"/>
  <c r="H6" i="8"/>
  <c r="G6" i="8"/>
  <c r="F6" i="8"/>
  <c r="E6" i="8"/>
  <c r="D6" i="8"/>
  <c r="C6" i="8"/>
  <c r="B6" i="8"/>
  <c r="N5" i="8"/>
  <c r="M5" i="8"/>
  <c r="L5" i="8"/>
  <c r="K5" i="8"/>
  <c r="J5" i="8"/>
  <c r="I5" i="8"/>
  <c r="H5" i="8"/>
  <c r="G5" i="8"/>
  <c r="F5" i="8"/>
  <c r="E5" i="8"/>
  <c r="D5" i="8"/>
  <c r="C5" i="8"/>
  <c r="B5" i="8"/>
  <c r="S115" i="5"/>
  <c r="Z114" i="5"/>
  <c r="S113" i="5"/>
  <c r="E107" i="5"/>
  <c r="M107" i="5" s="1"/>
  <c r="E106" i="5"/>
  <c r="M106" i="5" s="1"/>
  <c r="E104" i="5"/>
  <c r="M104" i="5" s="1"/>
  <c r="E103" i="5"/>
  <c r="M103" i="5" s="1"/>
  <c r="G107" i="5"/>
  <c r="M93" i="5"/>
  <c r="L93" i="5"/>
  <c r="K93" i="5"/>
  <c r="I86" i="5"/>
  <c r="I87" i="5" s="1"/>
  <c r="O85" i="5"/>
  <c r="O86" i="5" s="1"/>
  <c r="O87" i="5" s="1"/>
  <c r="I85" i="5"/>
  <c r="D85" i="5"/>
  <c r="J85" i="5" s="1"/>
  <c r="P85" i="5" s="1"/>
  <c r="C85" i="5"/>
  <c r="C86" i="5" s="1"/>
  <c r="C87" i="5" s="1"/>
  <c r="B80" i="5"/>
  <c r="C74" i="5"/>
  <c r="B74" i="5"/>
  <c r="D74" i="5" s="1"/>
  <c r="C73" i="5"/>
  <c r="E73" i="5" s="1"/>
  <c r="B73" i="5"/>
  <c r="R67" i="5"/>
  <c r="N67" i="5"/>
  <c r="H67" i="5"/>
  <c r="G67" i="5"/>
  <c r="E67" i="5"/>
  <c r="C67" i="5"/>
  <c r="U66" i="5"/>
  <c r="T66" i="5"/>
  <c r="S67" i="5" s="1"/>
  <c r="U67" i="5" s="1"/>
  <c r="R66" i="5"/>
  <c r="N66" i="5"/>
  <c r="H66" i="5"/>
  <c r="G66" i="5"/>
  <c r="E66" i="5"/>
  <c r="C66" i="5"/>
  <c r="F65" i="5"/>
  <c r="C65" i="5"/>
  <c r="U64" i="5"/>
  <c r="T64" i="5"/>
  <c r="R64" i="5"/>
  <c r="N64" i="5"/>
  <c r="H64" i="5"/>
  <c r="G64" i="5"/>
  <c r="E64" i="5"/>
  <c r="C64" i="5"/>
  <c r="U63" i="5"/>
  <c r="T63" i="5"/>
  <c r="R63" i="5"/>
  <c r="N63" i="5"/>
  <c r="H63" i="5"/>
  <c r="G63" i="5"/>
  <c r="E63" i="5"/>
  <c r="C63" i="5"/>
  <c r="U62" i="5"/>
  <c r="T62" i="5"/>
  <c r="R62" i="5"/>
  <c r="N62" i="5"/>
  <c r="H62" i="5"/>
  <c r="G62" i="5"/>
  <c r="E62" i="5"/>
  <c r="C62" i="5"/>
  <c r="U61" i="5"/>
  <c r="T61" i="5"/>
  <c r="R61" i="5"/>
  <c r="N61" i="5"/>
  <c r="H61" i="5"/>
  <c r="G61" i="5"/>
  <c r="E61" i="5"/>
  <c r="C61" i="5"/>
  <c r="S60" i="5"/>
  <c r="T60" i="5" s="1"/>
  <c r="Q60" i="5"/>
  <c r="R60" i="5" s="1"/>
  <c r="F60" i="5"/>
  <c r="G60" i="5" s="1"/>
  <c r="D60" i="5"/>
  <c r="E60" i="5" s="1"/>
  <c r="C60" i="5"/>
  <c r="V59" i="5"/>
  <c r="X59" i="5" s="1"/>
  <c r="U59" i="5"/>
  <c r="I59" i="5"/>
  <c r="K59" i="5" s="1"/>
  <c r="L59" i="5" s="1"/>
  <c r="H59" i="5"/>
  <c r="L58" i="5"/>
  <c r="D53" i="5"/>
  <c r="G52" i="5"/>
  <c r="G53" i="5" s="1"/>
  <c r="G51" i="5"/>
  <c r="G50" i="5"/>
  <c r="G49" i="5"/>
  <c r="G48" i="5"/>
  <c r="G47" i="5"/>
  <c r="H46" i="5"/>
  <c r="K58" i="5" s="1"/>
  <c r="X58" i="5" s="1"/>
  <c r="AA58" i="5" s="1"/>
  <c r="G45" i="5"/>
  <c r="D45" i="5"/>
  <c r="E41" i="5"/>
  <c r="A38" i="5"/>
  <c r="A52" i="5" s="1"/>
  <c r="A37" i="5"/>
  <c r="A51" i="5" s="1"/>
  <c r="A36" i="5"/>
  <c r="A50" i="5" s="1"/>
  <c r="A35" i="5"/>
  <c r="A49" i="5" s="1"/>
  <c r="A34" i="5"/>
  <c r="A48" i="5" s="1"/>
  <c r="A33" i="5"/>
  <c r="A47" i="5" s="1"/>
  <c r="D25" i="5"/>
  <c r="D49" i="5" s="1"/>
  <c r="D24" i="5"/>
  <c r="D48" i="5" s="1"/>
  <c r="D23" i="5"/>
  <c r="D47" i="5" s="1"/>
  <c r="F19" i="5"/>
  <c r="G19" i="5" s="1"/>
  <c r="D19" i="5"/>
  <c r="E19" i="5" s="1"/>
  <c r="C19" i="5"/>
  <c r="A19" i="5"/>
  <c r="F18" i="5"/>
  <c r="G18" i="5" s="1"/>
  <c r="D18" i="5"/>
  <c r="C18" i="5"/>
  <c r="A18" i="5"/>
  <c r="F17" i="5"/>
  <c r="G17" i="5" s="1"/>
  <c r="D17" i="5"/>
  <c r="C17" i="5"/>
  <c r="O67" i="5" s="1"/>
  <c r="A17" i="5"/>
  <c r="F16" i="5"/>
  <c r="G16" i="5" s="1"/>
  <c r="D16" i="5"/>
  <c r="E16" i="5" s="1"/>
  <c r="C16" i="5"/>
  <c r="O66" i="5" s="1"/>
  <c r="A16" i="5"/>
  <c r="F15" i="5"/>
  <c r="G15" i="5" s="1"/>
  <c r="D15" i="5"/>
  <c r="C15" i="5"/>
  <c r="O64" i="5" s="1"/>
  <c r="A15" i="5"/>
  <c r="AE14" i="5"/>
  <c r="F14" i="5"/>
  <c r="G14" i="5" s="1"/>
  <c r="D14" i="5"/>
  <c r="C14" i="5"/>
  <c r="H51" i="5" s="1"/>
  <c r="I51" i="5" s="1"/>
  <c r="A14" i="5"/>
  <c r="F13" i="5"/>
  <c r="G13" i="5" s="1"/>
  <c r="D13" i="5"/>
  <c r="C13" i="5"/>
  <c r="H49" i="5" s="1"/>
  <c r="I49" i="5" s="1"/>
  <c r="A13" i="5"/>
  <c r="F12" i="5"/>
  <c r="G12" i="5" s="1"/>
  <c r="D12" i="5"/>
  <c r="C12" i="5"/>
  <c r="H48" i="5" s="1"/>
  <c r="I48" i="5" s="1"/>
  <c r="A12" i="5"/>
  <c r="F11" i="5"/>
  <c r="G11" i="5" s="1"/>
  <c r="D11" i="5"/>
  <c r="E11" i="5" s="1"/>
  <c r="E47" i="5" s="1"/>
  <c r="C11" i="5"/>
  <c r="O61" i="5" s="1"/>
  <c r="A11" i="5"/>
  <c r="D7" i="5"/>
  <c r="C7" i="5"/>
  <c r="D5" i="5"/>
  <c r="C5" i="5"/>
  <c r="U34" i="24" s="1"/>
  <c r="AA52" i="1"/>
  <c r="AA22" i="2" s="1"/>
  <c r="AA10" i="25" s="1"/>
  <c r="T52" i="1"/>
  <c r="T22" i="2" s="1"/>
  <c r="T10" i="25" s="1"/>
  <c r="R52" i="1"/>
  <c r="R22" i="2" s="1"/>
  <c r="R10" i="25" s="1"/>
  <c r="Q52" i="1"/>
  <c r="Q22" i="2" s="1"/>
  <c r="Q10" i="25" s="1"/>
  <c r="P51" i="1"/>
  <c r="P9" i="25" s="1"/>
  <c r="O52" i="1"/>
  <c r="O22" i="2" s="1"/>
  <c r="O10" i="25" s="1"/>
  <c r="N52" i="1"/>
  <c r="N22" i="2" s="1"/>
  <c r="N10" i="25" s="1"/>
  <c r="M52" i="1"/>
  <c r="M22" i="2" s="1"/>
  <c r="M10" i="25" s="1"/>
  <c r="L44" i="1"/>
  <c r="L14" i="23" s="1"/>
  <c r="K44" i="1"/>
  <c r="K14" i="23" s="1"/>
  <c r="J43" i="1"/>
  <c r="J13" i="23" s="1"/>
  <c r="I44" i="1"/>
  <c r="I14" i="23" s="1"/>
  <c r="H44" i="1"/>
  <c r="H14" i="23" s="1"/>
  <c r="F44" i="1"/>
  <c r="F14" i="23" s="1"/>
  <c r="E44" i="1"/>
  <c r="E14" i="23" s="1"/>
  <c r="D44" i="1"/>
  <c r="D14" i="23" s="1"/>
  <c r="C44" i="1"/>
  <c r="C14" i="23" s="1"/>
  <c r="AB64" i="26"/>
  <c r="Y64" i="26"/>
  <c r="X64" i="26"/>
  <c r="S64" i="26"/>
  <c r="Q64" i="26"/>
  <c r="N64" i="26"/>
  <c r="M64" i="26"/>
  <c r="K64" i="26"/>
  <c r="I64" i="26"/>
  <c r="F64" i="26"/>
  <c r="E64" i="26"/>
  <c r="C64" i="26"/>
  <c r="H63" i="26"/>
  <c r="Q62" i="26"/>
  <c r="G62" i="26"/>
  <c r="AA61" i="26"/>
  <c r="Z61" i="26"/>
  <c r="R61" i="26"/>
  <c r="O61" i="26"/>
  <c r="I61" i="26"/>
  <c r="H61" i="26"/>
  <c r="E61" i="26"/>
  <c r="R35" i="26"/>
  <c r="I35" i="26"/>
  <c r="AB28" i="26"/>
  <c r="G28" i="26"/>
  <c r="F28" i="26"/>
  <c r="D28" i="26"/>
  <c r="AB20" i="26"/>
  <c r="L20" i="26"/>
  <c r="K20" i="26"/>
  <c r="J20" i="26"/>
  <c r="I20" i="26"/>
  <c r="H20" i="26"/>
  <c r="G20" i="26"/>
  <c r="F20" i="26"/>
  <c r="E20" i="26"/>
  <c r="D20" i="26"/>
  <c r="C20" i="26"/>
  <c r="AB19" i="26"/>
  <c r="L19" i="26"/>
  <c r="K19" i="26"/>
  <c r="J19" i="26"/>
  <c r="I19" i="26"/>
  <c r="H19" i="26"/>
  <c r="G19" i="26"/>
  <c r="F19" i="26"/>
  <c r="E19" i="26"/>
  <c r="D19" i="26"/>
  <c r="C19" i="26"/>
  <c r="AB18" i="26"/>
  <c r="L18" i="26"/>
  <c r="K18" i="26"/>
  <c r="J18" i="26"/>
  <c r="I18" i="26"/>
  <c r="H18" i="26"/>
  <c r="G18" i="26"/>
  <c r="F18" i="26"/>
  <c r="E18" i="26"/>
  <c r="D18" i="26"/>
  <c r="C18" i="26"/>
  <c r="T10" i="26"/>
  <c r="S10" i="26"/>
  <c r="R10" i="26"/>
  <c r="Q10" i="26"/>
  <c r="P10" i="26"/>
  <c r="O10" i="26"/>
  <c r="N10" i="26"/>
  <c r="M10" i="26"/>
  <c r="AB9" i="26"/>
  <c r="AB10" i="26" s="1"/>
  <c r="AA9" i="26"/>
  <c r="AA10" i="26" s="1"/>
  <c r="Z9" i="26"/>
  <c r="Z10" i="26" s="1"/>
  <c r="Y9" i="26"/>
  <c r="Y10" i="26" s="1"/>
  <c r="X9" i="26"/>
  <c r="X10" i="26" s="1"/>
  <c r="L9" i="26"/>
  <c r="L10" i="26" s="1"/>
  <c r="K9" i="26"/>
  <c r="K10" i="26" s="1"/>
  <c r="J9" i="26"/>
  <c r="J10" i="26" s="1"/>
  <c r="I9" i="26"/>
  <c r="I10" i="26" s="1"/>
  <c r="H9" i="26"/>
  <c r="H10" i="26" s="1"/>
  <c r="G9" i="26"/>
  <c r="G10" i="26" s="1"/>
  <c r="F9" i="26"/>
  <c r="F10" i="26" s="1"/>
  <c r="E9" i="26"/>
  <c r="E10" i="26" s="1"/>
  <c r="D10" i="26"/>
  <c r="C9" i="26"/>
  <c r="C10" i="26" s="1"/>
  <c r="AA8" i="26"/>
  <c r="AA20" i="26" s="1"/>
  <c r="Z8" i="26"/>
  <c r="Z20" i="26" s="1"/>
  <c r="Y8" i="26"/>
  <c r="X8" i="26"/>
  <c r="AA7" i="26"/>
  <c r="Z7" i="26"/>
  <c r="R7" i="26"/>
  <c r="R24" i="26" s="1"/>
  <c r="P7" i="26"/>
  <c r="N7" i="26"/>
  <c r="M7" i="26"/>
  <c r="L7" i="25"/>
  <c r="K7" i="25"/>
  <c r="AB5" i="25"/>
  <c r="AB15" i="25" s="1"/>
  <c r="AA5" i="25"/>
  <c r="Z5" i="25"/>
  <c r="Y5" i="25"/>
  <c r="X5" i="25"/>
  <c r="T5" i="25"/>
  <c r="S5" i="25"/>
  <c r="R5" i="25"/>
  <c r="Q5" i="25"/>
  <c r="P5" i="25"/>
  <c r="O5" i="25"/>
  <c r="N5" i="25"/>
  <c r="M5" i="25"/>
  <c r="K5" i="25"/>
  <c r="F5" i="25"/>
  <c r="F15" i="25" s="1"/>
  <c r="E5" i="25"/>
  <c r="E15" i="25" s="1"/>
  <c r="D5" i="25"/>
  <c r="D15" i="25" s="1"/>
  <c r="C5" i="25"/>
  <c r="C15" i="25" s="1"/>
  <c r="AB42" i="24"/>
  <c r="AA42" i="24"/>
  <c r="Y42" i="24"/>
  <c r="T42" i="24"/>
  <c r="S42" i="24"/>
  <c r="R42" i="24"/>
  <c r="Q42" i="24"/>
  <c r="L42" i="24"/>
  <c r="J42" i="24"/>
  <c r="H42" i="24"/>
  <c r="F42" i="24"/>
  <c r="D42" i="24"/>
  <c r="AB40" i="24"/>
  <c r="AA40" i="24"/>
  <c r="Z40" i="24"/>
  <c r="Y40" i="24"/>
  <c r="X40" i="24"/>
  <c r="T40" i="24"/>
  <c r="S40" i="24"/>
  <c r="R40" i="24"/>
  <c r="Q40" i="24"/>
  <c r="P40" i="24"/>
  <c r="O40" i="24"/>
  <c r="N40" i="24"/>
  <c r="M40" i="24"/>
  <c r="L40" i="24"/>
  <c r="K40" i="24"/>
  <c r="J40" i="24"/>
  <c r="I40" i="24"/>
  <c r="H40" i="24"/>
  <c r="G40" i="24"/>
  <c r="F40" i="24"/>
  <c r="E40" i="24"/>
  <c r="D40" i="24"/>
  <c r="C40" i="24"/>
  <c r="AB38" i="24"/>
  <c r="AB47" i="24" s="1"/>
  <c r="AA38" i="24"/>
  <c r="AA47" i="24" s="1"/>
  <c r="Y38" i="24"/>
  <c r="Y47" i="24" s="1"/>
  <c r="T38" i="24"/>
  <c r="T47" i="24" s="1"/>
  <c r="S38" i="24"/>
  <c r="S47" i="24" s="1"/>
  <c r="R38" i="24"/>
  <c r="R47" i="24" s="1"/>
  <c r="Q38" i="24"/>
  <c r="Q47" i="24" s="1"/>
  <c r="L38" i="24"/>
  <c r="L47" i="24" s="1"/>
  <c r="J38" i="24"/>
  <c r="J47" i="24" s="1"/>
  <c r="H38" i="24"/>
  <c r="H47" i="24" s="1"/>
  <c r="F38" i="24"/>
  <c r="F47" i="24" s="1"/>
  <c r="D38" i="24"/>
  <c r="D47" i="24" s="1"/>
  <c r="AB34" i="24"/>
  <c r="AA34" i="24"/>
  <c r="Y34" i="24"/>
  <c r="T34" i="24"/>
  <c r="S34" i="24"/>
  <c r="R34" i="24"/>
  <c r="Q34" i="24"/>
  <c r="L34" i="24"/>
  <c r="J34" i="24"/>
  <c r="H34" i="24"/>
  <c r="F34" i="24"/>
  <c r="D34" i="24"/>
  <c r="AB44" i="24"/>
  <c r="AA44" i="24"/>
  <c r="Z44" i="24"/>
  <c r="Y44" i="24"/>
  <c r="X44" i="24"/>
  <c r="T44" i="24"/>
  <c r="S44" i="24"/>
  <c r="R44" i="24"/>
  <c r="Q44" i="24"/>
  <c r="P44" i="24"/>
  <c r="O44" i="24"/>
  <c r="N44" i="24"/>
  <c r="M44" i="24"/>
  <c r="L44" i="24"/>
  <c r="K44" i="24"/>
  <c r="J44" i="24"/>
  <c r="I44" i="24"/>
  <c r="H44" i="24"/>
  <c r="G44" i="24"/>
  <c r="F44" i="24"/>
  <c r="E44" i="24"/>
  <c r="D44" i="24"/>
  <c r="C44" i="24"/>
  <c r="Z43" i="24"/>
  <c r="X43" i="24"/>
  <c r="P43" i="24"/>
  <c r="O43" i="24"/>
  <c r="N43" i="24"/>
  <c r="M43" i="24"/>
  <c r="K43" i="24"/>
  <c r="I43" i="24"/>
  <c r="G43" i="24"/>
  <c r="E43" i="24"/>
  <c r="C43" i="24"/>
  <c r="Z5" i="24"/>
  <c r="X5" i="24"/>
  <c r="P5" i="24"/>
  <c r="O5" i="24"/>
  <c r="N5" i="24"/>
  <c r="M5" i="24"/>
  <c r="K5" i="24"/>
  <c r="I5" i="24"/>
  <c r="G5" i="24"/>
  <c r="E5" i="24"/>
  <c r="C5" i="24"/>
  <c r="AB87" i="23"/>
  <c r="AA87" i="23"/>
  <c r="Z87" i="23"/>
  <c r="Y87" i="23"/>
  <c r="X87" i="23"/>
  <c r="T87" i="23"/>
  <c r="S87" i="23"/>
  <c r="R87" i="23"/>
  <c r="Q87" i="23"/>
  <c r="P87" i="23"/>
  <c r="O87" i="23"/>
  <c r="N87" i="23"/>
  <c r="M87" i="23"/>
  <c r="L87" i="23"/>
  <c r="K87" i="23"/>
  <c r="J87" i="23"/>
  <c r="I87" i="23"/>
  <c r="H87" i="23"/>
  <c r="G87" i="23"/>
  <c r="F87" i="23"/>
  <c r="E87" i="23"/>
  <c r="D87" i="23"/>
  <c r="C87" i="23"/>
  <c r="AB86" i="23"/>
  <c r="AA86" i="23"/>
  <c r="Z86" i="23"/>
  <c r="Y86" i="23"/>
  <c r="X86" i="23"/>
  <c r="T86" i="23"/>
  <c r="S86" i="23"/>
  <c r="R86" i="23"/>
  <c r="Q86" i="23"/>
  <c r="P86" i="23"/>
  <c r="O86" i="23"/>
  <c r="N86" i="23"/>
  <c r="M86" i="23"/>
  <c r="L86" i="23"/>
  <c r="K86" i="23"/>
  <c r="J86" i="23"/>
  <c r="I86" i="23"/>
  <c r="H86" i="23"/>
  <c r="G86" i="23"/>
  <c r="F86" i="23"/>
  <c r="E86" i="23"/>
  <c r="D86" i="23"/>
  <c r="C86" i="23"/>
  <c r="AB85" i="23"/>
  <c r="AA85" i="23"/>
  <c r="Z85" i="23"/>
  <c r="Y85" i="23"/>
  <c r="X85" i="23"/>
  <c r="T85" i="23"/>
  <c r="S85" i="23"/>
  <c r="R85" i="23"/>
  <c r="Q85" i="23"/>
  <c r="P85" i="23"/>
  <c r="O85" i="23"/>
  <c r="N85" i="23"/>
  <c r="M85" i="23"/>
  <c r="L85" i="23"/>
  <c r="K85" i="23"/>
  <c r="J85" i="23"/>
  <c r="I85" i="23"/>
  <c r="H85" i="23"/>
  <c r="G85" i="23"/>
  <c r="F85" i="23"/>
  <c r="E85" i="23"/>
  <c r="D85" i="23"/>
  <c r="C85" i="23"/>
  <c r="AB84" i="23"/>
  <c r="AA84" i="23"/>
  <c r="Z84" i="23"/>
  <c r="Y84" i="23"/>
  <c r="X84" i="23"/>
  <c r="T84" i="23"/>
  <c r="S84" i="23"/>
  <c r="R84" i="23"/>
  <c r="Q84" i="23"/>
  <c r="P84" i="23"/>
  <c r="O84" i="23"/>
  <c r="N84" i="23"/>
  <c r="M84" i="23"/>
  <c r="L84" i="23"/>
  <c r="K84" i="23"/>
  <c r="J84" i="23"/>
  <c r="I84" i="23"/>
  <c r="H84" i="23"/>
  <c r="G84" i="23"/>
  <c r="F84" i="23"/>
  <c r="E84" i="23"/>
  <c r="D84" i="23"/>
  <c r="C84" i="23"/>
  <c r="AB83" i="23"/>
  <c r="AA83" i="23"/>
  <c r="Z83" i="23"/>
  <c r="Y83" i="23"/>
  <c r="X83" i="23"/>
  <c r="T83" i="23"/>
  <c r="S83" i="23"/>
  <c r="R83" i="23"/>
  <c r="Q83" i="23"/>
  <c r="P83" i="23"/>
  <c r="O83" i="23"/>
  <c r="N83" i="23"/>
  <c r="M83" i="23"/>
  <c r="L83" i="23"/>
  <c r="K83" i="23"/>
  <c r="J83" i="23"/>
  <c r="I83" i="23"/>
  <c r="H83" i="23"/>
  <c r="G83" i="23"/>
  <c r="F83" i="23"/>
  <c r="E83" i="23"/>
  <c r="D83" i="23"/>
  <c r="C83" i="23"/>
  <c r="AB82" i="23"/>
  <c r="AA82" i="23"/>
  <c r="Z82" i="23"/>
  <c r="Y82" i="23"/>
  <c r="X82" i="23"/>
  <c r="T82" i="23"/>
  <c r="S82" i="23"/>
  <c r="R82" i="23"/>
  <c r="Q82" i="23"/>
  <c r="P82" i="23"/>
  <c r="O82" i="23"/>
  <c r="N82" i="23"/>
  <c r="M82" i="23"/>
  <c r="L82" i="23"/>
  <c r="K82" i="23"/>
  <c r="J82" i="23"/>
  <c r="I82" i="23"/>
  <c r="H82" i="23"/>
  <c r="G82" i="23"/>
  <c r="F82" i="23"/>
  <c r="E82" i="23"/>
  <c r="D82" i="23"/>
  <c r="C82" i="23"/>
  <c r="AB81" i="23"/>
  <c r="AA81" i="23"/>
  <c r="Z81" i="23"/>
  <c r="Y81" i="23"/>
  <c r="X81" i="23"/>
  <c r="T81" i="23"/>
  <c r="S81" i="23"/>
  <c r="R81" i="23"/>
  <c r="Q81" i="23"/>
  <c r="P81" i="23"/>
  <c r="O81" i="23"/>
  <c r="N81" i="23"/>
  <c r="M81" i="23"/>
  <c r="L81" i="23"/>
  <c r="K81" i="23"/>
  <c r="J81" i="23"/>
  <c r="I81" i="23"/>
  <c r="H81" i="23"/>
  <c r="G81" i="23"/>
  <c r="F81" i="23"/>
  <c r="E81" i="23"/>
  <c r="D81" i="23"/>
  <c r="C81" i="23"/>
  <c r="AB80" i="23"/>
  <c r="AA80" i="23"/>
  <c r="Z80" i="23"/>
  <c r="Y80" i="23"/>
  <c r="X80" i="23"/>
  <c r="T80" i="23"/>
  <c r="S80" i="23"/>
  <c r="R80" i="23"/>
  <c r="Q80" i="23"/>
  <c r="P80" i="23"/>
  <c r="O80" i="23"/>
  <c r="N80" i="23"/>
  <c r="M80" i="23"/>
  <c r="L80" i="23"/>
  <c r="K80" i="23"/>
  <c r="J80" i="23"/>
  <c r="I80" i="23"/>
  <c r="H80" i="23"/>
  <c r="G80" i="23"/>
  <c r="F80" i="23"/>
  <c r="E80" i="23"/>
  <c r="D80" i="23"/>
  <c r="C80" i="23"/>
  <c r="AB79" i="23"/>
  <c r="AA79" i="23"/>
  <c r="Z79" i="23"/>
  <c r="Y79" i="23"/>
  <c r="X79" i="23"/>
  <c r="T79" i="23"/>
  <c r="S79" i="23"/>
  <c r="R79" i="23"/>
  <c r="Q79" i="23"/>
  <c r="P79" i="23"/>
  <c r="O79" i="23"/>
  <c r="N79" i="23"/>
  <c r="M79" i="23"/>
  <c r="L79" i="23"/>
  <c r="K79" i="23"/>
  <c r="J79" i="23"/>
  <c r="I79" i="23"/>
  <c r="H79" i="23"/>
  <c r="G79" i="23"/>
  <c r="F79" i="23"/>
  <c r="E79" i="23"/>
  <c r="D79" i="23"/>
  <c r="C79" i="23"/>
  <c r="AB51" i="23"/>
  <c r="AA51" i="23"/>
  <c r="Z51" i="23"/>
  <c r="Y51" i="23"/>
  <c r="X51" i="23"/>
  <c r="T51" i="23"/>
  <c r="S51" i="23"/>
  <c r="R51" i="23"/>
  <c r="Q51" i="23"/>
  <c r="P51" i="23"/>
  <c r="O51" i="23"/>
  <c r="N51" i="23"/>
  <c r="M51" i="23"/>
  <c r="L51" i="23"/>
  <c r="K51" i="23"/>
  <c r="J51" i="23"/>
  <c r="I51" i="23"/>
  <c r="H51" i="23"/>
  <c r="G51" i="23"/>
  <c r="F51" i="23"/>
  <c r="E51" i="23"/>
  <c r="D51" i="23"/>
  <c r="C51" i="23"/>
  <c r="AB50" i="23"/>
  <c r="AA50" i="23"/>
  <c r="Z50" i="23"/>
  <c r="Y50" i="23"/>
  <c r="X50" i="23"/>
  <c r="T50" i="23"/>
  <c r="S50" i="23"/>
  <c r="R50" i="23"/>
  <c r="Q50" i="23"/>
  <c r="P50" i="23"/>
  <c r="O50" i="23"/>
  <c r="N50" i="23"/>
  <c r="M50" i="23"/>
  <c r="L50" i="23"/>
  <c r="K50" i="23"/>
  <c r="J50" i="23"/>
  <c r="I50" i="23"/>
  <c r="H50" i="23"/>
  <c r="G50" i="23"/>
  <c r="F50" i="23"/>
  <c r="E50" i="23"/>
  <c r="D50" i="23"/>
  <c r="C50" i="23"/>
  <c r="AB49" i="23"/>
  <c r="AA49" i="23"/>
  <c r="Z49" i="23"/>
  <c r="Y49" i="23"/>
  <c r="X49" i="23"/>
  <c r="T49" i="23"/>
  <c r="S49" i="23"/>
  <c r="R49" i="23"/>
  <c r="Q49" i="23"/>
  <c r="P49" i="23"/>
  <c r="O49" i="23"/>
  <c r="N49" i="23"/>
  <c r="M49" i="23"/>
  <c r="L49" i="23"/>
  <c r="K49" i="23"/>
  <c r="J49" i="23"/>
  <c r="I49" i="23"/>
  <c r="H49" i="23"/>
  <c r="G49" i="23"/>
  <c r="F49" i="23"/>
  <c r="E49" i="23"/>
  <c r="D49" i="23"/>
  <c r="C49" i="23"/>
  <c r="AB48" i="23"/>
  <c r="AA48" i="23"/>
  <c r="Z48" i="23"/>
  <c r="Y48" i="23"/>
  <c r="X48" i="23"/>
  <c r="T48" i="23"/>
  <c r="S48" i="23"/>
  <c r="R48" i="23"/>
  <c r="Q48" i="23"/>
  <c r="P48" i="23"/>
  <c r="O48" i="23"/>
  <c r="N48" i="23"/>
  <c r="M48" i="23"/>
  <c r="L48" i="23"/>
  <c r="K48" i="23"/>
  <c r="J48" i="23"/>
  <c r="I48" i="23"/>
  <c r="H48" i="23"/>
  <c r="G48" i="23"/>
  <c r="F48" i="23"/>
  <c r="E48" i="23"/>
  <c r="D48" i="23"/>
  <c r="C48" i="23"/>
  <c r="AB47" i="23"/>
  <c r="AA47" i="23"/>
  <c r="Z47" i="23"/>
  <c r="Y47" i="23"/>
  <c r="X47" i="23"/>
  <c r="T47" i="23"/>
  <c r="S47" i="23"/>
  <c r="R47" i="23"/>
  <c r="Q47" i="23"/>
  <c r="P47" i="23"/>
  <c r="O47" i="23"/>
  <c r="N47" i="23"/>
  <c r="M47" i="23"/>
  <c r="L47" i="23"/>
  <c r="K47" i="23"/>
  <c r="J47" i="23"/>
  <c r="I47" i="23"/>
  <c r="H47" i="23"/>
  <c r="G47" i="23"/>
  <c r="F47" i="23"/>
  <c r="E47" i="23"/>
  <c r="D47" i="23"/>
  <c r="C47" i="23"/>
  <c r="AB46" i="23"/>
  <c r="AA46" i="23"/>
  <c r="Z46" i="23"/>
  <c r="Y46" i="23"/>
  <c r="X46" i="23"/>
  <c r="T46" i="23"/>
  <c r="S46" i="23"/>
  <c r="R46" i="23"/>
  <c r="Q46" i="23"/>
  <c r="P46" i="23"/>
  <c r="O46" i="23"/>
  <c r="N46" i="23"/>
  <c r="M46" i="23"/>
  <c r="L46" i="23"/>
  <c r="K46" i="23"/>
  <c r="J46" i="23"/>
  <c r="I46" i="23"/>
  <c r="H46" i="23"/>
  <c r="G46" i="23"/>
  <c r="F46" i="23"/>
  <c r="E46" i="23"/>
  <c r="D46" i="23"/>
  <c r="C46" i="23"/>
  <c r="AB45" i="23"/>
  <c r="AA45" i="23"/>
  <c r="Z45" i="23"/>
  <c r="Y45" i="23"/>
  <c r="X45" i="23"/>
  <c r="T45" i="23"/>
  <c r="S45" i="23"/>
  <c r="R45" i="23"/>
  <c r="Q45" i="23"/>
  <c r="P45" i="23"/>
  <c r="O45" i="23"/>
  <c r="N45" i="23"/>
  <c r="M45" i="23"/>
  <c r="L45" i="23"/>
  <c r="K45" i="23"/>
  <c r="J45" i="23"/>
  <c r="I45" i="23"/>
  <c r="H45" i="23"/>
  <c r="G45" i="23"/>
  <c r="F45" i="23"/>
  <c r="E45" i="23"/>
  <c r="D45" i="23"/>
  <c r="C45" i="23"/>
  <c r="AB44" i="23"/>
  <c r="AA44" i="23"/>
  <c r="Z44" i="23"/>
  <c r="Y44" i="23"/>
  <c r="X44" i="23"/>
  <c r="T44" i="23"/>
  <c r="S44" i="23"/>
  <c r="R44" i="23"/>
  <c r="Q44" i="23"/>
  <c r="P44" i="23"/>
  <c r="O44" i="23"/>
  <c r="N44" i="23"/>
  <c r="M44" i="23"/>
  <c r="L44" i="23"/>
  <c r="K44" i="23"/>
  <c r="J44" i="23"/>
  <c r="I44" i="23"/>
  <c r="H44" i="23"/>
  <c r="G44" i="23"/>
  <c r="F44" i="23"/>
  <c r="E44" i="23"/>
  <c r="D44" i="23"/>
  <c r="C44" i="23"/>
  <c r="AB43" i="23"/>
  <c r="AA43" i="23"/>
  <c r="Z43" i="23"/>
  <c r="Y43" i="23"/>
  <c r="X43" i="23"/>
  <c r="T43" i="23"/>
  <c r="S43" i="23"/>
  <c r="R43" i="23"/>
  <c r="Q43" i="23"/>
  <c r="P43" i="23"/>
  <c r="O43" i="23"/>
  <c r="N43" i="23"/>
  <c r="M43" i="23"/>
  <c r="L43" i="23"/>
  <c r="K43" i="23"/>
  <c r="J43" i="23"/>
  <c r="I43" i="23"/>
  <c r="H43" i="23"/>
  <c r="G43" i="23"/>
  <c r="F43" i="23"/>
  <c r="E43" i="23"/>
  <c r="D43" i="23"/>
  <c r="C43" i="23"/>
  <c r="AB39" i="23"/>
  <c r="AA39" i="23"/>
  <c r="Z39" i="23"/>
  <c r="Y39" i="23"/>
  <c r="X39" i="23"/>
  <c r="T39" i="23"/>
  <c r="S39" i="23"/>
  <c r="R39" i="23"/>
  <c r="Q39" i="23"/>
  <c r="P39" i="23"/>
  <c r="O39" i="23"/>
  <c r="N39" i="23"/>
  <c r="M39" i="23"/>
  <c r="M63" i="23" s="1"/>
  <c r="L39" i="23"/>
  <c r="K39" i="23"/>
  <c r="J39" i="23"/>
  <c r="I39" i="23"/>
  <c r="H39" i="23"/>
  <c r="G39" i="23"/>
  <c r="F39" i="23"/>
  <c r="E39" i="23"/>
  <c r="D39" i="23"/>
  <c r="C39" i="23"/>
  <c r="AB38" i="23"/>
  <c r="AA38" i="23"/>
  <c r="Z38" i="23"/>
  <c r="Y38" i="23"/>
  <c r="X38" i="23"/>
  <c r="T38" i="23"/>
  <c r="T62" i="23" s="1"/>
  <c r="S38" i="23"/>
  <c r="R38" i="23"/>
  <c r="Q38" i="23"/>
  <c r="P38" i="23"/>
  <c r="O38" i="23"/>
  <c r="N38" i="23"/>
  <c r="M38" i="23"/>
  <c r="L38" i="23"/>
  <c r="K38" i="23"/>
  <c r="J38" i="23"/>
  <c r="I38" i="23"/>
  <c r="H38" i="23"/>
  <c r="G38" i="23"/>
  <c r="F38" i="23"/>
  <c r="E38" i="23"/>
  <c r="D38" i="23"/>
  <c r="D62" i="23" s="1"/>
  <c r="C38" i="23"/>
  <c r="AB37" i="23"/>
  <c r="AA37" i="23"/>
  <c r="Z37" i="23"/>
  <c r="Y37" i="23"/>
  <c r="X37" i="23"/>
  <c r="T37" i="23"/>
  <c r="S37" i="23"/>
  <c r="R37" i="23"/>
  <c r="Q37" i="23"/>
  <c r="P37" i="23"/>
  <c r="O37" i="23"/>
  <c r="N37" i="23"/>
  <c r="M37" i="23"/>
  <c r="L37" i="23"/>
  <c r="K37" i="23"/>
  <c r="K61" i="23" s="1"/>
  <c r="J37" i="23"/>
  <c r="I37" i="23"/>
  <c r="H37" i="23"/>
  <c r="G37" i="23"/>
  <c r="F37" i="23"/>
  <c r="E37" i="23"/>
  <c r="D37" i="23"/>
  <c r="C37" i="23"/>
  <c r="AB36" i="23"/>
  <c r="AA36" i="23"/>
  <c r="Z36" i="23"/>
  <c r="Y36" i="23"/>
  <c r="X36" i="23"/>
  <c r="T36" i="23"/>
  <c r="S36" i="23"/>
  <c r="R36" i="23"/>
  <c r="R60" i="23" s="1"/>
  <c r="Q36" i="23"/>
  <c r="P36" i="23"/>
  <c r="O36" i="23"/>
  <c r="N36" i="23"/>
  <c r="M36" i="23"/>
  <c r="L36" i="23"/>
  <c r="K36" i="23"/>
  <c r="J36" i="23"/>
  <c r="I36" i="23"/>
  <c r="H36" i="23"/>
  <c r="G36" i="23"/>
  <c r="F36" i="23"/>
  <c r="E36" i="23"/>
  <c r="D36" i="23"/>
  <c r="C36" i="23"/>
  <c r="AB35" i="23"/>
  <c r="AB59" i="23" s="1"/>
  <c r="AA35" i="23"/>
  <c r="Z35" i="23"/>
  <c r="Y35" i="23"/>
  <c r="X35" i="23"/>
  <c r="T35" i="23"/>
  <c r="S35" i="23"/>
  <c r="R35" i="23"/>
  <c r="Q35" i="23"/>
  <c r="P35" i="23"/>
  <c r="O35" i="23"/>
  <c r="N35" i="23"/>
  <c r="M35" i="23"/>
  <c r="L35" i="23"/>
  <c r="K35" i="23"/>
  <c r="J35" i="23"/>
  <c r="I35" i="23"/>
  <c r="I59" i="23" s="1"/>
  <c r="H35" i="23"/>
  <c r="G35" i="23"/>
  <c r="F35" i="23"/>
  <c r="E35" i="23"/>
  <c r="D35" i="23"/>
  <c r="C35" i="23"/>
  <c r="AB34" i="23"/>
  <c r="AA34" i="23"/>
  <c r="Z34" i="23"/>
  <c r="Y34" i="23"/>
  <c r="X34" i="23"/>
  <c r="T34" i="23"/>
  <c r="S34" i="23"/>
  <c r="R34" i="23"/>
  <c r="Q34" i="23"/>
  <c r="P34" i="23"/>
  <c r="P58" i="23" s="1"/>
  <c r="O34" i="23"/>
  <c r="N34" i="23"/>
  <c r="M34" i="23"/>
  <c r="L34" i="23"/>
  <c r="K34" i="23"/>
  <c r="J34" i="23"/>
  <c r="I34" i="23"/>
  <c r="H34" i="23"/>
  <c r="G34" i="23"/>
  <c r="F34" i="23"/>
  <c r="E34" i="23"/>
  <c r="D34" i="23"/>
  <c r="C34" i="23"/>
  <c r="Z33" i="23"/>
  <c r="Z57" i="23" s="1"/>
  <c r="G33" i="23"/>
  <c r="G57" i="23" s="1"/>
  <c r="AB32" i="23"/>
  <c r="AA32" i="23"/>
  <c r="Z32" i="23"/>
  <c r="Y32" i="23"/>
  <c r="X32" i="23"/>
  <c r="T32" i="23"/>
  <c r="S32" i="23"/>
  <c r="R32" i="23"/>
  <c r="Q32" i="23"/>
  <c r="P32" i="23"/>
  <c r="O32" i="23"/>
  <c r="N32" i="23"/>
  <c r="N56" i="23" s="1"/>
  <c r="M32" i="23"/>
  <c r="L32" i="23"/>
  <c r="K32" i="23"/>
  <c r="J32" i="23"/>
  <c r="I32" i="23"/>
  <c r="H32" i="23"/>
  <c r="G32" i="23"/>
  <c r="F32" i="23"/>
  <c r="E32" i="23"/>
  <c r="D32" i="23"/>
  <c r="C32" i="23"/>
  <c r="AB31" i="23"/>
  <c r="AA31" i="23"/>
  <c r="Z31" i="23"/>
  <c r="Y31" i="23"/>
  <c r="X31" i="23"/>
  <c r="X55" i="23" s="1"/>
  <c r="T31" i="23"/>
  <c r="S31" i="23"/>
  <c r="R31" i="23"/>
  <c r="Q31" i="23"/>
  <c r="P31" i="23"/>
  <c r="O31" i="23"/>
  <c r="N31" i="23"/>
  <c r="M31" i="23"/>
  <c r="L31" i="23"/>
  <c r="K31" i="23"/>
  <c r="J31" i="23"/>
  <c r="I31" i="23"/>
  <c r="H31" i="23"/>
  <c r="G31" i="23"/>
  <c r="F31" i="23"/>
  <c r="E31" i="23"/>
  <c r="E55" i="23" s="1"/>
  <c r="D31" i="23"/>
  <c r="C31" i="23"/>
  <c r="C113" i="3"/>
  <c r="C112" i="3"/>
  <c r="AB26" i="3"/>
  <c r="AA26" i="3"/>
  <c r="Z26" i="3"/>
  <c r="Y26" i="3"/>
  <c r="X26" i="3"/>
  <c r="T26" i="3"/>
  <c r="S26" i="3"/>
  <c r="R26" i="3"/>
  <c r="Q26" i="3"/>
  <c r="P26" i="3"/>
  <c r="O26" i="3"/>
  <c r="N26" i="3"/>
  <c r="M26" i="3"/>
  <c r="L26" i="3"/>
  <c r="K26" i="3"/>
  <c r="J26" i="3"/>
  <c r="I26" i="3"/>
  <c r="H26" i="3"/>
  <c r="G26" i="3"/>
  <c r="F26" i="3"/>
  <c r="E26" i="3"/>
  <c r="D26" i="3"/>
  <c r="C26" i="3"/>
  <c r="AB25" i="3"/>
  <c r="AA25" i="3"/>
  <c r="Z25" i="3"/>
  <c r="Y25" i="3"/>
  <c r="X25" i="3"/>
  <c r="T25" i="3"/>
  <c r="S25" i="3"/>
  <c r="R25" i="3"/>
  <c r="Q25" i="3"/>
  <c r="P25" i="3"/>
  <c r="O25" i="3"/>
  <c r="N25" i="3"/>
  <c r="M25" i="3"/>
  <c r="L25" i="3"/>
  <c r="K25" i="3"/>
  <c r="J25" i="3"/>
  <c r="I25" i="3"/>
  <c r="H25" i="3"/>
  <c r="G25" i="3"/>
  <c r="F25" i="3"/>
  <c r="E25" i="3"/>
  <c r="D25" i="3"/>
  <c r="C25" i="3"/>
  <c r="AB24" i="3"/>
  <c r="AA24" i="3"/>
  <c r="Z24" i="3"/>
  <c r="Y24" i="3"/>
  <c r="X24" i="3"/>
  <c r="T24" i="3"/>
  <c r="S24" i="3"/>
  <c r="R24" i="3"/>
  <c r="Q24" i="3"/>
  <c r="P24" i="3"/>
  <c r="O24" i="3"/>
  <c r="N24" i="3"/>
  <c r="M24" i="3"/>
  <c r="L24" i="3"/>
  <c r="K24" i="3"/>
  <c r="J24" i="3"/>
  <c r="I24" i="3"/>
  <c r="H24" i="3"/>
  <c r="G24" i="3"/>
  <c r="F24" i="3"/>
  <c r="E24" i="3"/>
  <c r="D24" i="3"/>
  <c r="C24" i="3"/>
  <c r="F21" i="3"/>
  <c r="E21" i="3"/>
  <c r="AB19" i="2"/>
  <c r="AA19" i="2"/>
  <c r="Z19" i="2"/>
  <c r="Y19" i="2"/>
  <c r="X19" i="2"/>
  <c r="T19" i="2"/>
  <c r="S19" i="2"/>
  <c r="R19" i="2"/>
  <c r="Q19" i="2"/>
  <c r="P19" i="2"/>
  <c r="O19" i="2"/>
  <c r="N19" i="2"/>
  <c r="M19" i="2"/>
  <c r="K19" i="2"/>
  <c r="F19" i="2"/>
  <c r="E19" i="2"/>
  <c r="D19" i="2"/>
  <c r="C19" i="2"/>
  <c r="T62" i="3"/>
  <c r="AB7" i="3"/>
  <c r="AB109" i="3" s="1"/>
  <c r="AA7" i="3"/>
  <c r="AA109" i="3" s="1"/>
  <c r="Z7" i="3"/>
  <c r="Z109" i="3" s="1"/>
  <c r="Y7" i="3"/>
  <c r="Y109" i="3" s="1"/>
  <c r="X7" i="3"/>
  <c r="X109" i="3" s="1"/>
  <c r="T7" i="3"/>
  <c r="T109" i="3" s="1"/>
  <c r="S7" i="3"/>
  <c r="R7" i="3"/>
  <c r="R109" i="3" s="1"/>
  <c r="Q7" i="3"/>
  <c r="Q109" i="3" s="1"/>
  <c r="P7" i="3"/>
  <c r="P109" i="3" s="1"/>
  <c r="O7" i="3"/>
  <c r="O109" i="3" s="1"/>
  <c r="N7" i="3"/>
  <c r="N109" i="3" s="1"/>
  <c r="M7" i="3"/>
  <c r="M109" i="3" s="1"/>
  <c r="L7" i="3"/>
  <c r="L109" i="3" s="1"/>
  <c r="K7" i="3"/>
  <c r="K109" i="3" s="1"/>
  <c r="J7" i="3"/>
  <c r="J109" i="3" s="1"/>
  <c r="I7" i="3"/>
  <c r="I109" i="3" s="1"/>
  <c r="H7" i="3"/>
  <c r="H109" i="3" s="1"/>
  <c r="G7" i="3"/>
  <c r="G109" i="3" s="1"/>
  <c r="F7" i="3"/>
  <c r="F109" i="3" s="1"/>
  <c r="E7" i="3"/>
  <c r="E109" i="3" s="1"/>
  <c r="D7" i="3"/>
  <c r="D109" i="3" s="1"/>
  <c r="C7" i="3"/>
  <c r="AB13" i="2"/>
  <c r="AB22" i="24" s="1"/>
  <c r="AA13" i="2"/>
  <c r="AA22" i="24" s="1"/>
  <c r="Z13" i="2"/>
  <c r="Z22" i="24" s="1"/>
  <c r="Y13" i="2"/>
  <c r="Y22" i="24" s="1"/>
  <c r="X13" i="2"/>
  <c r="X22" i="24" s="1"/>
  <c r="T13" i="2"/>
  <c r="T22" i="24" s="1"/>
  <c r="S13" i="2"/>
  <c r="S22" i="24" s="1"/>
  <c r="R13" i="2"/>
  <c r="R22" i="24" s="1"/>
  <c r="Q13" i="2"/>
  <c r="Q22" i="24" s="1"/>
  <c r="P13" i="2"/>
  <c r="P22" i="24" s="1"/>
  <c r="O13" i="2"/>
  <c r="O22" i="24" s="1"/>
  <c r="N13" i="2"/>
  <c r="N22" i="24" s="1"/>
  <c r="M13" i="2"/>
  <c r="M22" i="24" s="1"/>
  <c r="L13" i="2"/>
  <c r="L22" i="24" s="1"/>
  <c r="K13" i="2"/>
  <c r="K22" i="24" s="1"/>
  <c r="J13" i="2"/>
  <c r="J22" i="24" s="1"/>
  <c r="I13" i="2"/>
  <c r="I22" i="24" s="1"/>
  <c r="H13" i="2"/>
  <c r="H22" i="24" s="1"/>
  <c r="G13" i="2"/>
  <c r="G22" i="24" s="1"/>
  <c r="F13" i="2"/>
  <c r="F22" i="24" s="1"/>
  <c r="E13" i="2"/>
  <c r="E22" i="24" s="1"/>
  <c r="D13" i="2"/>
  <c r="D22" i="24" s="1"/>
  <c r="C13" i="2"/>
  <c r="C22" i="24" s="1"/>
  <c r="AB12" i="2"/>
  <c r="AB23" i="24" s="1"/>
  <c r="AA12" i="2"/>
  <c r="AA23" i="24" s="1"/>
  <c r="Z12" i="2"/>
  <c r="Z23" i="24" s="1"/>
  <c r="Y12" i="2"/>
  <c r="Y23" i="24" s="1"/>
  <c r="X12" i="2"/>
  <c r="X23" i="24" s="1"/>
  <c r="T12" i="2"/>
  <c r="T23" i="24" s="1"/>
  <c r="S12" i="2"/>
  <c r="S23" i="24" s="1"/>
  <c r="R12" i="2"/>
  <c r="R23" i="24" s="1"/>
  <c r="Q12" i="2"/>
  <c r="Q23" i="24" s="1"/>
  <c r="P12" i="2"/>
  <c r="P23" i="24" s="1"/>
  <c r="O12" i="2"/>
  <c r="O23" i="24" s="1"/>
  <c r="N12" i="2"/>
  <c r="N23" i="24" s="1"/>
  <c r="M12" i="2"/>
  <c r="M23" i="24" s="1"/>
  <c r="L12" i="2"/>
  <c r="L23" i="24" s="1"/>
  <c r="K12" i="2"/>
  <c r="K23" i="24" s="1"/>
  <c r="J12" i="2"/>
  <c r="J23" i="24" s="1"/>
  <c r="I12" i="2"/>
  <c r="I23" i="24" s="1"/>
  <c r="H12" i="2"/>
  <c r="H23" i="24" s="1"/>
  <c r="G12" i="2"/>
  <c r="G23" i="24" s="1"/>
  <c r="F12" i="2"/>
  <c r="F23" i="24" s="1"/>
  <c r="E12" i="2"/>
  <c r="E23" i="24" s="1"/>
  <c r="D12" i="2"/>
  <c r="D23" i="24" s="1"/>
  <c r="C12" i="2"/>
  <c r="C23" i="24" s="1"/>
  <c r="Z11" i="2"/>
  <c r="X11" i="2"/>
  <c r="P11" i="2"/>
  <c r="O11" i="2"/>
  <c r="N11" i="2"/>
  <c r="M11" i="2"/>
  <c r="K11" i="2"/>
  <c r="I11" i="2"/>
  <c r="G11" i="2"/>
  <c r="E11" i="2"/>
  <c r="C11" i="2"/>
  <c r="AB10" i="2"/>
  <c r="AB20" i="24" s="1"/>
  <c r="AA10" i="2"/>
  <c r="AA20" i="24" s="1"/>
  <c r="Z10" i="2"/>
  <c r="Z20" i="24" s="1"/>
  <c r="Y10" i="2"/>
  <c r="Y20" i="24" s="1"/>
  <c r="X10" i="2"/>
  <c r="X20" i="24" s="1"/>
  <c r="T10" i="2"/>
  <c r="T20" i="24" s="1"/>
  <c r="S10" i="2"/>
  <c r="S20" i="24" s="1"/>
  <c r="R10" i="2"/>
  <c r="R20" i="24" s="1"/>
  <c r="Q10" i="2"/>
  <c r="Q20" i="24" s="1"/>
  <c r="P10" i="2"/>
  <c r="P20" i="24" s="1"/>
  <c r="O10" i="2"/>
  <c r="O20" i="24" s="1"/>
  <c r="N10" i="2"/>
  <c r="N20" i="24" s="1"/>
  <c r="M10" i="2"/>
  <c r="M20" i="24" s="1"/>
  <c r="L10" i="2"/>
  <c r="L20" i="24" s="1"/>
  <c r="K10" i="2"/>
  <c r="K20" i="24" s="1"/>
  <c r="J10" i="2"/>
  <c r="J20" i="24" s="1"/>
  <c r="I10" i="2"/>
  <c r="I20" i="24" s="1"/>
  <c r="H10" i="2"/>
  <c r="H20" i="24" s="1"/>
  <c r="G10" i="2"/>
  <c r="G20" i="24" s="1"/>
  <c r="F10" i="2"/>
  <c r="F20" i="24" s="1"/>
  <c r="E10" i="2"/>
  <c r="E20" i="24" s="1"/>
  <c r="D10" i="2"/>
  <c r="D20" i="24" s="1"/>
  <c r="C10" i="2"/>
  <c r="C20" i="24" s="1"/>
  <c r="AB9" i="2"/>
  <c r="AB19" i="24" s="1"/>
  <c r="AA9" i="2"/>
  <c r="AA19" i="24" s="1"/>
  <c r="Z9" i="2"/>
  <c r="Z19" i="24" s="1"/>
  <c r="Y9" i="2"/>
  <c r="Y19" i="24" s="1"/>
  <c r="X9" i="2"/>
  <c r="X19" i="24" s="1"/>
  <c r="T9" i="2"/>
  <c r="T19" i="24" s="1"/>
  <c r="S9" i="2"/>
  <c r="S19" i="24" s="1"/>
  <c r="R9" i="2"/>
  <c r="R19" i="24" s="1"/>
  <c r="Q9" i="2"/>
  <c r="Q19" i="24" s="1"/>
  <c r="P9" i="2"/>
  <c r="P19" i="24" s="1"/>
  <c r="O9" i="2"/>
  <c r="O19" i="24" s="1"/>
  <c r="N9" i="2"/>
  <c r="N19" i="24" s="1"/>
  <c r="M9" i="2"/>
  <c r="M19" i="24" s="1"/>
  <c r="L9" i="2"/>
  <c r="L19" i="24" s="1"/>
  <c r="K9" i="2"/>
  <c r="K19" i="24" s="1"/>
  <c r="J9" i="2"/>
  <c r="J19" i="24" s="1"/>
  <c r="I9" i="2"/>
  <c r="I19" i="24" s="1"/>
  <c r="H9" i="2"/>
  <c r="H19" i="24" s="1"/>
  <c r="G9" i="2"/>
  <c r="G19" i="24" s="1"/>
  <c r="F9" i="2"/>
  <c r="F19" i="24" s="1"/>
  <c r="E9" i="2"/>
  <c r="E19" i="24" s="1"/>
  <c r="C9" i="2"/>
  <c r="C19" i="24" s="1"/>
  <c r="AF120" i="4"/>
  <c r="AF121" i="4" s="1"/>
  <c r="AA120" i="4"/>
  <c r="AA121" i="4" s="1"/>
  <c r="V120" i="4"/>
  <c r="V121" i="4" s="1"/>
  <c r="Q120" i="4"/>
  <c r="Q121" i="4" s="1"/>
  <c r="L120" i="4"/>
  <c r="L121" i="4" s="1"/>
  <c r="G120" i="4"/>
  <c r="G121" i="4" s="1"/>
  <c r="AE118" i="4"/>
  <c r="AD118" i="4"/>
  <c r="AC118" i="4"/>
  <c r="AB118" i="4"/>
  <c r="Z118" i="4"/>
  <c r="Y118" i="4"/>
  <c r="X118" i="4"/>
  <c r="W118" i="4"/>
  <c r="U118" i="4"/>
  <c r="T118" i="4"/>
  <c r="S118" i="4"/>
  <c r="R118" i="4"/>
  <c r="P118" i="4"/>
  <c r="O118" i="4"/>
  <c r="N118" i="4"/>
  <c r="M118" i="4"/>
  <c r="K118" i="4"/>
  <c r="J118" i="4"/>
  <c r="I118" i="4"/>
  <c r="H118" i="4"/>
  <c r="AE117" i="4"/>
  <c r="AD117" i="4"/>
  <c r="AC117" i="4"/>
  <c r="AB117" i="4"/>
  <c r="Z117" i="4"/>
  <c r="Y117" i="4"/>
  <c r="X117" i="4"/>
  <c r="W117" i="4"/>
  <c r="U117" i="4"/>
  <c r="T117" i="4"/>
  <c r="S117" i="4"/>
  <c r="R117" i="4"/>
  <c r="P117" i="4"/>
  <c r="O117" i="4"/>
  <c r="N117" i="4"/>
  <c r="M117" i="4"/>
  <c r="K117" i="4"/>
  <c r="J117" i="4"/>
  <c r="I117" i="4"/>
  <c r="H117" i="4"/>
  <c r="AE116" i="4"/>
  <c r="AD116" i="4"/>
  <c r="AC116" i="4"/>
  <c r="AB116" i="4"/>
  <c r="Z116" i="4"/>
  <c r="Y116" i="4"/>
  <c r="X116" i="4"/>
  <c r="W116" i="4"/>
  <c r="U116" i="4"/>
  <c r="T116" i="4"/>
  <c r="S116" i="4"/>
  <c r="R116" i="4"/>
  <c r="P116" i="4"/>
  <c r="O116" i="4"/>
  <c r="N116" i="4"/>
  <c r="M116" i="4"/>
  <c r="K116" i="4"/>
  <c r="J116" i="4"/>
  <c r="I116" i="4"/>
  <c r="H116" i="4"/>
  <c r="AE115" i="4"/>
  <c r="AD115" i="4"/>
  <c r="AC115" i="4"/>
  <c r="AB115" i="4"/>
  <c r="Z115" i="4"/>
  <c r="Y115" i="4"/>
  <c r="X115" i="4"/>
  <c r="W115" i="4"/>
  <c r="U115" i="4"/>
  <c r="T115" i="4"/>
  <c r="S115" i="4"/>
  <c r="R115" i="4"/>
  <c r="P115" i="4"/>
  <c r="O115" i="4"/>
  <c r="N115" i="4"/>
  <c r="M115" i="4"/>
  <c r="K115" i="4"/>
  <c r="J115" i="4"/>
  <c r="I115" i="4"/>
  <c r="H115" i="4"/>
  <c r="AE114" i="4"/>
  <c r="AD114" i="4"/>
  <c r="AC114" i="4"/>
  <c r="AB114" i="4"/>
  <c r="Z114" i="4"/>
  <c r="Y114" i="4"/>
  <c r="X114" i="4"/>
  <c r="W114" i="4"/>
  <c r="U114" i="4"/>
  <c r="T114" i="4"/>
  <c r="S114" i="4"/>
  <c r="R114" i="4"/>
  <c r="P114" i="4"/>
  <c r="O114" i="4"/>
  <c r="N114" i="4"/>
  <c r="M114" i="4"/>
  <c r="K114" i="4"/>
  <c r="J114" i="4"/>
  <c r="I114" i="4"/>
  <c r="H114" i="4"/>
  <c r="AE113" i="4"/>
  <c r="AD113" i="4"/>
  <c r="AC113" i="4"/>
  <c r="AB113" i="4"/>
  <c r="Z113" i="4"/>
  <c r="Y113" i="4"/>
  <c r="X113" i="4"/>
  <c r="W113" i="4"/>
  <c r="U113" i="4"/>
  <c r="T113" i="4"/>
  <c r="S113" i="4"/>
  <c r="R113" i="4"/>
  <c r="P113" i="4"/>
  <c r="O113" i="4"/>
  <c r="N113" i="4"/>
  <c r="M113" i="4"/>
  <c r="K113" i="4"/>
  <c r="J113" i="4"/>
  <c r="I113" i="4"/>
  <c r="H113" i="4"/>
  <c r="AF88" i="4"/>
  <c r="AF89" i="4" s="1"/>
  <c r="AA88" i="4"/>
  <c r="AA89" i="4" s="1"/>
  <c r="V88" i="4"/>
  <c r="V89" i="4" s="1"/>
  <c r="Q88" i="4"/>
  <c r="Q89" i="4" s="1"/>
  <c r="L88" i="4"/>
  <c r="L89" i="4" s="1"/>
  <c r="G88" i="4"/>
  <c r="G89" i="4" s="1"/>
  <c r="AE86" i="4"/>
  <c r="AD86" i="4"/>
  <c r="AC86" i="4"/>
  <c r="AB86" i="4"/>
  <c r="Z86" i="4"/>
  <c r="Y86" i="4"/>
  <c r="X86" i="4"/>
  <c r="W86" i="4"/>
  <c r="U86" i="4"/>
  <c r="T86" i="4"/>
  <c r="S86" i="4"/>
  <c r="R86" i="4"/>
  <c r="P86" i="4"/>
  <c r="O86" i="4"/>
  <c r="N86" i="4"/>
  <c r="M86" i="4"/>
  <c r="K86" i="4"/>
  <c r="J86" i="4"/>
  <c r="I86" i="4"/>
  <c r="H86" i="4"/>
  <c r="B86" i="4"/>
  <c r="AE85" i="4"/>
  <c r="AD85" i="4"/>
  <c r="AC85" i="4"/>
  <c r="AB85" i="4"/>
  <c r="Z85" i="4"/>
  <c r="Y85" i="4"/>
  <c r="X85" i="4"/>
  <c r="W85" i="4"/>
  <c r="U85" i="4"/>
  <c r="T85" i="4"/>
  <c r="S85" i="4"/>
  <c r="R85" i="4"/>
  <c r="P85" i="4"/>
  <c r="O85" i="4"/>
  <c r="N85" i="4"/>
  <c r="M85" i="4"/>
  <c r="K85" i="4"/>
  <c r="J85" i="4"/>
  <c r="I85" i="4"/>
  <c r="H85" i="4"/>
  <c r="B85" i="4"/>
  <c r="AE84" i="4"/>
  <c r="AD84" i="4"/>
  <c r="AC84" i="4"/>
  <c r="AB84" i="4"/>
  <c r="Z84" i="4"/>
  <c r="Y84" i="4"/>
  <c r="X84" i="4"/>
  <c r="W84" i="4"/>
  <c r="U84" i="4"/>
  <c r="T84" i="4"/>
  <c r="S84" i="4"/>
  <c r="R84" i="4"/>
  <c r="P84" i="4"/>
  <c r="O84" i="4"/>
  <c r="N84" i="4"/>
  <c r="M84" i="4"/>
  <c r="K84" i="4"/>
  <c r="J84" i="4"/>
  <c r="I84" i="4"/>
  <c r="H84" i="4"/>
  <c r="B84" i="4"/>
  <c r="AE83" i="4"/>
  <c r="AD83" i="4"/>
  <c r="AC83" i="4"/>
  <c r="AB83" i="4"/>
  <c r="Z83" i="4"/>
  <c r="Y83" i="4"/>
  <c r="X83" i="4"/>
  <c r="W83" i="4"/>
  <c r="U83" i="4"/>
  <c r="T83" i="4"/>
  <c r="S83" i="4"/>
  <c r="R83" i="4"/>
  <c r="P83" i="4"/>
  <c r="O83" i="4"/>
  <c r="N83" i="4"/>
  <c r="M83" i="4"/>
  <c r="K83" i="4"/>
  <c r="J83" i="4"/>
  <c r="I83" i="4"/>
  <c r="H83" i="4"/>
  <c r="B83" i="4"/>
  <c r="AE82" i="4"/>
  <c r="AD82" i="4"/>
  <c r="AC82" i="4"/>
  <c r="AB82" i="4"/>
  <c r="Z82" i="4"/>
  <c r="Y82" i="4"/>
  <c r="X82" i="4"/>
  <c r="W82" i="4"/>
  <c r="U82" i="4"/>
  <c r="T82" i="4"/>
  <c r="S82" i="4"/>
  <c r="R82" i="4"/>
  <c r="P82" i="4"/>
  <c r="O82" i="4"/>
  <c r="N82" i="4"/>
  <c r="M82" i="4"/>
  <c r="K82" i="4"/>
  <c r="J82" i="4"/>
  <c r="I82" i="4"/>
  <c r="H82" i="4"/>
  <c r="B82" i="4"/>
  <c r="AE81" i="4"/>
  <c r="AD81" i="4"/>
  <c r="AC81" i="4"/>
  <c r="AB81" i="4"/>
  <c r="Z81" i="4"/>
  <c r="Y81" i="4"/>
  <c r="X81" i="4"/>
  <c r="W81" i="4"/>
  <c r="U81" i="4"/>
  <c r="T81" i="4"/>
  <c r="S81" i="4"/>
  <c r="R81" i="4"/>
  <c r="P81" i="4"/>
  <c r="O81" i="4"/>
  <c r="N81" i="4"/>
  <c r="M81" i="4"/>
  <c r="K81" i="4"/>
  <c r="J81" i="4"/>
  <c r="I81" i="4"/>
  <c r="H81" i="4"/>
  <c r="B81" i="4"/>
  <c r="AF56" i="4"/>
  <c r="AF57" i="4" s="1"/>
  <c r="AA56" i="4"/>
  <c r="AA57" i="4" s="1"/>
  <c r="V56" i="4"/>
  <c r="V57" i="4" s="1"/>
  <c r="Q56" i="4"/>
  <c r="Q57" i="4" s="1"/>
  <c r="L56" i="4"/>
  <c r="L57" i="4" s="1"/>
  <c r="G56" i="4"/>
  <c r="G57" i="4" s="1"/>
  <c r="B56" i="4"/>
  <c r="B57" i="4" s="1"/>
  <c r="AE54" i="4"/>
  <c r="AD54" i="4"/>
  <c r="AC54" i="4"/>
  <c r="AB54" i="4"/>
  <c r="Z54" i="4"/>
  <c r="Y54" i="4"/>
  <c r="X54" i="4"/>
  <c r="W54" i="4"/>
  <c r="U54" i="4"/>
  <c r="T54" i="4"/>
  <c r="S54" i="4"/>
  <c r="R54" i="4"/>
  <c r="P54" i="4"/>
  <c r="O54" i="4"/>
  <c r="N54" i="4"/>
  <c r="M54" i="4"/>
  <c r="K54" i="4"/>
  <c r="J54" i="4"/>
  <c r="I54" i="4"/>
  <c r="H54" i="4"/>
  <c r="F54" i="4"/>
  <c r="E54" i="4"/>
  <c r="C54" i="4"/>
  <c r="AE53" i="4"/>
  <c r="AD53" i="4"/>
  <c r="AC53" i="4"/>
  <c r="AB53" i="4"/>
  <c r="Z53" i="4"/>
  <c r="Y53" i="4"/>
  <c r="X53" i="4"/>
  <c r="W53" i="4"/>
  <c r="U53" i="4"/>
  <c r="T53" i="4"/>
  <c r="S53" i="4"/>
  <c r="R53" i="4"/>
  <c r="P53" i="4"/>
  <c r="O53" i="4"/>
  <c r="N53" i="4"/>
  <c r="M53" i="4"/>
  <c r="K53" i="4"/>
  <c r="J53" i="4"/>
  <c r="I53" i="4"/>
  <c r="H53" i="4"/>
  <c r="F53" i="4"/>
  <c r="E53" i="4"/>
  <c r="C53" i="4"/>
  <c r="AE52" i="4"/>
  <c r="AD52" i="4"/>
  <c r="AC52" i="4"/>
  <c r="AB52" i="4"/>
  <c r="Z52" i="4"/>
  <c r="Y52" i="4"/>
  <c r="X52" i="4"/>
  <c r="W52" i="4"/>
  <c r="U52" i="4"/>
  <c r="T52" i="4"/>
  <c r="S52" i="4"/>
  <c r="R52" i="4"/>
  <c r="P52" i="4"/>
  <c r="O52" i="4"/>
  <c r="N52" i="4"/>
  <c r="M52" i="4"/>
  <c r="K52" i="4"/>
  <c r="J52" i="4"/>
  <c r="I52" i="4"/>
  <c r="H52" i="4"/>
  <c r="F52" i="4"/>
  <c r="E52" i="4"/>
  <c r="C52" i="4"/>
  <c r="AE51" i="4"/>
  <c r="AD51" i="4"/>
  <c r="AC51" i="4"/>
  <c r="AB51" i="4"/>
  <c r="Z51" i="4"/>
  <c r="Y51" i="4"/>
  <c r="X51" i="4"/>
  <c r="W51" i="4"/>
  <c r="U51" i="4"/>
  <c r="T51" i="4"/>
  <c r="S51" i="4"/>
  <c r="R51" i="4"/>
  <c r="P51" i="4"/>
  <c r="O51" i="4"/>
  <c r="N51" i="4"/>
  <c r="M51" i="4"/>
  <c r="K51" i="4"/>
  <c r="J51" i="4"/>
  <c r="I51" i="4"/>
  <c r="H51" i="4"/>
  <c r="F51" i="4"/>
  <c r="E51" i="4"/>
  <c r="C51" i="4"/>
  <c r="AE50" i="4"/>
  <c r="AD50" i="4"/>
  <c r="AC50" i="4"/>
  <c r="AB50" i="4"/>
  <c r="Z50" i="4"/>
  <c r="Y50" i="4"/>
  <c r="X50" i="4"/>
  <c r="W50" i="4"/>
  <c r="U50" i="4"/>
  <c r="T50" i="4"/>
  <c r="S50" i="4"/>
  <c r="R50" i="4"/>
  <c r="P50" i="4"/>
  <c r="O50" i="4"/>
  <c r="N50" i="4"/>
  <c r="M50" i="4"/>
  <c r="K50" i="4"/>
  <c r="J50" i="4"/>
  <c r="I50" i="4"/>
  <c r="H50" i="4"/>
  <c r="F50" i="4"/>
  <c r="E50" i="4"/>
  <c r="C50" i="4"/>
  <c r="AE49" i="4"/>
  <c r="AD49" i="4"/>
  <c r="AC49" i="4"/>
  <c r="AB49" i="4"/>
  <c r="Z49" i="4"/>
  <c r="Y49" i="4"/>
  <c r="X49" i="4"/>
  <c r="W49" i="4"/>
  <c r="U49" i="4"/>
  <c r="T49" i="4"/>
  <c r="S49" i="4"/>
  <c r="R49" i="4"/>
  <c r="P49" i="4"/>
  <c r="O49" i="4"/>
  <c r="N49" i="4"/>
  <c r="M49" i="4"/>
  <c r="K49" i="4"/>
  <c r="J49" i="4"/>
  <c r="I49" i="4"/>
  <c r="H49" i="4"/>
  <c r="F49" i="4"/>
  <c r="E49" i="4"/>
  <c r="C49" i="4"/>
  <c r="B24" i="4"/>
  <c r="B25" i="4" s="1"/>
  <c r="AF22" i="4"/>
  <c r="AE22" i="4"/>
  <c r="AA22" i="4"/>
  <c r="V22" i="4"/>
  <c r="Q22" i="4"/>
  <c r="L22" i="4"/>
  <c r="G22" i="4"/>
  <c r="F22" i="4"/>
  <c r="E22" i="4"/>
  <c r="AF21" i="4"/>
  <c r="AA21" i="4"/>
  <c r="V21" i="4"/>
  <c r="Q21" i="4"/>
  <c r="L21" i="4"/>
  <c r="G21" i="4"/>
  <c r="C21" i="4"/>
  <c r="AF20" i="4"/>
  <c r="AE20" i="4"/>
  <c r="AA20" i="4"/>
  <c r="V20" i="4"/>
  <c r="Q20" i="4"/>
  <c r="L20" i="4"/>
  <c r="G20" i="4"/>
  <c r="E20" i="4" s="1"/>
  <c r="F20" i="4"/>
  <c r="C20" i="4"/>
  <c r="AF19" i="4"/>
  <c r="AB19" i="4" s="1"/>
  <c r="AA19" i="4"/>
  <c r="V19" i="4"/>
  <c r="Y19" i="4" s="1"/>
  <c r="Q19" i="4"/>
  <c r="L19" i="4"/>
  <c r="G19" i="4"/>
  <c r="F19" i="4" s="1"/>
  <c r="AF18" i="4"/>
  <c r="AA18" i="4"/>
  <c r="V18" i="4"/>
  <c r="Q18" i="4"/>
  <c r="L18" i="4"/>
  <c r="G18" i="4"/>
  <c r="F18" i="4" s="1"/>
  <c r="AF17" i="4"/>
  <c r="AA17" i="4"/>
  <c r="V17" i="4"/>
  <c r="X17" i="4" s="1"/>
  <c r="Q17" i="4"/>
  <c r="L17" i="4"/>
  <c r="G17" i="4"/>
  <c r="F17" i="4" s="1"/>
  <c r="B9" i="4"/>
  <c r="B8" i="4"/>
  <c r="B7" i="4"/>
  <c r="B6" i="4"/>
  <c r="AB60" i="1"/>
  <c r="AB11" i="2" s="1"/>
  <c r="AA60" i="1"/>
  <c r="AA11" i="2" s="1"/>
  <c r="Y60" i="1"/>
  <c r="Y11" i="2" s="1"/>
  <c r="T60" i="1"/>
  <c r="T11" i="2" s="1"/>
  <c r="S60" i="1"/>
  <c r="S11" i="2" s="1"/>
  <c r="R60" i="1"/>
  <c r="R11" i="2" s="1"/>
  <c r="Q60" i="1"/>
  <c r="Q11" i="2" s="1"/>
  <c r="L60" i="1"/>
  <c r="L11" i="2" s="1"/>
  <c r="J60" i="1"/>
  <c r="J11" i="2" s="1"/>
  <c r="H60" i="1"/>
  <c r="H11" i="2" s="1"/>
  <c r="F60" i="1"/>
  <c r="F11" i="2" s="1"/>
  <c r="D11" i="2"/>
  <c r="AB52" i="1"/>
  <c r="AB22" i="2" s="1"/>
  <c r="AB10" i="25" s="1"/>
  <c r="Z52" i="1"/>
  <c r="Z22" i="2" s="1"/>
  <c r="Z10" i="25" s="1"/>
  <c r="Y52" i="1"/>
  <c r="Y22" i="2" s="1"/>
  <c r="Y10" i="25" s="1"/>
  <c r="X52" i="1"/>
  <c r="X22" i="2" s="1"/>
  <c r="X10" i="25" s="1"/>
  <c r="S52" i="1"/>
  <c r="S22" i="2" s="1"/>
  <c r="S10" i="25" s="1"/>
  <c r="F52" i="1"/>
  <c r="F22" i="2" s="1"/>
  <c r="F10" i="25" s="1"/>
  <c r="E52" i="1"/>
  <c r="E22" i="2" s="1"/>
  <c r="E10" i="25" s="1"/>
  <c r="D52" i="1"/>
  <c r="D22" i="2" s="1"/>
  <c r="D10" i="25" s="1"/>
  <c r="C52" i="1"/>
  <c r="C22" i="2" s="1"/>
  <c r="C10" i="25" s="1"/>
  <c r="AB51" i="1"/>
  <c r="AB9" i="25" s="1"/>
  <c r="AA51" i="1"/>
  <c r="AA9" i="25" s="1"/>
  <c r="Z51" i="1"/>
  <c r="Z9" i="25" s="1"/>
  <c r="Y51" i="1"/>
  <c r="Y9" i="25" s="1"/>
  <c r="X51" i="1"/>
  <c r="X9" i="25" s="1"/>
  <c r="T51" i="1"/>
  <c r="T9" i="25" s="1"/>
  <c r="S51" i="1"/>
  <c r="S9" i="25" s="1"/>
  <c r="R51" i="1"/>
  <c r="R9" i="25" s="1"/>
  <c r="O51" i="1"/>
  <c r="O9" i="25" s="1"/>
  <c r="N51" i="1"/>
  <c r="N9" i="25" s="1"/>
  <c r="M51" i="1"/>
  <c r="M9" i="25" s="1"/>
  <c r="F51" i="1"/>
  <c r="F9" i="25" s="1"/>
  <c r="E51" i="1"/>
  <c r="E9" i="25" s="1"/>
  <c r="D51" i="1"/>
  <c r="D9" i="25" s="1"/>
  <c r="C51" i="1"/>
  <c r="C9" i="25" s="1"/>
  <c r="AB47" i="1"/>
  <c r="AB17" i="23" s="1"/>
  <c r="AA47" i="1"/>
  <c r="AA17" i="23" s="1"/>
  <c r="Z47" i="1"/>
  <c r="Z17" i="23" s="1"/>
  <c r="Y47" i="1"/>
  <c r="Y17" i="23" s="1"/>
  <c r="X47" i="1"/>
  <c r="X17" i="23" s="1"/>
  <c r="T47" i="1"/>
  <c r="T17" i="23" s="1"/>
  <c r="S47" i="1"/>
  <c r="S17" i="23" s="1"/>
  <c r="R47" i="1"/>
  <c r="R17" i="23" s="1"/>
  <c r="Q47" i="1"/>
  <c r="Q17" i="23" s="1"/>
  <c r="P47" i="1"/>
  <c r="P17" i="23" s="1"/>
  <c r="O47" i="1"/>
  <c r="O17" i="23" s="1"/>
  <c r="N47" i="1"/>
  <c r="N17" i="23" s="1"/>
  <c r="M47" i="1"/>
  <c r="M17" i="23" s="1"/>
  <c r="L47" i="1"/>
  <c r="L17" i="23" s="1"/>
  <c r="K47" i="1"/>
  <c r="K17" i="23" s="1"/>
  <c r="J47" i="1"/>
  <c r="J17" i="23" s="1"/>
  <c r="I47" i="1"/>
  <c r="I17" i="23" s="1"/>
  <c r="H47" i="1"/>
  <c r="H17" i="23" s="1"/>
  <c r="G47" i="1"/>
  <c r="G17" i="23" s="1"/>
  <c r="F47" i="1"/>
  <c r="F17" i="23" s="1"/>
  <c r="E47" i="1"/>
  <c r="E17" i="23" s="1"/>
  <c r="D47" i="1"/>
  <c r="D17" i="23" s="1"/>
  <c r="C47" i="1"/>
  <c r="C17" i="23" s="1"/>
  <c r="AB46" i="1"/>
  <c r="AB16" i="23" s="1"/>
  <c r="AA46" i="1"/>
  <c r="AA16" i="23" s="1"/>
  <c r="Z46" i="1"/>
  <c r="Z16" i="23" s="1"/>
  <c r="Y46" i="1"/>
  <c r="Y16" i="23" s="1"/>
  <c r="X46" i="1"/>
  <c r="X16" i="23" s="1"/>
  <c r="T46" i="1"/>
  <c r="T16" i="23" s="1"/>
  <c r="S46" i="1"/>
  <c r="S16" i="23" s="1"/>
  <c r="R46" i="1"/>
  <c r="R16" i="23" s="1"/>
  <c r="Q46" i="1"/>
  <c r="Q16" i="23" s="1"/>
  <c r="P46" i="1"/>
  <c r="P16" i="23" s="1"/>
  <c r="O46" i="1"/>
  <c r="O16" i="23" s="1"/>
  <c r="N46" i="1"/>
  <c r="N16" i="23" s="1"/>
  <c r="M46" i="1"/>
  <c r="M16" i="23" s="1"/>
  <c r="L46" i="1"/>
  <c r="L16" i="23" s="1"/>
  <c r="K46" i="1"/>
  <c r="K16" i="23" s="1"/>
  <c r="J46" i="1"/>
  <c r="J16" i="23" s="1"/>
  <c r="I46" i="1"/>
  <c r="I16" i="23" s="1"/>
  <c r="H46" i="1"/>
  <c r="H16" i="23" s="1"/>
  <c r="G46" i="1"/>
  <c r="G16" i="23" s="1"/>
  <c r="F46" i="1"/>
  <c r="F16" i="23" s="1"/>
  <c r="E46" i="1"/>
  <c r="E16" i="23" s="1"/>
  <c r="D46" i="1"/>
  <c r="D16" i="23" s="1"/>
  <c r="C46" i="1"/>
  <c r="C16" i="23" s="1"/>
  <c r="AB45" i="1"/>
  <c r="AB15" i="23" s="1"/>
  <c r="AA45" i="1"/>
  <c r="AA15" i="23" s="1"/>
  <c r="Z45" i="1"/>
  <c r="Z15" i="23" s="1"/>
  <c r="Y45" i="1"/>
  <c r="Y15" i="23" s="1"/>
  <c r="X45" i="1"/>
  <c r="X15" i="23" s="1"/>
  <c r="T45" i="1"/>
  <c r="T15" i="23" s="1"/>
  <c r="S45" i="1"/>
  <c r="S15" i="23" s="1"/>
  <c r="R45" i="1"/>
  <c r="R15" i="23" s="1"/>
  <c r="Q45" i="1"/>
  <c r="Q15" i="23" s="1"/>
  <c r="P45" i="1"/>
  <c r="P15" i="23" s="1"/>
  <c r="O45" i="1"/>
  <c r="O15" i="23" s="1"/>
  <c r="N45" i="1"/>
  <c r="N15" i="23" s="1"/>
  <c r="M45" i="1"/>
  <c r="M15" i="23" s="1"/>
  <c r="K45" i="1"/>
  <c r="K15" i="23" s="1"/>
  <c r="J45" i="1"/>
  <c r="J15" i="23" s="1"/>
  <c r="I45" i="1"/>
  <c r="I15" i="23" s="1"/>
  <c r="H45" i="1"/>
  <c r="H15" i="23" s="1"/>
  <c r="G45" i="1"/>
  <c r="G15" i="23" s="1"/>
  <c r="F45" i="1"/>
  <c r="F15" i="23" s="1"/>
  <c r="E45" i="1"/>
  <c r="E15" i="23" s="1"/>
  <c r="D45" i="1"/>
  <c r="D15" i="23" s="1"/>
  <c r="C45" i="1"/>
  <c r="C15" i="23" s="1"/>
  <c r="AB44" i="1"/>
  <c r="AB14" i="23" s="1"/>
  <c r="AA44" i="1"/>
  <c r="AA14" i="23" s="1"/>
  <c r="Z44" i="1"/>
  <c r="Z14" i="23" s="1"/>
  <c r="Y44" i="1"/>
  <c r="Y14" i="23" s="1"/>
  <c r="X44" i="1"/>
  <c r="X14" i="23" s="1"/>
  <c r="T44" i="1"/>
  <c r="T14" i="23" s="1"/>
  <c r="S44" i="1"/>
  <c r="S14" i="23" s="1"/>
  <c r="R44" i="1"/>
  <c r="R14" i="23" s="1"/>
  <c r="Q44" i="1"/>
  <c r="Q14" i="23" s="1"/>
  <c r="P44" i="1"/>
  <c r="P14" i="23" s="1"/>
  <c r="O44" i="1"/>
  <c r="O14" i="23" s="1"/>
  <c r="N44" i="1"/>
  <c r="N14" i="23" s="1"/>
  <c r="M44" i="1"/>
  <c r="M14" i="23" s="1"/>
  <c r="G44" i="1"/>
  <c r="G14" i="23" s="1"/>
  <c r="AB43" i="1"/>
  <c r="AB13" i="23" s="1"/>
  <c r="AA43" i="1"/>
  <c r="AA13" i="23" s="1"/>
  <c r="Z43" i="1"/>
  <c r="Z13" i="23" s="1"/>
  <c r="Y43" i="1"/>
  <c r="Y13" i="23" s="1"/>
  <c r="X43" i="1"/>
  <c r="X13" i="23" s="1"/>
  <c r="T43" i="1"/>
  <c r="T13" i="23" s="1"/>
  <c r="S43" i="1"/>
  <c r="S13" i="23" s="1"/>
  <c r="R43" i="1"/>
  <c r="R13" i="23" s="1"/>
  <c r="Q43" i="1"/>
  <c r="Q13" i="23" s="1"/>
  <c r="P43" i="1"/>
  <c r="P13" i="23" s="1"/>
  <c r="O43" i="1"/>
  <c r="O13" i="23" s="1"/>
  <c r="N43" i="1"/>
  <c r="N13" i="23" s="1"/>
  <c r="M43" i="1"/>
  <c r="M13" i="23" s="1"/>
  <c r="L43" i="1"/>
  <c r="L13" i="23" s="1"/>
  <c r="I43" i="1"/>
  <c r="I13" i="23" s="1"/>
  <c r="H43" i="1"/>
  <c r="H13" i="23" s="1"/>
  <c r="G43" i="1"/>
  <c r="G13" i="23" s="1"/>
  <c r="F43" i="1"/>
  <c r="F13" i="23" s="1"/>
  <c r="E43" i="1"/>
  <c r="E13" i="23" s="1"/>
  <c r="D43" i="1"/>
  <c r="D13" i="23" s="1"/>
  <c r="C43" i="1"/>
  <c r="C13" i="23" s="1"/>
  <c r="AB42" i="1"/>
  <c r="AB12" i="23" s="1"/>
  <c r="AA42" i="1"/>
  <c r="AA12" i="23" s="1"/>
  <c r="Z42" i="1"/>
  <c r="Z12" i="23" s="1"/>
  <c r="Y42" i="1"/>
  <c r="Y12" i="23" s="1"/>
  <c r="X42" i="1"/>
  <c r="X12" i="23" s="1"/>
  <c r="T42" i="1"/>
  <c r="T12" i="23" s="1"/>
  <c r="S42" i="1"/>
  <c r="S12" i="23" s="1"/>
  <c r="R42" i="1"/>
  <c r="R12" i="23" s="1"/>
  <c r="Q42" i="1"/>
  <c r="Q12" i="23" s="1"/>
  <c r="P42" i="1"/>
  <c r="P12" i="23" s="1"/>
  <c r="O42" i="1"/>
  <c r="O12" i="23" s="1"/>
  <c r="N42" i="1"/>
  <c r="N12" i="23" s="1"/>
  <c r="M42" i="1"/>
  <c r="M12" i="23" s="1"/>
  <c r="L42" i="1"/>
  <c r="L12" i="23" s="1"/>
  <c r="K42" i="1"/>
  <c r="K12" i="23" s="1"/>
  <c r="J42" i="1"/>
  <c r="J12" i="23" s="1"/>
  <c r="I42" i="1"/>
  <c r="I12" i="23" s="1"/>
  <c r="H42" i="1"/>
  <c r="H12" i="23" s="1"/>
  <c r="G42" i="1"/>
  <c r="G12" i="23" s="1"/>
  <c r="F42" i="1"/>
  <c r="F12" i="23" s="1"/>
  <c r="E42" i="1"/>
  <c r="E12" i="23" s="1"/>
  <c r="D42" i="1"/>
  <c r="D12" i="23" s="1"/>
  <c r="C42" i="1"/>
  <c r="C12" i="23" s="1"/>
  <c r="AB41" i="1"/>
  <c r="AB11" i="23" s="1"/>
  <c r="AA41" i="1"/>
  <c r="AA11" i="23" s="1"/>
  <c r="Z41" i="1"/>
  <c r="Z11" i="23" s="1"/>
  <c r="Y41" i="1"/>
  <c r="Y11" i="23" s="1"/>
  <c r="X41" i="1"/>
  <c r="X11" i="23" s="1"/>
  <c r="T41" i="1"/>
  <c r="T11" i="23" s="1"/>
  <c r="S41" i="1"/>
  <c r="S11" i="23" s="1"/>
  <c r="R41" i="1"/>
  <c r="R11" i="23" s="1"/>
  <c r="Q41" i="1"/>
  <c r="Q11" i="23" s="1"/>
  <c r="P41" i="1"/>
  <c r="P11" i="23" s="1"/>
  <c r="O41" i="1"/>
  <c r="O11" i="23" s="1"/>
  <c r="N41" i="1"/>
  <c r="N11" i="23" s="1"/>
  <c r="M41" i="1"/>
  <c r="M11" i="23" s="1"/>
  <c r="L41" i="1"/>
  <c r="L11" i="23" s="1"/>
  <c r="K41" i="1"/>
  <c r="K11" i="23" s="1"/>
  <c r="J41" i="1"/>
  <c r="J11" i="23" s="1"/>
  <c r="I41" i="1"/>
  <c r="I11" i="23" s="1"/>
  <c r="H41" i="1"/>
  <c r="H11" i="23" s="1"/>
  <c r="G41" i="1"/>
  <c r="G11" i="23" s="1"/>
  <c r="F41" i="1"/>
  <c r="F11" i="23" s="1"/>
  <c r="E41" i="1"/>
  <c r="E11" i="23" s="1"/>
  <c r="D41" i="1"/>
  <c r="D11" i="23" s="1"/>
  <c r="C41" i="1"/>
  <c r="C11" i="23" s="1"/>
  <c r="AB40" i="1"/>
  <c r="AB10" i="23" s="1"/>
  <c r="AA40" i="1"/>
  <c r="AA10" i="23" s="1"/>
  <c r="Z40" i="1"/>
  <c r="Z10" i="23" s="1"/>
  <c r="Y40" i="1"/>
  <c r="Y10" i="23" s="1"/>
  <c r="X40" i="1"/>
  <c r="X10" i="23" s="1"/>
  <c r="T40" i="1"/>
  <c r="T10" i="23" s="1"/>
  <c r="S40" i="1"/>
  <c r="S10" i="23" s="1"/>
  <c r="R40" i="1"/>
  <c r="R10" i="23" s="1"/>
  <c r="Q40" i="1"/>
  <c r="Q10" i="23" s="1"/>
  <c r="P40" i="1"/>
  <c r="P10" i="23" s="1"/>
  <c r="O40" i="1"/>
  <c r="O10" i="23" s="1"/>
  <c r="N40" i="1"/>
  <c r="N10" i="23" s="1"/>
  <c r="M40" i="1"/>
  <c r="M10" i="23" s="1"/>
  <c r="L40" i="1"/>
  <c r="L10" i="23" s="1"/>
  <c r="K40" i="1"/>
  <c r="K10" i="23" s="1"/>
  <c r="J40" i="1"/>
  <c r="J10" i="23" s="1"/>
  <c r="I40" i="1"/>
  <c r="I10" i="23" s="1"/>
  <c r="H40" i="1"/>
  <c r="H10" i="23" s="1"/>
  <c r="G40" i="1"/>
  <c r="G10" i="23" s="1"/>
  <c r="F40" i="1"/>
  <c r="F10" i="23" s="1"/>
  <c r="E40" i="1"/>
  <c r="E10" i="23" s="1"/>
  <c r="D40" i="1"/>
  <c r="D10" i="23" s="1"/>
  <c r="C40" i="1"/>
  <c r="C10" i="23" s="1"/>
  <c r="AB39" i="1"/>
  <c r="AB9" i="23" s="1"/>
  <c r="AA39" i="1"/>
  <c r="AA9" i="23" s="1"/>
  <c r="Z39" i="1"/>
  <c r="Z9" i="23" s="1"/>
  <c r="Y39" i="1"/>
  <c r="Y9" i="23" s="1"/>
  <c r="X39" i="1"/>
  <c r="X9" i="23" s="1"/>
  <c r="T39" i="1"/>
  <c r="T9" i="23" s="1"/>
  <c r="S39" i="1"/>
  <c r="S9" i="23" s="1"/>
  <c r="R39" i="1"/>
  <c r="R9" i="23" s="1"/>
  <c r="Q39" i="1"/>
  <c r="Q9" i="23" s="1"/>
  <c r="P39" i="1"/>
  <c r="P9" i="23" s="1"/>
  <c r="O39" i="1"/>
  <c r="O9" i="23" s="1"/>
  <c r="N39" i="1"/>
  <c r="N9" i="23" s="1"/>
  <c r="M39" i="1"/>
  <c r="M9" i="23" s="1"/>
  <c r="L39" i="1"/>
  <c r="L9" i="23" s="1"/>
  <c r="K39" i="1"/>
  <c r="K9" i="23" s="1"/>
  <c r="J39" i="1"/>
  <c r="J9" i="23" s="1"/>
  <c r="I39" i="1"/>
  <c r="I9" i="23" s="1"/>
  <c r="H39" i="1"/>
  <c r="H9" i="23" s="1"/>
  <c r="G39" i="1"/>
  <c r="G9" i="23" s="1"/>
  <c r="F39" i="1"/>
  <c r="F9" i="23" s="1"/>
  <c r="E39" i="1"/>
  <c r="E9" i="23" s="1"/>
  <c r="D39" i="1"/>
  <c r="D9" i="23" s="1"/>
  <c r="C9" i="23"/>
  <c r="AA34" i="1"/>
  <c r="Y34" i="1"/>
  <c r="T34" i="1"/>
  <c r="S34" i="1"/>
  <c r="R34" i="1"/>
  <c r="Q34" i="1"/>
  <c r="L34" i="1"/>
  <c r="J34" i="1"/>
  <c r="H34" i="1"/>
  <c r="F34" i="1"/>
  <c r="D34" i="1"/>
  <c r="AA33" i="1"/>
  <c r="AA36" i="3" s="1"/>
  <c r="Y33" i="1"/>
  <c r="Y36" i="3" s="1"/>
  <c r="T33" i="1"/>
  <c r="T36" i="3" s="1"/>
  <c r="S33" i="1"/>
  <c r="S36" i="3" s="1"/>
  <c r="R33" i="1"/>
  <c r="R36" i="3" s="1"/>
  <c r="Q33" i="1"/>
  <c r="Q36" i="3" s="1"/>
  <c r="L33" i="1"/>
  <c r="L36" i="3" s="1"/>
  <c r="J33" i="1"/>
  <c r="J36" i="3" s="1"/>
  <c r="H33" i="1"/>
  <c r="H36" i="3" s="1"/>
  <c r="F33" i="1"/>
  <c r="F36" i="3" s="1"/>
  <c r="D33" i="1"/>
  <c r="D36" i="3" s="1"/>
  <c r="AB28" i="1"/>
  <c r="AB20" i="3" s="1"/>
  <c r="AA28" i="1"/>
  <c r="AA20" i="3" s="1"/>
  <c r="Z28" i="1"/>
  <c r="Z20" i="3" s="1"/>
  <c r="Y28" i="1"/>
  <c r="Y20" i="3" s="1"/>
  <c r="X28" i="1"/>
  <c r="X20" i="3" s="1"/>
  <c r="T28" i="1"/>
  <c r="T20" i="3" s="1"/>
  <c r="S28" i="1"/>
  <c r="S20" i="3" s="1"/>
  <c r="R28" i="1"/>
  <c r="R20" i="3" s="1"/>
  <c r="Q28" i="1"/>
  <c r="Q20" i="3" s="1"/>
  <c r="P28" i="1"/>
  <c r="P20" i="3" s="1"/>
  <c r="O28" i="1"/>
  <c r="O20" i="3" s="1"/>
  <c r="N28" i="1"/>
  <c r="N20" i="3" s="1"/>
  <c r="M28" i="1"/>
  <c r="M20" i="3" s="1"/>
  <c r="L28" i="1"/>
  <c r="L20" i="3" s="1"/>
  <c r="K28" i="1"/>
  <c r="K20" i="3" s="1"/>
  <c r="J28" i="1"/>
  <c r="J20" i="3" s="1"/>
  <c r="I28" i="1"/>
  <c r="I20" i="3" s="1"/>
  <c r="H28" i="1"/>
  <c r="H20" i="3" s="1"/>
  <c r="G28" i="1"/>
  <c r="G20" i="3" s="1"/>
  <c r="F28" i="1"/>
  <c r="F20" i="3" s="1"/>
  <c r="E28" i="1"/>
  <c r="E20" i="3" s="1"/>
  <c r="D28" i="1"/>
  <c r="D20" i="3" s="1"/>
  <c r="C28" i="1"/>
  <c r="C20" i="3" s="1"/>
  <c r="AB27" i="1"/>
  <c r="AB19" i="3" s="1"/>
  <c r="AA27" i="1"/>
  <c r="AA19" i="3" s="1"/>
  <c r="Z27" i="1"/>
  <c r="Z19" i="3" s="1"/>
  <c r="Y27" i="1"/>
  <c r="Y19" i="3" s="1"/>
  <c r="X27" i="1"/>
  <c r="X19" i="3" s="1"/>
  <c r="T27" i="1"/>
  <c r="T19" i="3" s="1"/>
  <c r="S27" i="1"/>
  <c r="S19" i="3" s="1"/>
  <c r="R27" i="1"/>
  <c r="R19" i="3" s="1"/>
  <c r="Q27" i="1"/>
  <c r="Q19" i="3" s="1"/>
  <c r="P27" i="1"/>
  <c r="P19" i="3" s="1"/>
  <c r="O27" i="1"/>
  <c r="O19" i="3" s="1"/>
  <c r="N27" i="1"/>
  <c r="N19" i="3" s="1"/>
  <c r="M27" i="1"/>
  <c r="M19" i="3" s="1"/>
  <c r="L27" i="1"/>
  <c r="L19" i="3" s="1"/>
  <c r="K27" i="1"/>
  <c r="K19" i="3" s="1"/>
  <c r="J27" i="1"/>
  <c r="J19" i="3" s="1"/>
  <c r="I27" i="1"/>
  <c r="I19" i="3" s="1"/>
  <c r="H27" i="1"/>
  <c r="H19" i="3" s="1"/>
  <c r="G27" i="1"/>
  <c r="G19" i="3" s="1"/>
  <c r="F27" i="1"/>
  <c r="F19" i="3" s="1"/>
  <c r="E27" i="1"/>
  <c r="E19" i="3" s="1"/>
  <c r="D27" i="1"/>
  <c r="D19" i="3" s="1"/>
  <c r="C27" i="1"/>
  <c r="C19" i="3" s="1"/>
  <c r="AB26" i="1"/>
  <c r="AB18" i="3" s="1"/>
  <c r="AA26" i="1"/>
  <c r="AA18" i="3" s="1"/>
  <c r="Z26" i="1"/>
  <c r="Z18" i="3" s="1"/>
  <c r="Y26" i="1"/>
  <c r="Y18" i="3" s="1"/>
  <c r="X26" i="1"/>
  <c r="X18" i="3" s="1"/>
  <c r="T26" i="1"/>
  <c r="T18" i="3" s="1"/>
  <c r="S26" i="1"/>
  <c r="S18" i="3" s="1"/>
  <c r="R26" i="1"/>
  <c r="R18" i="3" s="1"/>
  <c r="Q26" i="1"/>
  <c r="Q18" i="3" s="1"/>
  <c r="P26" i="1"/>
  <c r="P18" i="3" s="1"/>
  <c r="O26" i="1"/>
  <c r="O18" i="3" s="1"/>
  <c r="N26" i="1"/>
  <c r="N18" i="3" s="1"/>
  <c r="M26" i="1"/>
  <c r="M18" i="3" s="1"/>
  <c r="L26" i="1"/>
  <c r="L18" i="3" s="1"/>
  <c r="K26" i="1"/>
  <c r="K18" i="3" s="1"/>
  <c r="J26" i="1"/>
  <c r="J18" i="3" s="1"/>
  <c r="I26" i="1"/>
  <c r="I18" i="3" s="1"/>
  <c r="H26" i="1"/>
  <c r="H18" i="3" s="1"/>
  <c r="G26" i="1"/>
  <c r="G18" i="3" s="1"/>
  <c r="F26" i="1"/>
  <c r="F18" i="3" s="1"/>
  <c r="E26" i="1"/>
  <c r="E18" i="3" s="1"/>
  <c r="D26" i="1"/>
  <c r="D18" i="3" s="1"/>
  <c r="C26" i="1"/>
  <c r="C18" i="3" s="1"/>
  <c r="AB25" i="1"/>
  <c r="AB17" i="3" s="1"/>
  <c r="AA25" i="1"/>
  <c r="AA17" i="3" s="1"/>
  <c r="Z25" i="1"/>
  <c r="Z17" i="3" s="1"/>
  <c r="Y25" i="1"/>
  <c r="Y17" i="3" s="1"/>
  <c r="X25" i="1"/>
  <c r="X17" i="3" s="1"/>
  <c r="T25" i="1"/>
  <c r="T17" i="3" s="1"/>
  <c r="S25" i="1"/>
  <c r="S17" i="3" s="1"/>
  <c r="R25" i="1"/>
  <c r="R17" i="3" s="1"/>
  <c r="Q25" i="1"/>
  <c r="Q17" i="3" s="1"/>
  <c r="P25" i="1"/>
  <c r="P17" i="3" s="1"/>
  <c r="O25" i="1"/>
  <c r="O17" i="3" s="1"/>
  <c r="N25" i="1"/>
  <c r="N17" i="3" s="1"/>
  <c r="M25" i="1"/>
  <c r="M17" i="3" s="1"/>
  <c r="L25" i="1"/>
  <c r="L17" i="3" s="1"/>
  <c r="K25" i="1"/>
  <c r="K17" i="3" s="1"/>
  <c r="J25" i="1"/>
  <c r="J17" i="3" s="1"/>
  <c r="I25" i="1"/>
  <c r="I17" i="3" s="1"/>
  <c r="H25" i="1"/>
  <c r="H17" i="3" s="1"/>
  <c r="G25" i="1"/>
  <c r="G17" i="3" s="1"/>
  <c r="F25" i="1"/>
  <c r="F17" i="3" s="1"/>
  <c r="E25" i="1"/>
  <c r="E17" i="3" s="1"/>
  <c r="D25" i="1"/>
  <c r="D17" i="3" s="1"/>
  <c r="C25" i="1"/>
  <c r="C17" i="3" s="1"/>
  <c r="AB24" i="1"/>
  <c r="AB16" i="3" s="1"/>
  <c r="AA24" i="1"/>
  <c r="AA16" i="3" s="1"/>
  <c r="Z24" i="1"/>
  <c r="Z16" i="3" s="1"/>
  <c r="Y24" i="1"/>
  <c r="Y16" i="3" s="1"/>
  <c r="X24" i="1"/>
  <c r="X16" i="3" s="1"/>
  <c r="T24" i="1"/>
  <c r="T16" i="3" s="1"/>
  <c r="S24" i="1"/>
  <c r="S16" i="3" s="1"/>
  <c r="R24" i="1"/>
  <c r="R16" i="3" s="1"/>
  <c r="Q24" i="1"/>
  <c r="Q16" i="3" s="1"/>
  <c r="P24" i="1"/>
  <c r="P16" i="3" s="1"/>
  <c r="O24" i="1"/>
  <c r="O16" i="3" s="1"/>
  <c r="N24" i="1"/>
  <c r="N16" i="3" s="1"/>
  <c r="M24" i="1"/>
  <c r="M16" i="3" s="1"/>
  <c r="L24" i="1"/>
  <c r="L16" i="3" s="1"/>
  <c r="K24" i="1"/>
  <c r="K16" i="3" s="1"/>
  <c r="J24" i="1"/>
  <c r="J16" i="3" s="1"/>
  <c r="I24" i="1"/>
  <c r="I16" i="3" s="1"/>
  <c r="H24" i="1"/>
  <c r="H16" i="3" s="1"/>
  <c r="G24" i="1"/>
  <c r="G16" i="3" s="1"/>
  <c r="F24" i="1"/>
  <c r="F16" i="3" s="1"/>
  <c r="E24" i="1"/>
  <c r="E16" i="3" s="1"/>
  <c r="D24" i="1"/>
  <c r="D16" i="3" s="1"/>
  <c r="C24" i="1"/>
  <c r="C16" i="3" s="1"/>
  <c r="AB23" i="1"/>
  <c r="AB15" i="3" s="1"/>
  <c r="AA23" i="1"/>
  <c r="AA15" i="3" s="1"/>
  <c r="Z23" i="1"/>
  <c r="Z15" i="3" s="1"/>
  <c r="Y23" i="1"/>
  <c r="Y15" i="3" s="1"/>
  <c r="X23" i="1"/>
  <c r="X15" i="3" s="1"/>
  <c r="T23" i="1"/>
  <c r="T15" i="3" s="1"/>
  <c r="S23" i="1"/>
  <c r="S15" i="3" s="1"/>
  <c r="R23" i="1"/>
  <c r="R15" i="3" s="1"/>
  <c r="Q23" i="1"/>
  <c r="Q15" i="3" s="1"/>
  <c r="P23" i="1"/>
  <c r="P15" i="3" s="1"/>
  <c r="O23" i="1"/>
  <c r="O15" i="3" s="1"/>
  <c r="N23" i="1"/>
  <c r="N15" i="3" s="1"/>
  <c r="M23" i="1"/>
  <c r="M15" i="3" s="1"/>
  <c r="L23" i="1"/>
  <c r="L15" i="3" s="1"/>
  <c r="K23" i="1"/>
  <c r="K15" i="3" s="1"/>
  <c r="J23" i="1"/>
  <c r="J15" i="3" s="1"/>
  <c r="I23" i="1"/>
  <c r="I15" i="3" s="1"/>
  <c r="H23" i="1"/>
  <c r="H15" i="3" s="1"/>
  <c r="G23" i="1"/>
  <c r="G15" i="3" s="1"/>
  <c r="F23" i="1"/>
  <c r="F15" i="3" s="1"/>
  <c r="E23" i="1"/>
  <c r="E15" i="3" s="1"/>
  <c r="D23" i="1"/>
  <c r="D15" i="3" s="1"/>
  <c r="C23" i="1"/>
  <c r="C15" i="3" s="1"/>
  <c r="AB22" i="1"/>
  <c r="AB14" i="3" s="1"/>
  <c r="AA22" i="1"/>
  <c r="AA14" i="3" s="1"/>
  <c r="Z22" i="1"/>
  <c r="Z14" i="3" s="1"/>
  <c r="Y22" i="1"/>
  <c r="Y14" i="3" s="1"/>
  <c r="X22" i="1"/>
  <c r="X14" i="3" s="1"/>
  <c r="T22" i="1"/>
  <c r="T14" i="3" s="1"/>
  <c r="S22" i="1"/>
  <c r="S14" i="3" s="1"/>
  <c r="R22" i="1"/>
  <c r="R14" i="3" s="1"/>
  <c r="Q22" i="1"/>
  <c r="Q14" i="3" s="1"/>
  <c r="P22" i="1"/>
  <c r="P14" i="3" s="1"/>
  <c r="O22" i="1"/>
  <c r="O14" i="3" s="1"/>
  <c r="N22" i="1"/>
  <c r="N14" i="3" s="1"/>
  <c r="M22" i="1"/>
  <c r="M14" i="3" s="1"/>
  <c r="L22" i="1"/>
  <c r="L14" i="3" s="1"/>
  <c r="K22" i="1"/>
  <c r="K14" i="3" s="1"/>
  <c r="J22" i="1"/>
  <c r="J14" i="3" s="1"/>
  <c r="I22" i="1"/>
  <c r="I14" i="3" s="1"/>
  <c r="H22" i="1"/>
  <c r="H14" i="3" s="1"/>
  <c r="G22" i="1"/>
  <c r="G14" i="3" s="1"/>
  <c r="F22" i="1"/>
  <c r="F14" i="3" s="1"/>
  <c r="E22" i="1"/>
  <c r="E14" i="3" s="1"/>
  <c r="D22" i="1"/>
  <c r="D14" i="3" s="1"/>
  <c r="C22" i="1"/>
  <c r="C14" i="3" s="1"/>
  <c r="AB21" i="1"/>
  <c r="AB13" i="3" s="1"/>
  <c r="AA21" i="1"/>
  <c r="AA13" i="3" s="1"/>
  <c r="Z21" i="1"/>
  <c r="Z13" i="3" s="1"/>
  <c r="Y21" i="1"/>
  <c r="Y13" i="3" s="1"/>
  <c r="X21" i="1"/>
  <c r="X13" i="3" s="1"/>
  <c r="T21" i="1"/>
  <c r="T13" i="3" s="1"/>
  <c r="S21" i="1"/>
  <c r="S13" i="3" s="1"/>
  <c r="R21" i="1"/>
  <c r="R13" i="3" s="1"/>
  <c r="Q21" i="1"/>
  <c r="Q13" i="3" s="1"/>
  <c r="P21" i="1"/>
  <c r="P13" i="3" s="1"/>
  <c r="O21" i="1"/>
  <c r="O13" i="3" s="1"/>
  <c r="N21" i="1"/>
  <c r="N13" i="3" s="1"/>
  <c r="M21" i="1"/>
  <c r="M13" i="3" s="1"/>
  <c r="L21" i="1"/>
  <c r="L13" i="3" s="1"/>
  <c r="K21" i="1"/>
  <c r="K13" i="3" s="1"/>
  <c r="J21" i="1"/>
  <c r="J13" i="3" s="1"/>
  <c r="I21" i="1"/>
  <c r="I13" i="3" s="1"/>
  <c r="H21" i="1"/>
  <c r="H13" i="3" s="1"/>
  <c r="G21" i="1"/>
  <c r="G13" i="3" s="1"/>
  <c r="F21" i="1"/>
  <c r="F13" i="3" s="1"/>
  <c r="E21" i="1"/>
  <c r="E13" i="3" s="1"/>
  <c r="D21" i="1"/>
  <c r="D13" i="3" s="1"/>
  <c r="C21" i="1"/>
  <c r="C13" i="3" s="1"/>
  <c r="AB20" i="1"/>
  <c r="AB12" i="3" s="1"/>
  <c r="AA20" i="1"/>
  <c r="AA12" i="3" s="1"/>
  <c r="Z20" i="1"/>
  <c r="Z12" i="3" s="1"/>
  <c r="Y20" i="1"/>
  <c r="Y12" i="3" s="1"/>
  <c r="X20" i="1"/>
  <c r="X12" i="3" s="1"/>
  <c r="T20" i="1"/>
  <c r="T12" i="3" s="1"/>
  <c r="S20" i="1"/>
  <c r="S12" i="3" s="1"/>
  <c r="R20" i="1"/>
  <c r="R12" i="3" s="1"/>
  <c r="Q20" i="1"/>
  <c r="Q12" i="3" s="1"/>
  <c r="P20" i="1"/>
  <c r="P12" i="3" s="1"/>
  <c r="O20" i="1"/>
  <c r="O12" i="3" s="1"/>
  <c r="N20" i="1"/>
  <c r="N12" i="3" s="1"/>
  <c r="M20" i="1"/>
  <c r="M12" i="3" s="1"/>
  <c r="L20" i="1"/>
  <c r="L12" i="3" s="1"/>
  <c r="K20" i="1"/>
  <c r="K12" i="3" s="1"/>
  <c r="J20" i="1"/>
  <c r="J12" i="3" s="1"/>
  <c r="I20" i="1"/>
  <c r="I12" i="3" s="1"/>
  <c r="H20" i="1"/>
  <c r="H12" i="3" s="1"/>
  <c r="G20" i="1"/>
  <c r="G12" i="3" s="1"/>
  <c r="F20" i="1"/>
  <c r="F12" i="3" s="1"/>
  <c r="E20" i="1"/>
  <c r="E12" i="3" s="1"/>
  <c r="D20" i="1"/>
  <c r="D12" i="3" s="1"/>
  <c r="C20" i="1"/>
  <c r="C12" i="3" s="1"/>
  <c r="AB19" i="1"/>
  <c r="AB11" i="3" s="1"/>
  <c r="AA19" i="1"/>
  <c r="AA11" i="3" s="1"/>
  <c r="Z19" i="1"/>
  <c r="Z11" i="3" s="1"/>
  <c r="Y19" i="1"/>
  <c r="Y11" i="3" s="1"/>
  <c r="X19" i="1"/>
  <c r="X11" i="3" s="1"/>
  <c r="T19" i="1"/>
  <c r="T11" i="3" s="1"/>
  <c r="S19" i="1"/>
  <c r="S11" i="3" s="1"/>
  <c r="R19" i="1"/>
  <c r="R11" i="3" s="1"/>
  <c r="Q19" i="1"/>
  <c r="Q11" i="3" s="1"/>
  <c r="P19" i="1"/>
  <c r="P11" i="3" s="1"/>
  <c r="O19" i="1"/>
  <c r="O11" i="3" s="1"/>
  <c r="N19" i="1"/>
  <c r="N11" i="3" s="1"/>
  <c r="M19" i="1"/>
  <c r="M11" i="3" s="1"/>
  <c r="L19" i="1"/>
  <c r="L11" i="3" s="1"/>
  <c r="K19" i="1"/>
  <c r="J19" i="1"/>
  <c r="J11" i="3" s="1"/>
  <c r="I19" i="1"/>
  <c r="I11" i="3" s="1"/>
  <c r="H19" i="1"/>
  <c r="H11" i="3" s="1"/>
  <c r="G19" i="1"/>
  <c r="G11" i="3" s="1"/>
  <c r="F19" i="1"/>
  <c r="F11" i="3" s="1"/>
  <c r="E19" i="1"/>
  <c r="E11" i="3" s="1"/>
  <c r="D19" i="1"/>
  <c r="D11" i="3" s="1"/>
  <c r="C19" i="1"/>
  <c r="C11" i="3" s="1"/>
  <c r="AB18" i="1"/>
  <c r="AB10" i="3" s="1"/>
  <c r="AA18" i="1"/>
  <c r="AA10" i="3" s="1"/>
  <c r="Z18" i="1"/>
  <c r="Z10" i="3" s="1"/>
  <c r="Y18" i="1"/>
  <c r="X18" i="1"/>
  <c r="T18" i="1"/>
  <c r="S18" i="1"/>
  <c r="S10" i="3" s="1"/>
  <c r="R18" i="1"/>
  <c r="Q18" i="1"/>
  <c r="P18" i="1"/>
  <c r="O18" i="1"/>
  <c r="O10" i="3" s="1"/>
  <c r="N18" i="1"/>
  <c r="N10" i="3" s="1"/>
  <c r="M18" i="1"/>
  <c r="M10" i="3" s="1"/>
  <c r="L18" i="1"/>
  <c r="L10" i="3" s="1"/>
  <c r="K18" i="1"/>
  <c r="K10" i="3" s="1"/>
  <c r="J18" i="1"/>
  <c r="J10" i="3" s="1"/>
  <c r="I18" i="1"/>
  <c r="I10" i="3" s="1"/>
  <c r="H18" i="1"/>
  <c r="H10" i="3" s="1"/>
  <c r="G18" i="1"/>
  <c r="G10" i="3" s="1"/>
  <c r="F18" i="1"/>
  <c r="F10" i="3" s="1"/>
  <c r="E18" i="1"/>
  <c r="E10" i="3" s="1"/>
  <c r="D18" i="1"/>
  <c r="C18" i="1"/>
  <c r="AB16" i="1"/>
  <c r="AB5" i="3" s="1"/>
  <c r="AA16" i="1"/>
  <c r="AA14" i="2" s="1"/>
  <c r="Z16" i="1"/>
  <c r="Z14" i="2" s="1"/>
  <c r="Y16" i="1"/>
  <c r="Y14" i="2" s="1"/>
  <c r="X16" i="1"/>
  <c r="X14" i="2" s="1"/>
  <c r="T16" i="1"/>
  <c r="T14" i="2" s="1"/>
  <c r="S16" i="1"/>
  <c r="S14" i="2" s="1"/>
  <c r="R16" i="1"/>
  <c r="R14" i="2" s="1"/>
  <c r="Q14" i="2"/>
  <c r="P16" i="1"/>
  <c r="P14" i="2" s="1"/>
  <c r="O16" i="1"/>
  <c r="O14" i="2" s="1"/>
  <c r="N16" i="1"/>
  <c r="N14" i="2" s="1"/>
  <c r="M16" i="1"/>
  <c r="M14" i="2" s="1"/>
  <c r="L16" i="1"/>
  <c r="L5" i="3" s="1"/>
  <c r="K16" i="1"/>
  <c r="K5" i="3" s="1"/>
  <c r="J16" i="1"/>
  <c r="J5" i="3" s="1"/>
  <c r="I16" i="1"/>
  <c r="I5" i="3" s="1"/>
  <c r="H16" i="1"/>
  <c r="H14" i="2" s="1"/>
  <c r="G16" i="1"/>
  <c r="G14" i="2" s="1"/>
  <c r="F16" i="1"/>
  <c r="F14" i="2" s="1"/>
  <c r="E16" i="1"/>
  <c r="E14" i="2" s="1"/>
  <c r="D16" i="1"/>
  <c r="D14" i="2" s="1"/>
  <c r="C16" i="1"/>
  <c r="C14" i="2" s="1"/>
  <c r="AB15" i="1"/>
  <c r="AB18" i="2" s="1"/>
  <c r="AA15" i="1"/>
  <c r="AA18" i="2" s="1"/>
  <c r="Z15" i="1"/>
  <c r="Z18" i="2" s="1"/>
  <c r="Y15" i="1"/>
  <c r="Y18" i="2" s="1"/>
  <c r="X15" i="1"/>
  <c r="X18" i="2" s="1"/>
  <c r="T15" i="1"/>
  <c r="T18" i="2" s="1"/>
  <c r="S15" i="1"/>
  <c r="S18" i="2" s="1"/>
  <c r="R15" i="1"/>
  <c r="R18" i="2" s="1"/>
  <c r="Q15" i="1"/>
  <c r="Q18" i="2" s="1"/>
  <c r="P15" i="1"/>
  <c r="P18" i="2" s="1"/>
  <c r="O15" i="1"/>
  <c r="O18" i="2" s="1"/>
  <c r="N15" i="1"/>
  <c r="N18" i="2" s="1"/>
  <c r="M15" i="1"/>
  <c r="M18" i="2" s="1"/>
  <c r="L15" i="1"/>
  <c r="L18" i="2" s="1"/>
  <c r="K15" i="1"/>
  <c r="K18" i="2" s="1"/>
  <c r="J15" i="1"/>
  <c r="J18" i="2" s="1"/>
  <c r="I15" i="1"/>
  <c r="I18" i="2" s="1"/>
  <c r="H15" i="1"/>
  <c r="H18" i="2" s="1"/>
  <c r="G15" i="1"/>
  <c r="G18" i="2" s="1"/>
  <c r="F15" i="1"/>
  <c r="F18" i="2" s="1"/>
  <c r="E15" i="1"/>
  <c r="E18" i="2" s="1"/>
  <c r="D15" i="1"/>
  <c r="D18" i="2" s="1"/>
  <c r="C15" i="1"/>
  <c r="C18" i="2" s="1"/>
  <c r="AB14" i="1"/>
  <c r="AB12" i="24" s="1"/>
  <c r="AB14" i="24" s="1"/>
  <c r="AB7" i="25" s="1"/>
  <c r="AA14" i="1"/>
  <c r="AA12" i="24" s="1"/>
  <c r="AA14" i="24" s="1"/>
  <c r="AA7" i="25" s="1"/>
  <c r="Z14" i="1"/>
  <c r="Z12" i="24" s="1"/>
  <c r="Z14" i="24" s="1"/>
  <c r="Z7" i="25" s="1"/>
  <c r="Y14" i="1"/>
  <c r="Y12" i="24" s="1"/>
  <c r="Y14" i="24" s="1"/>
  <c r="Y7" i="25" s="1"/>
  <c r="X14" i="1"/>
  <c r="X12" i="24" s="1"/>
  <c r="X14" i="24" s="1"/>
  <c r="X7" i="25" s="1"/>
  <c r="T14" i="1"/>
  <c r="T12" i="24" s="1"/>
  <c r="T14" i="24" s="1"/>
  <c r="T7" i="25" s="1"/>
  <c r="S14" i="1"/>
  <c r="S12" i="24" s="1"/>
  <c r="S14" i="24" s="1"/>
  <c r="S7" i="25" s="1"/>
  <c r="R14" i="1"/>
  <c r="R12" i="24" s="1"/>
  <c r="R14" i="24" s="1"/>
  <c r="R7" i="25" s="1"/>
  <c r="Q14" i="1"/>
  <c r="Q12" i="24" s="1"/>
  <c r="Q14" i="24" s="1"/>
  <c r="Q7" i="25" s="1"/>
  <c r="P14" i="1"/>
  <c r="P12" i="24" s="1"/>
  <c r="P14" i="24" s="1"/>
  <c r="P7" i="25" s="1"/>
  <c r="O14" i="1"/>
  <c r="O12" i="24" s="1"/>
  <c r="O14" i="24" s="1"/>
  <c r="O7" i="25" s="1"/>
  <c r="N14" i="1"/>
  <c r="N12" i="24" s="1"/>
  <c r="N14" i="24" s="1"/>
  <c r="N7" i="25" s="1"/>
  <c r="M14" i="1"/>
  <c r="M12" i="24" s="1"/>
  <c r="M14" i="24" s="1"/>
  <c r="M7" i="25" s="1"/>
  <c r="L14" i="1"/>
  <c r="L12" i="24" s="1"/>
  <c r="L14" i="24" s="1"/>
  <c r="K14" i="1"/>
  <c r="K12" i="24" s="1"/>
  <c r="K14" i="24" s="1"/>
  <c r="J14" i="1"/>
  <c r="J6" i="2" s="1"/>
  <c r="J7" i="2" s="1"/>
  <c r="I14" i="1"/>
  <c r="I12" i="24" s="1"/>
  <c r="H14" i="1"/>
  <c r="H12" i="24" s="1"/>
  <c r="H14" i="24" s="1"/>
  <c r="H7" i="25" s="1"/>
  <c r="G14" i="1"/>
  <c r="G12" i="24" s="1"/>
  <c r="G14" i="24" s="1"/>
  <c r="G7" i="25" s="1"/>
  <c r="F14" i="1"/>
  <c r="F12" i="24" s="1"/>
  <c r="E14" i="1"/>
  <c r="E12" i="24" s="1"/>
  <c r="D12" i="24"/>
  <c r="C14" i="1"/>
  <c r="C12" i="24" s="1"/>
  <c r="AB13" i="1"/>
  <c r="AB11" i="24" s="1"/>
  <c r="AA13" i="1"/>
  <c r="AA11" i="24" s="1"/>
  <c r="Z13" i="1"/>
  <c r="Z11" i="24" s="1"/>
  <c r="Y13" i="1"/>
  <c r="Y11" i="24" s="1"/>
  <c r="X13" i="1"/>
  <c r="X11" i="24" s="1"/>
  <c r="T13" i="1"/>
  <c r="T11" i="24" s="1"/>
  <c r="S13" i="1"/>
  <c r="S11" i="24" s="1"/>
  <c r="R13" i="1"/>
  <c r="R11" i="24" s="1"/>
  <c r="Q13" i="1"/>
  <c r="Q5" i="2" s="1"/>
  <c r="Q21" i="24" s="1"/>
  <c r="P13" i="1"/>
  <c r="P11" i="24" s="1"/>
  <c r="O13" i="1"/>
  <c r="O11" i="24" s="1"/>
  <c r="N13" i="1"/>
  <c r="N11" i="24" s="1"/>
  <c r="M13" i="1"/>
  <c r="M11" i="24" s="1"/>
  <c r="L13" i="1"/>
  <c r="L11" i="24" s="1"/>
  <c r="K13" i="1"/>
  <c r="K11" i="24" s="1"/>
  <c r="J13" i="1"/>
  <c r="J11" i="24" s="1"/>
  <c r="I11" i="24"/>
  <c r="H13" i="1"/>
  <c r="H11" i="24" s="1"/>
  <c r="G13" i="1"/>
  <c r="G11" i="24" s="1"/>
  <c r="F13" i="1"/>
  <c r="F11" i="24" s="1"/>
  <c r="E13" i="1"/>
  <c r="E11" i="24" s="1"/>
  <c r="D13" i="1"/>
  <c r="D11" i="24" s="1"/>
  <c r="C13" i="1"/>
  <c r="C11" i="24" s="1"/>
  <c r="AB12" i="1"/>
  <c r="AB9" i="24" s="1"/>
  <c r="AA12" i="1"/>
  <c r="AA9" i="24" s="1"/>
  <c r="Z12" i="1"/>
  <c r="Z9" i="24" s="1"/>
  <c r="Y12" i="1"/>
  <c r="Y9" i="24" s="1"/>
  <c r="T12" i="1"/>
  <c r="T9" i="24" s="1"/>
  <c r="S12" i="1"/>
  <c r="S9" i="24" s="1"/>
  <c r="R12" i="1"/>
  <c r="R9" i="24" s="1"/>
  <c r="Q12" i="1"/>
  <c r="Q9" i="24" s="1"/>
  <c r="L12" i="1"/>
  <c r="L9" i="24" s="1"/>
  <c r="H12" i="1"/>
  <c r="H9" i="24" s="1"/>
  <c r="D12" i="1"/>
  <c r="D9" i="24" s="1"/>
  <c r="AA10" i="1"/>
  <c r="AA7" i="24" s="1"/>
  <c r="AA43" i="24" s="1"/>
  <c r="Y10" i="1"/>
  <c r="Y7" i="24" s="1"/>
  <c r="Y43" i="24" s="1"/>
  <c r="T10" i="1"/>
  <c r="T7" i="24" s="1"/>
  <c r="T43" i="24" s="1"/>
  <c r="S10" i="1"/>
  <c r="S7" i="24" s="1"/>
  <c r="S43" i="24" s="1"/>
  <c r="R10" i="1"/>
  <c r="R7" i="24" s="1"/>
  <c r="R43" i="24" s="1"/>
  <c r="Q10" i="1"/>
  <c r="Q7" i="24" s="1"/>
  <c r="Q43" i="24" s="1"/>
  <c r="L10" i="1"/>
  <c r="L7" i="24" s="1"/>
  <c r="L43" i="24" s="1"/>
  <c r="J10" i="1"/>
  <c r="J7" i="24" s="1"/>
  <c r="J43" i="24" s="1"/>
  <c r="H10" i="1"/>
  <c r="H7" i="24" s="1"/>
  <c r="H43" i="24" s="1"/>
  <c r="F10" i="1"/>
  <c r="F7" i="24" s="1"/>
  <c r="F43" i="24" s="1"/>
  <c r="D10" i="1"/>
  <c r="D7" i="24" s="1"/>
  <c r="D43" i="24" s="1"/>
  <c r="Z8" i="1"/>
  <c r="X8" i="1"/>
  <c r="P8" i="1"/>
  <c r="O8" i="1"/>
  <c r="N8" i="1"/>
  <c r="M8" i="1"/>
  <c r="K8" i="1"/>
  <c r="I8" i="1"/>
  <c r="G8" i="1"/>
  <c r="E8" i="1"/>
  <c r="C8" i="1"/>
  <c r="Z7" i="1"/>
  <c r="X7" i="1"/>
  <c r="X6" i="24" s="1"/>
  <c r="P7" i="1"/>
  <c r="O7" i="1"/>
  <c r="N7" i="1"/>
  <c r="M7" i="1"/>
  <c r="K7" i="1"/>
  <c r="I7" i="1"/>
  <c r="I6" i="24" s="1"/>
  <c r="G7" i="1"/>
  <c r="G6" i="24" s="1"/>
  <c r="E7" i="1"/>
  <c r="C7" i="1"/>
  <c r="X62" i="26" l="1"/>
  <c r="H38" i="26"/>
  <c r="AB62" i="26"/>
  <c r="J38" i="26"/>
  <c r="S38" i="26"/>
  <c r="H62" i="26"/>
  <c r="C223" i="20"/>
  <c r="K62" i="26"/>
  <c r="P62" i="26"/>
  <c r="N9" i="8"/>
  <c r="K37" i="5" s="1"/>
  <c r="N8" i="8"/>
  <c r="K36" i="5" s="1"/>
  <c r="I63" i="5"/>
  <c r="K63" i="5" s="1"/>
  <c r="L63" i="5" s="1"/>
  <c r="C61" i="23"/>
  <c r="J60" i="23"/>
  <c r="Q59" i="23"/>
  <c r="E63" i="23"/>
  <c r="M55" i="23"/>
  <c r="F56" i="23"/>
  <c r="Y56" i="23"/>
  <c r="H58" i="23"/>
  <c r="S61" i="23"/>
  <c r="AA58" i="23"/>
  <c r="X63" i="23"/>
  <c r="L62" i="23"/>
  <c r="M14" i="25"/>
  <c r="M15" i="25"/>
  <c r="N15" i="25"/>
  <c r="N14" i="25"/>
  <c r="O15" i="25"/>
  <c r="O14" i="25"/>
  <c r="P15" i="25"/>
  <c r="P14" i="25"/>
  <c r="Q15" i="25"/>
  <c r="Q14" i="25"/>
  <c r="R14" i="25"/>
  <c r="R15" i="25"/>
  <c r="S14" i="25"/>
  <c r="S15" i="25"/>
  <c r="T14" i="25"/>
  <c r="T15" i="25"/>
  <c r="X15" i="25"/>
  <c r="X14" i="25"/>
  <c r="Y15" i="25"/>
  <c r="Y14" i="25"/>
  <c r="Z14" i="25"/>
  <c r="Z15" i="25"/>
  <c r="AA15" i="25"/>
  <c r="AA14" i="25"/>
  <c r="J19" i="4"/>
  <c r="K20" i="4"/>
  <c r="J18" i="4"/>
  <c r="I19" i="4"/>
  <c r="U17" i="4"/>
  <c r="Z19" i="4"/>
  <c r="E33" i="23"/>
  <c r="E57" i="23" s="1"/>
  <c r="X33" i="23"/>
  <c r="X57" i="23" s="1"/>
  <c r="G35" i="26"/>
  <c r="Q35" i="26"/>
  <c r="F38" i="26"/>
  <c r="F62" i="26"/>
  <c r="O62" i="26"/>
  <c r="AA62" i="26"/>
  <c r="C37" i="15"/>
  <c r="E37" i="15" s="1"/>
  <c r="L35" i="18"/>
  <c r="C96" i="20"/>
  <c r="H96" i="20" s="1"/>
  <c r="I33" i="23"/>
  <c r="J33" i="23"/>
  <c r="K35" i="26"/>
  <c r="T35" i="26"/>
  <c r="O38" i="26"/>
  <c r="I62" i="26"/>
  <c r="R62" i="26"/>
  <c r="D7" i="15"/>
  <c r="D327" i="20"/>
  <c r="AB33" i="23"/>
  <c r="J35" i="26"/>
  <c r="S35" i="26"/>
  <c r="R19" i="4"/>
  <c r="M33" i="23"/>
  <c r="C35" i="26"/>
  <c r="L35" i="26"/>
  <c r="X35" i="26"/>
  <c r="R38" i="26"/>
  <c r="J62" i="26"/>
  <c r="S62" i="26"/>
  <c r="I66" i="5"/>
  <c r="K66" i="5" s="1"/>
  <c r="L66" i="5" s="1"/>
  <c r="K33" i="18"/>
  <c r="C308" i="20"/>
  <c r="C320" i="20" s="1"/>
  <c r="B232" i="20" s="1"/>
  <c r="D232" i="20" s="1"/>
  <c r="E19" i="4"/>
  <c r="X19" i="4"/>
  <c r="Q33" i="23"/>
  <c r="E35" i="26"/>
  <c r="N35" i="26"/>
  <c r="Z35" i="26"/>
  <c r="AA38" i="26"/>
  <c r="C62" i="26"/>
  <c r="M62" i="26"/>
  <c r="Y62" i="26"/>
  <c r="V62" i="5"/>
  <c r="X62" i="5" s="1"/>
  <c r="Y62" i="5" s="1"/>
  <c r="C55" i="18"/>
  <c r="S43" i="18" s="1"/>
  <c r="O33" i="23"/>
  <c r="O57" i="23" s="1"/>
  <c r="D35" i="26"/>
  <c r="M35" i="26"/>
  <c r="Y35" i="26"/>
  <c r="E89" i="12"/>
  <c r="R33" i="23"/>
  <c r="F35" i="26"/>
  <c r="O35" i="26"/>
  <c r="AB35" i="26"/>
  <c r="E62" i="26"/>
  <c r="N62" i="26"/>
  <c r="Z62" i="26"/>
  <c r="N10" i="8"/>
  <c r="K38" i="5" s="1"/>
  <c r="J98" i="20"/>
  <c r="C338" i="20"/>
  <c r="C6" i="24"/>
  <c r="C42" i="24" s="1"/>
  <c r="C45" i="24" s="1"/>
  <c r="V112" i="3"/>
  <c r="V124" i="3" s="1"/>
  <c r="V130" i="3" s="1"/>
  <c r="W112" i="3"/>
  <c r="W124" i="3" s="1"/>
  <c r="W130" i="3" s="1"/>
  <c r="AB63" i="26"/>
  <c r="W63" i="26"/>
  <c r="M42" i="18"/>
  <c r="M46" i="18"/>
  <c r="H18" i="4"/>
  <c r="Y20" i="4"/>
  <c r="Z22" i="4"/>
  <c r="C33" i="23"/>
  <c r="C57" i="23" s="1"/>
  <c r="K33" i="23"/>
  <c r="K57" i="23" s="1"/>
  <c r="S33" i="23"/>
  <c r="S57" i="23" s="1"/>
  <c r="M61" i="26"/>
  <c r="N63" i="26"/>
  <c r="G64" i="26"/>
  <c r="O64" i="26"/>
  <c r="Z64" i="26"/>
  <c r="W23" i="26"/>
  <c r="W24" i="26"/>
  <c r="M41" i="18"/>
  <c r="L63" i="26"/>
  <c r="D33" i="23"/>
  <c r="L33" i="23"/>
  <c r="L57" i="23" s="1"/>
  <c r="T33" i="23"/>
  <c r="T57" i="23" s="1"/>
  <c r="N61" i="26"/>
  <c r="Q63" i="26"/>
  <c r="H64" i="26"/>
  <c r="P64" i="26"/>
  <c r="AA64" i="26"/>
  <c r="M43" i="18"/>
  <c r="B23" i="20"/>
  <c r="E329" i="20"/>
  <c r="E205" i="20"/>
  <c r="AB71" i="26"/>
  <c r="Y63" i="26"/>
  <c r="M44" i="18"/>
  <c r="P19" i="4"/>
  <c r="L55" i="23"/>
  <c r="E56" i="23"/>
  <c r="X56" i="23"/>
  <c r="F33" i="23"/>
  <c r="F57" i="23" s="1"/>
  <c r="N33" i="23"/>
  <c r="N57" i="23" s="1"/>
  <c r="Y33" i="23"/>
  <c r="Y57" i="23" s="1"/>
  <c r="G58" i="23"/>
  <c r="Z58" i="23"/>
  <c r="P59" i="23"/>
  <c r="I60" i="23"/>
  <c r="AB60" i="23"/>
  <c r="R61" i="23"/>
  <c r="K62" i="23"/>
  <c r="D63" i="23"/>
  <c r="T63" i="23"/>
  <c r="D61" i="26"/>
  <c r="Z63" i="26"/>
  <c r="J64" i="26"/>
  <c r="R64" i="26"/>
  <c r="W117" i="3"/>
  <c r="V111" i="3"/>
  <c r="V123" i="3" s="1"/>
  <c r="W111" i="3"/>
  <c r="B24" i="18"/>
  <c r="E24" i="18" s="1"/>
  <c r="K24" i="18" s="1"/>
  <c r="N28" i="18"/>
  <c r="K37" i="18"/>
  <c r="E55" i="18"/>
  <c r="U45" i="18" s="1"/>
  <c r="C304" i="20"/>
  <c r="B230" i="20" s="1"/>
  <c r="D230" i="20" s="1"/>
  <c r="W32" i="24"/>
  <c r="C63" i="26"/>
  <c r="W31" i="3"/>
  <c r="M39" i="18"/>
  <c r="AB61" i="26"/>
  <c r="W61" i="26"/>
  <c r="W19" i="4"/>
  <c r="H33" i="23"/>
  <c r="H57" i="23" s="1"/>
  <c r="P33" i="23"/>
  <c r="AA33" i="23"/>
  <c r="AA57" i="23" s="1"/>
  <c r="F61" i="26"/>
  <c r="Y61" i="26"/>
  <c r="D63" i="26"/>
  <c r="D64" i="26"/>
  <c r="L64" i="26"/>
  <c r="T64" i="26"/>
  <c r="M40" i="18"/>
  <c r="W63" i="3"/>
  <c r="E6" i="24"/>
  <c r="E42" i="24" s="1"/>
  <c r="E45" i="24" s="1"/>
  <c r="D55" i="23"/>
  <c r="T55" i="23"/>
  <c r="M56" i="23"/>
  <c r="O58" i="23"/>
  <c r="H59" i="23"/>
  <c r="AA59" i="23"/>
  <c r="Q60" i="23"/>
  <c r="J61" i="23"/>
  <c r="C62" i="23"/>
  <c r="S62" i="23"/>
  <c r="L63" i="23"/>
  <c r="K55" i="23"/>
  <c r="S63" i="23"/>
  <c r="G38" i="24"/>
  <c r="G47" i="24" s="1"/>
  <c r="I42" i="24"/>
  <c r="I45" i="24" s="1"/>
  <c r="P34" i="24"/>
  <c r="X42" i="24"/>
  <c r="X45" i="24" s="1"/>
  <c r="Z38" i="24"/>
  <c r="Z47" i="24" s="1"/>
  <c r="O62" i="5"/>
  <c r="I16" i="5"/>
  <c r="J16" i="5" s="1"/>
  <c r="I11" i="5"/>
  <c r="J11" i="5" s="1"/>
  <c r="V66" i="5"/>
  <c r="X66" i="5" s="1"/>
  <c r="Y66" i="5" s="1"/>
  <c r="B231" i="20"/>
  <c r="D231" i="20" s="1"/>
  <c r="AD17" i="4"/>
  <c r="AC17" i="4"/>
  <c r="AC18" i="4"/>
  <c r="AE18" i="4"/>
  <c r="E18" i="5"/>
  <c r="I18" i="5"/>
  <c r="J18" i="5" s="1"/>
  <c r="V60" i="5"/>
  <c r="X60" i="5" s="1"/>
  <c r="Y60" i="5" s="1"/>
  <c r="V61" i="5"/>
  <c r="X61" i="5" s="1"/>
  <c r="Y61" i="5" s="1"/>
  <c r="C9" i="20"/>
  <c r="W13" i="26" s="1"/>
  <c r="C8" i="20"/>
  <c r="C6" i="20"/>
  <c r="AD18" i="4"/>
  <c r="E15" i="5"/>
  <c r="E50" i="5" s="1"/>
  <c r="I15" i="5"/>
  <c r="J15" i="5" s="1"/>
  <c r="U60" i="5"/>
  <c r="L4" i="22"/>
  <c r="L5" i="22" s="1"/>
  <c r="K3" i="22"/>
  <c r="G24" i="4"/>
  <c r="G25" i="4" s="1"/>
  <c r="E17" i="4"/>
  <c r="C17" i="4"/>
  <c r="S20" i="4"/>
  <c r="U20" i="4"/>
  <c r="T20" i="4"/>
  <c r="M18" i="4"/>
  <c r="O18" i="4"/>
  <c r="N18" i="4"/>
  <c r="P18" i="4"/>
  <c r="D326" i="20"/>
  <c r="D332" i="20"/>
  <c r="D331" i="20" s="1"/>
  <c r="C343" i="20"/>
  <c r="AF24" i="4"/>
  <c r="AF25" i="4" s="1"/>
  <c r="L31" i="18"/>
  <c r="AB20" i="4"/>
  <c r="T58" i="23"/>
  <c r="X59" i="23"/>
  <c r="G61" i="23"/>
  <c r="H62" i="23"/>
  <c r="I63" i="23"/>
  <c r="M31" i="18"/>
  <c r="J33" i="18"/>
  <c r="L39" i="18"/>
  <c r="K42" i="18"/>
  <c r="D55" i="18"/>
  <c r="T46" i="18" s="1"/>
  <c r="M97" i="20"/>
  <c r="E327" i="20"/>
  <c r="C334" i="20"/>
  <c r="E334" i="20" s="1"/>
  <c r="C34" i="24"/>
  <c r="M36" i="18"/>
  <c r="K46" i="18"/>
  <c r="D58" i="23"/>
  <c r="E59" i="23"/>
  <c r="F60" i="23"/>
  <c r="Y60" i="23"/>
  <c r="Z61" i="23"/>
  <c r="AA62" i="23"/>
  <c r="AB63" i="23"/>
  <c r="I63" i="26"/>
  <c r="I68" i="26" s="1"/>
  <c r="H51" i="1"/>
  <c r="H9" i="25" s="1"/>
  <c r="R18" i="4"/>
  <c r="T19" i="4"/>
  <c r="J55" i="23"/>
  <c r="C56" i="23"/>
  <c r="S56" i="23"/>
  <c r="E58" i="23"/>
  <c r="X58" i="23"/>
  <c r="N59" i="23"/>
  <c r="G60" i="23"/>
  <c r="Z60" i="23"/>
  <c r="P61" i="23"/>
  <c r="I62" i="23"/>
  <c r="AB62" i="23"/>
  <c r="R63" i="23"/>
  <c r="J61" i="26"/>
  <c r="T61" i="26"/>
  <c r="J63" i="26"/>
  <c r="S63" i="26"/>
  <c r="O65" i="5"/>
  <c r="K45" i="18"/>
  <c r="M95" i="20"/>
  <c r="C176" i="20"/>
  <c r="E176" i="20" s="1"/>
  <c r="D17" i="20" s="1"/>
  <c r="E17" i="20" s="1"/>
  <c r="E10" i="20" s="1"/>
  <c r="L34" i="18"/>
  <c r="K39" i="18"/>
  <c r="K44" i="18"/>
  <c r="M96" i="20"/>
  <c r="T17" i="4"/>
  <c r="L58" i="23"/>
  <c r="M59" i="23"/>
  <c r="N60" i="23"/>
  <c r="O61" i="23"/>
  <c r="P62" i="23"/>
  <c r="Q63" i="23"/>
  <c r="R63" i="26"/>
  <c r="H47" i="5"/>
  <c r="I47" i="5" s="1"/>
  <c r="H60" i="5"/>
  <c r="P52" i="1"/>
  <c r="P22" i="2" s="1"/>
  <c r="P10" i="25" s="1"/>
  <c r="K19" i="4"/>
  <c r="AC20" i="4"/>
  <c r="Z18" i="4"/>
  <c r="H19" i="4"/>
  <c r="AD20" i="4"/>
  <c r="Y21" i="4"/>
  <c r="L61" i="26"/>
  <c r="X61" i="26"/>
  <c r="K63" i="26"/>
  <c r="T63" i="26"/>
  <c r="F49" i="15"/>
  <c r="F78" i="15"/>
  <c r="F79" i="15" s="1"/>
  <c r="G79" i="15" s="1"/>
  <c r="H79" i="15" s="1"/>
  <c r="J79" i="15" s="1"/>
  <c r="J30" i="18"/>
  <c r="L33" i="18"/>
  <c r="U39" i="18"/>
  <c r="K43" i="18"/>
  <c r="F96" i="20"/>
  <c r="K96" i="20" s="1"/>
  <c r="H98" i="20"/>
  <c r="M98" i="20" s="1"/>
  <c r="C116" i="20"/>
  <c r="C118" i="20" s="1"/>
  <c r="D16" i="20" s="1"/>
  <c r="E16" i="20" s="1"/>
  <c r="C180" i="20"/>
  <c r="E180" i="20" s="1"/>
  <c r="F17" i="20" s="1"/>
  <c r="F10" i="20" s="1"/>
  <c r="M33" i="18"/>
  <c r="K40" i="18"/>
  <c r="X34" i="18"/>
  <c r="C272" i="20"/>
  <c r="H17" i="4"/>
  <c r="F55" i="23"/>
  <c r="Y55" i="23"/>
  <c r="O56" i="23"/>
  <c r="Q58" i="23"/>
  <c r="J59" i="23"/>
  <c r="C60" i="23"/>
  <c r="S60" i="23"/>
  <c r="L61" i="23"/>
  <c r="E62" i="23"/>
  <c r="X62" i="23"/>
  <c r="N63" i="23"/>
  <c r="F63" i="26"/>
  <c r="O63" i="26"/>
  <c r="AA63" i="26"/>
  <c r="Q37" i="18"/>
  <c r="F15" i="20"/>
  <c r="F8" i="20" s="1"/>
  <c r="O98" i="20"/>
  <c r="J167" i="20"/>
  <c r="P17" i="4"/>
  <c r="H21" i="4"/>
  <c r="D21" i="4" s="1"/>
  <c r="I22" i="4"/>
  <c r="L24" i="4"/>
  <c r="L25" i="4" s="1"/>
  <c r="O34" i="24"/>
  <c r="G61" i="26"/>
  <c r="P61" i="26"/>
  <c r="G63" i="26"/>
  <c r="P63" i="26"/>
  <c r="I61" i="5"/>
  <c r="K61" i="5" s="1"/>
  <c r="L61" i="5" s="1"/>
  <c r="H31" i="3"/>
  <c r="F89" i="12"/>
  <c r="F138" i="3" s="1"/>
  <c r="B57" i="16"/>
  <c r="B52" i="16" s="1"/>
  <c r="L36" i="18"/>
  <c r="M37" i="18"/>
  <c r="U43" i="18"/>
  <c r="U46" i="18"/>
  <c r="R21" i="4"/>
  <c r="T21" i="4"/>
  <c r="B113" i="4"/>
  <c r="F81" i="4"/>
  <c r="E81" i="4"/>
  <c r="C81" i="4"/>
  <c r="B118" i="4"/>
  <c r="F86" i="4"/>
  <c r="E86" i="4"/>
  <c r="C86" i="4"/>
  <c r="U21" i="4"/>
  <c r="B115" i="4"/>
  <c r="F83" i="4"/>
  <c r="C83" i="4"/>
  <c r="E83" i="4"/>
  <c r="T22" i="4"/>
  <c r="U22" i="4"/>
  <c r="S22" i="4"/>
  <c r="R22" i="4"/>
  <c r="P22" i="4"/>
  <c r="O22" i="4"/>
  <c r="Y17" i="4"/>
  <c r="Z17" i="4"/>
  <c r="V24" i="4"/>
  <c r="V25" i="4" s="1"/>
  <c r="W17" i="4"/>
  <c r="E18" i="4"/>
  <c r="K18" i="4"/>
  <c r="C18" i="4"/>
  <c r="I18" i="4"/>
  <c r="O19" i="4"/>
  <c r="N19" i="4"/>
  <c r="M19" i="4"/>
  <c r="AC22" i="4"/>
  <c r="B117" i="4"/>
  <c r="F85" i="4"/>
  <c r="C85" i="4"/>
  <c r="E85" i="4"/>
  <c r="S21" i="4"/>
  <c r="Y22" i="4"/>
  <c r="X22" i="4"/>
  <c r="J21" i="4"/>
  <c r="F21" i="4"/>
  <c r="E21" i="4"/>
  <c r="K21" i="4"/>
  <c r="U18" i="4"/>
  <c r="T18" i="4"/>
  <c r="S18" i="4"/>
  <c r="Y18" i="4"/>
  <c r="P20" i="4"/>
  <c r="N20" i="4"/>
  <c r="B114" i="4"/>
  <c r="F82" i="4"/>
  <c r="C82" i="4"/>
  <c r="E82" i="4"/>
  <c r="K17" i="4"/>
  <c r="I17" i="4"/>
  <c r="J17" i="4"/>
  <c r="O17" i="4"/>
  <c r="I21" i="4"/>
  <c r="AE21" i="4"/>
  <c r="AC21" i="4"/>
  <c r="M17" i="4"/>
  <c r="AE17" i="4"/>
  <c r="W18" i="4"/>
  <c r="U19" i="4"/>
  <c r="S19" i="4"/>
  <c r="M20" i="4"/>
  <c r="O21" i="4"/>
  <c r="M21" i="4"/>
  <c r="N21" i="4"/>
  <c r="AB21" i="4"/>
  <c r="M22" i="4"/>
  <c r="B88" i="4"/>
  <c r="B89" i="4" s="1"/>
  <c r="E14" i="5"/>
  <c r="E51" i="5" s="1"/>
  <c r="I14" i="5"/>
  <c r="J14" i="5" s="1"/>
  <c r="C88" i="5"/>
  <c r="C89" i="5"/>
  <c r="W22" i="4"/>
  <c r="X20" i="4"/>
  <c r="Z20" i="4"/>
  <c r="W20" i="4"/>
  <c r="C22" i="4"/>
  <c r="K22" i="4"/>
  <c r="J22" i="4"/>
  <c r="H22" i="4"/>
  <c r="N17" i="4"/>
  <c r="AB17" i="4"/>
  <c r="X18" i="4"/>
  <c r="AE19" i="4"/>
  <c r="AC19" i="4"/>
  <c r="AD19" i="4"/>
  <c r="O20" i="4"/>
  <c r="P21" i="4"/>
  <c r="AD21" i="4"/>
  <c r="N22" i="4"/>
  <c r="B116" i="4"/>
  <c r="F84" i="4"/>
  <c r="C84" i="4"/>
  <c r="E84" i="4"/>
  <c r="D10" i="15"/>
  <c r="C13" i="15"/>
  <c r="D13" i="15" s="1"/>
  <c r="G67" i="18"/>
  <c r="C13" i="20"/>
  <c r="C5" i="20" s="1"/>
  <c r="V32" i="24"/>
  <c r="U32" i="24"/>
  <c r="C19" i="4"/>
  <c r="F47" i="5"/>
  <c r="E17" i="5"/>
  <c r="I17" i="5"/>
  <c r="J17" i="5" s="1"/>
  <c r="F37" i="18"/>
  <c r="J37" i="18"/>
  <c r="J34" i="18"/>
  <c r="J36" i="18"/>
  <c r="J35" i="18"/>
  <c r="J32" i="18"/>
  <c r="P33" i="18"/>
  <c r="C16" i="20"/>
  <c r="C7" i="20" s="1"/>
  <c r="B26" i="20"/>
  <c r="M71" i="26" s="1"/>
  <c r="B22" i="20"/>
  <c r="J46" i="18"/>
  <c r="R46" i="18"/>
  <c r="J43" i="18"/>
  <c r="J39" i="18"/>
  <c r="J44" i="18"/>
  <c r="J40" i="18"/>
  <c r="S41" i="18"/>
  <c r="C294" i="20"/>
  <c r="C293" i="20"/>
  <c r="E332" i="20"/>
  <c r="G55" i="23"/>
  <c r="O55" i="23"/>
  <c r="Z55" i="23"/>
  <c r="H56" i="23"/>
  <c r="P56" i="23"/>
  <c r="AA56" i="23"/>
  <c r="I57" i="23"/>
  <c r="Q57" i="23"/>
  <c r="AB57" i="23"/>
  <c r="J58" i="23"/>
  <c r="R58" i="23"/>
  <c r="C59" i="23"/>
  <c r="K59" i="23"/>
  <c r="S59" i="23"/>
  <c r="D60" i="23"/>
  <c r="L60" i="23"/>
  <c r="T60" i="23"/>
  <c r="E61" i="23"/>
  <c r="M61" i="23"/>
  <c r="X61" i="23"/>
  <c r="F62" i="23"/>
  <c r="N62" i="23"/>
  <c r="Y62" i="23"/>
  <c r="G63" i="23"/>
  <c r="O63" i="23"/>
  <c r="Z63" i="23"/>
  <c r="I60" i="5"/>
  <c r="K60" i="5" s="1"/>
  <c r="L60" i="5" s="1"/>
  <c r="O89" i="5"/>
  <c r="O88" i="5"/>
  <c r="J42" i="18"/>
  <c r="D10" i="20"/>
  <c r="Q24" i="4"/>
  <c r="Q25" i="4" s="1"/>
  <c r="H20" i="4"/>
  <c r="D20" i="4" s="1"/>
  <c r="Z21" i="4"/>
  <c r="R17" i="4"/>
  <c r="AB18" i="4"/>
  <c r="I20" i="4"/>
  <c r="R20" i="4"/>
  <c r="W21" i="4"/>
  <c r="AA24" i="4"/>
  <c r="AA25" i="4" s="1"/>
  <c r="H55" i="23"/>
  <c r="AA55" i="23"/>
  <c r="Q56" i="23"/>
  <c r="J57" i="23"/>
  <c r="C58" i="23"/>
  <c r="S58" i="23"/>
  <c r="L59" i="23"/>
  <c r="E60" i="23"/>
  <c r="X60" i="23"/>
  <c r="N61" i="23"/>
  <c r="G62" i="23"/>
  <c r="Z62" i="23"/>
  <c r="P63" i="23"/>
  <c r="K33" i="5"/>
  <c r="D41" i="5" s="1"/>
  <c r="F37" i="5" s="1"/>
  <c r="G78" i="15"/>
  <c r="H78" i="15" s="1"/>
  <c r="J78" i="15" s="1"/>
  <c r="A58" i="18"/>
  <c r="O28" i="18"/>
  <c r="L46" i="18"/>
  <c r="L44" i="18"/>
  <c r="X35" i="18" s="1"/>
  <c r="L40" i="18"/>
  <c r="L45" i="18"/>
  <c r="X36" i="18" s="1"/>
  <c r="L41" i="18"/>
  <c r="X32" i="18" s="1"/>
  <c r="B221" i="20"/>
  <c r="L28" i="26"/>
  <c r="J28" i="26"/>
  <c r="I28" i="26"/>
  <c r="H28" i="26"/>
  <c r="E28" i="26"/>
  <c r="C270" i="20"/>
  <c r="C333" i="20"/>
  <c r="E333" i="20" s="1"/>
  <c r="C326" i="20"/>
  <c r="E328" i="20"/>
  <c r="E326" i="20" s="1"/>
  <c r="E13" i="5"/>
  <c r="E49" i="5" s="1"/>
  <c r="F49" i="5" s="1"/>
  <c r="I13" i="5"/>
  <c r="J13" i="5" s="1"/>
  <c r="E74" i="5"/>
  <c r="C75" i="5"/>
  <c r="E75" i="5" s="1"/>
  <c r="AB22" i="4"/>
  <c r="S17" i="4"/>
  <c r="J20" i="4"/>
  <c r="X21" i="4"/>
  <c r="AD22" i="4"/>
  <c r="I55" i="23"/>
  <c r="Q55" i="23"/>
  <c r="AB55" i="23"/>
  <c r="J56" i="23"/>
  <c r="R56" i="23"/>
  <c r="H52" i="5"/>
  <c r="L65" i="5"/>
  <c r="I65" i="5" s="1"/>
  <c r="H65" i="5" s="1"/>
  <c r="J13" i="14"/>
  <c r="J10" i="14"/>
  <c r="J12" i="14" s="1"/>
  <c r="L42" i="18"/>
  <c r="X33" i="18" s="1"/>
  <c r="R45" i="18"/>
  <c r="R44" i="18"/>
  <c r="R43" i="18"/>
  <c r="R42" i="18"/>
  <c r="R41" i="18"/>
  <c r="R40" i="18"/>
  <c r="R39" i="18"/>
  <c r="G78" i="18"/>
  <c r="H37" i="18" s="1"/>
  <c r="P31" i="18" s="1"/>
  <c r="U38" i="26"/>
  <c r="V38" i="26"/>
  <c r="AB38" i="26"/>
  <c r="Q38" i="26"/>
  <c r="I38" i="26"/>
  <c r="Z38" i="26"/>
  <c r="N38" i="26"/>
  <c r="E38" i="26"/>
  <c r="Y38" i="26"/>
  <c r="M38" i="26"/>
  <c r="D38" i="26"/>
  <c r="X38" i="26"/>
  <c r="L38" i="26"/>
  <c r="C38" i="26"/>
  <c r="T38" i="26"/>
  <c r="K38" i="26"/>
  <c r="P38" i="26"/>
  <c r="G38" i="26"/>
  <c r="V7" i="26"/>
  <c r="U7" i="26"/>
  <c r="Q7" i="26"/>
  <c r="Q23" i="26" s="1"/>
  <c r="T7" i="26"/>
  <c r="T24" i="26" s="1"/>
  <c r="S7" i="26"/>
  <c r="S24" i="26" s="1"/>
  <c r="O7" i="26"/>
  <c r="V31" i="3"/>
  <c r="F52" i="15"/>
  <c r="B14" i="16"/>
  <c r="B9" i="16"/>
  <c r="G51" i="1"/>
  <c r="K51" i="1"/>
  <c r="K9" i="25" s="1"/>
  <c r="K52" i="1"/>
  <c r="K22" i="2" s="1"/>
  <c r="K10" i="25" s="1"/>
  <c r="J51" i="1"/>
  <c r="J9" i="25" s="1"/>
  <c r="D223" i="20"/>
  <c r="E223" i="20" s="1"/>
  <c r="C250" i="20"/>
  <c r="C251" i="20" s="1"/>
  <c r="C253" i="20" s="1"/>
  <c r="C254" i="20" s="1"/>
  <c r="C255" i="20" s="1"/>
  <c r="C269" i="20" s="1"/>
  <c r="C263" i="20"/>
  <c r="C262" i="20"/>
  <c r="B234" i="20" s="1"/>
  <c r="W27" i="26" s="1"/>
  <c r="B8" i="22"/>
  <c r="I5" i="22" s="1"/>
  <c r="B13" i="22"/>
  <c r="G6" i="22"/>
  <c r="I4" i="22"/>
  <c r="S40" i="18"/>
  <c r="J45" i="18"/>
  <c r="T45" i="18"/>
  <c r="T44" i="18"/>
  <c r="T43" i="18"/>
  <c r="T42" i="18"/>
  <c r="T41" i="18"/>
  <c r="T40" i="18"/>
  <c r="T39" i="18"/>
  <c r="U63" i="3"/>
  <c r="V63" i="3"/>
  <c r="I117" i="20"/>
  <c r="W41" i="26" s="1"/>
  <c r="C36" i="12"/>
  <c r="D21" i="12"/>
  <c r="D13" i="12"/>
  <c r="C18" i="12"/>
  <c r="W48" i="3" s="1"/>
  <c r="C10" i="12"/>
  <c r="W40" i="3" s="1"/>
  <c r="D27" i="12"/>
  <c r="D10" i="12"/>
  <c r="C14" i="12"/>
  <c r="W44" i="3" s="1"/>
  <c r="C28" i="12"/>
  <c r="W58" i="3" s="1"/>
  <c r="W71" i="3" s="1"/>
  <c r="I116" i="20"/>
  <c r="W40" i="26" s="1"/>
  <c r="G85" i="12"/>
  <c r="G84" i="12" s="1"/>
  <c r="G88" i="12" s="1"/>
  <c r="W136" i="3" s="1"/>
  <c r="W137" i="3" s="1"/>
  <c r="D32" i="12"/>
  <c r="D20" i="12"/>
  <c r="D12" i="12"/>
  <c r="C17" i="12"/>
  <c r="W47" i="3" s="1"/>
  <c r="D18" i="12"/>
  <c r="D85" i="12"/>
  <c r="D84" i="12" s="1"/>
  <c r="D88" i="12" s="1"/>
  <c r="C32" i="12"/>
  <c r="C22" i="12"/>
  <c r="W52" i="3" s="1"/>
  <c r="I115" i="20"/>
  <c r="W39" i="26" s="1"/>
  <c r="F85" i="12"/>
  <c r="F84" i="12" s="1"/>
  <c r="F88" i="12" s="1"/>
  <c r="D28" i="12"/>
  <c r="D19" i="12"/>
  <c r="D11" i="12"/>
  <c r="C16" i="12"/>
  <c r="W46" i="3" s="1"/>
  <c r="E85" i="12"/>
  <c r="E84" i="12" s="1"/>
  <c r="E88" i="12" s="1"/>
  <c r="C15" i="12"/>
  <c r="W45" i="3" s="1"/>
  <c r="D17" i="12"/>
  <c r="D16" i="12"/>
  <c r="C21" i="12"/>
  <c r="W51" i="3" s="1"/>
  <c r="C13" i="12"/>
  <c r="W43" i="3" s="1"/>
  <c r="D15" i="12"/>
  <c r="C27" i="12"/>
  <c r="W57" i="3" s="1"/>
  <c r="W70" i="3" s="1"/>
  <c r="C20" i="12"/>
  <c r="W50" i="3" s="1"/>
  <c r="C12" i="12"/>
  <c r="W42" i="3" s="1"/>
  <c r="D36" i="12"/>
  <c r="C19" i="12"/>
  <c r="W49" i="3" s="1"/>
  <c r="C11" i="12"/>
  <c r="W41" i="3" s="1"/>
  <c r="D22" i="12"/>
  <c r="D14" i="12"/>
  <c r="H50" i="5"/>
  <c r="I50" i="5" s="1"/>
  <c r="L64" i="5" s="1"/>
  <c r="I88" i="5"/>
  <c r="I89" i="5"/>
  <c r="U88" i="3"/>
  <c r="V88" i="3"/>
  <c r="V92" i="3"/>
  <c r="U92" i="3"/>
  <c r="V96" i="3"/>
  <c r="U96" i="3"/>
  <c r="U100" i="3"/>
  <c r="V100" i="3"/>
  <c r="K42" i="15"/>
  <c r="G37" i="18"/>
  <c r="O35" i="18" s="1"/>
  <c r="U40" i="18"/>
  <c r="U44" i="18"/>
  <c r="E139" i="20"/>
  <c r="E67" i="20"/>
  <c r="D15" i="20" s="1"/>
  <c r="E206" i="20"/>
  <c r="V8" i="26"/>
  <c r="V72" i="26" s="1"/>
  <c r="U8" i="26"/>
  <c r="U72" i="26" s="1"/>
  <c r="T8" i="26"/>
  <c r="T72" i="26" s="1"/>
  <c r="O63" i="5"/>
  <c r="K36" i="18"/>
  <c r="K31" i="18"/>
  <c r="K34" i="18"/>
  <c r="K32" i="18"/>
  <c r="V61" i="26"/>
  <c r="U61" i="26"/>
  <c r="S61" i="26"/>
  <c r="K61" i="26"/>
  <c r="C61" i="26"/>
  <c r="E12" i="5"/>
  <c r="E48" i="5" s="1"/>
  <c r="F48" i="5" s="1"/>
  <c r="I12" i="5"/>
  <c r="J12" i="5" s="1"/>
  <c r="V63" i="5"/>
  <c r="X63" i="5" s="1"/>
  <c r="Y63" i="5" s="1"/>
  <c r="D73" i="5"/>
  <c r="B75" i="5"/>
  <c r="D75" i="5" s="1"/>
  <c r="V90" i="3"/>
  <c r="U90" i="3"/>
  <c r="V94" i="3"/>
  <c r="U94" i="3"/>
  <c r="U98" i="3"/>
  <c r="V98" i="3"/>
  <c r="K35" i="18"/>
  <c r="L32" i="18"/>
  <c r="L30" i="18"/>
  <c r="U42" i="18"/>
  <c r="V62" i="26"/>
  <c r="U62" i="26"/>
  <c r="T62" i="26"/>
  <c r="L62" i="26"/>
  <c r="D62" i="26"/>
  <c r="D68" i="26" s="1"/>
  <c r="E290" i="20"/>
  <c r="C280" i="20"/>
  <c r="C281" i="20" s="1"/>
  <c r="C283" i="20" s="1"/>
  <c r="C284" i="20" s="1"/>
  <c r="C285" i="20" s="1"/>
  <c r="I34" i="24"/>
  <c r="AB68" i="26"/>
  <c r="M34" i="18"/>
  <c r="M30" i="18"/>
  <c r="M35" i="18"/>
  <c r="U63" i="26"/>
  <c r="V63" i="26"/>
  <c r="X63" i="26"/>
  <c r="M63" i="26"/>
  <c r="E63" i="26"/>
  <c r="C200" i="20"/>
  <c r="E200" i="20" s="1"/>
  <c r="I19" i="5"/>
  <c r="J19" i="5" s="1"/>
  <c r="I62" i="5"/>
  <c r="K62" i="5" s="1"/>
  <c r="L62" i="5" s="1"/>
  <c r="V64" i="5"/>
  <c r="X64" i="5" s="1"/>
  <c r="Y64" i="5" s="1"/>
  <c r="I67" i="5"/>
  <c r="K67" i="5" s="1"/>
  <c r="L67" i="5" s="1"/>
  <c r="W36" i="24" s="1"/>
  <c r="U91" i="3"/>
  <c r="V91" i="3"/>
  <c r="U95" i="3"/>
  <c r="V95" i="3"/>
  <c r="V99" i="3"/>
  <c r="U99" i="3"/>
  <c r="D89" i="12"/>
  <c r="D40" i="15"/>
  <c r="U41" i="18"/>
  <c r="U35" i="26"/>
  <c r="V35" i="26"/>
  <c r="AA35" i="26"/>
  <c r="P35" i="26"/>
  <c r="H35" i="26"/>
  <c r="H68" i="26" s="1"/>
  <c r="B220" i="20"/>
  <c r="K28" i="26"/>
  <c r="C28" i="26"/>
  <c r="E266" i="20"/>
  <c r="U64" i="26"/>
  <c r="V64" i="26"/>
  <c r="C286" i="20"/>
  <c r="B236" i="20" s="1"/>
  <c r="D236" i="20" s="1"/>
  <c r="C55" i="23"/>
  <c r="S55" i="23"/>
  <c r="D56" i="23"/>
  <c r="L56" i="23"/>
  <c r="T56" i="23"/>
  <c r="M57" i="23"/>
  <c r="F58" i="23"/>
  <c r="N58" i="23"/>
  <c r="Y58" i="23"/>
  <c r="G59" i="23"/>
  <c r="O59" i="23"/>
  <c r="Z59" i="23"/>
  <c r="H60" i="23"/>
  <c r="P60" i="23"/>
  <c r="AA60" i="23"/>
  <c r="I61" i="23"/>
  <c r="Q61" i="23"/>
  <c r="AB61" i="23"/>
  <c r="J62" i="23"/>
  <c r="R62" i="23"/>
  <c r="C63" i="23"/>
  <c r="K63" i="23"/>
  <c r="E34" i="24"/>
  <c r="AB23" i="26"/>
  <c r="I64" i="5"/>
  <c r="K64" i="5" s="1"/>
  <c r="V89" i="3"/>
  <c r="U89" i="3"/>
  <c r="V93" i="3"/>
  <c r="U93" i="3"/>
  <c r="U97" i="3"/>
  <c r="V97" i="3"/>
  <c r="G89" i="12"/>
  <c r="W138" i="3" s="1"/>
  <c r="W139" i="3" s="1"/>
  <c r="W27" i="18"/>
  <c r="U33" i="23"/>
  <c r="U57" i="23" s="1"/>
  <c r="V33" i="23"/>
  <c r="V57" i="23" s="1"/>
  <c r="AB24" i="26"/>
  <c r="AB32" i="26" s="1"/>
  <c r="M13" i="26"/>
  <c r="M23" i="26"/>
  <c r="N13" i="26"/>
  <c r="N23" i="26"/>
  <c r="P13" i="26"/>
  <c r="P23" i="26"/>
  <c r="AB15" i="26"/>
  <c r="R13" i="26"/>
  <c r="R23" i="26"/>
  <c r="M24" i="26"/>
  <c r="N24" i="26"/>
  <c r="X18" i="26"/>
  <c r="Y18" i="26"/>
  <c r="P24" i="26"/>
  <c r="AB13" i="26"/>
  <c r="U20" i="23"/>
  <c r="U67" i="23" s="1"/>
  <c r="U91" i="23" s="1"/>
  <c r="U28" i="23"/>
  <c r="U75" i="23" s="1"/>
  <c r="U99" i="23" s="1"/>
  <c r="U21" i="23"/>
  <c r="U68" i="23" s="1"/>
  <c r="U92" i="23" s="1"/>
  <c r="U22" i="23"/>
  <c r="U23" i="23"/>
  <c r="U70" i="23" s="1"/>
  <c r="U94" i="23" s="1"/>
  <c r="U24" i="23"/>
  <c r="U71" i="23" s="1"/>
  <c r="U95" i="23" s="1"/>
  <c r="U25" i="23"/>
  <c r="U72" i="23" s="1"/>
  <c r="U96" i="23" s="1"/>
  <c r="U26" i="23"/>
  <c r="U73" i="23" s="1"/>
  <c r="U97" i="23" s="1"/>
  <c r="U27" i="23"/>
  <c r="U74" i="23" s="1"/>
  <c r="U98" i="23" s="1"/>
  <c r="P55" i="23"/>
  <c r="I56" i="23"/>
  <c r="AB56" i="23"/>
  <c r="R57" i="23"/>
  <c r="K58" i="23"/>
  <c r="D59" i="23"/>
  <c r="T59" i="23"/>
  <c r="M60" i="23"/>
  <c r="F61" i="23"/>
  <c r="Y61" i="23"/>
  <c r="O62" i="23"/>
  <c r="H63" i="23"/>
  <c r="AA63" i="23"/>
  <c r="R55" i="23"/>
  <c r="K56" i="23"/>
  <c r="D57" i="23"/>
  <c r="M58" i="23"/>
  <c r="F59" i="23"/>
  <c r="Y59" i="23"/>
  <c r="O60" i="23"/>
  <c r="H61" i="23"/>
  <c r="AA61" i="23"/>
  <c r="Q62" i="23"/>
  <c r="J63" i="23"/>
  <c r="N55" i="23"/>
  <c r="G56" i="23"/>
  <c r="Z56" i="23"/>
  <c r="P57" i="23"/>
  <c r="I58" i="23"/>
  <c r="AB58" i="23"/>
  <c r="R59" i="23"/>
  <c r="K60" i="23"/>
  <c r="D61" i="23"/>
  <c r="T61" i="23"/>
  <c r="M62" i="23"/>
  <c r="F63" i="23"/>
  <c r="Y63" i="23"/>
  <c r="J44" i="1"/>
  <c r="J14" i="23" s="1"/>
  <c r="K43" i="1"/>
  <c r="K13" i="23" s="1"/>
  <c r="Q51" i="1"/>
  <c r="Q9" i="25" s="1"/>
  <c r="Q12" i="25" s="1"/>
  <c r="Z71" i="26"/>
  <c r="D6" i="3"/>
  <c r="D15" i="2"/>
  <c r="AA71" i="26"/>
  <c r="C72" i="26"/>
  <c r="F6" i="3"/>
  <c r="F15" i="2"/>
  <c r="D72" i="26"/>
  <c r="H6" i="3"/>
  <c r="H15" i="2"/>
  <c r="E72" i="26"/>
  <c r="X72" i="26"/>
  <c r="J6" i="3"/>
  <c r="J15" i="2"/>
  <c r="F72" i="26"/>
  <c r="Y72" i="26"/>
  <c r="G72" i="26"/>
  <c r="H72" i="26"/>
  <c r="T6" i="3"/>
  <c r="T15" i="2"/>
  <c r="R6" i="3"/>
  <c r="R15" i="2"/>
  <c r="Y6" i="3"/>
  <c r="Y15" i="2"/>
  <c r="Z72" i="26"/>
  <c r="AA72" i="26"/>
  <c r="Z18" i="26"/>
  <c r="AA18" i="26"/>
  <c r="Z23" i="26"/>
  <c r="AA23" i="26"/>
  <c r="Z19" i="26"/>
  <c r="AA19" i="26"/>
  <c r="Z28" i="26"/>
  <c r="Z13" i="26"/>
  <c r="AA28" i="26"/>
  <c r="AA13" i="26"/>
  <c r="Z24" i="26"/>
  <c r="AA24" i="26"/>
  <c r="AA6" i="3"/>
  <c r="AA15" i="2"/>
  <c r="L6" i="3"/>
  <c r="L15" i="2"/>
  <c r="S6" i="3"/>
  <c r="S15" i="2"/>
  <c r="Q6" i="3"/>
  <c r="Q15" i="2"/>
  <c r="L45" i="1"/>
  <c r="L15" i="23" s="1"/>
  <c r="C56" i="3"/>
  <c r="C109" i="3"/>
  <c r="C111" i="3" s="1"/>
  <c r="C114" i="3" s="1"/>
  <c r="S56" i="3"/>
  <c r="S109" i="3"/>
  <c r="L51" i="1"/>
  <c r="L9" i="25" s="1"/>
  <c r="X29" i="1"/>
  <c r="X21" i="3" s="1"/>
  <c r="L45" i="24"/>
  <c r="C20" i="2"/>
  <c r="H45" i="24"/>
  <c r="O20" i="2"/>
  <c r="X12" i="25"/>
  <c r="R20" i="2"/>
  <c r="K34" i="24"/>
  <c r="O29" i="1"/>
  <c r="O21" i="3" s="1"/>
  <c r="Y12" i="25"/>
  <c r="S20" i="2"/>
  <c r="P29" i="1"/>
  <c r="P21" i="3" s="1"/>
  <c r="G29" i="1"/>
  <c r="G21" i="3" s="1"/>
  <c r="M34" i="24"/>
  <c r="Q29" i="1"/>
  <c r="Q21" i="3" s="1"/>
  <c r="Z29" i="1"/>
  <c r="Z21" i="3" s="1"/>
  <c r="N34" i="24"/>
  <c r="R29" i="1"/>
  <c r="R21" i="3" s="1"/>
  <c r="K29" i="1"/>
  <c r="K21" i="3" s="1"/>
  <c r="AB12" i="25"/>
  <c r="C29" i="1"/>
  <c r="C21" i="3" s="1"/>
  <c r="D29" i="1"/>
  <c r="D21" i="3" s="1"/>
  <c r="T29" i="1"/>
  <c r="T21" i="3" s="1"/>
  <c r="AA45" i="24"/>
  <c r="F5" i="2"/>
  <c r="F21" i="24" s="1"/>
  <c r="Y29" i="1"/>
  <c r="Y21" i="3" s="1"/>
  <c r="Y5" i="2"/>
  <c r="Y21" i="24" s="1"/>
  <c r="AB32" i="24"/>
  <c r="D32" i="24"/>
  <c r="T32" i="24"/>
  <c r="E28" i="24"/>
  <c r="E31" i="24"/>
  <c r="E27" i="24"/>
  <c r="E30" i="24"/>
  <c r="E26" i="24"/>
  <c r="E29" i="24"/>
  <c r="E32" i="24"/>
  <c r="X31" i="24"/>
  <c r="X27" i="24"/>
  <c r="X28" i="24"/>
  <c r="X30" i="24"/>
  <c r="X26" i="24"/>
  <c r="X29" i="24"/>
  <c r="X32" i="24"/>
  <c r="F32" i="24"/>
  <c r="Y32" i="24"/>
  <c r="G28" i="24"/>
  <c r="G31" i="24"/>
  <c r="G27" i="24"/>
  <c r="G30" i="24"/>
  <c r="G32" i="24"/>
  <c r="G26" i="24"/>
  <c r="G29" i="24"/>
  <c r="Z28" i="24"/>
  <c r="Z31" i="24"/>
  <c r="Z27" i="24"/>
  <c r="Z30" i="24"/>
  <c r="Z26" i="24"/>
  <c r="Z32" i="24"/>
  <c r="Z29" i="24"/>
  <c r="H32" i="24"/>
  <c r="AA32" i="24"/>
  <c r="I32" i="24"/>
  <c r="I28" i="24"/>
  <c r="I31" i="24"/>
  <c r="I29" i="24"/>
  <c r="I26" i="24"/>
  <c r="I27" i="24"/>
  <c r="I30" i="24"/>
  <c r="J32" i="24"/>
  <c r="R32" i="24"/>
  <c r="L32" i="24"/>
  <c r="M26" i="24"/>
  <c r="M29" i="24"/>
  <c r="M32" i="24"/>
  <c r="M28" i="24"/>
  <c r="M31" i="24"/>
  <c r="M30" i="24"/>
  <c r="M27" i="24"/>
  <c r="N26" i="24"/>
  <c r="N29" i="24"/>
  <c r="N32" i="24"/>
  <c r="N28" i="24"/>
  <c r="N31" i="24"/>
  <c r="N27" i="24"/>
  <c r="N30" i="24"/>
  <c r="S32" i="24"/>
  <c r="O32" i="24"/>
  <c r="P32" i="24"/>
  <c r="T45" i="24"/>
  <c r="M5" i="3"/>
  <c r="O6" i="2"/>
  <c r="O7" i="2" s="1"/>
  <c r="L13" i="15"/>
  <c r="L10" i="15"/>
  <c r="L14" i="15" s="1"/>
  <c r="L15" i="15" s="1"/>
  <c r="K30" i="24"/>
  <c r="K27" i="24"/>
  <c r="K32" i="24"/>
  <c r="K28" i="24"/>
  <c r="K29" i="24"/>
  <c r="K26" i="24"/>
  <c r="K31" i="24"/>
  <c r="C28" i="24"/>
  <c r="C29" i="24"/>
  <c r="C30" i="24"/>
  <c r="C31" i="24"/>
  <c r="C32" i="24"/>
  <c r="C27" i="24"/>
  <c r="C26" i="24"/>
  <c r="E108" i="5"/>
  <c r="H11" i="5"/>
  <c r="E102" i="5"/>
  <c r="M102" i="5" s="1"/>
  <c r="P41" i="26"/>
  <c r="R41" i="26"/>
  <c r="C103" i="5"/>
  <c r="K103" i="5" s="1"/>
  <c r="C41" i="26"/>
  <c r="E41" i="26"/>
  <c r="X41" i="26"/>
  <c r="F41" i="26"/>
  <c r="Y41" i="26"/>
  <c r="H12" i="5"/>
  <c r="H41" i="26"/>
  <c r="AA41" i="26"/>
  <c r="I41" i="26"/>
  <c r="L62" i="3"/>
  <c r="L110" i="3"/>
  <c r="L31" i="3"/>
  <c r="Q62" i="3"/>
  <c r="Q110" i="3"/>
  <c r="Q31" i="3"/>
  <c r="R62" i="3"/>
  <c r="R110" i="3"/>
  <c r="R31" i="3"/>
  <c r="Y110" i="3"/>
  <c r="Y31" i="3"/>
  <c r="Y62" i="3"/>
  <c r="S62" i="3"/>
  <c r="S110" i="3"/>
  <c r="S31" i="3"/>
  <c r="S33" i="3" s="1"/>
  <c r="AB62" i="3"/>
  <c r="AB110" i="3"/>
  <c r="J14" i="24"/>
  <c r="J7" i="25" s="1"/>
  <c r="F31" i="3"/>
  <c r="F62" i="3"/>
  <c r="F110" i="3"/>
  <c r="J62" i="3"/>
  <c r="J110" i="3"/>
  <c r="J31" i="3"/>
  <c r="Y45" i="24"/>
  <c r="H29" i="1"/>
  <c r="H21" i="3" s="1"/>
  <c r="AA29" i="1"/>
  <c r="AA21" i="3" s="1"/>
  <c r="R12" i="25"/>
  <c r="G5" i="2"/>
  <c r="G21" i="24" s="1"/>
  <c r="Z5" i="2"/>
  <c r="Z21" i="24" s="1"/>
  <c r="P6" i="2"/>
  <c r="J14" i="2"/>
  <c r="C5" i="23"/>
  <c r="C23" i="23" s="1"/>
  <c r="P20" i="2"/>
  <c r="N5" i="3"/>
  <c r="P10" i="3"/>
  <c r="J45" i="24"/>
  <c r="I29" i="1"/>
  <c r="I21" i="3" s="1"/>
  <c r="AB29" i="1"/>
  <c r="AB21" i="3" s="1"/>
  <c r="S12" i="25"/>
  <c r="H5" i="2"/>
  <c r="H21" i="24" s="1"/>
  <c r="AA5" i="2"/>
  <c r="AA21" i="24" s="1"/>
  <c r="Q6" i="2"/>
  <c r="K14" i="2"/>
  <c r="O5" i="3"/>
  <c r="Q10" i="3"/>
  <c r="J29" i="1"/>
  <c r="J21" i="3" s="1"/>
  <c r="T12" i="25"/>
  <c r="I5" i="2"/>
  <c r="I21" i="24" s="1"/>
  <c r="AB5" i="2"/>
  <c r="AB21" i="24" s="1"/>
  <c r="R6" i="2"/>
  <c r="L14" i="2"/>
  <c r="E5" i="23"/>
  <c r="E25" i="23" s="1"/>
  <c r="X5" i="23"/>
  <c r="X21" i="23" s="1"/>
  <c r="P5" i="3"/>
  <c r="R10" i="3"/>
  <c r="K11" i="3"/>
  <c r="D31" i="3"/>
  <c r="D62" i="3"/>
  <c r="D110" i="3"/>
  <c r="J5" i="2"/>
  <c r="J21" i="24" s="1"/>
  <c r="S6" i="2"/>
  <c r="H62" i="3"/>
  <c r="H110" i="3"/>
  <c r="AA31" i="3"/>
  <c r="AA62" i="3"/>
  <c r="Q5" i="3"/>
  <c r="C10" i="3"/>
  <c r="C138" i="3"/>
  <c r="C6" i="2"/>
  <c r="L29" i="1"/>
  <c r="L21" i="3" s="1"/>
  <c r="K5" i="2"/>
  <c r="K21" i="24" s="1"/>
  <c r="D6" i="2"/>
  <c r="T6" i="2"/>
  <c r="G5" i="23"/>
  <c r="G23" i="23" s="1"/>
  <c r="Z5" i="23"/>
  <c r="Z26" i="23" s="1"/>
  <c r="Z73" i="23" s="1"/>
  <c r="Z97" i="23" s="1"/>
  <c r="D20" i="2"/>
  <c r="T20" i="2"/>
  <c r="R5" i="3"/>
  <c r="D10" i="3"/>
  <c r="T10" i="3"/>
  <c r="X34" i="24"/>
  <c r="X38" i="24"/>
  <c r="X47" i="24" s="1"/>
  <c r="I14" i="2"/>
  <c r="M29" i="1"/>
  <c r="M21" i="3" s="1"/>
  <c r="Z12" i="25"/>
  <c r="L5" i="2"/>
  <c r="L21" i="24" s="1"/>
  <c r="E6" i="2"/>
  <c r="X6" i="2"/>
  <c r="E20" i="2"/>
  <c r="X20" i="2"/>
  <c r="C5" i="3"/>
  <c r="S5" i="3"/>
  <c r="X10" i="3"/>
  <c r="N29" i="1"/>
  <c r="N21" i="3" s="1"/>
  <c r="AA12" i="25"/>
  <c r="M5" i="2"/>
  <c r="M21" i="24" s="1"/>
  <c r="F6" i="2"/>
  <c r="Y6" i="2"/>
  <c r="F20" i="2"/>
  <c r="Y20" i="2"/>
  <c r="D5" i="3"/>
  <c r="T5" i="3"/>
  <c r="Y10" i="3"/>
  <c r="AB14" i="2"/>
  <c r="N5" i="2"/>
  <c r="N21" i="24" s="1"/>
  <c r="G6" i="2"/>
  <c r="G7" i="2" s="1"/>
  <c r="Z6" i="2"/>
  <c r="Z20" i="2"/>
  <c r="E5" i="3"/>
  <c r="X5" i="3"/>
  <c r="O5" i="2"/>
  <c r="O21" i="24" s="1"/>
  <c r="H6" i="2"/>
  <c r="H7" i="2" s="1"/>
  <c r="AA6" i="2"/>
  <c r="AA20" i="2"/>
  <c r="F5" i="3"/>
  <c r="Y5" i="3"/>
  <c r="Q11" i="24"/>
  <c r="D45" i="24"/>
  <c r="P5" i="2"/>
  <c r="P21" i="24" s="1"/>
  <c r="I6" i="2"/>
  <c r="I7" i="2" s="1"/>
  <c r="AB6" i="2"/>
  <c r="AB20" i="2"/>
  <c r="G5" i="3"/>
  <c r="Z5" i="3"/>
  <c r="J12" i="24"/>
  <c r="M5" i="23"/>
  <c r="M20" i="23" s="1"/>
  <c r="M67" i="23" s="1"/>
  <c r="M91" i="23" s="1"/>
  <c r="H5" i="3"/>
  <c r="AA5" i="3"/>
  <c r="AA110" i="3"/>
  <c r="T110" i="3"/>
  <c r="T31" i="3"/>
  <c r="T33" i="3" s="1"/>
  <c r="S29" i="1"/>
  <c r="S21" i="3" s="1"/>
  <c r="R5" i="2"/>
  <c r="R21" i="24" s="1"/>
  <c r="K6" i="2"/>
  <c r="N5" i="23"/>
  <c r="N25" i="23" s="1"/>
  <c r="M12" i="25"/>
  <c r="Q45" i="24"/>
  <c r="N12" i="25"/>
  <c r="C5" i="2"/>
  <c r="C21" i="24" s="1"/>
  <c r="S5" i="2"/>
  <c r="S21" i="24" s="1"/>
  <c r="L6" i="2"/>
  <c r="O5" i="23"/>
  <c r="O22" i="23" s="1"/>
  <c r="O69" i="23" s="1"/>
  <c r="O93" i="23" s="1"/>
  <c r="F45" i="24"/>
  <c r="R45" i="24"/>
  <c r="O12" i="25"/>
  <c r="D5" i="2"/>
  <c r="D21" i="24" s="1"/>
  <c r="T5" i="2"/>
  <c r="T21" i="24" s="1"/>
  <c r="M6" i="2"/>
  <c r="P5" i="23"/>
  <c r="P28" i="23" s="1"/>
  <c r="M20" i="2"/>
  <c r="S45" i="24"/>
  <c r="P12" i="25"/>
  <c r="E5" i="2"/>
  <c r="E21" i="24" s="1"/>
  <c r="X5" i="2"/>
  <c r="X21" i="24" s="1"/>
  <c r="N6" i="2"/>
  <c r="N20" i="2"/>
  <c r="G34" i="24"/>
  <c r="Z34" i="24"/>
  <c r="I38" i="24"/>
  <c r="I47" i="24" s="1"/>
  <c r="G42" i="24"/>
  <c r="G45" i="24" s="1"/>
  <c r="P38" i="24"/>
  <c r="P47" i="24" s="1"/>
  <c r="C38" i="24"/>
  <c r="C47" i="24" s="1"/>
  <c r="E38" i="24"/>
  <c r="E47" i="24" s="1"/>
  <c r="C14" i="25"/>
  <c r="AB14" i="25"/>
  <c r="D14" i="25"/>
  <c r="E14" i="25"/>
  <c r="F14" i="25"/>
  <c r="Q56" i="3"/>
  <c r="Q104" i="3"/>
  <c r="Q63" i="3"/>
  <c r="Q39" i="3"/>
  <c r="Q87" i="3"/>
  <c r="Q61" i="3"/>
  <c r="R56" i="3"/>
  <c r="R104" i="3"/>
  <c r="R63" i="3"/>
  <c r="R39" i="3"/>
  <c r="R87" i="3"/>
  <c r="R61" i="3"/>
  <c r="D61" i="3"/>
  <c r="D56" i="3"/>
  <c r="D104" i="3"/>
  <c r="D63" i="3"/>
  <c r="D39" i="3"/>
  <c r="D87" i="3"/>
  <c r="T104" i="3"/>
  <c r="T63" i="3"/>
  <c r="T39" i="3"/>
  <c r="T56" i="3"/>
  <c r="T87" i="3"/>
  <c r="T61" i="3"/>
  <c r="F61" i="3"/>
  <c r="F56" i="3"/>
  <c r="F104" i="3"/>
  <c r="F63" i="3"/>
  <c r="F39" i="3"/>
  <c r="F87" i="3"/>
  <c r="Y104" i="3"/>
  <c r="Y63" i="3"/>
  <c r="Y39" i="3"/>
  <c r="Y87" i="3"/>
  <c r="Y61" i="3"/>
  <c r="Y56" i="3"/>
  <c r="H61" i="3"/>
  <c r="H56" i="3"/>
  <c r="H104" i="3"/>
  <c r="H63" i="3"/>
  <c r="H39" i="3"/>
  <c r="H87" i="3"/>
  <c r="AA104" i="3"/>
  <c r="AA63" i="3"/>
  <c r="AA39" i="3"/>
  <c r="AA87" i="3"/>
  <c r="AA61" i="3"/>
  <c r="AA56" i="3"/>
  <c r="AB63" i="3"/>
  <c r="AB39" i="3"/>
  <c r="AB87" i="3"/>
  <c r="AB61" i="3"/>
  <c r="AB104" i="3"/>
  <c r="AB56" i="3"/>
  <c r="J61" i="3"/>
  <c r="J56" i="3"/>
  <c r="J104" i="3"/>
  <c r="J63" i="3"/>
  <c r="J39" i="3"/>
  <c r="J87" i="3"/>
  <c r="L61" i="3"/>
  <c r="L56" i="3"/>
  <c r="L104" i="3"/>
  <c r="L63" i="3"/>
  <c r="L39" i="3"/>
  <c r="L87" i="3"/>
  <c r="S61" i="3"/>
  <c r="S87" i="3"/>
  <c r="S39" i="3"/>
  <c r="S63" i="3"/>
  <c r="S75" i="3" s="1"/>
  <c r="S104" i="3"/>
  <c r="C124" i="3"/>
  <c r="K110" i="3"/>
  <c r="K62" i="3"/>
  <c r="M110" i="3"/>
  <c r="M62" i="3"/>
  <c r="E56" i="3"/>
  <c r="E87" i="3"/>
  <c r="E104" i="3"/>
  <c r="E39" i="3"/>
  <c r="E61" i="3"/>
  <c r="E63" i="3"/>
  <c r="E75" i="3" s="1"/>
  <c r="X56" i="3"/>
  <c r="X87" i="3"/>
  <c r="X104" i="3"/>
  <c r="X39" i="3"/>
  <c r="X61" i="3"/>
  <c r="X63" i="3"/>
  <c r="X75" i="3" s="1"/>
  <c r="N110" i="3"/>
  <c r="N62" i="3"/>
  <c r="O110" i="3"/>
  <c r="O62" i="3"/>
  <c r="G104" i="3"/>
  <c r="G39" i="3"/>
  <c r="G61" i="3"/>
  <c r="G63" i="3"/>
  <c r="G75" i="3" s="1"/>
  <c r="G56" i="3"/>
  <c r="G87" i="3"/>
  <c r="Z104" i="3"/>
  <c r="Z39" i="3"/>
  <c r="Z61" i="3"/>
  <c r="Z63" i="3"/>
  <c r="Z75" i="3" s="1"/>
  <c r="Z56" i="3"/>
  <c r="Z87" i="3"/>
  <c r="P110" i="3"/>
  <c r="P62" i="3"/>
  <c r="I104" i="3"/>
  <c r="I39" i="3"/>
  <c r="I61" i="3"/>
  <c r="I63" i="3"/>
  <c r="I75" i="3" s="1"/>
  <c r="I56" i="3"/>
  <c r="I87" i="3"/>
  <c r="C62" i="3"/>
  <c r="K104" i="3"/>
  <c r="K39" i="3"/>
  <c r="K61" i="3"/>
  <c r="K63" i="3"/>
  <c r="K75" i="3" s="1"/>
  <c r="K56" i="3"/>
  <c r="K87" i="3"/>
  <c r="E62" i="3"/>
  <c r="E110" i="3"/>
  <c r="X62" i="3"/>
  <c r="X110" i="3"/>
  <c r="M104" i="3"/>
  <c r="M39" i="3"/>
  <c r="M61" i="3"/>
  <c r="M63" i="3"/>
  <c r="M75" i="3" s="1"/>
  <c r="M56" i="3"/>
  <c r="M87" i="3"/>
  <c r="N39" i="3"/>
  <c r="N61" i="3"/>
  <c r="N63" i="3"/>
  <c r="N75" i="3" s="1"/>
  <c r="N56" i="3"/>
  <c r="N87" i="3"/>
  <c r="N104" i="3"/>
  <c r="G62" i="3"/>
  <c r="G110" i="3"/>
  <c r="Z62" i="3"/>
  <c r="Z110" i="3"/>
  <c r="O61" i="3"/>
  <c r="O63" i="3"/>
  <c r="O75" i="3" s="1"/>
  <c r="O56" i="3"/>
  <c r="O87" i="3"/>
  <c r="O104" i="3"/>
  <c r="O39" i="3"/>
  <c r="P61" i="3"/>
  <c r="P63" i="3"/>
  <c r="P75" i="3" s="1"/>
  <c r="P56" i="3"/>
  <c r="P87" i="3"/>
  <c r="P104" i="3"/>
  <c r="P39" i="3"/>
  <c r="I62" i="3"/>
  <c r="I110" i="3"/>
  <c r="C63" i="3"/>
  <c r="C75" i="3" s="1"/>
  <c r="C61" i="3"/>
  <c r="H107" i="5"/>
  <c r="P138" i="3"/>
  <c r="N138" i="3"/>
  <c r="M138" i="3"/>
  <c r="K138" i="3"/>
  <c r="I138" i="3"/>
  <c r="Z138" i="3"/>
  <c r="G138" i="3"/>
  <c r="C39" i="3"/>
  <c r="C104" i="3"/>
  <c r="C125" i="3"/>
  <c r="AB138" i="3"/>
  <c r="Y138" i="3"/>
  <c r="N7" i="14"/>
  <c r="C87" i="3"/>
  <c r="P4" i="14"/>
  <c r="AA61" i="5"/>
  <c r="E105" i="5"/>
  <c r="M105" i="5" s="1"/>
  <c r="F12" i="14"/>
  <c r="E95" i="5"/>
  <c r="M95" i="5" s="1"/>
  <c r="E97" i="5"/>
  <c r="M97" i="5" s="1"/>
  <c r="E99" i="5"/>
  <c r="M99" i="5" s="1"/>
  <c r="E101" i="5"/>
  <c r="M101" i="5" s="1"/>
  <c r="G105" i="5"/>
  <c r="G95" i="5"/>
  <c r="G97" i="5"/>
  <c r="G99" i="5"/>
  <c r="G101" i="5"/>
  <c r="G103" i="5"/>
  <c r="H103" i="5"/>
  <c r="L7" i="15"/>
  <c r="L6" i="15" s="1"/>
  <c r="G108" i="5"/>
  <c r="K39" i="15"/>
  <c r="C104" i="5"/>
  <c r="K104" i="5" s="1"/>
  <c r="G106" i="5"/>
  <c r="H106" i="5"/>
  <c r="G7" i="14"/>
  <c r="E94" i="5"/>
  <c r="M94" i="5" s="1"/>
  <c r="E96" i="5"/>
  <c r="M96" i="5" s="1"/>
  <c r="E98" i="5"/>
  <c r="M98" i="5" s="1"/>
  <c r="G94" i="5"/>
  <c r="G96" i="5"/>
  <c r="G98" i="5"/>
  <c r="G100" i="5"/>
  <c r="G102" i="5"/>
  <c r="G104" i="5"/>
  <c r="H104" i="5"/>
  <c r="D109" i="5"/>
  <c r="L109" i="5" s="1"/>
  <c r="C14" i="15"/>
  <c r="C15" i="15" s="1"/>
  <c r="K65" i="5"/>
  <c r="G65" i="5"/>
  <c r="E65" i="5" s="1"/>
  <c r="D65" i="5" s="1"/>
  <c r="N65" i="5" s="1"/>
  <c r="D19" i="4" l="1"/>
  <c r="AA28" i="24"/>
  <c r="X20" i="26"/>
  <c r="Y20" i="26"/>
  <c r="C68" i="26"/>
  <c r="W8" i="26"/>
  <c r="W72" i="26" s="1"/>
  <c r="S8" i="26"/>
  <c r="S28" i="26" s="1"/>
  <c r="S32" i="26" s="1"/>
  <c r="P8" i="26"/>
  <c r="R8" i="26"/>
  <c r="R28" i="26" s="1"/>
  <c r="R32" i="26" s="1"/>
  <c r="Q8" i="26"/>
  <c r="Q28" i="26" s="1"/>
  <c r="O8" i="26"/>
  <c r="N8" i="26"/>
  <c r="M8" i="26"/>
  <c r="F9" i="20"/>
  <c r="F7" i="20"/>
  <c r="F6" i="20"/>
  <c r="M99" i="20"/>
  <c r="D6" i="15"/>
  <c r="N72" i="23"/>
  <c r="N96" i="23" s="1"/>
  <c r="Q138" i="3"/>
  <c r="S138" i="3"/>
  <c r="J138" i="3"/>
  <c r="H138" i="3"/>
  <c r="D138" i="3"/>
  <c r="T138" i="3"/>
  <c r="R138" i="3"/>
  <c r="E68" i="26"/>
  <c r="G68" i="26"/>
  <c r="F68" i="26"/>
  <c r="X68" i="23"/>
  <c r="X92" i="23" s="1"/>
  <c r="Y75" i="3"/>
  <c r="R28" i="24"/>
  <c r="T136" i="3"/>
  <c r="S136" i="3"/>
  <c r="D136" i="3"/>
  <c r="R75" i="3"/>
  <c r="C70" i="23"/>
  <c r="C94" i="23" s="1"/>
  <c r="R33" i="3"/>
  <c r="S13" i="26"/>
  <c r="S45" i="18"/>
  <c r="P96" i="20"/>
  <c r="D13" i="20"/>
  <c r="T64" i="3"/>
  <c r="M28" i="26"/>
  <c r="E53" i="5"/>
  <c r="G39" i="24" s="1"/>
  <c r="G48" i="24" s="1"/>
  <c r="S46" i="18"/>
  <c r="W65" i="3"/>
  <c r="W77" i="3" s="1"/>
  <c r="W83" i="3" s="1"/>
  <c r="S44" i="18"/>
  <c r="W28" i="24"/>
  <c r="W30" i="24"/>
  <c r="D18" i="4"/>
  <c r="J27" i="24" s="1"/>
  <c r="X27" i="18"/>
  <c r="AA27" i="26"/>
  <c r="P28" i="26"/>
  <c r="P32" i="26" s="1"/>
  <c r="S27" i="26"/>
  <c r="G70" i="23"/>
  <c r="G94" i="23" s="1"/>
  <c r="S57" i="3"/>
  <c r="S70" i="3" s="1"/>
  <c r="Z27" i="26"/>
  <c r="X31" i="18"/>
  <c r="W29" i="24"/>
  <c r="S39" i="18"/>
  <c r="S42" i="18"/>
  <c r="O96" i="20"/>
  <c r="K38" i="24"/>
  <c r="K47" i="24" s="1"/>
  <c r="O38" i="24"/>
  <c r="O47" i="24" s="1"/>
  <c r="L30" i="24"/>
  <c r="D17" i="4"/>
  <c r="W26" i="24" s="1"/>
  <c r="W15" i="26"/>
  <c r="T41" i="26"/>
  <c r="O41" i="26"/>
  <c r="Z41" i="26"/>
  <c r="D41" i="26"/>
  <c r="Q41" i="26"/>
  <c r="P30" i="18"/>
  <c r="W75" i="3"/>
  <c r="N24" i="18"/>
  <c r="AB10" i="1"/>
  <c r="AB7" i="24" s="1"/>
  <c r="AB43" i="24" s="1"/>
  <c r="AB45" i="24" s="1"/>
  <c r="J41" i="26"/>
  <c r="G41" i="26"/>
  <c r="N41" i="26"/>
  <c r="M41" i="26"/>
  <c r="U69" i="23"/>
  <c r="U93" i="23" s="1"/>
  <c r="U100" i="23" s="1"/>
  <c r="U43" i="27" s="1"/>
  <c r="U36" i="27" s="1"/>
  <c r="U29" i="27" s="1"/>
  <c r="W28" i="26"/>
  <c r="W32" i="26" s="1"/>
  <c r="W123" i="3"/>
  <c r="AB41" i="26"/>
  <c r="S41" i="26"/>
  <c r="N20" i="26"/>
  <c r="V64" i="3"/>
  <c r="V76" i="3" s="1"/>
  <c r="W64" i="3"/>
  <c r="W76" i="3" s="1"/>
  <c r="W82" i="3" s="1"/>
  <c r="AA64" i="5"/>
  <c r="W71" i="26"/>
  <c r="W48" i="26" s="1"/>
  <c r="W20" i="26"/>
  <c r="W31" i="26"/>
  <c r="S71" i="26"/>
  <c r="S48" i="26" s="1"/>
  <c r="W120" i="3"/>
  <c r="G52" i="1"/>
  <c r="G22" i="2" s="1"/>
  <c r="G10" i="25" s="1"/>
  <c r="H52" i="1"/>
  <c r="H22" i="2" s="1"/>
  <c r="H10" i="25" s="1"/>
  <c r="H12" i="25" s="1"/>
  <c r="X29" i="18"/>
  <c r="N38" i="24"/>
  <c r="N47" i="24" s="1"/>
  <c r="W5" i="23"/>
  <c r="W33" i="3"/>
  <c r="W113" i="3"/>
  <c r="W125" i="3" s="1"/>
  <c r="W131" i="3" s="1"/>
  <c r="O30" i="18"/>
  <c r="E17" i="19"/>
  <c r="E15" i="19" s="1"/>
  <c r="C32" i="22"/>
  <c r="E32" i="22" s="1"/>
  <c r="C31" i="22"/>
  <c r="E31" i="22" s="1"/>
  <c r="C33" i="22"/>
  <c r="E33" i="22" s="1"/>
  <c r="W8" i="24" s="1"/>
  <c r="W44" i="24" s="1"/>
  <c r="C30" i="22"/>
  <c r="E30" i="22" s="1"/>
  <c r="F28" i="24"/>
  <c r="L27" i="24"/>
  <c r="M38" i="24"/>
  <c r="M47" i="24" s="1"/>
  <c r="J68" i="26"/>
  <c r="W25" i="2"/>
  <c r="W49" i="26"/>
  <c r="L33" i="3"/>
  <c r="L68" i="26"/>
  <c r="G9" i="25"/>
  <c r="G12" i="25" s="1"/>
  <c r="G20" i="2"/>
  <c r="K12" i="25"/>
  <c r="E52" i="5"/>
  <c r="T14" i="14" s="1"/>
  <c r="R14" i="14" s="1"/>
  <c r="AA62" i="5"/>
  <c r="T67" i="5"/>
  <c r="V67" i="5" s="1"/>
  <c r="X67" i="5" s="1"/>
  <c r="AA63" i="5"/>
  <c r="AA65" i="5" s="1"/>
  <c r="Y65" i="5" s="1"/>
  <c r="X65" i="5" s="1"/>
  <c r="H14" i="5"/>
  <c r="E72" i="23"/>
  <c r="E96" i="23" s="1"/>
  <c r="D28" i="24"/>
  <c r="H5" i="23"/>
  <c r="H27" i="23" s="1"/>
  <c r="H74" i="23" s="1"/>
  <c r="H98" i="23" s="1"/>
  <c r="M15" i="26"/>
  <c r="S15" i="26"/>
  <c r="O33" i="18"/>
  <c r="V28" i="24"/>
  <c r="L52" i="1"/>
  <c r="L22" i="2" s="1"/>
  <c r="L10" i="25" s="1"/>
  <c r="L12" i="25" s="1"/>
  <c r="O28" i="24"/>
  <c r="H33" i="3"/>
  <c r="O26" i="24"/>
  <c r="T75" i="3"/>
  <c r="I52" i="1"/>
  <c r="I22" i="2" s="1"/>
  <c r="I10" i="25" s="1"/>
  <c r="U30" i="24"/>
  <c r="H15" i="5"/>
  <c r="Q20" i="2"/>
  <c r="J26" i="24"/>
  <c r="H28" i="24"/>
  <c r="K68" i="26"/>
  <c r="X37" i="18"/>
  <c r="J52" i="1"/>
  <c r="J22" i="2" s="1"/>
  <c r="J10" i="25" s="1"/>
  <c r="J12" i="25" s="1"/>
  <c r="S28" i="24"/>
  <c r="O15" i="26"/>
  <c r="B53" i="16"/>
  <c r="S26" i="24"/>
  <c r="L28" i="24"/>
  <c r="J28" i="24"/>
  <c r="T26" i="24"/>
  <c r="Q71" i="26"/>
  <c r="Q48" i="26" s="1"/>
  <c r="D18" i="20"/>
  <c r="D11" i="20" s="1"/>
  <c r="D23" i="12"/>
  <c r="O32" i="18"/>
  <c r="O34" i="18"/>
  <c r="AA26" i="24"/>
  <c r="J33" i="3"/>
  <c r="H13" i="5"/>
  <c r="L26" i="24"/>
  <c r="S30" i="24"/>
  <c r="V138" i="3"/>
  <c r="V139" i="3" s="1"/>
  <c r="L138" i="3"/>
  <c r="AA138" i="3"/>
  <c r="T28" i="26"/>
  <c r="T32" i="26" s="1"/>
  <c r="AB25" i="2"/>
  <c r="L64" i="3"/>
  <c r="L76" i="3" s="1"/>
  <c r="I136" i="3"/>
  <c r="U136" i="3"/>
  <c r="U137" i="3" s="1"/>
  <c r="X136" i="3"/>
  <c r="K136" i="3"/>
  <c r="G136" i="3"/>
  <c r="D29" i="24"/>
  <c r="J29" i="24"/>
  <c r="F29" i="24"/>
  <c r="AB29" i="24"/>
  <c r="R29" i="24"/>
  <c r="Y29" i="24"/>
  <c r="O29" i="24"/>
  <c r="P29" i="24"/>
  <c r="U29" i="24"/>
  <c r="V29" i="24"/>
  <c r="T29" i="24"/>
  <c r="H29" i="24"/>
  <c r="S29" i="24"/>
  <c r="AA29" i="24"/>
  <c r="L29" i="24"/>
  <c r="AA15" i="26"/>
  <c r="T23" i="26"/>
  <c r="O20" i="26"/>
  <c r="V57" i="3"/>
  <c r="V70" i="3" s="1"/>
  <c r="U57" i="3"/>
  <c r="U70" i="3" s="1"/>
  <c r="U82" i="3" s="1"/>
  <c r="V46" i="3"/>
  <c r="U46" i="3"/>
  <c r="V58" i="3"/>
  <c r="V71" i="3" s="1"/>
  <c r="U58" i="3"/>
  <c r="U71" i="3" s="1"/>
  <c r="U83" i="3" s="1"/>
  <c r="V65" i="3"/>
  <c r="V77" i="3" s="1"/>
  <c r="C12" i="19"/>
  <c r="C10" i="19" s="1"/>
  <c r="G12" i="19"/>
  <c r="F12" i="19"/>
  <c r="F10" i="19" s="1"/>
  <c r="E12" i="19"/>
  <c r="H12" i="19"/>
  <c r="H10" i="19" s="1"/>
  <c r="D12" i="19"/>
  <c r="D10" i="19" s="1"/>
  <c r="G27" i="22"/>
  <c r="G19" i="22"/>
  <c r="G26" i="22"/>
  <c r="G18" i="22"/>
  <c r="G25" i="22"/>
  <c r="G17" i="22"/>
  <c r="G24" i="22"/>
  <c r="G23" i="22"/>
  <c r="G22" i="22"/>
  <c r="G21" i="22"/>
  <c r="G20" i="22"/>
  <c r="O27" i="26"/>
  <c r="D5" i="20"/>
  <c r="E13" i="20"/>
  <c r="E5" i="20" s="1"/>
  <c r="C116" i="4"/>
  <c r="E116" i="4"/>
  <c r="D116" i="4"/>
  <c r="F116" i="4"/>
  <c r="P28" i="24"/>
  <c r="J30" i="24"/>
  <c r="AA30" i="24"/>
  <c r="Y28" i="24"/>
  <c r="D30" i="24"/>
  <c r="Z15" i="26"/>
  <c r="R71" i="26"/>
  <c r="R48" i="26" s="1"/>
  <c r="S20" i="26"/>
  <c r="G17" i="19"/>
  <c r="G15" i="19" s="1"/>
  <c r="D6" i="20"/>
  <c r="D9" i="20"/>
  <c r="D8" i="20"/>
  <c r="D7" i="20"/>
  <c r="E15" i="20"/>
  <c r="V44" i="3"/>
  <c r="U44" i="3"/>
  <c r="U41" i="26"/>
  <c r="V41" i="26"/>
  <c r="K41" i="26"/>
  <c r="L41" i="26"/>
  <c r="P37" i="18"/>
  <c r="P34" i="18"/>
  <c r="H53" i="5"/>
  <c r="I52" i="5"/>
  <c r="T11" i="14" s="1"/>
  <c r="T30" i="24"/>
  <c r="AB28" i="24"/>
  <c r="N71" i="26"/>
  <c r="N48" i="26" s="1"/>
  <c r="I7" i="26"/>
  <c r="L7" i="26"/>
  <c r="C7" i="26"/>
  <c r="K7" i="26"/>
  <c r="K71" i="26" s="1"/>
  <c r="J7" i="26"/>
  <c r="J71" i="26" s="1"/>
  <c r="F7" i="26"/>
  <c r="H7" i="26"/>
  <c r="E7" i="26"/>
  <c r="G7" i="26"/>
  <c r="D7" i="26"/>
  <c r="P20" i="26"/>
  <c r="U117" i="3"/>
  <c r="V41" i="3"/>
  <c r="U41" i="3"/>
  <c r="U51" i="3"/>
  <c r="V51" i="3"/>
  <c r="U75" i="3"/>
  <c r="U78" i="3" s="1"/>
  <c r="U66" i="3"/>
  <c r="Q24" i="26"/>
  <c r="Q25" i="2" s="1"/>
  <c r="Q27" i="26"/>
  <c r="Q31" i="26" s="1"/>
  <c r="Q15" i="26"/>
  <c r="M20" i="26"/>
  <c r="R20" i="26"/>
  <c r="G10" i="14"/>
  <c r="G12" i="14" s="1"/>
  <c r="G13" i="14"/>
  <c r="V117" i="3"/>
  <c r="V43" i="3"/>
  <c r="U43" i="3"/>
  <c r="V75" i="3"/>
  <c r="B235" i="20"/>
  <c r="D235" i="20" s="1"/>
  <c r="D234" i="20"/>
  <c r="V5" i="23"/>
  <c r="V23" i="23" s="1"/>
  <c r="V70" i="23" s="1"/>
  <c r="V94" i="23" s="1"/>
  <c r="V33" i="3"/>
  <c r="V113" i="3"/>
  <c r="C23" i="12"/>
  <c r="C57" i="3"/>
  <c r="C70" i="3" s="1"/>
  <c r="F26" i="24"/>
  <c r="T28" i="24"/>
  <c r="P71" i="26"/>
  <c r="P48" i="26" s="1"/>
  <c r="T71" i="26"/>
  <c r="T48" i="26" s="1"/>
  <c r="S23" i="26"/>
  <c r="S25" i="2" s="1"/>
  <c r="U71" i="26"/>
  <c r="U48" i="26" s="1"/>
  <c r="U49" i="3"/>
  <c r="V49" i="3"/>
  <c r="U40" i="3"/>
  <c r="V40" i="3"/>
  <c r="P36" i="18"/>
  <c r="U15" i="26"/>
  <c r="U23" i="26"/>
  <c r="U24" i="26"/>
  <c r="U13" i="26"/>
  <c r="U27" i="26"/>
  <c r="M27" i="26"/>
  <c r="M31" i="26" s="1"/>
  <c r="N32" i="18"/>
  <c r="N33" i="18"/>
  <c r="W33" i="18" s="1"/>
  <c r="Y33" i="18" s="1"/>
  <c r="N34" i="18"/>
  <c r="N30" i="18"/>
  <c r="W29" i="18" s="1"/>
  <c r="Y29" i="18" s="1"/>
  <c r="N37" i="18"/>
  <c r="V30" i="24"/>
  <c r="U26" i="24"/>
  <c r="P27" i="26"/>
  <c r="P31" i="26" s="1"/>
  <c r="E114" i="4"/>
  <c r="F114" i="4"/>
  <c r="D114" i="4"/>
  <c r="C114" i="4"/>
  <c r="F113" i="4"/>
  <c r="E113" i="4"/>
  <c r="D113" i="4"/>
  <c r="C113" i="4"/>
  <c r="B120" i="4"/>
  <c r="B121" i="4" s="1"/>
  <c r="N13" i="14"/>
  <c r="N10" i="14"/>
  <c r="N12" i="14" s="1"/>
  <c r="H102" i="5"/>
  <c r="Y26" i="24"/>
  <c r="F30" i="24"/>
  <c r="C58" i="3"/>
  <c r="C71" i="3" s="1"/>
  <c r="O13" i="26"/>
  <c r="T15" i="26"/>
  <c r="R27" i="26"/>
  <c r="R31" i="26" s="1"/>
  <c r="C17" i="19"/>
  <c r="C15" i="19" s="1"/>
  <c r="U28" i="26"/>
  <c r="U20" i="26"/>
  <c r="U18" i="26"/>
  <c r="V39" i="26"/>
  <c r="U39" i="26"/>
  <c r="R39" i="26"/>
  <c r="J39" i="26"/>
  <c r="S39" i="26"/>
  <c r="I39" i="26"/>
  <c r="Q39" i="26"/>
  <c r="H39" i="26"/>
  <c r="AB39" i="26"/>
  <c r="P39" i="26"/>
  <c r="G39" i="26"/>
  <c r="AA39" i="26"/>
  <c r="O39" i="26"/>
  <c r="F39" i="26"/>
  <c r="X39" i="26"/>
  <c r="L39" i="26"/>
  <c r="C39" i="26"/>
  <c r="T39" i="26"/>
  <c r="N39" i="26"/>
  <c r="E39" i="26"/>
  <c r="M39" i="26"/>
  <c r="K39" i="26"/>
  <c r="D39" i="26"/>
  <c r="Z39" i="26"/>
  <c r="Y39" i="26"/>
  <c r="V48" i="3"/>
  <c r="U48" i="3"/>
  <c r="V15" i="26"/>
  <c r="V27" i="26"/>
  <c r="V24" i="26"/>
  <c r="V13" i="26"/>
  <c r="V23" i="26"/>
  <c r="X7" i="26"/>
  <c r="Y7" i="26"/>
  <c r="U28" i="24"/>
  <c r="C6" i="15"/>
  <c r="C117" i="4"/>
  <c r="F117" i="4"/>
  <c r="E117" i="4"/>
  <c r="D117" i="4"/>
  <c r="D115" i="4"/>
  <c r="C115" i="4"/>
  <c r="F115" i="4"/>
  <c r="E115" i="4"/>
  <c r="F118" i="4"/>
  <c r="D118" i="4"/>
  <c r="E118" i="4"/>
  <c r="C118" i="4"/>
  <c r="P26" i="24"/>
  <c r="T76" i="3"/>
  <c r="P75" i="23"/>
  <c r="P99" i="23" s="1"/>
  <c r="P30" i="24"/>
  <c r="R26" i="24"/>
  <c r="Y30" i="24"/>
  <c r="AB26" i="24"/>
  <c r="P15" i="26"/>
  <c r="T13" i="26"/>
  <c r="M32" i="26"/>
  <c r="AB27" i="26"/>
  <c r="AB31" i="26" s="1"/>
  <c r="T20" i="26"/>
  <c r="V71" i="26"/>
  <c r="V48" i="26" s="1"/>
  <c r="U138" i="3"/>
  <c r="U139" i="3" s="1"/>
  <c r="X138" i="3"/>
  <c r="O138" i="3"/>
  <c r="E138" i="3"/>
  <c r="V28" i="26"/>
  <c r="V18" i="26"/>
  <c r="V20" i="26"/>
  <c r="O37" i="18"/>
  <c r="O36" i="18"/>
  <c r="U42" i="3"/>
  <c r="V42" i="3"/>
  <c r="V45" i="3"/>
  <c r="U45" i="3"/>
  <c r="V52" i="3"/>
  <c r="U52" i="3"/>
  <c r="P35" i="18"/>
  <c r="N27" i="26"/>
  <c r="N31" i="26" s="1"/>
  <c r="N36" i="18"/>
  <c r="E331" i="20"/>
  <c r="O31" i="18"/>
  <c r="D22" i="4"/>
  <c r="W31" i="24" s="1"/>
  <c r="U47" i="3"/>
  <c r="V47" i="3"/>
  <c r="S58" i="3"/>
  <c r="S71" i="3" s="1"/>
  <c r="H136" i="3"/>
  <c r="V136" i="3"/>
  <c r="V137" i="3" s="1"/>
  <c r="H108" i="5"/>
  <c r="M108" i="5"/>
  <c r="O30" i="24"/>
  <c r="R30" i="24"/>
  <c r="H30" i="24"/>
  <c r="AB30" i="24"/>
  <c r="K20" i="2"/>
  <c r="O71" i="26"/>
  <c r="O48" i="26" s="1"/>
  <c r="O24" i="26"/>
  <c r="T18" i="26"/>
  <c r="Q13" i="26"/>
  <c r="O23" i="26"/>
  <c r="T27" i="26"/>
  <c r="U50" i="3"/>
  <c r="V50" i="3"/>
  <c r="V40" i="26"/>
  <c r="U40" i="26"/>
  <c r="S40" i="26"/>
  <c r="K40" i="26"/>
  <c r="C40" i="26"/>
  <c r="Z40" i="26"/>
  <c r="N40" i="26"/>
  <c r="E40" i="26"/>
  <c r="Y40" i="26"/>
  <c r="M40" i="26"/>
  <c r="D40" i="26"/>
  <c r="X40" i="26"/>
  <c r="L40" i="26"/>
  <c r="T40" i="26"/>
  <c r="J40" i="26"/>
  <c r="AB40" i="26"/>
  <c r="P40" i="26"/>
  <c r="G40" i="26"/>
  <c r="R40" i="26"/>
  <c r="Q40" i="26"/>
  <c r="H40" i="26"/>
  <c r="O40" i="26"/>
  <c r="I40" i="26"/>
  <c r="F40" i="26"/>
  <c r="AA40" i="26"/>
  <c r="P32" i="18"/>
  <c r="N35" i="18"/>
  <c r="E56" i="15"/>
  <c r="B6" i="16"/>
  <c r="B22" i="16" s="1"/>
  <c r="B54" i="16"/>
  <c r="B55" i="16" s="1"/>
  <c r="C331" i="20"/>
  <c r="N31" i="18"/>
  <c r="D75" i="3"/>
  <c r="D33" i="3"/>
  <c r="U49" i="26"/>
  <c r="V49" i="26"/>
  <c r="M25" i="2"/>
  <c r="N25" i="2"/>
  <c r="R25" i="2"/>
  <c r="P25" i="2"/>
  <c r="L20" i="2"/>
  <c r="J75" i="3"/>
  <c r="H20" i="2"/>
  <c r="AB5" i="23"/>
  <c r="AB26" i="23" s="1"/>
  <c r="AB73" i="23" s="1"/>
  <c r="AB97" i="23" s="1"/>
  <c r="D5" i="23"/>
  <c r="K5" i="23"/>
  <c r="K23" i="23" s="1"/>
  <c r="K70" i="23" s="1"/>
  <c r="K94" i="23" s="1"/>
  <c r="K72" i="26"/>
  <c r="I5" i="23"/>
  <c r="I25" i="23" s="1"/>
  <c r="I72" i="23" s="1"/>
  <c r="I96" i="23" s="1"/>
  <c r="I72" i="26"/>
  <c r="L72" i="26"/>
  <c r="J72" i="26"/>
  <c r="AA31" i="26"/>
  <c r="AA25" i="2"/>
  <c r="Z31" i="26"/>
  <c r="Z25" i="2"/>
  <c r="AA32" i="26"/>
  <c r="AA68" i="26"/>
  <c r="AA76" i="26" s="1"/>
  <c r="Z32" i="26"/>
  <c r="Z68" i="26"/>
  <c r="Z76" i="26" s="1"/>
  <c r="AA64" i="3"/>
  <c r="AA76" i="3" s="1"/>
  <c r="AA5" i="23"/>
  <c r="AA27" i="23" s="1"/>
  <c r="AA74" i="23" s="1"/>
  <c r="AA98" i="23" s="1"/>
  <c r="AA33" i="3"/>
  <c r="Q5" i="23"/>
  <c r="Q26" i="23" s="1"/>
  <c r="Q73" i="23" s="1"/>
  <c r="Q97" i="23" s="1"/>
  <c r="Q33" i="3"/>
  <c r="Y5" i="23"/>
  <c r="Y25" i="23" s="1"/>
  <c r="Y72" i="23" s="1"/>
  <c r="Y96" i="23" s="1"/>
  <c r="Y33" i="3"/>
  <c r="H65" i="3"/>
  <c r="H77" i="3" s="1"/>
  <c r="F5" i="23"/>
  <c r="F23" i="23" s="1"/>
  <c r="F70" i="23" s="1"/>
  <c r="F94" i="23" s="1"/>
  <c r="F33" i="3"/>
  <c r="Q113" i="3"/>
  <c r="Q125" i="3" s="1"/>
  <c r="S64" i="3"/>
  <c r="S76" i="3" s="1"/>
  <c r="D64" i="3"/>
  <c r="D76" i="3" s="1"/>
  <c r="L5" i="23"/>
  <c r="L26" i="23" s="1"/>
  <c r="L73" i="23" s="1"/>
  <c r="L97" i="23" s="1"/>
  <c r="H75" i="3"/>
  <c r="G26" i="23"/>
  <c r="G73" i="23" s="1"/>
  <c r="G97" i="23" s="1"/>
  <c r="F75" i="3"/>
  <c r="J20" i="2"/>
  <c r="N23" i="23"/>
  <c r="N70" i="23" s="1"/>
  <c r="N94" i="23" s="1"/>
  <c r="L5" i="25"/>
  <c r="L19" i="2"/>
  <c r="J19" i="2"/>
  <c r="J5" i="25"/>
  <c r="H19" i="2"/>
  <c r="H5" i="25"/>
  <c r="G19" i="2"/>
  <c r="G5" i="25"/>
  <c r="I51" i="1"/>
  <c r="R5" i="23"/>
  <c r="R28" i="23" s="1"/>
  <c r="R75" i="23" s="1"/>
  <c r="R99" i="23" s="1"/>
  <c r="C27" i="23"/>
  <c r="C74" i="23" s="1"/>
  <c r="C98" i="23" s="1"/>
  <c r="C22" i="23"/>
  <c r="C69" i="23" s="1"/>
  <c r="C93" i="23" s="1"/>
  <c r="C25" i="23"/>
  <c r="C72" i="23" s="1"/>
  <c r="C96" i="23" s="1"/>
  <c r="C21" i="23"/>
  <c r="C68" i="23" s="1"/>
  <c r="C92" i="23" s="1"/>
  <c r="C20" i="23"/>
  <c r="C67" i="23" s="1"/>
  <c r="C91" i="23" s="1"/>
  <c r="E26" i="23"/>
  <c r="E73" i="23" s="1"/>
  <c r="E97" i="23" s="1"/>
  <c r="K8" i="2"/>
  <c r="K15" i="24" s="1"/>
  <c r="K8" i="25" s="1"/>
  <c r="Z28" i="23"/>
  <c r="Z75" i="23" s="1"/>
  <c r="Z99" i="23" s="1"/>
  <c r="Q32" i="24"/>
  <c r="AA65" i="3"/>
  <c r="AA77" i="3" s="1"/>
  <c r="C28" i="23"/>
  <c r="C75" i="23" s="1"/>
  <c r="C99" i="23" s="1"/>
  <c r="S5" i="23"/>
  <c r="S27" i="23" s="1"/>
  <c r="S74" i="23" s="1"/>
  <c r="S98" i="23" s="1"/>
  <c r="R65" i="3"/>
  <c r="R77" i="3" s="1"/>
  <c r="M24" i="23"/>
  <c r="M71" i="23" s="1"/>
  <c r="M95" i="23" s="1"/>
  <c r="H64" i="3"/>
  <c r="H76" i="3" s="1"/>
  <c r="M28" i="23"/>
  <c r="M75" i="23" s="1"/>
  <c r="M99" i="23" s="1"/>
  <c r="R113" i="3"/>
  <c r="R125" i="3" s="1"/>
  <c r="M27" i="23"/>
  <c r="M74" i="23" s="1"/>
  <c r="M98" i="23" s="1"/>
  <c r="AA113" i="3"/>
  <c r="AA125" i="3" s="1"/>
  <c r="J64" i="3"/>
  <c r="J76" i="3" s="1"/>
  <c r="M22" i="23"/>
  <c r="M69" i="23" s="1"/>
  <c r="M93" i="23" s="1"/>
  <c r="H113" i="3"/>
  <c r="H125" i="3" s="1"/>
  <c r="T5" i="23"/>
  <c r="T22" i="23" s="1"/>
  <c r="T69" i="23" s="1"/>
  <c r="T93" i="23" s="1"/>
  <c r="O25" i="23"/>
  <c r="O72" i="23" s="1"/>
  <c r="O96" i="23" s="1"/>
  <c r="O21" i="23"/>
  <c r="O68" i="23" s="1"/>
  <c r="O92" i="23" s="1"/>
  <c r="G27" i="23"/>
  <c r="G74" i="23" s="1"/>
  <c r="G98" i="23" s="1"/>
  <c r="Q75" i="3"/>
  <c r="T113" i="3"/>
  <c r="T125" i="3" s="1"/>
  <c r="O8" i="2"/>
  <c r="O15" i="24" s="1"/>
  <c r="O8" i="25" s="1"/>
  <c r="O24" i="23"/>
  <c r="O71" i="23" s="1"/>
  <c r="O95" i="23" s="1"/>
  <c r="C26" i="23"/>
  <c r="C73" i="23" s="1"/>
  <c r="C97" i="23" s="1"/>
  <c r="AA75" i="3"/>
  <c r="G24" i="23"/>
  <c r="G71" i="23" s="1"/>
  <c r="G95" i="23" s="1"/>
  <c r="Q28" i="24"/>
  <c r="L75" i="3"/>
  <c r="Q29" i="24"/>
  <c r="M25" i="23"/>
  <c r="M72" i="23" s="1"/>
  <c r="M96" i="23" s="1"/>
  <c r="Q26" i="24"/>
  <c r="M26" i="23"/>
  <c r="M73" i="23" s="1"/>
  <c r="M97" i="23" s="1"/>
  <c r="AB75" i="3"/>
  <c r="Q30" i="24"/>
  <c r="D65" i="3"/>
  <c r="D77" i="3" s="1"/>
  <c r="J65" i="3"/>
  <c r="J77" i="3" s="1"/>
  <c r="G22" i="23"/>
  <c r="G69" i="23" s="1"/>
  <c r="G93" i="23" s="1"/>
  <c r="G20" i="23"/>
  <c r="G67" i="23" s="1"/>
  <c r="G91" i="23" s="1"/>
  <c r="G28" i="23"/>
  <c r="G75" i="23" s="1"/>
  <c r="G99" i="23" s="1"/>
  <c r="G25" i="23"/>
  <c r="G72" i="23" s="1"/>
  <c r="G96" i="23" s="1"/>
  <c r="G21" i="23"/>
  <c r="G68" i="23" s="1"/>
  <c r="G92" i="23" s="1"/>
  <c r="L113" i="3"/>
  <c r="L125" i="3" s="1"/>
  <c r="J8" i="2"/>
  <c r="J139" i="3" s="1"/>
  <c r="N20" i="23"/>
  <c r="N67" i="23" s="1"/>
  <c r="N91" i="23" s="1"/>
  <c r="E24" i="23"/>
  <c r="E71" i="23" s="1"/>
  <c r="E95" i="23" s="1"/>
  <c r="O111" i="3"/>
  <c r="O123" i="3" s="1"/>
  <c r="G111" i="3"/>
  <c r="G123" i="3" s="1"/>
  <c r="N26" i="23"/>
  <c r="N73" i="23" s="1"/>
  <c r="N97" i="23" s="1"/>
  <c r="P21" i="23"/>
  <c r="P68" i="23" s="1"/>
  <c r="P92" i="23" s="1"/>
  <c r="X26" i="23"/>
  <c r="X73" i="23" s="1"/>
  <c r="X97" i="23" s="1"/>
  <c r="D113" i="3"/>
  <c r="D125" i="3" s="1"/>
  <c r="P23" i="23"/>
  <c r="P70" i="23" s="1"/>
  <c r="P94" i="23" s="1"/>
  <c r="AB111" i="3"/>
  <c r="AB123" i="3" s="1"/>
  <c r="X20" i="23"/>
  <c r="X67" i="23" s="1"/>
  <c r="X91" i="23" s="1"/>
  <c r="X23" i="23"/>
  <c r="X70" i="23" s="1"/>
  <c r="X94" i="23" s="1"/>
  <c r="N28" i="23"/>
  <c r="N75" i="23" s="1"/>
  <c r="N99" i="23" s="1"/>
  <c r="X24" i="23"/>
  <c r="X71" i="23" s="1"/>
  <c r="X95" i="23" s="1"/>
  <c r="C24" i="23"/>
  <c r="C71" i="23" s="1"/>
  <c r="C95" i="23" s="1"/>
  <c r="E21" i="23"/>
  <c r="E68" i="23" s="1"/>
  <c r="E92" i="23" s="1"/>
  <c r="E28" i="23"/>
  <c r="E75" i="23" s="1"/>
  <c r="E99" i="23" s="1"/>
  <c r="E27" i="23"/>
  <c r="E74" i="23" s="1"/>
  <c r="E98" i="23" s="1"/>
  <c r="E20" i="23"/>
  <c r="E67" i="23" s="1"/>
  <c r="E91" i="23" s="1"/>
  <c r="P24" i="23"/>
  <c r="P71" i="23" s="1"/>
  <c r="P95" i="23" s="1"/>
  <c r="X25" i="23"/>
  <c r="X72" i="23" s="1"/>
  <c r="X96" i="23" s="1"/>
  <c r="X27" i="23"/>
  <c r="X74" i="23" s="1"/>
  <c r="X98" i="23" s="1"/>
  <c r="X22" i="23"/>
  <c r="X69" i="23" s="1"/>
  <c r="X93" i="23" s="1"/>
  <c r="J113" i="3"/>
  <c r="J125" i="3" s="1"/>
  <c r="P26" i="23"/>
  <c r="P73" i="23" s="1"/>
  <c r="P97" i="23" s="1"/>
  <c r="E23" i="23"/>
  <c r="E70" i="23" s="1"/>
  <c r="E94" i="23" s="1"/>
  <c r="R64" i="3"/>
  <c r="R76" i="3" s="1"/>
  <c r="N27" i="23"/>
  <c r="N74" i="23" s="1"/>
  <c r="N98" i="23" s="1"/>
  <c r="P27" i="23"/>
  <c r="P74" i="23" s="1"/>
  <c r="P98" i="23" s="1"/>
  <c r="N21" i="23"/>
  <c r="N68" i="23" s="1"/>
  <c r="N92" i="23" s="1"/>
  <c r="E22" i="23"/>
  <c r="E69" i="23" s="1"/>
  <c r="E93" i="23" s="1"/>
  <c r="N22" i="23"/>
  <c r="N69" i="23" s="1"/>
  <c r="N93" i="23" s="1"/>
  <c r="X28" i="23"/>
  <c r="X75" i="23" s="1"/>
  <c r="X99" i="23" s="1"/>
  <c r="P20" i="23"/>
  <c r="P67" i="23" s="1"/>
  <c r="P91" i="23" s="1"/>
  <c r="O23" i="23"/>
  <c r="O70" i="23" s="1"/>
  <c r="O94" i="23" s="1"/>
  <c r="O20" i="23"/>
  <c r="O67" i="23" s="1"/>
  <c r="O91" i="23" s="1"/>
  <c r="M21" i="23"/>
  <c r="M68" i="23" s="1"/>
  <c r="M92" i="23" s="1"/>
  <c r="M23" i="23"/>
  <c r="M70" i="23" s="1"/>
  <c r="M94" i="23" s="1"/>
  <c r="N24" i="23"/>
  <c r="N71" i="23" s="1"/>
  <c r="N95" i="23" s="1"/>
  <c r="O26" i="23"/>
  <c r="O73" i="23" s="1"/>
  <c r="O97" i="23" s="1"/>
  <c r="P22" i="23"/>
  <c r="P69" i="23" s="1"/>
  <c r="P93" i="23" s="1"/>
  <c r="O27" i="23"/>
  <c r="O74" i="23" s="1"/>
  <c r="O98" i="23" s="1"/>
  <c r="P25" i="23"/>
  <c r="P72" i="23" s="1"/>
  <c r="P96" i="23" s="1"/>
  <c r="O28" i="23"/>
  <c r="O75" i="23" s="1"/>
  <c r="O99" i="23" s="1"/>
  <c r="Z136" i="3"/>
  <c r="N136" i="3"/>
  <c r="L136" i="3"/>
  <c r="R136" i="3"/>
  <c r="AA136" i="3"/>
  <c r="M136" i="3"/>
  <c r="C136" i="3"/>
  <c r="P136" i="3"/>
  <c r="O136" i="3"/>
  <c r="E136" i="3"/>
  <c r="F136" i="3"/>
  <c r="Q136" i="3"/>
  <c r="J136" i="3"/>
  <c r="AB136" i="3"/>
  <c r="Y136" i="3"/>
  <c r="Y27" i="18"/>
  <c r="AB7" i="2"/>
  <c r="AB8" i="2"/>
  <c r="AB139" i="3" s="1"/>
  <c r="E7" i="2"/>
  <c r="E14" i="24" s="1"/>
  <c r="E7" i="25" s="1"/>
  <c r="E12" i="25" s="1"/>
  <c r="E8" i="2"/>
  <c r="AA49" i="26"/>
  <c r="I8" i="2"/>
  <c r="I14" i="24"/>
  <c r="I7" i="25" s="1"/>
  <c r="Y7" i="2"/>
  <c r="Y8" i="2"/>
  <c r="AA48" i="26"/>
  <c r="F7" i="2"/>
  <c r="F14" i="24" s="1"/>
  <c r="F7" i="25" s="1"/>
  <c r="F12" i="25" s="1"/>
  <c r="F8" i="2"/>
  <c r="F139" i="3" s="1"/>
  <c r="T7" i="2"/>
  <c r="T8" i="2"/>
  <c r="T137" i="3" s="1"/>
  <c r="H49" i="26"/>
  <c r="H76" i="26"/>
  <c r="D76" i="26"/>
  <c r="D49" i="26"/>
  <c r="Z22" i="23"/>
  <c r="Z69" i="23" s="1"/>
  <c r="Z93" i="23" s="1"/>
  <c r="D7" i="2"/>
  <c r="D14" i="24" s="1"/>
  <c r="D7" i="25" s="1"/>
  <c r="D12" i="25" s="1"/>
  <c r="D8" i="2"/>
  <c r="Z24" i="23"/>
  <c r="Z71" i="23" s="1"/>
  <c r="Z95" i="23" s="1"/>
  <c r="N8" i="2"/>
  <c r="N7" i="2"/>
  <c r="X49" i="26"/>
  <c r="Y49" i="26"/>
  <c r="Z21" i="23"/>
  <c r="Z68" i="23" s="1"/>
  <c r="Z92" i="23" s="1"/>
  <c r="Z7" i="2"/>
  <c r="Z8" i="2"/>
  <c r="S65" i="3"/>
  <c r="G8" i="2"/>
  <c r="G137" i="3" s="1"/>
  <c r="C8" i="2"/>
  <c r="C7" i="2"/>
  <c r="C14" i="24" s="1"/>
  <c r="C7" i="25" s="1"/>
  <c r="C12" i="25" s="1"/>
  <c r="M48" i="26"/>
  <c r="C76" i="26"/>
  <c r="C49" i="26"/>
  <c r="X7" i="2"/>
  <c r="X8" i="2"/>
  <c r="Z20" i="23"/>
  <c r="Z67" i="23" s="1"/>
  <c r="Z91" i="23" s="1"/>
  <c r="Z27" i="23"/>
  <c r="Z74" i="23" s="1"/>
  <c r="Z98" i="23" s="1"/>
  <c r="L8" i="2"/>
  <c r="F49" i="26"/>
  <c r="F76" i="26"/>
  <c r="Z49" i="26"/>
  <c r="Z48" i="26"/>
  <c r="E49" i="26"/>
  <c r="E76" i="26"/>
  <c r="J5" i="23"/>
  <c r="G49" i="26"/>
  <c r="G76" i="26"/>
  <c r="Q8" i="2"/>
  <c r="Q139" i="3" s="1"/>
  <c r="Q7" i="2"/>
  <c r="P8" i="2"/>
  <c r="P139" i="3" s="1"/>
  <c r="P7" i="2"/>
  <c r="Z23" i="23"/>
  <c r="Z70" i="23" s="1"/>
  <c r="Z94" i="23" s="1"/>
  <c r="N111" i="3"/>
  <c r="N123" i="3" s="1"/>
  <c r="AA7" i="2"/>
  <c r="AA8" i="2"/>
  <c r="R8" i="2"/>
  <c r="R7" i="2"/>
  <c r="Z25" i="23"/>
  <c r="Z72" i="23" s="1"/>
  <c r="Z96" i="23" s="1"/>
  <c r="M8" i="2"/>
  <c r="M7" i="2"/>
  <c r="H8" i="2"/>
  <c r="H139" i="3" s="1"/>
  <c r="AB113" i="3"/>
  <c r="AB125" i="3" s="1"/>
  <c r="AB112" i="3"/>
  <c r="T49" i="26"/>
  <c r="S7" i="2"/>
  <c r="S8" i="2"/>
  <c r="AB65" i="3"/>
  <c r="AB77" i="3" s="1"/>
  <c r="AB64" i="3"/>
  <c r="H106" i="3"/>
  <c r="H119" i="3" s="1"/>
  <c r="H105" i="3"/>
  <c r="H118" i="3" s="1"/>
  <c r="F112" i="3"/>
  <c r="F124" i="3" s="1"/>
  <c r="F113" i="3"/>
  <c r="F125" i="3" s="1"/>
  <c r="F111" i="3"/>
  <c r="L101" i="3"/>
  <c r="L97" i="3"/>
  <c r="L93" i="3"/>
  <c r="L89" i="3"/>
  <c r="L98" i="3"/>
  <c r="L94" i="3"/>
  <c r="L90" i="3"/>
  <c r="L99" i="3"/>
  <c r="L95" i="3"/>
  <c r="L91" i="3"/>
  <c r="L100" i="3"/>
  <c r="L96" i="3"/>
  <c r="L92" i="3"/>
  <c r="L88" i="3"/>
  <c r="AB105" i="3"/>
  <c r="AB118" i="3" s="1"/>
  <c r="AB106" i="3"/>
  <c r="AB119" i="3" s="1"/>
  <c r="H57" i="3"/>
  <c r="H70" i="3" s="1"/>
  <c r="H58" i="3"/>
  <c r="H71" i="3" s="1"/>
  <c r="F65" i="3"/>
  <c r="F77" i="3" s="1"/>
  <c r="F64" i="3"/>
  <c r="F76" i="3" s="1"/>
  <c r="R101" i="3"/>
  <c r="R97" i="3"/>
  <c r="R93" i="3"/>
  <c r="R89" i="3"/>
  <c r="R98" i="3"/>
  <c r="R94" i="3"/>
  <c r="R90" i="3"/>
  <c r="R99" i="3"/>
  <c r="R95" i="3"/>
  <c r="R91" i="3"/>
  <c r="R100" i="3"/>
  <c r="R96" i="3"/>
  <c r="R92" i="3"/>
  <c r="R88" i="3"/>
  <c r="L50" i="3"/>
  <c r="L46" i="3"/>
  <c r="L42" i="3"/>
  <c r="L51" i="3"/>
  <c r="L47" i="3"/>
  <c r="L43" i="3"/>
  <c r="L49" i="3"/>
  <c r="L41" i="3"/>
  <c r="L52" i="3"/>
  <c r="L48" i="3"/>
  <c r="L44" i="3"/>
  <c r="L40" i="3"/>
  <c r="L45" i="3"/>
  <c r="H112" i="3"/>
  <c r="H124" i="3" s="1"/>
  <c r="H111" i="3"/>
  <c r="H123" i="3" s="1"/>
  <c r="T111" i="3"/>
  <c r="T123" i="3" s="1"/>
  <c r="T112" i="3"/>
  <c r="T124" i="3" s="1"/>
  <c r="R50" i="3"/>
  <c r="R46" i="3"/>
  <c r="R42" i="3"/>
  <c r="R51" i="3"/>
  <c r="R47" i="3"/>
  <c r="R43" i="3"/>
  <c r="R52" i="3"/>
  <c r="R48" i="3"/>
  <c r="R44" i="3"/>
  <c r="R40" i="3"/>
  <c r="R53" i="3"/>
  <c r="R49" i="3"/>
  <c r="R45" i="3"/>
  <c r="R41" i="3"/>
  <c r="AB94" i="3"/>
  <c r="AB99" i="3"/>
  <c r="AB95" i="3"/>
  <c r="AB91" i="3"/>
  <c r="AB98" i="3"/>
  <c r="AB100" i="3"/>
  <c r="AB96" i="3"/>
  <c r="AB92" i="3"/>
  <c r="AB88" i="3"/>
  <c r="AB90" i="3"/>
  <c r="AB101" i="3"/>
  <c r="AB97" i="3"/>
  <c r="AB93" i="3"/>
  <c r="AB89" i="3"/>
  <c r="L105" i="3"/>
  <c r="L118" i="3" s="1"/>
  <c r="L106" i="3"/>
  <c r="L119" i="3" s="1"/>
  <c r="AB51" i="3"/>
  <c r="AB47" i="3"/>
  <c r="AB43" i="3"/>
  <c r="AB52" i="3"/>
  <c r="AB48" i="3"/>
  <c r="AB44" i="3"/>
  <c r="AB40" i="3"/>
  <c r="AB53" i="3"/>
  <c r="AB49" i="3"/>
  <c r="AB45" i="3"/>
  <c r="AB41" i="3"/>
  <c r="AB50" i="3"/>
  <c r="AB46" i="3"/>
  <c r="AB42" i="3"/>
  <c r="Y57" i="3"/>
  <c r="Y70" i="3" s="1"/>
  <c r="Y58" i="3"/>
  <c r="Y71" i="3" s="1"/>
  <c r="T98" i="3"/>
  <c r="T94" i="3"/>
  <c r="T90" i="3"/>
  <c r="T99" i="3"/>
  <c r="T95" i="3"/>
  <c r="T91" i="3"/>
  <c r="T100" i="3"/>
  <c r="T96" i="3"/>
  <c r="T92" i="3"/>
  <c r="T88" i="3"/>
  <c r="T101" i="3"/>
  <c r="T97" i="3"/>
  <c r="T93" i="3"/>
  <c r="T89" i="3"/>
  <c r="R105" i="3"/>
  <c r="R118" i="3" s="1"/>
  <c r="R106" i="3"/>
  <c r="R119" i="3" s="1"/>
  <c r="L57" i="3"/>
  <c r="L70" i="3" s="1"/>
  <c r="L58" i="3"/>
  <c r="L71" i="3" s="1"/>
  <c r="Y113" i="3"/>
  <c r="Y125" i="3" s="1"/>
  <c r="Y111" i="3"/>
  <c r="Y112" i="3"/>
  <c r="Y124" i="3" s="1"/>
  <c r="T57" i="3"/>
  <c r="T70" i="3" s="1"/>
  <c r="T58" i="3"/>
  <c r="T71" i="3" s="1"/>
  <c r="R57" i="3"/>
  <c r="R70" i="3" s="1"/>
  <c r="R58" i="3"/>
  <c r="R71" i="3" s="1"/>
  <c r="L65" i="3"/>
  <c r="L111" i="3"/>
  <c r="L123" i="3" s="1"/>
  <c r="L112" i="3"/>
  <c r="L124" i="3" s="1"/>
  <c r="AA57" i="3"/>
  <c r="AA70" i="3" s="1"/>
  <c r="AA58" i="3"/>
  <c r="AA71" i="3" s="1"/>
  <c r="Y65" i="3"/>
  <c r="Y77" i="3" s="1"/>
  <c r="Y64" i="3"/>
  <c r="Y76" i="3" s="1"/>
  <c r="T46" i="3"/>
  <c r="T51" i="3"/>
  <c r="T47" i="3"/>
  <c r="T43" i="3"/>
  <c r="T52" i="3"/>
  <c r="T48" i="3"/>
  <c r="T44" i="3"/>
  <c r="T40" i="3"/>
  <c r="T53" i="3"/>
  <c r="T49" i="3"/>
  <c r="T45" i="3"/>
  <c r="T41" i="3"/>
  <c r="T50" i="3"/>
  <c r="T42" i="3"/>
  <c r="R111" i="3"/>
  <c r="R112" i="3"/>
  <c r="R124" i="3" s="1"/>
  <c r="AA111" i="3"/>
  <c r="AA112" i="3"/>
  <c r="AA124" i="3" s="1"/>
  <c r="Y98" i="3"/>
  <c r="Y94" i="3"/>
  <c r="Y90" i="3"/>
  <c r="Y99" i="3"/>
  <c r="Y95" i="3"/>
  <c r="Y91" i="3"/>
  <c r="Y100" i="3"/>
  <c r="Y96" i="3"/>
  <c r="Y92" i="3"/>
  <c r="Y88" i="3"/>
  <c r="Y101" i="3"/>
  <c r="Y97" i="3"/>
  <c r="Y93" i="3"/>
  <c r="Y89" i="3"/>
  <c r="Q65" i="3"/>
  <c r="Q77" i="3" s="1"/>
  <c r="Q64" i="3"/>
  <c r="S105" i="3"/>
  <c r="S118" i="3" s="1"/>
  <c r="S106" i="3"/>
  <c r="S119" i="3" s="1"/>
  <c r="J101" i="3"/>
  <c r="J97" i="3"/>
  <c r="J93" i="3"/>
  <c r="J89" i="3"/>
  <c r="J100" i="3"/>
  <c r="J98" i="3"/>
  <c r="J94" i="3"/>
  <c r="J90" i="3"/>
  <c r="J96" i="3"/>
  <c r="J99" i="3"/>
  <c r="J95" i="3"/>
  <c r="J91" i="3"/>
  <c r="J92" i="3"/>
  <c r="J88" i="3"/>
  <c r="Y51" i="3"/>
  <c r="Y47" i="3"/>
  <c r="Y43" i="3"/>
  <c r="Y52" i="3"/>
  <c r="Y48" i="3"/>
  <c r="Y44" i="3"/>
  <c r="Y40" i="3"/>
  <c r="Y53" i="3"/>
  <c r="Y49" i="3"/>
  <c r="Y45" i="3"/>
  <c r="Y41" i="3"/>
  <c r="Y50" i="3"/>
  <c r="Y46" i="3"/>
  <c r="Y42" i="3"/>
  <c r="T105" i="3"/>
  <c r="T118" i="3" s="1"/>
  <c r="T106" i="3"/>
  <c r="T119" i="3" s="1"/>
  <c r="Q101" i="3"/>
  <c r="Q97" i="3"/>
  <c r="Q93" i="3"/>
  <c r="Q89" i="3"/>
  <c r="Q98" i="3"/>
  <c r="Q94" i="3"/>
  <c r="Q90" i="3"/>
  <c r="Q99" i="3"/>
  <c r="Q95" i="3"/>
  <c r="Q91" i="3"/>
  <c r="Q100" i="3"/>
  <c r="Q96" i="3"/>
  <c r="Q92" i="3"/>
  <c r="Q88" i="3"/>
  <c r="J53" i="3"/>
  <c r="J49" i="3"/>
  <c r="J45" i="3"/>
  <c r="J41" i="3"/>
  <c r="J50" i="3"/>
  <c r="J46" i="3"/>
  <c r="J42" i="3"/>
  <c r="J51" i="3"/>
  <c r="J47" i="3"/>
  <c r="J43" i="3"/>
  <c r="J52" i="3"/>
  <c r="J48" i="3"/>
  <c r="J44" i="3"/>
  <c r="J40" i="3"/>
  <c r="AA98" i="3"/>
  <c r="AA94" i="3"/>
  <c r="AA90" i="3"/>
  <c r="AA99" i="3"/>
  <c r="AA95" i="3"/>
  <c r="AA91" i="3"/>
  <c r="AA100" i="3"/>
  <c r="AA96" i="3"/>
  <c r="AA92" i="3"/>
  <c r="AA88" i="3"/>
  <c r="AA101" i="3"/>
  <c r="AA97" i="3"/>
  <c r="AA93" i="3"/>
  <c r="AA89" i="3"/>
  <c r="D100" i="3"/>
  <c r="D96" i="3"/>
  <c r="D92" i="3"/>
  <c r="D88" i="3"/>
  <c r="D101" i="3"/>
  <c r="D97" i="3"/>
  <c r="D93" i="3"/>
  <c r="D89" i="3"/>
  <c r="D98" i="3"/>
  <c r="D94" i="3"/>
  <c r="D90" i="3"/>
  <c r="D99" i="3"/>
  <c r="D95" i="3"/>
  <c r="D91" i="3"/>
  <c r="Q50" i="3"/>
  <c r="Q46" i="3"/>
  <c r="Q42" i="3"/>
  <c r="Q51" i="3"/>
  <c r="Q47" i="3"/>
  <c r="Q43" i="3"/>
  <c r="Q52" i="3"/>
  <c r="Q48" i="3"/>
  <c r="Q44" i="3"/>
  <c r="Q40" i="3"/>
  <c r="Q53" i="3"/>
  <c r="Q49" i="3"/>
  <c r="Q45" i="3"/>
  <c r="Q41" i="3"/>
  <c r="S50" i="3"/>
  <c r="S46" i="3"/>
  <c r="S42" i="3"/>
  <c r="S51" i="3"/>
  <c r="S47" i="3"/>
  <c r="S43" i="3"/>
  <c r="S52" i="3"/>
  <c r="S48" i="3"/>
  <c r="S44" i="3"/>
  <c r="S40" i="3"/>
  <c r="S53" i="3"/>
  <c r="S49" i="3"/>
  <c r="S45" i="3"/>
  <c r="S41" i="3"/>
  <c r="AA51" i="3"/>
  <c r="AA47" i="3"/>
  <c r="AA43" i="3"/>
  <c r="AA52" i="3"/>
  <c r="AA48" i="3"/>
  <c r="AA44" i="3"/>
  <c r="AA40" i="3"/>
  <c r="AA49" i="3"/>
  <c r="AA45" i="3"/>
  <c r="AA41" i="3"/>
  <c r="AA50" i="3"/>
  <c r="AA46" i="3"/>
  <c r="AA42" i="3"/>
  <c r="Y105" i="3"/>
  <c r="Y118" i="3" s="1"/>
  <c r="Y106" i="3"/>
  <c r="Y119" i="3" s="1"/>
  <c r="D40" i="3"/>
  <c r="D53" i="3"/>
  <c r="D49" i="3"/>
  <c r="D45" i="3"/>
  <c r="D41" i="3"/>
  <c r="D52" i="3"/>
  <c r="D44" i="3"/>
  <c r="D50" i="3"/>
  <c r="D46" i="3"/>
  <c r="D42" i="3"/>
  <c r="D48" i="3"/>
  <c r="D51" i="3"/>
  <c r="D47" i="3"/>
  <c r="D43" i="3"/>
  <c r="J106" i="3"/>
  <c r="J119" i="3" s="1"/>
  <c r="J105" i="3"/>
  <c r="J118" i="3" s="1"/>
  <c r="F100" i="3"/>
  <c r="F96" i="3"/>
  <c r="F92" i="3"/>
  <c r="F88" i="3"/>
  <c r="F101" i="3"/>
  <c r="F97" i="3"/>
  <c r="F93" i="3"/>
  <c r="F89" i="3"/>
  <c r="F98" i="3"/>
  <c r="F94" i="3"/>
  <c r="F90" i="3"/>
  <c r="F99" i="3"/>
  <c r="F95" i="3"/>
  <c r="F91" i="3"/>
  <c r="Q105" i="3"/>
  <c r="Q118" i="3" s="1"/>
  <c r="Q106" i="3"/>
  <c r="Q119" i="3" s="1"/>
  <c r="S89" i="3"/>
  <c r="S101" i="3"/>
  <c r="S98" i="3"/>
  <c r="S94" i="3"/>
  <c r="S90" i="3"/>
  <c r="S97" i="3"/>
  <c r="S99" i="3"/>
  <c r="S95" i="3"/>
  <c r="S91" i="3"/>
  <c r="S100" i="3"/>
  <c r="S96" i="3"/>
  <c r="S92" i="3"/>
  <c r="S88" i="3"/>
  <c r="S93" i="3"/>
  <c r="J57" i="3"/>
  <c r="J70" i="3" s="1"/>
  <c r="J58" i="3"/>
  <c r="J71" i="3" s="1"/>
  <c r="AA105" i="3"/>
  <c r="AA118" i="3" s="1"/>
  <c r="AA106" i="3"/>
  <c r="AA119" i="3" s="1"/>
  <c r="F53" i="3"/>
  <c r="F49" i="3"/>
  <c r="F45" i="3"/>
  <c r="F41" i="3"/>
  <c r="F50" i="3"/>
  <c r="F46" i="3"/>
  <c r="F42" i="3"/>
  <c r="F51" i="3"/>
  <c r="F47" i="3"/>
  <c r="F43" i="3"/>
  <c r="F52" i="3"/>
  <c r="F48" i="3"/>
  <c r="F44" i="3"/>
  <c r="F40" i="3"/>
  <c r="D106" i="3"/>
  <c r="D119" i="3" s="1"/>
  <c r="D105" i="3"/>
  <c r="D118" i="3" s="1"/>
  <c r="Q57" i="3"/>
  <c r="Q70" i="3" s="1"/>
  <c r="Q58" i="3"/>
  <c r="Q71" i="3" s="1"/>
  <c r="J111" i="3"/>
  <c r="J112" i="3"/>
  <c r="J124" i="3" s="1"/>
  <c r="H100" i="3"/>
  <c r="H96" i="3"/>
  <c r="H92" i="3"/>
  <c r="H88" i="3"/>
  <c r="H101" i="3"/>
  <c r="H97" i="3"/>
  <c r="H93" i="3"/>
  <c r="H89" i="3"/>
  <c r="H98" i="3"/>
  <c r="H94" i="3"/>
  <c r="H90" i="3"/>
  <c r="H99" i="3"/>
  <c r="H95" i="3"/>
  <c r="H91" i="3"/>
  <c r="D58" i="3"/>
  <c r="D71" i="3" s="1"/>
  <c r="D57" i="3"/>
  <c r="D70" i="3" s="1"/>
  <c r="Q111" i="3"/>
  <c r="Q123" i="3" s="1"/>
  <c r="Q112" i="3"/>
  <c r="Q124" i="3" s="1"/>
  <c r="T65" i="3"/>
  <c r="H53" i="3"/>
  <c r="H49" i="3"/>
  <c r="H45" i="3"/>
  <c r="H41" i="3"/>
  <c r="H50" i="3"/>
  <c r="H46" i="3"/>
  <c r="H42" i="3"/>
  <c r="H51" i="3"/>
  <c r="H47" i="3"/>
  <c r="H43" i="3"/>
  <c r="H52" i="3"/>
  <c r="H48" i="3"/>
  <c r="H44" i="3"/>
  <c r="H40" i="3"/>
  <c r="F106" i="3"/>
  <c r="F119" i="3" s="1"/>
  <c r="F105" i="3"/>
  <c r="F118" i="3" s="1"/>
  <c r="D112" i="3"/>
  <c r="D124" i="3" s="1"/>
  <c r="D111" i="3"/>
  <c r="D123" i="3" s="1"/>
  <c r="S113" i="3"/>
  <c r="S125" i="3" s="1"/>
  <c r="S111" i="3"/>
  <c r="S112" i="3"/>
  <c r="S124" i="3" s="1"/>
  <c r="AB57" i="3"/>
  <c r="AB70" i="3" s="1"/>
  <c r="AB58" i="3"/>
  <c r="AB71" i="3" s="1"/>
  <c r="F57" i="3"/>
  <c r="F70" i="3" s="1"/>
  <c r="F58" i="3"/>
  <c r="F71" i="3" s="1"/>
  <c r="X111" i="3"/>
  <c r="X123" i="3" s="1"/>
  <c r="P111" i="3"/>
  <c r="P123" i="3" s="1"/>
  <c r="M111" i="3"/>
  <c r="M123" i="3" s="1"/>
  <c r="K111" i="3"/>
  <c r="K123" i="3" s="1"/>
  <c r="C123" i="3"/>
  <c r="C126" i="3" s="1"/>
  <c r="G106" i="3"/>
  <c r="G119" i="3" s="1"/>
  <c r="G105" i="3"/>
  <c r="G118" i="3" s="1"/>
  <c r="X105" i="3"/>
  <c r="X118" i="3" s="1"/>
  <c r="X106" i="3"/>
  <c r="X119" i="3" s="1"/>
  <c r="M113" i="3"/>
  <c r="M125" i="3" s="1"/>
  <c r="M112" i="3"/>
  <c r="M124" i="3" s="1"/>
  <c r="C92" i="3"/>
  <c r="C101" i="3"/>
  <c r="C94" i="3"/>
  <c r="C96" i="3"/>
  <c r="C89" i="3"/>
  <c r="C98" i="3"/>
  <c r="C91" i="3"/>
  <c r="C100" i="3"/>
  <c r="C93" i="3"/>
  <c r="C95" i="3"/>
  <c r="C88" i="3"/>
  <c r="C97" i="3"/>
  <c r="C90" i="3"/>
  <c r="C99" i="3"/>
  <c r="O48" i="3"/>
  <c r="O41" i="3"/>
  <c r="O50" i="3"/>
  <c r="O43" i="3"/>
  <c r="O52" i="3"/>
  <c r="O45" i="3"/>
  <c r="O47" i="3"/>
  <c r="O40" i="3"/>
  <c r="O49" i="3"/>
  <c r="O42" i="3"/>
  <c r="O51" i="3"/>
  <c r="O44" i="3"/>
  <c r="O53" i="3"/>
  <c r="O46" i="3"/>
  <c r="N95" i="3"/>
  <c r="N88" i="3"/>
  <c r="N97" i="3"/>
  <c r="N90" i="3"/>
  <c r="N99" i="3"/>
  <c r="N92" i="3"/>
  <c r="N101" i="3"/>
  <c r="N94" i="3"/>
  <c r="N96" i="3"/>
  <c r="N89" i="3"/>
  <c r="N98" i="3"/>
  <c r="N91" i="3"/>
  <c r="N100" i="3"/>
  <c r="N93" i="3"/>
  <c r="K44" i="3"/>
  <c r="K53" i="3"/>
  <c r="K46" i="3"/>
  <c r="K48" i="3"/>
  <c r="K41" i="3"/>
  <c r="K50" i="3"/>
  <c r="K43" i="3"/>
  <c r="K52" i="3"/>
  <c r="K45" i="3"/>
  <c r="K47" i="3"/>
  <c r="K40" i="3"/>
  <c r="K49" i="3"/>
  <c r="K42" i="3"/>
  <c r="K51" i="3"/>
  <c r="P65" i="3"/>
  <c r="P77" i="3" s="1"/>
  <c r="P64" i="3"/>
  <c r="O106" i="3"/>
  <c r="O119" i="3" s="1"/>
  <c r="O105" i="3"/>
  <c r="O118" i="3" s="1"/>
  <c r="N57" i="3"/>
  <c r="N70" i="3" s="1"/>
  <c r="N58" i="3"/>
  <c r="N71" i="3" s="1"/>
  <c r="K106" i="3"/>
  <c r="K119" i="3" s="1"/>
  <c r="K105" i="3"/>
  <c r="K118" i="3" s="1"/>
  <c r="X94" i="3"/>
  <c r="X96" i="3"/>
  <c r="X89" i="3"/>
  <c r="X98" i="3"/>
  <c r="X91" i="3"/>
  <c r="X100" i="3"/>
  <c r="X93" i="3"/>
  <c r="X95" i="3"/>
  <c r="X88" i="3"/>
  <c r="X97" i="3"/>
  <c r="X90" i="3"/>
  <c r="X99" i="3"/>
  <c r="X92" i="3"/>
  <c r="X101" i="3"/>
  <c r="H101" i="5"/>
  <c r="X113" i="3"/>
  <c r="X125" i="3" s="1"/>
  <c r="X112" i="3"/>
  <c r="P113" i="3"/>
  <c r="P125" i="3" s="1"/>
  <c r="P112" i="3"/>
  <c r="X58" i="3"/>
  <c r="X71" i="3" s="1"/>
  <c r="X57" i="3"/>
  <c r="X70" i="3" s="1"/>
  <c r="H99" i="5"/>
  <c r="O88" i="3"/>
  <c r="O97" i="3"/>
  <c r="O90" i="3"/>
  <c r="O99" i="3"/>
  <c r="O92" i="3"/>
  <c r="O101" i="3"/>
  <c r="O94" i="3"/>
  <c r="O96" i="3"/>
  <c r="O89" i="3"/>
  <c r="O98" i="3"/>
  <c r="O91" i="3"/>
  <c r="O100" i="3"/>
  <c r="O93" i="3"/>
  <c r="O95" i="3"/>
  <c r="X65" i="3"/>
  <c r="X77" i="3" s="1"/>
  <c r="X64" i="3"/>
  <c r="X76" i="3" s="1"/>
  <c r="Z96" i="3"/>
  <c r="Z89" i="3"/>
  <c r="Z98" i="3"/>
  <c r="Z91" i="3"/>
  <c r="Z100" i="3"/>
  <c r="Z93" i="3"/>
  <c r="Z95" i="3"/>
  <c r="Z88" i="3"/>
  <c r="Z97" i="3"/>
  <c r="Z90" i="3"/>
  <c r="Z99" i="3"/>
  <c r="Z92" i="3"/>
  <c r="Z101" i="3"/>
  <c r="Z94" i="3"/>
  <c r="O65" i="3"/>
  <c r="O77" i="3" s="1"/>
  <c r="O64" i="3"/>
  <c r="H97" i="5"/>
  <c r="I113" i="3"/>
  <c r="I125" i="3" s="1"/>
  <c r="I112" i="3"/>
  <c r="I124" i="3" s="1"/>
  <c r="O58" i="3"/>
  <c r="O71" i="3" s="1"/>
  <c r="O57" i="3"/>
  <c r="O70" i="3" s="1"/>
  <c r="N48" i="3"/>
  <c r="N41" i="3"/>
  <c r="N50" i="3"/>
  <c r="N43" i="3"/>
  <c r="N52" i="3"/>
  <c r="N45" i="3"/>
  <c r="N47" i="3"/>
  <c r="N40" i="3"/>
  <c r="N49" i="3"/>
  <c r="N42" i="3"/>
  <c r="N51" i="3"/>
  <c r="N44" i="3"/>
  <c r="N53" i="3"/>
  <c r="N46" i="3"/>
  <c r="C65" i="3"/>
  <c r="C77" i="3" s="1"/>
  <c r="C64" i="3"/>
  <c r="Z58" i="3"/>
  <c r="Z71" i="3" s="1"/>
  <c r="Z57" i="3"/>
  <c r="Z70" i="3" s="1"/>
  <c r="E100" i="5"/>
  <c r="M100" i="5" s="1"/>
  <c r="H95" i="5"/>
  <c r="I64" i="3"/>
  <c r="I65" i="3"/>
  <c r="I77" i="3" s="1"/>
  <c r="E113" i="3"/>
  <c r="E125" i="3" s="1"/>
  <c r="E112" i="3"/>
  <c r="E124" i="3" s="1"/>
  <c r="O113" i="3"/>
  <c r="O125" i="3" s="1"/>
  <c r="O112" i="3"/>
  <c r="E47" i="3"/>
  <c r="E40" i="3"/>
  <c r="E49" i="3"/>
  <c r="E42" i="3"/>
  <c r="E51" i="3"/>
  <c r="E44" i="3"/>
  <c r="E53" i="3"/>
  <c r="E46" i="3"/>
  <c r="E48" i="3"/>
  <c r="E41" i="3"/>
  <c r="E50" i="3"/>
  <c r="E43" i="3"/>
  <c r="E52" i="3"/>
  <c r="E45" i="3"/>
  <c r="K64" i="3"/>
  <c r="K65" i="3"/>
  <c r="K77" i="3" s="1"/>
  <c r="H98" i="5"/>
  <c r="C105" i="3"/>
  <c r="C118" i="3" s="1"/>
  <c r="C130" i="3" s="1"/>
  <c r="C106" i="3"/>
  <c r="C119" i="3" s="1"/>
  <c r="C131" i="3" s="1"/>
  <c r="P41" i="3"/>
  <c r="P50" i="3"/>
  <c r="P43" i="3"/>
  <c r="P52" i="3"/>
  <c r="P45" i="3"/>
  <c r="P47" i="3"/>
  <c r="P40" i="3"/>
  <c r="P49" i="3"/>
  <c r="P42" i="3"/>
  <c r="P51" i="3"/>
  <c r="P44" i="3"/>
  <c r="P53" i="3"/>
  <c r="P46" i="3"/>
  <c r="P48" i="3"/>
  <c r="E65" i="3"/>
  <c r="E77" i="3" s="1"/>
  <c r="E64" i="3"/>
  <c r="E76" i="3" s="1"/>
  <c r="E105" i="3"/>
  <c r="E118" i="3" s="1"/>
  <c r="E106" i="3"/>
  <c r="E119" i="3" s="1"/>
  <c r="H96" i="5"/>
  <c r="P105" i="3"/>
  <c r="P118" i="3" s="1"/>
  <c r="P106" i="3"/>
  <c r="P119" i="3" s="1"/>
  <c r="Z40" i="3"/>
  <c r="Z49" i="3"/>
  <c r="Z42" i="3"/>
  <c r="Z51" i="3"/>
  <c r="Z44" i="3"/>
  <c r="Z53" i="3"/>
  <c r="Z46" i="3"/>
  <c r="Z48" i="3"/>
  <c r="Z41" i="3"/>
  <c r="Z50" i="3"/>
  <c r="Z43" i="3"/>
  <c r="Z52" i="3"/>
  <c r="Z45" i="3"/>
  <c r="Z47" i="3"/>
  <c r="E111" i="3"/>
  <c r="K113" i="3"/>
  <c r="K125" i="3" s="1"/>
  <c r="K112" i="3"/>
  <c r="H94" i="5"/>
  <c r="I111" i="3"/>
  <c r="Z106" i="3"/>
  <c r="Z119" i="3" s="1"/>
  <c r="Z105" i="3"/>
  <c r="Z118" i="3" s="1"/>
  <c r="E94" i="3"/>
  <c r="E96" i="3"/>
  <c r="E89" i="3"/>
  <c r="E98" i="3"/>
  <c r="E91" i="3"/>
  <c r="E100" i="3"/>
  <c r="E93" i="3"/>
  <c r="E95" i="3"/>
  <c r="E88" i="3"/>
  <c r="E97" i="3"/>
  <c r="E90" i="3"/>
  <c r="E99" i="3"/>
  <c r="E92" i="3"/>
  <c r="E101" i="3"/>
  <c r="P97" i="3"/>
  <c r="P90" i="3"/>
  <c r="P99" i="3"/>
  <c r="P92" i="3"/>
  <c r="P101" i="3"/>
  <c r="P94" i="3"/>
  <c r="P96" i="3"/>
  <c r="P89" i="3"/>
  <c r="P98" i="3"/>
  <c r="P91" i="3"/>
  <c r="P100" i="3"/>
  <c r="P93" i="3"/>
  <c r="P95" i="3"/>
  <c r="P88" i="3"/>
  <c r="Z113" i="3"/>
  <c r="Z125" i="3" s="1"/>
  <c r="Z112" i="3"/>
  <c r="Z124" i="3" s="1"/>
  <c r="M95" i="3"/>
  <c r="M88" i="3"/>
  <c r="M97" i="3"/>
  <c r="M90" i="3"/>
  <c r="M99" i="3"/>
  <c r="M92" i="3"/>
  <c r="M101" i="3"/>
  <c r="M94" i="3"/>
  <c r="M96" i="3"/>
  <c r="M89" i="3"/>
  <c r="M98" i="3"/>
  <c r="M91" i="3"/>
  <c r="M100" i="3"/>
  <c r="M93" i="3"/>
  <c r="I98" i="3"/>
  <c r="I91" i="3"/>
  <c r="I100" i="3"/>
  <c r="I93" i="3"/>
  <c r="I95" i="3"/>
  <c r="I88" i="3"/>
  <c r="I97" i="3"/>
  <c r="I90" i="3"/>
  <c r="I99" i="3"/>
  <c r="I92" i="3"/>
  <c r="I101" i="3"/>
  <c r="I94" i="3"/>
  <c r="I96" i="3"/>
  <c r="I89" i="3"/>
  <c r="Z111" i="3"/>
  <c r="N65" i="3"/>
  <c r="N77" i="3" s="1"/>
  <c r="N64" i="3"/>
  <c r="N76" i="3" s="1"/>
  <c r="E58" i="3"/>
  <c r="E71" i="3" s="1"/>
  <c r="E57" i="3"/>
  <c r="E70" i="3" s="1"/>
  <c r="P58" i="3"/>
  <c r="P71" i="3" s="1"/>
  <c r="P57" i="3"/>
  <c r="P70" i="3" s="1"/>
  <c r="Z65" i="3"/>
  <c r="Z77" i="3" s="1"/>
  <c r="Z64" i="3"/>
  <c r="Z76" i="3" s="1"/>
  <c r="M57" i="3"/>
  <c r="M70" i="3" s="1"/>
  <c r="M58" i="3"/>
  <c r="M71" i="3" s="1"/>
  <c r="I57" i="3"/>
  <c r="I70" i="3" s="1"/>
  <c r="I58" i="3"/>
  <c r="I71" i="3" s="1"/>
  <c r="G96" i="3"/>
  <c r="G89" i="3"/>
  <c r="G98" i="3"/>
  <c r="G91" i="3"/>
  <c r="G100" i="3"/>
  <c r="G93" i="3"/>
  <c r="G95" i="3"/>
  <c r="G88" i="3"/>
  <c r="G97" i="3"/>
  <c r="G90" i="3"/>
  <c r="G99" i="3"/>
  <c r="G92" i="3"/>
  <c r="G101" i="3"/>
  <c r="G94" i="3"/>
  <c r="G58" i="3"/>
  <c r="G71" i="3" s="1"/>
  <c r="G57" i="3"/>
  <c r="G70" i="3" s="1"/>
  <c r="N113" i="3"/>
  <c r="N125" i="3" s="1"/>
  <c r="N112" i="3"/>
  <c r="G109" i="5"/>
  <c r="E109" i="5"/>
  <c r="M109" i="5" s="1"/>
  <c r="G113" i="3"/>
  <c r="G125" i="3" s="1"/>
  <c r="G112" i="3"/>
  <c r="K100" i="3"/>
  <c r="K93" i="3"/>
  <c r="K95" i="3"/>
  <c r="K88" i="3"/>
  <c r="K97" i="3"/>
  <c r="K90" i="3"/>
  <c r="K99" i="3"/>
  <c r="K92" i="3"/>
  <c r="K101" i="3"/>
  <c r="K94" i="3"/>
  <c r="K96" i="3"/>
  <c r="K89" i="3"/>
  <c r="K98" i="3"/>
  <c r="K91" i="3"/>
  <c r="K7" i="14"/>
  <c r="H7" i="14"/>
  <c r="G64" i="3"/>
  <c r="G65" i="3"/>
  <c r="G77" i="3" s="1"/>
  <c r="M46" i="3"/>
  <c r="M48" i="3"/>
  <c r="M41" i="3"/>
  <c r="M50" i="3"/>
  <c r="M43" i="3"/>
  <c r="M52" i="3"/>
  <c r="M45" i="3"/>
  <c r="M47" i="3"/>
  <c r="M40" i="3"/>
  <c r="M49" i="3"/>
  <c r="M42" i="3"/>
  <c r="M51" i="3"/>
  <c r="M44" i="3"/>
  <c r="M53" i="3"/>
  <c r="K57" i="3"/>
  <c r="K70" i="3" s="1"/>
  <c r="K58" i="3"/>
  <c r="K71" i="3" s="1"/>
  <c r="I42" i="3"/>
  <c r="I51" i="3"/>
  <c r="I44" i="3"/>
  <c r="I53" i="3"/>
  <c r="I46" i="3"/>
  <c r="I48" i="3"/>
  <c r="I41" i="3"/>
  <c r="I50" i="3"/>
  <c r="I43" i="3"/>
  <c r="I52" i="3"/>
  <c r="I45" i="3"/>
  <c r="I47" i="3"/>
  <c r="I40" i="3"/>
  <c r="I49" i="3"/>
  <c r="M65" i="3"/>
  <c r="M77" i="3" s="1"/>
  <c r="M64" i="3"/>
  <c r="M76" i="3" s="1"/>
  <c r="H105" i="5"/>
  <c r="C52" i="3"/>
  <c r="C45" i="3"/>
  <c r="C47" i="3"/>
  <c r="C40" i="3"/>
  <c r="C49" i="3"/>
  <c r="C42" i="3"/>
  <c r="C51" i="3"/>
  <c r="C44" i="3"/>
  <c r="C53" i="3"/>
  <c r="C46" i="3"/>
  <c r="C48" i="3"/>
  <c r="C41" i="3"/>
  <c r="C50" i="3"/>
  <c r="C43" i="3"/>
  <c r="N106" i="3"/>
  <c r="N119" i="3" s="1"/>
  <c r="N105" i="3"/>
  <c r="N118" i="3" s="1"/>
  <c r="M106" i="3"/>
  <c r="M119" i="3" s="1"/>
  <c r="M105" i="3"/>
  <c r="M118" i="3" s="1"/>
  <c r="I106" i="3"/>
  <c r="I119" i="3" s="1"/>
  <c r="I105" i="3"/>
  <c r="I118" i="3" s="1"/>
  <c r="G40" i="3"/>
  <c r="G49" i="3"/>
  <c r="G42" i="3"/>
  <c r="G51" i="3"/>
  <c r="G44" i="3"/>
  <c r="G53" i="3"/>
  <c r="G46" i="3"/>
  <c r="G48" i="3"/>
  <c r="G41" i="3"/>
  <c r="G50" i="3"/>
  <c r="G43" i="3"/>
  <c r="G52" i="3"/>
  <c r="G45" i="3"/>
  <c r="G47" i="3"/>
  <c r="X47" i="3"/>
  <c r="X40" i="3"/>
  <c r="X49" i="3"/>
  <c r="X42" i="3"/>
  <c r="X51" i="3"/>
  <c r="X44" i="3"/>
  <c r="X53" i="3"/>
  <c r="X46" i="3"/>
  <c r="X48" i="3"/>
  <c r="X41" i="3"/>
  <c r="X50" i="3"/>
  <c r="X43" i="3"/>
  <c r="X52" i="3"/>
  <c r="X45" i="3"/>
  <c r="D14" i="15"/>
  <c r="D15" i="15" s="1"/>
  <c r="V26" i="24" l="1"/>
  <c r="E18" i="20"/>
  <c r="E11" i="20" s="1"/>
  <c r="AB14" i="26" s="1"/>
  <c r="AB67" i="26" s="1"/>
  <c r="Q20" i="26"/>
  <c r="N15" i="26"/>
  <c r="R15" i="26"/>
  <c r="M72" i="26"/>
  <c r="M49" i="26" s="1"/>
  <c r="M18" i="26"/>
  <c r="N18" i="26"/>
  <c r="N72" i="26"/>
  <c r="N49" i="26" s="1"/>
  <c r="O18" i="26"/>
  <c r="O72" i="26"/>
  <c r="O49" i="26" s="1"/>
  <c r="Q18" i="26"/>
  <c r="Q72" i="26"/>
  <c r="Q49" i="26" s="1"/>
  <c r="R72" i="26"/>
  <c r="R49" i="26" s="1"/>
  <c r="R18" i="26"/>
  <c r="O28" i="26"/>
  <c r="O32" i="26" s="1"/>
  <c r="P18" i="26"/>
  <c r="P72" i="26"/>
  <c r="P49" i="26" s="1"/>
  <c r="S72" i="26"/>
  <c r="S49" i="26" s="1"/>
  <c r="S18" i="26"/>
  <c r="N28" i="26"/>
  <c r="N32" i="26" s="1"/>
  <c r="W18" i="26"/>
  <c r="D137" i="3"/>
  <c r="U76" i="23"/>
  <c r="U21" i="27" s="1"/>
  <c r="U14" i="27" s="1"/>
  <c r="U7" i="27" s="1"/>
  <c r="V82" i="3"/>
  <c r="AA26" i="23"/>
  <c r="AA73" i="23" s="1"/>
  <c r="AA97" i="23" s="1"/>
  <c r="H27" i="24"/>
  <c r="H26" i="24"/>
  <c r="W27" i="24"/>
  <c r="W39" i="24" s="1"/>
  <c r="W48" i="24" s="1"/>
  <c r="AA27" i="24"/>
  <c r="D27" i="24"/>
  <c r="R27" i="24"/>
  <c r="Q27" i="24"/>
  <c r="S27" i="24"/>
  <c r="AB27" i="24"/>
  <c r="Y27" i="24"/>
  <c r="Z39" i="24"/>
  <c r="Z48" i="24" s="1"/>
  <c r="E39" i="24"/>
  <c r="E48" i="24" s="1"/>
  <c r="F27" i="24"/>
  <c r="W32" i="18"/>
  <c r="Y32" i="18" s="1"/>
  <c r="V27" i="24"/>
  <c r="O27" i="24"/>
  <c r="X39" i="24"/>
  <c r="X48" i="24" s="1"/>
  <c r="I39" i="24"/>
  <c r="I48" i="24" s="1"/>
  <c r="W35" i="18"/>
  <c r="Y35" i="18" s="1"/>
  <c r="T27" i="24"/>
  <c r="U27" i="24"/>
  <c r="Q32" i="26"/>
  <c r="P27" i="24"/>
  <c r="W126" i="3"/>
  <c r="W114" i="3"/>
  <c r="AA24" i="23"/>
  <c r="AA71" i="23" s="1"/>
  <c r="AA95" i="23" s="1"/>
  <c r="AA23" i="23"/>
  <c r="AA70" i="23" s="1"/>
  <c r="AA94" i="23" s="1"/>
  <c r="W129" i="3"/>
  <c r="W132" i="3" s="1"/>
  <c r="W144" i="3" s="1"/>
  <c r="W42" i="27" s="1"/>
  <c r="N6" i="24"/>
  <c r="N42" i="24" s="1"/>
  <c r="N45" i="24" s="1"/>
  <c r="O6" i="24"/>
  <c r="O42" i="24" s="1"/>
  <c r="O45" i="24" s="1"/>
  <c r="K6" i="24"/>
  <c r="K42" i="24" s="1"/>
  <c r="K45" i="24" s="1"/>
  <c r="M6" i="24"/>
  <c r="M42" i="24" s="1"/>
  <c r="M45" i="24" s="1"/>
  <c r="L53" i="3"/>
  <c r="W53" i="3"/>
  <c r="W69" i="3" s="1"/>
  <c r="Y67" i="5"/>
  <c r="AA67" i="5" s="1"/>
  <c r="W40" i="24"/>
  <c r="D26" i="24"/>
  <c r="W27" i="23"/>
  <c r="W74" i="23" s="1"/>
  <c r="W98" i="23" s="1"/>
  <c r="W20" i="23"/>
  <c r="W67" i="23" s="1"/>
  <c r="W21" i="23"/>
  <c r="W68" i="23" s="1"/>
  <c r="W92" i="23" s="1"/>
  <c r="W22" i="23"/>
  <c r="W69" i="23" s="1"/>
  <c r="W93" i="23" s="1"/>
  <c r="W26" i="23"/>
  <c r="W73" i="23" s="1"/>
  <c r="W97" i="23" s="1"/>
  <c r="W25" i="23"/>
  <c r="W72" i="23" s="1"/>
  <c r="W96" i="23" s="1"/>
  <c r="W23" i="23"/>
  <c r="W70" i="23" s="1"/>
  <c r="W94" i="23" s="1"/>
  <c r="W28" i="23"/>
  <c r="W75" i="23" s="1"/>
  <c r="W99" i="23" s="1"/>
  <c r="W24" i="23"/>
  <c r="W71" i="23" s="1"/>
  <c r="W95" i="23" s="1"/>
  <c r="W66" i="3"/>
  <c r="H45" i="26"/>
  <c r="U6" i="24"/>
  <c r="U42" i="24" s="1"/>
  <c r="U45" i="24" s="1"/>
  <c r="P6" i="24"/>
  <c r="P42" i="24" s="1"/>
  <c r="P45" i="24" s="1"/>
  <c r="Z6" i="24"/>
  <c r="Z42" i="24" s="1"/>
  <c r="Z45" i="24" s="1"/>
  <c r="W78" i="3"/>
  <c r="I45" i="26"/>
  <c r="AA45" i="26"/>
  <c r="AA53" i="26" s="1"/>
  <c r="AA57" i="26" s="1"/>
  <c r="V21" i="23"/>
  <c r="V68" i="23" s="1"/>
  <c r="V92" i="23" s="1"/>
  <c r="R26" i="23"/>
  <c r="R73" i="23" s="1"/>
  <c r="R97" i="23" s="1"/>
  <c r="R24" i="23"/>
  <c r="R71" i="23" s="1"/>
  <c r="R95" i="23" s="1"/>
  <c r="L25" i="23"/>
  <c r="L72" i="23" s="1"/>
  <c r="L96" i="23" s="1"/>
  <c r="L28" i="23"/>
  <c r="L75" i="23" s="1"/>
  <c r="L99" i="23" s="1"/>
  <c r="L22" i="23"/>
  <c r="L69" i="23" s="1"/>
  <c r="L93" i="23" s="1"/>
  <c r="AB24" i="23"/>
  <c r="AB71" i="23" s="1"/>
  <c r="AB95" i="23" s="1"/>
  <c r="Z139" i="3"/>
  <c r="T82" i="3"/>
  <c r="F45" i="26"/>
  <c r="G45" i="26"/>
  <c r="G53" i="26" s="1"/>
  <c r="U31" i="26"/>
  <c r="S31" i="26"/>
  <c r="E45" i="26"/>
  <c r="E53" i="26" s="1"/>
  <c r="T28" i="23"/>
  <c r="T75" i="23" s="1"/>
  <c r="T99" i="23" s="1"/>
  <c r="L27" i="23"/>
  <c r="L74" i="23" s="1"/>
  <c r="L98" i="23" s="1"/>
  <c r="L23" i="23"/>
  <c r="L70" i="23" s="1"/>
  <c r="L94" i="23" s="1"/>
  <c r="R20" i="23"/>
  <c r="R67" i="23" s="1"/>
  <c r="R91" i="23" s="1"/>
  <c r="H21" i="23"/>
  <c r="H68" i="23" s="1"/>
  <c r="H92" i="23" s="1"/>
  <c r="R22" i="23"/>
  <c r="R69" i="23" s="1"/>
  <c r="R93" i="23" s="1"/>
  <c r="H26" i="23"/>
  <c r="H73" i="23" s="1"/>
  <c r="H97" i="23" s="1"/>
  <c r="R21" i="23"/>
  <c r="R68" i="23" s="1"/>
  <c r="R92" i="23" s="1"/>
  <c r="R23" i="23"/>
  <c r="R70" i="23" s="1"/>
  <c r="R94" i="23" s="1"/>
  <c r="R25" i="23"/>
  <c r="R72" i="23" s="1"/>
  <c r="R96" i="23" s="1"/>
  <c r="R27" i="23"/>
  <c r="R74" i="23" s="1"/>
  <c r="R98" i="23" s="1"/>
  <c r="T24" i="23"/>
  <c r="T71" i="23" s="1"/>
  <c r="T95" i="23" s="1"/>
  <c r="L20" i="23"/>
  <c r="L67" i="23" s="1"/>
  <c r="L91" i="23" s="1"/>
  <c r="H28" i="23"/>
  <c r="H75" i="23" s="1"/>
  <c r="H99" i="23" s="1"/>
  <c r="H24" i="23"/>
  <c r="H71" i="23" s="1"/>
  <c r="H95" i="23" s="1"/>
  <c r="H20" i="23"/>
  <c r="H67" i="23" s="1"/>
  <c r="H91" i="23" s="1"/>
  <c r="H22" i="23"/>
  <c r="H69" i="23" s="1"/>
  <c r="H93" i="23" s="1"/>
  <c r="H25" i="23"/>
  <c r="H72" i="23" s="1"/>
  <c r="H96" i="23" s="1"/>
  <c r="H23" i="23"/>
  <c r="H70" i="23" s="1"/>
  <c r="H94" i="23" s="1"/>
  <c r="V78" i="3"/>
  <c r="T27" i="23"/>
  <c r="T74" i="23" s="1"/>
  <c r="T98" i="23" s="1"/>
  <c r="T23" i="23"/>
  <c r="T70" i="23" s="1"/>
  <c r="T94" i="23" s="1"/>
  <c r="AB23" i="23"/>
  <c r="AB70" i="23" s="1"/>
  <c r="AB94" i="23" s="1"/>
  <c r="C39" i="24"/>
  <c r="C48" i="24" s="1"/>
  <c r="T13" i="14"/>
  <c r="M39" i="24"/>
  <c r="M48" i="24" s="1"/>
  <c r="K39" i="24"/>
  <c r="K48" i="24" s="1"/>
  <c r="N39" i="24"/>
  <c r="N48" i="24" s="1"/>
  <c r="W34" i="18"/>
  <c r="Y34" i="18" s="1"/>
  <c r="W30" i="18"/>
  <c r="Y30" i="18" s="1"/>
  <c r="Z30" i="18" s="1"/>
  <c r="AA22" i="23"/>
  <c r="AA69" i="23" s="1"/>
  <c r="AA93" i="23" s="1"/>
  <c r="Z80" i="26"/>
  <c r="O25" i="2"/>
  <c r="C45" i="26"/>
  <c r="AA28" i="23"/>
  <c r="AA75" i="23" s="1"/>
  <c r="AA99" i="23" s="1"/>
  <c r="W36" i="18"/>
  <c r="Y36" i="18" s="1"/>
  <c r="Z36" i="18" s="1"/>
  <c r="AA25" i="23"/>
  <c r="AA72" i="23" s="1"/>
  <c r="AA96" i="23" s="1"/>
  <c r="J66" i="3"/>
  <c r="AA80" i="26"/>
  <c r="AA20" i="23"/>
  <c r="AA67" i="23" s="1"/>
  <c r="AA91" i="23" s="1"/>
  <c r="W31" i="18"/>
  <c r="Y31" i="18" s="1"/>
  <c r="AB44" i="26"/>
  <c r="T31" i="26"/>
  <c r="L21" i="23"/>
  <c r="L68" i="23" s="1"/>
  <c r="L92" i="23" s="1"/>
  <c r="L24" i="23"/>
  <c r="L71" i="23" s="1"/>
  <c r="L95" i="23" s="1"/>
  <c r="J45" i="26"/>
  <c r="T25" i="2"/>
  <c r="AB45" i="26"/>
  <c r="Z45" i="26"/>
  <c r="Z53" i="26" s="1"/>
  <c r="Z57" i="26" s="1"/>
  <c r="C53" i="26"/>
  <c r="AB25" i="23"/>
  <c r="AB72" i="23" s="1"/>
  <c r="AB96" i="23" s="1"/>
  <c r="V28" i="23"/>
  <c r="V75" i="23" s="1"/>
  <c r="V99" i="23" s="1"/>
  <c r="I26" i="23"/>
  <c r="I73" i="23" s="1"/>
  <c r="I97" i="23" s="1"/>
  <c r="D82" i="3"/>
  <c r="J82" i="3"/>
  <c r="V22" i="23"/>
  <c r="V69" i="23" s="1"/>
  <c r="V93" i="23" s="1"/>
  <c r="C24" i="26"/>
  <c r="C32" i="26" s="1"/>
  <c r="C23" i="26"/>
  <c r="C71" i="26"/>
  <c r="C48" i="26" s="1"/>
  <c r="C27" i="26"/>
  <c r="C13" i="26"/>
  <c r="C15" i="26"/>
  <c r="R5" i="14"/>
  <c r="M5" i="14"/>
  <c r="L5" i="14"/>
  <c r="P5" i="14"/>
  <c r="Q5" i="14"/>
  <c r="G10" i="19"/>
  <c r="K13" i="14"/>
  <c r="K10" i="14"/>
  <c r="K12" i="14" s="1"/>
  <c r="F28" i="23"/>
  <c r="F75" i="23" s="1"/>
  <c r="F99" i="23" s="1"/>
  <c r="Y23" i="26"/>
  <c r="Y24" i="26"/>
  <c r="Y15" i="26"/>
  <c r="Y27" i="26"/>
  <c r="Y13" i="26"/>
  <c r="Y71" i="26"/>
  <c r="Y48" i="26" s="1"/>
  <c r="V120" i="3"/>
  <c r="V129" i="3"/>
  <c r="D24" i="26"/>
  <c r="D32" i="26" s="1"/>
  <c r="D80" i="26" s="1"/>
  <c r="D13" i="26"/>
  <c r="D15" i="26"/>
  <c r="D71" i="26"/>
  <c r="D48" i="26" s="1"/>
  <c r="D23" i="26"/>
  <c r="D27" i="26"/>
  <c r="L27" i="26"/>
  <c r="L13" i="26"/>
  <c r="L15" i="26"/>
  <c r="L23" i="26"/>
  <c r="L24" i="26"/>
  <c r="L32" i="26" s="1"/>
  <c r="F25" i="23"/>
  <c r="F72" i="23" s="1"/>
  <c r="F96" i="23" s="1"/>
  <c r="V26" i="23"/>
  <c r="V73" i="23" s="1"/>
  <c r="V97" i="23" s="1"/>
  <c r="V20" i="23"/>
  <c r="V67" i="23" s="1"/>
  <c r="V91" i="23" s="1"/>
  <c r="O31" i="26"/>
  <c r="V31" i="26"/>
  <c r="E24" i="26"/>
  <c r="E32" i="26" s="1"/>
  <c r="E80" i="26" s="1"/>
  <c r="E23" i="26"/>
  <c r="E27" i="26"/>
  <c r="E13" i="26"/>
  <c r="E15" i="26"/>
  <c r="E71" i="26"/>
  <c r="E48" i="26" s="1"/>
  <c r="T12" i="14"/>
  <c r="R11" i="14" s="1"/>
  <c r="I53" i="5"/>
  <c r="K35" i="24" s="1"/>
  <c r="H13" i="14"/>
  <c r="H10" i="14"/>
  <c r="G23" i="26"/>
  <c r="G24" i="26"/>
  <c r="G32" i="26" s="1"/>
  <c r="G80" i="26" s="1"/>
  <c r="G27" i="26"/>
  <c r="G71" i="26"/>
  <c r="G48" i="26" s="1"/>
  <c r="G15" i="26"/>
  <c r="G13" i="26"/>
  <c r="AA21" i="23"/>
  <c r="AA68" i="23" s="1"/>
  <c r="AA92" i="23" s="1"/>
  <c r="R66" i="3"/>
  <c r="F20" i="23"/>
  <c r="F67" i="23" s="1"/>
  <c r="F91" i="23" s="1"/>
  <c r="Z33" i="18"/>
  <c r="I22" i="23"/>
  <c r="I69" i="23" s="1"/>
  <c r="I93" i="23" s="1"/>
  <c r="K24" i="23"/>
  <c r="K71" i="23" s="1"/>
  <c r="K95" i="23" s="1"/>
  <c r="L71" i="26"/>
  <c r="L48" i="26" s="1"/>
  <c r="V27" i="23"/>
  <c r="V74" i="23" s="1"/>
  <c r="V98" i="23" s="1"/>
  <c r="E53" i="15"/>
  <c r="E46" i="15"/>
  <c r="E52" i="15"/>
  <c r="E47" i="15"/>
  <c r="E50" i="15"/>
  <c r="E48" i="15"/>
  <c r="E49" i="15"/>
  <c r="E51" i="15"/>
  <c r="T31" i="24"/>
  <c r="F31" i="24"/>
  <c r="S31" i="24"/>
  <c r="R31" i="24"/>
  <c r="U31" i="24"/>
  <c r="L31" i="24"/>
  <c r="P31" i="24"/>
  <c r="D31" i="24"/>
  <c r="AA31" i="24"/>
  <c r="J31" i="24"/>
  <c r="J39" i="24" s="1"/>
  <c r="J48" i="24" s="1"/>
  <c r="H31" i="24"/>
  <c r="AB31" i="24"/>
  <c r="O31" i="24"/>
  <c r="V31" i="24"/>
  <c r="Y31" i="24"/>
  <c r="L45" i="26"/>
  <c r="U120" i="3"/>
  <c r="U129" i="3"/>
  <c r="U132" i="3" s="1"/>
  <c r="H23" i="26"/>
  <c r="H15" i="26"/>
  <c r="H27" i="26"/>
  <c r="H71" i="26"/>
  <c r="H48" i="26" s="1"/>
  <c r="H24" i="26"/>
  <c r="H32" i="26" s="1"/>
  <c r="H80" i="26" s="1"/>
  <c r="H13" i="26"/>
  <c r="V83" i="3"/>
  <c r="C80" i="26"/>
  <c r="X24" i="26"/>
  <c r="X71" i="26"/>
  <c r="X48" i="26" s="1"/>
  <c r="X23" i="26"/>
  <c r="X27" i="26"/>
  <c r="X15" i="26"/>
  <c r="X13" i="26"/>
  <c r="T25" i="23"/>
  <c r="T72" i="23" s="1"/>
  <c r="T96" i="23" s="1"/>
  <c r="T26" i="23"/>
  <c r="T73" i="23" s="1"/>
  <c r="T97" i="23" s="1"/>
  <c r="T20" i="23"/>
  <c r="T67" i="23" s="1"/>
  <c r="T91" i="23" s="1"/>
  <c r="T21" i="23"/>
  <c r="T68" i="23" s="1"/>
  <c r="T92" i="23" s="1"/>
  <c r="Q131" i="3"/>
  <c r="AA53" i="3"/>
  <c r="AA69" i="3" s="1"/>
  <c r="F53" i="26"/>
  <c r="F22" i="23"/>
  <c r="F69" i="23" s="1"/>
  <c r="F93" i="23" s="1"/>
  <c r="I21" i="23"/>
  <c r="I68" i="23" s="1"/>
  <c r="I92" i="23" s="1"/>
  <c r="I23" i="23"/>
  <c r="I70" i="23" s="1"/>
  <c r="I94" i="23" s="1"/>
  <c r="Q31" i="24"/>
  <c r="V25" i="23"/>
  <c r="V72" i="23" s="1"/>
  <c r="V96" i="23" s="1"/>
  <c r="V32" i="26"/>
  <c r="D45" i="26"/>
  <c r="D53" i="26" s="1"/>
  <c r="V66" i="3"/>
  <c r="F23" i="26"/>
  <c r="F24" i="26"/>
  <c r="F32" i="26" s="1"/>
  <c r="F80" i="26" s="1"/>
  <c r="F15" i="26"/>
  <c r="F27" i="26"/>
  <c r="F71" i="26"/>
  <c r="F48" i="26" s="1"/>
  <c r="F13" i="26"/>
  <c r="F27" i="23"/>
  <c r="F74" i="23" s="1"/>
  <c r="F98" i="23" s="1"/>
  <c r="I23" i="26"/>
  <c r="I27" i="26"/>
  <c r="I13" i="26"/>
  <c r="I24" i="26"/>
  <c r="I32" i="26" s="1"/>
  <c r="I15" i="26"/>
  <c r="P11" i="14"/>
  <c r="L11" i="14"/>
  <c r="M11" i="14"/>
  <c r="H11" i="14"/>
  <c r="Q11" i="14"/>
  <c r="Q12" i="14" s="1"/>
  <c r="I11" i="14"/>
  <c r="Y130" i="3"/>
  <c r="H53" i="26"/>
  <c r="I28" i="23"/>
  <c r="I75" i="23" s="1"/>
  <c r="I99" i="23" s="1"/>
  <c r="I71" i="26"/>
  <c r="I48" i="26" s="1"/>
  <c r="V24" i="23"/>
  <c r="V71" i="23" s="1"/>
  <c r="V95" i="23" s="1"/>
  <c r="K45" i="26"/>
  <c r="U32" i="26"/>
  <c r="W37" i="18"/>
  <c r="J23" i="26"/>
  <c r="J24" i="26"/>
  <c r="J32" i="26" s="1"/>
  <c r="J27" i="26"/>
  <c r="J15" i="26"/>
  <c r="J13" i="26"/>
  <c r="I5" i="14"/>
  <c r="H5" i="14"/>
  <c r="E10" i="19"/>
  <c r="V125" i="3"/>
  <c r="V114" i="3"/>
  <c r="K27" i="23"/>
  <c r="K74" i="23" s="1"/>
  <c r="K98" i="23" s="1"/>
  <c r="C351" i="20"/>
  <c r="C353" i="20" s="1"/>
  <c r="B233" i="20" s="1"/>
  <c r="V53" i="3"/>
  <c r="V69" i="3" s="1"/>
  <c r="U53" i="3"/>
  <c r="U69" i="3" s="1"/>
  <c r="K27" i="26"/>
  <c r="K13" i="26"/>
  <c r="K23" i="26"/>
  <c r="K24" i="26"/>
  <c r="K32" i="26" s="1"/>
  <c r="K15" i="26"/>
  <c r="E9" i="20"/>
  <c r="W14" i="26" s="1"/>
  <c r="E7" i="20"/>
  <c r="Y14" i="26" s="1"/>
  <c r="E8" i="20"/>
  <c r="E6" i="20"/>
  <c r="J14" i="26" s="1"/>
  <c r="K21" i="23"/>
  <c r="K68" i="23" s="1"/>
  <c r="K92" i="23" s="1"/>
  <c r="K25" i="23"/>
  <c r="K72" i="23" s="1"/>
  <c r="K96" i="23" s="1"/>
  <c r="K22" i="23"/>
  <c r="K69" i="23" s="1"/>
  <c r="K93" i="23" s="1"/>
  <c r="AB28" i="23"/>
  <c r="AB75" i="23" s="1"/>
  <c r="AB99" i="23" s="1"/>
  <c r="X137" i="3"/>
  <c r="Y139" i="3"/>
  <c r="AB20" i="23"/>
  <c r="AB67" i="23" s="1"/>
  <c r="AB91" i="23" s="1"/>
  <c r="AB27" i="23"/>
  <c r="AB74" i="23" s="1"/>
  <c r="AB98" i="23" s="1"/>
  <c r="AB21" i="23"/>
  <c r="AB68" i="23" s="1"/>
  <c r="AB92" i="23" s="1"/>
  <c r="AB22" i="23"/>
  <c r="AB69" i="23" s="1"/>
  <c r="AB93" i="23" s="1"/>
  <c r="Q21" i="23"/>
  <c r="Q68" i="23" s="1"/>
  <c r="Q92" i="23" s="1"/>
  <c r="F21" i="23"/>
  <c r="F68" i="23" s="1"/>
  <c r="F92" i="23" s="1"/>
  <c r="K28" i="23"/>
  <c r="K75" i="23" s="1"/>
  <c r="K99" i="23" s="1"/>
  <c r="K26" i="23"/>
  <c r="K73" i="23" s="1"/>
  <c r="K97" i="23" s="1"/>
  <c r="I27" i="23"/>
  <c r="I74" i="23" s="1"/>
  <c r="I98" i="23" s="1"/>
  <c r="I20" i="23"/>
  <c r="I67" i="23" s="1"/>
  <c r="I91" i="23" s="1"/>
  <c r="I24" i="23"/>
  <c r="I71" i="23" s="1"/>
  <c r="I95" i="23" s="1"/>
  <c r="K20" i="23"/>
  <c r="K67" i="23" s="1"/>
  <c r="K91" i="23" s="1"/>
  <c r="C83" i="3"/>
  <c r="F24" i="23"/>
  <c r="F71" i="23" s="1"/>
  <c r="F95" i="23" s="1"/>
  <c r="S82" i="3"/>
  <c r="F26" i="23"/>
  <c r="F73" i="23" s="1"/>
  <c r="F97" i="23" s="1"/>
  <c r="Q20" i="23"/>
  <c r="Q67" i="23" s="1"/>
  <c r="Q91" i="23" s="1"/>
  <c r="Q25" i="23"/>
  <c r="Q72" i="23" s="1"/>
  <c r="Q96" i="23" s="1"/>
  <c r="Q27" i="23"/>
  <c r="Q74" i="23" s="1"/>
  <c r="Q98" i="23" s="1"/>
  <c r="Q28" i="23"/>
  <c r="Q75" i="23" s="1"/>
  <c r="Q99" i="23" s="1"/>
  <c r="Q23" i="23"/>
  <c r="Q70" i="23" s="1"/>
  <c r="Q94" i="23" s="1"/>
  <c r="Q22" i="23"/>
  <c r="Q69" i="23" s="1"/>
  <c r="Q93" i="23" s="1"/>
  <c r="R131" i="3"/>
  <c r="H83" i="3"/>
  <c r="H66" i="3"/>
  <c r="H82" i="3"/>
  <c r="K137" i="3"/>
  <c r="Y20" i="23"/>
  <c r="Y67" i="23" s="1"/>
  <c r="Y91" i="23" s="1"/>
  <c r="K139" i="3"/>
  <c r="Y26" i="23"/>
  <c r="Y73" i="23" s="1"/>
  <c r="Y97" i="23" s="1"/>
  <c r="Y27" i="23"/>
  <c r="Y74" i="23" s="1"/>
  <c r="Y98" i="23" s="1"/>
  <c r="AB48" i="26"/>
  <c r="AB52" i="26" s="1"/>
  <c r="AB56" i="26" s="1"/>
  <c r="AB75" i="26"/>
  <c r="AB79" i="26" s="1"/>
  <c r="AB49" i="26"/>
  <c r="AB76" i="26"/>
  <c r="AB80" i="26" s="1"/>
  <c r="D78" i="3"/>
  <c r="Q24" i="23"/>
  <c r="Q71" i="23" s="1"/>
  <c r="Q95" i="23" s="1"/>
  <c r="H78" i="3"/>
  <c r="Y22" i="23"/>
  <c r="Y69" i="23" s="1"/>
  <c r="Y93" i="23" s="1"/>
  <c r="Y21" i="23"/>
  <c r="Y68" i="23" s="1"/>
  <c r="Y92" i="23" s="1"/>
  <c r="Y24" i="23"/>
  <c r="Y71" i="23" s="1"/>
  <c r="Y95" i="23" s="1"/>
  <c r="Y28" i="23"/>
  <c r="Y75" i="23" s="1"/>
  <c r="Y99" i="23" s="1"/>
  <c r="Y23" i="23"/>
  <c r="Y70" i="23" s="1"/>
  <c r="Y94" i="23" s="1"/>
  <c r="AA82" i="3"/>
  <c r="D131" i="3"/>
  <c r="C100" i="23"/>
  <c r="C43" i="27" s="1"/>
  <c r="C76" i="23"/>
  <c r="C21" i="27" s="1"/>
  <c r="D66" i="3"/>
  <c r="T131" i="3"/>
  <c r="AA66" i="3"/>
  <c r="L82" i="3"/>
  <c r="D83" i="3"/>
  <c r="I19" i="2"/>
  <c r="I23" i="2" s="1"/>
  <c r="I5" i="25"/>
  <c r="I9" i="25"/>
  <c r="I12" i="25" s="1"/>
  <c r="I20" i="2"/>
  <c r="J137" i="3"/>
  <c r="S22" i="23"/>
  <c r="S69" i="23" s="1"/>
  <c r="S93" i="23" s="1"/>
  <c r="R82" i="3"/>
  <c r="S23" i="23"/>
  <c r="S70" i="23" s="1"/>
  <c r="S94" i="23" s="1"/>
  <c r="S26" i="23"/>
  <c r="S73" i="23" s="1"/>
  <c r="S97" i="23" s="1"/>
  <c r="S20" i="23"/>
  <c r="S67" i="23" s="1"/>
  <c r="S91" i="23" s="1"/>
  <c r="S28" i="23"/>
  <c r="S75" i="23" s="1"/>
  <c r="S99" i="23" s="1"/>
  <c r="K23" i="2"/>
  <c r="T139" i="3"/>
  <c r="S25" i="23"/>
  <c r="S72" i="23" s="1"/>
  <c r="S96" i="23" s="1"/>
  <c r="J131" i="3"/>
  <c r="S24" i="23"/>
  <c r="S71" i="23" s="1"/>
  <c r="S95" i="23" s="1"/>
  <c r="S21" i="23"/>
  <c r="S68" i="23" s="1"/>
  <c r="S92" i="23" s="1"/>
  <c r="O21" i="2"/>
  <c r="H131" i="3"/>
  <c r="O139" i="3"/>
  <c r="O137" i="3"/>
  <c r="O23" i="2"/>
  <c r="F137" i="3"/>
  <c r="Z137" i="3"/>
  <c r="AA131" i="3"/>
  <c r="E100" i="23"/>
  <c r="E43" i="27" s="1"/>
  <c r="N100" i="23"/>
  <c r="N43" i="27" s="1"/>
  <c r="O100" i="23"/>
  <c r="O43" i="27" s="1"/>
  <c r="L131" i="3"/>
  <c r="N76" i="23"/>
  <c r="N21" i="27" s="1"/>
  <c r="E76" i="23"/>
  <c r="E21" i="27" s="1"/>
  <c r="N137" i="3"/>
  <c r="N139" i="3"/>
  <c r="L137" i="3"/>
  <c r="G100" i="23"/>
  <c r="G43" i="27" s="1"/>
  <c r="AA137" i="3"/>
  <c r="O76" i="23"/>
  <c r="O21" i="27" s="1"/>
  <c r="R137" i="3"/>
  <c r="G76" i="23"/>
  <c r="G21" i="27" s="1"/>
  <c r="Z76" i="23"/>
  <c r="Z21" i="27" s="1"/>
  <c r="E137" i="3"/>
  <c r="M100" i="23"/>
  <c r="M43" i="27" s="1"/>
  <c r="X100" i="23"/>
  <c r="X43" i="27" s="1"/>
  <c r="J15" i="24"/>
  <c r="J8" i="25" s="1"/>
  <c r="J21" i="2"/>
  <c r="J23" i="2"/>
  <c r="M76" i="23"/>
  <c r="M21" i="27" s="1"/>
  <c r="X76" i="23"/>
  <c r="X21" i="27" s="1"/>
  <c r="I130" i="3"/>
  <c r="Z100" i="23"/>
  <c r="Z43" i="27" s="1"/>
  <c r="P100" i="23"/>
  <c r="P43" i="27" s="1"/>
  <c r="P76" i="23"/>
  <c r="P21" i="27" s="1"/>
  <c r="H126" i="3"/>
  <c r="M130" i="3"/>
  <c r="F83" i="3"/>
  <c r="Z34" i="18"/>
  <c r="Z35" i="18"/>
  <c r="M78" i="3"/>
  <c r="Z78" i="3"/>
  <c r="F78" i="3"/>
  <c r="L126" i="3"/>
  <c r="F130" i="3"/>
  <c r="F131" i="3"/>
  <c r="AB83" i="3"/>
  <c r="Q126" i="3"/>
  <c r="N78" i="3"/>
  <c r="Q83" i="3"/>
  <c r="AA15" i="24"/>
  <c r="AA139" i="3"/>
  <c r="AA23" i="2"/>
  <c r="AA21" i="2"/>
  <c r="I15" i="24"/>
  <c r="I8" i="25" s="1"/>
  <c r="I137" i="3"/>
  <c r="C15" i="24"/>
  <c r="C8" i="25" s="1"/>
  <c r="C23" i="2"/>
  <c r="C21" i="2"/>
  <c r="I49" i="26"/>
  <c r="I76" i="26"/>
  <c r="C137" i="3"/>
  <c r="G15" i="24"/>
  <c r="G8" i="25" s="1"/>
  <c r="G21" i="2"/>
  <c r="G23" i="2"/>
  <c r="AB131" i="3"/>
  <c r="Z15" i="24"/>
  <c r="Z8" i="25" s="1"/>
  <c r="Z21" i="2"/>
  <c r="Z23" i="2"/>
  <c r="N15" i="24"/>
  <c r="N8" i="25" s="1"/>
  <c r="N21" i="2"/>
  <c r="N23" i="2"/>
  <c r="M15" i="24"/>
  <c r="M8" i="25" s="1"/>
  <c r="M21" i="2"/>
  <c r="M137" i="3"/>
  <c r="M23" i="2"/>
  <c r="AA130" i="3"/>
  <c r="P137" i="3"/>
  <c r="O131" i="3"/>
  <c r="S15" i="24"/>
  <c r="S8" i="25" s="1"/>
  <c r="S23" i="2"/>
  <c r="S21" i="2"/>
  <c r="S137" i="3"/>
  <c r="S139" i="3"/>
  <c r="M83" i="3"/>
  <c r="AB76" i="3"/>
  <c r="AB78" i="3" s="1"/>
  <c r="AB66" i="3"/>
  <c r="S77" i="3"/>
  <c r="S66" i="3"/>
  <c r="T15" i="24"/>
  <c r="T23" i="2"/>
  <c r="T21" i="2"/>
  <c r="M126" i="3"/>
  <c r="M139" i="3"/>
  <c r="E15" i="24"/>
  <c r="E8" i="25" s="1"/>
  <c r="E21" i="2"/>
  <c r="E23" i="2"/>
  <c r="L76" i="26"/>
  <c r="L80" i="26" s="1"/>
  <c r="L49" i="26"/>
  <c r="X15" i="24"/>
  <c r="X8" i="25" s="1"/>
  <c r="X139" i="3"/>
  <c r="X21" i="2"/>
  <c r="X23" i="2"/>
  <c r="F15" i="24"/>
  <c r="F8" i="25" s="1"/>
  <c r="F23" i="2"/>
  <c r="F21" i="2"/>
  <c r="AB124" i="3"/>
  <c r="AB126" i="3" s="1"/>
  <c r="AB114" i="3"/>
  <c r="J48" i="26"/>
  <c r="AB15" i="24"/>
  <c r="AB8" i="25" s="1"/>
  <c r="AB23" i="2"/>
  <c r="AB21" i="2"/>
  <c r="AB137" i="3"/>
  <c r="R15" i="24"/>
  <c r="R21" i="2"/>
  <c r="R23" i="2"/>
  <c r="P15" i="24"/>
  <c r="P8" i="25" s="1"/>
  <c r="P21" i="2"/>
  <c r="P23" i="2"/>
  <c r="J25" i="23"/>
  <c r="J72" i="23" s="1"/>
  <c r="J96" i="23" s="1"/>
  <c r="J28" i="23"/>
  <c r="J75" i="23" s="1"/>
  <c r="J99" i="23" s="1"/>
  <c r="J27" i="23"/>
  <c r="J74" i="23" s="1"/>
  <c r="J98" i="23" s="1"/>
  <c r="J24" i="23"/>
  <c r="J71" i="23" s="1"/>
  <c r="J95" i="23" s="1"/>
  <c r="J22" i="23"/>
  <c r="J69" i="23" s="1"/>
  <c r="J93" i="23" s="1"/>
  <c r="J20" i="23"/>
  <c r="J67" i="23" s="1"/>
  <c r="J23" i="23"/>
  <c r="J70" i="23" s="1"/>
  <c r="J94" i="23" s="1"/>
  <c r="J26" i="23"/>
  <c r="J73" i="23" s="1"/>
  <c r="J97" i="23" s="1"/>
  <c r="J21" i="23"/>
  <c r="J68" i="23" s="1"/>
  <c r="J92" i="23" s="1"/>
  <c r="G131" i="3"/>
  <c r="E82" i="3"/>
  <c r="J49" i="26"/>
  <c r="J53" i="26" s="1"/>
  <c r="J76" i="26"/>
  <c r="C139" i="3"/>
  <c r="R139" i="3"/>
  <c r="G139" i="3"/>
  <c r="H15" i="24"/>
  <c r="H8" i="25" s="1"/>
  <c r="H137" i="3"/>
  <c r="H23" i="2"/>
  <c r="H21" i="2"/>
  <c r="Q15" i="24"/>
  <c r="Q8" i="25" s="1"/>
  <c r="Q21" i="2"/>
  <c r="Q23" i="2"/>
  <c r="K48" i="26"/>
  <c r="L15" i="24"/>
  <c r="L8" i="25" s="1"/>
  <c r="L23" i="2"/>
  <c r="L139" i="3"/>
  <c r="D24" i="23"/>
  <c r="D71" i="23" s="1"/>
  <c r="D95" i="23" s="1"/>
  <c r="D20" i="23"/>
  <c r="D67" i="23" s="1"/>
  <c r="D23" i="23"/>
  <c r="D70" i="23" s="1"/>
  <c r="D94" i="23" s="1"/>
  <c r="D25" i="23"/>
  <c r="D72" i="23" s="1"/>
  <c r="D96" i="23" s="1"/>
  <c r="D22" i="23"/>
  <c r="D69" i="23" s="1"/>
  <c r="D93" i="23" s="1"/>
  <c r="D28" i="23"/>
  <c r="D75" i="23" s="1"/>
  <c r="D99" i="23" s="1"/>
  <c r="D21" i="23"/>
  <c r="D68" i="23" s="1"/>
  <c r="D92" i="23" s="1"/>
  <c r="D26" i="23"/>
  <c r="D73" i="23" s="1"/>
  <c r="D97" i="23" s="1"/>
  <c r="D27" i="23"/>
  <c r="D74" i="23" s="1"/>
  <c r="D98" i="23" s="1"/>
  <c r="Y15" i="24"/>
  <c r="Y23" i="2"/>
  <c r="Y21" i="2"/>
  <c r="Y137" i="3"/>
  <c r="I139" i="3"/>
  <c r="E139" i="3"/>
  <c r="K76" i="26"/>
  <c r="K49" i="26"/>
  <c r="K53" i="26" s="1"/>
  <c r="D15" i="24"/>
  <c r="D8" i="25" s="1"/>
  <c r="D23" i="2"/>
  <c r="D21" i="2"/>
  <c r="D139" i="3"/>
  <c r="Q137" i="3"/>
  <c r="F82" i="3"/>
  <c r="T126" i="3"/>
  <c r="K131" i="3"/>
  <c r="X131" i="3"/>
  <c r="D126" i="3"/>
  <c r="N83" i="3"/>
  <c r="T130" i="3"/>
  <c r="F66" i="3"/>
  <c r="E78" i="3"/>
  <c r="X78" i="3"/>
  <c r="Y78" i="3"/>
  <c r="L114" i="3"/>
  <c r="Q114" i="3"/>
  <c r="H114" i="3"/>
  <c r="T114" i="3"/>
  <c r="D114" i="3"/>
  <c r="Y66" i="3"/>
  <c r="Z83" i="3"/>
  <c r="J130" i="3"/>
  <c r="L77" i="3"/>
  <c r="L78" i="3" s="1"/>
  <c r="L66" i="3"/>
  <c r="Y131" i="3"/>
  <c r="T77" i="3"/>
  <c r="T78" i="3" s="1"/>
  <c r="T66" i="3"/>
  <c r="X66" i="3"/>
  <c r="AB69" i="3"/>
  <c r="AB72" i="3" s="1"/>
  <c r="D117" i="3"/>
  <c r="D120" i="3" s="1"/>
  <c r="AA123" i="3"/>
  <c r="AA126" i="3" s="1"/>
  <c r="AA114" i="3"/>
  <c r="AB117" i="3"/>
  <c r="Q117" i="3"/>
  <c r="G83" i="3"/>
  <c r="Y123" i="3"/>
  <c r="Y126" i="3" s="1"/>
  <c r="Y114" i="3"/>
  <c r="J69" i="3"/>
  <c r="D130" i="3"/>
  <c r="F117" i="3"/>
  <c r="R123" i="3"/>
  <c r="R114" i="3"/>
  <c r="S123" i="3"/>
  <c r="S126" i="3" s="1"/>
  <c r="S114" i="3"/>
  <c r="Y117" i="3"/>
  <c r="F69" i="3"/>
  <c r="Y83" i="3"/>
  <c r="Y69" i="3"/>
  <c r="R130" i="3"/>
  <c r="Y82" i="3"/>
  <c r="L130" i="3"/>
  <c r="S117" i="3"/>
  <c r="Q130" i="3"/>
  <c r="D69" i="3"/>
  <c r="AA117" i="3"/>
  <c r="R117" i="3"/>
  <c r="R120" i="3" s="1"/>
  <c r="H117" i="3"/>
  <c r="H120" i="3" s="1"/>
  <c r="Z130" i="3"/>
  <c r="T69" i="3"/>
  <c r="F123" i="3"/>
  <c r="F126" i="3" s="1"/>
  <c r="F114" i="3"/>
  <c r="P117" i="3"/>
  <c r="P129" i="3" s="1"/>
  <c r="H69" i="3"/>
  <c r="Q69" i="3"/>
  <c r="L69" i="3"/>
  <c r="S131" i="3"/>
  <c r="T117" i="3"/>
  <c r="T120" i="3" s="1"/>
  <c r="R69" i="3"/>
  <c r="L117" i="3"/>
  <c r="S69" i="3"/>
  <c r="S130" i="3"/>
  <c r="H130" i="3"/>
  <c r="J123" i="3"/>
  <c r="J114" i="3"/>
  <c r="J117" i="3"/>
  <c r="J120" i="3" s="1"/>
  <c r="Q76" i="3"/>
  <c r="Q78" i="3" s="1"/>
  <c r="Q66" i="3"/>
  <c r="M114" i="3"/>
  <c r="N131" i="3"/>
  <c r="K69" i="3"/>
  <c r="K72" i="3" s="1"/>
  <c r="E83" i="3"/>
  <c r="X69" i="3"/>
  <c r="K76" i="3"/>
  <c r="K78" i="3" s="1"/>
  <c r="K66" i="3"/>
  <c r="C69" i="3"/>
  <c r="H109" i="5"/>
  <c r="Z66" i="3"/>
  <c r="Z131" i="3"/>
  <c r="K124" i="3"/>
  <c r="K126" i="3" s="1"/>
  <c r="K114" i="3"/>
  <c r="Z69" i="3"/>
  <c r="I131" i="3"/>
  <c r="E66" i="3"/>
  <c r="O117" i="3"/>
  <c r="N124" i="3"/>
  <c r="N126" i="3" s="1"/>
  <c r="N114" i="3"/>
  <c r="P69" i="3"/>
  <c r="E131" i="3"/>
  <c r="O76" i="3"/>
  <c r="O78" i="3" s="1"/>
  <c r="O66" i="3"/>
  <c r="J14" i="25"/>
  <c r="H14" i="25"/>
  <c r="G14" i="25"/>
  <c r="L14" i="25"/>
  <c r="K14" i="25"/>
  <c r="Z123" i="3"/>
  <c r="Z114" i="3"/>
  <c r="E123" i="3"/>
  <c r="E126" i="3" s="1"/>
  <c r="E114" i="3"/>
  <c r="I83" i="3"/>
  <c r="Z32" i="18"/>
  <c r="O83" i="3"/>
  <c r="N82" i="3"/>
  <c r="I114" i="3"/>
  <c r="I123" i="3"/>
  <c r="I126" i="3" s="1"/>
  <c r="I76" i="3"/>
  <c r="I78" i="3" s="1"/>
  <c r="I66" i="3"/>
  <c r="M66" i="3"/>
  <c r="Z31" i="18"/>
  <c r="N69" i="3"/>
  <c r="N117" i="3"/>
  <c r="G76" i="3"/>
  <c r="G78" i="3" s="1"/>
  <c r="G66" i="3"/>
  <c r="X82" i="3"/>
  <c r="X117" i="3"/>
  <c r="M131" i="3"/>
  <c r="K117" i="3"/>
  <c r="E130" i="3"/>
  <c r="X83" i="3"/>
  <c r="I69" i="3"/>
  <c r="M82" i="3"/>
  <c r="E117" i="3"/>
  <c r="H100" i="5"/>
  <c r="P124" i="3"/>
  <c r="P126" i="3" s="1"/>
  <c r="P114" i="3"/>
  <c r="Z117" i="3"/>
  <c r="Z120" i="3" s="1"/>
  <c r="P131" i="3"/>
  <c r="P76" i="3"/>
  <c r="P78" i="3" s="1"/>
  <c r="P66" i="3"/>
  <c r="L7" i="14"/>
  <c r="Y37" i="18"/>
  <c r="Z29" i="18"/>
  <c r="X124" i="3"/>
  <c r="X126" i="3" s="1"/>
  <c r="X114" i="3"/>
  <c r="P83" i="3"/>
  <c r="C117" i="3"/>
  <c r="O7" i="14"/>
  <c r="G124" i="3"/>
  <c r="G126" i="3" s="1"/>
  <c r="G114" i="3"/>
  <c r="I117" i="3"/>
  <c r="E69" i="3"/>
  <c r="Z82" i="3"/>
  <c r="M69" i="3"/>
  <c r="N66" i="3"/>
  <c r="G69" i="3"/>
  <c r="G117" i="3"/>
  <c r="M117" i="3"/>
  <c r="K83" i="3"/>
  <c r="O124" i="3"/>
  <c r="O126" i="3" s="1"/>
  <c r="O114" i="3"/>
  <c r="C76" i="3"/>
  <c r="C66" i="3"/>
  <c r="O69" i="3"/>
  <c r="J83" i="3"/>
  <c r="J78" i="3"/>
  <c r="R83" i="3"/>
  <c r="R78" i="3"/>
  <c r="AA83" i="3"/>
  <c r="AA78" i="3"/>
  <c r="H39" i="24" l="1"/>
  <c r="H48" i="24" s="1"/>
  <c r="H52" i="24" s="1"/>
  <c r="D57" i="26"/>
  <c r="AB53" i="26"/>
  <c r="AB57" i="26" s="1"/>
  <c r="I53" i="26"/>
  <c r="I57" i="26" s="1"/>
  <c r="AA39" i="24"/>
  <c r="AA48" i="24" s="1"/>
  <c r="AA52" i="24" s="1"/>
  <c r="F39" i="24"/>
  <c r="F48" i="24" s="1"/>
  <c r="F52" i="24" s="1"/>
  <c r="Q39" i="24"/>
  <c r="Q48" i="24" s="1"/>
  <c r="Q52" i="24" s="1"/>
  <c r="T39" i="24"/>
  <c r="T48" i="24" s="1"/>
  <c r="T52" i="24" s="1"/>
  <c r="V39" i="24"/>
  <c r="V48" i="24" s="1"/>
  <c r="V52" i="24" s="1"/>
  <c r="V19" i="25" s="1"/>
  <c r="V45" i="27" s="1"/>
  <c r="V38" i="27" s="1"/>
  <c r="V31" i="27" s="1"/>
  <c r="AB39" i="24"/>
  <c r="AB48" i="24" s="1"/>
  <c r="AB52" i="24" s="1"/>
  <c r="AB44" i="27" s="1"/>
  <c r="AB37" i="27" s="1"/>
  <c r="AB30" i="27" s="1"/>
  <c r="U39" i="24"/>
  <c r="U48" i="24" s="1"/>
  <c r="U52" i="24" s="1"/>
  <c r="U19" i="25" s="1"/>
  <c r="U45" i="27" s="1"/>
  <c r="U38" i="27" s="1"/>
  <c r="U31" i="27" s="1"/>
  <c r="K50" i="24"/>
  <c r="K22" i="27" s="1"/>
  <c r="K15" i="27" s="1"/>
  <c r="K8" i="27" s="1"/>
  <c r="K52" i="24"/>
  <c r="K44" i="27" s="1"/>
  <c r="K37" i="27" s="1"/>
  <c r="K30" i="27" s="1"/>
  <c r="D39" i="24"/>
  <c r="D48" i="24" s="1"/>
  <c r="D52" i="24" s="1"/>
  <c r="W52" i="24"/>
  <c r="W44" i="27" s="1"/>
  <c r="W91" i="23"/>
  <c r="W100" i="23" s="1"/>
  <c r="W43" i="27" s="1"/>
  <c r="W36" i="27" s="1"/>
  <c r="W29" i="27" s="1"/>
  <c r="W76" i="23"/>
  <c r="W21" i="27" s="1"/>
  <c r="W14" i="27" s="1"/>
  <c r="W7" i="27" s="1"/>
  <c r="W67" i="26"/>
  <c r="W75" i="26" s="1"/>
  <c r="W79" i="26" s="1"/>
  <c r="W44" i="26"/>
  <c r="W52" i="26" s="1"/>
  <c r="W56" i="26" s="1"/>
  <c r="W35" i="24"/>
  <c r="W50" i="24" s="1"/>
  <c r="H14" i="26"/>
  <c r="H44" i="26" s="1"/>
  <c r="H52" i="26" s="1"/>
  <c r="W19" i="26"/>
  <c r="I12" i="14"/>
  <c r="W81" i="3"/>
  <c r="W84" i="3" s="1"/>
  <c r="W142" i="3" s="1"/>
  <c r="W20" i="27" s="1"/>
  <c r="W13" i="27" s="1"/>
  <c r="W72" i="3"/>
  <c r="H57" i="26"/>
  <c r="J80" i="26"/>
  <c r="J57" i="26"/>
  <c r="L76" i="23"/>
  <c r="L21" i="27" s="1"/>
  <c r="L14" i="27" s="1"/>
  <c r="L7" i="27" s="1"/>
  <c r="W35" i="27"/>
  <c r="R100" i="23"/>
  <c r="R43" i="27" s="1"/>
  <c r="R76" i="23"/>
  <c r="R21" i="27" s="1"/>
  <c r="R14" i="27" s="1"/>
  <c r="R7" i="27" s="1"/>
  <c r="AA76" i="23"/>
  <c r="AA21" i="27" s="1"/>
  <c r="AA14" i="27" s="1"/>
  <c r="AA7" i="27" s="1"/>
  <c r="H100" i="23"/>
  <c r="H43" i="27" s="1"/>
  <c r="H36" i="27" s="1"/>
  <c r="L100" i="23"/>
  <c r="L43" i="27" s="1"/>
  <c r="L36" i="27" s="1"/>
  <c r="L29" i="27" s="1"/>
  <c r="K57" i="26"/>
  <c r="I25" i="2"/>
  <c r="K80" i="26"/>
  <c r="H76" i="23"/>
  <c r="H21" i="27" s="1"/>
  <c r="AA100" i="23"/>
  <c r="AA43" i="27" s="1"/>
  <c r="AA36" i="27" s="1"/>
  <c r="H12" i="14"/>
  <c r="I15" i="25"/>
  <c r="I19" i="25" s="1"/>
  <c r="I45" i="27" s="1"/>
  <c r="I38" i="27" s="1"/>
  <c r="G14" i="14"/>
  <c r="G15" i="14" s="1"/>
  <c r="O14" i="14"/>
  <c r="Q14" i="14"/>
  <c r="Q15" i="14" s="1"/>
  <c r="L14" i="14"/>
  <c r="P14" i="14"/>
  <c r="I14" i="14"/>
  <c r="I15" i="14" s="1"/>
  <c r="F14" i="14"/>
  <c r="F15" i="14" s="1"/>
  <c r="H14" i="14"/>
  <c r="H15" i="14" s="1"/>
  <c r="J14" i="14"/>
  <c r="J15" i="14" s="1"/>
  <c r="M14" i="14"/>
  <c r="M15" i="14" s="1"/>
  <c r="K14" i="14"/>
  <c r="K15" i="14" s="1"/>
  <c r="N14" i="14"/>
  <c r="N15" i="14" s="1"/>
  <c r="T100" i="23"/>
  <c r="T43" i="27" s="1"/>
  <c r="T36" i="27" s="1"/>
  <c r="L53" i="26"/>
  <c r="L57" i="26" s="1"/>
  <c r="F31" i="26"/>
  <c r="F57" i="26"/>
  <c r="C57" i="26"/>
  <c r="F14" i="26"/>
  <c r="F67" i="26" s="1"/>
  <c r="F75" i="26" s="1"/>
  <c r="K17" i="25"/>
  <c r="K23" i="27" s="1"/>
  <c r="K16" i="27" s="1"/>
  <c r="K9" i="27" s="1"/>
  <c r="I100" i="23"/>
  <c r="I43" i="27" s="1"/>
  <c r="I36" i="27" s="1"/>
  <c r="M12" i="14"/>
  <c r="J25" i="2"/>
  <c r="I80" i="26"/>
  <c r="T76" i="23"/>
  <c r="T21" i="27" s="1"/>
  <c r="T14" i="27" s="1"/>
  <c r="T7" i="27" s="1"/>
  <c r="V100" i="23"/>
  <c r="V43" i="27" s="1"/>
  <c r="V36" i="27" s="1"/>
  <c r="V29" i="27" s="1"/>
  <c r="D35" i="24"/>
  <c r="D50" i="24" s="1"/>
  <c r="U35" i="24"/>
  <c r="U50" i="24" s="1"/>
  <c r="U17" i="25" s="1"/>
  <c r="U23" i="27" s="1"/>
  <c r="U16" i="27" s="1"/>
  <c r="U9" i="27" s="1"/>
  <c r="U144" i="3"/>
  <c r="U42" i="27" s="1"/>
  <c r="U35" i="27" s="1"/>
  <c r="U72" i="3"/>
  <c r="U81" i="3"/>
  <c r="U84" i="3" s="1"/>
  <c r="U142" i="3" s="1"/>
  <c r="U20" i="27" s="1"/>
  <c r="V72" i="3"/>
  <c r="V81" i="3"/>
  <c r="V84" i="3" s="1"/>
  <c r="V142" i="3" s="1"/>
  <c r="V20" i="27" s="1"/>
  <c r="D233" i="20"/>
  <c r="X28" i="26"/>
  <c r="X32" i="26" s="1"/>
  <c r="Y28" i="26"/>
  <c r="Y32" i="26" s="1"/>
  <c r="H31" i="26"/>
  <c r="H25" i="2"/>
  <c r="S35" i="24"/>
  <c r="S50" i="24" s="1"/>
  <c r="L14" i="26"/>
  <c r="L44" i="26" s="1"/>
  <c r="L52" i="26" s="1"/>
  <c r="C14" i="26"/>
  <c r="C67" i="26" s="1"/>
  <c r="C75" i="26" s="1"/>
  <c r="AB35" i="24"/>
  <c r="AB50" i="24" s="1"/>
  <c r="AB22" i="27" s="1"/>
  <c r="AB15" i="27" s="1"/>
  <c r="AB8" i="27" s="1"/>
  <c r="Q35" i="24"/>
  <c r="Q50" i="24" s="1"/>
  <c r="V76" i="23"/>
  <c r="V21" i="27" s="1"/>
  <c r="V14" i="27" s="1"/>
  <c r="V7" i="27" s="1"/>
  <c r="V131" i="3"/>
  <c r="V132" i="3" s="1"/>
  <c r="V144" i="3" s="1"/>
  <c r="V42" i="27" s="1"/>
  <c r="V126" i="3"/>
  <c r="G31" i="26"/>
  <c r="E25" i="2"/>
  <c r="E31" i="26"/>
  <c r="V25" i="2"/>
  <c r="Y25" i="2"/>
  <c r="G57" i="26"/>
  <c r="V35" i="24"/>
  <c r="V50" i="24" s="1"/>
  <c r="U25" i="2"/>
  <c r="X31" i="26"/>
  <c r="X25" i="2"/>
  <c r="AA35" i="24"/>
  <c r="AA50" i="24" s="1"/>
  <c r="G25" i="2"/>
  <c r="S39" i="24"/>
  <c r="S48" i="24" s="1"/>
  <c r="S52" i="24" s="1"/>
  <c r="J35" i="24"/>
  <c r="J50" i="24" s="1"/>
  <c r="J22" i="27" s="1"/>
  <c r="J15" i="27" s="1"/>
  <c r="J8" i="27" s="1"/>
  <c r="L10" i="14"/>
  <c r="L12" i="14" s="1"/>
  <c r="L13" i="14"/>
  <c r="K31" i="26"/>
  <c r="K25" i="2"/>
  <c r="H67" i="26"/>
  <c r="H75" i="26" s="1"/>
  <c r="H79" i="26" s="1"/>
  <c r="H81" i="26" s="1"/>
  <c r="H39" i="27" s="1"/>
  <c r="N35" i="24"/>
  <c r="N50" i="24" s="1"/>
  <c r="N17" i="25" s="1"/>
  <c r="I35" i="24"/>
  <c r="I50" i="24" s="1"/>
  <c r="X35" i="24"/>
  <c r="X50" i="24" s="1"/>
  <c r="X22" i="27" s="1"/>
  <c r="X15" i="27" s="1"/>
  <c r="X8" i="27" s="1"/>
  <c r="Z35" i="24"/>
  <c r="Z50" i="24" s="1"/>
  <c r="Z17" i="25" s="1"/>
  <c r="Z23" i="27" s="1"/>
  <c r="Z16" i="27" s="1"/>
  <c r="Z9" i="27" s="1"/>
  <c r="G35" i="24"/>
  <c r="G50" i="24" s="1"/>
  <c r="G22" i="27" s="1"/>
  <c r="G15" i="27" s="1"/>
  <c r="G8" i="27" s="1"/>
  <c r="C35" i="24"/>
  <c r="C50" i="24" s="1"/>
  <c r="E35" i="24"/>
  <c r="E50" i="24" s="1"/>
  <c r="E22" i="27" s="1"/>
  <c r="E15" i="27" s="1"/>
  <c r="E8" i="27" s="1"/>
  <c r="M35" i="24"/>
  <c r="M50" i="24" s="1"/>
  <c r="Q19" i="26"/>
  <c r="P19" i="26"/>
  <c r="O19" i="26"/>
  <c r="M19" i="26"/>
  <c r="R19" i="26"/>
  <c r="Z14" i="26"/>
  <c r="S19" i="26"/>
  <c r="N19" i="26"/>
  <c r="AA14" i="26"/>
  <c r="T19" i="26"/>
  <c r="U19" i="26"/>
  <c r="V19" i="26"/>
  <c r="J31" i="26"/>
  <c r="I31" i="26"/>
  <c r="X19" i="26"/>
  <c r="Y19" i="26"/>
  <c r="I14" i="26"/>
  <c r="I44" i="26" s="1"/>
  <c r="I52" i="26" s="1"/>
  <c r="X14" i="26"/>
  <c r="X44" i="26" s="1"/>
  <c r="X52" i="26" s="1"/>
  <c r="Y39" i="24"/>
  <c r="Y48" i="24" s="1"/>
  <c r="Y52" i="24" s="1"/>
  <c r="Y35" i="24"/>
  <c r="Y50" i="24" s="1"/>
  <c r="P35" i="24"/>
  <c r="P50" i="24" s="1"/>
  <c r="D31" i="26"/>
  <c r="D25" i="2"/>
  <c r="Y67" i="26"/>
  <c r="Y75" i="26" s="1"/>
  <c r="Y44" i="26"/>
  <c r="Y52" i="26" s="1"/>
  <c r="L39" i="24"/>
  <c r="L48" i="24" s="1"/>
  <c r="L52" i="24" s="1"/>
  <c r="L44" i="27" s="1"/>
  <c r="L37" i="27" s="1"/>
  <c r="L30" i="27" s="1"/>
  <c r="L35" i="24"/>
  <c r="L50" i="24" s="1"/>
  <c r="L22" i="27" s="1"/>
  <c r="L15" i="27" s="1"/>
  <c r="L8" i="27" s="1"/>
  <c r="G14" i="26"/>
  <c r="G67" i="26" s="1"/>
  <c r="G75" i="26" s="1"/>
  <c r="E14" i="26"/>
  <c r="E67" i="26" s="1"/>
  <c r="E75" i="26" s="1"/>
  <c r="D14" i="26"/>
  <c r="D44" i="26" s="1"/>
  <c r="D52" i="26" s="1"/>
  <c r="D56" i="26" s="1"/>
  <c r="D58" i="26" s="1"/>
  <c r="D17" i="27" s="1"/>
  <c r="D10" i="27" s="1"/>
  <c r="Y31" i="26"/>
  <c r="C31" i="26"/>
  <c r="C25" i="2"/>
  <c r="T35" i="24"/>
  <c r="T50" i="24" s="1"/>
  <c r="J67" i="26"/>
  <c r="J75" i="26" s="1"/>
  <c r="J44" i="26"/>
  <c r="J52" i="26" s="1"/>
  <c r="O13" i="14"/>
  <c r="O10" i="14"/>
  <c r="O12" i="14" s="1"/>
  <c r="P14" i="26"/>
  <c r="M14" i="26"/>
  <c r="R14" i="26"/>
  <c r="N14" i="26"/>
  <c r="V14" i="26"/>
  <c r="T14" i="26"/>
  <c r="O14" i="26"/>
  <c r="S14" i="26"/>
  <c r="Q14" i="26"/>
  <c r="U14" i="26"/>
  <c r="F25" i="2"/>
  <c r="O39" i="24"/>
  <c r="O48" i="24" s="1"/>
  <c r="O52" i="24" s="1"/>
  <c r="O44" i="27" s="1"/>
  <c r="O37" i="27" s="1"/>
  <c r="O30" i="27" s="1"/>
  <c r="O35" i="24"/>
  <c r="O50" i="24" s="1"/>
  <c r="O22" i="27" s="1"/>
  <c r="O15" i="27" s="1"/>
  <c r="O8" i="27" s="1"/>
  <c r="L25" i="2"/>
  <c r="L31" i="26"/>
  <c r="H35" i="24"/>
  <c r="H50" i="24" s="1"/>
  <c r="F35" i="24"/>
  <c r="F50" i="24" s="1"/>
  <c r="F22" i="27" s="1"/>
  <c r="F15" i="27" s="1"/>
  <c r="F8" i="27" s="1"/>
  <c r="P39" i="24"/>
  <c r="P48" i="24" s="1"/>
  <c r="P52" i="24" s="1"/>
  <c r="K14" i="26"/>
  <c r="K67" i="26" s="1"/>
  <c r="K75" i="26" s="1"/>
  <c r="E57" i="26"/>
  <c r="R35" i="24"/>
  <c r="R50" i="24" s="1"/>
  <c r="R12" i="14"/>
  <c r="R15" i="14"/>
  <c r="R39" i="24"/>
  <c r="R48" i="24" s="1"/>
  <c r="R52" i="24" s="1"/>
  <c r="AB100" i="23"/>
  <c r="AB43" i="27" s="1"/>
  <c r="AB36" i="27" s="1"/>
  <c r="AB29" i="27" s="1"/>
  <c r="AB76" i="23"/>
  <c r="AB21" i="27" s="1"/>
  <c r="AB14" i="27" s="1"/>
  <c r="AB7" i="27" s="1"/>
  <c r="I14" i="25"/>
  <c r="I17" i="25" s="1"/>
  <c r="I23" i="27" s="1"/>
  <c r="I16" i="27" s="1"/>
  <c r="K100" i="23"/>
  <c r="K43" i="27" s="1"/>
  <c r="K36" i="27" s="1"/>
  <c r="K29" i="27" s="1"/>
  <c r="I76" i="23"/>
  <c r="I21" i="27" s="1"/>
  <c r="I14" i="27" s="1"/>
  <c r="K76" i="23"/>
  <c r="K21" i="27" s="1"/>
  <c r="K14" i="27" s="1"/>
  <c r="K7" i="27" s="1"/>
  <c r="F100" i="23"/>
  <c r="F43" i="27" s="1"/>
  <c r="F36" i="27" s="1"/>
  <c r="F29" i="27" s="1"/>
  <c r="Q100" i="23"/>
  <c r="Q43" i="27" s="1"/>
  <c r="Q36" i="27" s="1"/>
  <c r="Q29" i="27" s="1"/>
  <c r="F76" i="23"/>
  <c r="F21" i="27" s="1"/>
  <c r="F14" i="27" s="1"/>
  <c r="F7" i="27" s="1"/>
  <c r="Y100" i="23"/>
  <c r="Y43" i="27" s="1"/>
  <c r="Y36" i="27" s="1"/>
  <c r="Y29" i="27" s="1"/>
  <c r="Z14" i="27"/>
  <c r="Z7" i="27" s="1"/>
  <c r="J17" i="25"/>
  <c r="J23" i="27" s="1"/>
  <c r="J16" i="27" s="1"/>
  <c r="J9" i="27" s="1"/>
  <c r="Q76" i="23"/>
  <c r="Q21" i="27" s="1"/>
  <c r="Q14" i="27" s="1"/>
  <c r="Q7" i="27" s="1"/>
  <c r="Y76" i="23"/>
  <c r="Y21" i="27" s="1"/>
  <c r="Y14" i="27" s="1"/>
  <c r="Y7" i="27" s="1"/>
  <c r="AB81" i="26"/>
  <c r="AB39" i="27" s="1"/>
  <c r="AB58" i="26"/>
  <c r="AB17" i="27" s="1"/>
  <c r="AB10" i="27" s="1"/>
  <c r="I21" i="2"/>
  <c r="E36" i="27"/>
  <c r="E29" i="27" s="1"/>
  <c r="C36" i="27"/>
  <c r="C29" i="27" s="1"/>
  <c r="P36" i="27"/>
  <c r="P29" i="27" s="1"/>
  <c r="H17" i="25"/>
  <c r="H23" i="27" s="1"/>
  <c r="H16" i="27" s="1"/>
  <c r="H9" i="27" s="1"/>
  <c r="O14" i="27"/>
  <c r="O7" i="27" s="1"/>
  <c r="N36" i="27"/>
  <c r="N29" i="27" s="1"/>
  <c r="S100" i="23"/>
  <c r="S43" i="27" s="1"/>
  <c r="S36" i="27" s="1"/>
  <c r="S29" i="27" s="1"/>
  <c r="G36" i="27"/>
  <c r="G29" i="27" s="1"/>
  <c r="G17" i="25"/>
  <c r="G23" i="27" s="1"/>
  <c r="G16" i="27" s="1"/>
  <c r="G9" i="27" s="1"/>
  <c r="S76" i="23"/>
  <c r="S21" i="27" s="1"/>
  <c r="S14" i="27" s="1"/>
  <c r="S7" i="27" s="1"/>
  <c r="L17" i="25"/>
  <c r="L23" i="27" s="1"/>
  <c r="L16" i="27" s="1"/>
  <c r="L9" i="27" s="1"/>
  <c r="O36" i="27"/>
  <c r="O29" i="27" s="1"/>
  <c r="E52" i="24"/>
  <c r="E44" i="27" s="1"/>
  <c r="E37" i="27" s="1"/>
  <c r="E30" i="27" s="1"/>
  <c r="J52" i="24"/>
  <c r="J44" i="27" s="1"/>
  <c r="J37" i="27" s="1"/>
  <c r="J30" i="27" s="1"/>
  <c r="M14" i="27"/>
  <c r="M7" i="27" s="1"/>
  <c r="T83" i="3"/>
  <c r="X36" i="27"/>
  <c r="X29" i="27" s="1"/>
  <c r="X52" i="24"/>
  <c r="X44" i="27" s="1"/>
  <c r="X37" i="27" s="1"/>
  <c r="X30" i="27" s="1"/>
  <c r="G52" i="24"/>
  <c r="G44" i="27" s="1"/>
  <c r="G37" i="27" s="1"/>
  <c r="G30" i="27" s="1"/>
  <c r="Z36" i="27"/>
  <c r="Z29" i="27" s="1"/>
  <c r="X14" i="27"/>
  <c r="X7" i="27" s="1"/>
  <c r="P14" i="27"/>
  <c r="P7" i="27" s="1"/>
  <c r="N14" i="27"/>
  <c r="N7" i="27" s="1"/>
  <c r="Z37" i="18"/>
  <c r="L83" i="3"/>
  <c r="AB81" i="3"/>
  <c r="C19" i="25"/>
  <c r="C45" i="27" s="1"/>
  <c r="C38" i="27" s="1"/>
  <c r="C31" i="27" s="1"/>
  <c r="C17" i="25"/>
  <c r="C23" i="27" s="1"/>
  <c r="C16" i="27" s="1"/>
  <c r="C9" i="27" s="1"/>
  <c r="M52" i="24"/>
  <c r="S78" i="3"/>
  <c r="S83" i="3"/>
  <c r="G14" i="27"/>
  <c r="G7" i="27" s="1"/>
  <c r="AA8" i="25"/>
  <c r="D91" i="23"/>
  <c r="D100" i="23" s="1"/>
  <c r="D43" i="27" s="1"/>
  <c r="D36" i="27" s="1"/>
  <c r="D29" i="27" s="1"/>
  <c r="D76" i="23"/>
  <c r="D21" i="27" s="1"/>
  <c r="D14" i="27" s="1"/>
  <c r="D7" i="27" s="1"/>
  <c r="F19" i="25"/>
  <c r="F45" i="27" s="1"/>
  <c r="F38" i="27" s="1"/>
  <c r="F31" i="27" s="1"/>
  <c r="F17" i="25"/>
  <c r="F23" i="27" s="1"/>
  <c r="F16" i="27" s="1"/>
  <c r="F9" i="27" s="1"/>
  <c r="E19" i="25"/>
  <c r="E45" i="27" s="1"/>
  <c r="E38" i="27" s="1"/>
  <c r="E31" i="27" s="1"/>
  <c r="E17" i="25"/>
  <c r="E23" i="27" s="1"/>
  <c r="E16" i="27" s="1"/>
  <c r="E9" i="27" s="1"/>
  <c r="T8" i="25"/>
  <c r="C52" i="24"/>
  <c r="R8" i="25"/>
  <c r="I52" i="24"/>
  <c r="N52" i="24"/>
  <c r="M36" i="27"/>
  <c r="M29" i="27" s="1"/>
  <c r="AB130" i="3"/>
  <c r="E14" i="27"/>
  <c r="E7" i="27" s="1"/>
  <c r="J91" i="23"/>
  <c r="J100" i="23" s="1"/>
  <c r="J43" i="27" s="1"/>
  <c r="J36" i="27" s="1"/>
  <c r="J29" i="27" s="1"/>
  <c r="J76" i="23"/>
  <c r="J21" i="27" s="1"/>
  <c r="J14" i="27" s="1"/>
  <c r="J7" i="27" s="1"/>
  <c r="C14" i="27"/>
  <c r="C7" i="27" s="1"/>
  <c r="Z52" i="24"/>
  <c r="D19" i="25"/>
  <c r="D45" i="27" s="1"/>
  <c r="D38" i="27" s="1"/>
  <c r="D31" i="27" s="1"/>
  <c r="D17" i="25"/>
  <c r="D23" i="27" s="1"/>
  <c r="D16" i="27" s="1"/>
  <c r="AB82" i="3"/>
  <c r="X19" i="25"/>
  <c r="X45" i="27" s="1"/>
  <c r="X38" i="27" s="1"/>
  <c r="X31" i="27" s="1"/>
  <c r="X17" i="25"/>
  <c r="X23" i="27" s="1"/>
  <c r="X16" i="27" s="1"/>
  <c r="X9" i="27" s="1"/>
  <c r="Y8" i="25"/>
  <c r="D129" i="3"/>
  <c r="D132" i="3" s="1"/>
  <c r="D144" i="3" s="1"/>
  <c r="D42" i="27" s="1"/>
  <c r="P120" i="3"/>
  <c r="O82" i="3"/>
  <c r="R72" i="3"/>
  <c r="R81" i="3"/>
  <c r="R84" i="3" s="1"/>
  <c r="R142" i="3" s="1"/>
  <c r="R20" i="27" s="1"/>
  <c r="D72" i="3"/>
  <c r="D81" i="3"/>
  <c r="D84" i="3" s="1"/>
  <c r="D142" i="3" s="1"/>
  <c r="D20" i="27" s="1"/>
  <c r="J72" i="3"/>
  <c r="J81" i="3"/>
  <c r="J84" i="3" s="1"/>
  <c r="J142" i="3" s="1"/>
  <c r="J20" i="27" s="1"/>
  <c r="S120" i="3"/>
  <c r="S129" i="3"/>
  <c r="S132" i="3" s="1"/>
  <c r="S144" i="3" s="1"/>
  <c r="S42" i="27" s="1"/>
  <c r="AA72" i="3"/>
  <c r="AA81" i="3"/>
  <c r="AA84" i="3" s="1"/>
  <c r="AA142" i="3" s="1"/>
  <c r="AA20" i="27" s="1"/>
  <c r="L72" i="3"/>
  <c r="L81" i="3"/>
  <c r="T129" i="3"/>
  <c r="T132" i="3" s="1"/>
  <c r="T144" i="3" s="1"/>
  <c r="T42" i="27" s="1"/>
  <c r="Q82" i="3"/>
  <c r="Q72" i="3"/>
  <c r="Q81" i="3"/>
  <c r="H72" i="3"/>
  <c r="H81" i="3"/>
  <c r="H84" i="3" s="1"/>
  <c r="H142" i="3" s="1"/>
  <c r="H20" i="27" s="1"/>
  <c r="Y72" i="3"/>
  <c r="Y81" i="3"/>
  <c r="Y84" i="3" s="1"/>
  <c r="Y142" i="3" s="1"/>
  <c r="Y20" i="27" s="1"/>
  <c r="Q120" i="3"/>
  <c r="Q129" i="3"/>
  <c r="Q132" i="3" s="1"/>
  <c r="Q144" i="3" s="1"/>
  <c r="Q42" i="27" s="1"/>
  <c r="I82" i="3"/>
  <c r="AB120" i="3"/>
  <c r="AB129" i="3"/>
  <c r="T72" i="3"/>
  <c r="T81" i="3"/>
  <c r="F72" i="3"/>
  <c r="F81" i="3"/>
  <c r="F84" i="3" s="1"/>
  <c r="F142" i="3" s="1"/>
  <c r="F20" i="27" s="1"/>
  <c r="Y120" i="3"/>
  <c r="Y129" i="3"/>
  <c r="Y132" i="3" s="1"/>
  <c r="Y144" i="3" s="1"/>
  <c r="Y42" i="27" s="1"/>
  <c r="K82" i="3"/>
  <c r="J129" i="3"/>
  <c r="J132" i="3" s="1"/>
  <c r="J144" i="3" s="1"/>
  <c r="J42" i="27" s="1"/>
  <c r="J126" i="3"/>
  <c r="K81" i="3"/>
  <c r="S72" i="3"/>
  <c r="S81" i="3"/>
  <c r="H129" i="3"/>
  <c r="H132" i="3" s="1"/>
  <c r="H144" i="3" s="1"/>
  <c r="H42" i="27" s="1"/>
  <c r="R129" i="3"/>
  <c r="R132" i="3" s="1"/>
  <c r="R144" i="3" s="1"/>
  <c r="R42" i="27" s="1"/>
  <c r="R126" i="3"/>
  <c r="L120" i="3"/>
  <c r="L129" i="3"/>
  <c r="L132" i="3" s="1"/>
  <c r="L144" i="3" s="1"/>
  <c r="L42" i="27" s="1"/>
  <c r="AA129" i="3"/>
  <c r="AA132" i="3" s="1"/>
  <c r="AA144" i="3" s="1"/>
  <c r="AA42" i="27" s="1"/>
  <c r="AA120" i="3"/>
  <c r="F120" i="3"/>
  <c r="F129" i="3"/>
  <c r="F132" i="3" s="1"/>
  <c r="F144" i="3" s="1"/>
  <c r="F42" i="27" s="1"/>
  <c r="G130" i="3"/>
  <c r="O130" i="3"/>
  <c r="N130" i="3"/>
  <c r="G120" i="3"/>
  <c r="G129" i="3"/>
  <c r="X130" i="3"/>
  <c r="G72" i="3"/>
  <c r="G81" i="3"/>
  <c r="P7" i="14"/>
  <c r="Z72" i="3"/>
  <c r="Z81" i="3"/>
  <c r="Z84" i="3" s="1"/>
  <c r="Z142" i="3" s="1"/>
  <c r="Z20" i="27" s="1"/>
  <c r="N120" i="3"/>
  <c r="N129" i="3"/>
  <c r="E120" i="3"/>
  <c r="E129" i="3"/>
  <c r="E132" i="3" s="1"/>
  <c r="E144" i="3" s="1"/>
  <c r="E42" i="27" s="1"/>
  <c r="N72" i="3"/>
  <c r="N81" i="3"/>
  <c r="N84" i="3" s="1"/>
  <c r="N142" i="3" s="1"/>
  <c r="N20" i="27" s="1"/>
  <c r="K130" i="3"/>
  <c r="M72" i="3"/>
  <c r="M81" i="3"/>
  <c r="M84" i="3" s="1"/>
  <c r="M142" i="3" s="1"/>
  <c r="M20" i="27" s="1"/>
  <c r="AA33" i="18"/>
  <c r="AA35" i="18"/>
  <c r="AA30" i="18"/>
  <c r="AA36" i="18"/>
  <c r="I72" i="3"/>
  <c r="I81" i="3"/>
  <c r="O72" i="3"/>
  <c r="O81" i="3"/>
  <c r="AA29" i="18"/>
  <c r="AA31" i="18"/>
  <c r="E72" i="3"/>
  <c r="E81" i="3"/>
  <c r="E84" i="3" s="1"/>
  <c r="E142" i="3" s="1"/>
  <c r="E20" i="27" s="1"/>
  <c r="AA32" i="18"/>
  <c r="K120" i="3"/>
  <c r="K129" i="3"/>
  <c r="P72" i="3"/>
  <c r="P81" i="3"/>
  <c r="C72" i="3"/>
  <c r="C81" i="3"/>
  <c r="C120" i="3"/>
  <c r="C129" i="3"/>
  <c r="C132" i="3" s="1"/>
  <c r="C144" i="3" s="1"/>
  <c r="C42" i="27" s="1"/>
  <c r="I120" i="3"/>
  <c r="I129" i="3"/>
  <c r="I132" i="3" s="1"/>
  <c r="I144" i="3" s="1"/>
  <c r="I42" i="27" s="1"/>
  <c r="P130" i="3"/>
  <c r="P132" i="3" s="1"/>
  <c r="P144" i="3" s="1"/>
  <c r="P42" i="27" s="1"/>
  <c r="C78" i="3"/>
  <c r="C82" i="3"/>
  <c r="P82" i="3"/>
  <c r="X120" i="3"/>
  <c r="X129" i="3"/>
  <c r="M120" i="3"/>
  <c r="M129" i="3"/>
  <c r="M132" i="3" s="1"/>
  <c r="M144" i="3" s="1"/>
  <c r="M42" i="27" s="1"/>
  <c r="G82" i="3"/>
  <c r="Z129" i="3"/>
  <c r="Z132" i="3" s="1"/>
  <c r="Z144" i="3" s="1"/>
  <c r="Z42" i="27" s="1"/>
  <c r="Z126" i="3"/>
  <c r="O120" i="3"/>
  <c r="O129" i="3"/>
  <c r="X72" i="3"/>
  <c r="X81" i="3"/>
  <c r="X84" i="3" s="1"/>
  <c r="X142" i="3" s="1"/>
  <c r="X20" i="27" s="1"/>
  <c r="H14" i="27"/>
  <c r="H7" i="27" s="1"/>
  <c r="R36" i="27"/>
  <c r="D22" i="27" l="1"/>
  <c r="D15" i="27" s="1"/>
  <c r="D8" i="27" s="1"/>
  <c r="O15" i="14"/>
  <c r="L15" i="14"/>
  <c r="V44" i="27"/>
  <c r="V37" i="27" s="1"/>
  <c r="V30" i="27" s="1"/>
  <c r="U44" i="27"/>
  <c r="U37" i="27" s="1"/>
  <c r="U30" i="27" s="1"/>
  <c r="H32" i="27"/>
  <c r="H46" i="27"/>
  <c r="AB32" i="27"/>
  <c r="AB46" i="27"/>
  <c r="D24" i="27"/>
  <c r="AB24" i="27"/>
  <c r="W37" i="27"/>
  <c r="W30" i="27" s="1"/>
  <c r="W19" i="25"/>
  <c r="W45" i="27" s="1"/>
  <c r="W38" i="27" s="1"/>
  <c r="W31" i="27" s="1"/>
  <c r="W17" i="25"/>
  <c r="W23" i="27" s="1"/>
  <c r="W16" i="27" s="1"/>
  <c r="W9" i="27" s="1"/>
  <c r="W22" i="27"/>
  <c r="W45" i="26"/>
  <c r="W53" i="26" s="1"/>
  <c r="W57" i="26" s="1"/>
  <c r="W58" i="26" s="1"/>
  <c r="W17" i="27" s="1"/>
  <c r="W68" i="26"/>
  <c r="W76" i="26" s="1"/>
  <c r="W80" i="26" s="1"/>
  <c r="W81" i="26" s="1"/>
  <c r="W39" i="27" s="1"/>
  <c r="W46" i="27" s="1"/>
  <c r="F44" i="26"/>
  <c r="F52" i="26" s="1"/>
  <c r="F56" i="26" s="1"/>
  <c r="F58" i="26" s="1"/>
  <c r="F17" i="27" s="1"/>
  <c r="W28" i="27"/>
  <c r="W6" i="27"/>
  <c r="E79" i="26"/>
  <c r="E81" i="26" s="1"/>
  <c r="E39" i="27" s="1"/>
  <c r="I67" i="26"/>
  <c r="I75" i="26" s="1"/>
  <c r="I79" i="26" s="1"/>
  <c r="I81" i="26" s="1"/>
  <c r="I39" i="27" s="1"/>
  <c r="J56" i="26"/>
  <c r="J58" i="26" s="1"/>
  <c r="J17" i="27" s="1"/>
  <c r="Y79" i="26"/>
  <c r="X67" i="26"/>
  <c r="X75" i="26" s="1"/>
  <c r="X79" i="26" s="1"/>
  <c r="F79" i="26"/>
  <c r="F81" i="26" s="1"/>
  <c r="F39" i="27" s="1"/>
  <c r="O84" i="3"/>
  <c r="O142" i="3" s="1"/>
  <c r="O20" i="27" s="1"/>
  <c r="O13" i="27" s="1"/>
  <c r="L15" i="25"/>
  <c r="L19" i="25" s="1"/>
  <c r="L45" i="27" s="1"/>
  <c r="L38" i="27" s="1"/>
  <c r="L31" i="27" s="1"/>
  <c r="J15" i="25"/>
  <c r="J19" i="25" s="1"/>
  <c r="J45" i="27" s="1"/>
  <c r="J38" i="27" s="1"/>
  <c r="J31" i="27" s="1"/>
  <c r="G15" i="25"/>
  <c r="G19" i="25" s="1"/>
  <c r="G45" i="27" s="1"/>
  <c r="G38" i="27" s="1"/>
  <c r="G31" i="27" s="1"/>
  <c r="K15" i="25"/>
  <c r="K19" i="25" s="1"/>
  <c r="K45" i="27" s="1"/>
  <c r="K38" i="27" s="1"/>
  <c r="K31" i="27" s="1"/>
  <c r="H15" i="25"/>
  <c r="H19" i="25" s="1"/>
  <c r="H45" i="27" s="1"/>
  <c r="H38" i="27" s="1"/>
  <c r="H31" i="27" s="1"/>
  <c r="X56" i="26"/>
  <c r="G79" i="26"/>
  <c r="G81" i="26" s="1"/>
  <c r="G39" i="27" s="1"/>
  <c r="N22" i="27"/>
  <c r="N15" i="27" s="1"/>
  <c r="N8" i="27" s="1"/>
  <c r="L56" i="26"/>
  <c r="L58" i="26" s="1"/>
  <c r="L17" i="27" s="1"/>
  <c r="L67" i="26"/>
  <c r="L75" i="26" s="1"/>
  <c r="L79" i="26" s="1"/>
  <c r="L81" i="26" s="1"/>
  <c r="L39" i="27" s="1"/>
  <c r="I56" i="26"/>
  <c r="I58" i="26" s="1"/>
  <c r="I17" i="27" s="1"/>
  <c r="E44" i="26"/>
  <c r="E52" i="26" s="1"/>
  <c r="E56" i="26" s="1"/>
  <c r="E58" i="26" s="1"/>
  <c r="E17" i="27" s="1"/>
  <c r="K79" i="26"/>
  <c r="K81" i="26" s="1"/>
  <c r="K39" i="27" s="1"/>
  <c r="C79" i="26"/>
  <c r="C81" i="26" s="1"/>
  <c r="C39" i="27" s="1"/>
  <c r="H56" i="26"/>
  <c r="H58" i="26" s="1"/>
  <c r="H17" i="27" s="1"/>
  <c r="D67" i="26"/>
  <c r="D75" i="26" s="1"/>
  <c r="D79" i="26" s="1"/>
  <c r="D81" i="26" s="1"/>
  <c r="D39" i="27" s="1"/>
  <c r="O19" i="25"/>
  <c r="O45" i="27" s="1"/>
  <c r="O38" i="27" s="1"/>
  <c r="O31" i="27" s="1"/>
  <c r="U22" i="27"/>
  <c r="U15" i="27" s="1"/>
  <c r="U8" i="27" s="1"/>
  <c r="U13" i="27"/>
  <c r="U6" i="27" s="1"/>
  <c r="V35" i="27"/>
  <c r="V28" i="27" s="1"/>
  <c r="N68" i="26"/>
  <c r="N76" i="26" s="1"/>
  <c r="N80" i="26" s="1"/>
  <c r="N45" i="26"/>
  <c r="N53" i="26" s="1"/>
  <c r="N57" i="26" s="1"/>
  <c r="P10" i="14"/>
  <c r="P12" i="14" s="1"/>
  <c r="P13" i="14"/>
  <c r="P15" i="14" s="1"/>
  <c r="V44" i="26"/>
  <c r="V52" i="26" s="1"/>
  <c r="V56" i="26" s="1"/>
  <c r="V67" i="26"/>
  <c r="V75" i="26" s="1"/>
  <c r="V79" i="26" s="1"/>
  <c r="S68" i="26"/>
  <c r="S76" i="26" s="1"/>
  <c r="S80" i="26" s="1"/>
  <c r="S45" i="26"/>
  <c r="S53" i="26" s="1"/>
  <c r="S57" i="26" s="1"/>
  <c r="V13" i="27"/>
  <c r="V6" i="27" s="1"/>
  <c r="N67" i="26"/>
  <c r="N75" i="26" s="1"/>
  <c r="N79" i="26" s="1"/>
  <c r="N44" i="26"/>
  <c r="N52" i="26" s="1"/>
  <c r="N56" i="26" s="1"/>
  <c r="Z44" i="26"/>
  <c r="Z52" i="26" s="1"/>
  <c r="Z56" i="26" s="1"/>
  <c r="Z58" i="26" s="1"/>
  <c r="Z17" i="27" s="1"/>
  <c r="Z67" i="26"/>
  <c r="Z75" i="26" s="1"/>
  <c r="Z79" i="26" s="1"/>
  <c r="Z81" i="26" s="1"/>
  <c r="Z39" i="27" s="1"/>
  <c r="C44" i="26"/>
  <c r="C52" i="26" s="1"/>
  <c r="C56" i="26" s="1"/>
  <c r="C58" i="26" s="1"/>
  <c r="C17" i="27" s="1"/>
  <c r="O17" i="25"/>
  <c r="O23" i="27" s="1"/>
  <c r="O16" i="27" s="1"/>
  <c r="O9" i="27" s="1"/>
  <c r="R67" i="26"/>
  <c r="R75" i="26" s="1"/>
  <c r="R79" i="26" s="1"/>
  <c r="R44" i="26"/>
  <c r="R52" i="26" s="1"/>
  <c r="R56" i="26" s="1"/>
  <c r="K44" i="26"/>
  <c r="K52" i="26" s="1"/>
  <c r="K56" i="26" s="1"/>
  <c r="K58" i="26" s="1"/>
  <c r="K17" i="27" s="1"/>
  <c r="R68" i="26"/>
  <c r="R76" i="26" s="1"/>
  <c r="R80" i="26" s="1"/>
  <c r="R45" i="26"/>
  <c r="R53" i="26" s="1"/>
  <c r="R57" i="26" s="1"/>
  <c r="Y56" i="26"/>
  <c r="T67" i="26"/>
  <c r="T75" i="26" s="1"/>
  <c r="T79" i="26" s="1"/>
  <c r="T44" i="26"/>
  <c r="T52" i="26" s="1"/>
  <c r="T56" i="26" s="1"/>
  <c r="U67" i="26"/>
  <c r="U75" i="26" s="1"/>
  <c r="U79" i="26" s="1"/>
  <c r="U44" i="26"/>
  <c r="U52" i="26" s="1"/>
  <c r="U56" i="26" s="1"/>
  <c r="M67" i="26"/>
  <c r="M75" i="26" s="1"/>
  <c r="M79" i="26" s="1"/>
  <c r="M44" i="26"/>
  <c r="M52" i="26" s="1"/>
  <c r="M56" i="26" s="1"/>
  <c r="Y68" i="26"/>
  <c r="Y76" i="26" s="1"/>
  <c r="Y80" i="26" s="1"/>
  <c r="Y45" i="26"/>
  <c r="Y53" i="26" s="1"/>
  <c r="Y57" i="26" s="1"/>
  <c r="V45" i="26"/>
  <c r="V53" i="26" s="1"/>
  <c r="V57" i="26" s="1"/>
  <c r="V68" i="26"/>
  <c r="V76" i="26" s="1"/>
  <c r="V80" i="26" s="1"/>
  <c r="M68" i="26"/>
  <c r="M76" i="26" s="1"/>
  <c r="M80" i="26" s="1"/>
  <c r="M45" i="26"/>
  <c r="M53" i="26" s="1"/>
  <c r="M57" i="26" s="1"/>
  <c r="Q44" i="26"/>
  <c r="Q52" i="26" s="1"/>
  <c r="Q56" i="26" s="1"/>
  <c r="Q67" i="26"/>
  <c r="Q75" i="26" s="1"/>
  <c r="Q79" i="26" s="1"/>
  <c r="P67" i="26"/>
  <c r="P75" i="26" s="1"/>
  <c r="P79" i="26" s="1"/>
  <c r="P44" i="26"/>
  <c r="P52" i="26" s="1"/>
  <c r="P56" i="26" s="1"/>
  <c r="X68" i="26"/>
  <c r="X76" i="26" s="1"/>
  <c r="X80" i="26" s="1"/>
  <c r="X45" i="26"/>
  <c r="X53" i="26" s="1"/>
  <c r="X57" i="26" s="1"/>
  <c r="U68" i="26"/>
  <c r="U76" i="26" s="1"/>
  <c r="U80" i="26" s="1"/>
  <c r="U45" i="26"/>
  <c r="U53" i="26" s="1"/>
  <c r="U57" i="26" s="1"/>
  <c r="O68" i="26"/>
  <c r="O76" i="26" s="1"/>
  <c r="O80" i="26" s="1"/>
  <c r="O45" i="26"/>
  <c r="O53" i="26" s="1"/>
  <c r="O57" i="26" s="1"/>
  <c r="T68" i="26"/>
  <c r="T76" i="26" s="1"/>
  <c r="T80" i="26" s="1"/>
  <c r="T45" i="26"/>
  <c r="T53" i="26" s="1"/>
  <c r="T57" i="26" s="1"/>
  <c r="P45" i="26"/>
  <c r="P53" i="26" s="1"/>
  <c r="P57" i="26" s="1"/>
  <c r="P68" i="26"/>
  <c r="P76" i="26" s="1"/>
  <c r="P80" i="26" s="1"/>
  <c r="G44" i="26"/>
  <c r="G52" i="26" s="1"/>
  <c r="G56" i="26" s="1"/>
  <c r="G58" i="26" s="1"/>
  <c r="G17" i="27" s="1"/>
  <c r="S67" i="26"/>
  <c r="S75" i="26" s="1"/>
  <c r="S79" i="26" s="1"/>
  <c r="S44" i="26"/>
  <c r="S52" i="26" s="1"/>
  <c r="S56" i="26" s="1"/>
  <c r="O67" i="26"/>
  <c r="O75" i="26" s="1"/>
  <c r="O79" i="26" s="1"/>
  <c r="O44" i="26"/>
  <c r="O52" i="26" s="1"/>
  <c r="O56" i="26" s="1"/>
  <c r="J79" i="26"/>
  <c r="J81" i="26" s="1"/>
  <c r="J39" i="27" s="1"/>
  <c r="AA67" i="26"/>
  <c r="AA75" i="26" s="1"/>
  <c r="AA79" i="26" s="1"/>
  <c r="AA81" i="26" s="1"/>
  <c r="AA39" i="27" s="1"/>
  <c r="AA44" i="26"/>
  <c r="AA52" i="26" s="1"/>
  <c r="AA56" i="26" s="1"/>
  <c r="AA58" i="26" s="1"/>
  <c r="AA17" i="27" s="1"/>
  <c r="Q68" i="26"/>
  <c r="Q76" i="26" s="1"/>
  <c r="Q80" i="26" s="1"/>
  <c r="Q45" i="26"/>
  <c r="Q53" i="26" s="1"/>
  <c r="Q57" i="26" s="1"/>
  <c r="V17" i="25"/>
  <c r="V23" i="27" s="1"/>
  <c r="V16" i="27" s="1"/>
  <c r="V9" i="27" s="1"/>
  <c r="V22" i="27"/>
  <c r="V15" i="27" s="1"/>
  <c r="V8" i="27" s="1"/>
  <c r="U28" i="27"/>
  <c r="I9" i="27"/>
  <c r="I7" i="27"/>
  <c r="I31" i="27"/>
  <c r="I29" i="27"/>
  <c r="T84" i="3"/>
  <c r="T142" i="3" s="1"/>
  <c r="T20" i="27" s="1"/>
  <c r="T13" i="27" s="1"/>
  <c r="AB17" i="25"/>
  <c r="AB23" i="27" s="1"/>
  <c r="AB16" i="27" s="1"/>
  <c r="AB9" i="27" s="1"/>
  <c r="N23" i="27"/>
  <c r="N16" i="27" s="1"/>
  <c r="N9" i="27" s="1"/>
  <c r="Z22" i="27"/>
  <c r="Z15" i="27" s="1"/>
  <c r="Z8" i="27" s="1"/>
  <c r="L84" i="3"/>
  <c r="L142" i="3" s="1"/>
  <c r="L20" i="27" s="1"/>
  <c r="L13" i="27" s="1"/>
  <c r="AB19" i="25"/>
  <c r="AB45" i="27" s="1"/>
  <c r="AB38" i="27" s="1"/>
  <c r="AB31" i="27" s="1"/>
  <c r="AA37" i="18"/>
  <c r="O132" i="3"/>
  <c r="O144" i="3" s="1"/>
  <c r="O42" i="27" s="1"/>
  <c r="AB132" i="3"/>
  <c r="AB144" i="3" s="1"/>
  <c r="AB42" i="27" s="1"/>
  <c r="X132" i="3"/>
  <c r="X144" i="3" s="1"/>
  <c r="X42" i="27" s="1"/>
  <c r="K132" i="3"/>
  <c r="K144" i="3" s="1"/>
  <c r="K42" i="27" s="1"/>
  <c r="S84" i="3"/>
  <c r="S142" i="3" s="1"/>
  <c r="S20" i="27" s="1"/>
  <c r="S13" i="27" s="1"/>
  <c r="AB84" i="3"/>
  <c r="AB142" i="3" s="1"/>
  <c r="AB20" i="27" s="1"/>
  <c r="D35" i="27"/>
  <c r="T35" i="27"/>
  <c r="AA35" i="27"/>
  <c r="R35" i="27"/>
  <c r="H35" i="27"/>
  <c r="G84" i="3"/>
  <c r="G142" i="3" s="1"/>
  <c r="G20" i="27" s="1"/>
  <c r="G132" i="3"/>
  <c r="G144" i="3" s="1"/>
  <c r="G42" i="27" s="1"/>
  <c r="Q84" i="3"/>
  <c r="Q142" i="3" s="1"/>
  <c r="Q20" i="27" s="1"/>
  <c r="Q13" i="27" s="1"/>
  <c r="H13" i="27"/>
  <c r="S22" i="27"/>
  <c r="S15" i="27" s="1"/>
  <c r="S8" i="27" s="1"/>
  <c r="S17" i="25"/>
  <c r="S23" i="27" s="1"/>
  <c r="S16" i="27" s="1"/>
  <c r="S9" i="27" s="1"/>
  <c r="C44" i="27"/>
  <c r="C37" i="27" s="1"/>
  <c r="C30" i="27" s="1"/>
  <c r="I22" i="27"/>
  <c r="I15" i="27" s="1"/>
  <c r="I8" i="27" s="1"/>
  <c r="D44" i="27"/>
  <c r="D37" i="27" s="1"/>
  <c r="Y19" i="25"/>
  <c r="Y45" i="27" s="1"/>
  <c r="Y38" i="27" s="1"/>
  <c r="Y31" i="27" s="1"/>
  <c r="Y17" i="25"/>
  <c r="Y23" i="27" s="1"/>
  <c r="Y16" i="27" s="1"/>
  <c r="Y9" i="27" s="1"/>
  <c r="P17" i="25"/>
  <c r="P23" i="27" s="1"/>
  <c r="P16" i="27" s="1"/>
  <c r="P9" i="27" s="1"/>
  <c r="P22" i="27"/>
  <c r="P15" i="27" s="1"/>
  <c r="P8" i="27" s="1"/>
  <c r="K84" i="3"/>
  <c r="K142" i="3" s="1"/>
  <c r="K20" i="27" s="1"/>
  <c r="Z44" i="27"/>
  <c r="Z37" i="27" s="1"/>
  <c r="Z30" i="27" s="1"/>
  <c r="Z19" i="25"/>
  <c r="Z45" i="27" s="1"/>
  <c r="Z38" i="27" s="1"/>
  <c r="Z31" i="27" s="1"/>
  <c r="T17" i="25"/>
  <c r="T23" i="27" s="1"/>
  <c r="T16" i="27" s="1"/>
  <c r="T9" i="27" s="1"/>
  <c r="T22" i="27"/>
  <c r="T15" i="27" s="1"/>
  <c r="T8" i="27" s="1"/>
  <c r="AA44" i="27"/>
  <c r="AA37" i="27" s="1"/>
  <c r="AA30" i="27" s="1"/>
  <c r="AA19" i="25"/>
  <c r="AA45" i="27" s="1"/>
  <c r="AA38" i="27" s="1"/>
  <c r="AA31" i="27" s="1"/>
  <c r="M22" i="27"/>
  <c r="M15" i="27" s="1"/>
  <c r="M8" i="27" s="1"/>
  <c r="M17" i="25"/>
  <c r="M23" i="27" s="1"/>
  <c r="M16" i="27" s="1"/>
  <c r="M9" i="27" s="1"/>
  <c r="AA17" i="25"/>
  <c r="AA23" i="27" s="1"/>
  <c r="AA16" i="27" s="1"/>
  <c r="AA9" i="27" s="1"/>
  <c r="AA22" i="27"/>
  <c r="AA15" i="27" s="1"/>
  <c r="AA8" i="27" s="1"/>
  <c r="P44" i="27"/>
  <c r="P37" i="27" s="1"/>
  <c r="P30" i="27" s="1"/>
  <c r="P19" i="25"/>
  <c r="P45" i="27" s="1"/>
  <c r="P38" i="27" s="1"/>
  <c r="P31" i="27" s="1"/>
  <c r="Q44" i="27"/>
  <c r="Q37" i="27" s="1"/>
  <c r="Q30" i="27" s="1"/>
  <c r="Q19" i="25"/>
  <c r="Q45" i="27" s="1"/>
  <c r="Q38" i="27" s="1"/>
  <c r="Q31" i="27" s="1"/>
  <c r="C22" i="27"/>
  <c r="C15" i="27" s="1"/>
  <c r="C8" i="27" s="1"/>
  <c r="S44" i="27"/>
  <c r="S37" i="27" s="1"/>
  <c r="S30" i="27" s="1"/>
  <c r="S19" i="25"/>
  <c r="S45" i="27" s="1"/>
  <c r="S38" i="27" s="1"/>
  <c r="S31" i="27" s="1"/>
  <c r="R44" i="27"/>
  <c r="R37" i="27" s="1"/>
  <c r="R30" i="27" s="1"/>
  <c r="R19" i="25"/>
  <c r="R45" i="27" s="1"/>
  <c r="R38" i="27" s="1"/>
  <c r="R31" i="27" s="1"/>
  <c r="F44" i="27"/>
  <c r="F37" i="27" s="1"/>
  <c r="F30" i="27" s="1"/>
  <c r="Q22" i="27"/>
  <c r="Q15" i="27" s="1"/>
  <c r="Q8" i="27" s="1"/>
  <c r="Q17" i="25"/>
  <c r="Q23" i="27" s="1"/>
  <c r="Q16" i="27" s="1"/>
  <c r="Q9" i="27" s="1"/>
  <c r="M44" i="27"/>
  <c r="M37" i="27" s="1"/>
  <c r="M30" i="27" s="1"/>
  <c r="M19" i="25"/>
  <c r="M45" i="27" s="1"/>
  <c r="M38" i="27" s="1"/>
  <c r="M31" i="27" s="1"/>
  <c r="Y22" i="27"/>
  <c r="Y15" i="27" s="1"/>
  <c r="Y8" i="27" s="1"/>
  <c r="N44" i="27"/>
  <c r="N37" i="27" s="1"/>
  <c r="N30" i="27" s="1"/>
  <c r="N19" i="25"/>
  <c r="N45" i="27" s="1"/>
  <c r="N38" i="27" s="1"/>
  <c r="N31" i="27" s="1"/>
  <c r="H22" i="27"/>
  <c r="I44" i="27"/>
  <c r="I37" i="27" s="1"/>
  <c r="I30" i="27" s="1"/>
  <c r="T19" i="25"/>
  <c r="T45" i="27" s="1"/>
  <c r="T38" i="27" s="1"/>
  <c r="T31" i="27" s="1"/>
  <c r="T44" i="27"/>
  <c r="T37" i="27" s="1"/>
  <c r="T30" i="27" s="1"/>
  <c r="H44" i="27"/>
  <c r="H37" i="27" s="1"/>
  <c r="H30" i="27" s="1"/>
  <c r="Y44" i="27"/>
  <c r="Y37" i="27" s="1"/>
  <c r="Y30" i="27" s="1"/>
  <c r="P84" i="3"/>
  <c r="P142" i="3" s="1"/>
  <c r="P20" i="27" s="1"/>
  <c r="R22" i="27"/>
  <c r="R15" i="27" s="1"/>
  <c r="R8" i="27" s="1"/>
  <c r="R17" i="25"/>
  <c r="R23" i="27" s="1"/>
  <c r="R16" i="27" s="1"/>
  <c r="R9" i="27" s="1"/>
  <c r="J13" i="27"/>
  <c r="I84" i="3"/>
  <c r="I142" i="3" s="1"/>
  <c r="I20" i="27" s="1"/>
  <c r="R13" i="27"/>
  <c r="AA13" i="27"/>
  <c r="F13" i="27"/>
  <c r="L35" i="27"/>
  <c r="Q35" i="27"/>
  <c r="S35" i="27"/>
  <c r="Y13" i="27"/>
  <c r="J35" i="27"/>
  <c r="D13" i="27"/>
  <c r="Y35" i="27"/>
  <c r="F35" i="27"/>
  <c r="P35" i="27"/>
  <c r="N132" i="3"/>
  <c r="N144" i="3" s="1"/>
  <c r="N42" i="27" s="1"/>
  <c r="C84" i="3"/>
  <c r="C142" i="3" s="1"/>
  <c r="C20" i="27" s="1"/>
  <c r="E13" i="27"/>
  <c r="Z13" i="27"/>
  <c r="M13" i="27"/>
  <c r="M35" i="27"/>
  <c r="E35" i="27"/>
  <c r="E34" i="27" s="1"/>
  <c r="C35" i="27"/>
  <c r="I35" i="27"/>
  <c r="N13" i="27"/>
  <c r="X13" i="27"/>
  <c r="Z35" i="27"/>
  <c r="T29" i="27"/>
  <c r="R29" i="27"/>
  <c r="H29" i="27"/>
  <c r="AA29" i="27"/>
  <c r="D19" i="27" l="1"/>
  <c r="J12" i="27"/>
  <c r="F10" i="27"/>
  <c r="F24" i="27"/>
  <c r="F19" i="27" s="1"/>
  <c r="H10" i="27"/>
  <c r="H24" i="27"/>
  <c r="H19" i="27" s="1"/>
  <c r="C32" i="27"/>
  <c r="C46" i="27"/>
  <c r="G32" i="27"/>
  <c r="G46" i="27"/>
  <c r="G41" i="27" s="1"/>
  <c r="K32" i="27"/>
  <c r="K46" i="27"/>
  <c r="K41" i="27" s="1"/>
  <c r="E10" i="27"/>
  <c r="E24" i="27"/>
  <c r="E19" i="27" s="1"/>
  <c r="I10" i="27"/>
  <c r="I24" i="27"/>
  <c r="I19" i="27" s="1"/>
  <c r="W10" i="27"/>
  <c r="W24" i="27"/>
  <c r="W19" i="27" s="1"/>
  <c r="L32" i="27"/>
  <c r="L46" i="27"/>
  <c r="L41" i="27" s="1"/>
  <c r="AA10" i="27"/>
  <c r="AA24" i="27"/>
  <c r="AA19" i="27" s="1"/>
  <c r="L10" i="27"/>
  <c r="L24" i="27"/>
  <c r="L19" i="27" s="1"/>
  <c r="AA32" i="27"/>
  <c r="AA46" i="27"/>
  <c r="AA41" i="27" s="1"/>
  <c r="J32" i="27"/>
  <c r="J46" i="27"/>
  <c r="J41" i="27" s="1"/>
  <c r="K10" i="27"/>
  <c r="K24" i="27"/>
  <c r="K19" i="27" s="1"/>
  <c r="F32" i="27"/>
  <c r="F46" i="27"/>
  <c r="F41" i="27" s="1"/>
  <c r="C10" i="27"/>
  <c r="C24" i="27"/>
  <c r="G10" i="27"/>
  <c r="G24" i="27"/>
  <c r="G19" i="27" s="1"/>
  <c r="Z32" i="27"/>
  <c r="Z46" i="27"/>
  <c r="Z41" i="27" s="1"/>
  <c r="J10" i="27"/>
  <c r="J24" i="27"/>
  <c r="J19" i="27" s="1"/>
  <c r="Z10" i="27"/>
  <c r="Z24" i="27"/>
  <c r="Z19" i="27" s="1"/>
  <c r="I32" i="27"/>
  <c r="I46" i="27"/>
  <c r="I41" i="27" s="1"/>
  <c r="D32" i="27"/>
  <c r="D46" i="27"/>
  <c r="D41" i="27" s="1"/>
  <c r="E32" i="27"/>
  <c r="E46" i="27"/>
  <c r="E41" i="27" s="1"/>
  <c r="W41" i="27"/>
  <c r="W32" i="27"/>
  <c r="W34" i="27"/>
  <c r="W27" i="27"/>
  <c r="W15" i="27"/>
  <c r="X81" i="26"/>
  <c r="X39" i="27" s="1"/>
  <c r="Y81" i="26"/>
  <c r="Y39" i="27" s="1"/>
  <c r="J34" i="27"/>
  <c r="X58" i="26"/>
  <c r="X17" i="27" s="1"/>
  <c r="L34" i="27"/>
  <c r="N81" i="26"/>
  <c r="N39" i="27" s="1"/>
  <c r="O81" i="26"/>
  <c r="O39" i="27" s="1"/>
  <c r="S58" i="26"/>
  <c r="S17" i="27" s="1"/>
  <c r="S81" i="26"/>
  <c r="S39" i="27" s="1"/>
  <c r="P58" i="26"/>
  <c r="P17" i="27" s="1"/>
  <c r="M58" i="26"/>
  <c r="M17" i="27" s="1"/>
  <c r="P81" i="26"/>
  <c r="P39" i="27" s="1"/>
  <c r="M81" i="26"/>
  <c r="M39" i="27" s="1"/>
  <c r="T81" i="26"/>
  <c r="T39" i="27" s="1"/>
  <c r="N58" i="26"/>
  <c r="N17" i="27" s="1"/>
  <c r="R58" i="26"/>
  <c r="R17" i="27" s="1"/>
  <c r="Q81" i="26"/>
  <c r="Q39" i="27" s="1"/>
  <c r="U58" i="26"/>
  <c r="U17" i="27" s="1"/>
  <c r="U24" i="27" s="1"/>
  <c r="U19" i="27" s="1"/>
  <c r="R81" i="26"/>
  <c r="R39" i="27" s="1"/>
  <c r="Q58" i="26"/>
  <c r="Q17" i="27" s="1"/>
  <c r="U81" i="26"/>
  <c r="U39" i="27" s="1"/>
  <c r="U46" i="27" s="1"/>
  <c r="U41" i="27" s="1"/>
  <c r="T58" i="26"/>
  <c r="T17" i="27" s="1"/>
  <c r="V81" i="26"/>
  <c r="V39" i="27" s="1"/>
  <c r="V46" i="27" s="1"/>
  <c r="V41" i="27" s="1"/>
  <c r="O58" i="26"/>
  <c r="O17" i="27" s="1"/>
  <c r="Y58" i="26"/>
  <c r="Y17" i="27" s="1"/>
  <c r="V58" i="26"/>
  <c r="V17" i="27" s="1"/>
  <c r="AB19" i="27"/>
  <c r="AB41" i="27"/>
  <c r="AB35" i="27"/>
  <c r="AB34" i="27" s="1"/>
  <c r="O35" i="27"/>
  <c r="K35" i="27"/>
  <c r="K34" i="27" s="1"/>
  <c r="X35" i="27"/>
  <c r="AB13" i="27"/>
  <c r="AB6" i="27" s="1"/>
  <c r="AB5" i="27" s="1"/>
  <c r="C41" i="27"/>
  <c r="F34" i="27"/>
  <c r="Z34" i="27"/>
  <c r="C34" i="27"/>
  <c r="H28" i="27"/>
  <c r="H27" i="27" s="1"/>
  <c r="H34" i="27"/>
  <c r="R28" i="27"/>
  <c r="AA28" i="27"/>
  <c r="AA34" i="27"/>
  <c r="T28" i="27"/>
  <c r="D28" i="27"/>
  <c r="D34" i="27"/>
  <c r="I34" i="27"/>
  <c r="G13" i="27"/>
  <c r="G6" i="27" s="1"/>
  <c r="G5" i="27" s="1"/>
  <c r="G35" i="27"/>
  <c r="G34" i="27" s="1"/>
  <c r="H41" i="27"/>
  <c r="F6" i="27"/>
  <c r="F5" i="27" s="1"/>
  <c r="F12" i="27"/>
  <c r="M6" i="27"/>
  <c r="AA6" i="27"/>
  <c r="AA5" i="27" s="1"/>
  <c r="AA12" i="27"/>
  <c r="X6" i="27"/>
  <c r="O6" i="27"/>
  <c r="R6" i="27"/>
  <c r="Z6" i="27"/>
  <c r="Z12" i="27"/>
  <c r="D6" i="27"/>
  <c r="D5" i="27" s="1"/>
  <c r="D12" i="27"/>
  <c r="H6" i="27"/>
  <c r="L6" i="27"/>
  <c r="L12" i="27"/>
  <c r="Y6" i="27"/>
  <c r="Q6" i="27"/>
  <c r="E6" i="27"/>
  <c r="E12" i="27"/>
  <c r="T6" i="27"/>
  <c r="S6" i="27"/>
  <c r="N6" i="27"/>
  <c r="C19" i="27"/>
  <c r="P13" i="27"/>
  <c r="J6" i="27"/>
  <c r="C13" i="27"/>
  <c r="C12" i="27" s="1"/>
  <c r="I13" i="27"/>
  <c r="K13" i="27"/>
  <c r="K12" i="27" s="1"/>
  <c r="H15" i="27"/>
  <c r="H8" i="27" s="1"/>
  <c r="D30" i="27"/>
  <c r="N35" i="27"/>
  <c r="Q28" i="27"/>
  <c r="Y28" i="27"/>
  <c r="J28" i="27"/>
  <c r="L28" i="27"/>
  <c r="L27" i="27" s="1"/>
  <c r="F28" i="27"/>
  <c r="S28" i="27"/>
  <c r="P28" i="27"/>
  <c r="E28" i="27"/>
  <c r="M28" i="27"/>
  <c r="C28" i="27"/>
  <c r="Z28" i="27"/>
  <c r="I28" i="27"/>
  <c r="L5" i="27" l="1"/>
  <c r="J27" i="27"/>
  <c r="E5" i="27"/>
  <c r="C27" i="27"/>
  <c r="J5" i="27"/>
  <c r="AA27" i="27"/>
  <c r="Z27" i="27"/>
  <c r="X34" i="27"/>
  <c r="E27" i="27"/>
  <c r="X10" i="27"/>
  <c r="X24" i="27"/>
  <c r="X19" i="27" s="1"/>
  <c r="P32" i="27"/>
  <c r="P27" i="27" s="1"/>
  <c r="P46" i="27"/>
  <c r="P41" i="27" s="1"/>
  <c r="T10" i="27"/>
  <c r="T5" i="27" s="1"/>
  <c r="T24" i="27"/>
  <c r="T19" i="27" s="1"/>
  <c r="P10" i="27"/>
  <c r="P24" i="27"/>
  <c r="P19" i="27" s="1"/>
  <c r="Y32" i="27"/>
  <c r="Y27" i="27" s="1"/>
  <c r="Y46" i="27"/>
  <c r="Y41" i="27" s="1"/>
  <c r="S32" i="27"/>
  <c r="S46" i="27"/>
  <c r="S41" i="27" s="1"/>
  <c r="X32" i="27"/>
  <c r="X46" i="27"/>
  <c r="X41" i="27" s="1"/>
  <c r="S10" i="27"/>
  <c r="S5" i="27" s="1"/>
  <c r="S24" i="27"/>
  <c r="S19" i="27" s="1"/>
  <c r="R10" i="27"/>
  <c r="R5" i="27" s="1"/>
  <c r="R24" i="27"/>
  <c r="R19" i="27" s="1"/>
  <c r="R32" i="27"/>
  <c r="R27" i="27" s="1"/>
  <c r="R46" i="27"/>
  <c r="R41" i="27" s="1"/>
  <c r="N10" i="27"/>
  <c r="N5" i="27" s="1"/>
  <c r="N24" i="27"/>
  <c r="N19" i="27" s="1"/>
  <c r="Z5" i="27"/>
  <c r="T32" i="27"/>
  <c r="T27" i="27" s="1"/>
  <c r="T46" i="27"/>
  <c r="T41" i="27" s="1"/>
  <c r="V10" i="27"/>
  <c r="V5" i="27" s="1"/>
  <c r="V24" i="27"/>
  <c r="V19" i="27" s="1"/>
  <c r="Q10" i="27"/>
  <c r="Q5" i="27" s="1"/>
  <c r="Q24" i="27"/>
  <c r="Q19" i="27" s="1"/>
  <c r="Q32" i="27"/>
  <c r="Q27" i="27" s="1"/>
  <c r="Q46" i="27"/>
  <c r="Q41" i="27" s="1"/>
  <c r="Y10" i="27"/>
  <c r="Y5" i="27" s="1"/>
  <c r="Y24" i="27"/>
  <c r="Y19" i="27" s="1"/>
  <c r="O32" i="27"/>
  <c r="O46" i="27"/>
  <c r="O41" i="27" s="1"/>
  <c r="X12" i="27"/>
  <c r="X5" i="27"/>
  <c r="F27" i="27"/>
  <c r="I27" i="27"/>
  <c r="O10" i="27"/>
  <c r="O5" i="27" s="1"/>
  <c r="O24" i="27"/>
  <c r="O19" i="27" s="1"/>
  <c r="N32" i="27"/>
  <c r="N46" i="27"/>
  <c r="N41" i="27" s="1"/>
  <c r="M32" i="27"/>
  <c r="M27" i="27" s="1"/>
  <c r="M46" i="27"/>
  <c r="M41" i="27" s="1"/>
  <c r="M10" i="27"/>
  <c r="M5" i="27" s="1"/>
  <c r="M24" i="27"/>
  <c r="M19" i="27" s="1"/>
  <c r="W8" i="27"/>
  <c r="W5" i="27" s="1"/>
  <c r="W12" i="27"/>
  <c r="Y34" i="27"/>
  <c r="N34" i="27"/>
  <c r="O34" i="27"/>
  <c r="T34" i="27"/>
  <c r="S12" i="27"/>
  <c r="R34" i="27"/>
  <c r="M34" i="27"/>
  <c r="M12" i="27"/>
  <c r="P34" i="27"/>
  <c r="S27" i="27"/>
  <c r="R12" i="27"/>
  <c r="Q12" i="27"/>
  <c r="S34" i="27"/>
  <c r="Q34" i="27"/>
  <c r="O12" i="27"/>
  <c r="N12" i="27"/>
  <c r="Y12" i="27"/>
  <c r="U10" i="27"/>
  <c r="U5" i="27" s="1"/>
  <c r="U12" i="27"/>
  <c r="T12" i="27"/>
  <c r="V32" i="27"/>
  <c r="V27" i="27" s="1"/>
  <c r="V34" i="27"/>
  <c r="U32" i="27"/>
  <c r="U27" i="27" s="1"/>
  <c r="U34" i="27"/>
  <c r="V12" i="27"/>
  <c r="O28" i="27"/>
  <c r="X28" i="27"/>
  <c r="K28" i="27"/>
  <c r="K27" i="27" s="1"/>
  <c r="AB28" i="27"/>
  <c r="AB27" i="27" s="1"/>
  <c r="AB12" i="27"/>
  <c r="D27" i="27"/>
  <c r="G28" i="27"/>
  <c r="G27" i="27" s="1"/>
  <c r="G12" i="27"/>
  <c r="H5" i="27"/>
  <c r="P6" i="27"/>
  <c r="P12" i="27"/>
  <c r="I6" i="27"/>
  <c r="I5" i="27" s="1"/>
  <c r="I12" i="27"/>
  <c r="H12" i="27"/>
  <c r="K6" i="27"/>
  <c r="K5" i="27" s="1"/>
  <c r="C6" i="27"/>
  <c r="C5" i="27" s="1"/>
  <c r="N28" i="27"/>
  <c r="O27" i="27" l="1"/>
  <c r="N27" i="27"/>
  <c r="P5" i="27"/>
  <c r="X27" i="27"/>
  <c r="V65" i="5" l="1"/>
  <c r="R65" i="5" l="1"/>
  <c r="U65" i="5"/>
  <c r="Q6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7" authorId="0" shapeId="0" xr:uid="{00000000-0006-0000-1000-000001000000}">
      <text>
        <r>
          <rPr>
            <b/>
            <sz val="9"/>
            <color indexed="81"/>
            <rFont val="Tahoma"/>
            <family val="2"/>
          </rPr>
          <t>Author:</t>
        </r>
        <r>
          <rPr>
            <sz val="9"/>
            <color indexed="81"/>
            <rFont val="Tahoma"/>
            <family val="2"/>
          </rPr>
          <t xml:space="preserve">
No formula in LCA sheet. Directly value taken </t>
        </r>
      </text>
    </comment>
    <comment ref="L7" authorId="0" shapeId="0" xr:uid="{00000000-0006-0000-1000-000002000000}">
      <text>
        <r>
          <rPr>
            <b/>
            <sz val="9"/>
            <color indexed="81"/>
            <rFont val="Tahoma"/>
            <family val="2"/>
          </rPr>
          <t>Author:</t>
        </r>
        <r>
          <rPr>
            <sz val="9"/>
            <color indexed="81"/>
            <rFont val="Tahoma"/>
            <family val="2"/>
          </rPr>
          <t xml:space="preserve">
No formula. Direct value. Why?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49" authorId="0" shapeId="0" xr:uid="{00000000-0006-0000-2700-000001000000}">
      <text>
        <r>
          <rPr>
            <sz val="8"/>
            <color indexed="81"/>
            <rFont val="Tahoma"/>
            <family val="2"/>
          </rPr>
          <t xml:space="preserve">The replaced tire material weights are included.
</t>
        </r>
      </text>
    </comment>
    <comment ref="E207" authorId="0" shapeId="0" xr:uid="{00000000-0006-0000-2700-000002000000}">
      <text>
        <r>
          <rPr>
            <sz val="8"/>
            <color indexed="81"/>
            <rFont val="Tahoma"/>
            <family val="2"/>
          </rPr>
          <t xml:space="preserve">Replaced tires included.
</t>
        </r>
      </text>
    </comment>
    <comment ref="M207" authorId="0" shapeId="0" xr:uid="{00000000-0006-0000-2700-000003000000}">
      <text>
        <r>
          <rPr>
            <sz val="8"/>
            <color indexed="81"/>
            <rFont val="Tahoma"/>
            <family val="2"/>
          </rPr>
          <t xml:space="preserve">Replaced tires included.
</t>
        </r>
      </text>
    </comment>
    <comment ref="E241" authorId="0" shapeId="0" xr:uid="{00000000-0006-0000-2700-000004000000}">
      <text>
        <r>
          <rPr>
            <sz val="8"/>
            <color indexed="81"/>
            <rFont val="Tahoma"/>
            <family val="2"/>
          </rPr>
          <t xml:space="preserve">Replaced tires included.
</t>
        </r>
      </text>
    </comment>
    <comment ref="M241" authorId="0" shapeId="0" xr:uid="{00000000-0006-0000-2700-000005000000}">
      <text>
        <r>
          <rPr>
            <sz val="8"/>
            <color indexed="81"/>
            <rFont val="Tahoma"/>
            <family val="2"/>
          </rPr>
          <t xml:space="preserve">Replaced tires included.
</t>
        </r>
      </text>
    </comment>
    <comment ref="E275" authorId="0" shapeId="0" xr:uid="{00000000-0006-0000-2700-000006000000}">
      <text>
        <r>
          <rPr>
            <sz val="8"/>
            <color indexed="81"/>
            <rFont val="Tahoma"/>
            <family val="2"/>
          </rPr>
          <t xml:space="preserve">Replaced tires included.
</t>
        </r>
      </text>
    </comment>
    <comment ref="M275" authorId="0" shapeId="0" xr:uid="{00000000-0006-0000-2700-000007000000}">
      <text>
        <r>
          <rPr>
            <sz val="8"/>
            <color indexed="81"/>
            <rFont val="Tahoma"/>
            <family val="2"/>
          </rPr>
          <t xml:space="preserve">Replaced tires included.
</t>
        </r>
      </text>
    </comment>
    <comment ref="E309" authorId="0" shapeId="0" xr:uid="{00000000-0006-0000-2700-000008000000}">
      <text>
        <r>
          <rPr>
            <sz val="8"/>
            <color indexed="81"/>
            <rFont val="Tahoma"/>
            <family val="2"/>
          </rPr>
          <t xml:space="preserve">Replaced tires included.
</t>
        </r>
      </text>
    </comment>
    <comment ref="M309" authorId="0" shapeId="0" xr:uid="{00000000-0006-0000-2700-000009000000}">
      <text>
        <r>
          <rPr>
            <sz val="8"/>
            <color indexed="81"/>
            <rFont val="Tahoma"/>
            <family val="2"/>
          </rPr>
          <t xml:space="preserve">Replaced tires included.
</t>
        </r>
      </text>
    </comment>
    <comment ref="E343" authorId="0" shapeId="0" xr:uid="{00000000-0006-0000-2700-00000A000000}">
      <text>
        <r>
          <rPr>
            <sz val="8"/>
            <color indexed="81"/>
            <rFont val="Tahoma"/>
            <family val="2"/>
          </rPr>
          <t xml:space="preserve">Replaced tires included.
</t>
        </r>
      </text>
    </comment>
    <comment ref="M343" authorId="0" shapeId="0" xr:uid="{00000000-0006-0000-2700-00000B000000}">
      <text>
        <r>
          <rPr>
            <sz val="8"/>
            <color indexed="81"/>
            <rFont val="Tahoma"/>
            <family val="2"/>
          </rPr>
          <t xml:space="preserve">Replaced tires included.
</t>
        </r>
      </text>
    </comment>
    <comment ref="E377" authorId="0" shapeId="0" xr:uid="{00000000-0006-0000-2700-00000C000000}">
      <text>
        <r>
          <rPr>
            <sz val="8"/>
            <color indexed="81"/>
            <rFont val="Tahoma"/>
            <family val="2"/>
          </rPr>
          <t xml:space="preserve">Replaced tires included.
</t>
        </r>
      </text>
    </comment>
    <comment ref="M377" authorId="0" shapeId="0" xr:uid="{00000000-0006-0000-2700-00000D000000}">
      <text>
        <r>
          <rPr>
            <sz val="8"/>
            <color indexed="81"/>
            <rFont val="Tahoma"/>
            <family val="2"/>
          </rPr>
          <t xml:space="preserve">Replaced tires included.
</t>
        </r>
      </text>
    </comment>
    <comment ref="E411" authorId="0" shapeId="0" xr:uid="{00000000-0006-0000-2700-00000E000000}">
      <text>
        <r>
          <rPr>
            <sz val="8"/>
            <color indexed="81"/>
            <rFont val="Tahoma"/>
            <family val="2"/>
          </rPr>
          <t xml:space="preserve">Replaced tires included.
</t>
        </r>
      </text>
    </comment>
    <comment ref="M411" authorId="0" shapeId="0" xr:uid="{00000000-0006-0000-2700-00000F000000}">
      <text>
        <r>
          <rPr>
            <sz val="8"/>
            <color indexed="81"/>
            <rFont val="Tahoma"/>
            <family val="2"/>
          </rPr>
          <t xml:space="preserve">Replaced tires included.
</t>
        </r>
      </text>
    </comment>
    <comment ref="E445" authorId="0" shapeId="0" xr:uid="{00000000-0006-0000-2700-000010000000}">
      <text>
        <r>
          <rPr>
            <sz val="8"/>
            <color indexed="81"/>
            <rFont val="Tahoma"/>
            <family val="2"/>
          </rPr>
          <t xml:space="preserve">Replaced tires included.
</t>
        </r>
      </text>
    </comment>
    <comment ref="M445" authorId="0" shapeId="0" xr:uid="{00000000-0006-0000-2700-000011000000}">
      <text>
        <r>
          <rPr>
            <sz val="8"/>
            <color indexed="81"/>
            <rFont val="Tahoma"/>
            <family val="2"/>
          </rPr>
          <t xml:space="preserve">Replaced tires included.
</t>
        </r>
      </text>
    </comment>
    <comment ref="E479" authorId="0" shapeId="0" xr:uid="{00000000-0006-0000-2700-000012000000}">
      <text>
        <r>
          <rPr>
            <sz val="8"/>
            <color indexed="81"/>
            <rFont val="Tahoma"/>
            <family val="2"/>
          </rPr>
          <t xml:space="preserve">Replaced tires included.
</t>
        </r>
      </text>
    </comment>
    <comment ref="M479" authorId="0" shapeId="0" xr:uid="{00000000-0006-0000-2700-000013000000}">
      <text>
        <r>
          <rPr>
            <sz val="8"/>
            <color indexed="81"/>
            <rFont val="Tahoma"/>
            <family val="2"/>
          </rPr>
          <t xml:space="preserve">Replaced tires included.
</t>
        </r>
      </text>
    </comment>
    <comment ref="E513" authorId="0" shapeId="0" xr:uid="{00000000-0006-0000-2700-000014000000}">
      <text>
        <r>
          <rPr>
            <sz val="8"/>
            <color indexed="81"/>
            <rFont val="Tahoma"/>
            <family val="2"/>
          </rPr>
          <t xml:space="preserve">Replaced tires included.
</t>
        </r>
      </text>
    </comment>
    <comment ref="M513" authorId="0" shapeId="0" xr:uid="{00000000-0006-0000-2700-000015000000}">
      <text>
        <r>
          <rPr>
            <sz val="8"/>
            <color indexed="81"/>
            <rFont val="Tahoma"/>
            <family val="2"/>
          </rPr>
          <t xml:space="preserve">Replaced tires included.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5" authorId="0" shapeId="0" xr:uid="{00000000-0006-0000-2800-000001000000}">
      <text>
        <r>
          <rPr>
            <sz val="8"/>
            <color indexed="81"/>
            <rFont val="Tahoma"/>
            <family val="2"/>
          </rPr>
          <t>to be burned.</t>
        </r>
      </text>
    </comment>
    <comment ref="G25" authorId="0" shapeId="0" xr:uid="{00000000-0006-0000-2800-000002000000}">
      <text>
        <r>
          <rPr>
            <sz val="8"/>
            <color indexed="81"/>
            <rFont val="Tahoma"/>
            <family val="2"/>
          </rPr>
          <t>to be burned.</t>
        </r>
      </text>
    </comment>
    <comment ref="I25" authorId="0" shapeId="0" xr:uid="{00000000-0006-0000-2800-000003000000}">
      <text>
        <r>
          <rPr>
            <sz val="8"/>
            <color indexed="81"/>
            <rFont val="Tahoma"/>
            <family val="2"/>
          </rPr>
          <t>to be burned.</t>
        </r>
      </text>
    </comment>
    <comment ref="K25" authorId="0" shapeId="0" xr:uid="{00000000-0006-0000-2800-000004000000}">
      <text>
        <r>
          <rPr>
            <sz val="8"/>
            <color indexed="81"/>
            <rFont val="Tahoma"/>
            <family val="2"/>
          </rPr>
          <t>to be burned.</t>
        </r>
      </text>
    </comment>
    <comment ref="M25" authorId="0" shapeId="0" xr:uid="{00000000-0006-0000-2800-000005000000}">
      <text>
        <r>
          <rPr>
            <sz val="8"/>
            <color indexed="81"/>
            <rFont val="Tahoma"/>
            <family val="2"/>
          </rPr>
          <t>to be volatilized.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2900-000001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8" authorId="0" shapeId="0" xr:uid="{00000000-0006-0000-2900-000002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1" authorId="0" shapeId="0" xr:uid="{00000000-0006-0000-2900-000003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4" authorId="0" shapeId="0" xr:uid="{00000000-0006-0000-2900-000004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A45" authorId="0" shapeId="0" xr:uid="{00000000-0006-0000-2900-000005000000}">
      <text>
        <r>
          <rPr>
            <sz val="9"/>
            <color indexed="81"/>
            <rFont val="Tahoma"/>
            <family val="2"/>
          </rPr>
          <t>Based on Kelly, J., Dai, Q., and Elgowainy,A.  2016, Vehicle Materials: Fuel Cell Vehicle Material Composition Update,Systems Assessment Group, Argonne National Laboratory, Argonne, Ill.</t>
        </r>
      </text>
    </comment>
    <comment ref="A73" authorId="0" shapeId="0" xr:uid="{00000000-0006-0000-2900-000006000000}">
      <text>
        <r>
          <rPr>
            <sz val="9"/>
            <color indexed="81"/>
            <rFont val="Tahoma"/>
            <family val="2"/>
          </rPr>
          <t>Lead-acid battery is always installed in HEV and FCV for starter purpose.</t>
        </r>
      </text>
    </comment>
    <comment ref="C110" authorId="0" shapeId="0" xr:uid="{00000000-0006-0000-2900-000007000000}">
      <text>
        <r>
          <rPr>
            <sz val="8"/>
            <color indexed="81"/>
            <rFont val="Tahoma"/>
            <family val="2"/>
          </rPr>
          <t>From Autonomie MY2010 average results includes both battery and packaging</t>
        </r>
      </text>
    </comment>
    <comment ref="E110" authorId="0" shapeId="0" xr:uid="{00000000-0006-0000-2900-000008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1" authorId="0" shapeId="0" xr:uid="{00000000-0006-0000-2900-000009000000}">
      <text>
        <r>
          <rPr>
            <sz val="8"/>
            <color indexed="81"/>
            <rFont val="Tahoma"/>
            <family val="2"/>
          </rPr>
          <t>From Autonomie MY2010 average results includes both battery and packaging</t>
        </r>
      </text>
    </comment>
    <comment ref="E111" authorId="0" shapeId="0" xr:uid="{00000000-0006-0000-2900-00000A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6" authorId="0" shapeId="0" xr:uid="{00000000-0006-0000-2900-00000B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6" authorId="0" shapeId="0" xr:uid="{00000000-0006-0000-2900-00000C000000}">
      <text>
        <r>
          <rPr>
            <sz val="8"/>
            <color indexed="81"/>
            <rFont val="Tahoma"/>
            <family val="2"/>
          </rPr>
          <t>From Autonomie MY2010 average results includes both battery and packaging</t>
        </r>
      </text>
    </comment>
    <comment ref="C117" authorId="0" shapeId="0" xr:uid="{00000000-0006-0000-2900-00000D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7" authorId="0" shapeId="0" xr:uid="{00000000-0006-0000-2900-00000E000000}">
      <text>
        <r>
          <rPr>
            <sz val="8"/>
            <color indexed="81"/>
            <rFont val="Tahoma"/>
            <family val="2"/>
          </rPr>
          <t>From Autonomie MY2010 average results includes both battery and packaging</t>
        </r>
      </text>
    </comment>
    <comment ref="A124" authorId="0" shapeId="0" xr:uid="{00000000-0006-0000-2900-00000F000000}">
      <text>
        <r>
          <rPr>
            <sz val="9"/>
            <color indexed="81"/>
            <rFont val="Tahoma"/>
            <family val="2"/>
          </rPr>
          <t>Based on Burnham, A., M. Wang, and Y. Wu, 2006, Development and Applications of GREET 2.7 — The Transportation Vehicle-Cycle Model, ANL/ESD/06-5, Center for Transportation Research, Argonne National Laboratory, Argonne, Ill.
Section 4.6 Tire and Fluid Replacement</t>
        </r>
      </text>
    </comment>
    <comment ref="B130" authorId="0" shapeId="0" xr:uid="{00000000-0006-0000-2900-000010000000}">
      <text>
        <r>
          <rPr>
            <sz val="9"/>
            <color indexed="81"/>
            <rFont val="Tahoma"/>
            <family val="2"/>
          </rPr>
          <t>Assumed to be the same as Li-Ion</t>
        </r>
      </text>
    </comment>
    <comment ref="B131" authorId="0" shapeId="0" xr:uid="{00000000-0006-0000-2900-000011000000}">
      <text>
        <r>
          <rPr>
            <sz val="9"/>
            <color indexed="81"/>
            <rFont val="Tahoma"/>
            <family val="2"/>
          </rPr>
          <t>Assumed to be the same as Li-Ion</t>
        </r>
      </text>
    </comment>
    <comment ref="B132" authorId="0" shapeId="0" xr:uid="{00000000-0006-0000-2900-000012000000}">
      <text>
        <r>
          <rPr>
            <sz val="9"/>
            <color indexed="81"/>
            <rFont val="Tahoma"/>
            <family val="2"/>
          </rPr>
          <t>J.B. Dunn, L. Gaines, M. Barnes, J. Sullivan and M. Wang, 2012. "Material and Energy Flows in the Materials Production, Assembly, and End of Life Stages of the Automotive Lithium Ion Battery Life Cycle," ANL/ESD/12-3</t>
        </r>
      </text>
    </comment>
    <comment ref="B135" authorId="0" shapeId="0" xr:uid="{00000000-0006-0000-2900-000013000000}">
      <text>
        <r>
          <rPr>
            <sz val="8"/>
            <color indexed="81"/>
            <rFont val="Tahoma"/>
            <family val="2"/>
          </rPr>
          <t xml:space="preserve">Data from "Characterization of automotive paints: an environmental impact analysis" values in the paper were converted from electrical energy to primary energy
</t>
        </r>
      </text>
    </comment>
    <comment ref="B136" authorId="0" shapeId="0" xr:uid="{00000000-0006-0000-2900-000014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7" authorId="0" shapeId="0" xr:uid="{00000000-0006-0000-2900-000015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8" authorId="0" shapeId="0" xr:uid="{00000000-0006-0000-2900-000016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9" authorId="0" shapeId="0" xr:uid="{00000000-0006-0000-2900-000017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0" authorId="0" shapeId="0" xr:uid="{00000000-0006-0000-2900-000018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1" authorId="0" shapeId="0" xr:uid="{00000000-0006-0000-2900-000019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2" authorId="0" shapeId="0" xr:uid="{00000000-0006-0000-2900-00001A000000}">
      <text>
        <r>
          <rPr>
            <sz val="8"/>
            <color indexed="81"/>
            <rFont val="Tahoma"/>
            <family val="2"/>
          </rPr>
          <t>Source: Life-cycle energy savings potenital from aluminum-intensive vehicles. F. Stodolsky, etc. Electricity use is 1.1 MJ/kg of vehicle.
Use conventional ICEV to calculate</t>
        </r>
      </text>
    </comment>
    <comment ref="A148" authorId="0" shapeId="0" xr:uid="{00000000-0006-0000-2900-00001B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49" authorId="0" shapeId="0" xr:uid="{00000000-0006-0000-2900-00001C000000}">
      <text>
        <r>
          <rPr>
            <sz val="9"/>
            <color rgb="FF000000"/>
            <rFont val="Tahoma"/>
            <family val="2"/>
          </rPr>
          <t>Assumed to be similar to HEV</t>
        </r>
      </text>
    </comment>
    <comment ref="E149" authorId="0" shapeId="0" xr:uid="{00000000-0006-0000-2900-00001D000000}">
      <text>
        <r>
          <rPr>
            <sz val="9"/>
            <color rgb="FF000000"/>
            <rFont val="Tahoma"/>
            <family val="2"/>
          </rPr>
          <t>Assumed to be similar to FCV</t>
        </r>
      </text>
    </comment>
    <comment ref="A152" authorId="0" shapeId="0" xr:uid="{00000000-0006-0000-2900-00001E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53" authorId="0" shapeId="0" xr:uid="{00000000-0006-0000-2900-00001F000000}">
      <text>
        <r>
          <rPr>
            <sz val="9"/>
            <color rgb="FF000000"/>
            <rFont val="Tahoma"/>
            <family val="2"/>
          </rPr>
          <t>Assumed to be similar to HEV</t>
        </r>
      </text>
    </comment>
    <comment ref="E153" authorId="0" shapeId="0" xr:uid="{00000000-0006-0000-2900-000020000000}">
      <text>
        <r>
          <rPr>
            <sz val="9"/>
            <color rgb="FF000000"/>
            <rFont val="Tahoma"/>
            <family val="2"/>
          </rPr>
          <t>Assumed to be similar to FCV</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X13" authorId="0" shapeId="0" xr:uid="{00000000-0006-0000-2C00-000001000000}">
      <text>
        <r>
          <rPr>
            <sz val="8"/>
            <color indexed="81"/>
            <rFont val="Tahoma"/>
            <family val="2"/>
          </rPr>
          <t xml:space="preserve">The results for fiber glass are applied here.
</t>
        </r>
      </text>
    </comment>
    <comment ref="AY13" authorId="0" shapeId="0" xr:uid="{00000000-0006-0000-2C00-000002000000}">
      <text>
        <r>
          <rPr>
            <sz val="8"/>
            <color indexed="81"/>
            <rFont val="Tahoma"/>
            <family val="2"/>
          </rPr>
          <t xml:space="preserve">The results for carbon fiber are applied here.
</t>
        </r>
      </text>
    </comment>
    <comment ref="AZ13" authorId="0" shapeId="0" xr:uid="{00000000-0006-0000-2C00-000003000000}">
      <text>
        <r>
          <rPr>
            <sz val="8"/>
            <color indexed="81"/>
            <rFont val="Tahoma"/>
            <family val="2"/>
          </rPr>
          <t>Used ANL Carbon fiber as baseline then used ratio of SOFC paper's data for Carbon paper energy over Carbon fiber (3.5) and multiplied that time ANL Carbon Fiber.</t>
        </r>
      </text>
    </comment>
    <comment ref="G34" authorId="0" shapeId="0" xr:uid="{00000000-0006-0000-2C00-000004000000}">
      <text>
        <r>
          <rPr>
            <sz val="8"/>
            <color indexed="81"/>
            <rFont val="Tahoma"/>
            <family val="2"/>
          </rPr>
          <t>In this cell the GHG calculation includes CF4 and C2F6.</t>
        </r>
      </text>
    </comment>
    <comment ref="H34" authorId="0" shapeId="0" xr:uid="{00000000-0006-0000-2C00-000005000000}">
      <text>
        <r>
          <rPr>
            <sz val="8"/>
            <color indexed="81"/>
            <rFont val="Tahoma"/>
            <family val="2"/>
          </rPr>
          <t>In this cell the GHG calculation includes CF4 and C2F6.</t>
        </r>
      </text>
    </comment>
    <comment ref="I34" authorId="0" shapeId="0" xr:uid="{00000000-0006-0000-2C00-000006000000}">
      <text>
        <r>
          <rPr>
            <sz val="8"/>
            <color indexed="81"/>
            <rFont val="Tahoma"/>
            <family val="2"/>
          </rPr>
          <t>In this cell the GHG calculation includes CF4 and C2F6.</t>
        </r>
      </text>
    </comment>
    <comment ref="J34" authorId="0" shapeId="0" xr:uid="{00000000-0006-0000-2C00-000007000000}">
      <text>
        <r>
          <rPr>
            <sz val="8"/>
            <color indexed="81"/>
            <rFont val="Tahoma"/>
            <family val="2"/>
          </rPr>
          <t>In this cell the GHG calculation includes CF4 and C2F6.</t>
        </r>
      </text>
    </comment>
    <comment ref="K34" authorId="0" shapeId="0" xr:uid="{00000000-0006-0000-2C00-000008000000}">
      <text>
        <r>
          <rPr>
            <sz val="8"/>
            <color indexed="81"/>
            <rFont val="Tahoma"/>
            <family val="2"/>
          </rPr>
          <t>In this cell the GHG calculation includes CF4 and C2F6.</t>
        </r>
      </text>
    </comment>
    <comment ref="L34" authorId="0" shapeId="0" xr:uid="{00000000-0006-0000-2C00-000009000000}">
      <text>
        <r>
          <rPr>
            <sz val="8"/>
            <color indexed="81"/>
            <rFont val="Tahoma"/>
            <family val="2"/>
          </rPr>
          <t>In this cell the GHG calculation includes CF4 and C2F6.</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2D00-000001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6" authorId="0" shapeId="0" xr:uid="{00000000-0006-0000-2D00-000002000000}">
      <text>
        <r>
          <rPr>
            <sz val="9"/>
            <color indexed="81"/>
            <rFont val="Tahoma"/>
            <family val="2"/>
          </rPr>
          <t>Conventional: Adjusted to match MY2010 Autonomie average case results (mid-size car)
Lightweight: Weight based on percent reduction calculated from ASCM model and than scaling conventional weight from Autonomie</t>
        </r>
      </text>
    </comment>
    <comment ref="A9" authorId="0" shapeId="0" xr:uid="{00000000-0006-0000-2D00-00000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21" authorId="0" shapeId="0" xr:uid="{00000000-0006-0000-2D00-000004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B26" authorId="0" shapeId="0" xr:uid="{00000000-0006-0000-2D00-000005000000}">
      <text>
        <r>
          <rPr>
            <sz val="9"/>
            <color indexed="81"/>
            <rFont val="Tahoma"/>
            <family val="2"/>
          </rPr>
          <t>Assumed to be similar to HEV</t>
        </r>
      </text>
    </comment>
    <comment ref="B27" authorId="0" shapeId="0" xr:uid="{00000000-0006-0000-2D00-000006000000}">
      <text>
        <r>
          <rPr>
            <sz val="9"/>
            <color indexed="81"/>
            <rFont val="Tahoma"/>
            <family val="2"/>
          </rPr>
          <t>Assumed to be similar to FCV</t>
        </r>
      </text>
    </comment>
    <comment ref="B32" authorId="0" shapeId="0" xr:uid="{00000000-0006-0000-2D00-000007000000}">
      <text>
        <r>
          <rPr>
            <sz val="9"/>
            <color indexed="81"/>
            <rFont val="Tahoma"/>
            <family val="2"/>
          </rPr>
          <t>Assumed to be similar to HEV</t>
        </r>
      </text>
    </comment>
    <comment ref="B33" authorId="0" shapeId="0" xr:uid="{00000000-0006-0000-2D00-000008000000}">
      <text>
        <r>
          <rPr>
            <sz val="9"/>
            <color indexed="81"/>
            <rFont val="Tahoma"/>
            <family val="2"/>
          </rPr>
          <t>Assumed to be similar to FCV</t>
        </r>
      </text>
    </comment>
    <comment ref="B38" authorId="0" shapeId="0" xr:uid="{00000000-0006-0000-2D00-000009000000}">
      <text>
        <r>
          <rPr>
            <sz val="9"/>
            <color indexed="81"/>
            <rFont val="Tahoma"/>
            <family val="2"/>
          </rPr>
          <t>Assumed to be similar to HEV</t>
        </r>
      </text>
    </comment>
    <comment ref="B39" authorId="0" shapeId="0" xr:uid="{00000000-0006-0000-2D00-00000A000000}">
      <text>
        <r>
          <rPr>
            <sz val="9"/>
            <color indexed="81"/>
            <rFont val="Tahoma"/>
            <family val="2"/>
          </rPr>
          <t>Assumed to be similar to FCV</t>
        </r>
      </text>
    </comment>
    <comment ref="A47" authorId="0" shapeId="0" xr:uid="{00000000-0006-0000-2D00-00000B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57" authorId="0" shapeId="0" xr:uid="{00000000-0006-0000-2D00-00000C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K58" authorId="0" shapeId="0" xr:uid="{00000000-0006-0000-2D00-00000D000000}">
      <text>
        <r>
          <rPr>
            <b/>
            <sz val="9"/>
            <color indexed="81"/>
            <rFont val="Tahoma"/>
            <family val="2"/>
          </rPr>
          <t>Author:</t>
        </r>
        <r>
          <rPr>
            <sz val="9"/>
            <color indexed="81"/>
            <rFont val="Tahoma"/>
            <family val="2"/>
          </rPr>
          <t xml:space="preserve">
Based on Kelly, J., Dai, Q., and Elgowainy,A.  2016, Vehicle Materials: Fuel Cell Vehicle Material Composition Update,Systems Assessment Group, Argonne National Laboratory, Argonne, Ill.</t>
        </r>
      </text>
    </comment>
    <comment ref="L58" authorId="0" shapeId="0" xr:uid="{00000000-0006-0000-2D00-00000E000000}">
      <text>
        <r>
          <rPr>
            <b/>
            <sz val="9"/>
            <color indexed="81"/>
            <rFont val="Tahoma"/>
            <family val="2"/>
          </rPr>
          <t>Author:</t>
        </r>
        <r>
          <rPr>
            <sz val="9"/>
            <color indexed="81"/>
            <rFont val="Tahoma"/>
            <family val="2"/>
          </rPr>
          <t xml:space="preserve">
Based on Kelly, J., Dai, Q., and Elgowainy,A.  2016, Vehicle Materials: Fuel Cell Vehicle Material Composition Update,Systems Assessment Group, Argonne National Laboratory, Argonne, Ill.</t>
        </r>
      </text>
    </comment>
    <comment ref="A87" authorId="0" shapeId="0" xr:uid="{00000000-0006-0000-2D00-00000F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97" authorId="0" shapeId="0" xr:uid="{00000000-0006-0000-2D00-000010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98" authorId="0" shapeId="0" xr:uid="{00000000-0006-0000-2D00-000011000000}">
      <text>
        <r>
          <rPr>
            <sz val="9"/>
            <color indexed="81"/>
            <rFont val="Tahoma"/>
            <family val="2"/>
          </rPr>
          <t>Conventional: Used MY2015 Autonomie average case results (mid-size car)
Lightweight: Argonne component sizing equations used to scale battery's for lightweight vehicles</t>
        </r>
      </text>
    </comment>
    <comment ref="D98" authorId="0" shapeId="0" xr:uid="{00000000-0006-0000-2D00-000012000000}">
      <text>
        <r>
          <rPr>
            <sz val="9"/>
            <color indexed="81"/>
            <rFont val="Tahoma"/>
            <family val="2"/>
          </rPr>
          <t>Conventional: Used MY2015 Autonomie average case results (mid-size car)
Lightweight: Argonne component sizing equations used to scale battery's for lightweight vehicles</t>
        </r>
      </text>
    </comment>
    <comment ref="A104" authorId="0" shapeId="0" xr:uid="{00000000-0006-0000-2D00-00001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105" authorId="0" shapeId="0" xr:uid="{00000000-0006-0000-2D00-000014000000}">
      <text>
        <r>
          <rPr>
            <sz val="9"/>
            <color indexed="81"/>
            <rFont val="Tahoma"/>
            <family val="2"/>
          </rPr>
          <t>Conventional: Used MY2015 Autonomie average case results (mid-size car)
Lightweight: Argonne component sizing equations used to scale battery's for lightweight vehicles</t>
        </r>
      </text>
    </comment>
    <comment ref="D105" authorId="0" shapeId="0" xr:uid="{00000000-0006-0000-2D00-000015000000}">
      <text>
        <r>
          <rPr>
            <sz val="9"/>
            <color indexed="81"/>
            <rFont val="Tahoma"/>
            <family val="2"/>
          </rPr>
          <t>Conventional: Used MY2015 Autonomie average case results (mid-size car)
Lightweight: Argonne component sizing equations used to scale battery's for lightweight vehicles</t>
        </r>
      </text>
    </comment>
    <comment ref="A111" authorId="0" shapeId="0" xr:uid="{00000000-0006-0000-2D00-000016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119" authorId="0" shapeId="0" xr:uid="{00000000-0006-0000-2D00-000017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23" authorId="0" shapeId="0" xr:uid="{00000000-0006-0000-2D00-000018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G124" authorId="0" shapeId="0" xr:uid="{00000000-0006-0000-2D00-000019000000}">
      <text>
        <r>
          <rPr>
            <sz val="9"/>
            <color indexed="81"/>
            <rFont val="Tahoma"/>
            <family val="2"/>
          </rPr>
          <t>For EV - similar reasoning on ICEV, HEV, FCV all having same lifetime.</t>
        </r>
      </text>
    </comment>
    <comment ref="H124" authorId="0" shapeId="0" xr:uid="{00000000-0006-0000-2D00-00001A000000}">
      <text>
        <r>
          <rPr>
            <sz val="9"/>
            <color indexed="81"/>
            <rFont val="Tahoma"/>
            <family val="2"/>
          </rPr>
          <t>For EV - similar reasoning on ICEV, HEV, FCV all having same lifetime.</t>
        </r>
      </text>
    </comment>
    <comment ref="I124" authorId="0" shapeId="0" xr:uid="{00000000-0006-0000-2D00-00001B000000}">
      <text>
        <r>
          <rPr>
            <sz val="9"/>
            <color indexed="81"/>
            <rFont val="Tahoma"/>
            <family val="2"/>
          </rPr>
          <t>For EV - similar reasoning on ICEV, HEV, FCV all having same lifetime.</t>
        </r>
      </text>
    </comment>
    <comment ref="J124" authorId="0" shapeId="0" xr:uid="{00000000-0006-0000-2D00-00001C000000}">
      <text>
        <r>
          <rPr>
            <sz val="9"/>
            <color indexed="81"/>
            <rFont val="Tahoma"/>
            <family val="2"/>
          </rPr>
          <t>For EV - similar reasoning on ICEV, HEV, FCV all having same lifetime</t>
        </r>
      </text>
    </comment>
    <comment ref="A127" authorId="0" shapeId="0" xr:uid="{00000000-0006-0000-2D00-00001D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175" authorId="0" shapeId="0" xr:uid="{00000000-0006-0000-2D00-00001E000000}">
      <text>
        <r>
          <rPr>
            <sz val="9"/>
            <color indexed="81"/>
            <rFont val="Tahoma"/>
            <family val="2"/>
          </rPr>
          <t>Updated chassis values for steel (conv.) and aluminum (LW) tires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2E00-000001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6" authorId="0" shapeId="0" xr:uid="{00000000-0006-0000-2E00-000002000000}">
      <text>
        <r>
          <rPr>
            <sz val="9"/>
            <color indexed="81"/>
            <rFont val="Tahoma"/>
            <family val="2"/>
          </rPr>
          <t>Conventional: Adjusted to match MY2015 Autonomie average case results (mid-size SUV)
Lightweight: Weight based on percent reduction calculated from ASCM model and than scaling conventional weight from Autonomie</t>
        </r>
      </text>
    </comment>
    <comment ref="A9" authorId="0" shapeId="0" xr:uid="{00000000-0006-0000-2E00-00000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21" authorId="0" shapeId="0" xr:uid="{00000000-0006-0000-2E00-000004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B26" authorId="0" shapeId="0" xr:uid="{00000000-0006-0000-2E00-000005000000}">
      <text>
        <r>
          <rPr>
            <sz val="9"/>
            <color indexed="81"/>
            <rFont val="Tahoma"/>
            <family val="2"/>
          </rPr>
          <t>Assumed to be similar to HEV</t>
        </r>
      </text>
    </comment>
    <comment ref="B27" authorId="0" shapeId="0" xr:uid="{00000000-0006-0000-2E00-000006000000}">
      <text>
        <r>
          <rPr>
            <sz val="9"/>
            <color indexed="81"/>
            <rFont val="Tahoma"/>
            <family val="2"/>
          </rPr>
          <t>Assumed to be similar to FCV</t>
        </r>
      </text>
    </comment>
    <comment ref="B32" authorId="0" shapeId="0" xr:uid="{00000000-0006-0000-2E00-000007000000}">
      <text>
        <r>
          <rPr>
            <sz val="9"/>
            <color indexed="81"/>
            <rFont val="Tahoma"/>
            <family val="2"/>
          </rPr>
          <t>Assumed to be similar to HEV</t>
        </r>
      </text>
    </comment>
    <comment ref="B33" authorId="0" shapeId="0" xr:uid="{00000000-0006-0000-2E00-000008000000}">
      <text>
        <r>
          <rPr>
            <sz val="9"/>
            <color indexed="81"/>
            <rFont val="Tahoma"/>
            <family val="2"/>
          </rPr>
          <t>Assumed to be similar to FCV</t>
        </r>
      </text>
    </comment>
    <comment ref="B38" authorId="0" shapeId="0" xr:uid="{00000000-0006-0000-2E00-000009000000}">
      <text>
        <r>
          <rPr>
            <sz val="9"/>
            <color indexed="81"/>
            <rFont val="Tahoma"/>
            <family val="2"/>
          </rPr>
          <t>Assumed to be similar to HEV</t>
        </r>
      </text>
    </comment>
    <comment ref="B39" authorId="0" shapeId="0" xr:uid="{00000000-0006-0000-2E00-00000A000000}">
      <text>
        <r>
          <rPr>
            <sz val="9"/>
            <color indexed="81"/>
            <rFont val="Tahoma"/>
            <family val="2"/>
          </rPr>
          <t>Assumed to be similar to FCV</t>
        </r>
      </text>
    </comment>
    <comment ref="A47" authorId="0" shapeId="0" xr:uid="{00000000-0006-0000-2E00-00000B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57" authorId="0" shapeId="0" xr:uid="{00000000-0006-0000-2E00-00000C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K58" authorId="0" shapeId="0" xr:uid="{00000000-0006-0000-2E00-00000D000000}">
      <text>
        <r>
          <rPr>
            <sz val="9"/>
            <color indexed="81"/>
            <rFont val="Tahoma"/>
            <family val="2"/>
          </rPr>
          <t>Based on Kelly, J., Dai, Q., and Elgowainy,A.  2016, Vehicle Materials: Fuel Cell Vehicle Material Composition Update,Systems Assessment Group, Argonne National Laboratory, Argonne, Ill.</t>
        </r>
      </text>
    </comment>
    <comment ref="L58" authorId="0" shapeId="0" xr:uid="{00000000-0006-0000-2E00-00000E000000}">
      <text>
        <r>
          <rPr>
            <sz val="9"/>
            <color indexed="81"/>
            <rFont val="Tahoma"/>
            <family val="2"/>
          </rPr>
          <t xml:space="preserve">Based on Kelly, J., Dai, Q., and Elgowainy,A.  2016, Vehicle Materials: Fuel Cell Vehicle Material Composition Update,Systems Assessment Group, Argonne National </t>
        </r>
        <r>
          <rPr>
            <b/>
            <sz val="9"/>
            <color indexed="81"/>
            <rFont val="Tahoma"/>
            <family val="2"/>
          </rPr>
          <t>Laboratory, Argonne, Ill.</t>
        </r>
        <r>
          <rPr>
            <sz val="9"/>
            <color indexed="81"/>
            <rFont val="Tahoma"/>
            <family val="2"/>
          </rPr>
          <t xml:space="preserve">
</t>
        </r>
      </text>
    </comment>
    <comment ref="A87" authorId="0" shapeId="0" xr:uid="{00000000-0006-0000-2E00-00000F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97" authorId="0" shapeId="0" xr:uid="{00000000-0006-0000-2E00-000010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98" authorId="0" shapeId="0" xr:uid="{00000000-0006-0000-2E00-000011000000}">
      <text>
        <r>
          <rPr>
            <sz val="9"/>
            <color indexed="81"/>
            <rFont val="Tahoma"/>
            <family val="2"/>
          </rPr>
          <t>Conventional: Used MY2015 Autonomie average case results (mid-size SUV)
Lightweight: Argonne component sizing equations used to scale battery's for lightweight vehicles</t>
        </r>
      </text>
    </comment>
    <comment ref="D98" authorId="0" shapeId="0" xr:uid="{00000000-0006-0000-2E00-000012000000}">
      <text>
        <r>
          <rPr>
            <sz val="9"/>
            <color indexed="81"/>
            <rFont val="Tahoma"/>
            <family val="2"/>
          </rPr>
          <t>Conventional: Used MY2015 Autonomie average case results (mid-size SUV)
Lightweight: Argonne component sizing equations used to scale battery's for lightweight vehicles</t>
        </r>
      </text>
    </comment>
    <comment ref="A104" authorId="0" shapeId="0" xr:uid="{00000000-0006-0000-2E00-00001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105" authorId="0" shapeId="0" xr:uid="{00000000-0006-0000-2E00-000014000000}">
      <text>
        <r>
          <rPr>
            <sz val="9"/>
            <color indexed="81"/>
            <rFont val="Tahoma"/>
            <family val="2"/>
          </rPr>
          <t>Conventional: Used MY2015 Autonomie average case results (mid-size SUV)
Lightweight: Argonne component sizing equations used to scale battery's for lightweight vehicles</t>
        </r>
      </text>
    </comment>
    <comment ref="D105" authorId="0" shapeId="0" xr:uid="{00000000-0006-0000-2E00-000015000000}">
      <text>
        <r>
          <rPr>
            <sz val="9"/>
            <color indexed="81"/>
            <rFont val="Tahoma"/>
            <family val="2"/>
          </rPr>
          <t>Conventional: Used MY2015 Autonomie average case results (mid-size SUV)
Lightweight: Argonne component sizing equations used to scale battery's for lightweight vehicles</t>
        </r>
      </text>
    </comment>
    <comment ref="C107" authorId="0" shapeId="0" xr:uid="{00000000-0006-0000-2E00-000016000000}">
      <text>
        <r>
          <rPr>
            <sz val="9"/>
            <color indexed="8"/>
            <rFont val="Tahoma"/>
            <family val="2"/>
          </rPr>
          <t>Argonne component sizing equations used to scale battery's for lightweight vehicles
PHEV10 = 2 kWh
PHEV20 = 4 kWh
PHEV30 (series) = 8 kWh
PHEV40 (series) = 11 kWh</t>
        </r>
      </text>
    </comment>
    <comment ref="D107" authorId="0" shapeId="0" xr:uid="{00000000-0006-0000-2E00-000017000000}">
      <text>
        <r>
          <rPr>
            <sz val="9"/>
            <color indexed="8"/>
            <rFont val="Tahoma"/>
            <family val="2"/>
          </rPr>
          <t>Argonne component sizing equations used to scale battery's for lightweight vehicles
PHEV10 = 2 kWh
PHEV20 = 4 kWh
PHEV30 (series) = 8 kWh
PHEV40 (series) = 11 kWh</t>
        </r>
      </text>
    </comment>
    <comment ref="A111" authorId="0" shapeId="0" xr:uid="{00000000-0006-0000-2E00-000018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119" authorId="0" shapeId="0" xr:uid="{00000000-0006-0000-2E00-000019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23" authorId="0" shapeId="0" xr:uid="{00000000-0006-0000-2E00-00001A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G124" authorId="0" shapeId="0" xr:uid="{00000000-0006-0000-2E00-00001B000000}">
      <text>
        <r>
          <rPr>
            <sz val="9"/>
            <color indexed="81"/>
            <rFont val="Tahoma"/>
            <family val="2"/>
          </rPr>
          <t>For EV - similar reasoning on ICEV, HEV, FCV all having same lifetime.</t>
        </r>
      </text>
    </comment>
    <comment ref="H124" authorId="0" shapeId="0" xr:uid="{00000000-0006-0000-2E00-00001C000000}">
      <text>
        <r>
          <rPr>
            <sz val="9"/>
            <color indexed="81"/>
            <rFont val="Tahoma"/>
            <family val="2"/>
          </rPr>
          <t>For EV - similar reasoning on ICEV, HEV, FCV all having same lifetime.</t>
        </r>
      </text>
    </comment>
    <comment ref="I124" authorId="0" shapeId="0" xr:uid="{00000000-0006-0000-2E00-00001D000000}">
      <text>
        <r>
          <rPr>
            <sz val="9"/>
            <color indexed="81"/>
            <rFont val="Tahoma"/>
            <family val="2"/>
          </rPr>
          <t>For EV - similar reasoning on ICEV, HEV, FCV all having same lifetime.</t>
        </r>
      </text>
    </comment>
    <comment ref="J124" authorId="0" shapeId="0" xr:uid="{00000000-0006-0000-2E00-00001E000000}">
      <text>
        <r>
          <rPr>
            <sz val="9"/>
            <color indexed="81"/>
            <rFont val="Tahoma"/>
            <family val="2"/>
          </rPr>
          <t>For EV - similar reasoning on ICEV, HEV, FCV all having same lifetime</t>
        </r>
      </text>
    </comment>
    <comment ref="A127" authorId="0" shapeId="0" xr:uid="{00000000-0006-0000-2E00-00001F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143" authorId="0" shapeId="0" xr:uid="{00000000-0006-0000-2E00-000020000000}">
      <text>
        <r>
          <rPr>
            <sz val="9"/>
            <color indexed="81"/>
            <rFont val="Tahoma"/>
            <family val="2"/>
          </rPr>
          <t xml:space="preserve">Very minor change to LW ICEV from 54.9% to 54.8% steel and from 17.6% to 17.7% cast al </t>
        </r>
      </text>
    </comment>
    <comment ref="B175" authorId="0" shapeId="0" xr:uid="{00000000-0006-0000-2E00-000021000000}">
      <text>
        <r>
          <rPr>
            <sz val="9"/>
            <color indexed="81"/>
            <rFont val="Tahoma"/>
            <family val="2"/>
          </rPr>
          <t>Updated chassis values for steel (conv.) and aluminum (LW) tires and updated lightweight % to account for revised driveshaft values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6" authorId="0" shapeId="0" xr:uid="{00000000-0006-0000-2F00-000001000000}">
      <text>
        <r>
          <rPr>
            <sz val="8"/>
            <color indexed="81"/>
            <rFont val="Tahoma"/>
            <family val="2"/>
          </rPr>
          <t>Includes central boiler station which provides steam to other process stages</t>
        </r>
      </text>
    </comment>
    <comment ref="E56" authorId="0" shapeId="0" xr:uid="{00000000-0006-0000-2F00-000002000000}">
      <text>
        <r>
          <rPr>
            <sz val="9"/>
            <color indexed="81"/>
            <rFont val="Tahoma"/>
            <family val="2"/>
          </rPr>
          <t>Products</t>
        </r>
      </text>
    </comment>
    <comment ref="E57" authorId="0" shapeId="0" xr:uid="{00000000-0006-0000-2F00-000003000000}">
      <text>
        <r>
          <rPr>
            <sz val="9"/>
            <color indexed="81"/>
            <rFont val="Tahoma"/>
            <family val="2"/>
          </rPr>
          <t>Products</t>
        </r>
      </text>
    </comment>
    <comment ref="E58" authorId="0" shapeId="0" xr:uid="{00000000-0006-0000-2F00-000004000000}">
      <text>
        <r>
          <rPr>
            <sz val="9"/>
            <color indexed="81"/>
            <rFont val="Tahoma"/>
            <family val="2"/>
          </rPr>
          <t>Products</t>
        </r>
      </text>
    </comment>
    <comment ref="J59" authorId="0" shapeId="0" xr:uid="{00000000-0006-0000-2F00-000005000000}">
      <text>
        <r>
          <rPr>
            <sz val="9"/>
            <color indexed="81"/>
            <rFont val="Tahoma"/>
            <family val="2"/>
          </rPr>
          <t>Products</t>
        </r>
      </text>
    </comment>
    <comment ref="E60" authorId="0" shapeId="0" xr:uid="{00000000-0006-0000-2F00-000006000000}">
      <text>
        <r>
          <rPr>
            <sz val="9"/>
            <color indexed="81"/>
            <rFont val="Tahoma"/>
            <family val="2"/>
          </rPr>
          <t>Products</t>
        </r>
      </text>
    </comment>
    <comment ref="E68" authorId="0" shapeId="0" xr:uid="{00000000-0006-0000-2F00-000007000000}">
      <text>
        <r>
          <rPr>
            <sz val="8"/>
            <color indexed="81"/>
            <rFont val="Tahoma"/>
            <family val="2"/>
          </rPr>
          <t>Data based on Athena, Cradle-to-gate life cycle inventory: Canadian and US Steel Production by Mill Type, 2002</t>
        </r>
      </text>
    </comment>
    <comment ref="H68" authorId="0" shapeId="0" xr:uid="{00000000-0006-0000-2F00-000008000000}">
      <text>
        <r>
          <rPr>
            <sz val="8"/>
            <color indexed="81"/>
            <rFont val="Tahoma"/>
            <family val="2"/>
          </rPr>
          <t>Data based on Athena, Cradle-to-gate life cycle inventory: Canadian and US Steel Production by Mill Type, 2002</t>
        </r>
      </text>
    </comment>
    <comment ref="J68" authorId="0" shapeId="0" xr:uid="{00000000-0006-0000-2F00-000009000000}">
      <text>
        <r>
          <rPr>
            <sz val="8"/>
            <color indexed="81"/>
            <rFont val="Tahoma"/>
            <family val="2"/>
          </rPr>
          <t>Data based on Athena, Cradle-to-gate life cycle inventory: Canadian and US Steel Production by Mill Type, 2002</t>
        </r>
      </text>
    </comment>
    <comment ref="L68" authorId="0" shapeId="0" xr:uid="{00000000-0006-0000-2F00-00000A000000}">
      <text>
        <r>
          <rPr>
            <sz val="8"/>
            <color indexed="81"/>
            <rFont val="Tahoma"/>
            <family val="2"/>
          </rPr>
          <t>Data based on Athena, Cradle-to-gate life cycle inventory: Canadian and US Steel Production by Mill Type, 2002</t>
        </r>
      </text>
    </comment>
    <comment ref="Z68" authorId="0" shapeId="0" xr:uid="{00000000-0006-0000-2F00-00000B000000}">
      <text>
        <r>
          <rPr>
            <sz val="8"/>
            <color indexed="81"/>
            <rFont val="Tahoma"/>
            <family val="2"/>
          </rPr>
          <t>Data based on Athena, Cradle-to-gate life cycle inventory: Canadian and US Steel Production by Mill Type, 2002</t>
        </r>
      </text>
    </comment>
    <comment ref="E69" authorId="0" shapeId="0" xr:uid="{00000000-0006-0000-2F00-00000C000000}">
      <text>
        <r>
          <rPr>
            <sz val="8"/>
            <color indexed="81"/>
            <rFont val="Tahoma"/>
            <family val="2"/>
          </rPr>
          <t>Data based on Athena, Cradle-to-gate life cycle inventory: Canadian and US Steel Production by Mill Type, 2002</t>
        </r>
      </text>
    </comment>
    <comment ref="H69" authorId="0" shapeId="0" xr:uid="{00000000-0006-0000-2F00-00000D000000}">
      <text>
        <r>
          <rPr>
            <sz val="8"/>
            <color indexed="81"/>
            <rFont val="Tahoma"/>
            <family val="2"/>
          </rPr>
          <t>Data based on Athena, Cradle-to-gate life cycle inventory: Canadian and US Steel Production by Mill Type, 2002</t>
        </r>
      </text>
    </comment>
    <comment ref="J69" authorId="0" shapeId="0" xr:uid="{00000000-0006-0000-2F00-00000E000000}">
      <text>
        <r>
          <rPr>
            <sz val="8"/>
            <color indexed="81"/>
            <rFont val="Tahoma"/>
            <family val="2"/>
          </rPr>
          <t>Data based on Athena, Cradle-to-gate life cycle inventory: Canadian and US Steel Production by Mill Type, 2002</t>
        </r>
      </text>
    </comment>
    <comment ref="L69" authorId="0" shapeId="0" xr:uid="{00000000-0006-0000-2F00-00000F000000}">
      <text>
        <r>
          <rPr>
            <sz val="8"/>
            <color indexed="81"/>
            <rFont val="Tahoma"/>
            <family val="2"/>
          </rPr>
          <t>Data based on Athena, Cradle-to-gate life cycle inventory: Canadian and US Steel Production by Mill Type, 2002</t>
        </r>
      </text>
    </comment>
    <comment ref="Z69" authorId="0" shapeId="0" xr:uid="{00000000-0006-0000-2F00-000010000000}">
      <text>
        <r>
          <rPr>
            <sz val="8"/>
            <color indexed="81"/>
            <rFont val="Tahoma"/>
            <family val="2"/>
          </rPr>
          <t>Data based on Athena, Cradle-to-gate life cycle inventory: Canadian and US Steel Production by Mill Type, 2002</t>
        </r>
      </text>
    </comment>
    <comment ref="E70" authorId="0" shapeId="0" xr:uid="{00000000-0006-0000-2F00-000011000000}">
      <text>
        <r>
          <rPr>
            <sz val="8"/>
            <color indexed="81"/>
            <rFont val="Tahoma"/>
            <family val="2"/>
          </rPr>
          <t>Data based on Athena, Cradle-to-gate life cycle inventory: Canadian and US Steel Production by Mill Type, 2002</t>
        </r>
      </text>
    </comment>
    <comment ref="H70" authorId="0" shapeId="0" xr:uid="{00000000-0006-0000-2F00-000012000000}">
      <text>
        <r>
          <rPr>
            <sz val="8"/>
            <color indexed="81"/>
            <rFont val="Tahoma"/>
            <family val="2"/>
          </rPr>
          <t>Data based on Athena, Cradle-to-gate life cycle inventory: Canadian and US Steel Production by Mill Type, 2002</t>
        </r>
      </text>
    </comment>
    <comment ref="J70" authorId="0" shapeId="0" xr:uid="{00000000-0006-0000-2F00-000013000000}">
      <text>
        <r>
          <rPr>
            <sz val="8"/>
            <color indexed="81"/>
            <rFont val="Tahoma"/>
            <family val="2"/>
          </rPr>
          <t>Data based on Athena, Cradle-to-gate life cycle inventory: Canadian and US Steel Production by Mill Type, 2002</t>
        </r>
      </text>
    </comment>
    <comment ref="L70" authorId="0" shapeId="0" xr:uid="{00000000-0006-0000-2F00-000014000000}">
      <text>
        <r>
          <rPr>
            <sz val="8"/>
            <color indexed="81"/>
            <rFont val="Tahoma"/>
            <family val="2"/>
          </rPr>
          <t>Data based on Athena, Cradle-to-gate life cycle inventory: Canadian and US Steel Production by Mill Type, 2002</t>
        </r>
      </text>
    </comment>
    <comment ref="Z70" authorId="0" shapeId="0" xr:uid="{00000000-0006-0000-2F00-000015000000}">
      <text>
        <r>
          <rPr>
            <sz val="8"/>
            <color indexed="81"/>
            <rFont val="Tahoma"/>
            <family val="2"/>
          </rPr>
          <t>Data based on Athena, Cradle-to-gate life cycle inventory: Canadian and US Steel Production by Mill Type, 2002</t>
        </r>
      </text>
    </comment>
    <comment ref="E71" authorId="0" shapeId="0" xr:uid="{00000000-0006-0000-2F00-000016000000}">
      <text>
        <r>
          <rPr>
            <sz val="8"/>
            <color indexed="81"/>
            <rFont val="Tahoma"/>
            <family val="2"/>
          </rPr>
          <t>Data based on Athena, Cradle-to-gate life cycle inventory: Canadian and US Steel Production by Mill Type, 2002</t>
        </r>
      </text>
    </comment>
    <comment ref="H71" authorId="0" shapeId="0" xr:uid="{00000000-0006-0000-2F00-000017000000}">
      <text>
        <r>
          <rPr>
            <sz val="8"/>
            <color indexed="81"/>
            <rFont val="Tahoma"/>
            <family val="2"/>
          </rPr>
          <t>Data based on Athena, Cradle-to-gate life cycle inventory: Canadian and US Steel Production by Mill Type, 2002</t>
        </r>
      </text>
    </comment>
    <comment ref="J71" authorId="0" shapeId="0" xr:uid="{00000000-0006-0000-2F00-000018000000}">
      <text>
        <r>
          <rPr>
            <sz val="8"/>
            <color indexed="81"/>
            <rFont val="Tahoma"/>
            <family val="2"/>
          </rPr>
          <t>Data based on Athena, Cradle-to-gate life cycle inventory: Canadian and US Steel Production by Mill Type, 2002</t>
        </r>
      </text>
    </comment>
    <comment ref="L71" authorId="0" shapeId="0" xr:uid="{00000000-0006-0000-2F00-000019000000}">
      <text>
        <r>
          <rPr>
            <sz val="8"/>
            <color indexed="81"/>
            <rFont val="Tahoma"/>
            <family val="2"/>
          </rPr>
          <t>Data based on Athena, Cradle-to-gate life cycle inventory: Canadian and US Steel Production by Mill Type, 2002</t>
        </r>
      </text>
    </comment>
    <comment ref="Z71" authorId="0" shapeId="0" xr:uid="{00000000-0006-0000-2F00-00001A000000}">
      <text>
        <r>
          <rPr>
            <sz val="8"/>
            <color indexed="81"/>
            <rFont val="Tahoma"/>
            <family val="2"/>
          </rPr>
          <t>Data based on Athena, Cradle-to-gate life cycle inventory: Canadian and US Steel Production by Mill Type, 2002</t>
        </r>
      </text>
    </comment>
    <comment ref="E73" authorId="0" shapeId="0" xr:uid="{00000000-0006-0000-2F00-00001B000000}">
      <text>
        <r>
          <rPr>
            <sz val="8"/>
            <color indexed="81"/>
            <rFont val="Tahoma"/>
            <family val="2"/>
          </rPr>
          <t>Data based on Athena, Cradle-to-gate life cycle inventory: Canadian and US Steel Production by Mill Type, 2002</t>
        </r>
      </text>
    </comment>
    <comment ref="H73" authorId="0" shapeId="0" xr:uid="{00000000-0006-0000-2F00-00001C000000}">
      <text>
        <r>
          <rPr>
            <sz val="8"/>
            <color indexed="81"/>
            <rFont val="Tahoma"/>
            <family val="2"/>
          </rPr>
          <t>Data based on Athena, Cradle-to-gate life cycle inventory: Canadian and US Steel Production by Mill Type, 2002</t>
        </r>
      </text>
    </comment>
    <comment ref="J73" authorId="0" shapeId="0" xr:uid="{00000000-0006-0000-2F00-00001D000000}">
      <text>
        <r>
          <rPr>
            <sz val="8"/>
            <color indexed="81"/>
            <rFont val="Tahoma"/>
            <family val="2"/>
          </rPr>
          <t>Data based on Athena, Cradle-to-gate life cycle inventory: Canadian and US Steel Production by Mill Type, 2002</t>
        </r>
      </text>
    </comment>
    <comment ref="Z73" authorId="0" shapeId="0" xr:uid="{00000000-0006-0000-2F00-00001E000000}">
      <text>
        <r>
          <rPr>
            <sz val="8"/>
            <color indexed="81"/>
            <rFont val="Tahoma"/>
            <family val="2"/>
          </rPr>
          <t>Data based on Athena, Cradle-to-gate life cycle inventory: Canadian and US Steel Production by Mill Type, 2002</t>
        </r>
      </text>
    </comment>
    <comment ref="Z76" authorId="0" shapeId="0" xr:uid="{00000000-0006-0000-2F00-00001F000000}">
      <text>
        <r>
          <rPr>
            <sz val="8"/>
            <color indexed="81"/>
            <rFont val="Tahoma"/>
            <family val="2"/>
          </rPr>
          <t>Data based on Athena, Cradle-to-gate life cycle inventory: Canadian and US Steel Production by Mill Type, 2002</t>
        </r>
      </text>
    </comment>
    <comment ref="H78" authorId="0" shapeId="0" xr:uid="{00000000-0006-0000-2F00-000020000000}">
      <text>
        <r>
          <rPr>
            <sz val="8"/>
            <color indexed="81"/>
            <rFont val="Tahoma"/>
            <family val="2"/>
          </rPr>
          <t>Data based on Athena, Cradle-to-gate life cycle inventory: Canadian and US Steel Production by Mill Type, 2002</t>
        </r>
      </text>
    </comment>
    <comment ref="J78" authorId="0" shapeId="0" xr:uid="{00000000-0006-0000-2F00-000021000000}">
      <text>
        <r>
          <rPr>
            <sz val="8"/>
            <color indexed="81"/>
            <rFont val="Tahoma"/>
            <family val="2"/>
          </rPr>
          <t>Data based on Athena, Cradle-to-gate life cycle inventory: Canadian and US Steel Production by Mill Type, 2002</t>
        </r>
      </text>
    </comment>
    <comment ref="Z78" authorId="0" shapeId="0" xr:uid="{00000000-0006-0000-2F00-000022000000}">
      <text>
        <r>
          <rPr>
            <sz val="8"/>
            <color indexed="81"/>
            <rFont val="Tahoma"/>
            <family val="2"/>
          </rPr>
          <t>Data based on Athena, Cradle-to-gate life cycle inventory: Canadian and US Steel Production by Mill Type, 2002</t>
        </r>
      </text>
    </comment>
    <comment ref="B91" authorId="0" shapeId="0" xr:uid="{00000000-0006-0000-2F00-000023000000}">
      <text>
        <r>
          <rPr>
            <sz val="9"/>
            <color indexed="81"/>
            <rFont val="Tahoma"/>
            <family val="2"/>
          </rPr>
          <t>Coke LHV: 25.674 mmBtu/ton
Energy Allocation among Coke, Tar, Benzole and Coke Oven Gas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4" authorId="0" shapeId="0" xr:uid="{00000000-0006-0000-3100-000001000000}">
      <text>
        <r>
          <rPr>
            <b/>
            <sz val="10"/>
            <color indexed="81"/>
            <rFont val="Calibri"/>
            <family val="2"/>
          </rPr>
          <t>Author:</t>
        </r>
        <r>
          <rPr>
            <sz val="10"/>
            <color indexed="81"/>
            <rFont val="Calibri"/>
            <family val="2"/>
          </rPr>
          <t xml:space="preserve">
100% hydro</t>
        </r>
      </text>
    </comment>
    <comment ref="N82" authorId="0" shapeId="0" xr:uid="{00000000-0006-0000-31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2" authorId="0" shapeId="0" xr:uid="{00000000-0006-0000-31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2" authorId="0" shapeId="0" xr:uid="{00000000-0006-0000-31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2" authorId="0" shapeId="0" xr:uid="{00000000-0006-0000-31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83" authorId="0" shapeId="0" xr:uid="{00000000-0006-0000-31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3" authorId="0" shapeId="0" xr:uid="{00000000-0006-0000-31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3" authorId="0" shapeId="0" xr:uid="{00000000-0006-0000-31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3" authorId="0" shapeId="0" xr:uid="{00000000-0006-0000-31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4" authorId="0" shapeId="0" xr:uid="{00000000-0006-0000-31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5" authorId="0" shapeId="0" xr:uid="{00000000-0006-0000-31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5" authorId="0" shapeId="0" xr:uid="{00000000-0006-0000-31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6" authorId="0" shapeId="0" xr:uid="{00000000-0006-0000-31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6" authorId="0" shapeId="0" xr:uid="{00000000-0006-0000-31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6" authorId="0" shapeId="0" xr:uid="{00000000-0006-0000-31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6" authorId="0" shapeId="0" xr:uid="{00000000-0006-0000-31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6" authorId="0" shapeId="0" xr:uid="{00000000-0006-0000-31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6" authorId="0" shapeId="0" xr:uid="{00000000-0006-0000-31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7" authorId="0" shapeId="0" xr:uid="{00000000-0006-0000-31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3" authorId="0" shapeId="0" xr:uid="{00000000-0006-0000-31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3" authorId="0" shapeId="0" xr:uid="{00000000-0006-0000-31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3" authorId="0" shapeId="0" xr:uid="{00000000-0006-0000-31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3" authorId="0" shapeId="0" xr:uid="{00000000-0006-0000-31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3" authorId="0" shapeId="0" xr:uid="{00000000-0006-0000-31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93" authorId="0" shapeId="0" xr:uid="{00000000-0006-0000-31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3" authorId="0" shapeId="0" xr:uid="{00000000-0006-0000-31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3" authorId="0" shapeId="0" xr:uid="{00000000-0006-0000-31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3" authorId="0" shapeId="0" xr:uid="{00000000-0006-0000-31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3" authorId="0" shapeId="0" xr:uid="{00000000-0006-0000-31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1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5" authorId="0" shapeId="0" xr:uid="{00000000-0006-0000-31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5" authorId="0" shapeId="0" xr:uid="{00000000-0006-0000-31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5" authorId="0" shapeId="0" xr:uid="{00000000-0006-0000-31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6" authorId="0" shapeId="0" xr:uid="{00000000-0006-0000-31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7" authorId="0" shapeId="0" xr:uid="{00000000-0006-0000-31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7" authorId="0" shapeId="0" xr:uid="{00000000-0006-0000-31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1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7" authorId="0" shapeId="0" xr:uid="{00000000-0006-0000-31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7" authorId="0" shapeId="0" xr:uid="{00000000-0006-0000-31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7" authorId="0" shapeId="0" xr:uid="{00000000-0006-0000-31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8" authorId="0" shapeId="0" xr:uid="{00000000-0006-0000-31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8" authorId="0" shapeId="0" xr:uid="{00000000-0006-0000-3100-00002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8" authorId="0" shapeId="0" xr:uid="{00000000-0006-0000-31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1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8" authorId="0" shapeId="0" xr:uid="{00000000-0006-0000-31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8" authorId="0" shapeId="0" xr:uid="{00000000-0006-0000-3100-00002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8" authorId="0" shapeId="0" xr:uid="{00000000-0006-0000-31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8" authorId="0" shapeId="0" xr:uid="{00000000-0006-0000-3100-00003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9" authorId="0" shapeId="0" xr:uid="{00000000-0006-0000-3100-00003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9" authorId="0" shapeId="0" xr:uid="{00000000-0006-0000-31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1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100-00003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9" authorId="0" shapeId="0" xr:uid="{00000000-0006-0000-3100-00003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100-00003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9" authorId="0" shapeId="0" xr:uid="{00000000-0006-0000-3100-00003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9" authorId="0" shapeId="0" xr:uid="{00000000-0006-0000-3100-00003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100" authorId="0" shapeId="0" xr:uid="{00000000-0006-0000-3100-00003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0" authorId="0" shapeId="0" xr:uid="{00000000-0006-0000-3100-00003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0" authorId="0" shapeId="0" xr:uid="{00000000-0006-0000-3100-00003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100" authorId="0" shapeId="0" xr:uid="{00000000-0006-0000-3100-00003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0" authorId="0" shapeId="0" xr:uid="{00000000-0006-0000-3100-00003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100" authorId="0" shapeId="0" xr:uid="{00000000-0006-0000-3100-00003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00" authorId="0" shapeId="0" xr:uid="{00000000-0006-0000-3100-00003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3" authorId="0" shapeId="0" xr:uid="{00000000-0006-0000-3100-00004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3" authorId="0" shapeId="0" xr:uid="{00000000-0006-0000-3100-00004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4" authorId="0" shapeId="0" xr:uid="{00000000-0006-0000-3100-00004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4" authorId="0" shapeId="0" xr:uid="{00000000-0006-0000-3100-00004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5" authorId="0" shapeId="0" xr:uid="{00000000-0006-0000-3100-00004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6" authorId="0" shapeId="0" xr:uid="{00000000-0006-0000-3100-00004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7" authorId="0" shapeId="0" xr:uid="{00000000-0006-0000-3100-00004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7" authorId="0" shapeId="0" xr:uid="{00000000-0006-0000-3100-00004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7" authorId="0" shapeId="0" xr:uid="{00000000-0006-0000-3100-00004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20" authorId="0" shapeId="0" xr:uid="{00000000-0006-0000-3100-000049000000}">
      <text>
        <r>
          <rPr>
            <sz val="9"/>
            <color indexed="81"/>
            <rFont val="Tahoma"/>
            <family val="2"/>
          </rPr>
          <t>1.9154 ton Al2O3/ton Al</t>
        </r>
      </text>
    </comment>
    <comment ref="A146" authorId="0" shapeId="0" xr:uid="{00000000-0006-0000-3100-00004A000000}">
      <text>
        <r>
          <rPr>
            <sz val="8"/>
            <color indexed="81"/>
            <rFont val="Tahoma"/>
            <family val="2"/>
          </rPr>
          <t>GHG calculations for aluminum include CF4 and C2F6.</t>
        </r>
      </text>
    </comment>
    <comment ref="C146" authorId="0" shapeId="0" xr:uid="{00000000-0006-0000-3100-00004B000000}">
      <text>
        <r>
          <rPr>
            <sz val="8"/>
            <color indexed="81"/>
            <rFont val="Tahoma"/>
            <family val="2"/>
          </rPr>
          <t>In this cell the GHG calculation includes CF4 and C2F6.</t>
        </r>
      </text>
    </comment>
    <comment ref="D146" authorId="0" shapeId="0" xr:uid="{00000000-0006-0000-3100-00004C000000}">
      <text>
        <r>
          <rPr>
            <sz val="8"/>
            <color indexed="81"/>
            <rFont val="Tahoma"/>
            <family val="2"/>
          </rPr>
          <t>In this cell the GHG calculation includes CF4 and C2F6.</t>
        </r>
      </text>
    </comment>
    <comment ref="E146" authorId="0" shapeId="0" xr:uid="{00000000-0006-0000-3100-00004D000000}">
      <text>
        <r>
          <rPr>
            <sz val="8"/>
            <color indexed="81"/>
            <rFont val="Tahoma"/>
            <family val="2"/>
          </rPr>
          <t>In this cell the GHG calculation includes CF4 and C2F6.</t>
        </r>
      </text>
    </comment>
    <comment ref="F146" authorId="0" shapeId="0" xr:uid="{00000000-0006-0000-3100-00004E000000}">
      <text>
        <r>
          <rPr>
            <sz val="8"/>
            <color indexed="81"/>
            <rFont val="Tahoma"/>
            <family val="2"/>
          </rPr>
          <t>In this cell the GHG calculation includes CF4 and C2F6.</t>
        </r>
      </text>
    </comment>
    <comment ref="G146" authorId="0" shapeId="0" xr:uid="{00000000-0006-0000-3100-00004F000000}">
      <text>
        <r>
          <rPr>
            <sz val="8"/>
            <color indexed="81"/>
            <rFont val="Tahoma"/>
            <family val="2"/>
          </rPr>
          <t>In this cell the GHG calculation includes CF4 and C2F6.</t>
        </r>
      </text>
    </comment>
    <comment ref="H146" authorId="0" shapeId="0" xr:uid="{00000000-0006-0000-3100-000050000000}">
      <text>
        <r>
          <rPr>
            <sz val="8"/>
            <color indexed="81"/>
            <rFont val="Tahoma"/>
            <family val="2"/>
          </rPr>
          <t>In this cell the GHG calculation includes CF4 and C2F6.</t>
        </r>
      </text>
    </comment>
    <comment ref="I146" authorId="0" shapeId="0" xr:uid="{00000000-0006-0000-3100-000051000000}">
      <text>
        <r>
          <rPr>
            <sz val="8"/>
            <color indexed="81"/>
            <rFont val="Tahoma"/>
            <family val="2"/>
          </rPr>
          <t>In this cell the GHG calculation includes CF4 and C2F6.</t>
        </r>
      </text>
    </comment>
    <comment ref="J146" authorId="0" shapeId="0" xr:uid="{00000000-0006-0000-3100-000052000000}">
      <text>
        <r>
          <rPr>
            <sz val="8"/>
            <color indexed="81"/>
            <rFont val="Tahoma"/>
            <family val="2"/>
          </rPr>
          <t>In this cell the GHG calculation includes CF4 and C2F6.</t>
        </r>
      </text>
    </comment>
    <comment ref="K146" authorId="0" shapeId="0" xr:uid="{00000000-0006-0000-3100-000053000000}">
      <text>
        <r>
          <rPr>
            <sz val="8"/>
            <color indexed="81"/>
            <rFont val="Tahoma"/>
            <family val="2"/>
          </rPr>
          <t>In this cell the GHG calculation includes CF4 and C2F6.</t>
        </r>
      </text>
    </comment>
    <comment ref="L146" authorId="0" shapeId="0" xr:uid="{00000000-0006-0000-3100-000054000000}">
      <text>
        <r>
          <rPr>
            <sz val="8"/>
            <color indexed="81"/>
            <rFont val="Tahoma"/>
            <family val="2"/>
          </rPr>
          <t>In this cell the GHG calculation includes CF4 and C2F6.</t>
        </r>
      </text>
    </comment>
    <comment ref="M146" authorId="0" shapeId="0" xr:uid="{00000000-0006-0000-3100-000055000000}">
      <text>
        <r>
          <rPr>
            <sz val="8"/>
            <color indexed="81"/>
            <rFont val="Tahoma"/>
            <family val="2"/>
          </rPr>
          <t>In this cell the GHG calculation includes CF4 and C2F6.</t>
        </r>
      </text>
    </comment>
    <comment ref="N146" authorId="0" shapeId="0" xr:uid="{00000000-0006-0000-3100-000056000000}">
      <text>
        <r>
          <rPr>
            <sz val="8"/>
            <color indexed="81"/>
            <rFont val="Tahoma"/>
            <family val="2"/>
          </rPr>
          <t>In this cell the GHG calculation includes CF4 and C2F6.</t>
        </r>
      </text>
    </comment>
    <comment ref="O146" authorId="0" shapeId="0" xr:uid="{00000000-0006-0000-3100-000057000000}">
      <text>
        <r>
          <rPr>
            <sz val="8"/>
            <color indexed="81"/>
            <rFont val="Tahoma"/>
            <family val="2"/>
          </rPr>
          <t>In this cell the GHG calculation includes CF4 and C2F6.</t>
        </r>
      </text>
    </comment>
    <comment ref="P146" authorId="0" shapeId="0" xr:uid="{00000000-0006-0000-3100-000058000000}">
      <text>
        <r>
          <rPr>
            <sz val="8"/>
            <color indexed="81"/>
            <rFont val="Tahoma"/>
            <family val="2"/>
          </rPr>
          <t>In this cell the GHG calculation includes CF4 and C2F6.</t>
        </r>
      </text>
    </comment>
    <comment ref="Q146" authorId="0" shapeId="0" xr:uid="{00000000-0006-0000-3100-000059000000}">
      <text>
        <r>
          <rPr>
            <sz val="8"/>
            <color indexed="81"/>
            <rFont val="Tahoma"/>
            <family val="2"/>
          </rPr>
          <t>In this cell the GHG calculation includes CF4 and C2F6.</t>
        </r>
      </text>
    </comment>
    <comment ref="R146" authorId="0" shapeId="0" xr:uid="{00000000-0006-0000-3100-00005A000000}">
      <text>
        <r>
          <rPr>
            <sz val="8"/>
            <color indexed="81"/>
            <rFont val="Tahoma"/>
            <family val="2"/>
          </rPr>
          <t>In this cell the GHG calculation includes CF4 and C2F6.</t>
        </r>
      </text>
    </comment>
    <comment ref="S146" authorId="0" shapeId="0" xr:uid="{00000000-0006-0000-3100-00005B000000}">
      <text>
        <r>
          <rPr>
            <sz val="8"/>
            <color indexed="81"/>
            <rFont val="Tahoma"/>
            <family val="2"/>
          </rPr>
          <t>In this cell the GHG calculation includes CF4 and C2F6.</t>
        </r>
      </text>
    </comment>
    <comment ref="T146" authorId="0" shapeId="0" xr:uid="{00000000-0006-0000-3100-00005C000000}">
      <text>
        <r>
          <rPr>
            <sz val="8"/>
            <color indexed="81"/>
            <rFont val="Tahoma"/>
            <family val="2"/>
          </rPr>
          <t>In this cell the GHG calculation includes CF4 and C2F6.</t>
        </r>
      </text>
    </comment>
    <comment ref="U146" authorId="0" shapeId="0" xr:uid="{00000000-0006-0000-3100-00005D000000}">
      <text>
        <r>
          <rPr>
            <sz val="8"/>
            <color indexed="81"/>
            <rFont val="Tahoma"/>
            <family val="2"/>
          </rPr>
          <t>In this cell the GHG calculation includes CF4 and C2F6.</t>
        </r>
      </text>
    </comment>
    <comment ref="V146" authorId="0" shapeId="0" xr:uid="{00000000-0006-0000-3100-00005E000000}">
      <text>
        <r>
          <rPr>
            <sz val="8"/>
            <color indexed="81"/>
            <rFont val="Tahoma"/>
            <family val="2"/>
          </rPr>
          <t>In this cell the GHG calculation includes CF4 and C2F6.</t>
        </r>
      </text>
    </comment>
    <comment ref="X146" authorId="0" shapeId="0" xr:uid="{00000000-0006-0000-3100-00005F000000}">
      <text>
        <r>
          <rPr>
            <sz val="8"/>
            <color indexed="81"/>
            <rFont val="Tahoma"/>
            <family val="2"/>
          </rPr>
          <t>In this cell the GHG calculation includes CF4 and C2F6.</t>
        </r>
      </text>
    </comment>
    <comment ref="A184" authorId="0" shapeId="0" xr:uid="{00000000-0006-0000-3100-000060000000}">
      <text>
        <r>
          <rPr>
            <sz val="8"/>
            <color indexed="81"/>
            <rFont val="Tahoma"/>
            <family val="2"/>
          </rPr>
          <t>GHG calculations for aluminum include CF4 and C2F6.</t>
        </r>
      </text>
    </comment>
    <comment ref="B184" authorId="0" shapeId="0" xr:uid="{00000000-0006-0000-3100-000061000000}">
      <text>
        <r>
          <rPr>
            <sz val="8"/>
            <color indexed="81"/>
            <rFont val="Tahoma"/>
            <family val="2"/>
          </rPr>
          <t>In this cell the GHG calculation includes CF4 and C2F6.</t>
        </r>
      </text>
    </comment>
    <comment ref="C184" authorId="0" shapeId="0" xr:uid="{00000000-0006-0000-3100-000062000000}">
      <text>
        <r>
          <rPr>
            <sz val="8"/>
            <color indexed="81"/>
            <rFont val="Tahoma"/>
            <family val="2"/>
          </rPr>
          <t>In this cell the GHG calculation includes CF4 and C2F6.</t>
        </r>
      </text>
    </comment>
    <comment ref="D184" authorId="0" shapeId="0" xr:uid="{00000000-0006-0000-3100-000063000000}">
      <text>
        <r>
          <rPr>
            <sz val="8"/>
            <color indexed="81"/>
            <rFont val="Tahoma"/>
            <family val="2"/>
          </rPr>
          <t>In this cell the GHG calculation includes CF4 and C2F6.</t>
        </r>
      </text>
    </comment>
    <comment ref="E184" authorId="0" shapeId="0" xr:uid="{00000000-0006-0000-3100-000064000000}">
      <text>
        <r>
          <rPr>
            <sz val="8"/>
            <color indexed="81"/>
            <rFont val="Tahoma"/>
            <family val="2"/>
          </rPr>
          <t>In this cell the GHG calculation includes CF4 and C2F6.</t>
        </r>
      </text>
    </comment>
    <comment ref="F184" authorId="0" shapeId="0" xr:uid="{00000000-0006-0000-3100-000065000000}">
      <text>
        <r>
          <rPr>
            <sz val="8"/>
            <color indexed="81"/>
            <rFont val="Tahoma"/>
            <family val="2"/>
          </rPr>
          <t>In this cell the GHG calculation includes CF4 and C2F6.</t>
        </r>
      </text>
    </comment>
    <comment ref="G184" authorId="0" shapeId="0" xr:uid="{00000000-0006-0000-3100-000066000000}">
      <text>
        <r>
          <rPr>
            <sz val="8"/>
            <color indexed="81"/>
            <rFont val="Tahoma"/>
            <family val="2"/>
          </rPr>
          <t>In this cell the GHG calculation includes CF4 and C2F6.</t>
        </r>
      </text>
    </comment>
    <comment ref="H184" authorId="0" shapeId="0" xr:uid="{00000000-0006-0000-3100-000067000000}">
      <text>
        <r>
          <rPr>
            <sz val="8"/>
            <color indexed="81"/>
            <rFont val="Tahoma"/>
            <family val="2"/>
          </rPr>
          <t>In this cell the GHG calculation includes CF4 and C2F6.</t>
        </r>
      </text>
    </comment>
    <comment ref="I184" authorId="0" shapeId="0" xr:uid="{00000000-0006-0000-3100-000068000000}">
      <text>
        <r>
          <rPr>
            <sz val="8"/>
            <color indexed="81"/>
            <rFont val="Tahoma"/>
            <family val="2"/>
          </rPr>
          <t>In this cell the GHG calculation includes CF4 and C2F6.</t>
        </r>
      </text>
    </comment>
    <comment ref="J184" authorId="0" shapeId="0" xr:uid="{00000000-0006-0000-3100-000069000000}">
      <text>
        <r>
          <rPr>
            <sz val="8"/>
            <color indexed="81"/>
            <rFont val="Tahoma"/>
            <family val="2"/>
          </rPr>
          <t>In this cell the GHG calculation includes CF4 and C2F6.</t>
        </r>
      </text>
    </comment>
    <comment ref="K184" authorId="0" shapeId="0" xr:uid="{00000000-0006-0000-3100-00006A000000}">
      <text>
        <r>
          <rPr>
            <sz val="8"/>
            <color indexed="81"/>
            <rFont val="Tahoma"/>
            <family val="2"/>
          </rPr>
          <t>In this cell the GHG calculation includes CF4 and C2F6.</t>
        </r>
      </text>
    </comment>
    <comment ref="L184" authorId="0" shapeId="0" xr:uid="{00000000-0006-0000-3100-00006B000000}">
      <text>
        <r>
          <rPr>
            <sz val="8"/>
            <color indexed="81"/>
            <rFont val="Tahoma"/>
            <family val="2"/>
          </rPr>
          <t>In this cell the GHG calculation includes CF4 and C2F6.</t>
        </r>
      </text>
    </comment>
    <comment ref="M184" authorId="0" shapeId="0" xr:uid="{00000000-0006-0000-3100-00006C000000}">
      <text>
        <r>
          <rPr>
            <sz val="8"/>
            <color indexed="81"/>
            <rFont val="Tahoma"/>
            <family val="2"/>
          </rPr>
          <t>In this cell the GHG calculation includes CF4 and C2F6.</t>
        </r>
      </text>
    </comment>
    <comment ref="N184" authorId="0" shapeId="0" xr:uid="{00000000-0006-0000-3100-00006D000000}">
      <text>
        <r>
          <rPr>
            <sz val="8"/>
            <color indexed="81"/>
            <rFont val="Tahoma"/>
            <family val="2"/>
          </rPr>
          <t>In this cell the GHG calculation includes CF4 and C2F6.</t>
        </r>
      </text>
    </comment>
    <comment ref="O184" authorId="0" shapeId="0" xr:uid="{00000000-0006-0000-3100-00006E000000}">
      <text>
        <r>
          <rPr>
            <sz val="8"/>
            <color indexed="81"/>
            <rFont val="Tahoma"/>
            <family val="2"/>
          </rPr>
          <t>In this cell the GHG calculation includes CF4 and C2F6.</t>
        </r>
      </text>
    </comment>
    <comment ref="P184" authorId="0" shapeId="0" xr:uid="{00000000-0006-0000-3100-00006F000000}">
      <text>
        <r>
          <rPr>
            <sz val="8"/>
            <color indexed="81"/>
            <rFont val="Tahoma"/>
            <family val="2"/>
          </rPr>
          <t>In this cell the GHG calculation includes CF4 and C2F6.</t>
        </r>
      </text>
    </comment>
    <comment ref="Q184" authorId="0" shapeId="0" xr:uid="{00000000-0006-0000-3100-000070000000}">
      <text>
        <r>
          <rPr>
            <sz val="8"/>
            <color indexed="81"/>
            <rFont val="Tahoma"/>
            <family val="2"/>
          </rPr>
          <t>In this cell the GHG calculation includes CF4 and C2F6.</t>
        </r>
      </text>
    </comment>
    <comment ref="R184" authorId="0" shapeId="0" xr:uid="{00000000-0006-0000-3100-000071000000}">
      <text>
        <r>
          <rPr>
            <sz val="8"/>
            <color indexed="81"/>
            <rFont val="Tahoma"/>
            <family val="2"/>
          </rPr>
          <t>In this cell the GHG calculation includes CF4 and C2F6.</t>
        </r>
      </text>
    </comment>
    <comment ref="S184" authorId="0" shapeId="0" xr:uid="{00000000-0006-0000-3100-000072000000}">
      <text>
        <r>
          <rPr>
            <sz val="8"/>
            <color indexed="81"/>
            <rFont val="Tahoma"/>
            <family val="2"/>
          </rPr>
          <t>In this cell the GHG calculation includes CF4 and C2F6.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6" authorId="0" shapeId="0" xr:uid="{00000000-0006-0000-3200-000001000000}">
      <text>
        <r>
          <rPr>
            <b/>
            <sz val="10"/>
            <color indexed="81"/>
            <rFont val="Calibri"/>
            <family val="2"/>
          </rPr>
          <t>Author:</t>
        </r>
        <r>
          <rPr>
            <sz val="10"/>
            <color indexed="81"/>
            <rFont val="Calibri"/>
            <family val="2"/>
          </rPr>
          <t xml:space="preserve">
100% hydro</t>
        </r>
      </text>
    </comment>
    <comment ref="C85" authorId="0" shapeId="0" xr:uid="{00000000-0006-0000-32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5" authorId="0" shapeId="0" xr:uid="{00000000-0006-0000-32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5" authorId="0" shapeId="0" xr:uid="{00000000-0006-0000-32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5" authorId="0" shapeId="0" xr:uid="{00000000-0006-0000-32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5" authorId="0" shapeId="0" xr:uid="{00000000-0006-0000-32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85" authorId="0" shapeId="0" xr:uid="{00000000-0006-0000-32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5" authorId="0" shapeId="0" xr:uid="{00000000-0006-0000-32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7" authorId="0" shapeId="0" xr:uid="{00000000-0006-0000-32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9" authorId="0" shapeId="0" xr:uid="{00000000-0006-0000-32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9" authorId="0" shapeId="0" xr:uid="{00000000-0006-0000-32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9" authorId="0" shapeId="0" xr:uid="{00000000-0006-0000-32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9" authorId="0" shapeId="0" xr:uid="{00000000-0006-0000-32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9" authorId="0" shapeId="0" xr:uid="{00000000-0006-0000-32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0" authorId="0" shapeId="0" xr:uid="{00000000-0006-0000-32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0" authorId="0" shapeId="0" xr:uid="{00000000-0006-0000-32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0" authorId="0" shapeId="0" xr:uid="{00000000-0006-0000-32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0" authorId="0" shapeId="0" xr:uid="{00000000-0006-0000-32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0" authorId="0" shapeId="0" xr:uid="{00000000-0006-0000-32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0" authorId="0" shapeId="0" xr:uid="{00000000-0006-0000-32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1" authorId="0" shapeId="0" xr:uid="{00000000-0006-0000-32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1" authorId="0" shapeId="0" xr:uid="{00000000-0006-0000-32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1" authorId="0" shapeId="0" xr:uid="{00000000-0006-0000-32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1" authorId="0" shapeId="0" xr:uid="{00000000-0006-0000-32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1" authorId="0" shapeId="0" xr:uid="{00000000-0006-0000-32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1" authorId="0" shapeId="0" xr:uid="{00000000-0006-0000-32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2" authorId="0" shapeId="0" xr:uid="{00000000-0006-0000-32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2" authorId="0" shapeId="0" xr:uid="{00000000-0006-0000-32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2" authorId="0" shapeId="0" xr:uid="{00000000-0006-0000-32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2" authorId="0" shapeId="0" xr:uid="{00000000-0006-0000-32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2" authorId="0" shapeId="0" xr:uid="{00000000-0006-0000-32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2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6" authorId="0" shapeId="0" xr:uid="{00000000-0006-0000-32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2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2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2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2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2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A136" authorId="0" shapeId="0" xr:uid="{00000000-0006-0000-3200-000027000000}">
      <text>
        <r>
          <rPr>
            <sz val="8"/>
            <color indexed="81"/>
            <rFont val="Tahoma"/>
            <family val="2"/>
          </rPr>
          <t>GHG calculations for aluminum include CF4 and C2F6.</t>
        </r>
      </text>
    </comment>
    <comment ref="B136" authorId="0" shapeId="0" xr:uid="{00000000-0006-0000-3200-000028000000}">
      <text>
        <r>
          <rPr>
            <sz val="8"/>
            <color indexed="81"/>
            <rFont val="Tahoma"/>
            <family val="2"/>
          </rPr>
          <t>In this cell the GHG calculation includes CF4 and C2F6.</t>
        </r>
      </text>
    </comment>
    <comment ref="C136" authorId="0" shapeId="0" xr:uid="{00000000-0006-0000-3200-000029000000}">
      <text>
        <r>
          <rPr>
            <sz val="8"/>
            <color indexed="81"/>
            <rFont val="Tahoma"/>
            <family val="2"/>
          </rPr>
          <t>In this cell the GHG calculation includes CF4 and C2F6.</t>
        </r>
      </text>
    </comment>
    <comment ref="D136" authorId="0" shapeId="0" xr:uid="{00000000-0006-0000-3200-00002A000000}">
      <text>
        <r>
          <rPr>
            <sz val="8"/>
            <color indexed="81"/>
            <rFont val="Tahoma"/>
            <family val="2"/>
          </rPr>
          <t>In this cell the GHG calculation includes CF4 and C2F6.</t>
        </r>
      </text>
    </comment>
    <comment ref="E136" authorId="0" shapeId="0" xr:uid="{00000000-0006-0000-3200-00002B000000}">
      <text>
        <r>
          <rPr>
            <sz val="8"/>
            <color indexed="81"/>
            <rFont val="Tahoma"/>
            <family val="2"/>
          </rPr>
          <t>In this cell the GHG calculation includes CF4 and C2F6.</t>
        </r>
      </text>
    </comment>
    <comment ref="F136" authorId="0" shapeId="0" xr:uid="{00000000-0006-0000-3200-00002C000000}">
      <text>
        <r>
          <rPr>
            <sz val="8"/>
            <color indexed="81"/>
            <rFont val="Tahoma"/>
            <family val="2"/>
          </rPr>
          <t>In this cell the GHG calculation includes CF4 and C2F6.</t>
        </r>
      </text>
    </comment>
    <comment ref="G136" authorId="0" shapeId="0" xr:uid="{00000000-0006-0000-3200-00002D000000}">
      <text>
        <r>
          <rPr>
            <sz val="8"/>
            <color indexed="81"/>
            <rFont val="Tahoma"/>
            <family val="2"/>
          </rPr>
          <t>In this cell the GHG calculation includes CF4 and C2F6.</t>
        </r>
      </text>
    </comment>
    <comment ref="H136" authorId="0" shapeId="0" xr:uid="{00000000-0006-0000-3200-00002E000000}">
      <text>
        <r>
          <rPr>
            <sz val="8"/>
            <color indexed="81"/>
            <rFont val="Tahoma"/>
            <family val="2"/>
          </rPr>
          <t>In this cell the GHG calculation includes CF4 and C2F6.</t>
        </r>
      </text>
    </comment>
    <comment ref="I136" authorId="0" shapeId="0" xr:uid="{00000000-0006-0000-3200-00002F000000}">
      <text>
        <r>
          <rPr>
            <sz val="8"/>
            <color indexed="81"/>
            <rFont val="Tahoma"/>
            <family val="2"/>
          </rPr>
          <t>In this cell the GHG calculation includes CF4 and C2F6.</t>
        </r>
      </text>
    </comment>
    <comment ref="J136" authorId="0" shapeId="0" xr:uid="{00000000-0006-0000-3200-000030000000}">
      <text>
        <r>
          <rPr>
            <sz val="8"/>
            <color indexed="81"/>
            <rFont val="Tahoma"/>
            <family val="2"/>
          </rPr>
          <t>In this cell the GHG calculation includes CF4 and C2F6.</t>
        </r>
      </text>
    </comment>
    <comment ref="A172" authorId="0" shapeId="0" xr:uid="{00000000-0006-0000-3200-000031000000}">
      <text>
        <r>
          <rPr>
            <sz val="8"/>
            <color indexed="81"/>
            <rFont val="Tahoma"/>
            <family val="2"/>
          </rPr>
          <t>GHG calculations for aluminum include CF4 and C2F6.</t>
        </r>
      </text>
    </comment>
    <comment ref="B172" authorId="0" shapeId="0" xr:uid="{00000000-0006-0000-3200-000032000000}">
      <text>
        <r>
          <rPr>
            <sz val="8"/>
            <color indexed="81"/>
            <rFont val="Tahoma"/>
            <family val="2"/>
          </rPr>
          <t>In this cell the GHG calculation includes CF4 and C2F6.</t>
        </r>
      </text>
    </comment>
    <comment ref="C172" authorId="0" shapeId="0" xr:uid="{00000000-0006-0000-3200-000033000000}">
      <text>
        <r>
          <rPr>
            <sz val="8"/>
            <color indexed="81"/>
            <rFont val="Tahoma"/>
            <family val="2"/>
          </rPr>
          <t>In this cell the GHG calculation includes CF4 and C2F6.</t>
        </r>
      </text>
    </comment>
    <comment ref="D172" authorId="0" shapeId="0" xr:uid="{00000000-0006-0000-3200-000034000000}">
      <text>
        <r>
          <rPr>
            <sz val="8"/>
            <color indexed="81"/>
            <rFont val="Tahoma"/>
            <family val="2"/>
          </rPr>
          <t>In this cell the GHG calculation includes CF4 and C2F6.</t>
        </r>
      </text>
    </comment>
    <comment ref="E172" authorId="0" shapeId="0" xr:uid="{00000000-0006-0000-3200-000035000000}">
      <text>
        <r>
          <rPr>
            <sz val="8"/>
            <color indexed="81"/>
            <rFont val="Tahoma"/>
            <family val="2"/>
          </rPr>
          <t>In this cell the GHG calculation includes CF4 and C2F6.</t>
        </r>
      </text>
    </comment>
    <comment ref="F172" authorId="0" shapeId="0" xr:uid="{00000000-0006-0000-3200-000036000000}">
      <text>
        <r>
          <rPr>
            <sz val="8"/>
            <color indexed="81"/>
            <rFont val="Tahoma"/>
            <family val="2"/>
          </rPr>
          <t>In this cell the GHG calculation includes CF4 and C2F6.</t>
        </r>
      </text>
    </comment>
    <comment ref="G172" authorId="0" shapeId="0" xr:uid="{00000000-0006-0000-3200-000037000000}">
      <text>
        <r>
          <rPr>
            <sz val="8"/>
            <color indexed="81"/>
            <rFont val="Tahoma"/>
            <family val="2"/>
          </rPr>
          <t>In this cell the GHG calculation includes CF4 and C2F6.</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2" authorId="0" shapeId="0" xr:uid="{00000000-0006-0000-3300-000001000000}">
      <text>
        <r>
          <rPr>
            <sz val="8"/>
            <color indexed="81"/>
            <rFont val="Tahoma"/>
            <family val="2"/>
          </rPr>
          <t>Data from "Life Cycle Material Data Update for GREET Model" Keoleian et al. 2012
Appendix</t>
        </r>
      </text>
    </comment>
    <comment ref="E44" authorId="0" shapeId="0" xr:uid="{00000000-0006-0000-3300-000002000000}">
      <text>
        <r>
          <rPr>
            <sz val="8"/>
            <color indexed="81"/>
            <rFont val="Tahoma"/>
            <family val="2"/>
          </rPr>
          <t>Data from "Life Cycle Material Data Update for GREET Model" Keoleian et al. 2012
Appendix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53" authorId="0" shapeId="0" xr:uid="{00000000-0006-0000-1100-000001000000}">
      <text>
        <r>
          <rPr>
            <b/>
            <sz val="9"/>
            <color indexed="81"/>
            <rFont val="Tahoma"/>
            <family val="2"/>
          </rPr>
          <t>Author:</t>
        </r>
        <r>
          <rPr>
            <sz val="9"/>
            <color indexed="81"/>
            <rFont val="Tahoma"/>
            <family val="2"/>
          </rPr>
          <t xml:space="preserve">
Dedicated renewable energy production (given the size of the demand, due to losses)</t>
        </r>
      </text>
    </comment>
    <comment ref="G53" authorId="0" shapeId="0" xr:uid="{00000000-0006-0000-1100-000002000000}">
      <text>
        <r>
          <rPr>
            <b/>
            <sz val="9"/>
            <color indexed="81"/>
            <rFont val="Tahoma"/>
            <family val="2"/>
          </rPr>
          <t>Author:</t>
        </r>
        <r>
          <rPr>
            <sz val="9"/>
            <color indexed="81"/>
            <rFont val="Tahoma"/>
            <family val="2"/>
          </rPr>
          <t xml:space="preserve">
Inconsistent with CO2, since CO2 accounts for dedicated renewable energy production.</t>
        </r>
      </text>
    </comment>
    <comment ref="H53" authorId="0" shapeId="0" xr:uid="{00000000-0006-0000-1100-000003000000}">
      <text>
        <r>
          <rPr>
            <b/>
            <sz val="9"/>
            <color indexed="81"/>
            <rFont val="Tahoma"/>
            <family val="2"/>
          </rPr>
          <t>Author:</t>
        </r>
        <r>
          <rPr>
            <sz val="9"/>
            <color indexed="81"/>
            <rFont val="Tahoma"/>
            <family val="2"/>
          </rPr>
          <t xml:space="preserve">
Inconsistent with CO2, since CO2 accounts for dedicated renewable energy production.</t>
        </r>
      </text>
    </comment>
    <comment ref="I53" authorId="0" shapeId="0" xr:uid="{00000000-0006-0000-1100-000004000000}">
      <text>
        <r>
          <rPr>
            <b/>
            <sz val="9"/>
            <color indexed="81"/>
            <rFont val="Tahoma"/>
            <family val="2"/>
          </rPr>
          <t>Author:</t>
        </r>
        <r>
          <rPr>
            <sz val="9"/>
            <color indexed="81"/>
            <rFont val="Tahoma"/>
            <family val="2"/>
          </rPr>
          <t xml:space="preserve">
Inconsistent with CO2, since CO2 accounts for dedicated renewable energy production.</t>
        </r>
      </text>
    </comment>
    <comment ref="D58" authorId="0" shapeId="0" xr:uid="{00000000-0006-0000-1100-000005000000}">
      <text>
        <r>
          <rPr>
            <b/>
            <sz val="9"/>
            <color indexed="81"/>
            <rFont val="Tahoma"/>
            <family val="2"/>
          </rPr>
          <t>Author:</t>
        </r>
        <r>
          <rPr>
            <sz val="9"/>
            <color indexed="81"/>
            <rFont val="Tahoma"/>
            <family val="2"/>
          </rPr>
          <t xml:space="preserve">
Natural gas upstream for steam methane reforming.
Primary energy to electricity for electrolysis.</t>
        </r>
      </text>
    </comment>
    <comment ref="F58" authorId="0" shapeId="0" xr:uid="{00000000-0006-0000-1100-000006000000}">
      <text>
        <r>
          <rPr>
            <b/>
            <sz val="9"/>
            <color indexed="81"/>
            <rFont val="Tahoma"/>
            <family val="2"/>
          </rPr>
          <t>Author:</t>
        </r>
        <r>
          <rPr>
            <sz val="9"/>
            <color indexed="81"/>
            <rFont val="Tahoma"/>
            <family val="2"/>
          </rPr>
          <t xml:space="preserve">
Natural gas to hydrogen for steam methane reforming.
Electricity to hydrogen for electrolysis.</t>
        </r>
      </text>
    </comment>
    <comment ref="F67" authorId="0" shapeId="0" xr:uid="{00000000-0006-0000-1100-000007000000}">
      <text>
        <r>
          <rPr>
            <b/>
            <sz val="9"/>
            <color indexed="81"/>
            <rFont val="Tahoma"/>
            <family val="2"/>
          </rPr>
          <t>Author:</t>
        </r>
        <r>
          <rPr>
            <sz val="9"/>
            <color indexed="81"/>
            <rFont val="Tahoma"/>
            <family val="2"/>
          </rPr>
          <t xml:space="preserve">
Inconsistent with CO2, since CO2 accounts for dedicated renewable energy production.</t>
        </r>
      </text>
    </comment>
    <comment ref="G67" authorId="0" shapeId="0" xr:uid="{00000000-0006-0000-1100-000008000000}">
      <text>
        <r>
          <rPr>
            <b/>
            <sz val="9"/>
            <color indexed="81"/>
            <rFont val="Tahoma"/>
            <family val="2"/>
          </rPr>
          <t>Author:</t>
        </r>
        <r>
          <rPr>
            <sz val="9"/>
            <color indexed="81"/>
            <rFont val="Tahoma"/>
            <family val="2"/>
          </rPr>
          <t xml:space="preserve">
Inconsistent with CO2, since CO2 accounts for dedicated renewable energy production.</t>
        </r>
      </text>
    </comment>
    <comment ref="S67" authorId="0" shapeId="0" xr:uid="{00000000-0006-0000-1100-000009000000}">
      <text>
        <r>
          <rPr>
            <b/>
            <sz val="9"/>
            <color indexed="81"/>
            <rFont val="Tahoma"/>
            <family val="2"/>
          </rPr>
          <t>Author:</t>
        </r>
        <r>
          <rPr>
            <sz val="9"/>
            <color indexed="81"/>
            <rFont val="Tahoma"/>
            <family val="2"/>
          </rPr>
          <t xml:space="preserve">
Dedicated renewable energy production (given the size of the demand, due to losses)</t>
        </r>
      </text>
    </comment>
    <comment ref="T67" authorId="0" shapeId="0" xr:uid="{00000000-0006-0000-1100-00000A000000}">
      <text>
        <r>
          <rPr>
            <b/>
            <sz val="9"/>
            <color indexed="81"/>
            <rFont val="Tahoma"/>
            <family val="2"/>
          </rPr>
          <t>Author:</t>
        </r>
        <r>
          <rPr>
            <sz val="9"/>
            <color indexed="81"/>
            <rFont val="Tahoma"/>
            <family val="2"/>
          </rPr>
          <t xml:space="preserve">
Dedicated renewable energy production (given the size of the demand, due to losses)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3" authorId="0" shapeId="0" xr:uid="{00000000-0006-0000-3400-000001000000}">
      <text>
        <r>
          <rPr>
            <sz val="9"/>
            <color indexed="81"/>
            <rFont val="Tahoma"/>
            <family val="2"/>
          </rPr>
          <t xml:space="preserve">Title: Life Cycle Assessment Update of Glass and Glass Fiber for GREET
Publication Date: September 2015
Authors: Q. Dai, J.C. Kelly, J. Sullivan, and A. Elgowainy
</t>
        </r>
      </text>
    </comment>
    <comment ref="R33" authorId="0" shapeId="0" xr:uid="{00000000-0006-0000-3400-000002000000}">
      <text>
        <r>
          <rPr>
            <sz val="9"/>
            <color indexed="81"/>
            <rFont val="Tahoma"/>
            <family val="2"/>
          </rPr>
          <t xml:space="preserve">Title: Life Cycle Assessment Update of Glass and Glass Fiber for GREET
Publication Date: September 2015
Authors: Q. Dai, J.C. Kelly, J. Sullivan, and A. Elgowainy
</t>
        </r>
      </text>
    </comment>
    <comment ref="D34" authorId="0" shapeId="0" xr:uid="{00000000-0006-0000-3400-000003000000}">
      <text>
        <r>
          <rPr>
            <sz val="9"/>
            <color indexed="81"/>
            <rFont val="Tahoma"/>
            <family val="2"/>
          </rPr>
          <t xml:space="preserve">Title: Life Cycle Assessment Update of Glass and Glass Fiber for GREET
Publication Date: September 2015
Authors: Q. Dai, J.C. Kelly, J. Sullivan, and A. Elgowainy
</t>
        </r>
      </text>
    </comment>
    <comment ref="R34" authorId="0" shapeId="0" xr:uid="{00000000-0006-0000-3400-000004000000}">
      <text>
        <r>
          <rPr>
            <sz val="9"/>
            <color indexed="81"/>
            <rFont val="Tahoma"/>
            <family val="2"/>
          </rPr>
          <t xml:space="preserve">Title: Life Cycle Assessment Update of Glass and Glass Fiber for GREET
Publication Date: September 2015
Authors: Q. Dai, J.C. Kelly, J. Sullivan, and A. Elgowainy
</t>
        </r>
      </text>
    </comment>
    <comment ref="D35" authorId="0" shapeId="0" xr:uid="{00000000-0006-0000-3400-000005000000}">
      <text>
        <r>
          <rPr>
            <sz val="9"/>
            <color indexed="81"/>
            <rFont val="Tahoma"/>
            <family val="2"/>
          </rPr>
          <t xml:space="preserve">Title: Life Cycle Assessment Update of Glass and Glass Fiber for GREET
Publication Date: September 2015
Authors: Q. Dai, J.C. Kelly, J. Sullivan, and A. Elgowainy
</t>
        </r>
      </text>
    </comment>
    <comment ref="D36" authorId="0" shapeId="0" xr:uid="{00000000-0006-0000-3400-000006000000}">
      <text>
        <r>
          <rPr>
            <sz val="9"/>
            <color indexed="81"/>
            <rFont val="Tahoma"/>
            <family val="2"/>
          </rPr>
          <t xml:space="preserve">Title: Life Cycle Assessment Update of Glass and Glass Fiber for GREET
Publication Date: September 2015
Authors: Q. Dai, J.C. Kelly, J. Sullivan, and A. Elgowainy
</t>
        </r>
      </text>
    </comment>
    <comment ref="R37" authorId="0" shapeId="0" xr:uid="{00000000-0006-0000-3400-000007000000}">
      <text>
        <r>
          <rPr>
            <sz val="9"/>
            <color indexed="81"/>
            <rFont val="Tahoma"/>
            <family val="2"/>
          </rPr>
          <t xml:space="preserve">Title: Life Cycle Assessment Update of Glass and Glass Fiber for GREET
Publication Date: September 2015
Authors: Q. Dai, J.C. Kelly, J. Sullivan, and A. Elgowainy
</t>
        </r>
      </text>
    </comment>
    <comment ref="R38" authorId="0" shapeId="0" xr:uid="{00000000-0006-0000-3400-000008000000}">
      <text>
        <r>
          <rPr>
            <sz val="9"/>
            <color indexed="81"/>
            <rFont val="Tahoma"/>
            <family val="2"/>
          </rPr>
          <t xml:space="preserve">Title: Life Cycle Assessment Update of Glass and Glass Fiber for GREET
Publication Date: September 2015
Authors: Q. Dai, J.C. Kelly, J. Sullivan, and A. Elgowainy
</t>
        </r>
      </text>
    </comment>
    <comment ref="E44" authorId="0" shapeId="0" xr:uid="{00000000-0006-0000-3400-000009000000}">
      <text>
        <r>
          <rPr>
            <sz val="9"/>
            <color indexed="81"/>
            <rFont val="Tahoma"/>
            <family val="2"/>
          </rPr>
          <t xml:space="preserve">Title: Life Cycle Assessment Update of Glass and Glass Fiber for GREET
Publication Date: September 2015
Authors: Q. Dai, J.C. Kelly, J. Sullivan, and A. Elgowainy
</t>
        </r>
      </text>
    </comment>
    <comment ref="K44" authorId="0" shapeId="0" xr:uid="{00000000-0006-0000-3400-00000A000000}">
      <text>
        <r>
          <rPr>
            <sz val="9"/>
            <color indexed="81"/>
            <rFont val="Tahoma"/>
            <family val="2"/>
          </rPr>
          <t xml:space="preserve">Title: Life Cycle Assessment Update of Glass and Glass Fiber for GREET
Publication Date: September 2015
Authors: Q. Dai, J.C. Kelly, J. Sullivan, and A. Elgowainy
</t>
        </r>
      </text>
    </comment>
    <comment ref="Q44" authorId="0" shapeId="0" xr:uid="{00000000-0006-0000-3400-00000B000000}">
      <text>
        <r>
          <rPr>
            <sz val="9"/>
            <color indexed="81"/>
            <rFont val="Tahoma"/>
            <family val="2"/>
          </rPr>
          <t xml:space="preserve">Title: Life Cycle Assessment Update of Glass and Glass Fiber for GREET
Publication Date: September 2015
Authors: Q. Dai, J.C. Kelly, J. Sullivan, and A. Elgowainy
</t>
        </r>
      </text>
    </comment>
    <comment ref="S44" authorId="0" shapeId="0" xr:uid="{00000000-0006-0000-3400-00000C000000}">
      <text>
        <r>
          <rPr>
            <sz val="9"/>
            <color indexed="81"/>
            <rFont val="Tahoma"/>
            <family val="2"/>
          </rPr>
          <t xml:space="preserve">Title: Life Cycle Assessment Update of Glass and Glass Fiber for GREET
Publication Date: September 2015
Authors: Q. Dai, J.C. Kelly, J. Sullivan, and A. Elgowainy
</t>
        </r>
      </text>
    </comment>
    <comment ref="W44" authorId="0" shapeId="0" xr:uid="{00000000-0006-0000-3400-00000D000000}">
      <text>
        <r>
          <rPr>
            <sz val="9"/>
            <color indexed="81"/>
            <rFont val="Tahoma"/>
            <family val="2"/>
          </rPr>
          <t xml:space="preserve">Title: Life Cycle Assessment Update of Glass and Glass Fiber for GREET
Publication Date: September 2015
Authors: Q. Dai, J.C. Kelly, J. Sullivan, and A. Elgowainy
</t>
        </r>
      </text>
    </comment>
    <comment ref="G48" authorId="0" shapeId="0" xr:uid="{00000000-0006-0000-3400-00000E000000}">
      <text>
        <r>
          <rPr>
            <sz val="9"/>
            <color indexed="81"/>
            <rFont val="Tahoma"/>
            <family val="2"/>
          </rPr>
          <t xml:space="preserve">Title: Life Cycle Assessment Update of Glass and Glass Fiber for GREET
Publication Date: September 2015
Authors: Q. Dai, J.C. Kelly, J. Sullivan, and A. Elgowainy
</t>
        </r>
      </text>
    </comment>
    <comment ref="U48" authorId="0" shapeId="0" xr:uid="{00000000-0006-0000-3400-00000F000000}">
      <text>
        <r>
          <rPr>
            <sz val="9"/>
            <color indexed="81"/>
            <rFont val="Tahoma"/>
            <family val="2"/>
          </rPr>
          <t xml:space="preserve">Title: Life Cycle Assessment Update of Glass and Glass Fiber for GREET
Publication Date: September 2015
Authors: Q. Dai, J.C. Kelly, J. Sullivan, and A. Elgowainy
</t>
        </r>
      </text>
    </comment>
    <comment ref="U49" authorId="0" shapeId="0" xr:uid="{00000000-0006-0000-3400-000010000000}">
      <text>
        <r>
          <rPr>
            <sz val="9"/>
            <color indexed="81"/>
            <rFont val="Tahoma"/>
            <family val="2"/>
          </rPr>
          <t xml:space="preserve">Title: Life Cycle Assessment Update of Glass and Glass Fiber for GREET
Publication Date: September 2015
Authors: Q. Dai, J.C. Kelly, J. Sullivan, and A. Elgowainy
</t>
        </r>
      </text>
    </comment>
    <comment ref="U50" authorId="0" shapeId="0" xr:uid="{00000000-0006-0000-3400-000011000000}">
      <text>
        <r>
          <rPr>
            <sz val="9"/>
            <color indexed="81"/>
            <rFont val="Tahoma"/>
            <family val="2"/>
          </rPr>
          <t xml:space="preserve">Title: Life Cycle Assessment Update of Glass and Glass Fiber for GREET
Publication Date: September 2015
Authors: Q. Dai, J.C. Kelly, J. Sullivan, and A. Elgowainy
</t>
        </r>
      </text>
    </comment>
    <comment ref="G51" authorId="0" shapeId="0" xr:uid="{00000000-0006-0000-3400-000012000000}">
      <text>
        <r>
          <rPr>
            <sz val="9"/>
            <color indexed="81"/>
            <rFont val="Tahoma"/>
            <family val="2"/>
          </rPr>
          <t xml:space="preserve">Title: Life Cycle Assessment Update of Glass and Glass Fiber for GREET
Publication Date: September 2015
Authors: Q. Dai, J.C. Kelly, J. Sullivan, and A. Elgowainy
</t>
        </r>
      </text>
    </comment>
    <comment ref="U51" authorId="0" shapeId="0" xr:uid="{00000000-0006-0000-3400-000013000000}">
      <text>
        <r>
          <rPr>
            <sz val="9"/>
            <color indexed="81"/>
            <rFont val="Tahoma"/>
            <family val="2"/>
          </rPr>
          <t xml:space="preserve">Title: Life Cycle Assessment Update of Glass and Glass Fiber for GREET
Publication Date: September 2015
Authors: Q. Dai, J.C. Kelly, J. Sullivan, and A. Elgowainy
</t>
        </r>
      </text>
    </comment>
    <comment ref="G56" authorId="0" shapeId="0" xr:uid="{00000000-0006-0000-3400-000014000000}">
      <text>
        <r>
          <rPr>
            <sz val="9"/>
            <color indexed="81"/>
            <rFont val="Tahoma"/>
            <family val="2"/>
          </rPr>
          <t xml:space="preserve">Title: Life Cycle Assessment Update of Glass and Glass Fiber for GREET
Publication Date: September 2015
Authors: Q. Dai, J.C. Kelly, J. Sullivan, and A. Elgowainy
</t>
        </r>
      </text>
    </comment>
    <comment ref="U56" authorId="0" shapeId="0" xr:uid="{00000000-0006-0000-3400-000015000000}">
      <text>
        <r>
          <rPr>
            <sz val="9"/>
            <color indexed="81"/>
            <rFont val="Tahoma"/>
            <family val="2"/>
          </rPr>
          <t xml:space="preserve">Title: Life Cycle Assessment Update of Glass and Glass Fiber for GREET
Publication Date: September 2015
Authors: Q. Dai, J.C. Kelly, J. Sullivan, and A. Elgowainy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00000000-0006-0000-3500-000001000000}">
      <text>
        <r>
          <rPr>
            <sz val="8"/>
            <color indexed="81"/>
            <rFont val="Tahoma"/>
            <family val="2"/>
          </rPr>
          <t>Data from "Life Cycle Material Data Update for GREET Model" Keoleian et al. 2011
Value in Appendix p. 50 is for Crude Oil but Residual Oil is assumed to be process fuel</t>
        </r>
      </text>
    </comment>
    <comment ref="R48" authorId="0" shapeId="0" xr:uid="{00000000-0006-0000-3500-000002000000}">
      <text>
        <r>
          <rPr>
            <sz val="8"/>
            <color indexed="81"/>
            <rFont val="Tahoma"/>
            <family val="2"/>
          </rPr>
          <t>Data from "Life Cycle Material Data Update for GREET Model" Keoleian et al. 2011
Value in Appendix p. 68 is for Crude Oil but Residual Oil is assumed to be process fuel</t>
        </r>
      </text>
    </comment>
    <comment ref="T48" authorId="0" shapeId="0" xr:uid="{00000000-0006-0000-3500-000003000000}">
      <text>
        <r>
          <rPr>
            <sz val="8"/>
            <color indexed="81"/>
            <rFont val="Tahoma"/>
            <family val="2"/>
          </rPr>
          <t>Data from "Life Cycle Material Data Update for GREET Model" Keoleian et al. 2011
Value in Appendix p. 71 is for Crude Oil but Residual Oil is assumed to be process fuel</t>
        </r>
      </text>
    </comment>
    <comment ref="AB48" authorId="0" shapeId="0" xr:uid="{00000000-0006-0000-3500-000004000000}">
      <text>
        <r>
          <rPr>
            <sz val="8"/>
            <color indexed="81"/>
            <rFont val="Tahoma"/>
            <family val="2"/>
          </rPr>
          <t>Data from "Life Cycle Material Data Update for GREET Model" Keoleian et al. 2011
Value in Appendix p. 83 is the sum of Crude Oil  and Residual Oil as Residual Oil is assumed to be process fuel</t>
        </r>
      </text>
    </comment>
    <comment ref="AD48" authorId="0" shapeId="0" xr:uid="{00000000-0006-0000-3500-000005000000}">
      <text>
        <r>
          <rPr>
            <sz val="8"/>
            <color indexed="81"/>
            <rFont val="Tahoma"/>
            <family val="2"/>
          </rPr>
          <t>Data from "Life Cycle Material Data Update for GREET Model" Keoleian et al. 2011
Value in Appendix p. 86 is the sum of Crude Oil  and Residual Oil as Residual Oil is assumed to be process fuel</t>
        </r>
      </text>
    </comment>
    <comment ref="B49" authorId="0" shapeId="0" xr:uid="{00000000-0006-0000-3500-000006000000}">
      <text>
        <r>
          <rPr>
            <sz val="8"/>
            <color indexed="81"/>
            <rFont val="Tahoma"/>
            <family val="2"/>
          </rPr>
          <t>Data from "Life Cycle Material Data Update for GREET Model" Keoleian et al. 2011
Value is the sum of Diesel  and Distillate Oil as diesel is used represent these process fuels</t>
        </r>
      </text>
    </comment>
    <comment ref="D49" authorId="0" shapeId="0" xr:uid="{00000000-0006-0000-3500-000007000000}">
      <text>
        <r>
          <rPr>
            <sz val="8"/>
            <color indexed="81"/>
            <rFont val="Tahoma"/>
            <family val="2"/>
          </rPr>
          <t>Data from "Life Cycle Material Data Update for GREET Model" Keoleian et al. 2011
Value is the sum of Diesel  and Distillate Oil as diesel is used represent these process fuels</t>
        </r>
      </text>
    </comment>
    <comment ref="H49" authorId="0" shapeId="0" xr:uid="{00000000-0006-0000-3500-000008000000}">
      <text>
        <r>
          <rPr>
            <sz val="8"/>
            <color indexed="81"/>
            <rFont val="Tahoma"/>
            <family val="2"/>
          </rPr>
          <t>Data from "Life Cycle Material Data Update for GREET Model" Keoleian et al. 2011
Value is the sum of Diesel  and Distillate Oil as diesel is used represent these process fuels</t>
        </r>
      </text>
    </comment>
    <comment ref="J49" authorId="0" shapeId="0" xr:uid="{00000000-0006-0000-3500-000009000000}">
      <text>
        <r>
          <rPr>
            <sz val="8"/>
            <color indexed="81"/>
            <rFont val="Tahoma"/>
            <family val="2"/>
          </rPr>
          <t>Data from "Life Cycle Material Data Update for GREET Model" Keoleian et al. 2011
Value is the sum of Diesel  and Distillate Oil as diesel is used represent these process fuels</t>
        </r>
      </text>
    </comment>
    <comment ref="L49" authorId="0" shapeId="0" xr:uid="{00000000-0006-0000-3500-00000A000000}">
      <text>
        <r>
          <rPr>
            <sz val="8"/>
            <color indexed="81"/>
            <rFont val="Tahoma"/>
            <family val="2"/>
          </rPr>
          <t>Data from "Life Cycle Material Data Update for GREET Model" Keoleian et al. 2011
Value is the sum of Diesel  and Distillate Oil as diesel is used represent these process fuels</t>
        </r>
      </text>
    </comment>
    <comment ref="N49" authorId="0" shapeId="0" xr:uid="{00000000-0006-0000-3500-00000B000000}">
      <text>
        <r>
          <rPr>
            <sz val="8"/>
            <color indexed="81"/>
            <rFont val="Tahoma"/>
            <family val="2"/>
          </rPr>
          <t>Data from "Life Cycle Material Data Update for GREET Model" Keoleian et al. 2011
Value is the sum of Diesel  and Distillate Oil as diesel is used represent these process fuels</t>
        </r>
      </text>
    </comment>
    <comment ref="P49" authorId="0" shapeId="0" xr:uid="{00000000-0006-0000-3500-00000C000000}">
      <text>
        <r>
          <rPr>
            <sz val="8"/>
            <color indexed="81"/>
            <rFont val="Tahoma"/>
            <family val="2"/>
          </rPr>
          <t>Data from "Life Cycle Material Data Update for GREET Model" Keoleian et al. 2011
Value is the sum of Diesel  and Distillate Oil as diesel is used represent these process fuels</t>
        </r>
      </text>
    </comment>
    <comment ref="X49" authorId="0" shapeId="0" xr:uid="{00000000-0006-0000-3500-00000D000000}">
      <text>
        <r>
          <rPr>
            <sz val="8"/>
            <color indexed="81"/>
            <rFont val="Tahoma"/>
            <family val="2"/>
          </rPr>
          <t>Data from "Life Cycle Material Data Update for GREET Model" Keoleian et al. 2011
Value is the sum of Diesel  and Distillate Oil as diesel is used represent these process fuels</t>
        </r>
      </text>
    </comment>
    <comment ref="Z49" authorId="0" shapeId="0" xr:uid="{00000000-0006-0000-3500-00000E000000}">
      <text>
        <r>
          <rPr>
            <sz val="8"/>
            <color indexed="81"/>
            <rFont val="Tahoma"/>
            <family val="2"/>
          </rPr>
          <t>Data from "Life Cycle Material Data Update for GREET Model" Keoleian et al. 2011
Value is the sum of Diesel  and Distillate Oil as diesel is used represent these process fuels</t>
        </r>
      </text>
    </comment>
    <comment ref="AB49" authorId="0" shapeId="0" xr:uid="{00000000-0006-0000-3500-00000F000000}">
      <text>
        <r>
          <rPr>
            <sz val="8"/>
            <color indexed="81"/>
            <rFont val="Tahoma"/>
            <family val="2"/>
          </rPr>
          <t>Data from "Life Cycle Material Data Update for GREET Model" Keoleian et al. 2011
Value is the sum of Diesel  and Distillate Oil as diesel is used represent these process fuels</t>
        </r>
      </text>
    </comment>
    <comment ref="AD49" authorId="0" shapeId="0" xr:uid="{00000000-0006-0000-3500-000010000000}">
      <text>
        <r>
          <rPr>
            <sz val="8"/>
            <color indexed="81"/>
            <rFont val="Tahoma"/>
            <family val="2"/>
          </rPr>
          <t>Data from "Life Cycle Material Data Update for GREET Model" Keoleian et al. 2011
Value is the sum of Diesel  and Distillate Oil as diesel is used represent these process fuels</t>
        </r>
      </text>
    </comment>
    <comment ref="AF49" authorId="0" shapeId="0" xr:uid="{00000000-0006-0000-3500-000011000000}">
      <text>
        <r>
          <rPr>
            <sz val="8"/>
            <color indexed="81"/>
            <rFont val="Tahoma"/>
            <family val="2"/>
          </rPr>
          <t>Data from "Life Cycle Material Data Update for GREET Model" Keoleian et al. 2011
Value is the sum of Diesel  and Distillate Oil as diesel is used represent these process fuels</t>
        </r>
      </text>
    </comment>
    <comment ref="C72" authorId="0" shapeId="0" xr:uid="{00000000-0006-0000-3500-000012000000}">
      <text>
        <r>
          <rPr>
            <sz val="8"/>
            <color indexed="81"/>
            <rFont val="Tahoma"/>
            <family val="2"/>
          </rPr>
          <t>Data from "Life Cycle Material Data Update for GREET Model" Keoleian et al. 2011
Appendix p. 44</t>
        </r>
      </text>
    </comment>
    <comment ref="E72" authorId="0" shapeId="0" xr:uid="{00000000-0006-0000-3500-000013000000}">
      <text>
        <r>
          <rPr>
            <sz val="8"/>
            <color indexed="81"/>
            <rFont val="Tahoma"/>
            <family val="2"/>
          </rPr>
          <t>Data from "Life Cycle Material Data Update for GREET Model" Keoleian et al. 2011
Appendix p. 47</t>
        </r>
      </text>
    </comment>
    <comment ref="G72" authorId="0" shapeId="0" xr:uid="{00000000-0006-0000-3500-000014000000}">
      <text>
        <r>
          <rPr>
            <sz val="8"/>
            <color indexed="81"/>
            <rFont val="Tahoma"/>
            <family val="2"/>
          </rPr>
          <t>Data from "Life Cycle Material Data Update for GREET Model" Keoleian et al. 2011
Appendix p. 50</t>
        </r>
      </text>
    </comment>
    <comment ref="I72" authorId="0" shapeId="0" xr:uid="{00000000-0006-0000-3500-000015000000}">
      <text>
        <r>
          <rPr>
            <sz val="8"/>
            <color indexed="81"/>
            <rFont val="Tahoma"/>
            <family val="2"/>
          </rPr>
          <t>Data from "Life Cycle Material Data Update for GREET Model" Keoleian et al. 2011
Appendix p. 53</t>
        </r>
      </text>
    </comment>
    <comment ref="K72" authorId="0" shapeId="0" xr:uid="{00000000-0006-0000-3500-000016000000}">
      <text>
        <r>
          <rPr>
            <sz val="8"/>
            <color indexed="81"/>
            <rFont val="Tahoma"/>
            <family val="2"/>
          </rPr>
          <t>Data from "Life Cycle Material Data Update for GREET Model" Keoleian et al. 2011
Appendix p. 56</t>
        </r>
      </text>
    </comment>
    <comment ref="M72" authorId="0" shapeId="0" xr:uid="{00000000-0006-0000-3500-000017000000}">
      <text>
        <r>
          <rPr>
            <sz val="8"/>
            <color indexed="81"/>
            <rFont val="Tahoma"/>
            <family val="2"/>
          </rPr>
          <t>Data from "Life Cycle Material Data Update for GREET Model" Keoleian et al. 2011
There was a typo in Appendix p. 59, the correct value is 662.245</t>
        </r>
      </text>
    </comment>
    <comment ref="O72" authorId="0" shapeId="0" xr:uid="{00000000-0006-0000-3500-000018000000}">
      <text>
        <r>
          <rPr>
            <sz val="8"/>
            <color indexed="81"/>
            <rFont val="Tahoma"/>
            <family val="2"/>
          </rPr>
          <t>Data from "Life Cycle Material Data Update for GREET Model" Keoleian et al. 2011
Appendix p. 62</t>
        </r>
      </text>
    </comment>
    <comment ref="Q72" authorId="0" shapeId="0" xr:uid="{00000000-0006-0000-3500-000019000000}">
      <text>
        <r>
          <rPr>
            <sz val="8"/>
            <color indexed="81"/>
            <rFont val="Tahoma"/>
            <family val="2"/>
          </rPr>
          <t>Data from "Life Cycle Material Data Update for GREET Model" Keoleian et al. 2011
Appendix p. 65</t>
        </r>
      </text>
    </comment>
    <comment ref="S72" authorId="0" shapeId="0" xr:uid="{00000000-0006-0000-3500-00001A000000}">
      <text>
        <r>
          <rPr>
            <sz val="8"/>
            <color indexed="81"/>
            <rFont val="Tahoma"/>
            <family val="2"/>
          </rPr>
          <t>Data from "Life Cycle Material Data Update for GREET Model" Keoleian et al. 2011
Appendix p. 68</t>
        </r>
      </text>
    </comment>
    <comment ref="U72" authorId="0" shapeId="0" xr:uid="{00000000-0006-0000-3500-00001B000000}">
      <text>
        <r>
          <rPr>
            <sz val="8"/>
            <color indexed="81"/>
            <rFont val="Tahoma"/>
            <family val="2"/>
          </rPr>
          <t>Data from "Life Cycle Material Data Update for GREET Model" Keoleian et al. 2011
Appendix p. 71</t>
        </r>
      </text>
    </comment>
    <comment ref="Y72" authorId="0" shapeId="0" xr:uid="{00000000-0006-0000-3500-00001C000000}">
      <text>
        <r>
          <rPr>
            <sz val="8"/>
            <color indexed="81"/>
            <rFont val="Tahoma"/>
            <family val="2"/>
          </rPr>
          <t>Data from "Life Cycle Material Data Update for GREET Model" Keoleian et al. 2011
Appendix p. 77</t>
        </r>
      </text>
    </comment>
    <comment ref="AA72" authorId="0" shapeId="0" xr:uid="{00000000-0006-0000-3500-00001D000000}">
      <text>
        <r>
          <rPr>
            <sz val="8"/>
            <color indexed="81"/>
            <rFont val="Tahoma"/>
            <family val="2"/>
          </rPr>
          <t>Data from "Life Cycle Material Data Update for GREET Model" Keoleian et al. 2011
Appendix p. 80</t>
        </r>
      </text>
    </comment>
    <comment ref="AC72" authorId="0" shapeId="0" xr:uid="{00000000-0006-0000-3500-00001E000000}">
      <text>
        <r>
          <rPr>
            <sz val="8"/>
            <color indexed="81"/>
            <rFont val="Tahoma"/>
            <family val="2"/>
          </rPr>
          <t>Data from "Life Cycle Material Data Update for GREET Model" Keoleian et al. 2011
Appendix p. 83</t>
        </r>
      </text>
    </comment>
    <comment ref="AE72" authorId="0" shapeId="0" xr:uid="{00000000-0006-0000-3500-00001F000000}">
      <text>
        <r>
          <rPr>
            <sz val="8"/>
            <color indexed="81"/>
            <rFont val="Tahoma"/>
            <family val="2"/>
          </rPr>
          <t>Data from "Life Cycle Material Data Update for GREET Model" Keoleian et al. 2011
Appendix p. 86</t>
        </r>
      </text>
    </comment>
    <comment ref="AG72" authorId="0" shapeId="0" xr:uid="{00000000-0006-0000-3500-000020000000}">
      <text>
        <r>
          <rPr>
            <sz val="8"/>
            <color indexed="81"/>
            <rFont val="Tahoma"/>
            <family val="2"/>
          </rPr>
          <t>Data from "Life Cycle Material Data Update for GREET Model" Keoleian et al. 2011
Appendix p. 89</t>
        </r>
      </text>
    </comment>
    <comment ref="C73" authorId="0" shapeId="0" xr:uid="{00000000-0006-0000-3500-000021000000}">
      <text>
        <r>
          <rPr>
            <sz val="8"/>
            <color indexed="81"/>
            <rFont val="Tahoma"/>
            <family val="2"/>
          </rPr>
          <t>Data from "Life Cycle Material Data Update for GREET Model" Keoleian et al. 2011
Appendix p. 44</t>
        </r>
      </text>
    </comment>
    <comment ref="E73" authorId="0" shapeId="0" xr:uid="{00000000-0006-0000-3500-000022000000}">
      <text>
        <r>
          <rPr>
            <sz val="8"/>
            <color indexed="81"/>
            <rFont val="Tahoma"/>
            <family val="2"/>
          </rPr>
          <t>Data from "Life Cycle Material Data Update for GREET Model" Keoleian et al. 2011
Appendix p. 47</t>
        </r>
      </text>
    </comment>
    <comment ref="G73" authorId="0" shapeId="0" xr:uid="{00000000-0006-0000-3500-000023000000}">
      <text>
        <r>
          <rPr>
            <sz val="8"/>
            <color indexed="81"/>
            <rFont val="Tahoma"/>
            <family val="2"/>
          </rPr>
          <t>Data from "Life Cycle Material Data Update for GREET Model" Keoleian et al. 2011
Appendix p. 50</t>
        </r>
      </text>
    </comment>
    <comment ref="I73" authorId="0" shapeId="0" xr:uid="{00000000-0006-0000-3500-000024000000}">
      <text>
        <r>
          <rPr>
            <sz val="8"/>
            <color indexed="81"/>
            <rFont val="Tahoma"/>
            <family val="2"/>
          </rPr>
          <t>Data from "Life Cycle Material Data Update for GREET Model" Keoleian et al. 2011
Appendix p. 53</t>
        </r>
      </text>
    </comment>
    <comment ref="K73" authorId="0" shapeId="0" xr:uid="{00000000-0006-0000-3500-000025000000}">
      <text>
        <r>
          <rPr>
            <sz val="8"/>
            <color indexed="81"/>
            <rFont val="Tahoma"/>
            <family val="2"/>
          </rPr>
          <t>Data from "Life Cycle Material Data Update for GREET Model" Keoleian et al. 2011
Appendix p. 56</t>
        </r>
      </text>
    </comment>
    <comment ref="M73" authorId="0" shapeId="0" xr:uid="{00000000-0006-0000-3500-000026000000}">
      <text>
        <r>
          <rPr>
            <sz val="8"/>
            <color indexed="81"/>
            <rFont val="Tahoma"/>
            <family val="2"/>
          </rPr>
          <t>Data from "Life Cycle Material Data Update for GREET Model" Keoleian et al. 2011
There was a typo in Appendix p. 59, the correct value is 2685.267</t>
        </r>
      </text>
    </comment>
    <comment ref="O73" authorId="0" shapeId="0" xr:uid="{00000000-0006-0000-3500-000027000000}">
      <text>
        <r>
          <rPr>
            <sz val="8"/>
            <color indexed="81"/>
            <rFont val="Tahoma"/>
            <family val="2"/>
          </rPr>
          <t>Data from "Life Cycle Material Data Update for GREET Model" Keoleian et al. 2011
Appendix p. 62</t>
        </r>
      </text>
    </comment>
    <comment ref="Q73" authorId="0" shapeId="0" xr:uid="{00000000-0006-0000-3500-000028000000}">
      <text>
        <r>
          <rPr>
            <sz val="8"/>
            <color indexed="81"/>
            <rFont val="Tahoma"/>
            <family val="2"/>
          </rPr>
          <t>Data from "Life Cycle Material Data Update for GREET Model" Keoleian et al. 2011
Appendix p. 65</t>
        </r>
      </text>
    </comment>
    <comment ref="S73" authorId="0" shapeId="0" xr:uid="{00000000-0006-0000-3500-000029000000}">
      <text>
        <r>
          <rPr>
            <sz val="8"/>
            <color indexed="81"/>
            <rFont val="Tahoma"/>
            <family val="2"/>
          </rPr>
          <t>Data from "Life Cycle Material Data Update for GREET Model" Keoleian et al. 2011
Appendix p. 68</t>
        </r>
      </text>
    </comment>
    <comment ref="U73" authorId="0" shapeId="0" xr:uid="{00000000-0006-0000-3500-00002A000000}">
      <text>
        <r>
          <rPr>
            <sz val="8"/>
            <color indexed="81"/>
            <rFont val="Tahoma"/>
            <family val="2"/>
          </rPr>
          <t>Data from "Life Cycle Material Data Update for GREET Model" Keoleian et al. 2011
Appendix p. 71</t>
        </r>
      </text>
    </comment>
    <comment ref="Y73" authorId="0" shapeId="0" xr:uid="{00000000-0006-0000-3500-00002B000000}">
      <text>
        <r>
          <rPr>
            <sz val="8"/>
            <color indexed="81"/>
            <rFont val="Tahoma"/>
            <family val="2"/>
          </rPr>
          <t>Data from "Life Cycle Material Data Update for GREET Model" Keoleian et al. 2011
Appendix p. 77</t>
        </r>
      </text>
    </comment>
    <comment ref="AA73" authorId="0" shapeId="0" xr:uid="{00000000-0006-0000-3500-00002C000000}">
      <text>
        <r>
          <rPr>
            <sz val="8"/>
            <color indexed="81"/>
            <rFont val="Tahoma"/>
            <family val="2"/>
          </rPr>
          <t>Data from "Life Cycle Material Data Update for GREET Model" Keoleian et al. 2011
Appendix p. 80</t>
        </r>
      </text>
    </comment>
    <comment ref="AC73" authorId="0" shapeId="0" xr:uid="{00000000-0006-0000-3500-00002D000000}">
      <text>
        <r>
          <rPr>
            <sz val="8"/>
            <color indexed="81"/>
            <rFont val="Tahoma"/>
            <family val="2"/>
          </rPr>
          <t>Data from "Life Cycle Material Data Update for GREET Model" Keoleian et al. 2011
Appendix p. 83</t>
        </r>
      </text>
    </comment>
    <comment ref="AE73" authorId="0" shapeId="0" xr:uid="{00000000-0006-0000-3500-00002E000000}">
      <text>
        <r>
          <rPr>
            <sz val="8"/>
            <color indexed="81"/>
            <rFont val="Tahoma"/>
            <family val="2"/>
          </rPr>
          <t>Data from "Life Cycle Material Data Update for GREET Model" Keoleian et al. 2011
Appendix p. 86</t>
        </r>
      </text>
    </comment>
    <comment ref="AG73" authorId="0" shapeId="0" xr:uid="{00000000-0006-0000-3500-00002F000000}">
      <text>
        <r>
          <rPr>
            <sz val="8"/>
            <color indexed="81"/>
            <rFont val="Tahoma"/>
            <family val="2"/>
          </rPr>
          <t>Data from "Life Cycle Material Data Update for GREET Model" Keoleian et al. 2011
Appendix p. 89</t>
        </r>
      </text>
    </comment>
    <comment ref="C74" authorId="0" shapeId="0" xr:uid="{00000000-0006-0000-3500-000030000000}">
      <text>
        <r>
          <rPr>
            <sz val="8"/>
            <color indexed="81"/>
            <rFont val="Tahoma"/>
            <family val="2"/>
          </rPr>
          <t>Data from "Life Cycle Material Data Update for GREET Model" Keoleian et al. 2011
Appendix p. 44</t>
        </r>
      </text>
    </comment>
    <comment ref="E74" authorId="0" shapeId="0" xr:uid="{00000000-0006-0000-3500-000031000000}">
      <text>
        <r>
          <rPr>
            <sz val="8"/>
            <color indexed="81"/>
            <rFont val="Tahoma"/>
            <family val="2"/>
          </rPr>
          <t>Data from "Life Cycle Material Data Update for GREET Model" Keoleian et al. 2011
Appendix p. 47</t>
        </r>
      </text>
    </comment>
    <comment ref="G74" authorId="0" shapeId="0" xr:uid="{00000000-0006-0000-3500-000032000000}">
      <text>
        <r>
          <rPr>
            <sz val="8"/>
            <color indexed="81"/>
            <rFont val="Tahoma"/>
            <family val="2"/>
          </rPr>
          <t>Data from "Life Cycle Material Data Update for GREET Model" Keoleian et al. 2011
Appendix p. 50</t>
        </r>
      </text>
    </comment>
    <comment ref="I74" authorId="0" shapeId="0" xr:uid="{00000000-0006-0000-3500-000033000000}">
      <text>
        <r>
          <rPr>
            <sz val="8"/>
            <color indexed="81"/>
            <rFont val="Tahoma"/>
            <family val="2"/>
          </rPr>
          <t>Data from "Life Cycle Material Data Update for GREET Model" Keoleian et al. 2011
Appendix p. 53</t>
        </r>
      </text>
    </comment>
    <comment ref="K74" authorId="0" shapeId="0" xr:uid="{00000000-0006-0000-3500-000034000000}">
      <text>
        <r>
          <rPr>
            <sz val="8"/>
            <color indexed="81"/>
            <rFont val="Tahoma"/>
            <family val="2"/>
          </rPr>
          <t>Data from "Life Cycle Material Data Update for GREET Model" Keoleian et al. 2011
Appendix p. 56</t>
        </r>
      </text>
    </comment>
    <comment ref="M74" authorId="0" shapeId="0" xr:uid="{00000000-0006-0000-3500-000035000000}">
      <text>
        <r>
          <rPr>
            <sz val="8"/>
            <color indexed="81"/>
            <rFont val="Tahoma"/>
            <family val="2"/>
          </rPr>
          <t>Data from "Life Cycle Material Data Update for GREET Model" Keoleian et al. 2011
There was a typo in Appendix p. 59, the correct value is 88.904</t>
        </r>
      </text>
    </comment>
    <comment ref="O74" authorId="0" shapeId="0" xr:uid="{00000000-0006-0000-3500-000036000000}">
      <text>
        <r>
          <rPr>
            <sz val="8"/>
            <color indexed="81"/>
            <rFont val="Tahoma"/>
            <family val="2"/>
          </rPr>
          <t>Data from "Life Cycle Material Data Update for GREET Model" Keoleian et al. 2011
Appendix p. 62</t>
        </r>
      </text>
    </comment>
    <comment ref="Q74" authorId="0" shapeId="0" xr:uid="{00000000-0006-0000-3500-000037000000}">
      <text>
        <r>
          <rPr>
            <sz val="8"/>
            <color indexed="81"/>
            <rFont val="Tahoma"/>
            <family val="2"/>
          </rPr>
          <t>Data from "Life Cycle Material Data Update for GREET Model" Keoleian et al. 2011
Appendix p. 65</t>
        </r>
      </text>
    </comment>
    <comment ref="S74" authorId="0" shapeId="0" xr:uid="{00000000-0006-0000-3500-000038000000}">
      <text>
        <r>
          <rPr>
            <sz val="8"/>
            <color indexed="81"/>
            <rFont val="Tahoma"/>
            <family val="2"/>
          </rPr>
          <t>Data from "Life Cycle Material Data Update for GREET Model" Keoleian et al. 2011
Appendix p. 68</t>
        </r>
      </text>
    </comment>
    <comment ref="U74" authorId="0" shapeId="0" xr:uid="{00000000-0006-0000-3500-000039000000}">
      <text>
        <r>
          <rPr>
            <sz val="8"/>
            <color indexed="81"/>
            <rFont val="Tahoma"/>
            <family val="2"/>
          </rPr>
          <t>Data from "Life Cycle Material Data Update for GREET Model" Keoleian et al. 2011
Appendix p. 71</t>
        </r>
      </text>
    </comment>
    <comment ref="Y74" authorId="0" shapeId="0" xr:uid="{00000000-0006-0000-3500-00003A000000}">
      <text>
        <r>
          <rPr>
            <sz val="8"/>
            <color indexed="81"/>
            <rFont val="Tahoma"/>
            <family val="2"/>
          </rPr>
          <t>Data from "Life Cycle Material Data Update for GREET Model" Keoleian et al. 2011
Appendix p. 77</t>
        </r>
      </text>
    </comment>
    <comment ref="AA74" authorId="0" shapeId="0" xr:uid="{00000000-0006-0000-3500-00003B000000}">
      <text>
        <r>
          <rPr>
            <sz val="8"/>
            <color indexed="81"/>
            <rFont val="Tahoma"/>
            <family val="2"/>
          </rPr>
          <t>Data from "Life Cycle Material Data Update for GREET Model" Keoleian et al. 2011
Appendix p. 80</t>
        </r>
      </text>
    </comment>
    <comment ref="AC74" authorId="0" shapeId="0" xr:uid="{00000000-0006-0000-3500-00003C000000}">
      <text>
        <r>
          <rPr>
            <sz val="8"/>
            <color indexed="81"/>
            <rFont val="Tahoma"/>
            <family val="2"/>
          </rPr>
          <t>Data from "Life Cycle Material Data Update for GREET Model" Keoleian et al. 2011
Appendix p. 83</t>
        </r>
      </text>
    </comment>
    <comment ref="AE74" authorId="0" shapeId="0" xr:uid="{00000000-0006-0000-3500-00003D000000}">
      <text>
        <r>
          <rPr>
            <sz val="8"/>
            <color indexed="81"/>
            <rFont val="Tahoma"/>
            <family val="2"/>
          </rPr>
          <t>Data from "Life Cycle Material Data Update for GREET Model" Keoleian et al. 2011
Appendix p. 86</t>
        </r>
      </text>
    </comment>
    <comment ref="AG74" authorId="0" shapeId="0" xr:uid="{00000000-0006-0000-3500-00003E000000}">
      <text>
        <r>
          <rPr>
            <sz val="8"/>
            <color indexed="81"/>
            <rFont val="Tahoma"/>
            <family val="2"/>
          </rPr>
          <t>Data from "Life Cycle Material Data Update for GREET Model" Keoleian et al. 2011
Appendix p. 89</t>
        </r>
      </text>
    </comment>
    <comment ref="C75" authorId="0" shapeId="0" xr:uid="{00000000-0006-0000-3500-00003F000000}">
      <text>
        <r>
          <rPr>
            <sz val="8"/>
            <color indexed="81"/>
            <rFont val="Tahoma"/>
            <family val="2"/>
          </rPr>
          <t>Data from "Life Cycle Material Data Update for GREET Model" Keoleian et al. 2011
Appendix p. 44</t>
        </r>
      </text>
    </comment>
    <comment ref="E75" authorId="0" shapeId="0" xr:uid="{00000000-0006-0000-3500-000040000000}">
      <text>
        <r>
          <rPr>
            <sz val="8"/>
            <color indexed="81"/>
            <rFont val="Tahoma"/>
            <family val="2"/>
          </rPr>
          <t>Data from "Life Cycle Material Data Update for GREET Model" Keoleian et al. 2011
Appendix p. 47</t>
        </r>
      </text>
    </comment>
    <comment ref="G75" authorId="0" shapeId="0" xr:uid="{00000000-0006-0000-3500-000041000000}">
      <text>
        <r>
          <rPr>
            <sz val="8"/>
            <color indexed="81"/>
            <rFont val="Tahoma"/>
            <family val="2"/>
          </rPr>
          <t>Data from "Life Cycle Material Data Update for GREET Model" Keoleian et al. 2011
Appendix p. 50</t>
        </r>
      </text>
    </comment>
    <comment ref="I75" authorId="0" shapeId="0" xr:uid="{00000000-0006-0000-3500-000042000000}">
      <text>
        <r>
          <rPr>
            <sz val="8"/>
            <color indexed="81"/>
            <rFont val="Tahoma"/>
            <family val="2"/>
          </rPr>
          <t>Data from "Life Cycle Material Data Update for GREET Model" Keoleian et al. 2011
Appendix p. 53</t>
        </r>
      </text>
    </comment>
    <comment ref="K75" authorId="0" shapeId="0" xr:uid="{00000000-0006-0000-3500-000043000000}">
      <text>
        <r>
          <rPr>
            <sz val="8"/>
            <color indexed="81"/>
            <rFont val="Tahoma"/>
            <family val="2"/>
          </rPr>
          <t>Data from "Life Cycle Material Data Update for GREET Model" Keoleian et al. 2011
Appendix p. 56</t>
        </r>
      </text>
    </comment>
    <comment ref="M75" authorId="0" shapeId="0" xr:uid="{00000000-0006-0000-3500-000044000000}">
      <text>
        <r>
          <rPr>
            <sz val="8"/>
            <color indexed="81"/>
            <rFont val="Tahoma"/>
            <family val="2"/>
          </rPr>
          <t>Data from "Life Cycle Material Data Update for GREET Model" Keoleian et al. 2011
There was a typo in Appendix p. 59, the correct value is 127.006</t>
        </r>
      </text>
    </comment>
    <comment ref="O75" authorId="0" shapeId="0" xr:uid="{00000000-0006-0000-3500-000045000000}">
      <text>
        <r>
          <rPr>
            <sz val="8"/>
            <color indexed="81"/>
            <rFont val="Tahoma"/>
            <family val="2"/>
          </rPr>
          <t>Data from "Life Cycle Material Data Update for GREET Model" Keoleian et al. 2011
Appendix p. 62</t>
        </r>
      </text>
    </comment>
    <comment ref="Q75" authorId="0" shapeId="0" xr:uid="{00000000-0006-0000-3500-000046000000}">
      <text>
        <r>
          <rPr>
            <sz val="8"/>
            <color indexed="81"/>
            <rFont val="Tahoma"/>
            <family val="2"/>
          </rPr>
          <t>Data from "Life Cycle Material Data Update for GREET Model" Keoleian et al. 2011
Appendix p. 65</t>
        </r>
      </text>
    </comment>
    <comment ref="S75" authorId="0" shapeId="0" xr:uid="{00000000-0006-0000-3500-000047000000}">
      <text>
        <r>
          <rPr>
            <sz val="8"/>
            <color indexed="81"/>
            <rFont val="Tahoma"/>
            <family val="2"/>
          </rPr>
          <t>Data from "Life Cycle Material Data Update for GREET Model" Keoleian et al. 2011
Appendix p. 68</t>
        </r>
      </text>
    </comment>
    <comment ref="U75" authorId="0" shapeId="0" xr:uid="{00000000-0006-0000-3500-000048000000}">
      <text>
        <r>
          <rPr>
            <sz val="8"/>
            <color indexed="81"/>
            <rFont val="Tahoma"/>
            <family val="2"/>
          </rPr>
          <t>Data from "Life Cycle Material Data Update for GREET Model" Keoleian et al. 2011
Appendix p. 71</t>
        </r>
      </text>
    </comment>
    <comment ref="Y75" authorId="0" shapeId="0" xr:uid="{00000000-0006-0000-3500-000049000000}">
      <text>
        <r>
          <rPr>
            <sz val="8"/>
            <color indexed="81"/>
            <rFont val="Tahoma"/>
            <family val="2"/>
          </rPr>
          <t>Data from "Life Cycle Material Data Update for GREET Model" Keoleian et al. 2011
Appendix p. 77</t>
        </r>
      </text>
    </comment>
    <comment ref="AA75" authorId="0" shapeId="0" xr:uid="{00000000-0006-0000-3500-00004A000000}">
      <text>
        <r>
          <rPr>
            <sz val="8"/>
            <color indexed="81"/>
            <rFont val="Tahoma"/>
            <family val="2"/>
          </rPr>
          <t>Data from "Life Cycle Material Data Update for GREET Model" Keoleian et al. 2011
Appendix p. 80</t>
        </r>
      </text>
    </comment>
    <comment ref="AC75" authorId="0" shapeId="0" xr:uid="{00000000-0006-0000-3500-00004B000000}">
      <text>
        <r>
          <rPr>
            <sz val="8"/>
            <color indexed="81"/>
            <rFont val="Tahoma"/>
            <family val="2"/>
          </rPr>
          <t>Data from "Life Cycle Material Data Update for GREET Model" Keoleian et al. 2011
Appendix p. 83</t>
        </r>
      </text>
    </comment>
    <comment ref="AE75" authorId="0" shapeId="0" xr:uid="{00000000-0006-0000-3500-00004C000000}">
      <text>
        <r>
          <rPr>
            <sz val="8"/>
            <color indexed="81"/>
            <rFont val="Tahoma"/>
            <family val="2"/>
          </rPr>
          <t>Data from "Life Cycle Material Data Update for GREET Model" Keoleian et al. 2011
Appendix p. 86</t>
        </r>
      </text>
    </comment>
    <comment ref="AG75" authorId="0" shapeId="0" xr:uid="{00000000-0006-0000-3500-00004D000000}">
      <text>
        <r>
          <rPr>
            <sz val="8"/>
            <color indexed="81"/>
            <rFont val="Tahoma"/>
            <family val="2"/>
          </rPr>
          <t>Data from "Life Cycle Material Data Update for GREET Model" Keoleian et al. 2011
Appendix p. 89</t>
        </r>
      </text>
    </comment>
    <comment ref="C76" authorId="0" shapeId="0" xr:uid="{00000000-0006-0000-3500-00004E000000}">
      <text>
        <r>
          <rPr>
            <sz val="8"/>
            <color indexed="81"/>
            <rFont val="Tahoma"/>
            <family val="2"/>
          </rPr>
          <t>Data from "Life Cycle Material Data Update for GREET Model" Keoleian et al. 2011
Appendix p. 44</t>
        </r>
      </text>
    </comment>
    <comment ref="E76" authorId="0" shapeId="0" xr:uid="{00000000-0006-0000-3500-00004F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G76" authorId="0" shapeId="0" xr:uid="{00000000-0006-0000-3500-000050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I76" authorId="0" shapeId="0" xr:uid="{00000000-0006-0000-3500-000051000000}">
      <text>
        <r>
          <rPr>
            <sz val="8"/>
            <color indexed="81"/>
            <rFont val="Tahoma"/>
            <family val="2"/>
          </rPr>
          <t>Data from "Life Cycle Material Data Update for GREET Model" Keoleian et al. 2011
Appendix p. 53</t>
        </r>
      </text>
    </comment>
    <comment ref="K76" authorId="0" shapeId="0" xr:uid="{00000000-0006-0000-3500-000052000000}">
      <text>
        <r>
          <rPr>
            <sz val="8"/>
            <color indexed="81"/>
            <rFont val="Tahoma"/>
            <family val="2"/>
          </rPr>
          <t>Data from "Life Cycle Material Data Update for GREET Model" Keoleian et al. 2011
Appendix p. 56</t>
        </r>
      </text>
    </comment>
    <comment ref="M76" authorId="0" shapeId="0" xr:uid="{00000000-0006-0000-3500-000053000000}">
      <text>
        <r>
          <rPr>
            <sz val="8"/>
            <color indexed="81"/>
            <rFont val="Tahoma"/>
            <family val="2"/>
          </rPr>
          <t>Data from "Life Cycle Material Data Update for GREET Model" Keoleian et al. 2011
There was a typo in Appendix p. 59, the correct value is 10.886</t>
        </r>
      </text>
    </comment>
    <comment ref="O76" authorId="0" shapeId="0" xr:uid="{00000000-0006-0000-3500-000054000000}">
      <text>
        <r>
          <rPr>
            <sz val="8"/>
            <color indexed="81"/>
            <rFont val="Tahoma"/>
            <family val="2"/>
          </rPr>
          <t>Data from "Life Cycle Material Data Update for GREET Model" Keoleian et al. 2011
Appendix p. 62</t>
        </r>
      </text>
    </comment>
    <comment ref="Q76" authorId="0" shapeId="0" xr:uid="{00000000-0006-0000-3500-000055000000}">
      <text>
        <r>
          <rPr>
            <sz val="8"/>
            <color indexed="81"/>
            <rFont val="Tahoma"/>
            <family val="2"/>
          </rPr>
          <t>Data from "Life Cycle Material Data Update for GREET Model" Keoleian et al. 2011
Appendix p. 65</t>
        </r>
      </text>
    </comment>
    <comment ref="S76" authorId="0" shapeId="0" xr:uid="{00000000-0006-0000-3500-000056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U76" authorId="0" shapeId="0" xr:uid="{00000000-0006-0000-3500-000057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Y76" authorId="0" shapeId="0" xr:uid="{00000000-0006-0000-3500-000058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AA76" authorId="0" shapeId="0" xr:uid="{00000000-0006-0000-3500-000059000000}">
      <text>
        <r>
          <rPr>
            <sz val="8"/>
            <color indexed="81"/>
            <rFont val="Tahoma"/>
            <family val="2"/>
          </rPr>
          <t>Data from "Life Cycle Material Data Update for GREET Model" Keoleian et al. 2011
Appendix p. 80</t>
        </r>
      </text>
    </comment>
    <comment ref="AC76" authorId="0" shapeId="0" xr:uid="{00000000-0006-0000-3500-00005A000000}">
      <text>
        <r>
          <rPr>
            <sz val="8"/>
            <color indexed="81"/>
            <rFont val="Tahoma"/>
            <family val="2"/>
          </rPr>
          <t>Data from "Life Cycle Material Data Update for GREET Model" Keoleian et al. 2011
Appendix p. 83</t>
        </r>
      </text>
    </comment>
    <comment ref="AE76" authorId="0" shapeId="0" xr:uid="{00000000-0006-0000-3500-00005B000000}">
      <text>
        <r>
          <rPr>
            <sz val="8"/>
            <color indexed="81"/>
            <rFont val="Tahoma"/>
            <family val="2"/>
          </rPr>
          <t>Data from "Life Cycle Material Data Update for GREET Model" Keoleian et al. 2011
Appendix p. 86</t>
        </r>
      </text>
    </comment>
    <comment ref="AG76" authorId="0" shapeId="0" xr:uid="{00000000-0006-0000-3500-00005C000000}">
      <text>
        <r>
          <rPr>
            <sz val="8"/>
            <color indexed="81"/>
            <rFont val="Tahoma"/>
            <family val="2"/>
          </rPr>
          <t>Data from "Life Cycle Material Data Update for GREET Model" Keoleian et al. 2011
Appendix p. 89</t>
        </r>
      </text>
    </comment>
    <comment ref="C77" authorId="0" shapeId="0" xr:uid="{00000000-0006-0000-3500-00005D000000}">
      <text>
        <r>
          <rPr>
            <sz val="8"/>
            <color indexed="81"/>
            <rFont val="Tahoma"/>
            <family val="2"/>
          </rPr>
          <t>Data from "Life Cycle Material Data Update for GREET Model" Keoleian et al. 2011
Appendix p. 44</t>
        </r>
      </text>
    </comment>
    <comment ref="E77" authorId="0" shapeId="0" xr:uid="{00000000-0006-0000-3500-00005E000000}">
      <text>
        <r>
          <rPr>
            <sz val="8"/>
            <color indexed="81"/>
            <rFont val="Tahoma"/>
            <family val="2"/>
          </rPr>
          <t>Data from "Life Cycle Material Data Update for GREET Model" Keoleian et al. 2011
Appendix p. 47</t>
        </r>
      </text>
    </comment>
    <comment ref="G77" authorId="0" shapeId="0" xr:uid="{00000000-0006-0000-3500-00005F000000}">
      <text>
        <r>
          <rPr>
            <sz val="8"/>
            <color indexed="81"/>
            <rFont val="Tahoma"/>
            <family val="2"/>
          </rPr>
          <t>Data from "Life Cycle Material Data Update for GREET Model" Keoleian et al. 2011
Appendix p. 50</t>
        </r>
      </text>
    </comment>
    <comment ref="I77" authorId="0" shapeId="0" xr:uid="{00000000-0006-0000-3500-000060000000}">
      <text>
        <r>
          <rPr>
            <sz val="8"/>
            <color indexed="81"/>
            <rFont val="Tahoma"/>
            <family val="2"/>
          </rPr>
          <t>Data from "Life Cycle Material Data Update for GREET Model" Keoleian et al. 2011
Appendix p. 53</t>
        </r>
      </text>
    </comment>
    <comment ref="K77" authorId="0" shapeId="0" xr:uid="{00000000-0006-0000-3500-000061000000}">
      <text>
        <r>
          <rPr>
            <sz val="8"/>
            <color indexed="81"/>
            <rFont val="Tahoma"/>
            <family val="2"/>
          </rPr>
          <t>Data from "Life Cycle Material Data Update for GREET Model" Keoleian et al. 2011
Appendix p. 56</t>
        </r>
      </text>
    </comment>
    <comment ref="M77" authorId="0" shapeId="0" xr:uid="{00000000-0006-0000-3500-000062000000}">
      <text>
        <r>
          <rPr>
            <sz val="8"/>
            <color indexed="81"/>
            <rFont val="Tahoma"/>
            <family val="2"/>
          </rPr>
          <t>Data from "Life Cycle Material Data Update for GREET Model" Keoleian et al. 2011
There was a typo in Appendix p. 59, the correct value is 21137.404</t>
        </r>
      </text>
    </comment>
    <comment ref="O77" authorId="0" shapeId="0" xr:uid="{00000000-0006-0000-3500-000063000000}">
      <text>
        <r>
          <rPr>
            <sz val="8"/>
            <color indexed="81"/>
            <rFont val="Tahoma"/>
            <family val="2"/>
          </rPr>
          <t>Data from "Life Cycle Material Data Update for GREET Model" Keoleian et al. 2011
Appendix p. 62</t>
        </r>
      </text>
    </comment>
    <comment ref="Q77" authorId="0" shapeId="0" xr:uid="{00000000-0006-0000-3500-000064000000}">
      <text>
        <r>
          <rPr>
            <sz val="8"/>
            <color indexed="81"/>
            <rFont val="Tahoma"/>
            <family val="2"/>
          </rPr>
          <t>Data from "Life Cycle Material Data Update for GREET Model" Keoleian et al. 2011
Appendix p. 65</t>
        </r>
      </text>
    </comment>
    <comment ref="S77" authorId="0" shapeId="0" xr:uid="{00000000-0006-0000-3500-000065000000}">
      <text>
        <r>
          <rPr>
            <sz val="8"/>
            <color indexed="81"/>
            <rFont val="Tahoma"/>
            <family val="2"/>
          </rPr>
          <t>Data from "Life Cycle Material Data Update for GREET Model" Keoleian et al. 2011
Appendix p. 68</t>
        </r>
      </text>
    </comment>
    <comment ref="U77" authorId="0" shapeId="0" xr:uid="{00000000-0006-0000-3500-000066000000}">
      <text>
        <r>
          <rPr>
            <sz val="8"/>
            <color indexed="81"/>
            <rFont val="Tahoma"/>
            <family val="2"/>
          </rPr>
          <t>Data from "Life Cycle Material Data Update for GREET Model" Keoleian et al. 2011
Appendix p. 71</t>
        </r>
      </text>
    </comment>
    <comment ref="Y77" authorId="0" shapeId="0" xr:uid="{00000000-0006-0000-3500-000067000000}">
      <text>
        <r>
          <rPr>
            <sz val="8"/>
            <color indexed="81"/>
            <rFont val="Tahoma"/>
            <family val="2"/>
          </rPr>
          <t>Data from "Life Cycle Material Data Update for GREET Model" Keoleian et al. 2011
Appendix p. 77</t>
        </r>
      </text>
    </comment>
    <comment ref="AA77" authorId="0" shapeId="0" xr:uid="{00000000-0006-0000-3500-000068000000}">
      <text>
        <r>
          <rPr>
            <sz val="8"/>
            <color indexed="81"/>
            <rFont val="Tahoma"/>
            <family val="2"/>
          </rPr>
          <t>Data from "Life Cycle Material Data Update for GREET Model" Keoleian et al. 2011
Appendix p. 80</t>
        </r>
      </text>
    </comment>
    <comment ref="AC77" authorId="0" shapeId="0" xr:uid="{00000000-0006-0000-3500-000069000000}">
      <text>
        <r>
          <rPr>
            <sz val="8"/>
            <color indexed="81"/>
            <rFont val="Tahoma"/>
            <family val="2"/>
          </rPr>
          <t>Data from "Life Cycle Material Data Update for GREET Model" Keoleian et al. 2011
Appendix p. 83</t>
        </r>
      </text>
    </comment>
    <comment ref="AE77" authorId="0" shapeId="0" xr:uid="{00000000-0006-0000-3500-00006A000000}">
      <text>
        <r>
          <rPr>
            <sz val="8"/>
            <color indexed="81"/>
            <rFont val="Tahoma"/>
            <family val="2"/>
          </rPr>
          <t>Data from "Life Cycle Material Data Update for GREET Model" Keoleian et al. 2011
Appendix p. 86</t>
        </r>
      </text>
    </comment>
    <comment ref="AG77" authorId="0" shapeId="0" xr:uid="{00000000-0006-0000-3500-00006B000000}">
      <text>
        <r>
          <rPr>
            <sz val="8"/>
            <color indexed="81"/>
            <rFont val="Tahoma"/>
            <family val="2"/>
          </rPr>
          <t>Data from "Life Cycle Material Data Update for GREET Model" Keoleian et al. 2011
Appendix p. 89</t>
        </r>
      </text>
    </comment>
    <comment ref="C80" authorId="0" shapeId="0" xr:uid="{00000000-0006-0000-3500-00006C000000}">
      <text>
        <r>
          <rPr>
            <sz val="8"/>
            <color indexed="81"/>
            <rFont val="Tahoma"/>
            <family val="2"/>
          </rPr>
          <t>Data from "Life Cycle Material Data Update for GREET Model" Keoleian et al. 2011
Appendix p. 44</t>
        </r>
      </text>
    </comment>
    <comment ref="E80" authorId="0" shapeId="0" xr:uid="{00000000-0006-0000-3500-00006D000000}">
      <text>
        <r>
          <rPr>
            <sz val="8"/>
            <color indexed="81"/>
            <rFont val="Tahoma"/>
            <family val="2"/>
          </rPr>
          <t>Data from "Life Cycle Material Data Update for GREET Model" Keoleian et al. 2011
Appendix p. 47</t>
        </r>
      </text>
    </comment>
    <comment ref="G80" authorId="0" shapeId="0" xr:uid="{00000000-0006-0000-3500-00006E000000}">
      <text>
        <r>
          <rPr>
            <sz val="8"/>
            <color indexed="81"/>
            <rFont val="Tahoma"/>
            <family val="2"/>
          </rPr>
          <t>Data from "Life Cycle Material Data Update for GREET Model" Keoleian et al. 2011
Appendix p. 50</t>
        </r>
      </text>
    </comment>
    <comment ref="I80" authorId="0" shapeId="0" xr:uid="{00000000-0006-0000-3500-00006F000000}">
      <text>
        <r>
          <rPr>
            <sz val="8"/>
            <color indexed="81"/>
            <rFont val="Tahoma"/>
            <family val="2"/>
          </rPr>
          <t>Data from "Life Cycle Material Data Update for GREET Model" Keoleian et al. 2011
Appendix p. 53</t>
        </r>
      </text>
    </comment>
    <comment ref="K80" authorId="0" shapeId="0" xr:uid="{00000000-0006-0000-3500-000070000000}">
      <text>
        <r>
          <rPr>
            <sz val="8"/>
            <color indexed="81"/>
            <rFont val="Tahoma"/>
            <family val="2"/>
          </rPr>
          <t>Data from "Life Cycle Material Data Update for GREET Model" Keoleian et al. 2011
Appendix p. 56</t>
        </r>
      </text>
    </comment>
    <comment ref="M80" authorId="0" shapeId="0" xr:uid="{00000000-0006-0000-3500-000071000000}">
      <text>
        <r>
          <rPr>
            <sz val="8"/>
            <color indexed="81"/>
            <rFont val="Tahoma"/>
            <family val="2"/>
          </rPr>
          <t>Data from "Life Cycle Material Data Update for GREET Model" Keoleian et al. 2011
There was a typo in Appendix p. 59, the correct value is 12791.305</t>
        </r>
      </text>
    </comment>
    <comment ref="O80" authorId="0" shapeId="0" xr:uid="{00000000-0006-0000-3500-000072000000}">
      <text>
        <r>
          <rPr>
            <sz val="8"/>
            <color indexed="81"/>
            <rFont val="Tahoma"/>
            <family val="2"/>
          </rPr>
          <t>Data from "Life Cycle Material Data Update for GREET Model" Keoleian et al. 2011
Appendix p. 62</t>
        </r>
      </text>
    </comment>
    <comment ref="Q80" authorId="0" shapeId="0" xr:uid="{00000000-0006-0000-3500-000073000000}">
      <text>
        <r>
          <rPr>
            <sz val="8"/>
            <color indexed="81"/>
            <rFont val="Tahoma"/>
            <family val="2"/>
          </rPr>
          <t>Data from "Life Cycle Material Data Update for GREET Model" Keoleian et al. 2011
Appendix p. 65</t>
        </r>
      </text>
    </comment>
    <comment ref="S80" authorId="0" shapeId="0" xr:uid="{00000000-0006-0000-3500-000074000000}">
      <text>
        <r>
          <rPr>
            <sz val="8"/>
            <color indexed="81"/>
            <rFont val="Tahoma"/>
            <family val="2"/>
          </rPr>
          <t>Data from "Life Cycle Material Data Update for GREET Model" Keoleian et al. 2011
Appendix p. 68</t>
        </r>
      </text>
    </comment>
    <comment ref="U80" authorId="0" shapeId="0" xr:uid="{00000000-0006-0000-3500-000075000000}">
      <text>
        <r>
          <rPr>
            <sz val="8"/>
            <color indexed="81"/>
            <rFont val="Tahoma"/>
            <family val="2"/>
          </rPr>
          <t>Data from "Life Cycle Material Data Update for GREET Model" Keoleian et al. 2011
Appendix p. 71</t>
        </r>
      </text>
    </comment>
    <comment ref="Y80" authorId="0" shapeId="0" xr:uid="{00000000-0006-0000-3500-000076000000}">
      <text>
        <r>
          <rPr>
            <sz val="8"/>
            <color indexed="81"/>
            <rFont val="Tahoma"/>
            <family val="2"/>
          </rPr>
          <t>Data from "Life Cycle Material Data Update for GREET Model" Keoleian et al. 2011
Appendix p. 77</t>
        </r>
      </text>
    </comment>
    <comment ref="AA80" authorId="0" shapeId="0" xr:uid="{00000000-0006-0000-3500-000077000000}">
      <text>
        <r>
          <rPr>
            <sz val="8"/>
            <color indexed="81"/>
            <rFont val="Tahoma"/>
            <family val="2"/>
          </rPr>
          <t>Data from "Life Cycle Material Data Update for GREET Model" Keoleian et al. 2011
Appendix p. 80</t>
        </r>
      </text>
    </comment>
    <comment ref="AC80" authorId="0" shapeId="0" xr:uid="{00000000-0006-0000-3500-000078000000}">
      <text>
        <r>
          <rPr>
            <sz val="8"/>
            <color indexed="81"/>
            <rFont val="Tahoma"/>
            <family val="2"/>
          </rPr>
          <t>Data from "Life Cycle Material Data Update for GREET Model" Keoleian et al. 2011
Appendix p. 83</t>
        </r>
      </text>
    </comment>
    <comment ref="AE80" authorId="0" shapeId="0" xr:uid="{00000000-0006-0000-3500-000079000000}">
      <text>
        <r>
          <rPr>
            <sz val="8"/>
            <color indexed="81"/>
            <rFont val="Tahoma"/>
            <family val="2"/>
          </rPr>
          <t>Data from "Life Cycle Material Data Update for GREET Model" Keoleian et al. 2011
Appendix p. 86</t>
        </r>
      </text>
    </comment>
    <comment ref="AG80" authorId="0" shapeId="0" xr:uid="{00000000-0006-0000-3500-00007A000000}">
      <text>
        <r>
          <rPr>
            <sz val="8"/>
            <color indexed="81"/>
            <rFont val="Tahoma"/>
            <family val="2"/>
          </rPr>
          <t>Data from "Life Cycle Material Data Update for GREET Model" Keoleian et al. 2011
Appendix p. 89</t>
        </r>
      </text>
    </comment>
    <comment ref="G81" authorId="0" shapeId="0" xr:uid="{00000000-0006-0000-3500-00007B000000}">
      <text>
        <r>
          <rPr>
            <sz val="8"/>
            <color indexed="81"/>
            <rFont val="Tahoma"/>
            <family val="2"/>
          </rPr>
          <t>Data from "Life Cycle Material Data Update for GREET Model" Keoleian et al. 2011
Appendix p. 50</t>
        </r>
      </text>
    </comment>
    <comment ref="O81" authorId="0" shapeId="0" xr:uid="{00000000-0006-0000-3500-00007C000000}">
      <text>
        <r>
          <rPr>
            <sz val="8"/>
            <color indexed="81"/>
            <rFont val="Tahoma"/>
            <family val="2"/>
          </rPr>
          <t>Data from "Life Cycle Material Data Update for GREET Model" Keoleian et al. 2011
Appendix p. 62</t>
        </r>
      </text>
    </comment>
    <comment ref="Q81" authorId="0" shapeId="0" xr:uid="{00000000-0006-0000-3500-00007D000000}">
      <text>
        <r>
          <rPr>
            <sz val="8"/>
            <color indexed="81"/>
            <rFont val="Tahoma"/>
            <family val="2"/>
          </rPr>
          <t>Data from "Life Cycle Material Data Update for GREET Model" Keoleian et al. 2011
Appendix p. 65</t>
        </r>
      </text>
    </comment>
    <comment ref="S81" authorId="0" shapeId="0" xr:uid="{00000000-0006-0000-3500-00007E000000}">
      <text>
        <r>
          <rPr>
            <sz val="8"/>
            <color indexed="81"/>
            <rFont val="Tahoma"/>
            <family val="2"/>
          </rPr>
          <t>Data from "Life Cycle Material Data Update for GREET Model" Keoleian et al. 2011
Appendix p. 68</t>
        </r>
      </text>
    </comment>
    <comment ref="U81" authorId="0" shapeId="0" xr:uid="{00000000-0006-0000-3500-00007F000000}">
      <text>
        <r>
          <rPr>
            <sz val="8"/>
            <color indexed="81"/>
            <rFont val="Tahoma"/>
            <family val="2"/>
          </rPr>
          <t>Data from "Life Cycle Material Data Update for GREET Model" Keoleian et al. 2011
Appendix p. 71</t>
        </r>
      </text>
    </comment>
    <comment ref="AA81" authorId="0" shapeId="0" xr:uid="{00000000-0006-0000-3500-000080000000}">
      <text>
        <r>
          <rPr>
            <sz val="8"/>
            <color indexed="81"/>
            <rFont val="Tahoma"/>
            <family val="2"/>
          </rPr>
          <t>Data from "Life Cycle Material Data Update for GREET Model" Keoleian et al. 2011
Appendix p. 80</t>
        </r>
      </text>
    </comment>
    <comment ref="AC81" authorId="0" shapeId="0" xr:uid="{00000000-0006-0000-3500-000081000000}">
      <text>
        <r>
          <rPr>
            <sz val="8"/>
            <color indexed="81"/>
            <rFont val="Tahoma"/>
            <family val="2"/>
          </rPr>
          <t>Data from "Life Cycle Material Data Update for GREET Model" Keoleian et al. 2011
Appendix p. 83</t>
        </r>
      </text>
    </comment>
    <comment ref="C82" authorId="0" shapeId="0" xr:uid="{00000000-0006-0000-3500-000082000000}">
      <text>
        <r>
          <rPr>
            <sz val="8"/>
            <color indexed="81"/>
            <rFont val="Tahoma"/>
            <family val="2"/>
          </rPr>
          <t>Data from "Life Cycle Material Data Update for GREET Model" Keoleian et al. 2011
Appendix p. 44</t>
        </r>
      </text>
    </comment>
    <comment ref="E82" authorId="0" shapeId="0" xr:uid="{00000000-0006-0000-3500-000083000000}">
      <text>
        <r>
          <rPr>
            <sz val="8"/>
            <color indexed="81"/>
            <rFont val="Tahoma"/>
            <family val="2"/>
          </rPr>
          <t>Data from "Life Cycle Material Data Update for GREET Model" Keoleian et al. 2011
Appendix p. 47</t>
        </r>
      </text>
    </comment>
    <comment ref="G82" authorId="0" shapeId="0" xr:uid="{00000000-0006-0000-3500-000084000000}">
      <text>
        <r>
          <rPr>
            <sz val="8"/>
            <color indexed="81"/>
            <rFont val="Tahoma"/>
            <family val="2"/>
          </rPr>
          <t>Data from "Life Cycle Material Data Update for GREET Model" Keoleian et al. 2011
Appendix p. 50</t>
        </r>
      </text>
    </comment>
    <comment ref="I82" authorId="0" shapeId="0" xr:uid="{00000000-0006-0000-3500-000085000000}">
      <text>
        <r>
          <rPr>
            <sz val="8"/>
            <color indexed="81"/>
            <rFont val="Tahoma"/>
            <family val="2"/>
          </rPr>
          <t>Data from "Life Cycle Material Data Update for GREET Model" Keoleian et al. 2011
Appendix p. 53</t>
        </r>
      </text>
    </comment>
    <comment ref="K82" authorId="0" shapeId="0" xr:uid="{00000000-0006-0000-3500-000086000000}">
      <text>
        <r>
          <rPr>
            <sz val="8"/>
            <color indexed="81"/>
            <rFont val="Tahoma"/>
            <family val="2"/>
          </rPr>
          <t>Data from "Life Cycle Material Data Update for GREET Model" Keoleian et al. 2011
Appendix p. 56</t>
        </r>
      </text>
    </comment>
    <comment ref="M82" authorId="0" shapeId="0" xr:uid="{00000000-0006-0000-3500-000087000000}">
      <text>
        <r>
          <rPr>
            <sz val="8"/>
            <color indexed="81"/>
            <rFont val="Tahoma"/>
            <family val="2"/>
          </rPr>
          <t>Data from "Life Cycle Material Data Update for GREET Model" Keoleian et al. 2011
There was a typo in Appendix p. 59, the correct value is 69762.507</t>
        </r>
      </text>
    </comment>
    <comment ref="O82" authorId="0" shapeId="0" xr:uid="{00000000-0006-0000-3500-000088000000}">
      <text>
        <r>
          <rPr>
            <sz val="8"/>
            <color indexed="81"/>
            <rFont val="Tahoma"/>
            <family val="2"/>
          </rPr>
          <t>Data from "Life Cycle Material Data Update for GREET Model" Keoleian et al. 2011
Appendix p. 62</t>
        </r>
      </text>
    </comment>
    <comment ref="Q82" authorId="0" shapeId="0" xr:uid="{00000000-0006-0000-3500-000089000000}">
      <text>
        <r>
          <rPr>
            <sz val="8"/>
            <color indexed="81"/>
            <rFont val="Tahoma"/>
            <family val="2"/>
          </rPr>
          <t>Data from "Life Cycle Material Data Update for GREET Model" Keoleian et al. 2011
Appendix p. 65</t>
        </r>
      </text>
    </comment>
    <comment ref="S82" authorId="0" shapeId="0" xr:uid="{00000000-0006-0000-3500-00008A000000}">
      <text>
        <r>
          <rPr>
            <sz val="8"/>
            <color indexed="81"/>
            <rFont val="Tahoma"/>
            <family val="2"/>
          </rPr>
          <t>Data from "Life Cycle Material Data Update for GREET Model" Keoleian et al. 2011
Appendix p. 68</t>
        </r>
      </text>
    </comment>
    <comment ref="U82" authorId="0" shapeId="0" xr:uid="{00000000-0006-0000-3500-00008B000000}">
      <text>
        <r>
          <rPr>
            <sz val="8"/>
            <color indexed="81"/>
            <rFont val="Tahoma"/>
            <family val="2"/>
          </rPr>
          <t>Data from "Life Cycle Material Data Update for GREET Model" Keoleian et al. 2011
Appendix p. 71</t>
        </r>
      </text>
    </comment>
    <comment ref="Y82" authorId="0" shapeId="0" xr:uid="{00000000-0006-0000-3500-00008C000000}">
      <text>
        <r>
          <rPr>
            <sz val="8"/>
            <color indexed="81"/>
            <rFont val="Tahoma"/>
            <family val="2"/>
          </rPr>
          <t>Data from "Life Cycle Material Data Update for GREET Model" Keoleian et al. 2011
Appendix p. 77</t>
        </r>
      </text>
    </comment>
    <comment ref="AA82" authorId="0" shapeId="0" xr:uid="{00000000-0006-0000-3500-00008D000000}">
      <text>
        <r>
          <rPr>
            <sz val="8"/>
            <color indexed="81"/>
            <rFont val="Tahoma"/>
            <family val="2"/>
          </rPr>
          <t>Data from "Life Cycle Material Data Update for GREET Model" Keoleian et al. 2011
Appendix p. 80</t>
        </r>
      </text>
    </comment>
    <comment ref="AC82" authorId="0" shapeId="0" xr:uid="{00000000-0006-0000-3500-00008E000000}">
      <text>
        <r>
          <rPr>
            <sz val="8"/>
            <color indexed="81"/>
            <rFont val="Tahoma"/>
            <family val="2"/>
          </rPr>
          <t>Data from "Life Cycle Material Data Update for GREET Model" Keoleian et al. 2011
Appendix p. 83</t>
        </r>
      </text>
    </comment>
    <comment ref="AE82" authorId="0" shapeId="0" xr:uid="{00000000-0006-0000-3500-00008F000000}">
      <text>
        <r>
          <rPr>
            <sz val="8"/>
            <color indexed="81"/>
            <rFont val="Tahoma"/>
            <family val="2"/>
          </rPr>
          <t>Data from "Life Cycle Material Data Update for GREET Model" Keoleian et al. 2011
Appendix p. 86</t>
        </r>
      </text>
    </comment>
    <comment ref="AG82" authorId="0" shapeId="0" xr:uid="{00000000-0006-0000-3500-000090000000}">
      <text>
        <r>
          <rPr>
            <sz val="8"/>
            <color indexed="81"/>
            <rFont val="Tahoma"/>
            <family val="2"/>
          </rPr>
          <t>Data from "Life Cycle Material Data Update for GREET Model" Keoleian et al. 2011
Appendix p. 89</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0" authorId="0" shapeId="0" xr:uid="{00000000-0006-0000-3700-000001000000}">
      <text>
        <r>
          <rPr>
            <sz val="9"/>
            <color indexed="81"/>
            <rFont val="Tahoma"/>
            <family val="2"/>
          </rPr>
          <t>Included Processes:
(1) Quarry and crush: extracting raw material from the earth, crushing to 5-cm (2-inch) pieces, and conveying and stockpiling. (2) Raw meal preparation: recovering materials from stockpiles, proportioning to the correct chemical composition, and grinding and blending. (3) Pyroprocess: processing raw meal to remove water, calcining limestone and causing the mix components to react to form clinker, cooling and storing the clinker. (4) Finish grind: reclaiming the clinker from storage, adding gypsum and grinding to a fine powder, and conveying to storage. It also includes transporting all fuel and materials from their source to the cement plant. That is, it includes the emissions, such as from burning fuel in internal combustion engines, to transport the materials to the cement plant. It also includes combustion of fuel in the cement kiln. From Table 4-4B of NREL's LCI database.</t>
        </r>
      </text>
    </comment>
    <comment ref="C49" authorId="0" shapeId="0" xr:uid="{00000000-0006-0000-3700-000002000000}">
      <text>
        <r>
          <rPr>
            <sz val="9"/>
            <color indexed="81"/>
            <rFont val="Tahoma"/>
            <family val="2"/>
          </rPr>
          <t>CO2 emissions from calcining limestone, basically CaCO3, to lime (CaO)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6" authorId="0" shapeId="0" xr:uid="{00000000-0006-0000-3900-000001000000}">
      <text>
        <r>
          <rPr>
            <b/>
            <sz val="10"/>
            <color indexed="81"/>
            <rFont val="Calibri"/>
            <family val="2"/>
          </rPr>
          <t>Author:</t>
        </r>
        <r>
          <rPr>
            <sz val="10"/>
            <color indexed="81"/>
            <rFont val="Calibri"/>
            <family val="2"/>
          </rPr>
          <t xml:space="preserve">
100% hydro</t>
        </r>
      </text>
    </comment>
    <comment ref="C85" authorId="0" shapeId="0" xr:uid="{00000000-0006-0000-39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5" authorId="0" shapeId="0" xr:uid="{00000000-0006-0000-39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5" authorId="0" shapeId="0" xr:uid="{00000000-0006-0000-39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5" authorId="0" shapeId="0" xr:uid="{00000000-0006-0000-39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5" authorId="0" shapeId="0" xr:uid="{00000000-0006-0000-39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85" authorId="0" shapeId="0" xr:uid="{00000000-0006-0000-39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5" authorId="0" shapeId="0" xr:uid="{00000000-0006-0000-39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7" authorId="0" shapeId="0" xr:uid="{00000000-0006-0000-39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9" authorId="0" shapeId="0" xr:uid="{00000000-0006-0000-39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9" authorId="0" shapeId="0" xr:uid="{00000000-0006-0000-39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9" authorId="0" shapeId="0" xr:uid="{00000000-0006-0000-39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9" authorId="0" shapeId="0" xr:uid="{00000000-0006-0000-39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9" authorId="0" shapeId="0" xr:uid="{00000000-0006-0000-39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0" authorId="0" shapeId="0" xr:uid="{00000000-0006-0000-39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0" authorId="0" shapeId="0" xr:uid="{00000000-0006-0000-39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0" authorId="0" shapeId="0" xr:uid="{00000000-0006-0000-39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0" authorId="0" shapeId="0" xr:uid="{00000000-0006-0000-39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0" authorId="0" shapeId="0" xr:uid="{00000000-0006-0000-39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0" authorId="0" shapeId="0" xr:uid="{00000000-0006-0000-39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1" authorId="0" shapeId="0" xr:uid="{00000000-0006-0000-39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1" authorId="0" shapeId="0" xr:uid="{00000000-0006-0000-39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1" authorId="0" shapeId="0" xr:uid="{00000000-0006-0000-39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1" authorId="0" shapeId="0" xr:uid="{00000000-0006-0000-39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1" authorId="0" shapeId="0" xr:uid="{00000000-0006-0000-39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1" authorId="0" shapeId="0" xr:uid="{00000000-0006-0000-39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2" authorId="0" shapeId="0" xr:uid="{00000000-0006-0000-39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2" authorId="0" shapeId="0" xr:uid="{00000000-0006-0000-39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2" authorId="0" shapeId="0" xr:uid="{00000000-0006-0000-39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2" authorId="0" shapeId="0" xr:uid="{00000000-0006-0000-39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2" authorId="0" shapeId="0" xr:uid="{00000000-0006-0000-39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9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6" authorId="0" shapeId="0" xr:uid="{00000000-0006-0000-39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9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9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9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9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9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A136" authorId="0" shapeId="0" xr:uid="{00000000-0006-0000-3900-000027000000}">
      <text>
        <r>
          <rPr>
            <sz val="8"/>
            <color indexed="81"/>
            <rFont val="Tahoma"/>
            <family val="2"/>
          </rPr>
          <t>GHG calculations for aluminum include CF4 and C2F6.</t>
        </r>
      </text>
    </comment>
    <comment ref="B136" authorId="0" shapeId="0" xr:uid="{00000000-0006-0000-3900-000028000000}">
      <text>
        <r>
          <rPr>
            <sz val="8"/>
            <color indexed="81"/>
            <rFont val="Tahoma"/>
            <family val="2"/>
          </rPr>
          <t>In this cell the GHG calculation includes CF4 and C2F6.</t>
        </r>
      </text>
    </comment>
    <comment ref="C136" authorId="0" shapeId="0" xr:uid="{00000000-0006-0000-3900-000029000000}">
      <text>
        <r>
          <rPr>
            <sz val="8"/>
            <color indexed="81"/>
            <rFont val="Tahoma"/>
            <family val="2"/>
          </rPr>
          <t>In this cell the GHG calculation includes CF4 and C2F6.</t>
        </r>
      </text>
    </comment>
    <comment ref="D136" authorId="0" shapeId="0" xr:uid="{00000000-0006-0000-3900-00002A000000}">
      <text>
        <r>
          <rPr>
            <sz val="8"/>
            <color indexed="81"/>
            <rFont val="Tahoma"/>
            <family val="2"/>
          </rPr>
          <t>In this cell the GHG calculation includes CF4 and C2F6.</t>
        </r>
      </text>
    </comment>
    <comment ref="E136" authorId="0" shapeId="0" xr:uid="{00000000-0006-0000-3900-00002B000000}">
      <text>
        <r>
          <rPr>
            <sz val="8"/>
            <color indexed="81"/>
            <rFont val="Tahoma"/>
            <family val="2"/>
          </rPr>
          <t>In this cell the GHG calculation includes CF4 and C2F6.</t>
        </r>
      </text>
    </comment>
    <comment ref="F136" authorId="0" shapeId="0" xr:uid="{00000000-0006-0000-3900-00002C000000}">
      <text>
        <r>
          <rPr>
            <sz val="8"/>
            <color indexed="81"/>
            <rFont val="Tahoma"/>
            <family val="2"/>
          </rPr>
          <t>In this cell the GHG calculation includes CF4 and C2F6.</t>
        </r>
      </text>
    </comment>
    <comment ref="G136" authorId="0" shapeId="0" xr:uid="{00000000-0006-0000-3900-00002D000000}">
      <text>
        <r>
          <rPr>
            <sz val="8"/>
            <color indexed="81"/>
            <rFont val="Tahoma"/>
            <family val="2"/>
          </rPr>
          <t>In this cell the GHG calculation includes CF4 and C2F6.</t>
        </r>
      </text>
    </comment>
    <comment ref="H136" authorId="0" shapeId="0" xr:uid="{00000000-0006-0000-3900-00002E000000}">
      <text>
        <r>
          <rPr>
            <sz val="8"/>
            <color indexed="81"/>
            <rFont val="Tahoma"/>
            <family val="2"/>
          </rPr>
          <t>In this cell the GHG calculation includes CF4 and C2F6.</t>
        </r>
      </text>
    </comment>
    <comment ref="I136" authorId="0" shapeId="0" xr:uid="{00000000-0006-0000-3900-00002F000000}">
      <text>
        <r>
          <rPr>
            <sz val="8"/>
            <color indexed="81"/>
            <rFont val="Tahoma"/>
            <family val="2"/>
          </rPr>
          <t>In this cell the GHG calculation includes CF4 and C2F6.</t>
        </r>
      </text>
    </comment>
    <comment ref="J136" authorId="0" shapeId="0" xr:uid="{00000000-0006-0000-3900-000030000000}">
      <text>
        <r>
          <rPr>
            <sz val="8"/>
            <color indexed="81"/>
            <rFont val="Tahoma"/>
            <family val="2"/>
          </rPr>
          <t>In this cell the GHG calculation includes CF4 and C2F6.</t>
        </r>
      </text>
    </comment>
    <comment ref="A172" authorId="0" shapeId="0" xr:uid="{00000000-0006-0000-3900-000031000000}">
      <text>
        <r>
          <rPr>
            <sz val="8"/>
            <color indexed="81"/>
            <rFont val="Tahoma"/>
            <family val="2"/>
          </rPr>
          <t>GHG calculations for aluminum include CF4 and C2F6.</t>
        </r>
      </text>
    </comment>
    <comment ref="B172" authorId="0" shapeId="0" xr:uid="{00000000-0006-0000-3900-000032000000}">
      <text>
        <r>
          <rPr>
            <sz val="8"/>
            <color indexed="81"/>
            <rFont val="Tahoma"/>
            <family val="2"/>
          </rPr>
          <t>In this cell the GHG calculation includes CF4 and C2F6.</t>
        </r>
      </text>
    </comment>
    <comment ref="C172" authorId="0" shapeId="0" xr:uid="{00000000-0006-0000-3900-000033000000}">
      <text>
        <r>
          <rPr>
            <sz val="8"/>
            <color indexed="81"/>
            <rFont val="Tahoma"/>
            <family val="2"/>
          </rPr>
          <t>In this cell the GHG calculation includes CF4 and C2F6.</t>
        </r>
      </text>
    </comment>
    <comment ref="D172" authorId="0" shapeId="0" xr:uid="{00000000-0006-0000-3900-000034000000}">
      <text>
        <r>
          <rPr>
            <sz val="8"/>
            <color indexed="81"/>
            <rFont val="Tahoma"/>
            <family val="2"/>
          </rPr>
          <t>In this cell the GHG calculation includes CF4 and C2F6.</t>
        </r>
      </text>
    </comment>
    <comment ref="E172" authorId="0" shapeId="0" xr:uid="{00000000-0006-0000-3900-000035000000}">
      <text>
        <r>
          <rPr>
            <sz val="8"/>
            <color indexed="81"/>
            <rFont val="Tahoma"/>
            <family val="2"/>
          </rPr>
          <t>In this cell the GHG calculation includes CF4 and C2F6.</t>
        </r>
      </text>
    </comment>
    <comment ref="F172" authorId="0" shapeId="0" xr:uid="{00000000-0006-0000-3900-000036000000}">
      <text>
        <r>
          <rPr>
            <sz val="8"/>
            <color indexed="81"/>
            <rFont val="Tahoma"/>
            <family val="2"/>
          </rPr>
          <t>In this cell the GHG calculation includes CF4 and C2F6.</t>
        </r>
      </text>
    </comment>
    <comment ref="G172" authorId="0" shapeId="0" xr:uid="{00000000-0006-0000-3900-000037000000}">
      <text>
        <r>
          <rPr>
            <sz val="8"/>
            <color indexed="81"/>
            <rFont val="Tahoma"/>
            <family val="2"/>
          </rPr>
          <t>In this cell the GHG calculation includes CF4 and C2F6.</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4" authorId="0" shapeId="0" xr:uid="{00000000-0006-0000-3B00-000001000000}">
      <text>
        <r>
          <rPr>
            <b/>
            <sz val="10"/>
            <color indexed="81"/>
            <rFont val="Calibri"/>
            <family val="2"/>
          </rPr>
          <t>Author:</t>
        </r>
        <r>
          <rPr>
            <sz val="10"/>
            <color indexed="81"/>
            <rFont val="Calibri"/>
            <family val="2"/>
          </rPr>
          <t xml:space="preserve">
100% hydro</t>
        </r>
      </text>
    </comment>
    <comment ref="N82" authorId="0" shapeId="0" xr:uid="{00000000-0006-0000-3B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2" authorId="0" shapeId="0" xr:uid="{00000000-0006-0000-3B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2" authorId="0" shapeId="0" xr:uid="{00000000-0006-0000-3B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2" authorId="0" shapeId="0" xr:uid="{00000000-0006-0000-3B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83" authorId="0" shapeId="0" xr:uid="{00000000-0006-0000-3B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3" authorId="0" shapeId="0" xr:uid="{00000000-0006-0000-3B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3" authorId="0" shapeId="0" xr:uid="{00000000-0006-0000-3B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3" authorId="0" shapeId="0" xr:uid="{00000000-0006-0000-3B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4" authorId="0" shapeId="0" xr:uid="{00000000-0006-0000-3B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5" authorId="0" shapeId="0" xr:uid="{00000000-0006-0000-3B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5" authorId="0" shapeId="0" xr:uid="{00000000-0006-0000-3B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6" authorId="0" shapeId="0" xr:uid="{00000000-0006-0000-3B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6" authorId="0" shapeId="0" xr:uid="{00000000-0006-0000-3B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6" authorId="0" shapeId="0" xr:uid="{00000000-0006-0000-3B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6" authorId="0" shapeId="0" xr:uid="{00000000-0006-0000-3B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6" authorId="0" shapeId="0" xr:uid="{00000000-0006-0000-3B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6" authorId="0" shapeId="0" xr:uid="{00000000-0006-0000-3B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7" authorId="0" shapeId="0" xr:uid="{00000000-0006-0000-3B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3" authorId="0" shapeId="0" xr:uid="{00000000-0006-0000-3B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3" authorId="0" shapeId="0" xr:uid="{00000000-0006-0000-3B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3" authorId="0" shapeId="0" xr:uid="{00000000-0006-0000-3B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3" authorId="0" shapeId="0" xr:uid="{00000000-0006-0000-3B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3" authorId="0" shapeId="0" xr:uid="{00000000-0006-0000-3B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93" authorId="0" shapeId="0" xr:uid="{00000000-0006-0000-3B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3" authorId="0" shapeId="0" xr:uid="{00000000-0006-0000-3B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3" authorId="0" shapeId="0" xr:uid="{00000000-0006-0000-3B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3" authorId="0" shapeId="0" xr:uid="{00000000-0006-0000-3B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3" authorId="0" shapeId="0" xr:uid="{00000000-0006-0000-3B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B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5" authorId="0" shapeId="0" xr:uid="{00000000-0006-0000-3B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5" authorId="0" shapeId="0" xr:uid="{00000000-0006-0000-3B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5" authorId="0" shapeId="0" xr:uid="{00000000-0006-0000-3B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6" authorId="0" shapeId="0" xr:uid="{00000000-0006-0000-3B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7" authorId="0" shapeId="0" xr:uid="{00000000-0006-0000-3B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7" authorId="0" shapeId="0" xr:uid="{00000000-0006-0000-3B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B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7" authorId="0" shapeId="0" xr:uid="{00000000-0006-0000-3B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7" authorId="0" shapeId="0" xr:uid="{00000000-0006-0000-3B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7" authorId="0" shapeId="0" xr:uid="{00000000-0006-0000-3B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8" authorId="0" shapeId="0" xr:uid="{00000000-0006-0000-3B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8" authorId="0" shapeId="0" xr:uid="{00000000-0006-0000-3B00-00002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8" authorId="0" shapeId="0" xr:uid="{00000000-0006-0000-3B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B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8" authorId="0" shapeId="0" xr:uid="{00000000-0006-0000-3B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8" authorId="0" shapeId="0" xr:uid="{00000000-0006-0000-3B00-00002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8" authorId="0" shapeId="0" xr:uid="{00000000-0006-0000-3B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8" authorId="0" shapeId="0" xr:uid="{00000000-0006-0000-3B00-00003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9" authorId="0" shapeId="0" xr:uid="{00000000-0006-0000-3B00-00003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9" authorId="0" shapeId="0" xr:uid="{00000000-0006-0000-3B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B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B00-00003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9" authorId="0" shapeId="0" xr:uid="{00000000-0006-0000-3B00-00003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B00-00003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9" authorId="0" shapeId="0" xr:uid="{00000000-0006-0000-3B00-00003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9" authorId="0" shapeId="0" xr:uid="{00000000-0006-0000-3B00-00003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100" authorId="0" shapeId="0" xr:uid="{00000000-0006-0000-3B00-00003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0" authorId="0" shapeId="0" xr:uid="{00000000-0006-0000-3B00-00003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0" authorId="0" shapeId="0" xr:uid="{00000000-0006-0000-3B00-00003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100" authorId="0" shapeId="0" xr:uid="{00000000-0006-0000-3B00-00003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0" authorId="0" shapeId="0" xr:uid="{00000000-0006-0000-3B00-00003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100" authorId="0" shapeId="0" xr:uid="{00000000-0006-0000-3B00-00003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00" authorId="0" shapeId="0" xr:uid="{00000000-0006-0000-3B00-00003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3" authorId="0" shapeId="0" xr:uid="{00000000-0006-0000-3B00-00004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3" authorId="0" shapeId="0" xr:uid="{00000000-0006-0000-3B00-00004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4" authorId="0" shapeId="0" xr:uid="{00000000-0006-0000-3B00-00004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4" authorId="0" shapeId="0" xr:uid="{00000000-0006-0000-3B00-00004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5" authorId="0" shapeId="0" xr:uid="{00000000-0006-0000-3B00-00004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6" authorId="0" shapeId="0" xr:uid="{00000000-0006-0000-3B00-00004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7" authorId="0" shapeId="0" xr:uid="{00000000-0006-0000-3B00-00004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7" authorId="0" shapeId="0" xr:uid="{00000000-0006-0000-3B00-00004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7" authorId="0" shapeId="0" xr:uid="{00000000-0006-0000-3B00-00004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20" authorId="0" shapeId="0" xr:uid="{00000000-0006-0000-3B00-000049000000}">
      <text>
        <r>
          <rPr>
            <sz val="9"/>
            <color indexed="81"/>
            <rFont val="Tahoma"/>
            <family val="2"/>
          </rPr>
          <t>1.9154 ton Al2O3/ton Al</t>
        </r>
      </text>
    </comment>
    <comment ref="A146" authorId="0" shapeId="0" xr:uid="{00000000-0006-0000-3B00-00004A000000}">
      <text>
        <r>
          <rPr>
            <sz val="8"/>
            <color indexed="81"/>
            <rFont val="Tahoma"/>
            <family val="2"/>
          </rPr>
          <t>GHG calculations for aluminum include CF4 and C2F6.</t>
        </r>
      </text>
    </comment>
    <comment ref="C146" authorId="0" shapeId="0" xr:uid="{00000000-0006-0000-3B00-00004B000000}">
      <text>
        <r>
          <rPr>
            <sz val="8"/>
            <color indexed="81"/>
            <rFont val="Tahoma"/>
            <family val="2"/>
          </rPr>
          <t>In this cell the GHG calculation includes CF4 and C2F6.</t>
        </r>
      </text>
    </comment>
    <comment ref="D146" authorId="0" shapeId="0" xr:uid="{00000000-0006-0000-3B00-00004C000000}">
      <text>
        <r>
          <rPr>
            <sz val="8"/>
            <color indexed="81"/>
            <rFont val="Tahoma"/>
            <family val="2"/>
          </rPr>
          <t>In this cell the GHG calculation includes CF4 and C2F6.</t>
        </r>
      </text>
    </comment>
    <comment ref="E146" authorId="0" shapeId="0" xr:uid="{00000000-0006-0000-3B00-00004D000000}">
      <text>
        <r>
          <rPr>
            <sz val="8"/>
            <color indexed="81"/>
            <rFont val="Tahoma"/>
            <family val="2"/>
          </rPr>
          <t>In this cell the GHG calculation includes CF4 and C2F6.</t>
        </r>
      </text>
    </comment>
    <comment ref="F146" authorId="0" shapeId="0" xr:uid="{00000000-0006-0000-3B00-00004E000000}">
      <text>
        <r>
          <rPr>
            <sz val="8"/>
            <color indexed="81"/>
            <rFont val="Tahoma"/>
            <family val="2"/>
          </rPr>
          <t>In this cell the GHG calculation includes CF4 and C2F6.</t>
        </r>
      </text>
    </comment>
    <comment ref="G146" authorId="0" shapeId="0" xr:uid="{00000000-0006-0000-3B00-00004F000000}">
      <text>
        <r>
          <rPr>
            <sz val="8"/>
            <color indexed="81"/>
            <rFont val="Tahoma"/>
            <family val="2"/>
          </rPr>
          <t>In this cell the GHG calculation includes CF4 and C2F6.</t>
        </r>
      </text>
    </comment>
    <comment ref="H146" authorId="0" shapeId="0" xr:uid="{00000000-0006-0000-3B00-000050000000}">
      <text>
        <r>
          <rPr>
            <sz val="8"/>
            <color indexed="81"/>
            <rFont val="Tahoma"/>
            <family val="2"/>
          </rPr>
          <t>In this cell the GHG calculation includes CF4 and C2F6.</t>
        </r>
      </text>
    </comment>
    <comment ref="I146" authorId="0" shapeId="0" xr:uid="{00000000-0006-0000-3B00-000051000000}">
      <text>
        <r>
          <rPr>
            <sz val="8"/>
            <color indexed="81"/>
            <rFont val="Tahoma"/>
            <family val="2"/>
          </rPr>
          <t>In this cell the GHG calculation includes CF4 and C2F6.</t>
        </r>
      </text>
    </comment>
    <comment ref="J146" authorId="0" shapeId="0" xr:uid="{00000000-0006-0000-3B00-000052000000}">
      <text>
        <r>
          <rPr>
            <sz val="8"/>
            <color indexed="81"/>
            <rFont val="Tahoma"/>
            <family val="2"/>
          </rPr>
          <t>In this cell the GHG calculation includes CF4 and C2F6.</t>
        </r>
      </text>
    </comment>
    <comment ref="K146" authorId="0" shapeId="0" xr:uid="{00000000-0006-0000-3B00-000053000000}">
      <text>
        <r>
          <rPr>
            <sz val="8"/>
            <color indexed="81"/>
            <rFont val="Tahoma"/>
            <family val="2"/>
          </rPr>
          <t>In this cell the GHG calculation includes CF4 and C2F6.</t>
        </r>
      </text>
    </comment>
    <comment ref="L146" authorId="0" shapeId="0" xr:uid="{00000000-0006-0000-3B00-000054000000}">
      <text>
        <r>
          <rPr>
            <sz val="8"/>
            <color indexed="81"/>
            <rFont val="Tahoma"/>
            <family val="2"/>
          </rPr>
          <t>In this cell the GHG calculation includes CF4 and C2F6.</t>
        </r>
      </text>
    </comment>
    <comment ref="M146" authorId="0" shapeId="0" xr:uid="{00000000-0006-0000-3B00-000055000000}">
      <text>
        <r>
          <rPr>
            <sz val="8"/>
            <color indexed="81"/>
            <rFont val="Tahoma"/>
            <family val="2"/>
          </rPr>
          <t>In this cell the GHG calculation includes CF4 and C2F6.</t>
        </r>
      </text>
    </comment>
    <comment ref="N146" authorId="0" shapeId="0" xr:uid="{00000000-0006-0000-3B00-000056000000}">
      <text>
        <r>
          <rPr>
            <sz val="8"/>
            <color indexed="81"/>
            <rFont val="Tahoma"/>
            <family val="2"/>
          </rPr>
          <t>In this cell the GHG calculation includes CF4 and C2F6.</t>
        </r>
      </text>
    </comment>
    <comment ref="O146" authorId="0" shapeId="0" xr:uid="{00000000-0006-0000-3B00-000057000000}">
      <text>
        <r>
          <rPr>
            <sz val="8"/>
            <color indexed="81"/>
            <rFont val="Tahoma"/>
            <family val="2"/>
          </rPr>
          <t>In this cell the GHG calculation includes CF4 and C2F6.</t>
        </r>
      </text>
    </comment>
    <comment ref="P146" authorId="0" shapeId="0" xr:uid="{00000000-0006-0000-3B00-000058000000}">
      <text>
        <r>
          <rPr>
            <sz val="8"/>
            <color indexed="81"/>
            <rFont val="Tahoma"/>
            <family val="2"/>
          </rPr>
          <t>In this cell the GHG calculation includes CF4 and C2F6.</t>
        </r>
      </text>
    </comment>
    <comment ref="Q146" authorId="0" shapeId="0" xr:uid="{00000000-0006-0000-3B00-000059000000}">
      <text>
        <r>
          <rPr>
            <sz val="8"/>
            <color indexed="81"/>
            <rFont val="Tahoma"/>
            <family val="2"/>
          </rPr>
          <t>In this cell the GHG calculation includes CF4 and C2F6.</t>
        </r>
      </text>
    </comment>
    <comment ref="R146" authorId="0" shapeId="0" xr:uid="{00000000-0006-0000-3B00-00005A000000}">
      <text>
        <r>
          <rPr>
            <sz val="8"/>
            <color indexed="81"/>
            <rFont val="Tahoma"/>
            <family val="2"/>
          </rPr>
          <t>In this cell the GHG calculation includes CF4 and C2F6.</t>
        </r>
      </text>
    </comment>
    <comment ref="S146" authorId="0" shapeId="0" xr:uid="{00000000-0006-0000-3B00-00005B000000}">
      <text>
        <r>
          <rPr>
            <sz val="8"/>
            <color indexed="81"/>
            <rFont val="Tahoma"/>
            <family val="2"/>
          </rPr>
          <t>In this cell the GHG calculation includes CF4 and C2F6.</t>
        </r>
      </text>
    </comment>
    <comment ref="T146" authorId="0" shapeId="0" xr:uid="{00000000-0006-0000-3B00-00005C000000}">
      <text>
        <r>
          <rPr>
            <sz val="8"/>
            <color indexed="81"/>
            <rFont val="Tahoma"/>
            <family val="2"/>
          </rPr>
          <t>In this cell the GHG calculation includes CF4 and C2F6.</t>
        </r>
      </text>
    </comment>
    <comment ref="U146" authorId="0" shapeId="0" xr:uid="{00000000-0006-0000-3B00-00005D000000}">
      <text>
        <r>
          <rPr>
            <sz val="8"/>
            <color indexed="81"/>
            <rFont val="Tahoma"/>
            <family val="2"/>
          </rPr>
          <t>In this cell the GHG calculation includes CF4 and C2F6.</t>
        </r>
      </text>
    </comment>
    <comment ref="V146" authorId="0" shapeId="0" xr:uid="{00000000-0006-0000-3B00-00005E000000}">
      <text>
        <r>
          <rPr>
            <sz val="8"/>
            <color indexed="81"/>
            <rFont val="Tahoma"/>
            <family val="2"/>
          </rPr>
          <t>In this cell the GHG calculation includes CF4 and C2F6.</t>
        </r>
      </text>
    </comment>
    <comment ref="X146" authorId="0" shapeId="0" xr:uid="{00000000-0006-0000-3B00-00005F000000}">
      <text>
        <r>
          <rPr>
            <sz val="8"/>
            <color indexed="81"/>
            <rFont val="Tahoma"/>
            <family val="2"/>
          </rPr>
          <t>In this cell the GHG calculation includes CF4 and C2F6.</t>
        </r>
      </text>
    </comment>
    <comment ref="A184" authorId="0" shapeId="0" xr:uid="{00000000-0006-0000-3B00-000060000000}">
      <text>
        <r>
          <rPr>
            <sz val="8"/>
            <color indexed="81"/>
            <rFont val="Tahoma"/>
            <family val="2"/>
          </rPr>
          <t>GHG calculations for aluminum include CF4 and C2F6.</t>
        </r>
      </text>
    </comment>
    <comment ref="B184" authorId="0" shapeId="0" xr:uid="{00000000-0006-0000-3B00-000061000000}">
      <text>
        <r>
          <rPr>
            <sz val="8"/>
            <color indexed="81"/>
            <rFont val="Tahoma"/>
            <family val="2"/>
          </rPr>
          <t>In this cell the GHG calculation includes CF4 and C2F6.</t>
        </r>
      </text>
    </comment>
    <comment ref="C184" authorId="0" shapeId="0" xr:uid="{00000000-0006-0000-3B00-000062000000}">
      <text>
        <r>
          <rPr>
            <sz val="8"/>
            <color indexed="81"/>
            <rFont val="Tahoma"/>
            <family val="2"/>
          </rPr>
          <t>In this cell the GHG calculation includes CF4 and C2F6.</t>
        </r>
      </text>
    </comment>
    <comment ref="D184" authorId="0" shapeId="0" xr:uid="{00000000-0006-0000-3B00-000063000000}">
      <text>
        <r>
          <rPr>
            <sz val="8"/>
            <color indexed="81"/>
            <rFont val="Tahoma"/>
            <family val="2"/>
          </rPr>
          <t>In this cell the GHG calculation includes CF4 and C2F6.</t>
        </r>
      </text>
    </comment>
    <comment ref="E184" authorId="0" shapeId="0" xr:uid="{00000000-0006-0000-3B00-000064000000}">
      <text>
        <r>
          <rPr>
            <sz val="8"/>
            <color indexed="81"/>
            <rFont val="Tahoma"/>
            <family val="2"/>
          </rPr>
          <t>In this cell the GHG calculation includes CF4 and C2F6.</t>
        </r>
      </text>
    </comment>
    <comment ref="F184" authorId="0" shapeId="0" xr:uid="{00000000-0006-0000-3B00-000065000000}">
      <text>
        <r>
          <rPr>
            <sz val="8"/>
            <color indexed="81"/>
            <rFont val="Tahoma"/>
            <family val="2"/>
          </rPr>
          <t>In this cell the GHG calculation includes CF4 and C2F6.</t>
        </r>
      </text>
    </comment>
    <comment ref="G184" authorId="0" shapeId="0" xr:uid="{00000000-0006-0000-3B00-000066000000}">
      <text>
        <r>
          <rPr>
            <sz val="8"/>
            <color indexed="81"/>
            <rFont val="Tahoma"/>
            <family val="2"/>
          </rPr>
          <t>In this cell the GHG calculation includes CF4 and C2F6.</t>
        </r>
      </text>
    </comment>
    <comment ref="H184" authorId="0" shapeId="0" xr:uid="{00000000-0006-0000-3B00-000067000000}">
      <text>
        <r>
          <rPr>
            <sz val="8"/>
            <color indexed="81"/>
            <rFont val="Tahoma"/>
            <family val="2"/>
          </rPr>
          <t>In this cell the GHG calculation includes CF4 and C2F6.</t>
        </r>
      </text>
    </comment>
    <comment ref="I184" authorId="0" shapeId="0" xr:uid="{00000000-0006-0000-3B00-000068000000}">
      <text>
        <r>
          <rPr>
            <sz val="8"/>
            <color indexed="81"/>
            <rFont val="Tahoma"/>
            <family val="2"/>
          </rPr>
          <t>In this cell the GHG calculation includes CF4 and C2F6.</t>
        </r>
      </text>
    </comment>
    <comment ref="J184" authorId="0" shapeId="0" xr:uid="{00000000-0006-0000-3B00-000069000000}">
      <text>
        <r>
          <rPr>
            <sz val="8"/>
            <color indexed="81"/>
            <rFont val="Tahoma"/>
            <family val="2"/>
          </rPr>
          <t>In this cell the GHG calculation includes CF4 and C2F6.</t>
        </r>
      </text>
    </comment>
    <comment ref="K184" authorId="0" shapeId="0" xr:uid="{00000000-0006-0000-3B00-00006A000000}">
      <text>
        <r>
          <rPr>
            <sz val="8"/>
            <color indexed="81"/>
            <rFont val="Tahoma"/>
            <family val="2"/>
          </rPr>
          <t>In this cell the GHG calculation includes CF4 and C2F6.</t>
        </r>
      </text>
    </comment>
    <comment ref="L184" authorId="0" shapeId="0" xr:uid="{00000000-0006-0000-3B00-00006B000000}">
      <text>
        <r>
          <rPr>
            <sz val="8"/>
            <color indexed="81"/>
            <rFont val="Tahoma"/>
            <family val="2"/>
          </rPr>
          <t>In this cell the GHG calculation includes CF4 and C2F6.</t>
        </r>
      </text>
    </comment>
    <comment ref="M184" authorId="0" shapeId="0" xr:uid="{00000000-0006-0000-3B00-00006C000000}">
      <text>
        <r>
          <rPr>
            <sz val="8"/>
            <color indexed="81"/>
            <rFont val="Tahoma"/>
            <family val="2"/>
          </rPr>
          <t>In this cell the GHG calculation includes CF4 and C2F6.</t>
        </r>
      </text>
    </comment>
    <comment ref="N184" authorId="0" shapeId="0" xr:uid="{00000000-0006-0000-3B00-00006D000000}">
      <text>
        <r>
          <rPr>
            <sz val="8"/>
            <color indexed="81"/>
            <rFont val="Tahoma"/>
            <family val="2"/>
          </rPr>
          <t>In this cell the GHG calculation includes CF4 and C2F6.</t>
        </r>
      </text>
    </comment>
    <comment ref="O184" authorId="0" shapeId="0" xr:uid="{00000000-0006-0000-3B00-00006E000000}">
      <text>
        <r>
          <rPr>
            <sz val="8"/>
            <color indexed="81"/>
            <rFont val="Tahoma"/>
            <family val="2"/>
          </rPr>
          <t>In this cell the GHG calculation includes CF4 and C2F6.</t>
        </r>
      </text>
    </comment>
    <comment ref="P184" authorId="0" shapeId="0" xr:uid="{00000000-0006-0000-3B00-00006F000000}">
      <text>
        <r>
          <rPr>
            <sz val="8"/>
            <color indexed="81"/>
            <rFont val="Tahoma"/>
            <family val="2"/>
          </rPr>
          <t>In this cell the GHG calculation includes CF4 and C2F6.</t>
        </r>
      </text>
    </comment>
    <comment ref="Q184" authorId="0" shapeId="0" xr:uid="{00000000-0006-0000-3B00-000070000000}">
      <text>
        <r>
          <rPr>
            <sz val="8"/>
            <color indexed="81"/>
            <rFont val="Tahoma"/>
            <family val="2"/>
          </rPr>
          <t>In this cell the GHG calculation includes CF4 and C2F6.</t>
        </r>
      </text>
    </comment>
    <comment ref="R184" authorId="0" shapeId="0" xr:uid="{00000000-0006-0000-3B00-000071000000}">
      <text>
        <r>
          <rPr>
            <sz val="8"/>
            <color indexed="81"/>
            <rFont val="Tahoma"/>
            <family val="2"/>
          </rPr>
          <t>In this cell the GHG calculation includes CF4 and C2F6.</t>
        </r>
      </text>
    </comment>
    <comment ref="S184" authorId="0" shapeId="0" xr:uid="{00000000-0006-0000-3B00-000072000000}">
      <text>
        <r>
          <rPr>
            <sz val="8"/>
            <color indexed="81"/>
            <rFont val="Tahoma"/>
            <family val="2"/>
          </rPr>
          <t>In this cell the GHG calculation includes CF4 and C2F6.</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6" authorId="0" shapeId="0" xr:uid="{00000000-0006-0000-3C00-000001000000}">
      <text>
        <r>
          <rPr>
            <sz val="8"/>
            <color indexed="81"/>
            <rFont val="Tahoma"/>
            <family val="2"/>
          </rPr>
          <t>Includes central boiler station which provides steam to other process stages</t>
        </r>
      </text>
    </comment>
    <comment ref="E56" authorId="0" shapeId="0" xr:uid="{00000000-0006-0000-3C00-000002000000}">
      <text>
        <r>
          <rPr>
            <sz val="9"/>
            <color indexed="81"/>
            <rFont val="Tahoma"/>
            <family val="2"/>
          </rPr>
          <t>Products</t>
        </r>
      </text>
    </comment>
    <comment ref="E57" authorId="0" shapeId="0" xr:uid="{00000000-0006-0000-3C00-000003000000}">
      <text>
        <r>
          <rPr>
            <sz val="9"/>
            <color indexed="81"/>
            <rFont val="Tahoma"/>
            <family val="2"/>
          </rPr>
          <t>Products</t>
        </r>
      </text>
    </comment>
    <comment ref="E58" authorId="0" shapeId="0" xr:uid="{00000000-0006-0000-3C00-000004000000}">
      <text>
        <r>
          <rPr>
            <sz val="9"/>
            <color indexed="81"/>
            <rFont val="Tahoma"/>
            <family val="2"/>
          </rPr>
          <t>Products</t>
        </r>
      </text>
    </comment>
    <comment ref="J59" authorId="0" shapeId="0" xr:uid="{00000000-0006-0000-3C00-000005000000}">
      <text>
        <r>
          <rPr>
            <sz val="9"/>
            <color indexed="81"/>
            <rFont val="Tahoma"/>
            <family val="2"/>
          </rPr>
          <t>Products</t>
        </r>
      </text>
    </comment>
    <comment ref="E60" authorId="0" shapeId="0" xr:uid="{00000000-0006-0000-3C00-000006000000}">
      <text>
        <r>
          <rPr>
            <sz val="9"/>
            <color indexed="81"/>
            <rFont val="Tahoma"/>
            <family val="2"/>
          </rPr>
          <t>Products</t>
        </r>
      </text>
    </comment>
    <comment ref="E68" authorId="0" shapeId="0" xr:uid="{00000000-0006-0000-3C00-000007000000}">
      <text>
        <r>
          <rPr>
            <sz val="8"/>
            <color indexed="81"/>
            <rFont val="Tahoma"/>
            <family val="2"/>
          </rPr>
          <t>Data based on Athena, Cradle-to-gate life cycle inventory: Canadian and US Steel Production by Mill Type, 2002</t>
        </r>
      </text>
    </comment>
    <comment ref="H68" authorId="0" shapeId="0" xr:uid="{00000000-0006-0000-3C00-000008000000}">
      <text>
        <r>
          <rPr>
            <sz val="8"/>
            <color indexed="81"/>
            <rFont val="Tahoma"/>
            <family val="2"/>
          </rPr>
          <t>Data based on Athena, Cradle-to-gate life cycle inventory: Canadian and US Steel Production by Mill Type, 2002</t>
        </r>
      </text>
    </comment>
    <comment ref="J68" authorId="0" shapeId="0" xr:uid="{00000000-0006-0000-3C00-000009000000}">
      <text>
        <r>
          <rPr>
            <sz val="8"/>
            <color indexed="81"/>
            <rFont val="Tahoma"/>
            <family val="2"/>
          </rPr>
          <t>Data based on Athena, Cradle-to-gate life cycle inventory: Canadian and US Steel Production by Mill Type, 2002</t>
        </r>
      </text>
    </comment>
    <comment ref="L68" authorId="0" shapeId="0" xr:uid="{00000000-0006-0000-3C00-00000A000000}">
      <text>
        <r>
          <rPr>
            <sz val="8"/>
            <color indexed="81"/>
            <rFont val="Tahoma"/>
            <family val="2"/>
          </rPr>
          <t>Data based on Athena, Cradle-to-gate life cycle inventory: Canadian and US Steel Production by Mill Type, 2002</t>
        </r>
      </text>
    </comment>
    <comment ref="Z68" authorId="0" shapeId="0" xr:uid="{00000000-0006-0000-3C00-00000B000000}">
      <text>
        <r>
          <rPr>
            <sz val="8"/>
            <color indexed="81"/>
            <rFont val="Tahoma"/>
            <family val="2"/>
          </rPr>
          <t>Data based on Athena, Cradle-to-gate life cycle inventory: Canadian and US Steel Production by Mill Type, 2002</t>
        </r>
      </text>
    </comment>
    <comment ref="E69" authorId="0" shapeId="0" xr:uid="{00000000-0006-0000-3C00-00000C000000}">
      <text>
        <r>
          <rPr>
            <sz val="8"/>
            <color indexed="81"/>
            <rFont val="Tahoma"/>
            <family val="2"/>
          </rPr>
          <t>Data based on Athena, Cradle-to-gate life cycle inventory: Canadian and US Steel Production by Mill Type, 2002</t>
        </r>
      </text>
    </comment>
    <comment ref="H69" authorId="0" shapeId="0" xr:uid="{00000000-0006-0000-3C00-00000D000000}">
      <text>
        <r>
          <rPr>
            <sz val="8"/>
            <color indexed="81"/>
            <rFont val="Tahoma"/>
            <family val="2"/>
          </rPr>
          <t>Data based on Athena, Cradle-to-gate life cycle inventory: Canadian and US Steel Production by Mill Type, 2002</t>
        </r>
      </text>
    </comment>
    <comment ref="J69" authorId="0" shapeId="0" xr:uid="{00000000-0006-0000-3C00-00000E000000}">
      <text>
        <r>
          <rPr>
            <sz val="8"/>
            <color indexed="81"/>
            <rFont val="Tahoma"/>
            <family val="2"/>
          </rPr>
          <t>Data based on Athena, Cradle-to-gate life cycle inventory: Canadian and US Steel Production by Mill Type, 2002</t>
        </r>
      </text>
    </comment>
    <comment ref="L69" authorId="0" shapeId="0" xr:uid="{00000000-0006-0000-3C00-00000F000000}">
      <text>
        <r>
          <rPr>
            <sz val="8"/>
            <color indexed="81"/>
            <rFont val="Tahoma"/>
            <family val="2"/>
          </rPr>
          <t>Data based on Athena, Cradle-to-gate life cycle inventory: Canadian and US Steel Production by Mill Type, 2002</t>
        </r>
      </text>
    </comment>
    <comment ref="Z69" authorId="0" shapeId="0" xr:uid="{00000000-0006-0000-3C00-000010000000}">
      <text>
        <r>
          <rPr>
            <sz val="8"/>
            <color indexed="81"/>
            <rFont val="Tahoma"/>
            <family val="2"/>
          </rPr>
          <t>Data based on Athena, Cradle-to-gate life cycle inventory: Canadian and US Steel Production by Mill Type, 2002</t>
        </r>
      </text>
    </comment>
    <comment ref="E70" authorId="0" shapeId="0" xr:uid="{00000000-0006-0000-3C00-000011000000}">
      <text>
        <r>
          <rPr>
            <sz val="8"/>
            <color indexed="81"/>
            <rFont val="Tahoma"/>
            <family val="2"/>
          </rPr>
          <t>Data based on Athena, Cradle-to-gate life cycle inventory: Canadian and US Steel Production by Mill Type, 2002</t>
        </r>
      </text>
    </comment>
    <comment ref="H70" authorId="0" shapeId="0" xr:uid="{00000000-0006-0000-3C00-000012000000}">
      <text>
        <r>
          <rPr>
            <sz val="8"/>
            <color indexed="81"/>
            <rFont val="Tahoma"/>
            <family val="2"/>
          </rPr>
          <t>Data based on Athena, Cradle-to-gate life cycle inventory: Canadian and US Steel Production by Mill Type, 2002</t>
        </r>
      </text>
    </comment>
    <comment ref="J70" authorId="0" shapeId="0" xr:uid="{00000000-0006-0000-3C00-000013000000}">
      <text>
        <r>
          <rPr>
            <sz val="8"/>
            <color indexed="81"/>
            <rFont val="Tahoma"/>
            <family val="2"/>
          </rPr>
          <t>Data based on Athena, Cradle-to-gate life cycle inventory: Canadian and US Steel Production by Mill Type, 2002</t>
        </r>
      </text>
    </comment>
    <comment ref="L70" authorId="0" shapeId="0" xr:uid="{00000000-0006-0000-3C00-000014000000}">
      <text>
        <r>
          <rPr>
            <sz val="8"/>
            <color indexed="81"/>
            <rFont val="Tahoma"/>
            <family val="2"/>
          </rPr>
          <t>Data based on Athena, Cradle-to-gate life cycle inventory: Canadian and US Steel Production by Mill Type, 2002</t>
        </r>
      </text>
    </comment>
    <comment ref="Z70" authorId="0" shapeId="0" xr:uid="{00000000-0006-0000-3C00-000015000000}">
      <text>
        <r>
          <rPr>
            <sz val="8"/>
            <color indexed="81"/>
            <rFont val="Tahoma"/>
            <family val="2"/>
          </rPr>
          <t>Data based on Athena, Cradle-to-gate life cycle inventory: Canadian and US Steel Production by Mill Type, 2002</t>
        </r>
      </text>
    </comment>
    <comment ref="E71" authorId="0" shapeId="0" xr:uid="{00000000-0006-0000-3C00-000016000000}">
      <text>
        <r>
          <rPr>
            <sz val="8"/>
            <color indexed="81"/>
            <rFont val="Tahoma"/>
            <family val="2"/>
          </rPr>
          <t>Data based on Athena, Cradle-to-gate life cycle inventory: Canadian and US Steel Production by Mill Type, 2002</t>
        </r>
      </text>
    </comment>
    <comment ref="H71" authorId="0" shapeId="0" xr:uid="{00000000-0006-0000-3C00-000017000000}">
      <text>
        <r>
          <rPr>
            <sz val="8"/>
            <color indexed="81"/>
            <rFont val="Tahoma"/>
            <family val="2"/>
          </rPr>
          <t>Data based on Athena, Cradle-to-gate life cycle inventory: Canadian and US Steel Production by Mill Type, 2002</t>
        </r>
      </text>
    </comment>
    <comment ref="J71" authorId="0" shapeId="0" xr:uid="{00000000-0006-0000-3C00-000018000000}">
      <text>
        <r>
          <rPr>
            <sz val="8"/>
            <color indexed="81"/>
            <rFont val="Tahoma"/>
            <family val="2"/>
          </rPr>
          <t>Data based on Athena, Cradle-to-gate life cycle inventory: Canadian and US Steel Production by Mill Type, 2002</t>
        </r>
      </text>
    </comment>
    <comment ref="L71" authorId="0" shapeId="0" xr:uid="{00000000-0006-0000-3C00-000019000000}">
      <text>
        <r>
          <rPr>
            <sz val="8"/>
            <color indexed="81"/>
            <rFont val="Tahoma"/>
            <family val="2"/>
          </rPr>
          <t>Data based on Athena, Cradle-to-gate life cycle inventory: Canadian and US Steel Production by Mill Type, 2002</t>
        </r>
      </text>
    </comment>
    <comment ref="Z71" authorId="0" shapeId="0" xr:uid="{00000000-0006-0000-3C00-00001A000000}">
      <text>
        <r>
          <rPr>
            <sz val="8"/>
            <color indexed="81"/>
            <rFont val="Tahoma"/>
            <family val="2"/>
          </rPr>
          <t>Data based on Athena, Cradle-to-gate life cycle inventory: Canadian and US Steel Production by Mill Type, 2002</t>
        </r>
      </text>
    </comment>
    <comment ref="E73" authorId="0" shapeId="0" xr:uid="{00000000-0006-0000-3C00-00001B000000}">
      <text>
        <r>
          <rPr>
            <sz val="8"/>
            <color indexed="81"/>
            <rFont val="Tahoma"/>
            <family val="2"/>
          </rPr>
          <t>Data based on Athena, Cradle-to-gate life cycle inventory: Canadian and US Steel Production by Mill Type, 2002</t>
        </r>
      </text>
    </comment>
    <comment ref="H73" authorId="0" shapeId="0" xr:uid="{00000000-0006-0000-3C00-00001C000000}">
      <text>
        <r>
          <rPr>
            <sz val="8"/>
            <color indexed="81"/>
            <rFont val="Tahoma"/>
            <family val="2"/>
          </rPr>
          <t>Data based on Athena, Cradle-to-gate life cycle inventory: Canadian and US Steel Production by Mill Type, 2002</t>
        </r>
      </text>
    </comment>
    <comment ref="J73" authorId="0" shapeId="0" xr:uid="{00000000-0006-0000-3C00-00001D000000}">
      <text>
        <r>
          <rPr>
            <sz val="8"/>
            <color indexed="81"/>
            <rFont val="Tahoma"/>
            <family val="2"/>
          </rPr>
          <t>Data based on Athena, Cradle-to-gate life cycle inventory: Canadian and US Steel Production by Mill Type, 2002</t>
        </r>
      </text>
    </comment>
    <comment ref="Z73" authorId="0" shapeId="0" xr:uid="{00000000-0006-0000-3C00-00001E000000}">
      <text>
        <r>
          <rPr>
            <sz val="8"/>
            <color indexed="81"/>
            <rFont val="Tahoma"/>
            <family val="2"/>
          </rPr>
          <t>Data based on Athena, Cradle-to-gate life cycle inventory: Canadian and US Steel Production by Mill Type, 2002</t>
        </r>
      </text>
    </comment>
    <comment ref="Z76" authorId="0" shapeId="0" xr:uid="{00000000-0006-0000-3C00-00001F000000}">
      <text>
        <r>
          <rPr>
            <sz val="8"/>
            <color indexed="81"/>
            <rFont val="Tahoma"/>
            <family val="2"/>
          </rPr>
          <t>Data based on Athena, Cradle-to-gate life cycle inventory: Canadian and US Steel Production by Mill Type, 2002</t>
        </r>
      </text>
    </comment>
    <comment ref="H78" authorId="0" shapeId="0" xr:uid="{00000000-0006-0000-3C00-000020000000}">
      <text>
        <r>
          <rPr>
            <sz val="8"/>
            <color indexed="81"/>
            <rFont val="Tahoma"/>
            <family val="2"/>
          </rPr>
          <t>Data based on Athena, Cradle-to-gate life cycle inventory: Canadian and US Steel Production by Mill Type, 2002</t>
        </r>
      </text>
    </comment>
    <comment ref="J78" authorId="0" shapeId="0" xr:uid="{00000000-0006-0000-3C00-000021000000}">
      <text>
        <r>
          <rPr>
            <sz val="8"/>
            <color indexed="81"/>
            <rFont val="Tahoma"/>
            <family val="2"/>
          </rPr>
          <t>Data based on Athena, Cradle-to-gate life cycle inventory: Canadian and US Steel Production by Mill Type, 2002</t>
        </r>
      </text>
    </comment>
    <comment ref="Z78" authorId="0" shapeId="0" xr:uid="{00000000-0006-0000-3C00-000022000000}">
      <text>
        <r>
          <rPr>
            <sz val="8"/>
            <color indexed="81"/>
            <rFont val="Tahoma"/>
            <family val="2"/>
          </rPr>
          <t>Data based on Athena, Cradle-to-gate life cycle inventory: Canadian and US Steel Production by Mill Type, 2002</t>
        </r>
      </text>
    </comment>
    <comment ref="B91" authorId="0" shapeId="0" xr:uid="{00000000-0006-0000-3C00-000023000000}">
      <text>
        <r>
          <rPr>
            <sz val="9"/>
            <color indexed="81"/>
            <rFont val="Tahoma"/>
            <family val="2"/>
          </rPr>
          <t>Coke LHV: 25.674 mmBtu/ton
Energy Allocation among Coke, Tar, Benzole and Coke Oven Gas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2" authorId="0" shapeId="0" xr:uid="{00000000-0006-0000-3D00-000001000000}">
      <text>
        <r>
          <rPr>
            <sz val="8"/>
            <color indexed="81"/>
            <rFont val="Tahoma"/>
            <family val="2"/>
          </rPr>
          <t>Data from "Life Cycle Material Data Update for GREET Model" Keoleian et al. 2012
Appendix</t>
        </r>
      </text>
    </comment>
    <comment ref="E44" authorId="0" shapeId="0" xr:uid="{00000000-0006-0000-3D00-000002000000}">
      <text>
        <r>
          <rPr>
            <sz val="8"/>
            <color indexed="81"/>
            <rFont val="Tahoma"/>
            <family val="2"/>
          </rPr>
          <t>Data from "Life Cycle Material Data Update for GREET Model" Keoleian et al. 2012
Appendix</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3" authorId="0" shapeId="0" xr:uid="{00000000-0006-0000-3E00-000001000000}">
      <text>
        <r>
          <rPr>
            <sz val="9"/>
            <color indexed="81"/>
            <rFont val="Tahoma"/>
            <family val="2"/>
          </rPr>
          <t xml:space="preserve">Title: Life Cycle Assessment Update of Glass and Glass Fiber for GREET
Publication Date: September 2015
Authors: Q. Dai, J.C. Kelly, J. Sullivan, and A. Elgowainy
</t>
        </r>
      </text>
    </comment>
    <comment ref="R33" authorId="0" shapeId="0" xr:uid="{00000000-0006-0000-3E00-000002000000}">
      <text>
        <r>
          <rPr>
            <sz val="9"/>
            <color indexed="81"/>
            <rFont val="Tahoma"/>
            <family val="2"/>
          </rPr>
          <t xml:space="preserve">Title: Life Cycle Assessment Update of Glass and Glass Fiber for GREET
Publication Date: September 2015
Authors: Q. Dai, J.C. Kelly, J. Sullivan, and A. Elgowainy
</t>
        </r>
      </text>
    </comment>
    <comment ref="D34" authorId="0" shapeId="0" xr:uid="{00000000-0006-0000-3E00-000003000000}">
      <text>
        <r>
          <rPr>
            <sz val="9"/>
            <color indexed="81"/>
            <rFont val="Tahoma"/>
            <family val="2"/>
          </rPr>
          <t xml:space="preserve">Title: Life Cycle Assessment Update of Glass and Glass Fiber for GREET
Publication Date: September 2015
Authors: Q. Dai, J.C. Kelly, J. Sullivan, and A. Elgowainy
</t>
        </r>
      </text>
    </comment>
    <comment ref="R34" authorId="0" shapeId="0" xr:uid="{00000000-0006-0000-3E00-000004000000}">
      <text>
        <r>
          <rPr>
            <sz val="9"/>
            <color indexed="81"/>
            <rFont val="Tahoma"/>
            <family val="2"/>
          </rPr>
          <t xml:space="preserve">Title: Life Cycle Assessment Update of Glass and Glass Fiber for GREET
Publication Date: September 2015
Authors: Q. Dai, J.C. Kelly, J. Sullivan, and A. Elgowainy
</t>
        </r>
      </text>
    </comment>
    <comment ref="D35" authorId="0" shapeId="0" xr:uid="{00000000-0006-0000-3E00-000005000000}">
      <text>
        <r>
          <rPr>
            <sz val="9"/>
            <color indexed="81"/>
            <rFont val="Tahoma"/>
            <family val="2"/>
          </rPr>
          <t xml:space="preserve">Title: Life Cycle Assessment Update of Glass and Glass Fiber for GREET
Publication Date: September 2015
Authors: Q. Dai, J.C. Kelly, J. Sullivan, and A. Elgowainy
</t>
        </r>
      </text>
    </comment>
    <comment ref="D36" authorId="0" shapeId="0" xr:uid="{00000000-0006-0000-3E00-000006000000}">
      <text>
        <r>
          <rPr>
            <sz val="9"/>
            <color indexed="81"/>
            <rFont val="Tahoma"/>
            <family val="2"/>
          </rPr>
          <t xml:space="preserve">Title: Life Cycle Assessment Update of Glass and Glass Fiber for GREET
Publication Date: September 2015
Authors: Q. Dai, J.C. Kelly, J. Sullivan, and A. Elgowainy
</t>
        </r>
      </text>
    </comment>
    <comment ref="R37" authorId="0" shapeId="0" xr:uid="{00000000-0006-0000-3E00-000007000000}">
      <text>
        <r>
          <rPr>
            <sz val="9"/>
            <color indexed="81"/>
            <rFont val="Tahoma"/>
            <family val="2"/>
          </rPr>
          <t xml:space="preserve">Title: Life Cycle Assessment Update of Glass and Glass Fiber for GREET
Publication Date: September 2015
Authors: Q. Dai, J.C. Kelly, J. Sullivan, and A. Elgowainy
</t>
        </r>
      </text>
    </comment>
    <comment ref="R38" authorId="0" shapeId="0" xr:uid="{00000000-0006-0000-3E00-000008000000}">
      <text>
        <r>
          <rPr>
            <sz val="9"/>
            <color indexed="81"/>
            <rFont val="Tahoma"/>
            <family val="2"/>
          </rPr>
          <t xml:space="preserve">Title: Life Cycle Assessment Update of Glass and Glass Fiber for GREET
Publication Date: September 2015
Authors: Q. Dai, J.C. Kelly, J. Sullivan, and A. Elgowainy
</t>
        </r>
      </text>
    </comment>
    <comment ref="E44" authorId="0" shapeId="0" xr:uid="{00000000-0006-0000-3E00-000009000000}">
      <text>
        <r>
          <rPr>
            <sz val="9"/>
            <color indexed="81"/>
            <rFont val="Tahoma"/>
            <family val="2"/>
          </rPr>
          <t xml:space="preserve">Title: Life Cycle Assessment Update of Glass and Glass Fiber for GREET
Publication Date: September 2015
Authors: Q. Dai, J.C. Kelly, J. Sullivan, and A. Elgowainy
</t>
        </r>
      </text>
    </comment>
    <comment ref="K44" authorId="0" shapeId="0" xr:uid="{00000000-0006-0000-3E00-00000A000000}">
      <text>
        <r>
          <rPr>
            <sz val="9"/>
            <color indexed="81"/>
            <rFont val="Tahoma"/>
            <family val="2"/>
          </rPr>
          <t xml:space="preserve">Title: Life Cycle Assessment Update of Glass and Glass Fiber for GREET
Publication Date: September 2015
Authors: Q. Dai, J.C. Kelly, J. Sullivan, and A. Elgowainy
</t>
        </r>
      </text>
    </comment>
    <comment ref="Q44" authorId="0" shapeId="0" xr:uid="{00000000-0006-0000-3E00-00000B000000}">
      <text>
        <r>
          <rPr>
            <sz val="9"/>
            <color indexed="81"/>
            <rFont val="Tahoma"/>
            <family val="2"/>
          </rPr>
          <t xml:space="preserve">Title: Life Cycle Assessment Update of Glass and Glass Fiber for GREET
Publication Date: September 2015
Authors: Q. Dai, J.C. Kelly, J. Sullivan, and A. Elgowainy
</t>
        </r>
      </text>
    </comment>
    <comment ref="S44" authorId="0" shapeId="0" xr:uid="{00000000-0006-0000-3E00-00000C000000}">
      <text>
        <r>
          <rPr>
            <sz val="9"/>
            <color indexed="81"/>
            <rFont val="Tahoma"/>
            <family val="2"/>
          </rPr>
          <t xml:space="preserve">Title: Life Cycle Assessment Update of Glass and Glass Fiber for GREET
Publication Date: September 2015
Authors: Q. Dai, J.C. Kelly, J. Sullivan, and A. Elgowainy
</t>
        </r>
      </text>
    </comment>
    <comment ref="W44" authorId="0" shapeId="0" xr:uid="{00000000-0006-0000-3E00-00000D000000}">
      <text>
        <r>
          <rPr>
            <sz val="9"/>
            <color indexed="81"/>
            <rFont val="Tahoma"/>
            <family val="2"/>
          </rPr>
          <t xml:space="preserve">Title: Life Cycle Assessment Update of Glass and Glass Fiber for GREET
Publication Date: September 2015
Authors: Q. Dai, J.C. Kelly, J. Sullivan, and A. Elgowainy
</t>
        </r>
      </text>
    </comment>
    <comment ref="G48" authorId="0" shapeId="0" xr:uid="{00000000-0006-0000-3E00-00000E000000}">
      <text>
        <r>
          <rPr>
            <sz val="9"/>
            <color indexed="81"/>
            <rFont val="Tahoma"/>
            <family val="2"/>
          </rPr>
          <t xml:space="preserve">Title: Life Cycle Assessment Update of Glass and Glass Fiber for GREET
Publication Date: September 2015
Authors: Q. Dai, J.C. Kelly, J. Sullivan, and A. Elgowainy
</t>
        </r>
      </text>
    </comment>
    <comment ref="U48" authorId="0" shapeId="0" xr:uid="{00000000-0006-0000-3E00-00000F000000}">
      <text>
        <r>
          <rPr>
            <sz val="9"/>
            <color indexed="81"/>
            <rFont val="Tahoma"/>
            <family val="2"/>
          </rPr>
          <t xml:space="preserve">Title: Life Cycle Assessment Update of Glass and Glass Fiber for GREET
Publication Date: September 2015
Authors: Q. Dai, J.C. Kelly, J. Sullivan, and A. Elgowainy
</t>
        </r>
      </text>
    </comment>
    <comment ref="U49" authorId="0" shapeId="0" xr:uid="{00000000-0006-0000-3E00-000010000000}">
      <text>
        <r>
          <rPr>
            <sz val="9"/>
            <color indexed="81"/>
            <rFont val="Tahoma"/>
            <family val="2"/>
          </rPr>
          <t xml:space="preserve">Title: Life Cycle Assessment Update of Glass and Glass Fiber for GREET
Publication Date: September 2015
Authors: Q. Dai, J.C. Kelly, J. Sullivan, and A. Elgowainy
</t>
        </r>
      </text>
    </comment>
    <comment ref="U50" authorId="0" shapeId="0" xr:uid="{00000000-0006-0000-3E00-000011000000}">
      <text>
        <r>
          <rPr>
            <sz val="9"/>
            <color indexed="81"/>
            <rFont val="Tahoma"/>
            <family val="2"/>
          </rPr>
          <t xml:space="preserve">Title: Life Cycle Assessment Update of Glass and Glass Fiber for GREET
Publication Date: September 2015
Authors: Q. Dai, J.C. Kelly, J. Sullivan, and A. Elgowainy
</t>
        </r>
      </text>
    </comment>
    <comment ref="G51" authorId="0" shapeId="0" xr:uid="{00000000-0006-0000-3E00-000012000000}">
      <text>
        <r>
          <rPr>
            <sz val="9"/>
            <color indexed="81"/>
            <rFont val="Tahoma"/>
            <family val="2"/>
          </rPr>
          <t xml:space="preserve">Title: Life Cycle Assessment Update of Glass and Glass Fiber for GREET
Publication Date: September 2015
Authors: Q. Dai, J.C. Kelly, J. Sullivan, and A. Elgowainy
</t>
        </r>
      </text>
    </comment>
    <comment ref="U51" authorId="0" shapeId="0" xr:uid="{00000000-0006-0000-3E00-000013000000}">
      <text>
        <r>
          <rPr>
            <sz val="9"/>
            <color indexed="81"/>
            <rFont val="Tahoma"/>
            <family val="2"/>
          </rPr>
          <t xml:space="preserve">Title: Life Cycle Assessment Update of Glass and Glass Fiber for GREET
Publication Date: September 2015
Authors: Q. Dai, J.C. Kelly, J. Sullivan, and A. Elgowainy
</t>
        </r>
      </text>
    </comment>
    <comment ref="G56" authorId="0" shapeId="0" xr:uid="{00000000-0006-0000-3E00-000014000000}">
      <text>
        <r>
          <rPr>
            <sz val="9"/>
            <color indexed="81"/>
            <rFont val="Tahoma"/>
            <family val="2"/>
          </rPr>
          <t xml:space="preserve">Title: Life Cycle Assessment Update of Glass and Glass Fiber for GREET
Publication Date: September 2015
Authors: Q. Dai, J.C. Kelly, J. Sullivan, and A. Elgowainy
</t>
        </r>
      </text>
    </comment>
    <comment ref="U56" authorId="0" shapeId="0" xr:uid="{00000000-0006-0000-3E00-000015000000}">
      <text>
        <r>
          <rPr>
            <sz val="9"/>
            <color indexed="81"/>
            <rFont val="Tahoma"/>
            <family val="2"/>
          </rPr>
          <t xml:space="preserve">Title: Life Cycle Assessment Update of Glass and Glass Fiber for GREET
Publication Date: September 2015
Authors: Q. Dai, J.C. Kelly, J. Sullivan, and A. Elgowainy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00000000-0006-0000-3F00-000001000000}">
      <text>
        <r>
          <rPr>
            <sz val="8"/>
            <color indexed="81"/>
            <rFont val="Tahoma"/>
            <family val="2"/>
          </rPr>
          <t>Data from "Life Cycle Material Data Update for GREET Model" Keoleian et al. 2011
Value in Appendix p. 50 is for Crude Oil but Residual Oil is assumed to be process fuel</t>
        </r>
      </text>
    </comment>
    <comment ref="R48" authorId="0" shapeId="0" xr:uid="{00000000-0006-0000-3F00-000002000000}">
      <text>
        <r>
          <rPr>
            <sz val="8"/>
            <color indexed="81"/>
            <rFont val="Tahoma"/>
            <family val="2"/>
          </rPr>
          <t>Data from "Life Cycle Material Data Update for GREET Model" Keoleian et al. 2011
Value in Appendix p. 68 is for Crude Oil but Residual Oil is assumed to be process fuel</t>
        </r>
      </text>
    </comment>
    <comment ref="T48" authorId="0" shapeId="0" xr:uid="{00000000-0006-0000-3F00-000003000000}">
      <text>
        <r>
          <rPr>
            <sz val="8"/>
            <color indexed="81"/>
            <rFont val="Tahoma"/>
            <family val="2"/>
          </rPr>
          <t>Data from "Life Cycle Material Data Update for GREET Model" Keoleian et al. 2011
Value in Appendix p. 71 is for Crude Oil but Residual Oil is assumed to be process fuel</t>
        </r>
      </text>
    </comment>
    <comment ref="AB48" authorId="0" shapeId="0" xr:uid="{00000000-0006-0000-3F00-000004000000}">
      <text>
        <r>
          <rPr>
            <sz val="8"/>
            <color indexed="81"/>
            <rFont val="Tahoma"/>
            <family val="2"/>
          </rPr>
          <t>Data from "Life Cycle Material Data Update for GREET Model" Keoleian et al. 2011
Value in Appendix p. 83 is the sum of Crude Oil  and Residual Oil as Residual Oil is assumed to be process fuel</t>
        </r>
      </text>
    </comment>
    <comment ref="AD48" authorId="0" shapeId="0" xr:uid="{00000000-0006-0000-3F00-000005000000}">
      <text>
        <r>
          <rPr>
            <sz val="8"/>
            <color indexed="81"/>
            <rFont val="Tahoma"/>
            <family val="2"/>
          </rPr>
          <t>Data from "Life Cycle Material Data Update for GREET Model" Keoleian et al. 2011
Value in Appendix p. 86 is the sum of Crude Oil  and Residual Oil as Residual Oil is assumed to be process fuel</t>
        </r>
      </text>
    </comment>
    <comment ref="B49" authorId="0" shapeId="0" xr:uid="{00000000-0006-0000-3F00-000006000000}">
      <text>
        <r>
          <rPr>
            <sz val="8"/>
            <color indexed="81"/>
            <rFont val="Tahoma"/>
            <family val="2"/>
          </rPr>
          <t>Data from "Life Cycle Material Data Update for GREET Model" Keoleian et al. 2011
Value is the sum of Diesel  and Distillate Oil as diesel is used represent these process fuels</t>
        </r>
      </text>
    </comment>
    <comment ref="D49" authorId="0" shapeId="0" xr:uid="{00000000-0006-0000-3F00-000007000000}">
      <text>
        <r>
          <rPr>
            <sz val="8"/>
            <color indexed="81"/>
            <rFont val="Tahoma"/>
            <family val="2"/>
          </rPr>
          <t>Data from "Life Cycle Material Data Update for GREET Model" Keoleian et al. 2011
Value is the sum of Diesel  and Distillate Oil as diesel is used represent these process fuels</t>
        </r>
      </text>
    </comment>
    <comment ref="H49" authorId="0" shapeId="0" xr:uid="{00000000-0006-0000-3F00-000008000000}">
      <text>
        <r>
          <rPr>
            <sz val="8"/>
            <color indexed="81"/>
            <rFont val="Tahoma"/>
            <family val="2"/>
          </rPr>
          <t>Data from "Life Cycle Material Data Update for GREET Model" Keoleian et al. 2011
Value is the sum of Diesel  and Distillate Oil as diesel is used represent these process fuels</t>
        </r>
      </text>
    </comment>
    <comment ref="J49" authorId="0" shapeId="0" xr:uid="{00000000-0006-0000-3F00-000009000000}">
      <text>
        <r>
          <rPr>
            <sz val="8"/>
            <color indexed="81"/>
            <rFont val="Tahoma"/>
            <family val="2"/>
          </rPr>
          <t>Data from "Life Cycle Material Data Update for GREET Model" Keoleian et al. 2011
Value is the sum of Diesel  and Distillate Oil as diesel is used represent these process fuels</t>
        </r>
      </text>
    </comment>
    <comment ref="L49" authorId="0" shapeId="0" xr:uid="{00000000-0006-0000-3F00-00000A000000}">
      <text>
        <r>
          <rPr>
            <sz val="8"/>
            <color indexed="81"/>
            <rFont val="Tahoma"/>
            <family val="2"/>
          </rPr>
          <t>Data from "Life Cycle Material Data Update for GREET Model" Keoleian et al. 2011
Value is the sum of Diesel  and Distillate Oil as diesel is used represent these process fuels</t>
        </r>
      </text>
    </comment>
    <comment ref="N49" authorId="0" shapeId="0" xr:uid="{00000000-0006-0000-3F00-00000B000000}">
      <text>
        <r>
          <rPr>
            <sz val="8"/>
            <color indexed="81"/>
            <rFont val="Tahoma"/>
            <family val="2"/>
          </rPr>
          <t>Data from "Life Cycle Material Data Update for GREET Model" Keoleian et al. 2011
Value is the sum of Diesel  and Distillate Oil as diesel is used represent these process fuels</t>
        </r>
      </text>
    </comment>
    <comment ref="P49" authorId="0" shapeId="0" xr:uid="{00000000-0006-0000-3F00-00000C000000}">
      <text>
        <r>
          <rPr>
            <sz val="8"/>
            <color indexed="81"/>
            <rFont val="Tahoma"/>
            <family val="2"/>
          </rPr>
          <t>Data from "Life Cycle Material Data Update for GREET Model" Keoleian et al. 2011
Value is the sum of Diesel  and Distillate Oil as diesel is used represent these process fuels</t>
        </r>
      </text>
    </comment>
    <comment ref="X49" authorId="0" shapeId="0" xr:uid="{00000000-0006-0000-3F00-00000D000000}">
      <text>
        <r>
          <rPr>
            <sz val="8"/>
            <color indexed="81"/>
            <rFont val="Tahoma"/>
            <family val="2"/>
          </rPr>
          <t>Data from "Life Cycle Material Data Update for GREET Model" Keoleian et al. 2011
Value is the sum of Diesel  and Distillate Oil as diesel is used represent these process fuels</t>
        </r>
      </text>
    </comment>
    <comment ref="Z49" authorId="0" shapeId="0" xr:uid="{00000000-0006-0000-3F00-00000E000000}">
      <text>
        <r>
          <rPr>
            <sz val="8"/>
            <color indexed="81"/>
            <rFont val="Tahoma"/>
            <family val="2"/>
          </rPr>
          <t>Data from "Life Cycle Material Data Update for GREET Model" Keoleian et al. 2011
Value is the sum of Diesel  and Distillate Oil as diesel is used represent these process fuels</t>
        </r>
      </text>
    </comment>
    <comment ref="AB49" authorId="0" shapeId="0" xr:uid="{00000000-0006-0000-3F00-00000F000000}">
      <text>
        <r>
          <rPr>
            <sz val="8"/>
            <color indexed="81"/>
            <rFont val="Tahoma"/>
            <family val="2"/>
          </rPr>
          <t>Data from "Life Cycle Material Data Update for GREET Model" Keoleian et al. 2011
Value is the sum of Diesel  and Distillate Oil as diesel is used represent these process fuels</t>
        </r>
      </text>
    </comment>
    <comment ref="AD49" authorId="0" shapeId="0" xr:uid="{00000000-0006-0000-3F00-000010000000}">
      <text>
        <r>
          <rPr>
            <sz val="8"/>
            <color indexed="81"/>
            <rFont val="Tahoma"/>
            <family val="2"/>
          </rPr>
          <t>Data from "Life Cycle Material Data Update for GREET Model" Keoleian et al. 2011
Value is the sum of Diesel  and Distillate Oil as diesel is used represent these process fuels</t>
        </r>
      </text>
    </comment>
    <comment ref="AF49" authorId="0" shapeId="0" xr:uid="{00000000-0006-0000-3F00-000011000000}">
      <text>
        <r>
          <rPr>
            <sz val="8"/>
            <color indexed="81"/>
            <rFont val="Tahoma"/>
            <family val="2"/>
          </rPr>
          <t>Data from "Life Cycle Material Data Update for GREET Model" Keoleian et al. 2011
Value is the sum of Diesel  and Distillate Oil as diesel is used represent these process fuels</t>
        </r>
      </text>
    </comment>
    <comment ref="C72" authorId="0" shapeId="0" xr:uid="{00000000-0006-0000-3F00-000012000000}">
      <text>
        <r>
          <rPr>
            <sz val="8"/>
            <color indexed="81"/>
            <rFont val="Tahoma"/>
            <family val="2"/>
          </rPr>
          <t>Data from "Life Cycle Material Data Update for GREET Model" Keoleian et al. 2011
Appendix p. 44</t>
        </r>
      </text>
    </comment>
    <comment ref="E72" authorId="0" shapeId="0" xr:uid="{00000000-0006-0000-3F00-000013000000}">
      <text>
        <r>
          <rPr>
            <sz val="8"/>
            <color indexed="81"/>
            <rFont val="Tahoma"/>
            <family val="2"/>
          </rPr>
          <t>Data from "Life Cycle Material Data Update for GREET Model" Keoleian et al. 2011
Appendix p. 47</t>
        </r>
      </text>
    </comment>
    <comment ref="G72" authorId="0" shapeId="0" xr:uid="{00000000-0006-0000-3F00-000014000000}">
      <text>
        <r>
          <rPr>
            <sz val="8"/>
            <color indexed="81"/>
            <rFont val="Tahoma"/>
            <family val="2"/>
          </rPr>
          <t>Data from "Life Cycle Material Data Update for GREET Model" Keoleian et al. 2011
Appendix p. 50</t>
        </r>
      </text>
    </comment>
    <comment ref="I72" authorId="0" shapeId="0" xr:uid="{00000000-0006-0000-3F00-000015000000}">
      <text>
        <r>
          <rPr>
            <sz val="8"/>
            <color indexed="81"/>
            <rFont val="Tahoma"/>
            <family val="2"/>
          </rPr>
          <t>Data from "Life Cycle Material Data Update for GREET Model" Keoleian et al. 2011
Appendix p. 53</t>
        </r>
      </text>
    </comment>
    <comment ref="K72" authorId="0" shapeId="0" xr:uid="{00000000-0006-0000-3F00-000016000000}">
      <text>
        <r>
          <rPr>
            <sz val="8"/>
            <color indexed="81"/>
            <rFont val="Tahoma"/>
            <family val="2"/>
          </rPr>
          <t>Data from "Life Cycle Material Data Update for GREET Model" Keoleian et al. 2011
Appendix p. 56</t>
        </r>
      </text>
    </comment>
    <comment ref="M72" authorId="0" shapeId="0" xr:uid="{00000000-0006-0000-3F00-000017000000}">
      <text>
        <r>
          <rPr>
            <sz val="8"/>
            <color indexed="81"/>
            <rFont val="Tahoma"/>
            <family val="2"/>
          </rPr>
          <t>Data from "Life Cycle Material Data Update for GREET Model" Keoleian et al. 2011
There was a typo in Appendix p. 59, the correct value is 662.245</t>
        </r>
      </text>
    </comment>
    <comment ref="O72" authorId="0" shapeId="0" xr:uid="{00000000-0006-0000-3F00-000018000000}">
      <text>
        <r>
          <rPr>
            <sz val="8"/>
            <color indexed="81"/>
            <rFont val="Tahoma"/>
            <family val="2"/>
          </rPr>
          <t>Data from "Life Cycle Material Data Update for GREET Model" Keoleian et al. 2011
Appendix p. 62</t>
        </r>
      </text>
    </comment>
    <comment ref="Q72" authorId="0" shapeId="0" xr:uid="{00000000-0006-0000-3F00-000019000000}">
      <text>
        <r>
          <rPr>
            <sz val="8"/>
            <color indexed="81"/>
            <rFont val="Tahoma"/>
            <family val="2"/>
          </rPr>
          <t>Data from "Life Cycle Material Data Update for GREET Model" Keoleian et al. 2011
Appendix p. 65</t>
        </r>
      </text>
    </comment>
    <comment ref="S72" authorId="0" shapeId="0" xr:uid="{00000000-0006-0000-3F00-00001A000000}">
      <text>
        <r>
          <rPr>
            <sz val="8"/>
            <color indexed="81"/>
            <rFont val="Tahoma"/>
            <family val="2"/>
          </rPr>
          <t>Data from "Life Cycle Material Data Update for GREET Model" Keoleian et al. 2011
Appendix p. 68</t>
        </r>
      </text>
    </comment>
    <comment ref="U72" authorId="0" shapeId="0" xr:uid="{00000000-0006-0000-3F00-00001B000000}">
      <text>
        <r>
          <rPr>
            <sz val="8"/>
            <color indexed="81"/>
            <rFont val="Tahoma"/>
            <family val="2"/>
          </rPr>
          <t>Data from "Life Cycle Material Data Update for GREET Model" Keoleian et al. 2011
Appendix p. 71</t>
        </r>
      </text>
    </comment>
    <comment ref="Y72" authorId="0" shapeId="0" xr:uid="{00000000-0006-0000-3F00-00001C000000}">
      <text>
        <r>
          <rPr>
            <sz val="8"/>
            <color indexed="81"/>
            <rFont val="Tahoma"/>
            <family val="2"/>
          </rPr>
          <t>Data from "Life Cycle Material Data Update for GREET Model" Keoleian et al. 2011
Appendix p. 77</t>
        </r>
      </text>
    </comment>
    <comment ref="AA72" authorId="0" shapeId="0" xr:uid="{00000000-0006-0000-3F00-00001D000000}">
      <text>
        <r>
          <rPr>
            <sz val="8"/>
            <color indexed="81"/>
            <rFont val="Tahoma"/>
            <family val="2"/>
          </rPr>
          <t>Data from "Life Cycle Material Data Update for GREET Model" Keoleian et al. 2011
Appendix p. 80</t>
        </r>
      </text>
    </comment>
    <comment ref="AC72" authorId="0" shapeId="0" xr:uid="{00000000-0006-0000-3F00-00001E000000}">
      <text>
        <r>
          <rPr>
            <sz val="8"/>
            <color indexed="81"/>
            <rFont val="Tahoma"/>
            <family val="2"/>
          </rPr>
          <t>Data from "Life Cycle Material Data Update for GREET Model" Keoleian et al. 2011
Appendix p. 83</t>
        </r>
      </text>
    </comment>
    <comment ref="AE72" authorId="0" shapeId="0" xr:uid="{00000000-0006-0000-3F00-00001F000000}">
      <text>
        <r>
          <rPr>
            <sz val="8"/>
            <color indexed="81"/>
            <rFont val="Tahoma"/>
            <family val="2"/>
          </rPr>
          <t>Data from "Life Cycle Material Data Update for GREET Model" Keoleian et al. 2011
Appendix p. 86</t>
        </r>
      </text>
    </comment>
    <comment ref="AG72" authorId="0" shapeId="0" xr:uid="{00000000-0006-0000-3F00-000020000000}">
      <text>
        <r>
          <rPr>
            <sz val="8"/>
            <color indexed="81"/>
            <rFont val="Tahoma"/>
            <family val="2"/>
          </rPr>
          <t>Data from "Life Cycle Material Data Update for GREET Model" Keoleian et al. 2011
Appendix p. 89</t>
        </r>
      </text>
    </comment>
    <comment ref="C73" authorId="0" shapeId="0" xr:uid="{00000000-0006-0000-3F00-000021000000}">
      <text>
        <r>
          <rPr>
            <sz val="8"/>
            <color indexed="81"/>
            <rFont val="Tahoma"/>
            <family val="2"/>
          </rPr>
          <t>Data from "Life Cycle Material Data Update for GREET Model" Keoleian et al. 2011
Appendix p. 44</t>
        </r>
      </text>
    </comment>
    <comment ref="E73" authorId="0" shapeId="0" xr:uid="{00000000-0006-0000-3F00-000022000000}">
      <text>
        <r>
          <rPr>
            <sz val="8"/>
            <color indexed="81"/>
            <rFont val="Tahoma"/>
            <family val="2"/>
          </rPr>
          <t>Data from "Life Cycle Material Data Update for GREET Model" Keoleian et al. 2011
Appendix p. 47</t>
        </r>
      </text>
    </comment>
    <comment ref="G73" authorId="0" shapeId="0" xr:uid="{00000000-0006-0000-3F00-000023000000}">
      <text>
        <r>
          <rPr>
            <sz val="8"/>
            <color indexed="81"/>
            <rFont val="Tahoma"/>
            <family val="2"/>
          </rPr>
          <t>Data from "Life Cycle Material Data Update for GREET Model" Keoleian et al. 2011
Appendix p. 50</t>
        </r>
      </text>
    </comment>
    <comment ref="I73" authorId="0" shapeId="0" xr:uid="{00000000-0006-0000-3F00-000024000000}">
      <text>
        <r>
          <rPr>
            <sz val="8"/>
            <color indexed="81"/>
            <rFont val="Tahoma"/>
            <family val="2"/>
          </rPr>
          <t>Data from "Life Cycle Material Data Update for GREET Model" Keoleian et al. 2011
Appendix p. 53</t>
        </r>
      </text>
    </comment>
    <comment ref="K73" authorId="0" shapeId="0" xr:uid="{00000000-0006-0000-3F00-000025000000}">
      <text>
        <r>
          <rPr>
            <sz val="8"/>
            <color indexed="81"/>
            <rFont val="Tahoma"/>
            <family val="2"/>
          </rPr>
          <t>Data from "Life Cycle Material Data Update for GREET Model" Keoleian et al. 2011
Appendix p. 56</t>
        </r>
      </text>
    </comment>
    <comment ref="M73" authorId="0" shapeId="0" xr:uid="{00000000-0006-0000-3F00-000026000000}">
      <text>
        <r>
          <rPr>
            <sz val="8"/>
            <color indexed="81"/>
            <rFont val="Tahoma"/>
            <family val="2"/>
          </rPr>
          <t>Data from "Life Cycle Material Data Update for GREET Model" Keoleian et al. 2011
There was a typo in Appendix p. 59, the correct value is 2685.267</t>
        </r>
      </text>
    </comment>
    <comment ref="O73" authorId="0" shapeId="0" xr:uid="{00000000-0006-0000-3F00-000027000000}">
      <text>
        <r>
          <rPr>
            <sz val="8"/>
            <color indexed="81"/>
            <rFont val="Tahoma"/>
            <family val="2"/>
          </rPr>
          <t>Data from "Life Cycle Material Data Update for GREET Model" Keoleian et al. 2011
Appendix p. 62</t>
        </r>
      </text>
    </comment>
    <comment ref="Q73" authorId="0" shapeId="0" xr:uid="{00000000-0006-0000-3F00-000028000000}">
      <text>
        <r>
          <rPr>
            <sz val="8"/>
            <color indexed="81"/>
            <rFont val="Tahoma"/>
            <family val="2"/>
          </rPr>
          <t>Data from "Life Cycle Material Data Update for GREET Model" Keoleian et al. 2011
Appendix p. 65</t>
        </r>
      </text>
    </comment>
    <comment ref="S73" authorId="0" shapeId="0" xr:uid="{00000000-0006-0000-3F00-000029000000}">
      <text>
        <r>
          <rPr>
            <sz val="8"/>
            <color indexed="81"/>
            <rFont val="Tahoma"/>
            <family val="2"/>
          </rPr>
          <t>Data from "Life Cycle Material Data Update for GREET Model" Keoleian et al. 2011
Appendix p. 68</t>
        </r>
      </text>
    </comment>
    <comment ref="U73" authorId="0" shapeId="0" xr:uid="{00000000-0006-0000-3F00-00002A000000}">
      <text>
        <r>
          <rPr>
            <sz val="8"/>
            <color indexed="81"/>
            <rFont val="Tahoma"/>
            <family val="2"/>
          </rPr>
          <t>Data from "Life Cycle Material Data Update for GREET Model" Keoleian et al. 2011
Appendix p. 71</t>
        </r>
      </text>
    </comment>
    <comment ref="Y73" authorId="0" shapeId="0" xr:uid="{00000000-0006-0000-3F00-00002B000000}">
      <text>
        <r>
          <rPr>
            <sz val="8"/>
            <color indexed="81"/>
            <rFont val="Tahoma"/>
            <family val="2"/>
          </rPr>
          <t>Data from "Life Cycle Material Data Update for GREET Model" Keoleian et al. 2011
Appendix p. 77</t>
        </r>
      </text>
    </comment>
    <comment ref="AA73" authorId="0" shapeId="0" xr:uid="{00000000-0006-0000-3F00-00002C000000}">
      <text>
        <r>
          <rPr>
            <sz val="8"/>
            <color indexed="81"/>
            <rFont val="Tahoma"/>
            <family val="2"/>
          </rPr>
          <t>Data from "Life Cycle Material Data Update for GREET Model" Keoleian et al. 2011
Appendix p. 80</t>
        </r>
      </text>
    </comment>
    <comment ref="AC73" authorId="0" shapeId="0" xr:uid="{00000000-0006-0000-3F00-00002D000000}">
      <text>
        <r>
          <rPr>
            <sz val="8"/>
            <color indexed="81"/>
            <rFont val="Tahoma"/>
            <family val="2"/>
          </rPr>
          <t>Data from "Life Cycle Material Data Update for GREET Model" Keoleian et al. 2011
Appendix p. 83</t>
        </r>
      </text>
    </comment>
    <comment ref="AE73" authorId="0" shapeId="0" xr:uid="{00000000-0006-0000-3F00-00002E000000}">
      <text>
        <r>
          <rPr>
            <sz val="8"/>
            <color indexed="81"/>
            <rFont val="Tahoma"/>
            <family val="2"/>
          </rPr>
          <t>Data from "Life Cycle Material Data Update for GREET Model" Keoleian et al. 2011
Appendix p. 86</t>
        </r>
      </text>
    </comment>
    <comment ref="AG73" authorId="0" shapeId="0" xr:uid="{00000000-0006-0000-3F00-00002F000000}">
      <text>
        <r>
          <rPr>
            <sz val="8"/>
            <color indexed="81"/>
            <rFont val="Tahoma"/>
            <family val="2"/>
          </rPr>
          <t>Data from "Life Cycle Material Data Update for GREET Model" Keoleian et al. 2011
Appendix p. 89</t>
        </r>
      </text>
    </comment>
    <comment ref="C74" authorId="0" shapeId="0" xr:uid="{00000000-0006-0000-3F00-000030000000}">
      <text>
        <r>
          <rPr>
            <sz val="8"/>
            <color indexed="81"/>
            <rFont val="Tahoma"/>
            <family val="2"/>
          </rPr>
          <t>Data from "Life Cycle Material Data Update for GREET Model" Keoleian et al. 2011
Appendix p. 44</t>
        </r>
      </text>
    </comment>
    <comment ref="E74" authorId="0" shapeId="0" xr:uid="{00000000-0006-0000-3F00-000031000000}">
      <text>
        <r>
          <rPr>
            <sz val="8"/>
            <color indexed="81"/>
            <rFont val="Tahoma"/>
            <family val="2"/>
          </rPr>
          <t>Data from "Life Cycle Material Data Update for GREET Model" Keoleian et al. 2011
Appendix p. 47</t>
        </r>
      </text>
    </comment>
    <comment ref="G74" authorId="0" shapeId="0" xr:uid="{00000000-0006-0000-3F00-000032000000}">
      <text>
        <r>
          <rPr>
            <sz val="8"/>
            <color indexed="81"/>
            <rFont val="Tahoma"/>
            <family val="2"/>
          </rPr>
          <t>Data from "Life Cycle Material Data Update for GREET Model" Keoleian et al. 2011
Appendix p. 50</t>
        </r>
      </text>
    </comment>
    <comment ref="I74" authorId="0" shapeId="0" xr:uid="{00000000-0006-0000-3F00-000033000000}">
      <text>
        <r>
          <rPr>
            <sz val="8"/>
            <color indexed="81"/>
            <rFont val="Tahoma"/>
            <family val="2"/>
          </rPr>
          <t>Data from "Life Cycle Material Data Update for GREET Model" Keoleian et al. 2011
Appendix p. 53</t>
        </r>
      </text>
    </comment>
    <comment ref="K74" authorId="0" shapeId="0" xr:uid="{00000000-0006-0000-3F00-000034000000}">
      <text>
        <r>
          <rPr>
            <sz val="8"/>
            <color indexed="81"/>
            <rFont val="Tahoma"/>
            <family val="2"/>
          </rPr>
          <t>Data from "Life Cycle Material Data Update for GREET Model" Keoleian et al. 2011
Appendix p. 56</t>
        </r>
      </text>
    </comment>
    <comment ref="M74" authorId="0" shapeId="0" xr:uid="{00000000-0006-0000-3F00-000035000000}">
      <text>
        <r>
          <rPr>
            <sz val="8"/>
            <color indexed="81"/>
            <rFont val="Tahoma"/>
            <family val="2"/>
          </rPr>
          <t>Data from "Life Cycle Material Data Update for GREET Model" Keoleian et al. 2011
There was a typo in Appendix p. 59, the correct value is 88.904</t>
        </r>
      </text>
    </comment>
    <comment ref="O74" authorId="0" shapeId="0" xr:uid="{00000000-0006-0000-3F00-000036000000}">
      <text>
        <r>
          <rPr>
            <sz val="8"/>
            <color indexed="81"/>
            <rFont val="Tahoma"/>
            <family val="2"/>
          </rPr>
          <t>Data from "Life Cycle Material Data Update for GREET Model" Keoleian et al. 2011
Appendix p. 62</t>
        </r>
      </text>
    </comment>
    <comment ref="Q74" authorId="0" shapeId="0" xr:uid="{00000000-0006-0000-3F00-000037000000}">
      <text>
        <r>
          <rPr>
            <sz val="8"/>
            <color indexed="81"/>
            <rFont val="Tahoma"/>
            <family val="2"/>
          </rPr>
          <t>Data from "Life Cycle Material Data Update for GREET Model" Keoleian et al. 2011
Appendix p. 65</t>
        </r>
      </text>
    </comment>
    <comment ref="S74" authorId="0" shapeId="0" xr:uid="{00000000-0006-0000-3F00-000038000000}">
      <text>
        <r>
          <rPr>
            <sz val="8"/>
            <color indexed="81"/>
            <rFont val="Tahoma"/>
            <family val="2"/>
          </rPr>
          <t>Data from "Life Cycle Material Data Update for GREET Model" Keoleian et al. 2011
Appendix p. 68</t>
        </r>
      </text>
    </comment>
    <comment ref="U74" authorId="0" shapeId="0" xr:uid="{00000000-0006-0000-3F00-000039000000}">
      <text>
        <r>
          <rPr>
            <sz val="8"/>
            <color indexed="81"/>
            <rFont val="Tahoma"/>
            <family val="2"/>
          </rPr>
          <t>Data from "Life Cycle Material Data Update for GREET Model" Keoleian et al. 2011
Appendix p. 71</t>
        </r>
      </text>
    </comment>
    <comment ref="Y74" authorId="0" shapeId="0" xr:uid="{00000000-0006-0000-3F00-00003A000000}">
      <text>
        <r>
          <rPr>
            <sz val="8"/>
            <color indexed="81"/>
            <rFont val="Tahoma"/>
            <family val="2"/>
          </rPr>
          <t>Data from "Life Cycle Material Data Update for GREET Model" Keoleian et al. 2011
Appendix p. 77</t>
        </r>
      </text>
    </comment>
    <comment ref="AA74" authorId="0" shapeId="0" xr:uid="{00000000-0006-0000-3F00-00003B000000}">
      <text>
        <r>
          <rPr>
            <sz val="8"/>
            <color indexed="81"/>
            <rFont val="Tahoma"/>
            <family val="2"/>
          </rPr>
          <t>Data from "Life Cycle Material Data Update for GREET Model" Keoleian et al. 2011
Appendix p. 80</t>
        </r>
      </text>
    </comment>
    <comment ref="AC74" authorId="0" shapeId="0" xr:uid="{00000000-0006-0000-3F00-00003C000000}">
      <text>
        <r>
          <rPr>
            <sz val="8"/>
            <color indexed="81"/>
            <rFont val="Tahoma"/>
            <family val="2"/>
          </rPr>
          <t>Data from "Life Cycle Material Data Update for GREET Model" Keoleian et al. 2011
Appendix p. 83</t>
        </r>
      </text>
    </comment>
    <comment ref="AE74" authorId="0" shapeId="0" xr:uid="{00000000-0006-0000-3F00-00003D000000}">
      <text>
        <r>
          <rPr>
            <sz val="8"/>
            <color indexed="81"/>
            <rFont val="Tahoma"/>
            <family val="2"/>
          </rPr>
          <t>Data from "Life Cycle Material Data Update for GREET Model" Keoleian et al. 2011
Appendix p. 86</t>
        </r>
      </text>
    </comment>
    <comment ref="AG74" authorId="0" shapeId="0" xr:uid="{00000000-0006-0000-3F00-00003E000000}">
      <text>
        <r>
          <rPr>
            <sz val="8"/>
            <color indexed="81"/>
            <rFont val="Tahoma"/>
            <family val="2"/>
          </rPr>
          <t>Data from "Life Cycle Material Data Update for GREET Model" Keoleian et al. 2011
Appendix p. 89</t>
        </r>
      </text>
    </comment>
    <comment ref="C75" authorId="0" shapeId="0" xr:uid="{00000000-0006-0000-3F00-00003F000000}">
      <text>
        <r>
          <rPr>
            <sz val="8"/>
            <color indexed="81"/>
            <rFont val="Tahoma"/>
            <family val="2"/>
          </rPr>
          <t>Data from "Life Cycle Material Data Update for GREET Model" Keoleian et al. 2011
Appendix p. 44</t>
        </r>
      </text>
    </comment>
    <comment ref="E75" authorId="0" shapeId="0" xr:uid="{00000000-0006-0000-3F00-000040000000}">
      <text>
        <r>
          <rPr>
            <sz val="8"/>
            <color indexed="81"/>
            <rFont val="Tahoma"/>
            <family val="2"/>
          </rPr>
          <t>Data from "Life Cycle Material Data Update for GREET Model" Keoleian et al. 2011
Appendix p. 47</t>
        </r>
      </text>
    </comment>
    <comment ref="G75" authorId="0" shapeId="0" xr:uid="{00000000-0006-0000-3F00-000041000000}">
      <text>
        <r>
          <rPr>
            <sz val="8"/>
            <color indexed="81"/>
            <rFont val="Tahoma"/>
            <family val="2"/>
          </rPr>
          <t>Data from "Life Cycle Material Data Update for GREET Model" Keoleian et al. 2011
Appendix p. 50</t>
        </r>
      </text>
    </comment>
    <comment ref="I75" authorId="0" shapeId="0" xr:uid="{00000000-0006-0000-3F00-000042000000}">
      <text>
        <r>
          <rPr>
            <sz val="8"/>
            <color indexed="81"/>
            <rFont val="Tahoma"/>
            <family val="2"/>
          </rPr>
          <t>Data from "Life Cycle Material Data Update for GREET Model" Keoleian et al. 2011
Appendix p. 53</t>
        </r>
      </text>
    </comment>
    <comment ref="K75" authorId="0" shapeId="0" xr:uid="{00000000-0006-0000-3F00-000043000000}">
      <text>
        <r>
          <rPr>
            <sz val="8"/>
            <color indexed="81"/>
            <rFont val="Tahoma"/>
            <family val="2"/>
          </rPr>
          <t>Data from "Life Cycle Material Data Update for GREET Model" Keoleian et al. 2011
Appendix p. 56</t>
        </r>
      </text>
    </comment>
    <comment ref="M75" authorId="0" shapeId="0" xr:uid="{00000000-0006-0000-3F00-000044000000}">
      <text>
        <r>
          <rPr>
            <sz val="8"/>
            <color indexed="81"/>
            <rFont val="Tahoma"/>
            <family val="2"/>
          </rPr>
          <t>Data from "Life Cycle Material Data Update for GREET Model" Keoleian et al. 2011
There was a typo in Appendix p. 59, the correct value is 127.006</t>
        </r>
      </text>
    </comment>
    <comment ref="O75" authorId="0" shapeId="0" xr:uid="{00000000-0006-0000-3F00-000045000000}">
      <text>
        <r>
          <rPr>
            <sz val="8"/>
            <color indexed="81"/>
            <rFont val="Tahoma"/>
            <family val="2"/>
          </rPr>
          <t>Data from "Life Cycle Material Data Update for GREET Model" Keoleian et al. 2011
Appendix p. 62</t>
        </r>
      </text>
    </comment>
    <comment ref="Q75" authorId="0" shapeId="0" xr:uid="{00000000-0006-0000-3F00-000046000000}">
      <text>
        <r>
          <rPr>
            <sz val="8"/>
            <color indexed="81"/>
            <rFont val="Tahoma"/>
            <family val="2"/>
          </rPr>
          <t>Data from "Life Cycle Material Data Update for GREET Model" Keoleian et al. 2011
Appendix p. 65</t>
        </r>
      </text>
    </comment>
    <comment ref="S75" authorId="0" shapeId="0" xr:uid="{00000000-0006-0000-3F00-000047000000}">
      <text>
        <r>
          <rPr>
            <sz val="8"/>
            <color indexed="81"/>
            <rFont val="Tahoma"/>
            <family val="2"/>
          </rPr>
          <t>Data from "Life Cycle Material Data Update for GREET Model" Keoleian et al. 2011
Appendix p. 68</t>
        </r>
      </text>
    </comment>
    <comment ref="U75" authorId="0" shapeId="0" xr:uid="{00000000-0006-0000-3F00-000048000000}">
      <text>
        <r>
          <rPr>
            <sz val="8"/>
            <color indexed="81"/>
            <rFont val="Tahoma"/>
            <family val="2"/>
          </rPr>
          <t>Data from "Life Cycle Material Data Update for GREET Model" Keoleian et al. 2011
Appendix p. 71</t>
        </r>
      </text>
    </comment>
    <comment ref="Y75" authorId="0" shapeId="0" xr:uid="{00000000-0006-0000-3F00-000049000000}">
      <text>
        <r>
          <rPr>
            <sz val="8"/>
            <color indexed="81"/>
            <rFont val="Tahoma"/>
            <family val="2"/>
          </rPr>
          <t>Data from "Life Cycle Material Data Update for GREET Model" Keoleian et al. 2011
Appendix p. 77</t>
        </r>
      </text>
    </comment>
    <comment ref="AA75" authorId="0" shapeId="0" xr:uid="{00000000-0006-0000-3F00-00004A000000}">
      <text>
        <r>
          <rPr>
            <sz val="8"/>
            <color indexed="81"/>
            <rFont val="Tahoma"/>
            <family val="2"/>
          </rPr>
          <t>Data from "Life Cycle Material Data Update for GREET Model" Keoleian et al. 2011
Appendix p. 80</t>
        </r>
      </text>
    </comment>
    <comment ref="AC75" authorId="0" shapeId="0" xr:uid="{00000000-0006-0000-3F00-00004B000000}">
      <text>
        <r>
          <rPr>
            <sz val="8"/>
            <color indexed="81"/>
            <rFont val="Tahoma"/>
            <family val="2"/>
          </rPr>
          <t>Data from "Life Cycle Material Data Update for GREET Model" Keoleian et al. 2011
Appendix p. 83</t>
        </r>
      </text>
    </comment>
    <comment ref="AE75" authorId="0" shapeId="0" xr:uid="{00000000-0006-0000-3F00-00004C000000}">
      <text>
        <r>
          <rPr>
            <sz val="8"/>
            <color indexed="81"/>
            <rFont val="Tahoma"/>
            <family val="2"/>
          </rPr>
          <t>Data from "Life Cycle Material Data Update for GREET Model" Keoleian et al. 2011
Appendix p. 86</t>
        </r>
      </text>
    </comment>
    <comment ref="AG75" authorId="0" shapeId="0" xr:uid="{00000000-0006-0000-3F00-00004D000000}">
      <text>
        <r>
          <rPr>
            <sz val="8"/>
            <color indexed="81"/>
            <rFont val="Tahoma"/>
            <family val="2"/>
          </rPr>
          <t>Data from "Life Cycle Material Data Update for GREET Model" Keoleian et al. 2011
Appendix p. 89</t>
        </r>
      </text>
    </comment>
    <comment ref="C76" authorId="0" shapeId="0" xr:uid="{00000000-0006-0000-3F00-00004E000000}">
      <text>
        <r>
          <rPr>
            <sz val="8"/>
            <color indexed="81"/>
            <rFont val="Tahoma"/>
            <family val="2"/>
          </rPr>
          <t>Data from "Life Cycle Material Data Update for GREET Model" Keoleian et al. 2011
Appendix p. 44</t>
        </r>
      </text>
    </comment>
    <comment ref="E76" authorId="0" shapeId="0" xr:uid="{00000000-0006-0000-3F00-00004F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G76" authorId="0" shapeId="0" xr:uid="{00000000-0006-0000-3F00-000050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I76" authorId="0" shapeId="0" xr:uid="{00000000-0006-0000-3F00-000051000000}">
      <text>
        <r>
          <rPr>
            <sz val="8"/>
            <color indexed="81"/>
            <rFont val="Tahoma"/>
            <family val="2"/>
          </rPr>
          <t>Data from "Life Cycle Material Data Update for GREET Model" Keoleian et al. 2011
Appendix p. 53</t>
        </r>
      </text>
    </comment>
    <comment ref="K76" authorId="0" shapeId="0" xr:uid="{00000000-0006-0000-3F00-000052000000}">
      <text>
        <r>
          <rPr>
            <sz val="8"/>
            <color indexed="81"/>
            <rFont val="Tahoma"/>
            <family val="2"/>
          </rPr>
          <t>Data from "Life Cycle Material Data Update for GREET Model" Keoleian et al. 2011
Appendix p. 56</t>
        </r>
      </text>
    </comment>
    <comment ref="M76" authorId="0" shapeId="0" xr:uid="{00000000-0006-0000-3F00-000053000000}">
      <text>
        <r>
          <rPr>
            <sz val="8"/>
            <color indexed="81"/>
            <rFont val="Tahoma"/>
            <family val="2"/>
          </rPr>
          <t>Data from "Life Cycle Material Data Update for GREET Model" Keoleian et al. 2011
There was a typo in Appendix p. 59, the correct value is 10.886</t>
        </r>
      </text>
    </comment>
    <comment ref="O76" authorId="0" shapeId="0" xr:uid="{00000000-0006-0000-3F00-000054000000}">
      <text>
        <r>
          <rPr>
            <sz val="8"/>
            <color indexed="81"/>
            <rFont val="Tahoma"/>
            <family val="2"/>
          </rPr>
          <t>Data from "Life Cycle Material Data Update for GREET Model" Keoleian et al. 2011
Appendix p. 62</t>
        </r>
      </text>
    </comment>
    <comment ref="Q76" authorId="0" shapeId="0" xr:uid="{00000000-0006-0000-3F00-000055000000}">
      <text>
        <r>
          <rPr>
            <sz val="8"/>
            <color indexed="81"/>
            <rFont val="Tahoma"/>
            <family val="2"/>
          </rPr>
          <t>Data from "Life Cycle Material Data Update for GREET Model" Keoleian et al. 2011
Appendix p. 65</t>
        </r>
      </text>
    </comment>
    <comment ref="S76" authorId="0" shapeId="0" xr:uid="{00000000-0006-0000-3F00-000056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U76" authorId="0" shapeId="0" xr:uid="{00000000-0006-0000-3F00-000057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Y76" authorId="0" shapeId="0" xr:uid="{00000000-0006-0000-3F00-000058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AA76" authorId="0" shapeId="0" xr:uid="{00000000-0006-0000-3F00-000059000000}">
      <text>
        <r>
          <rPr>
            <sz val="8"/>
            <color indexed="81"/>
            <rFont val="Tahoma"/>
            <family val="2"/>
          </rPr>
          <t>Data from "Life Cycle Material Data Update for GREET Model" Keoleian et al. 2011
Appendix p. 80</t>
        </r>
      </text>
    </comment>
    <comment ref="AC76" authorId="0" shapeId="0" xr:uid="{00000000-0006-0000-3F00-00005A000000}">
      <text>
        <r>
          <rPr>
            <sz val="8"/>
            <color indexed="81"/>
            <rFont val="Tahoma"/>
            <family val="2"/>
          </rPr>
          <t>Data from "Life Cycle Material Data Update for GREET Model" Keoleian et al. 2011
Appendix p. 83</t>
        </r>
      </text>
    </comment>
    <comment ref="AE76" authorId="0" shapeId="0" xr:uid="{00000000-0006-0000-3F00-00005B000000}">
      <text>
        <r>
          <rPr>
            <sz val="8"/>
            <color indexed="81"/>
            <rFont val="Tahoma"/>
            <family val="2"/>
          </rPr>
          <t>Data from "Life Cycle Material Data Update for GREET Model" Keoleian et al. 2011
Appendix p. 86</t>
        </r>
      </text>
    </comment>
    <comment ref="AG76" authorId="0" shapeId="0" xr:uid="{00000000-0006-0000-3F00-00005C000000}">
      <text>
        <r>
          <rPr>
            <sz val="8"/>
            <color indexed="81"/>
            <rFont val="Tahoma"/>
            <family val="2"/>
          </rPr>
          <t>Data from "Life Cycle Material Data Update for GREET Model" Keoleian et al. 2011
Appendix p. 89</t>
        </r>
      </text>
    </comment>
    <comment ref="C77" authorId="0" shapeId="0" xr:uid="{00000000-0006-0000-3F00-00005D000000}">
      <text>
        <r>
          <rPr>
            <sz val="8"/>
            <color indexed="81"/>
            <rFont val="Tahoma"/>
            <family val="2"/>
          </rPr>
          <t>Data from "Life Cycle Material Data Update for GREET Model" Keoleian et al. 2011
Appendix p. 44</t>
        </r>
      </text>
    </comment>
    <comment ref="E77" authorId="0" shapeId="0" xr:uid="{00000000-0006-0000-3F00-00005E000000}">
      <text>
        <r>
          <rPr>
            <sz val="8"/>
            <color indexed="81"/>
            <rFont val="Tahoma"/>
            <family val="2"/>
          </rPr>
          <t>Data from "Life Cycle Material Data Update for GREET Model" Keoleian et al. 2011
Appendix p. 47</t>
        </r>
      </text>
    </comment>
    <comment ref="G77" authorId="0" shapeId="0" xr:uid="{00000000-0006-0000-3F00-00005F000000}">
      <text>
        <r>
          <rPr>
            <sz val="8"/>
            <color indexed="81"/>
            <rFont val="Tahoma"/>
            <family val="2"/>
          </rPr>
          <t>Data from "Life Cycle Material Data Update for GREET Model" Keoleian et al. 2011
Appendix p. 50</t>
        </r>
      </text>
    </comment>
    <comment ref="I77" authorId="0" shapeId="0" xr:uid="{00000000-0006-0000-3F00-000060000000}">
      <text>
        <r>
          <rPr>
            <sz val="8"/>
            <color indexed="81"/>
            <rFont val="Tahoma"/>
            <family val="2"/>
          </rPr>
          <t>Data from "Life Cycle Material Data Update for GREET Model" Keoleian et al. 2011
Appendix p. 53</t>
        </r>
      </text>
    </comment>
    <comment ref="K77" authorId="0" shapeId="0" xr:uid="{00000000-0006-0000-3F00-000061000000}">
      <text>
        <r>
          <rPr>
            <sz val="8"/>
            <color indexed="81"/>
            <rFont val="Tahoma"/>
            <family val="2"/>
          </rPr>
          <t>Data from "Life Cycle Material Data Update for GREET Model" Keoleian et al. 2011
Appendix p. 56</t>
        </r>
      </text>
    </comment>
    <comment ref="M77" authorId="0" shapeId="0" xr:uid="{00000000-0006-0000-3F00-000062000000}">
      <text>
        <r>
          <rPr>
            <sz val="8"/>
            <color indexed="81"/>
            <rFont val="Tahoma"/>
            <family val="2"/>
          </rPr>
          <t>Data from "Life Cycle Material Data Update for GREET Model" Keoleian et al. 2011
There was a typo in Appendix p. 59, the correct value is 21137.404</t>
        </r>
      </text>
    </comment>
    <comment ref="O77" authorId="0" shapeId="0" xr:uid="{00000000-0006-0000-3F00-000063000000}">
      <text>
        <r>
          <rPr>
            <sz val="8"/>
            <color indexed="81"/>
            <rFont val="Tahoma"/>
            <family val="2"/>
          </rPr>
          <t>Data from "Life Cycle Material Data Update for GREET Model" Keoleian et al. 2011
Appendix p. 62</t>
        </r>
      </text>
    </comment>
    <comment ref="Q77" authorId="0" shapeId="0" xr:uid="{00000000-0006-0000-3F00-000064000000}">
      <text>
        <r>
          <rPr>
            <sz val="8"/>
            <color indexed="81"/>
            <rFont val="Tahoma"/>
            <family val="2"/>
          </rPr>
          <t>Data from "Life Cycle Material Data Update for GREET Model" Keoleian et al. 2011
Appendix p. 65</t>
        </r>
      </text>
    </comment>
    <comment ref="S77" authorId="0" shapeId="0" xr:uid="{00000000-0006-0000-3F00-000065000000}">
      <text>
        <r>
          <rPr>
            <sz val="8"/>
            <color indexed="81"/>
            <rFont val="Tahoma"/>
            <family val="2"/>
          </rPr>
          <t>Data from "Life Cycle Material Data Update for GREET Model" Keoleian et al. 2011
Appendix p. 68</t>
        </r>
      </text>
    </comment>
    <comment ref="U77" authorId="0" shapeId="0" xr:uid="{00000000-0006-0000-3F00-000066000000}">
      <text>
        <r>
          <rPr>
            <sz val="8"/>
            <color indexed="81"/>
            <rFont val="Tahoma"/>
            <family val="2"/>
          </rPr>
          <t>Data from "Life Cycle Material Data Update for GREET Model" Keoleian et al. 2011
Appendix p. 71</t>
        </r>
      </text>
    </comment>
    <comment ref="Y77" authorId="0" shapeId="0" xr:uid="{00000000-0006-0000-3F00-000067000000}">
      <text>
        <r>
          <rPr>
            <sz val="8"/>
            <color indexed="81"/>
            <rFont val="Tahoma"/>
            <family val="2"/>
          </rPr>
          <t>Data from "Life Cycle Material Data Update for GREET Model" Keoleian et al. 2011
Appendix p. 77</t>
        </r>
      </text>
    </comment>
    <comment ref="AA77" authorId="0" shapeId="0" xr:uid="{00000000-0006-0000-3F00-000068000000}">
      <text>
        <r>
          <rPr>
            <sz val="8"/>
            <color indexed="81"/>
            <rFont val="Tahoma"/>
            <family val="2"/>
          </rPr>
          <t>Data from "Life Cycle Material Data Update for GREET Model" Keoleian et al. 2011
Appendix p. 80</t>
        </r>
      </text>
    </comment>
    <comment ref="AC77" authorId="0" shapeId="0" xr:uid="{00000000-0006-0000-3F00-000069000000}">
      <text>
        <r>
          <rPr>
            <sz val="8"/>
            <color indexed="81"/>
            <rFont val="Tahoma"/>
            <family val="2"/>
          </rPr>
          <t>Data from "Life Cycle Material Data Update for GREET Model" Keoleian et al. 2011
Appendix p. 83</t>
        </r>
      </text>
    </comment>
    <comment ref="AE77" authorId="0" shapeId="0" xr:uid="{00000000-0006-0000-3F00-00006A000000}">
      <text>
        <r>
          <rPr>
            <sz val="8"/>
            <color indexed="81"/>
            <rFont val="Tahoma"/>
            <family val="2"/>
          </rPr>
          <t>Data from "Life Cycle Material Data Update for GREET Model" Keoleian et al. 2011
Appendix p. 86</t>
        </r>
      </text>
    </comment>
    <comment ref="AG77" authorId="0" shapeId="0" xr:uid="{00000000-0006-0000-3F00-00006B000000}">
      <text>
        <r>
          <rPr>
            <sz val="8"/>
            <color indexed="81"/>
            <rFont val="Tahoma"/>
            <family val="2"/>
          </rPr>
          <t>Data from "Life Cycle Material Data Update for GREET Model" Keoleian et al. 2011
Appendix p. 89</t>
        </r>
      </text>
    </comment>
    <comment ref="C80" authorId="0" shapeId="0" xr:uid="{00000000-0006-0000-3F00-00006C000000}">
      <text>
        <r>
          <rPr>
            <sz val="8"/>
            <color indexed="81"/>
            <rFont val="Tahoma"/>
            <family val="2"/>
          </rPr>
          <t>Data from "Life Cycle Material Data Update for GREET Model" Keoleian et al. 2011
Appendix p. 44</t>
        </r>
      </text>
    </comment>
    <comment ref="E80" authorId="0" shapeId="0" xr:uid="{00000000-0006-0000-3F00-00006D000000}">
      <text>
        <r>
          <rPr>
            <sz val="8"/>
            <color indexed="81"/>
            <rFont val="Tahoma"/>
            <family val="2"/>
          </rPr>
          <t>Data from "Life Cycle Material Data Update for GREET Model" Keoleian et al. 2011
Appendix p. 47</t>
        </r>
      </text>
    </comment>
    <comment ref="G80" authorId="0" shapeId="0" xr:uid="{00000000-0006-0000-3F00-00006E000000}">
      <text>
        <r>
          <rPr>
            <sz val="8"/>
            <color indexed="81"/>
            <rFont val="Tahoma"/>
            <family val="2"/>
          </rPr>
          <t>Data from "Life Cycle Material Data Update for GREET Model" Keoleian et al. 2011
Appendix p. 50</t>
        </r>
      </text>
    </comment>
    <comment ref="I80" authorId="0" shapeId="0" xr:uid="{00000000-0006-0000-3F00-00006F000000}">
      <text>
        <r>
          <rPr>
            <sz val="8"/>
            <color indexed="81"/>
            <rFont val="Tahoma"/>
            <family val="2"/>
          </rPr>
          <t>Data from "Life Cycle Material Data Update for GREET Model" Keoleian et al. 2011
Appendix p. 53</t>
        </r>
      </text>
    </comment>
    <comment ref="K80" authorId="0" shapeId="0" xr:uid="{00000000-0006-0000-3F00-000070000000}">
      <text>
        <r>
          <rPr>
            <sz val="8"/>
            <color indexed="81"/>
            <rFont val="Tahoma"/>
            <family val="2"/>
          </rPr>
          <t>Data from "Life Cycle Material Data Update for GREET Model" Keoleian et al. 2011
Appendix p. 56</t>
        </r>
      </text>
    </comment>
    <comment ref="M80" authorId="0" shapeId="0" xr:uid="{00000000-0006-0000-3F00-000071000000}">
      <text>
        <r>
          <rPr>
            <sz val="8"/>
            <color indexed="81"/>
            <rFont val="Tahoma"/>
            <family val="2"/>
          </rPr>
          <t>Data from "Life Cycle Material Data Update for GREET Model" Keoleian et al. 2011
There was a typo in Appendix p. 59, the correct value is 12791.305</t>
        </r>
      </text>
    </comment>
    <comment ref="O80" authorId="0" shapeId="0" xr:uid="{00000000-0006-0000-3F00-000072000000}">
      <text>
        <r>
          <rPr>
            <sz val="8"/>
            <color indexed="81"/>
            <rFont val="Tahoma"/>
            <family val="2"/>
          </rPr>
          <t>Data from "Life Cycle Material Data Update for GREET Model" Keoleian et al. 2011
Appendix p. 62</t>
        </r>
      </text>
    </comment>
    <comment ref="Q80" authorId="0" shapeId="0" xr:uid="{00000000-0006-0000-3F00-000073000000}">
      <text>
        <r>
          <rPr>
            <sz val="8"/>
            <color indexed="81"/>
            <rFont val="Tahoma"/>
            <family val="2"/>
          </rPr>
          <t>Data from "Life Cycle Material Data Update for GREET Model" Keoleian et al. 2011
Appendix p. 65</t>
        </r>
      </text>
    </comment>
    <comment ref="S80" authorId="0" shapeId="0" xr:uid="{00000000-0006-0000-3F00-000074000000}">
      <text>
        <r>
          <rPr>
            <sz val="8"/>
            <color indexed="81"/>
            <rFont val="Tahoma"/>
            <family val="2"/>
          </rPr>
          <t>Data from "Life Cycle Material Data Update for GREET Model" Keoleian et al. 2011
Appendix p. 68</t>
        </r>
      </text>
    </comment>
    <comment ref="U80" authorId="0" shapeId="0" xr:uid="{00000000-0006-0000-3F00-000075000000}">
      <text>
        <r>
          <rPr>
            <sz val="8"/>
            <color indexed="81"/>
            <rFont val="Tahoma"/>
            <family val="2"/>
          </rPr>
          <t>Data from "Life Cycle Material Data Update for GREET Model" Keoleian et al. 2011
Appendix p. 71</t>
        </r>
      </text>
    </comment>
    <comment ref="Y80" authorId="0" shapeId="0" xr:uid="{00000000-0006-0000-3F00-000076000000}">
      <text>
        <r>
          <rPr>
            <sz val="8"/>
            <color indexed="81"/>
            <rFont val="Tahoma"/>
            <family val="2"/>
          </rPr>
          <t>Data from "Life Cycle Material Data Update for GREET Model" Keoleian et al. 2011
Appendix p. 77</t>
        </r>
      </text>
    </comment>
    <comment ref="AA80" authorId="0" shapeId="0" xr:uid="{00000000-0006-0000-3F00-000077000000}">
      <text>
        <r>
          <rPr>
            <sz val="8"/>
            <color indexed="81"/>
            <rFont val="Tahoma"/>
            <family val="2"/>
          </rPr>
          <t>Data from "Life Cycle Material Data Update for GREET Model" Keoleian et al. 2011
Appendix p. 80</t>
        </r>
      </text>
    </comment>
    <comment ref="AC80" authorId="0" shapeId="0" xr:uid="{00000000-0006-0000-3F00-000078000000}">
      <text>
        <r>
          <rPr>
            <sz val="8"/>
            <color indexed="81"/>
            <rFont val="Tahoma"/>
            <family val="2"/>
          </rPr>
          <t>Data from "Life Cycle Material Data Update for GREET Model" Keoleian et al. 2011
Appendix p. 83</t>
        </r>
      </text>
    </comment>
    <comment ref="AE80" authorId="0" shapeId="0" xr:uid="{00000000-0006-0000-3F00-000079000000}">
      <text>
        <r>
          <rPr>
            <sz val="8"/>
            <color indexed="81"/>
            <rFont val="Tahoma"/>
            <family val="2"/>
          </rPr>
          <t>Data from "Life Cycle Material Data Update for GREET Model" Keoleian et al. 2011
Appendix p. 86</t>
        </r>
      </text>
    </comment>
    <comment ref="AG80" authorId="0" shapeId="0" xr:uid="{00000000-0006-0000-3F00-00007A000000}">
      <text>
        <r>
          <rPr>
            <sz val="8"/>
            <color indexed="81"/>
            <rFont val="Tahoma"/>
            <family val="2"/>
          </rPr>
          <t>Data from "Life Cycle Material Data Update for GREET Model" Keoleian et al. 2011
Appendix p. 89</t>
        </r>
      </text>
    </comment>
    <comment ref="G81" authorId="0" shapeId="0" xr:uid="{00000000-0006-0000-3F00-00007B000000}">
      <text>
        <r>
          <rPr>
            <sz val="8"/>
            <color indexed="81"/>
            <rFont val="Tahoma"/>
            <family val="2"/>
          </rPr>
          <t>Data from "Life Cycle Material Data Update for GREET Model" Keoleian et al. 2011
Appendix p. 50</t>
        </r>
      </text>
    </comment>
    <comment ref="O81" authorId="0" shapeId="0" xr:uid="{00000000-0006-0000-3F00-00007C000000}">
      <text>
        <r>
          <rPr>
            <sz val="8"/>
            <color indexed="81"/>
            <rFont val="Tahoma"/>
            <family val="2"/>
          </rPr>
          <t>Data from "Life Cycle Material Data Update for GREET Model" Keoleian et al. 2011
Appendix p. 62</t>
        </r>
      </text>
    </comment>
    <comment ref="Q81" authorId="0" shapeId="0" xr:uid="{00000000-0006-0000-3F00-00007D000000}">
      <text>
        <r>
          <rPr>
            <sz val="8"/>
            <color indexed="81"/>
            <rFont val="Tahoma"/>
            <family val="2"/>
          </rPr>
          <t>Data from "Life Cycle Material Data Update for GREET Model" Keoleian et al. 2011
Appendix p. 65</t>
        </r>
      </text>
    </comment>
    <comment ref="S81" authorId="0" shapeId="0" xr:uid="{00000000-0006-0000-3F00-00007E000000}">
      <text>
        <r>
          <rPr>
            <sz val="8"/>
            <color indexed="81"/>
            <rFont val="Tahoma"/>
            <family val="2"/>
          </rPr>
          <t>Data from "Life Cycle Material Data Update for GREET Model" Keoleian et al. 2011
Appendix p. 68</t>
        </r>
      </text>
    </comment>
    <comment ref="U81" authorId="0" shapeId="0" xr:uid="{00000000-0006-0000-3F00-00007F000000}">
      <text>
        <r>
          <rPr>
            <sz val="8"/>
            <color indexed="81"/>
            <rFont val="Tahoma"/>
            <family val="2"/>
          </rPr>
          <t>Data from "Life Cycle Material Data Update for GREET Model" Keoleian et al. 2011
Appendix p. 71</t>
        </r>
      </text>
    </comment>
    <comment ref="AA81" authorId="0" shapeId="0" xr:uid="{00000000-0006-0000-3F00-000080000000}">
      <text>
        <r>
          <rPr>
            <sz val="8"/>
            <color indexed="81"/>
            <rFont val="Tahoma"/>
            <family val="2"/>
          </rPr>
          <t>Data from "Life Cycle Material Data Update for GREET Model" Keoleian et al. 2011
Appendix p. 80</t>
        </r>
      </text>
    </comment>
    <comment ref="AC81" authorId="0" shapeId="0" xr:uid="{00000000-0006-0000-3F00-000081000000}">
      <text>
        <r>
          <rPr>
            <sz val="8"/>
            <color indexed="81"/>
            <rFont val="Tahoma"/>
            <family val="2"/>
          </rPr>
          <t>Data from "Life Cycle Material Data Update for GREET Model" Keoleian et al. 2011
Appendix p. 83</t>
        </r>
      </text>
    </comment>
    <comment ref="C82" authorId="0" shapeId="0" xr:uid="{00000000-0006-0000-3F00-000082000000}">
      <text>
        <r>
          <rPr>
            <sz val="8"/>
            <color indexed="81"/>
            <rFont val="Tahoma"/>
            <family val="2"/>
          </rPr>
          <t>Data from "Life Cycle Material Data Update for GREET Model" Keoleian et al. 2011
Appendix p. 44</t>
        </r>
      </text>
    </comment>
    <comment ref="E82" authorId="0" shapeId="0" xr:uid="{00000000-0006-0000-3F00-000083000000}">
      <text>
        <r>
          <rPr>
            <sz val="8"/>
            <color indexed="81"/>
            <rFont val="Tahoma"/>
            <family val="2"/>
          </rPr>
          <t>Data from "Life Cycle Material Data Update for GREET Model" Keoleian et al. 2011
Appendix p. 47</t>
        </r>
      </text>
    </comment>
    <comment ref="G82" authorId="0" shapeId="0" xr:uid="{00000000-0006-0000-3F00-000084000000}">
      <text>
        <r>
          <rPr>
            <sz val="8"/>
            <color indexed="81"/>
            <rFont val="Tahoma"/>
            <family val="2"/>
          </rPr>
          <t>Data from "Life Cycle Material Data Update for GREET Model" Keoleian et al. 2011
Appendix p. 50</t>
        </r>
      </text>
    </comment>
    <comment ref="I82" authorId="0" shapeId="0" xr:uid="{00000000-0006-0000-3F00-000085000000}">
      <text>
        <r>
          <rPr>
            <sz val="8"/>
            <color indexed="81"/>
            <rFont val="Tahoma"/>
            <family val="2"/>
          </rPr>
          <t>Data from "Life Cycle Material Data Update for GREET Model" Keoleian et al. 2011
Appendix p. 53</t>
        </r>
      </text>
    </comment>
    <comment ref="K82" authorId="0" shapeId="0" xr:uid="{00000000-0006-0000-3F00-000086000000}">
      <text>
        <r>
          <rPr>
            <sz val="8"/>
            <color indexed="81"/>
            <rFont val="Tahoma"/>
            <family val="2"/>
          </rPr>
          <t>Data from "Life Cycle Material Data Update for GREET Model" Keoleian et al. 2011
Appendix p. 56</t>
        </r>
      </text>
    </comment>
    <comment ref="M82" authorId="0" shapeId="0" xr:uid="{00000000-0006-0000-3F00-000087000000}">
      <text>
        <r>
          <rPr>
            <sz val="8"/>
            <color indexed="81"/>
            <rFont val="Tahoma"/>
            <family val="2"/>
          </rPr>
          <t>Data from "Life Cycle Material Data Update for GREET Model" Keoleian et al. 2011
There was a typo in Appendix p. 59, the correct value is 69762.507</t>
        </r>
      </text>
    </comment>
    <comment ref="O82" authorId="0" shapeId="0" xr:uid="{00000000-0006-0000-3F00-000088000000}">
      <text>
        <r>
          <rPr>
            <sz val="8"/>
            <color indexed="81"/>
            <rFont val="Tahoma"/>
            <family val="2"/>
          </rPr>
          <t>Data from "Life Cycle Material Data Update for GREET Model" Keoleian et al. 2011
Appendix p. 62</t>
        </r>
      </text>
    </comment>
    <comment ref="Q82" authorId="0" shapeId="0" xr:uid="{00000000-0006-0000-3F00-000089000000}">
      <text>
        <r>
          <rPr>
            <sz val="8"/>
            <color indexed="81"/>
            <rFont val="Tahoma"/>
            <family val="2"/>
          </rPr>
          <t>Data from "Life Cycle Material Data Update for GREET Model" Keoleian et al. 2011
Appendix p. 65</t>
        </r>
      </text>
    </comment>
    <comment ref="S82" authorId="0" shapeId="0" xr:uid="{00000000-0006-0000-3F00-00008A000000}">
      <text>
        <r>
          <rPr>
            <sz val="8"/>
            <color indexed="81"/>
            <rFont val="Tahoma"/>
            <family val="2"/>
          </rPr>
          <t>Data from "Life Cycle Material Data Update for GREET Model" Keoleian et al. 2011
Appendix p. 68</t>
        </r>
      </text>
    </comment>
    <comment ref="U82" authorId="0" shapeId="0" xr:uid="{00000000-0006-0000-3F00-00008B000000}">
      <text>
        <r>
          <rPr>
            <sz val="8"/>
            <color indexed="81"/>
            <rFont val="Tahoma"/>
            <family val="2"/>
          </rPr>
          <t>Data from "Life Cycle Material Data Update for GREET Model" Keoleian et al. 2011
Appendix p. 71</t>
        </r>
      </text>
    </comment>
    <comment ref="Y82" authorId="0" shapeId="0" xr:uid="{00000000-0006-0000-3F00-00008C000000}">
      <text>
        <r>
          <rPr>
            <sz val="8"/>
            <color indexed="81"/>
            <rFont val="Tahoma"/>
            <family val="2"/>
          </rPr>
          <t>Data from "Life Cycle Material Data Update for GREET Model" Keoleian et al. 2011
Appendix p. 77</t>
        </r>
      </text>
    </comment>
    <comment ref="AA82" authorId="0" shapeId="0" xr:uid="{00000000-0006-0000-3F00-00008D000000}">
      <text>
        <r>
          <rPr>
            <sz val="8"/>
            <color indexed="81"/>
            <rFont val="Tahoma"/>
            <family val="2"/>
          </rPr>
          <t>Data from "Life Cycle Material Data Update for GREET Model" Keoleian et al. 2011
Appendix p. 80</t>
        </r>
      </text>
    </comment>
    <comment ref="AC82" authorId="0" shapeId="0" xr:uid="{00000000-0006-0000-3F00-00008E000000}">
      <text>
        <r>
          <rPr>
            <sz val="8"/>
            <color indexed="81"/>
            <rFont val="Tahoma"/>
            <family val="2"/>
          </rPr>
          <t>Data from "Life Cycle Material Data Update for GREET Model" Keoleian et al. 2011
Appendix p. 83</t>
        </r>
      </text>
    </comment>
    <comment ref="AE82" authorId="0" shapeId="0" xr:uid="{00000000-0006-0000-3F00-00008F000000}">
      <text>
        <r>
          <rPr>
            <sz val="8"/>
            <color indexed="81"/>
            <rFont val="Tahoma"/>
            <family val="2"/>
          </rPr>
          <t>Data from "Life Cycle Material Data Update for GREET Model" Keoleian et al. 2011
Appendix p. 86</t>
        </r>
      </text>
    </comment>
    <comment ref="AG82" authorId="0" shapeId="0" xr:uid="{00000000-0006-0000-3F00-000090000000}">
      <text>
        <r>
          <rPr>
            <sz val="8"/>
            <color indexed="81"/>
            <rFont val="Tahoma"/>
            <family val="2"/>
          </rPr>
          <t>Data from "Life Cycle Material Data Update for GREET Model" Keoleian et al. 2011
Appendix p. 89</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81" authorId="0" shapeId="0" xr:uid="{00000000-0006-0000-4100-000001000000}">
      <text>
        <r>
          <rPr>
            <sz val="8"/>
            <color indexed="81"/>
            <rFont val="Tahoma"/>
            <family val="2"/>
          </rPr>
          <t>Data from "Life Cycle Environmental Assessment of Paint Processes"  Papasavva et al. 2002
Average value used from range</t>
        </r>
      </text>
    </comment>
    <comment ref="E82" authorId="0" shapeId="0" xr:uid="{00000000-0006-0000-4100-000002000000}">
      <text>
        <r>
          <rPr>
            <sz val="8"/>
            <color indexed="81"/>
            <rFont val="Tahoma"/>
            <family val="2"/>
          </rPr>
          <t>Data from "Life Cycle Environmental Assessment of Paint Processes"  Papasavva et al. 2002
Average value used from range</t>
        </r>
      </text>
    </comment>
    <comment ref="E83" authorId="0" shapeId="0" xr:uid="{00000000-0006-0000-4100-000003000000}">
      <text>
        <r>
          <rPr>
            <sz val="8"/>
            <color indexed="81"/>
            <rFont val="Tahoma"/>
            <family val="2"/>
          </rPr>
          <t>Data from "Life Cycle Environmental Assessment of Paint Processes"  Papasavva et al. 2002
Average value used from range</t>
        </r>
      </text>
    </comment>
    <comment ref="E84" authorId="0" shapeId="0" xr:uid="{00000000-0006-0000-4100-000004000000}">
      <text>
        <r>
          <rPr>
            <sz val="8"/>
            <color indexed="81"/>
            <rFont val="Tahoma"/>
            <family val="2"/>
          </rPr>
          <t xml:space="preserve">Data from "Life Cycle Environmental Assessment of Paint Processes"  Papasavva et al. 2002
</t>
        </r>
      </text>
    </comment>
    <comment ref="A136" authorId="0" shapeId="0" xr:uid="{00000000-0006-0000-4100-000005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A137" authorId="0" shapeId="0" xr:uid="{00000000-0006-0000-4100-000006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R138" authorId="0" shapeId="0" xr:uid="{00000000-0006-0000-4100-000007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V138" authorId="0" shapeId="0" xr:uid="{00000000-0006-0000-4100-000008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170" authorId="0" shapeId="0" xr:uid="{00000000-0006-0000-4100-000009000000}">
      <text>
        <r>
          <rPr>
            <sz val="8"/>
            <color indexed="81"/>
            <rFont val="Tahoma"/>
            <family val="2"/>
          </rPr>
          <t>See "Energy-Consumption and Carbon-Emission Analysis of Vehicle and Component Manufacturing" Sullivan et al 2010</t>
        </r>
      </text>
    </comment>
    <comment ref="A224" authorId="0" shapeId="0" xr:uid="{00000000-0006-0000-4100-00000A000000}">
      <text>
        <r>
          <rPr>
            <sz val="8"/>
            <color indexed="81"/>
            <rFont val="Tahoma"/>
            <family val="2"/>
          </rPr>
          <t>See "Energy-Consumption and Carbon-Emission Analysis of Vehicle and Component Manufacturing" Sullivan et al 2010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6" authorId="0" shapeId="0" xr:uid="{00000000-0006-0000-1B00-000001000000}">
      <text>
        <r>
          <rPr>
            <b/>
            <sz val="9"/>
            <color indexed="81"/>
            <rFont val="Tahoma"/>
            <family val="2"/>
          </rPr>
          <t>Author:</t>
        </r>
        <r>
          <rPr>
            <sz val="9"/>
            <color indexed="81"/>
            <rFont val="Tahoma"/>
            <family val="2"/>
          </rPr>
          <t xml:space="preserve">
.66 residual battery charge end of day</t>
        </r>
      </text>
    </comment>
    <comment ref="D66" authorId="0" shapeId="0" xr:uid="{00000000-0006-0000-1B00-000002000000}">
      <text>
        <r>
          <rPr>
            <b/>
            <sz val="9"/>
            <color indexed="81"/>
            <rFont val="Tahoma"/>
            <family val="2"/>
          </rPr>
          <t>Author:</t>
        </r>
        <r>
          <rPr>
            <sz val="9"/>
            <color indexed="81"/>
            <rFont val="Tahoma"/>
            <family val="2"/>
          </rPr>
          <t xml:space="preserve">
Compares fairly well with average above.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4200-000001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8" authorId="0" shapeId="0" xr:uid="{00000000-0006-0000-4200-000002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1" authorId="0" shapeId="0" xr:uid="{00000000-0006-0000-4200-000003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4" authorId="0" shapeId="0" xr:uid="{00000000-0006-0000-4200-000004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A45" authorId="0" shapeId="0" xr:uid="{00000000-0006-0000-4200-000005000000}">
      <text>
        <r>
          <rPr>
            <sz val="9"/>
            <color indexed="81"/>
            <rFont val="Tahoma"/>
            <family val="2"/>
          </rPr>
          <t>Based on Kelly, J., Dai, Q., and Elgowainy,A.  2016, Vehicle Materials: Fuel Cell Vehicle Material Composition Update,Systems Assessment Group, Argonne National Laboratory, Argonne, Ill.</t>
        </r>
      </text>
    </comment>
    <comment ref="A73" authorId="0" shapeId="0" xr:uid="{00000000-0006-0000-4200-000006000000}">
      <text>
        <r>
          <rPr>
            <sz val="9"/>
            <color indexed="81"/>
            <rFont val="Tahoma"/>
            <family val="2"/>
          </rPr>
          <t>Lead-acid battery is always installed in HEV and FCV for starter purpose.</t>
        </r>
      </text>
    </comment>
    <comment ref="C110" authorId="0" shapeId="0" xr:uid="{00000000-0006-0000-4200-000007000000}">
      <text>
        <r>
          <rPr>
            <sz val="8"/>
            <color indexed="81"/>
            <rFont val="Tahoma"/>
            <family val="2"/>
          </rPr>
          <t>From Autonomie MY2010 average results includes both battery and packaging</t>
        </r>
      </text>
    </comment>
    <comment ref="E110" authorId="0" shapeId="0" xr:uid="{00000000-0006-0000-4200-000008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1" authorId="0" shapeId="0" xr:uid="{00000000-0006-0000-4200-000009000000}">
      <text>
        <r>
          <rPr>
            <sz val="8"/>
            <color indexed="81"/>
            <rFont val="Tahoma"/>
            <family val="2"/>
          </rPr>
          <t>From Autonomie MY2010 average results includes both battery and packaging</t>
        </r>
      </text>
    </comment>
    <comment ref="E111" authorId="0" shapeId="0" xr:uid="{00000000-0006-0000-4200-00000A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6" authorId="0" shapeId="0" xr:uid="{00000000-0006-0000-4200-00000B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6" authorId="0" shapeId="0" xr:uid="{00000000-0006-0000-4200-00000C000000}">
      <text>
        <r>
          <rPr>
            <sz val="8"/>
            <color indexed="81"/>
            <rFont val="Tahoma"/>
            <family val="2"/>
          </rPr>
          <t>From Autonomie MY2010 average results includes both battery and packaging</t>
        </r>
      </text>
    </comment>
    <comment ref="C117" authorId="0" shapeId="0" xr:uid="{00000000-0006-0000-4200-00000D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7" authorId="0" shapeId="0" xr:uid="{00000000-0006-0000-4200-00000E000000}">
      <text>
        <r>
          <rPr>
            <sz val="8"/>
            <color indexed="81"/>
            <rFont val="Tahoma"/>
            <family val="2"/>
          </rPr>
          <t>From Autonomie MY2010 average results includes both battery and packaging</t>
        </r>
      </text>
    </comment>
    <comment ref="A124" authorId="0" shapeId="0" xr:uid="{00000000-0006-0000-4200-00000F000000}">
      <text>
        <r>
          <rPr>
            <sz val="9"/>
            <color indexed="81"/>
            <rFont val="Tahoma"/>
            <family val="2"/>
          </rPr>
          <t>Based on Burnham, A., M. Wang, and Y. Wu, 2006, Development and Applications of GREET 2.7 — The Transportation Vehicle-Cycle Model, ANL/ESD/06-5, Center for Transportation Research, Argonne National Laboratory, Argonne, Ill.
Section 4.6 Tire and Fluid Replacement</t>
        </r>
      </text>
    </comment>
    <comment ref="B130" authorId="0" shapeId="0" xr:uid="{00000000-0006-0000-4200-000010000000}">
      <text>
        <r>
          <rPr>
            <sz val="9"/>
            <color indexed="81"/>
            <rFont val="Tahoma"/>
            <family val="2"/>
          </rPr>
          <t>Assumed to be the same as Li-Ion</t>
        </r>
      </text>
    </comment>
    <comment ref="B131" authorId="0" shapeId="0" xr:uid="{00000000-0006-0000-4200-000011000000}">
      <text>
        <r>
          <rPr>
            <sz val="9"/>
            <color indexed="81"/>
            <rFont val="Tahoma"/>
            <family val="2"/>
          </rPr>
          <t>Assumed to be the same as Li-Ion</t>
        </r>
      </text>
    </comment>
    <comment ref="B132" authorId="0" shapeId="0" xr:uid="{00000000-0006-0000-4200-000012000000}">
      <text>
        <r>
          <rPr>
            <sz val="9"/>
            <color indexed="81"/>
            <rFont val="Tahoma"/>
            <family val="2"/>
          </rPr>
          <t>J.B. Dunn, L. Gaines, M. Barnes, J. Sullivan and M. Wang, 2012. "Material and Energy Flows in the Materials Production, Assembly, and End of Life Stages of the Automotive Lithium Ion Battery Life Cycle," ANL/ESD/12-3</t>
        </r>
      </text>
    </comment>
    <comment ref="B135" authorId="0" shapeId="0" xr:uid="{00000000-0006-0000-4200-000013000000}">
      <text>
        <r>
          <rPr>
            <sz val="8"/>
            <color indexed="81"/>
            <rFont val="Tahoma"/>
            <family val="2"/>
          </rPr>
          <t xml:space="preserve">Data from "Characterization of automotive paints: an environmental impact analysis" values in the paper were converted from electrical energy to primary energy
</t>
        </r>
      </text>
    </comment>
    <comment ref="B136" authorId="0" shapeId="0" xr:uid="{00000000-0006-0000-4200-000014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7" authorId="0" shapeId="0" xr:uid="{00000000-0006-0000-4200-000015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8" authorId="0" shapeId="0" xr:uid="{00000000-0006-0000-4200-000016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9" authorId="0" shapeId="0" xr:uid="{00000000-0006-0000-4200-000017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0" authorId="0" shapeId="0" xr:uid="{00000000-0006-0000-4200-000018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1" authorId="0" shapeId="0" xr:uid="{00000000-0006-0000-4200-000019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2" authorId="0" shapeId="0" xr:uid="{00000000-0006-0000-4200-00001A000000}">
      <text>
        <r>
          <rPr>
            <sz val="8"/>
            <color indexed="81"/>
            <rFont val="Tahoma"/>
            <family val="2"/>
          </rPr>
          <t>Source: Life-cycle energy savings potenital from aluminum-intensive vehicles. F. Stodolsky, etc. Electricity use is 1.1 MJ/kg of vehicle.
Use conventional ICEV to calculate</t>
        </r>
      </text>
    </comment>
    <comment ref="A148" authorId="0" shapeId="0" xr:uid="{00000000-0006-0000-4200-00001B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49" authorId="0" shapeId="0" xr:uid="{00000000-0006-0000-4200-00001C000000}">
      <text>
        <r>
          <rPr>
            <sz val="9"/>
            <color rgb="FF000000"/>
            <rFont val="Tahoma"/>
            <family val="2"/>
          </rPr>
          <t>Assumed to be similar to HEV</t>
        </r>
      </text>
    </comment>
    <comment ref="E149" authorId="0" shapeId="0" xr:uid="{00000000-0006-0000-4200-00001D000000}">
      <text>
        <r>
          <rPr>
            <sz val="9"/>
            <color rgb="FF000000"/>
            <rFont val="Tahoma"/>
            <family val="2"/>
          </rPr>
          <t>Assumed to be similar to FCV</t>
        </r>
      </text>
    </comment>
    <comment ref="A152" authorId="0" shapeId="0" xr:uid="{00000000-0006-0000-4200-00001E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53" authorId="0" shapeId="0" xr:uid="{00000000-0006-0000-4200-00001F000000}">
      <text>
        <r>
          <rPr>
            <sz val="9"/>
            <color rgb="FF000000"/>
            <rFont val="Tahoma"/>
            <family val="2"/>
          </rPr>
          <t>Assumed to be similar to HEV</t>
        </r>
      </text>
    </comment>
    <comment ref="E153" authorId="0" shapeId="0" xr:uid="{00000000-0006-0000-4200-000020000000}">
      <text>
        <r>
          <rPr>
            <sz val="9"/>
            <color rgb="FF000000"/>
            <rFont val="Tahoma"/>
            <family val="2"/>
          </rPr>
          <t>Assumed to be similar to FCV</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23" authorId="0" shapeId="0" xr:uid="{00000000-0006-0000-4500-000001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64" authorId="0" shapeId="0" xr:uid="{00000000-0006-0000-4500-000002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C171" authorId="0" shapeId="0" xr:uid="{00000000-0006-0000-4500-000003000000}">
      <text>
        <r>
          <rPr>
            <sz val="8"/>
            <color indexed="81"/>
            <rFont val="Tahoma"/>
            <family val="2"/>
          </rPr>
          <t>Data from "Life Cycle Material Data Update for GREET Model" Keoleian et al. 2012
Based onTable 2.1</t>
        </r>
      </text>
    </comment>
    <comment ref="C172" authorId="0" shapeId="0" xr:uid="{00000000-0006-0000-4500-000004000000}">
      <text>
        <r>
          <rPr>
            <sz val="9"/>
            <color indexed="81"/>
            <rFont val="Tahoma"/>
            <family val="2"/>
          </rPr>
          <t>From "Life Cycle Inventory Report for the North American Aluminum Industry" Weston 1998
Page 5-6</t>
        </r>
      </text>
    </comment>
    <comment ref="C173" authorId="0" shapeId="0" xr:uid="{00000000-0006-0000-4500-000005000000}">
      <text>
        <r>
          <rPr>
            <sz val="9"/>
            <color indexed="81"/>
            <rFont val="Tahoma"/>
            <family val="2"/>
          </rPr>
          <t>Updated value using data from "Life Cycle Inventory Report for the North American Aluminum Industry" Weston 1998
Page 5-6</t>
        </r>
      </text>
    </comment>
    <comment ref="B179" authorId="0" shapeId="0" xr:uid="{00000000-0006-0000-4500-000006000000}">
      <text>
        <r>
          <rPr>
            <sz val="8"/>
            <color indexed="81"/>
            <rFont val="Tahoma"/>
            <family val="2"/>
          </rPr>
          <t>Data from "Life Cycle Material Data Update for GREET Model" Keoleian et al. 2012
Based onTable 2.1</t>
        </r>
      </text>
    </comment>
    <comment ref="C179" authorId="0" shapeId="0" xr:uid="{00000000-0006-0000-4500-000007000000}">
      <text>
        <r>
          <rPr>
            <sz val="8"/>
            <color indexed="81"/>
            <rFont val="Tahoma"/>
            <family val="2"/>
          </rPr>
          <t>Data from "Life Cycle Material Data Update for GREET Model" Keoleian et al. 2012
Based onTable 2.1</t>
        </r>
      </text>
    </comment>
    <comment ref="D179" authorId="0" shapeId="0" xr:uid="{00000000-0006-0000-4500-000008000000}">
      <text>
        <r>
          <rPr>
            <sz val="8"/>
            <color indexed="81"/>
            <rFont val="Tahoma"/>
            <family val="2"/>
          </rPr>
          <t>Data from "Life Cycle Material Data Update for GREET Model" Keoleian et al. 2012
Based onTable 2.1</t>
        </r>
      </text>
    </comment>
    <comment ref="B184" authorId="0" shapeId="0" xr:uid="{00000000-0006-0000-4500-000009000000}">
      <text>
        <r>
          <rPr>
            <sz val="8"/>
            <color indexed="81"/>
            <rFont val="Tahoma"/>
            <family val="2"/>
          </rPr>
          <t>Data from "Life Cycle Material Data Update for GREET Model" Keoleian et al. 2012</t>
        </r>
      </text>
    </comment>
    <comment ref="G184" authorId="0" shapeId="0" xr:uid="{00000000-0006-0000-4500-00000A000000}">
      <text>
        <r>
          <rPr>
            <b/>
            <sz val="9"/>
            <color indexed="81"/>
            <rFont val="Tahoma"/>
            <family val="2"/>
          </rPr>
          <t>Author:</t>
        </r>
        <r>
          <rPr>
            <sz val="9"/>
            <color indexed="81"/>
            <rFont val="Tahoma"/>
            <family val="2"/>
          </rPr>
          <t xml:space="preserve">
Title: Update of Process Energy Requirement and Material Efficiency for Steel and Al Stamping in the GREET Model
Publication date: September 2017
Authors: Q. Dai, J.C. Kelly, and A. Elgowainy</t>
        </r>
      </text>
    </comment>
    <comment ref="B185" authorId="0" shapeId="0" xr:uid="{00000000-0006-0000-4500-00000B000000}">
      <text>
        <r>
          <rPr>
            <sz val="8"/>
            <color indexed="81"/>
            <rFont val="Tahoma"/>
            <family val="2"/>
          </rPr>
          <t>Based on Athena 2002, Cradle-to-gate life cycle inventory: Canadian and US Steel Production by Mill Type</t>
        </r>
      </text>
    </comment>
    <comment ref="J185" authorId="0" shapeId="0" xr:uid="{00000000-0006-0000-4500-00000C000000}">
      <text>
        <r>
          <rPr>
            <sz val="8"/>
            <color indexed="81"/>
            <rFont val="Tahoma"/>
            <family val="2"/>
          </rPr>
          <t>Data from "Energy Analysis of 108 Industrial Processes" Brown et al. 1996
Page 309</t>
        </r>
      </text>
    </comment>
    <comment ref="B186" authorId="0" shapeId="0" xr:uid="{00000000-0006-0000-4500-00000D000000}">
      <text>
        <r>
          <rPr>
            <sz val="8"/>
            <color indexed="81"/>
            <rFont val="Tahoma"/>
            <family val="2"/>
          </rPr>
          <t>Recycled steel for construction was not updated in "Life Cycle Material Data Update for GREET Model" Keoleian et al. 2012
Assumed to be the same as recycled steel</t>
        </r>
      </text>
    </comment>
    <comment ref="J186" authorId="0" shapeId="0" xr:uid="{00000000-0006-0000-4500-00000E000000}">
      <text>
        <r>
          <rPr>
            <sz val="9"/>
            <color indexed="81"/>
            <rFont val="Tahoma"/>
            <family val="2"/>
          </rPr>
          <t>Data from "Energy Analysis of 108 Industrial Processes" Brown et al. 1996
Page 309</t>
        </r>
      </text>
    </comment>
    <comment ref="B187" authorId="0" shapeId="0" xr:uid="{00000000-0006-0000-4500-00000F000000}">
      <text>
        <r>
          <rPr>
            <sz val="8"/>
            <color indexed="81"/>
            <rFont val="Tahoma"/>
            <family val="2"/>
          </rPr>
          <t>Stainless steel was not updated in "Life Cycle Material Data Update for GREET Model" Keoleian et al. 2012
Have kept the same intermediate amount of EAF, which is then sent to the rod and bar mill.</t>
        </r>
      </text>
    </comment>
    <comment ref="J187" authorId="0" shapeId="0" xr:uid="{00000000-0006-0000-4500-000010000000}">
      <text>
        <r>
          <rPr>
            <sz val="9"/>
            <color indexed="81"/>
            <rFont val="Tahoma"/>
            <family val="2"/>
          </rPr>
          <t>Data from "Energy Analysis of 108 Industrial Processes" Brown et al. 1996
Page 309</t>
        </r>
      </text>
    </comment>
    <comment ref="B190" authorId="0" shapeId="0" xr:uid="{00000000-0006-0000-4500-000011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C190" authorId="0" shapeId="0" xr:uid="{00000000-0006-0000-4500-000012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B194" authorId="0" shapeId="0" xr:uid="{00000000-0006-0000-4500-000013000000}">
      <text>
        <r>
          <rPr>
            <sz val="9"/>
            <color indexed="81"/>
            <rFont val="Tahoma"/>
            <family val="2"/>
          </rPr>
          <t>Data from "Life Cycle Inventory Report for the North American Aluminum Industry" Weston 1998
Page 5-6. All rolled aluminum is assumed to be cold rolled based on page 2-2</t>
        </r>
      </text>
    </comment>
    <comment ref="C194" authorId="0" shapeId="0" xr:uid="{00000000-0006-0000-4500-000014000000}">
      <text>
        <r>
          <rPr>
            <sz val="9"/>
            <color indexed="81"/>
            <rFont val="Tahoma"/>
            <family val="2"/>
          </rPr>
          <t>Data from "Life Cycle Inventory Report for the North American Aluminum Industry" Weston 1998
Page 5-6. All rolled aluminum is assumed to be cold rolled based on page 2-2</t>
        </r>
      </text>
    </comment>
    <comment ref="D194" authorId="0" shapeId="0" xr:uid="{00000000-0006-0000-4500-000015000000}">
      <text>
        <r>
          <rPr>
            <sz val="9"/>
            <color indexed="81"/>
            <rFont val="Tahoma"/>
            <family val="2"/>
          </rPr>
          <t>Data from "Life Cycle Inventory Report for the North American Aluminum Industry" Weston 1998
Page 5-6. All rolled aluminum is assumed to be cold rolled based on page 2-2</t>
        </r>
      </text>
    </comment>
    <comment ref="B199" authorId="0" shapeId="0" xr:uid="{00000000-0006-0000-4500-000016000000}">
      <text>
        <r>
          <rPr>
            <sz val="8"/>
            <color indexed="81"/>
            <rFont val="Tahoma"/>
            <family val="2"/>
          </rPr>
          <t xml:space="preserve">Virgin Production (Bauxite Mining through Primary Ingot Casting) data from "Life Cycle Impact Assessment of Aluminum Beverage Cans" Aluminum Association 2010.
</t>
        </r>
      </text>
    </comment>
    <comment ref="G199" authorId="0" shapeId="0" xr:uid="{00000000-0006-0000-45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199" authorId="0" shapeId="0" xr:uid="{00000000-0006-0000-45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199" authorId="0" shapeId="0" xr:uid="{00000000-0006-0000-4500-000019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0" authorId="0" shapeId="0" xr:uid="{00000000-0006-0000-4500-00001A000000}">
      <text>
        <r>
          <rPr>
            <sz val="8"/>
            <color indexed="81"/>
            <rFont val="Tahoma"/>
            <family val="2"/>
          </rPr>
          <t xml:space="preserve">Virgin Production (Bauxite Mining through Primary Ingot Casting) data from "Life Cycle Impact Assessment of Aluminum Beverage Cans" Aluminum Association 2010.
</t>
        </r>
      </text>
    </comment>
    <comment ref="G200" authorId="0" shapeId="0" xr:uid="{00000000-0006-0000-45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0" authorId="0" shapeId="0" xr:uid="{00000000-0006-0000-45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0" authorId="0" shapeId="0" xr:uid="{00000000-0006-0000-45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0" authorId="0" shapeId="0" xr:uid="{00000000-0006-0000-4500-00001E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1" authorId="0" shapeId="0" xr:uid="{00000000-0006-0000-4500-00001F000000}">
      <text>
        <r>
          <rPr>
            <sz val="8"/>
            <color indexed="81"/>
            <rFont val="Tahoma"/>
            <family val="2"/>
          </rPr>
          <t xml:space="preserve">Virgin Production (Bauxite Mining through Primary Ingot Casting) data from "Life Cycle Impact Assessment of Aluminum Beverage Cans" Aluminum Association 2010.
</t>
        </r>
      </text>
    </comment>
    <comment ref="G201" authorId="0" shapeId="0" xr:uid="{00000000-0006-0000-45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1" authorId="0" shapeId="0" xr:uid="{00000000-0006-0000-45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202" authorId="0" shapeId="0" xr:uid="{00000000-0006-0000-45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2" authorId="0" shapeId="0" xr:uid="{00000000-0006-0000-45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2" authorId="0" shapeId="0" xr:uid="{00000000-0006-0000-45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2" authorId="0" shapeId="0" xr:uid="{00000000-0006-0000-4500-000025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H203" authorId="0" shapeId="0" xr:uid="{00000000-0006-0000-45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3" authorId="0" shapeId="0" xr:uid="{00000000-0006-0000-45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3" authorId="0" shapeId="0" xr:uid="{00000000-0006-0000-45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3" authorId="0" shapeId="0" xr:uid="{00000000-0006-0000-45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3" authorId="0" shapeId="0" xr:uid="{00000000-0006-0000-4500-00002A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H204" authorId="0" shapeId="0" xr:uid="{00000000-0006-0000-45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4" authorId="0" shapeId="0" xr:uid="{00000000-0006-0000-45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4" authorId="0" shapeId="0" xr:uid="{00000000-0006-0000-45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208" authorId="0" shapeId="0" xr:uid="{00000000-0006-0000-4500-00002E000000}">
      <text>
        <r>
          <rPr>
            <sz val="8"/>
            <color indexed="81"/>
            <rFont val="Tahoma"/>
            <family val="2"/>
          </rPr>
          <t xml:space="preserve">Virgin Production (Bauxite Mining through Primary Ingot Casting) data from "Life Cycle Impact Assessment of Aluminum Beverage Cans" Aluminum Association 2010.
</t>
        </r>
      </text>
    </comment>
    <comment ref="G208" authorId="0" shapeId="0" xr:uid="{00000000-0006-0000-45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8" authorId="0" shapeId="0" xr:uid="{00000000-0006-0000-4500-000030000000}">
      <text>
        <r>
          <rPr>
            <sz val="9"/>
            <color indexed="81"/>
            <rFont val="Tahoma"/>
            <family val="2"/>
          </rPr>
          <t>Data from "Life Cycle Inventory Report for the North American Aluminum Industry" Weston 1998
Table 4-7</t>
        </r>
      </text>
    </comment>
    <comment ref="K208" authorId="0" shapeId="0" xr:uid="{00000000-0006-0000-4500-000031000000}">
      <text>
        <r>
          <rPr>
            <sz val="9"/>
            <color indexed="81"/>
            <rFont val="Tahoma"/>
            <family val="2"/>
          </rPr>
          <t>Data from "Energy Analysis of 108 Industrial Processes" Brown et al. 1996
Page 309</t>
        </r>
      </text>
    </comment>
    <comment ref="H209" authorId="0" shapeId="0" xr:uid="{00000000-0006-0000-45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9" authorId="0" shapeId="0" xr:uid="{00000000-0006-0000-45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9" authorId="0" shapeId="0" xr:uid="{00000000-0006-0000-4500-000034000000}">
      <text>
        <r>
          <rPr>
            <sz val="9"/>
            <color indexed="81"/>
            <rFont val="Tahoma"/>
            <family val="2"/>
          </rPr>
          <t>Data from "Life Cycle Inventory Report for the North American Aluminum Industry" Weston 1998
Table 4-7</t>
        </r>
      </text>
    </comment>
    <comment ref="K209" authorId="0" shapeId="0" xr:uid="{00000000-0006-0000-4500-000035000000}">
      <text>
        <r>
          <rPr>
            <sz val="9"/>
            <color indexed="81"/>
            <rFont val="Tahoma"/>
            <family val="2"/>
          </rPr>
          <t>Data from "Energy Analysis of 108 Industrial Processes" Brown et al. 1996
Page 309</t>
        </r>
      </text>
    </comment>
    <comment ref="B212" authorId="0" shapeId="0" xr:uid="{00000000-0006-0000-4500-000036000000}">
      <text>
        <r>
          <rPr>
            <sz val="8"/>
            <color indexed="81"/>
            <rFont val="Tahoma"/>
            <family val="2"/>
          </rPr>
          <t>Based on the chemical composition of nickel hydroxide.</t>
        </r>
      </text>
    </comment>
    <comment ref="A218" authorId="0" shapeId="0" xr:uid="{00000000-0006-0000-4500-000037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B224" authorId="0" shapeId="0" xr:uid="{00000000-0006-0000-4500-000038000000}">
      <text>
        <r>
          <rPr>
            <sz val="9"/>
            <color indexed="81"/>
            <rFont val="Tahoma"/>
            <family val="2"/>
          </rPr>
          <t xml:space="preserve">Title: Life Cycle Assessment Update of Glass and Glass Fiber for GREET
Publication Date: September 2015
Authors: Q. Dai, J.C. Kelly, J. Sullivan, and A. Elgowainy
</t>
        </r>
      </text>
    </comment>
    <comment ref="B225" authorId="0" shapeId="0" xr:uid="{00000000-0006-0000-4500-000039000000}">
      <text>
        <r>
          <rPr>
            <sz val="9"/>
            <color indexed="81"/>
            <rFont val="Tahoma"/>
            <family val="2"/>
          </rPr>
          <t xml:space="preserve">Title: Life Cycle Assessment Update of Glass and Glass Fiber for GREET
Publication Date: September 2015
Authors: Q. Dai, J.C. Kelly, J. Sullivan, and A. Elgowainy
</t>
        </r>
      </text>
    </comment>
    <comment ref="B226" authorId="0" shapeId="0" xr:uid="{00000000-0006-0000-4500-00003A000000}">
      <text>
        <r>
          <rPr>
            <sz val="9"/>
            <color indexed="81"/>
            <rFont val="Tahoma"/>
            <family val="2"/>
          </rPr>
          <t xml:space="preserve">Title: Life Cycle Assessment Update of Glass and Glass Fiber for GREET
Publication Date: September 2015
Authors: Q. Dai, J.C. Kelly, J. Sullivan, and A. Elgowainy
</t>
        </r>
      </text>
    </comment>
    <comment ref="B234" authorId="0" shapeId="0" xr:uid="{00000000-0006-0000-4500-00003B000000}">
      <text>
        <r>
          <rPr>
            <sz val="9"/>
            <color indexed="81"/>
            <rFont val="Tahoma"/>
            <family val="2"/>
          </rPr>
          <t>Data from "Life Cycle Material Data Update for GREET Model" Keoleian et al. 2012
Table 2.42</t>
        </r>
      </text>
    </comment>
    <comment ref="B235" authorId="0" shapeId="0" xr:uid="{00000000-0006-0000-4500-00003C000000}">
      <text>
        <r>
          <rPr>
            <sz val="9"/>
            <color indexed="81"/>
            <rFont val="Tahoma"/>
            <family val="2"/>
          </rPr>
          <t>Data from "Life Cycle Material Data Update for GREET Model" Keoleian et al. 2012
Table 2.42</t>
        </r>
      </text>
    </comment>
    <comment ref="B236" authorId="0" shapeId="0" xr:uid="{00000000-0006-0000-4500-00003D000000}">
      <text>
        <r>
          <rPr>
            <sz val="9"/>
            <color indexed="81"/>
            <rFont val="Tahoma"/>
            <family val="2"/>
          </rPr>
          <t>Data from "Life Cycle Material Data Update for GREET Model" Keoleian et al. 2012
Table 2.42</t>
        </r>
      </text>
    </comment>
    <comment ref="B237" authorId="0" shapeId="0" xr:uid="{00000000-0006-0000-4500-00003E000000}">
      <text>
        <r>
          <rPr>
            <sz val="9"/>
            <color indexed="81"/>
            <rFont val="Tahoma"/>
            <family val="2"/>
          </rPr>
          <t>Data from "Life Cycle Material Data Update for GREET Model" Keoleian et al. 2012
Table 2.42</t>
        </r>
      </text>
    </comment>
    <comment ref="B238" authorId="0" shapeId="0" xr:uid="{00000000-0006-0000-4500-00003F000000}">
      <text>
        <r>
          <rPr>
            <sz val="9"/>
            <color indexed="81"/>
            <rFont val="Tahoma"/>
            <family val="2"/>
          </rPr>
          <t>Data from "Life Cycle Material Data Update for GREET Model" Keoleian et al. 2012
Table 2.42</t>
        </r>
      </text>
    </comment>
    <comment ref="B239" authorId="0" shapeId="0" xr:uid="{00000000-0006-0000-4500-000040000000}">
      <text>
        <r>
          <rPr>
            <sz val="9"/>
            <color indexed="81"/>
            <rFont val="Tahoma"/>
            <family val="2"/>
          </rPr>
          <t>Data from "Life Cycle Material Data Update for GREET Model" Keoleian et al. 2012
Table 2.42</t>
        </r>
      </text>
    </comment>
    <comment ref="B240" authorId="0" shapeId="0" xr:uid="{00000000-0006-0000-4500-000041000000}">
      <text>
        <r>
          <rPr>
            <sz val="9"/>
            <color indexed="81"/>
            <rFont val="Tahoma"/>
            <family val="2"/>
          </rPr>
          <t>Data from "Life Cycle Material Data Update for GREET Model" Keoleian et al. 2012
Table 2.42</t>
        </r>
      </text>
    </comment>
    <comment ref="B241" authorId="0" shapeId="0" xr:uid="{00000000-0006-0000-4500-000042000000}">
      <text>
        <r>
          <rPr>
            <sz val="9"/>
            <color indexed="81"/>
            <rFont val="Tahoma"/>
            <family val="2"/>
          </rPr>
          <t>Data from "Life Cycle Material Data Update for GREET Model" Keoleian et al. 2012
Table 2.42</t>
        </r>
      </text>
    </comment>
    <comment ref="B242" authorId="0" shapeId="0" xr:uid="{00000000-0006-0000-4500-000043000000}">
      <text>
        <r>
          <rPr>
            <sz val="9"/>
            <color indexed="81"/>
            <rFont val="Tahoma"/>
            <family val="2"/>
          </rPr>
          <t>Data from "Life Cycle Material Data Update for GREET Model" Keoleian et al. 2012
Table 2.42</t>
        </r>
      </text>
    </comment>
    <comment ref="B248" authorId="0" shapeId="0" xr:uid="{00000000-0006-0000-4500-000044000000}">
      <text>
        <r>
          <rPr>
            <sz val="9"/>
            <color indexed="81"/>
            <rFont val="Tahoma"/>
            <family val="2"/>
          </rPr>
          <t>Data from "Life Cycle Material Data Update for GREET Model" Keoleian et al. 2012
Table 2.41</t>
        </r>
      </text>
    </comment>
    <comment ref="B249" authorId="0" shapeId="0" xr:uid="{00000000-0006-0000-4500-000045000000}">
      <text>
        <r>
          <rPr>
            <sz val="9"/>
            <color indexed="81"/>
            <rFont val="Tahoma"/>
            <family val="2"/>
          </rPr>
          <t>Data from "Life Cycle Material Data Update for GREET Model" Keoleian et al. 2012
Table 2.41</t>
        </r>
      </text>
    </comment>
    <comment ref="B250" authorId="0" shapeId="0" xr:uid="{00000000-0006-0000-4500-000046000000}">
      <text>
        <r>
          <rPr>
            <sz val="9"/>
            <color indexed="81"/>
            <rFont val="Tahoma"/>
            <family val="2"/>
          </rPr>
          <t>Data from "Life Cycle Material Data Update for GREET Model" Keoleian et al. 2012
Table 2.41</t>
        </r>
      </text>
    </comment>
    <comment ref="B251" authorId="0" shapeId="0" xr:uid="{00000000-0006-0000-4500-000047000000}">
      <text>
        <r>
          <rPr>
            <sz val="9"/>
            <color indexed="81"/>
            <rFont val="Tahoma"/>
            <family val="2"/>
          </rPr>
          <t>Data from "Life Cycle Material Data Update for GREET Model" Keoleian et al. 2012
Table 2.41</t>
        </r>
      </text>
    </comment>
    <comment ref="B252" authorId="0" shapeId="0" xr:uid="{00000000-0006-0000-4500-000048000000}">
      <text>
        <r>
          <rPr>
            <sz val="9"/>
            <color indexed="81"/>
            <rFont val="Tahoma"/>
            <family val="2"/>
          </rPr>
          <t>Data from "Life Cycle Material Data Update for GREET Model" Keoleian et al. 2012
Table 2.41</t>
        </r>
      </text>
    </comment>
    <comment ref="B253" authorId="0" shapeId="0" xr:uid="{00000000-0006-0000-4500-000049000000}">
      <text>
        <r>
          <rPr>
            <sz val="9"/>
            <color indexed="81"/>
            <rFont val="Tahoma"/>
            <family val="2"/>
          </rPr>
          <t>Data from "Life Cycle Material Data Update for GREET Model" Keoleian et al. 2012
Table 2.41</t>
        </r>
      </text>
    </comment>
    <comment ref="B254" authorId="0" shapeId="0" xr:uid="{00000000-0006-0000-4500-00004A000000}">
      <text>
        <r>
          <rPr>
            <sz val="9"/>
            <color indexed="81"/>
            <rFont val="Tahoma"/>
            <family val="2"/>
          </rPr>
          <t>Data from "Life Cycle Material Data Update for GREET Model" Keoleian et al. 2012
Table 2.41</t>
        </r>
      </text>
    </comment>
    <comment ref="B255" authorId="0" shapeId="0" xr:uid="{00000000-0006-0000-4500-00004B000000}">
      <text>
        <r>
          <rPr>
            <sz val="9"/>
            <color indexed="81"/>
            <rFont val="Tahoma"/>
            <family val="2"/>
          </rPr>
          <t>Data from "Life Cycle Material Data Update for GREET Model" Keoleian et al. 2012
Table 2.41</t>
        </r>
      </text>
    </comment>
    <comment ref="B256" authorId="0" shapeId="0" xr:uid="{00000000-0006-0000-4500-00004C000000}">
      <text>
        <r>
          <rPr>
            <sz val="9"/>
            <color indexed="81"/>
            <rFont val="Tahoma"/>
            <family val="2"/>
          </rPr>
          <t>Data from "Life Cycle Material Data Update for GREET Model" Keoleian et al. 2012
Table 2.41</t>
        </r>
      </text>
    </comment>
    <comment ref="B259" authorId="0" shapeId="0" xr:uid="{00000000-0006-0000-4500-00004D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C259" authorId="0" shapeId="0" xr:uid="{00000000-0006-0000-4500-00004E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D282" authorId="0" shapeId="0" xr:uid="{00000000-0006-0000-4500-00004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282" authorId="0" shapeId="0" xr:uid="{00000000-0006-0000-4500-00005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282" authorId="0" shapeId="0" xr:uid="{00000000-0006-0000-4500-00005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282" authorId="0" shapeId="0" xr:uid="{00000000-0006-0000-4500-000052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I282" authorId="0" shapeId="0" xr:uid="{00000000-0006-0000-4500-00005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82" authorId="0" shapeId="0" xr:uid="{00000000-0006-0000-4500-00005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82" authorId="0" shapeId="0" xr:uid="{00000000-0006-0000-4500-00005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82" authorId="0" shapeId="0" xr:uid="{00000000-0006-0000-4500-000056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B296" authorId="0" shapeId="0" xr:uid="{00000000-0006-0000-4500-000057000000}">
      <text>
        <r>
          <rPr>
            <sz val="8"/>
            <color indexed="81"/>
            <rFont val="Tahoma"/>
            <family val="2"/>
          </rPr>
          <t>Data based on Athena, Cradle-to-gate life cycle inventory: Canadian and US Steel Production by Mill Type, 2002</t>
        </r>
      </text>
    </comment>
    <comment ref="B297" authorId="0" shapeId="0" xr:uid="{00000000-0006-0000-4500-000058000000}">
      <text>
        <r>
          <rPr>
            <sz val="8"/>
            <color indexed="81"/>
            <rFont val="Tahoma"/>
            <family val="2"/>
          </rPr>
          <t>Data based on Athena, Cradle-to-gate life cycle inventory: Canadian and US Steel Production by Mill Type, 2002</t>
        </r>
      </text>
    </comment>
    <comment ref="B298" authorId="0" shapeId="0" xr:uid="{00000000-0006-0000-4500-000059000000}">
      <text>
        <r>
          <rPr>
            <sz val="8"/>
            <color indexed="81"/>
            <rFont val="Tahoma"/>
            <family val="2"/>
          </rPr>
          <t>Data based on Athena, Cradle-to-gate life cycle inventory: Canadian and US Steel Production by Mill Type, 2002</t>
        </r>
      </text>
    </comment>
    <comment ref="B299" authorId="0" shapeId="0" xr:uid="{00000000-0006-0000-4500-00005A000000}">
      <text>
        <r>
          <rPr>
            <sz val="8"/>
            <color indexed="81"/>
            <rFont val="Tahoma"/>
            <family val="2"/>
          </rPr>
          <t>Data based on Athena, Cradle-to-gate life cycle inventory: Canadian and US Steel Production by Mill Type, 2002</t>
        </r>
      </text>
    </comment>
    <comment ref="B300" authorId="0" shapeId="0" xr:uid="{00000000-0006-0000-4500-00005B000000}">
      <text>
        <r>
          <rPr>
            <sz val="8"/>
            <color indexed="81"/>
            <rFont val="Tahoma"/>
            <family val="2"/>
          </rPr>
          <t>Data based on Athena, Cradle-to-gate life cycle inventory: Canadian and US Steel Production by Mill Type, 2002</t>
        </r>
      </text>
    </comment>
    <comment ref="B301" authorId="0" shapeId="0" xr:uid="{00000000-0006-0000-4500-00005C000000}">
      <text>
        <r>
          <rPr>
            <sz val="8"/>
            <color indexed="81"/>
            <rFont val="Tahoma"/>
            <family val="2"/>
          </rPr>
          <t>Data based on Athena, Cradle-to-gate life cycle inventory: Canadian and US Steel Production by Mill Type, 2002</t>
        </r>
      </text>
    </comment>
    <comment ref="B302" authorId="0" shapeId="0" xr:uid="{00000000-0006-0000-4500-00005D000000}">
      <text>
        <r>
          <rPr>
            <sz val="8"/>
            <color indexed="81"/>
            <rFont val="Tahoma"/>
            <family val="2"/>
          </rPr>
          <t>Data based on Athena, Cradle-to-gate life cycle inventory: Canadian and US Steel Production by Mill Type, 2002</t>
        </r>
      </text>
    </comment>
    <comment ref="B303" authorId="0" shapeId="0" xr:uid="{00000000-0006-0000-4500-00005E000000}">
      <text>
        <r>
          <rPr>
            <sz val="8"/>
            <color indexed="81"/>
            <rFont val="Tahoma"/>
            <family val="2"/>
          </rPr>
          <t>Data based on Athena, Cradle-to-gate life cycle inventory: Canadian and US Steel Production by Mill Type, 2002</t>
        </r>
      </text>
    </comment>
    <comment ref="B304" authorId="0" shapeId="0" xr:uid="{00000000-0006-0000-4500-00005F000000}">
      <text>
        <r>
          <rPr>
            <sz val="8"/>
            <color indexed="81"/>
            <rFont val="Tahoma"/>
            <family val="2"/>
          </rPr>
          <t>Data based on Athena, Cradle-to-gate life cycle inventory: Canadian and US Steel Production by Mill Type, 2002</t>
        </r>
      </text>
    </comment>
    <comment ref="B305" authorId="0" shapeId="0" xr:uid="{00000000-0006-0000-4500-000060000000}">
      <text>
        <r>
          <rPr>
            <sz val="8"/>
            <color indexed="81"/>
            <rFont val="Tahoma"/>
            <family val="2"/>
          </rPr>
          <t>Data based on Athena, Cradle-to-gate life cycle inventory: Canadian and US Steel Production by Mill Type, 2002</t>
        </r>
      </text>
    </comment>
    <comment ref="B306" authorId="0" shapeId="0" xr:uid="{00000000-0006-0000-4500-000061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07" authorId="0" shapeId="0" xr:uid="{00000000-0006-0000-4500-000062000000}">
      <text>
        <r>
          <rPr>
            <sz val="8"/>
            <color indexed="81"/>
            <rFont val="Tahoma"/>
            <family val="2"/>
          </rPr>
          <t>Data based on Athena, Cradle-to-gate life cycle inventory: Canadian and US Steel Production by Mill Type, 2002</t>
        </r>
      </text>
    </comment>
    <comment ref="B308" authorId="0" shapeId="0" xr:uid="{00000000-0006-0000-4500-000063000000}">
      <text>
        <r>
          <rPr>
            <sz val="8"/>
            <color indexed="81"/>
            <rFont val="Tahoma"/>
            <family val="2"/>
          </rPr>
          <t>Data based on Athena, Cradle-to-gate life cycle inventory: Canadian and US Steel Production by Mill Type, 2002</t>
        </r>
      </text>
    </comment>
    <comment ref="B309" authorId="0" shapeId="0" xr:uid="{00000000-0006-0000-4500-000064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2" authorId="0" shapeId="0" xr:uid="{00000000-0006-0000-4500-000065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3" authorId="0" shapeId="0" xr:uid="{00000000-0006-0000-4500-000066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4" authorId="0" shapeId="0" xr:uid="{00000000-0006-0000-4500-00006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5" authorId="0" shapeId="0" xr:uid="{00000000-0006-0000-4500-000068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8" authorId="0" shapeId="0" xr:uid="{00000000-0006-0000-4500-00006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19" authorId="0" shapeId="0" xr:uid="{00000000-0006-0000-4500-00006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0" authorId="0" shapeId="0" xr:uid="{00000000-0006-0000-4500-00006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1" authorId="0" shapeId="0" xr:uid="{00000000-0006-0000-4500-00006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2" authorId="0" shapeId="0" xr:uid="{00000000-0006-0000-4500-00006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3" authorId="0" shapeId="0" xr:uid="{00000000-0006-0000-4500-00006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4" authorId="0" shapeId="0" xr:uid="{00000000-0006-0000-4500-00006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5" authorId="0" shapeId="0" xr:uid="{00000000-0006-0000-4500-00007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6" authorId="0" shapeId="0" xr:uid="{00000000-0006-0000-4500-00007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7" authorId="0" shapeId="0" xr:uid="{00000000-0006-0000-4500-000072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28" authorId="0" shapeId="0" xr:uid="{00000000-0006-0000-4500-00007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1" authorId="0" shapeId="0" xr:uid="{00000000-0006-0000-4500-00007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2" authorId="0" shapeId="0" xr:uid="{00000000-0006-0000-4500-00007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3" authorId="0" shapeId="0" xr:uid="{00000000-0006-0000-4500-00007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4" authorId="0" shapeId="0" xr:uid="{00000000-0006-0000-4500-00007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5" authorId="0" shapeId="0" xr:uid="{00000000-0006-0000-4500-00007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6" authorId="0" shapeId="0" xr:uid="{00000000-0006-0000-4500-00007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7" authorId="0" shapeId="0" xr:uid="{00000000-0006-0000-4500-00007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8" authorId="0" shapeId="0" xr:uid="{00000000-0006-0000-4500-00007B000000}">
      <text>
        <r>
          <rPr>
            <sz val="8"/>
            <color indexed="81"/>
            <rFont val="Tahoma"/>
            <family val="2"/>
          </rPr>
          <t>Data from "Life Cycle Material Data Update for GREET Model" Keoleian et al. 2012
Appendix, total includes kerosene and propane</t>
        </r>
      </text>
    </comment>
    <comment ref="B339" authorId="0" shapeId="0" xr:uid="{00000000-0006-0000-4500-00007C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342" authorId="0" shapeId="0" xr:uid="{00000000-0006-0000-4500-00007D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3" authorId="0" shapeId="0" xr:uid="{00000000-0006-0000-4500-00007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Coke is the only energy feedstock.
</t>
        </r>
      </text>
    </comment>
    <comment ref="B344" authorId="0" shapeId="0" xr:uid="{00000000-0006-0000-4500-00007F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7" authorId="0" shapeId="0" xr:uid="{00000000-0006-0000-4500-000080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8" authorId="0" shapeId="0" xr:uid="{00000000-0006-0000-4500-000081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9" authorId="0" shapeId="0" xr:uid="{00000000-0006-0000-4500-000082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50" authorId="0" shapeId="0" xr:uid="{00000000-0006-0000-4500-000083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64" authorId="0" shapeId="0" xr:uid="{00000000-0006-0000-4500-000084000000}">
      <text>
        <r>
          <rPr>
            <sz val="8"/>
            <color indexed="81"/>
            <rFont val="Tahoma"/>
            <family val="2"/>
          </rPr>
          <t>Data from "Life Cycle Material Data Update for GREET Model" Keoleian et al. 2012
Appendix</t>
        </r>
      </text>
    </comment>
    <comment ref="B365" authorId="0" shapeId="0" xr:uid="{00000000-0006-0000-4500-000085000000}">
      <text>
        <r>
          <rPr>
            <sz val="8"/>
            <color indexed="81"/>
            <rFont val="Tahoma"/>
            <family val="2"/>
          </rPr>
          <t>Data from "Life Cycle Material Data Update for GREET Model" Keoleian et al. 2012
Appendix</t>
        </r>
      </text>
    </comment>
    <comment ref="B366" authorId="0" shapeId="0" xr:uid="{00000000-0006-0000-4500-000086000000}">
      <text>
        <r>
          <rPr>
            <sz val="9"/>
            <color indexed="81"/>
            <rFont val="Tahoma"/>
            <family val="2"/>
          </rPr>
          <t>Data from "Updated Life Cycle Inventory of Copper: Imports from Chile" Kelly et al. 2015.</t>
        </r>
      </text>
    </comment>
    <comment ref="B367" authorId="0" shapeId="0" xr:uid="{00000000-0006-0000-4500-00008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73" authorId="0" shapeId="0" xr:uid="{00000000-0006-0000-4500-00008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The additional 0.11 comes from beneficiation process of zinc ore, see Report of Metals update </t>
        </r>
      </text>
    </comment>
    <comment ref="B374" authorId="0" shapeId="0" xr:uid="{00000000-0006-0000-4500-000089000000}">
      <text>
        <r>
          <rPr>
            <sz val="9"/>
            <color indexed="81"/>
            <rFont val="Tahoma"/>
            <family val="2"/>
          </rPr>
          <t>Moats, M., Guerra, E., Siegmund, A., &amp; Manthey, J. (2010). Primary Zinc Smelter Operation Data Survey. USA, Canada, Germany: College of Mines and Earth Science, School of Engineering Laurentian University, LanMetCon-Recylex GmbH.</t>
        </r>
      </text>
    </comment>
    <comment ref="B375" authorId="0" shapeId="0" xr:uid="{00000000-0006-0000-4500-00008A000000}">
      <text>
        <r>
          <rPr>
            <sz val="9"/>
            <color indexed="81"/>
            <rFont val="Tahoma"/>
            <family val="2"/>
          </rPr>
          <t>this value can be found on the new metals report, this value correspond to French process to produce zinc oxide from zinc metal. See Brown et at 1996</t>
        </r>
      </text>
    </comment>
    <comment ref="B378" authorId="0" shapeId="0" xr:uid="{00000000-0006-0000-4500-00008B000000}">
      <text>
        <r>
          <rPr>
            <sz val="8"/>
            <color indexed="81"/>
            <rFont val="Tahoma"/>
            <family val="2"/>
          </rPr>
          <t xml:space="preserve">Mining energy use is included in the next step (magnesium production).
</t>
        </r>
      </text>
    </comment>
    <comment ref="B379" authorId="0" shapeId="0" xr:uid="{00000000-0006-0000-4500-00008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91" authorId="0" shapeId="0" xr:uid="{00000000-0006-0000-4500-00008D000000}">
      <text>
        <r>
          <rPr>
            <sz val="9"/>
            <color indexed="81"/>
            <rFont val="Tahoma"/>
            <family val="2"/>
          </rPr>
          <t xml:space="preserve">Title: Life Cycle Assessment Update of Glass and Glass Fiber for GREET
Publication Date: September 2015
Authors: Q. Dai, J.C. Kelly, J. Sullivan, and A. Elgowainy
</t>
        </r>
      </text>
    </comment>
    <comment ref="B392" authorId="0" shapeId="0" xr:uid="{00000000-0006-0000-4500-00008E000000}">
      <text>
        <r>
          <rPr>
            <sz val="9"/>
            <color indexed="81"/>
            <rFont val="Tahoma"/>
            <family val="2"/>
          </rPr>
          <t xml:space="preserve">Title: Life Cycle Assessment Update of Glass and Glass Fiber for GREET
Publication Date: September 2015
Authors: Q. Dai, J.C. Kelly, J. Sullivan, and A. Elgowainy
</t>
        </r>
      </text>
    </comment>
    <comment ref="B393" authorId="0" shapeId="0" xr:uid="{00000000-0006-0000-4500-00008F000000}">
      <text>
        <r>
          <rPr>
            <sz val="9"/>
            <color indexed="81"/>
            <rFont val="Tahoma"/>
            <family val="2"/>
          </rPr>
          <t xml:space="preserve">Title: Life Cycle Assessment Update of Glass and Glass Fiber for GREET
Publication Date: September 2015
Authors: Q. Dai, J.C. Kelly, J. Sullivan, and A. Elgowainy
</t>
        </r>
      </text>
    </comment>
    <comment ref="B394" authorId="0" shapeId="0" xr:uid="{00000000-0006-0000-4500-000090000000}">
      <text>
        <r>
          <rPr>
            <sz val="9"/>
            <color indexed="81"/>
            <rFont val="Tahoma"/>
            <family val="2"/>
          </rPr>
          <t xml:space="preserve">Title: Life Cycle Assessment Update of Glass and Glass Fiber for GREET
Publication Date: September 2015
Authors: Q. Dai, J.C. Kelly, J. Sullivan, and A. Elgowainy
</t>
        </r>
      </text>
    </comment>
    <comment ref="B395" authorId="0" shapeId="0" xr:uid="{00000000-0006-0000-4500-000091000000}">
      <text>
        <r>
          <rPr>
            <sz val="9"/>
            <color indexed="81"/>
            <rFont val="Tahoma"/>
            <family val="2"/>
          </rPr>
          <t xml:space="preserve">Title: Life Cycle Assessment Update of Glass and Glass Fiber for GREET
Publication Date: September 2015
Authors: Q. Dai, J.C. Kelly, J. Sullivan, and A. Elgowainy
</t>
        </r>
      </text>
    </comment>
    <comment ref="B396" authorId="0" shapeId="0" xr:uid="{00000000-0006-0000-4500-000092000000}">
      <text>
        <r>
          <rPr>
            <sz val="9"/>
            <color indexed="81"/>
            <rFont val="Tahoma"/>
            <family val="2"/>
          </rPr>
          <t xml:space="preserve">Title: Life Cycle Assessment Update of Glass and Glass Fiber for GREET
Publication Date: September 2015
Authors: Q. Dai, J.C. Kelly, J. Sullivan, and A. Elgowainy
</t>
        </r>
      </text>
    </comment>
    <comment ref="B397" authorId="0" shapeId="0" xr:uid="{00000000-0006-0000-4500-000093000000}">
      <text>
        <r>
          <rPr>
            <sz val="9"/>
            <color indexed="81"/>
            <rFont val="Tahoma"/>
            <family val="2"/>
          </rPr>
          <t xml:space="preserve">Title: Life Cycle Assessment Update of Glass and Glass Fiber for GREET
Publication Date: September 2015
Authors: Q. Dai, J.C. Kelly, J. Sullivan, and A. Elgowainy
</t>
        </r>
      </text>
    </comment>
    <comment ref="B398" authorId="0" shapeId="0" xr:uid="{00000000-0006-0000-4500-000094000000}">
      <text>
        <r>
          <rPr>
            <sz val="9"/>
            <color indexed="81"/>
            <rFont val="Tahoma"/>
            <family val="2"/>
          </rPr>
          <t xml:space="preserve">Title: Life Cycle Assessment Update of Glass and Glass Fiber for GREET
Publication Date: September 2015
Authors: Q. Dai, J.C. Kelly, J. Sullivan, and A. Elgowainy
</t>
        </r>
      </text>
    </comment>
    <comment ref="B399" authorId="0" shapeId="0" xr:uid="{00000000-0006-0000-4500-000095000000}">
      <text>
        <r>
          <rPr>
            <sz val="9"/>
            <color indexed="81"/>
            <rFont val="Tahoma"/>
            <family val="2"/>
          </rPr>
          <t xml:space="preserve">Title: Life Cycle Assessment Update of Glass and Glass Fiber for GREET
Publication Date: September 2015
Authors: Q. Dai, J.C. Kelly, J. Sullivan, and A. Elgowainy
</t>
        </r>
      </text>
    </comment>
    <comment ref="B400" authorId="0" shapeId="0" xr:uid="{00000000-0006-0000-4500-000096000000}">
      <text>
        <r>
          <rPr>
            <sz val="9"/>
            <color indexed="81"/>
            <rFont val="Tahoma"/>
            <family val="2"/>
          </rPr>
          <t xml:space="preserve">Title: Life Cycle Assessment Update of Glass and Glass Fiber for GREET
Publication Date: September 2015
Authors: Q. Dai, J.C. Kelly, J. Sullivan, and A. Elgowainy
</t>
        </r>
      </text>
    </comment>
    <comment ref="B403" authorId="0" shapeId="0" xr:uid="{00000000-0006-0000-4500-000097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4" authorId="0" shapeId="0" xr:uid="{00000000-0006-0000-4500-000098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5" authorId="0" shapeId="0" xr:uid="{00000000-0006-0000-4500-000099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6" authorId="0" shapeId="0" xr:uid="{00000000-0006-0000-4500-00009A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7" authorId="0" shapeId="0" xr:uid="{00000000-0006-0000-4500-00009B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8" authorId="0" shapeId="0" xr:uid="{00000000-0006-0000-4500-00009C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9" authorId="0" shapeId="0" xr:uid="{00000000-0006-0000-4500-00009D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0" authorId="0" shapeId="0" xr:uid="{00000000-0006-0000-4500-00009E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1" authorId="0" shapeId="0" xr:uid="{00000000-0006-0000-4500-00009F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2" authorId="0" shapeId="0" xr:uid="{00000000-0006-0000-4500-0000A0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3" authorId="0" shapeId="0" xr:uid="{00000000-0006-0000-4500-0000A1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4" authorId="0" shapeId="0" xr:uid="{00000000-0006-0000-4500-0000A2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5" authorId="0" shapeId="0" xr:uid="{00000000-0006-0000-4500-0000A3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6" authorId="0" shapeId="0" xr:uid="{00000000-0006-0000-4500-0000A4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7" authorId="0" shapeId="0" xr:uid="{00000000-0006-0000-4500-0000A5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8" authorId="0" shapeId="0" xr:uid="{00000000-0006-0000-4500-0000A6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9" authorId="0" shapeId="0" xr:uid="{00000000-0006-0000-4500-0000A7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0" authorId="0" shapeId="0" xr:uid="{00000000-0006-0000-4500-0000A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1" authorId="0" shapeId="0" xr:uid="{00000000-0006-0000-4500-0000A9000000}">
      <text>
        <r>
          <rPr>
            <sz val="9"/>
            <color indexed="81"/>
            <rFont val="Tahoma"/>
            <family val="2"/>
          </rPr>
          <t xml:space="preserve">Title: Life Cycle Assessment Update of Glass and Glass Fiber for GREET
Publication Date: September 2015
Authors: Q. Dai, J.C. Kelly, J. Sullivan, and A. Elgowainy
</t>
        </r>
      </text>
    </comment>
    <comment ref="B422" authorId="0" shapeId="0" xr:uid="{00000000-0006-0000-4500-0000AA000000}">
      <text>
        <r>
          <rPr>
            <sz val="9"/>
            <color indexed="81"/>
            <rFont val="Tahoma"/>
            <family val="2"/>
          </rPr>
          <t xml:space="preserve">Title: Life Cycle Assessment Update of Glass and Glass Fiber for GREET
Publication Date: September 2015
Authors: Q. Dai, J.C. Kelly, J. Sullivan, and A. Elgowainy
</t>
        </r>
      </text>
    </comment>
    <comment ref="B423" authorId="0" shapeId="0" xr:uid="{00000000-0006-0000-4500-0000AB000000}">
      <text>
        <r>
          <rPr>
            <sz val="9"/>
            <color indexed="81"/>
            <rFont val="Tahoma"/>
            <family val="2"/>
          </rPr>
          <t xml:space="preserve">Title: Life Cycle Assessment Update of Glass and Glass Fiber for GREET
Publication Date: September 2015
Authors: Q. Dai, J.C. Kelly, J. Sullivan, and A. Elgowainy
</t>
        </r>
      </text>
    </comment>
    <comment ref="B424" authorId="0" shapeId="0" xr:uid="{00000000-0006-0000-4500-0000A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5" authorId="0" shapeId="0" xr:uid="{00000000-0006-0000-4500-0000AD000000}">
      <text>
        <r>
          <rPr>
            <sz val="8"/>
            <color indexed="81"/>
            <rFont val="Tahoma"/>
            <family val="2"/>
          </rPr>
          <t>Data from "Life Cycle Material Data Update for GREET Model" Keoleian et al. 2012
Appendix</t>
        </r>
      </text>
    </comment>
    <comment ref="B426" authorId="0" shapeId="0" xr:uid="{00000000-0006-0000-4500-0000AE000000}">
      <text>
        <r>
          <rPr>
            <sz val="8"/>
            <color indexed="81"/>
            <rFont val="Tahoma"/>
            <family val="2"/>
          </rPr>
          <t>Data from "Life Cycle Material Data Update for GREET Model" Keoleian et al. 2012
Appendix</t>
        </r>
      </text>
    </comment>
    <comment ref="B427" authorId="0" shapeId="0" xr:uid="{00000000-0006-0000-4500-0000AF000000}">
      <text>
        <r>
          <rPr>
            <sz val="8"/>
            <color indexed="81"/>
            <rFont val="Tahoma"/>
            <family val="2"/>
          </rPr>
          <t>Data from "Life Cycle Material Data Update for GREET Model" Keoleian et al. 2012
Appendix</t>
        </r>
      </text>
    </comment>
    <comment ref="B428" authorId="0" shapeId="0" xr:uid="{00000000-0006-0000-4500-0000B0000000}">
      <text>
        <r>
          <rPr>
            <sz val="8"/>
            <color indexed="81"/>
            <rFont val="Tahoma"/>
            <family val="2"/>
          </rPr>
          <t>Data from "Life Cycle Material Data Update for GREET Model" Keoleian et al. 2012
Appendix</t>
        </r>
      </text>
    </comment>
    <comment ref="B429" authorId="0" shapeId="0" xr:uid="{00000000-0006-0000-4500-0000B1000000}">
      <text>
        <r>
          <rPr>
            <sz val="8"/>
            <color indexed="81"/>
            <rFont val="Tahoma"/>
            <family val="2"/>
          </rPr>
          <t>Data from "Life Cycle Material Data Update for GREET Model" Keoleian et al. 2012
Appendix</t>
        </r>
      </text>
    </comment>
    <comment ref="B430" authorId="0" shapeId="0" xr:uid="{00000000-0006-0000-4500-0000B2000000}">
      <text>
        <r>
          <rPr>
            <sz val="8"/>
            <color indexed="81"/>
            <rFont val="Tahoma"/>
            <family val="2"/>
          </rPr>
          <t>Data from "Life Cycle Material Data Update for GREET Model" Keoleian et al. 2012
Appendix</t>
        </r>
      </text>
    </comment>
    <comment ref="B431" authorId="0" shapeId="0" xr:uid="{00000000-0006-0000-4500-0000B3000000}">
      <text>
        <r>
          <rPr>
            <sz val="8"/>
            <color indexed="81"/>
            <rFont val="Tahoma"/>
            <family val="2"/>
          </rPr>
          <t>Data from "Life Cycle Material Data Update for GREET Model" Keoleian et al. 2012
Appendix</t>
        </r>
      </text>
    </comment>
    <comment ref="B432" authorId="0" shapeId="0" xr:uid="{00000000-0006-0000-4500-0000B4000000}">
      <text>
        <r>
          <rPr>
            <sz val="8"/>
            <color indexed="81"/>
            <rFont val="Tahoma"/>
            <family val="2"/>
          </rPr>
          <t>Data from "Life Cycle Material Data Update for GREET Model" Keoleian et al. 2012
Appendix</t>
        </r>
      </text>
    </comment>
    <comment ref="B433" authorId="0" shapeId="0" xr:uid="{00000000-0006-0000-4500-0000B5000000}">
      <text>
        <r>
          <rPr>
            <sz val="8"/>
            <color indexed="81"/>
            <rFont val="Tahoma"/>
            <family val="2"/>
          </rPr>
          <t>Data from "Life Cycle Material Data Update for GREET Model" Keoleian et al. 2012
Appendix</t>
        </r>
      </text>
    </comment>
    <comment ref="B436" authorId="0" shapeId="0" xr:uid="{00000000-0006-0000-4500-0000B6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37" authorId="0" shapeId="0" xr:uid="{00000000-0006-0000-4500-0000B7000000}">
      <text>
        <r>
          <rPr>
            <sz val="8"/>
            <color indexed="81"/>
            <rFont val="Tahoma"/>
            <family val="2"/>
          </rPr>
          <t xml:space="preserve">Data from Data from "Energy Analysis of 108 Industrial Processes" Brown et al. 1996
Page 234
Documented in "Energy-Consumption and Carbon-Emission Analysis of Vehicle and Component Manufacturing" Sullivan et al 2010 and "Life Cycle Material Data Update for GREET Model" Keoleian et al. 2011
Calculations in Listofprocesses_ajb_020112,xls
</t>
        </r>
      </text>
    </comment>
    <comment ref="B438" authorId="0" shapeId="0" xr:uid="{00000000-0006-0000-4500-0000B8000000}">
      <text>
        <r>
          <rPr>
            <sz val="8"/>
            <color indexed="81"/>
            <rFont val="Tahoma"/>
            <family val="2"/>
          </rPr>
          <t>Data from "Life Cycle Material Data Update for GREET Model" Keoleian et al. 2012
Appendix</t>
        </r>
      </text>
    </comment>
    <comment ref="B443" authorId="0" shapeId="0" xr:uid="{00000000-0006-0000-4500-0000B9000000}">
      <text>
        <r>
          <rPr>
            <sz val="9"/>
            <color indexed="81"/>
            <rFont val="Tahoma"/>
            <family val="2"/>
          </rPr>
          <t>For South Africa cases: Based on Anglo Americas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t>
        </r>
      </text>
    </comment>
    <comment ref="B444" authorId="0" shapeId="0" xr:uid="{00000000-0006-0000-4500-0000BA000000}">
      <text>
        <r>
          <rPr>
            <sz val="9"/>
            <color indexed="81"/>
            <rFont val="Tahoma"/>
            <family val="2"/>
          </rPr>
          <t>Platinum  Company, South Africa. Annual report 2014 t</t>
        </r>
      </text>
    </comment>
    <comment ref="B445" authorId="0" shapeId="0" xr:uid="{00000000-0006-0000-4500-0000BB000000}">
      <text>
        <r>
          <rPr>
            <sz val="9"/>
            <color indexed="81"/>
            <rFont val="Tahoma"/>
            <family val="2"/>
          </rPr>
          <t xml:space="preserve">Platinum  Company, South Africa. Annual report 2014 </t>
        </r>
      </text>
    </comment>
    <comment ref="B446" authorId="0" shapeId="0" xr:uid="{00000000-0006-0000-4500-0000BC000000}">
      <text>
        <r>
          <rPr>
            <sz val="9"/>
            <color indexed="81"/>
            <rFont val="Tahoma"/>
            <family val="2"/>
          </rPr>
          <t>For South Africa cases: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
Value depends 4.10) Selection of Method for Estimating Energy Use for Platinum, which is on this sheet</t>
        </r>
      </text>
    </comment>
    <comment ref="B469" authorId="0" shapeId="0" xr:uid="{00000000-0006-0000-4500-0000BD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0" authorId="0" shapeId="0" xr:uid="{00000000-0006-0000-4500-0000B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4" authorId="0" shapeId="0" xr:uid="{00000000-0006-0000-4500-0000BF000000}">
      <text>
        <r>
          <rPr>
            <sz val="8"/>
            <color indexed="81"/>
            <rFont val="Tahoma"/>
            <family val="2"/>
          </rPr>
          <t xml:space="preserve">The data for zinc production is applied here.
</t>
        </r>
      </text>
    </comment>
    <comment ref="B475" authorId="0" shapeId="0" xr:uid="{00000000-0006-0000-4500-0000C0000000}">
      <text>
        <r>
          <rPr>
            <sz val="8"/>
            <color indexed="81"/>
            <rFont val="Tahoma"/>
            <family val="2"/>
          </rPr>
          <t xml:space="preserve">The data for zinc production is applied here.
</t>
        </r>
      </text>
    </comment>
    <comment ref="B478" authorId="0" shapeId="0" xr:uid="{00000000-0006-0000-4500-0000C1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79" authorId="0" shapeId="0" xr:uid="{00000000-0006-0000-4500-0000C2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0" authorId="0" shapeId="0" xr:uid="{00000000-0006-0000-4500-0000C3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6" authorId="0" shapeId="0" xr:uid="{00000000-0006-0000-4500-0000C4000000}">
      <text>
        <r>
          <rPr>
            <sz val="9"/>
            <color indexed="81"/>
            <rFont val="Tahoma"/>
            <family val="2"/>
          </rPr>
          <t xml:space="preserve">Thompson creek air quality permit </t>
        </r>
      </text>
    </comment>
    <comment ref="B487" authorId="0" shapeId="0" xr:uid="{00000000-0006-0000-4500-0000C5000000}">
      <text>
        <r>
          <rPr>
            <sz val="9"/>
            <color indexed="81"/>
            <rFont val="Tahoma"/>
            <family val="2"/>
          </rPr>
          <t>This is from Fthenakis et al. Renewable and sustainable Energy reviews 13 (2009) 439-517</t>
        </r>
      </text>
    </comment>
    <comment ref="B488" authorId="0" shapeId="0" xr:uid="{00000000-0006-0000-4500-0000C6000000}">
      <text>
        <r>
          <rPr>
            <sz val="9"/>
            <color indexed="81"/>
            <rFont val="Tahoma"/>
            <family val="2"/>
          </rPr>
          <t>from the Climax Molybdenum company, air quality permit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X13" authorId="0" shapeId="0" xr:uid="{00000000-0006-0000-4600-000001000000}">
      <text>
        <r>
          <rPr>
            <sz val="8"/>
            <color indexed="81"/>
            <rFont val="Tahoma"/>
            <family val="2"/>
          </rPr>
          <t xml:space="preserve">The results for fiber glass are applied here.
</t>
        </r>
      </text>
    </comment>
    <comment ref="AY13" authorId="0" shapeId="0" xr:uid="{00000000-0006-0000-4600-000002000000}">
      <text>
        <r>
          <rPr>
            <sz val="8"/>
            <color indexed="81"/>
            <rFont val="Tahoma"/>
            <family val="2"/>
          </rPr>
          <t xml:space="preserve">The results for carbon fiber are applied here.
</t>
        </r>
      </text>
    </comment>
    <comment ref="AZ13" authorId="0" shapeId="0" xr:uid="{00000000-0006-0000-4600-000003000000}">
      <text>
        <r>
          <rPr>
            <sz val="8"/>
            <color indexed="81"/>
            <rFont val="Tahoma"/>
            <family val="2"/>
          </rPr>
          <t>Used ANL Carbon fiber as baseline then used ratio of SOFC paper's data for Carbon paper energy over Carbon fiber (3.5) and multiplied that time ANL Carbon Fiber.</t>
        </r>
      </text>
    </comment>
    <comment ref="G34" authorId="0" shapeId="0" xr:uid="{00000000-0006-0000-4600-000004000000}">
      <text>
        <r>
          <rPr>
            <sz val="8"/>
            <color indexed="81"/>
            <rFont val="Tahoma"/>
            <family val="2"/>
          </rPr>
          <t>In this cell the GHG calculation includes CF4 and C2F6.</t>
        </r>
      </text>
    </comment>
    <comment ref="H34" authorId="0" shapeId="0" xr:uid="{00000000-0006-0000-4600-000005000000}">
      <text>
        <r>
          <rPr>
            <sz val="8"/>
            <color indexed="81"/>
            <rFont val="Tahoma"/>
            <family val="2"/>
          </rPr>
          <t>In this cell the GHG calculation includes CF4 and C2F6.</t>
        </r>
      </text>
    </comment>
    <comment ref="I34" authorId="0" shapeId="0" xr:uid="{00000000-0006-0000-4600-000006000000}">
      <text>
        <r>
          <rPr>
            <sz val="8"/>
            <color indexed="81"/>
            <rFont val="Tahoma"/>
            <family val="2"/>
          </rPr>
          <t>In this cell the GHG calculation includes CF4 and C2F6.</t>
        </r>
      </text>
    </comment>
    <comment ref="J34" authorId="0" shapeId="0" xr:uid="{00000000-0006-0000-4600-000007000000}">
      <text>
        <r>
          <rPr>
            <sz val="8"/>
            <color indexed="81"/>
            <rFont val="Tahoma"/>
            <family val="2"/>
          </rPr>
          <t>In this cell the GHG calculation includes CF4 and C2F6.</t>
        </r>
      </text>
    </comment>
    <comment ref="K34" authorId="0" shapeId="0" xr:uid="{00000000-0006-0000-4600-000008000000}">
      <text>
        <r>
          <rPr>
            <sz val="8"/>
            <color indexed="81"/>
            <rFont val="Tahoma"/>
            <family val="2"/>
          </rPr>
          <t>In this cell the GHG calculation includes CF4 and C2F6.</t>
        </r>
      </text>
    </comment>
    <comment ref="L34" authorId="0" shapeId="0" xr:uid="{00000000-0006-0000-4600-000009000000}">
      <text>
        <r>
          <rPr>
            <sz val="8"/>
            <color indexed="81"/>
            <rFont val="Tahoma"/>
            <family val="2"/>
          </rPr>
          <t>In this cell the GHG calculation includes CF4 and C2F6.</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49" authorId="0" shapeId="0" xr:uid="{00000000-0006-0000-4700-000001000000}">
      <text>
        <r>
          <rPr>
            <sz val="8"/>
            <color indexed="81"/>
            <rFont val="Tahoma"/>
            <family val="2"/>
          </rPr>
          <t xml:space="preserve">The replaced tire material weights are included.
</t>
        </r>
      </text>
    </comment>
    <comment ref="E207" authorId="0" shapeId="0" xr:uid="{00000000-0006-0000-4700-000002000000}">
      <text>
        <r>
          <rPr>
            <sz val="8"/>
            <color indexed="81"/>
            <rFont val="Tahoma"/>
            <family val="2"/>
          </rPr>
          <t xml:space="preserve">Replaced tires included.
</t>
        </r>
      </text>
    </comment>
    <comment ref="M207" authorId="0" shapeId="0" xr:uid="{00000000-0006-0000-4700-000003000000}">
      <text>
        <r>
          <rPr>
            <sz val="8"/>
            <color indexed="81"/>
            <rFont val="Tahoma"/>
            <family val="2"/>
          </rPr>
          <t xml:space="preserve">Replaced tires included.
</t>
        </r>
      </text>
    </comment>
    <comment ref="E241" authorId="0" shapeId="0" xr:uid="{00000000-0006-0000-4700-000004000000}">
      <text>
        <r>
          <rPr>
            <sz val="8"/>
            <color indexed="81"/>
            <rFont val="Tahoma"/>
            <family val="2"/>
          </rPr>
          <t xml:space="preserve">Replaced tires included.
</t>
        </r>
      </text>
    </comment>
    <comment ref="M241" authorId="0" shapeId="0" xr:uid="{00000000-0006-0000-4700-000005000000}">
      <text>
        <r>
          <rPr>
            <sz val="8"/>
            <color indexed="81"/>
            <rFont val="Tahoma"/>
            <family val="2"/>
          </rPr>
          <t xml:space="preserve">Replaced tires included.
</t>
        </r>
      </text>
    </comment>
    <comment ref="E275" authorId="0" shapeId="0" xr:uid="{00000000-0006-0000-4700-000006000000}">
      <text>
        <r>
          <rPr>
            <sz val="8"/>
            <color indexed="81"/>
            <rFont val="Tahoma"/>
            <family val="2"/>
          </rPr>
          <t xml:space="preserve">Replaced tires included.
</t>
        </r>
      </text>
    </comment>
    <comment ref="M275" authorId="0" shapeId="0" xr:uid="{00000000-0006-0000-4700-000007000000}">
      <text>
        <r>
          <rPr>
            <sz val="8"/>
            <color indexed="81"/>
            <rFont val="Tahoma"/>
            <family val="2"/>
          </rPr>
          <t xml:space="preserve">Replaced tires included.
</t>
        </r>
      </text>
    </comment>
    <comment ref="E309" authorId="0" shapeId="0" xr:uid="{00000000-0006-0000-4700-000008000000}">
      <text>
        <r>
          <rPr>
            <sz val="8"/>
            <color indexed="81"/>
            <rFont val="Tahoma"/>
            <family val="2"/>
          </rPr>
          <t xml:space="preserve">Replaced tires included.
</t>
        </r>
      </text>
    </comment>
    <comment ref="M309" authorId="0" shapeId="0" xr:uid="{00000000-0006-0000-4700-000009000000}">
      <text>
        <r>
          <rPr>
            <sz val="8"/>
            <color indexed="81"/>
            <rFont val="Tahoma"/>
            <family val="2"/>
          </rPr>
          <t xml:space="preserve">Replaced tires included.
</t>
        </r>
      </text>
    </comment>
    <comment ref="E343" authorId="0" shapeId="0" xr:uid="{00000000-0006-0000-4700-00000A000000}">
      <text>
        <r>
          <rPr>
            <sz val="8"/>
            <color indexed="81"/>
            <rFont val="Tahoma"/>
            <family val="2"/>
          </rPr>
          <t xml:space="preserve">Replaced tires included.
</t>
        </r>
      </text>
    </comment>
    <comment ref="M343" authorId="0" shapeId="0" xr:uid="{00000000-0006-0000-4700-00000B000000}">
      <text>
        <r>
          <rPr>
            <sz val="8"/>
            <color indexed="81"/>
            <rFont val="Tahoma"/>
            <family val="2"/>
          </rPr>
          <t xml:space="preserve">Replaced tires included.
</t>
        </r>
      </text>
    </comment>
    <comment ref="E377" authorId="0" shapeId="0" xr:uid="{00000000-0006-0000-4700-00000C000000}">
      <text>
        <r>
          <rPr>
            <sz val="8"/>
            <color indexed="81"/>
            <rFont val="Tahoma"/>
            <family val="2"/>
          </rPr>
          <t xml:space="preserve">Replaced tires included.
</t>
        </r>
      </text>
    </comment>
    <comment ref="M377" authorId="0" shapeId="0" xr:uid="{00000000-0006-0000-4700-00000D000000}">
      <text>
        <r>
          <rPr>
            <sz val="8"/>
            <color indexed="81"/>
            <rFont val="Tahoma"/>
            <family val="2"/>
          </rPr>
          <t xml:space="preserve">Replaced tires included.
</t>
        </r>
      </text>
    </comment>
    <comment ref="E411" authorId="0" shapeId="0" xr:uid="{00000000-0006-0000-4700-00000E000000}">
      <text>
        <r>
          <rPr>
            <sz val="8"/>
            <color indexed="81"/>
            <rFont val="Tahoma"/>
            <family val="2"/>
          </rPr>
          <t xml:space="preserve">Replaced tires included.
</t>
        </r>
      </text>
    </comment>
    <comment ref="M411" authorId="0" shapeId="0" xr:uid="{00000000-0006-0000-4700-00000F000000}">
      <text>
        <r>
          <rPr>
            <sz val="8"/>
            <color indexed="81"/>
            <rFont val="Tahoma"/>
            <family val="2"/>
          </rPr>
          <t xml:space="preserve">Replaced tires included.
</t>
        </r>
      </text>
    </comment>
    <comment ref="E445" authorId="0" shapeId="0" xr:uid="{00000000-0006-0000-4700-000010000000}">
      <text>
        <r>
          <rPr>
            <sz val="8"/>
            <color indexed="81"/>
            <rFont val="Tahoma"/>
            <family val="2"/>
          </rPr>
          <t xml:space="preserve">Replaced tires included.
</t>
        </r>
      </text>
    </comment>
    <comment ref="M445" authorId="0" shapeId="0" xr:uid="{00000000-0006-0000-4700-000011000000}">
      <text>
        <r>
          <rPr>
            <sz val="8"/>
            <color indexed="81"/>
            <rFont val="Tahoma"/>
            <family val="2"/>
          </rPr>
          <t xml:space="preserve">Replaced tires included.
</t>
        </r>
      </text>
    </comment>
    <comment ref="E479" authorId="0" shapeId="0" xr:uid="{00000000-0006-0000-4700-000012000000}">
      <text>
        <r>
          <rPr>
            <sz val="8"/>
            <color indexed="81"/>
            <rFont val="Tahoma"/>
            <family val="2"/>
          </rPr>
          <t xml:space="preserve">Replaced tires included.
</t>
        </r>
      </text>
    </comment>
    <comment ref="M479" authorId="0" shapeId="0" xr:uid="{00000000-0006-0000-4700-000013000000}">
      <text>
        <r>
          <rPr>
            <sz val="8"/>
            <color indexed="81"/>
            <rFont val="Tahoma"/>
            <family val="2"/>
          </rPr>
          <t xml:space="preserve">Replaced tires included.
</t>
        </r>
      </text>
    </comment>
    <comment ref="E513" authorId="0" shapeId="0" xr:uid="{00000000-0006-0000-4700-000014000000}">
      <text>
        <r>
          <rPr>
            <sz val="8"/>
            <color indexed="81"/>
            <rFont val="Tahoma"/>
            <family val="2"/>
          </rPr>
          <t xml:space="preserve">Replaced tires included.
</t>
        </r>
      </text>
    </comment>
    <comment ref="M513" authorId="0" shapeId="0" xr:uid="{00000000-0006-0000-4700-000015000000}">
      <text>
        <r>
          <rPr>
            <sz val="8"/>
            <color indexed="81"/>
            <rFont val="Tahoma"/>
            <family val="2"/>
          </rPr>
          <t xml:space="preserve">Replaced tires included.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4A00-000001000000}">
      <text>
        <r>
          <rPr>
            <sz val="8"/>
            <color indexed="81"/>
            <rFont val="Tahoma"/>
            <family val="2"/>
          </rPr>
          <t>These are the control parameters for simulating a pathway for transportation fuel applications.</t>
        </r>
      </text>
    </comment>
    <comment ref="AK24" authorId="0" shapeId="0" xr:uid="{00000000-0006-0000-4A00-000002000000}">
      <text>
        <r>
          <rPr>
            <sz val="8"/>
            <color indexed="81"/>
            <rFont val="Tahoma"/>
            <family val="2"/>
          </rPr>
          <t>Urban bulk terminal share.</t>
        </r>
      </text>
    </comment>
    <comment ref="AL24" authorId="0" shapeId="0" xr:uid="{00000000-0006-0000-4A00-000003000000}">
      <text>
        <r>
          <rPr>
            <sz val="8"/>
            <color indexed="81"/>
            <rFont val="Tahoma"/>
            <family val="2"/>
          </rPr>
          <t>Urban refueling station share.</t>
        </r>
      </text>
    </comment>
    <comment ref="AM24" authorId="0" shapeId="0" xr:uid="{00000000-0006-0000-4A00-000004000000}">
      <text>
        <r>
          <rPr>
            <sz val="8"/>
            <color indexed="81"/>
            <rFont val="Tahoma"/>
            <family val="2"/>
          </rPr>
          <t>Urban bulk terminal share.</t>
        </r>
      </text>
    </comment>
    <comment ref="AN24" authorId="0" shapeId="0" xr:uid="{00000000-0006-0000-4A00-000005000000}">
      <text>
        <r>
          <rPr>
            <sz val="8"/>
            <color indexed="81"/>
            <rFont val="Tahoma"/>
            <family val="2"/>
          </rPr>
          <t>Urban refueling station share.</t>
        </r>
      </text>
    </comment>
    <comment ref="AQ24" authorId="0" shapeId="0" xr:uid="{00000000-0006-0000-4A00-000006000000}">
      <text>
        <r>
          <rPr>
            <sz val="8"/>
            <color indexed="81"/>
            <rFont val="Tahoma"/>
            <family val="2"/>
          </rPr>
          <t>Urban bulk terminal share.</t>
        </r>
      </text>
    </comment>
    <comment ref="AR24" authorId="0" shapeId="0" xr:uid="{00000000-0006-0000-4A00-000007000000}">
      <text>
        <r>
          <rPr>
            <sz val="8"/>
            <color indexed="81"/>
            <rFont val="Tahoma"/>
            <family val="2"/>
          </rPr>
          <t>Urban refueling station share.</t>
        </r>
      </text>
    </comment>
    <comment ref="AU24" authorId="0" shapeId="0" xr:uid="{00000000-0006-0000-4A00-000008000000}">
      <text>
        <r>
          <rPr>
            <sz val="8"/>
            <color indexed="81"/>
            <rFont val="Tahoma"/>
            <family val="2"/>
          </rPr>
          <t>Urban bulk terminal share.</t>
        </r>
      </text>
    </comment>
    <comment ref="AV24" authorId="0" shapeId="0" xr:uid="{00000000-0006-0000-4A00-000009000000}">
      <text>
        <r>
          <rPr>
            <sz val="8"/>
            <color indexed="81"/>
            <rFont val="Tahoma"/>
            <family val="2"/>
          </rPr>
          <t>Urban refueling station share.</t>
        </r>
      </text>
    </comment>
    <comment ref="AY24" authorId="0" shapeId="0" xr:uid="{00000000-0006-0000-4A00-00000A000000}">
      <text>
        <r>
          <rPr>
            <sz val="8"/>
            <color indexed="81"/>
            <rFont val="Tahoma"/>
            <family val="2"/>
          </rPr>
          <t>Urban bulk terminal share.</t>
        </r>
      </text>
    </comment>
    <comment ref="AZ24" authorId="0" shapeId="0" xr:uid="{00000000-0006-0000-4A00-00000B000000}">
      <text>
        <r>
          <rPr>
            <sz val="8"/>
            <color indexed="81"/>
            <rFont val="Tahoma"/>
            <family val="2"/>
          </rPr>
          <t>Urban refueling station share.</t>
        </r>
      </text>
    </comment>
    <comment ref="H25" authorId="0" shapeId="0" xr:uid="{00000000-0006-0000-4A00-00000C000000}">
      <text>
        <r>
          <rPr>
            <sz val="9"/>
            <color indexed="81"/>
            <rFont val="Tahoma"/>
            <family val="2"/>
          </rPr>
          <t xml:space="preserve">CH4 leakage is converted into NG feedloss by taking into account the methane content in NG.
[Methane content in NG] = [0.0447 lb CH4/ft3]*lb2g/[22g NG/ft3]
</t>
        </r>
      </text>
    </comment>
    <comment ref="B44" authorId="0" shapeId="0" xr:uid="{00000000-0006-0000-4A00-00000D000000}">
      <text>
        <r>
          <rPr>
            <sz val="9"/>
            <color indexed="81"/>
            <rFont val="Tahoma"/>
            <family val="2"/>
          </rPr>
          <t>Data from natural gas production assumed to be the same for all NG sources (Burnham et al. 2011)</t>
        </r>
      </text>
    </comment>
    <comment ref="E44" authorId="0" shapeId="0" xr:uid="{00000000-0006-0000-4A00-00000E000000}">
      <text>
        <r>
          <rPr>
            <sz val="9"/>
            <color indexed="81"/>
            <rFont val="Tahoma"/>
            <family val="2"/>
          </rPr>
          <t>Data from natural gas production assumed to be the same for all NG sources (Burnham et al. 2011)</t>
        </r>
      </text>
    </comment>
    <comment ref="K44" authorId="0" shapeId="0" xr:uid="{00000000-0006-0000-4A00-00000F000000}">
      <text>
        <r>
          <rPr>
            <sz val="9"/>
            <color indexed="81"/>
            <rFont val="Tahoma"/>
            <family val="2"/>
          </rPr>
          <t>Data from natural gas production assumed to be the same for all NG sources (Burnham et al. 2011)</t>
        </r>
      </text>
    </comment>
    <comment ref="L44" authorId="0" shapeId="0" xr:uid="{00000000-0006-0000-4A00-000010000000}">
      <text>
        <r>
          <rPr>
            <sz val="9"/>
            <color indexed="81"/>
            <rFont val="Tahoma"/>
            <family val="2"/>
          </rPr>
          <t>Data from natural gas production assumed to be the same for all NG sources (Burnham et al. 2011)</t>
        </r>
      </text>
    </comment>
    <comment ref="O44" authorId="0" shapeId="0" xr:uid="{00000000-0006-0000-4A00-000011000000}">
      <text>
        <r>
          <rPr>
            <sz val="9"/>
            <color indexed="81"/>
            <rFont val="Tahoma"/>
            <family val="2"/>
          </rPr>
          <t>Data from natural gas production assumed to be the same for all NG sources (Burnham et al. 2011)</t>
        </r>
      </text>
    </comment>
    <comment ref="R44" authorId="0" shapeId="0" xr:uid="{00000000-0006-0000-4A00-000012000000}">
      <text>
        <r>
          <rPr>
            <sz val="9"/>
            <color indexed="81"/>
            <rFont val="Tahoma"/>
            <family val="2"/>
          </rPr>
          <t>Data from natural gas production assumed to be the same for all NG sources (Burnham et al. 2011)</t>
        </r>
      </text>
    </comment>
    <comment ref="AP44" authorId="0" shapeId="0" xr:uid="{00000000-0006-0000-4A00-000013000000}">
      <text>
        <r>
          <rPr>
            <sz val="8"/>
            <color indexed="81"/>
            <rFont val="Tahoma"/>
            <family val="2"/>
          </rPr>
          <t>This is the amount of gas that is used for fuel production, which is otherwise flared.</t>
        </r>
      </text>
    </comment>
    <comment ref="AT44" authorId="0" shapeId="0" xr:uid="{00000000-0006-0000-4A00-000014000000}">
      <text>
        <r>
          <rPr>
            <sz val="8"/>
            <color indexed="81"/>
            <rFont val="Tahoma"/>
            <family val="2"/>
          </rPr>
          <t>This is the amount of gas that is used for fuel production, which is otherwise flared.</t>
        </r>
      </text>
    </comment>
    <comment ref="AX56" authorId="0" shapeId="0" xr:uid="{00000000-0006-0000-4A00-000015000000}">
      <text>
        <r>
          <rPr>
            <sz val="8"/>
            <color indexed="81"/>
            <rFont val="Tahoma"/>
            <family val="2"/>
          </rPr>
          <t>NG processing emissions adjusted with efficiency difference between NG processing and LPG production.</t>
        </r>
      </text>
    </comment>
    <comment ref="AX57" authorId="0" shapeId="0" xr:uid="{00000000-0006-0000-4A00-000016000000}">
      <text>
        <r>
          <rPr>
            <sz val="8"/>
            <color indexed="81"/>
            <rFont val="Tahoma"/>
            <family val="2"/>
          </rPr>
          <t>NG processing emissions adjusted with efficiency difference between NG processing and LPG production.</t>
        </r>
      </text>
    </comment>
    <comment ref="AX58" authorId="0" shapeId="0" xr:uid="{00000000-0006-0000-4A00-000017000000}">
      <text>
        <r>
          <rPr>
            <sz val="8"/>
            <color indexed="81"/>
            <rFont val="Tahoma"/>
            <family val="2"/>
          </rPr>
          <t>NG processing emissions adjusted with efficiency difference between NG processing and LPG production.</t>
        </r>
      </text>
    </comment>
    <comment ref="AX59" authorId="0" shapeId="0" xr:uid="{00000000-0006-0000-4A00-000018000000}">
      <text>
        <r>
          <rPr>
            <sz val="8"/>
            <color indexed="81"/>
            <rFont val="Tahoma"/>
            <family val="2"/>
          </rPr>
          <t>NG processing emissions adjusted with efficiency difference between NG processing and LPG production.</t>
        </r>
      </text>
    </comment>
    <comment ref="AX61" authorId="0" shapeId="0" xr:uid="{00000000-0006-0000-4A00-000019000000}">
      <text>
        <r>
          <rPr>
            <sz val="8"/>
            <color indexed="81"/>
            <rFont val="Tahoma"/>
            <family val="2"/>
          </rPr>
          <t>NG processing emissions adjusted with efficiency difference between NG processing and LPG production.</t>
        </r>
      </text>
    </comment>
    <comment ref="AH67" authorId="0" shapeId="0" xr:uid="{00000000-0006-0000-4A00-00001A000000}">
      <text>
        <r>
          <rPr>
            <sz val="9"/>
            <color indexed="81"/>
            <rFont val="Tahoma"/>
            <family val="2"/>
          </rPr>
          <t>g/MMBtu
CNG Compressor = 8.95
fueling nozzle = 2.24
Clark, 2016, DOI: 10.1021/acs.est.5b06059</t>
        </r>
      </text>
    </comment>
    <comment ref="AI67" authorId="0" shapeId="0" xr:uid="{00000000-0006-0000-4A00-00001B000000}">
      <text>
        <r>
          <rPr>
            <sz val="8"/>
            <color indexed="81"/>
            <rFont val="Tahoma"/>
            <family val="2"/>
          </rPr>
          <t>CH4 loss due to boiling off loss, after recovery of some of the boiling-off loss.</t>
        </r>
      </text>
    </comment>
    <comment ref="AJ67" authorId="0" shapeId="0" xr:uid="{00000000-0006-0000-4A00-00001C000000}">
      <text>
        <r>
          <rPr>
            <sz val="8"/>
            <color indexed="81"/>
            <rFont val="Tahoma"/>
            <family val="2"/>
          </rPr>
          <t>CH4 loss due to boiling off loss, after recovery of some of the boiling-off loss.</t>
        </r>
      </text>
    </comment>
    <comment ref="AK67" authorId="0" shapeId="0" xr:uid="{00000000-0006-0000-4A00-00001D000000}">
      <text>
        <r>
          <rPr>
            <sz val="8"/>
            <color indexed="81"/>
            <rFont val="Tahoma"/>
            <family val="2"/>
          </rPr>
          <t>CH4 loss due to boiling off loss, after recovery of some of the boiling-off loss.</t>
        </r>
      </text>
    </comment>
    <comment ref="AL67" authorId="0" shapeId="0" xr:uid="{00000000-0006-0000-4A00-00001E000000}">
      <text>
        <r>
          <rPr>
            <sz val="8"/>
            <color indexed="81"/>
            <rFont val="Tahoma"/>
            <family val="2"/>
          </rPr>
          <t>CH4 loss due to boiling off loss, after recovery of some of the boiling-off loss.</t>
        </r>
      </text>
    </comment>
    <comment ref="AM67" authorId="0" shapeId="0" xr:uid="{00000000-0006-0000-4A00-00001F000000}">
      <text>
        <r>
          <rPr>
            <sz val="8"/>
            <color indexed="81"/>
            <rFont val="Tahoma"/>
            <family val="2"/>
          </rPr>
          <t>CH4 loss due to boiling off loss, after recovery of some of the boiling-off loss.</t>
        </r>
      </text>
    </comment>
    <comment ref="AN67" authorId="0" shapeId="0" xr:uid="{00000000-0006-0000-4A00-000020000000}">
      <text>
        <r>
          <rPr>
            <sz val="8"/>
            <color indexed="81"/>
            <rFont val="Tahoma"/>
            <family val="2"/>
          </rPr>
          <t xml:space="preserve">CH4 loss due to boiling off loss, after recovery of some of the boiling-off loss.
</t>
        </r>
      </text>
    </comment>
    <comment ref="AO67" authorId="0" shapeId="0" xr:uid="{00000000-0006-0000-4A00-000021000000}">
      <text>
        <r>
          <rPr>
            <sz val="8"/>
            <color indexed="81"/>
            <rFont val="Tahoma"/>
            <family val="2"/>
          </rPr>
          <t>CH4 loss due to boiling off loss, after recovery of some of the boiling-off loss.</t>
        </r>
      </text>
    </comment>
    <comment ref="AQ67" authorId="0" shapeId="0" xr:uid="{00000000-0006-0000-4A00-000022000000}">
      <text>
        <r>
          <rPr>
            <sz val="8"/>
            <color indexed="81"/>
            <rFont val="Tahoma"/>
            <family val="2"/>
          </rPr>
          <t>CH4 loss due to boiling off loss, after recovery of some of the boiling-off loss.</t>
        </r>
      </text>
    </comment>
    <comment ref="AR67" authorId="0" shapeId="0" xr:uid="{00000000-0006-0000-4A00-000023000000}">
      <text>
        <r>
          <rPr>
            <sz val="8"/>
            <color indexed="81"/>
            <rFont val="Tahoma"/>
            <family val="2"/>
          </rPr>
          <t xml:space="preserve">CH4 loss due to boiling off loss, after recovery of some of the boiling-off loss.
</t>
        </r>
      </text>
    </comment>
    <comment ref="AS67" authorId="0" shapeId="0" xr:uid="{00000000-0006-0000-4A00-000024000000}">
      <text>
        <r>
          <rPr>
            <sz val="8"/>
            <color indexed="81"/>
            <rFont val="Tahoma"/>
            <family val="2"/>
          </rPr>
          <t>CH4 loss due to boiling off loss, after recovery of some of the boiling-off loss.</t>
        </r>
      </text>
    </comment>
    <comment ref="AU67" authorId="0" shapeId="0" xr:uid="{00000000-0006-0000-4A00-000025000000}">
      <text>
        <r>
          <rPr>
            <sz val="8"/>
            <color indexed="81"/>
            <rFont val="Tahoma"/>
            <family val="2"/>
          </rPr>
          <t>CH4 loss due to boiling off loss, after recovery of some of the boiling-off loss.</t>
        </r>
      </text>
    </comment>
    <comment ref="AV67" authorId="0" shapeId="0" xr:uid="{00000000-0006-0000-4A00-000026000000}">
      <text>
        <r>
          <rPr>
            <sz val="8"/>
            <color indexed="81"/>
            <rFont val="Tahoma"/>
            <family val="2"/>
          </rPr>
          <t xml:space="preserve">CH4 loss due to boiling off loss, after recovery of some of the boiling-off loss.
</t>
        </r>
      </text>
    </comment>
    <comment ref="AI69" authorId="0" shapeId="0" xr:uid="{00000000-0006-0000-4A00-000027000000}">
      <text>
        <r>
          <rPr>
            <sz val="8"/>
            <color indexed="81"/>
            <rFont val="Tahoma"/>
            <family val="2"/>
          </rPr>
          <t xml:space="preserve">CH4 boiling off loss on site. This is the boiling off rate before any recovery.
</t>
        </r>
      </text>
    </comment>
    <comment ref="AJ69" authorId="0" shapeId="0" xr:uid="{00000000-0006-0000-4A00-000028000000}">
      <text>
        <r>
          <rPr>
            <sz val="8"/>
            <color indexed="81"/>
            <rFont val="Tahoma"/>
            <family val="2"/>
          </rPr>
          <t xml:space="preserve">CH4 boiling off loss on site. This is the boiling off rate before any recovery.
</t>
        </r>
      </text>
    </comment>
    <comment ref="AK69" authorId="0" shapeId="0" xr:uid="{00000000-0006-0000-4A00-000029000000}">
      <text>
        <r>
          <rPr>
            <sz val="8"/>
            <color indexed="81"/>
            <rFont val="Tahoma"/>
            <family val="2"/>
          </rPr>
          <t xml:space="preserve">CH4 boiling off loss during transportation,  before recovery.
</t>
        </r>
      </text>
    </comment>
    <comment ref="AL69" authorId="0" shapeId="0" xr:uid="{00000000-0006-0000-4A00-00002A000000}">
      <text>
        <r>
          <rPr>
            <sz val="8"/>
            <color indexed="81"/>
            <rFont val="Tahoma"/>
            <family val="2"/>
          </rPr>
          <t xml:space="preserve">CH4 boiling off loss during storage,  before recovery. 
</t>
        </r>
      </text>
    </comment>
    <comment ref="AM69" authorId="0" shapeId="0" xr:uid="{00000000-0006-0000-4A00-00002B000000}">
      <text>
        <r>
          <rPr>
            <sz val="8"/>
            <color indexed="81"/>
            <rFont val="Tahoma"/>
            <family val="2"/>
          </rPr>
          <t xml:space="preserve">CH4 boiling off loss during transportation,  before recovery. 
</t>
        </r>
      </text>
    </comment>
    <comment ref="AN69" authorId="0" shapeId="0" xr:uid="{00000000-0006-0000-4A00-00002C000000}">
      <text>
        <r>
          <rPr>
            <sz val="8"/>
            <color indexed="81"/>
            <rFont val="Tahoma"/>
            <family val="2"/>
          </rPr>
          <t>CH4 boiling off loss during storage,  before recovery. 
g/MMBtu
LNG delivery = 15.67
manual vent = 13.43
boil off gas from station tank = 11.19
station continuous = 2.24
fuel tank = 11.19
fueling nozzle = 2.24
Clark, 2016, DOI: 10.1021/acs.est.5b06059</t>
        </r>
      </text>
    </comment>
    <comment ref="AO69" authorId="0" shapeId="0" xr:uid="{00000000-0006-0000-4A00-00002D000000}">
      <text>
        <r>
          <rPr>
            <sz val="8"/>
            <color indexed="81"/>
            <rFont val="Tahoma"/>
            <family val="2"/>
          </rPr>
          <t xml:space="preserve">CH4 boiling off loss on site,  before recovery.
</t>
        </r>
      </text>
    </comment>
    <comment ref="AQ69" authorId="0" shapeId="0" xr:uid="{00000000-0006-0000-4A00-00002E000000}">
      <text>
        <r>
          <rPr>
            <sz val="8"/>
            <color indexed="81"/>
            <rFont val="Tahoma"/>
            <family val="2"/>
          </rPr>
          <t xml:space="preserve">CH4 boiling off loss during transportation,  before recovery. </t>
        </r>
      </text>
    </comment>
    <comment ref="AR69" authorId="0" shapeId="0" xr:uid="{00000000-0006-0000-4A00-00002F000000}">
      <text>
        <r>
          <rPr>
            <sz val="8"/>
            <color indexed="81"/>
            <rFont val="Tahoma"/>
            <family val="2"/>
          </rPr>
          <t xml:space="preserve">CH4 boiling off loss during storage,  before recovery. 
</t>
        </r>
      </text>
    </comment>
    <comment ref="AS69" authorId="0" shapeId="0" xr:uid="{00000000-0006-0000-4A00-000030000000}">
      <text>
        <r>
          <rPr>
            <sz val="8"/>
            <color indexed="81"/>
            <rFont val="Tahoma"/>
            <family val="2"/>
          </rPr>
          <t xml:space="preserve">CH4 boiling off loss on site,  before recovery. 
</t>
        </r>
      </text>
    </comment>
    <comment ref="AU69" authorId="0" shapeId="0" xr:uid="{00000000-0006-0000-4A00-000031000000}">
      <text>
        <r>
          <rPr>
            <sz val="8"/>
            <color indexed="81"/>
            <rFont val="Tahoma"/>
            <family val="2"/>
          </rPr>
          <t xml:space="preserve">CH4 boiling off loss during transportation,  before recovery.
</t>
        </r>
      </text>
    </comment>
    <comment ref="AV69" authorId="0" shapeId="0" xr:uid="{00000000-0006-0000-4A00-000032000000}">
      <text>
        <r>
          <rPr>
            <sz val="8"/>
            <color indexed="81"/>
            <rFont val="Tahoma"/>
            <family val="2"/>
          </rPr>
          <t xml:space="preserve">CH4 boiling off loss during storage,  before recovery.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0" authorId="0" shapeId="0" xr:uid="{00000000-0006-0000-1C00-000001000000}">
      <text>
        <r>
          <rPr>
            <b/>
            <sz val="9"/>
            <color indexed="81"/>
            <rFont val="Tahoma"/>
            <family val="2"/>
          </rPr>
          <t>Author:</t>
        </r>
        <r>
          <rPr>
            <sz val="9"/>
            <color indexed="81"/>
            <rFont val="Tahoma"/>
            <family val="2"/>
          </rPr>
          <t xml:space="preserve">
Or 80</t>
        </r>
      </text>
    </comment>
    <comment ref="B51" authorId="0" shapeId="0" xr:uid="{00000000-0006-0000-1C00-000002000000}">
      <text>
        <r>
          <rPr>
            <b/>
            <sz val="9"/>
            <color indexed="81"/>
            <rFont val="Tahoma"/>
            <family val="2"/>
          </rPr>
          <t>Author:</t>
        </r>
        <r>
          <rPr>
            <sz val="9"/>
            <color indexed="81"/>
            <rFont val="Tahoma"/>
            <family val="2"/>
          </rPr>
          <t xml:space="preserve">
+1 due to transport (0.5 days) and charge (0.5 days).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00000000-0006-0000-1E00-000001000000}">
      <text>
        <r>
          <rPr>
            <b/>
            <sz val="9"/>
            <color indexed="81"/>
            <rFont val="Tahoma"/>
            <family val="2"/>
          </rPr>
          <t>Author:</t>
        </r>
        <r>
          <rPr>
            <sz val="9"/>
            <color indexed="81"/>
            <rFont val="Tahoma"/>
            <family val="2"/>
          </rPr>
          <t xml:space="preserve">
50% load factro, includes auxiliary system loads</t>
        </r>
      </text>
    </comment>
    <comment ref="C10" authorId="0" shapeId="0" xr:uid="{00000000-0006-0000-1E00-000002000000}">
      <text>
        <r>
          <rPr>
            <b/>
            <sz val="9"/>
            <color indexed="81"/>
            <rFont val="Tahoma"/>
            <family val="2"/>
          </rPr>
          <t>Author:</t>
        </r>
        <r>
          <rPr>
            <sz val="9"/>
            <color indexed="81"/>
            <rFont val="Tahoma"/>
            <family val="2"/>
          </rPr>
          <t xml:space="preserve">
Includes auxuilary loads and high occupancy (including 4 standing passengers/m2).</t>
        </r>
      </text>
    </comment>
    <comment ref="C11" authorId="0" shapeId="0" xr:uid="{00000000-0006-0000-1E00-000003000000}">
      <text>
        <r>
          <rPr>
            <b/>
            <sz val="9"/>
            <color indexed="81"/>
            <rFont val="Tahoma"/>
            <family val="2"/>
          </rPr>
          <t>Author:</t>
        </r>
        <r>
          <rPr>
            <sz val="9"/>
            <color indexed="81"/>
            <rFont val="Tahoma"/>
            <family val="2"/>
          </rPr>
          <t xml:space="preserve">
Includes auxuilary loads and high occupancy (including 4 standing passengers/m2).</t>
        </r>
      </text>
    </comment>
    <comment ref="C12" authorId="0" shapeId="0" xr:uid="{00000000-0006-0000-1E00-000004000000}">
      <text>
        <r>
          <rPr>
            <b/>
            <sz val="9"/>
            <color indexed="81"/>
            <rFont val="Tahoma"/>
            <family val="2"/>
          </rPr>
          <t>Author:</t>
        </r>
        <r>
          <rPr>
            <sz val="9"/>
            <color indexed="81"/>
            <rFont val="Tahoma"/>
            <family val="2"/>
          </rPr>
          <t xml:space="preserve">
Includes 208 passengers (81.25% capacity), excludes auxiliary loads (heating).</t>
        </r>
      </text>
    </comment>
    <comment ref="C14" authorId="0" shapeId="0" xr:uid="{00000000-0006-0000-1E00-000005000000}">
      <text>
        <r>
          <rPr>
            <b/>
            <sz val="9"/>
            <color indexed="81"/>
            <rFont val="Tahoma"/>
            <family val="2"/>
          </rPr>
          <t>Author:</t>
        </r>
        <r>
          <rPr>
            <sz val="9"/>
            <color indexed="81"/>
            <rFont val="Tahoma"/>
            <family val="2"/>
          </rPr>
          <t xml:space="preserve">
57% load factor</t>
        </r>
      </text>
    </comment>
    <comment ref="C15" authorId="0" shapeId="0" xr:uid="{00000000-0006-0000-1E00-000006000000}">
      <text>
        <r>
          <rPr>
            <b/>
            <sz val="9"/>
            <color indexed="81"/>
            <rFont val="Tahoma"/>
            <family val="2"/>
          </rPr>
          <t>Author:</t>
        </r>
        <r>
          <rPr>
            <sz val="9"/>
            <color indexed="81"/>
            <rFont val="Tahoma"/>
            <family val="2"/>
          </rPr>
          <t xml:space="preserve">
564 passengers
4 railcars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 authorId="0" shapeId="0" xr:uid="{00000000-0006-0000-1F00-000001000000}">
      <text>
        <r>
          <rPr>
            <b/>
            <sz val="9"/>
            <color indexed="81"/>
            <rFont val="Tahoma"/>
            <family val="2"/>
          </rPr>
          <t>Author:</t>
        </r>
        <r>
          <rPr>
            <sz val="9"/>
            <color indexed="81"/>
            <rFont val="Tahoma"/>
            <family val="2"/>
          </rPr>
          <t xml:space="preserve">
Based on GFEI Fuel Economy of BEVs per unit weight with assumption 200 and 400km range (GFEI WP 19). In line with line below.</t>
        </r>
      </text>
    </comment>
    <comment ref="B14" authorId="0" shapeId="0" xr:uid="{00000000-0006-0000-1F00-000002000000}">
      <text>
        <r>
          <rPr>
            <b/>
            <sz val="9"/>
            <color indexed="81"/>
            <rFont val="Tahoma"/>
            <family val="2"/>
          </rPr>
          <t>Author:</t>
        </r>
        <r>
          <rPr>
            <sz val="9"/>
            <color indexed="81"/>
            <rFont val="Tahoma"/>
            <family val="2"/>
          </rPr>
          <t xml:space="preserve">
Based on GFEI Fuel Economy of PHEVs per unit weight with assumption 55 km range (GFEI WP 19). In line with line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114" authorId="0" shapeId="0" xr:uid="{00000000-0006-0000-2000-000001000000}">
      <text>
        <r>
          <rPr>
            <sz val="9"/>
            <color indexed="81"/>
            <rFont val="Tahoma"/>
            <family val="2"/>
          </rPr>
          <t>https://www.asphaltpavement.org/PDFs/EPD_Program/LCA_final.pdf</t>
        </r>
      </text>
    </comment>
    <comment ref="I120" authorId="0" shapeId="0" xr:uid="{00000000-0006-0000-2000-000002000000}">
      <text>
        <r>
          <rPr>
            <sz val="9"/>
            <color indexed="81"/>
            <rFont val="Tahoma"/>
            <family val="2"/>
          </rPr>
          <t>https://www.asphaltpavement.org/PDFs/EPD_Program/LCA_final.pdf</t>
        </r>
      </text>
    </comment>
    <comment ref="B235" authorId="0" shapeId="0" xr:uid="{00000000-0006-0000-2000-000003000000}">
      <text>
        <r>
          <rPr>
            <b/>
            <sz val="9"/>
            <color indexed="81"/>
            <rFont val="Tahoma"/>
            <family val="2"/>
          </rPr>
          <t>Author:</t>
        </r>
        <r>
          <rPr>
            <sz val="9"/>
            <color indexed="81"/>
            <rFont val="Tahoma"/>
            <family val="2"/>
          </rPr>
          <t xml:space="preserve">
Assumes same as dedicated bus anes, but with much lower network sharing (1.25 lines per km rather than 4)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23" authorId="0" shapeId="0" xr:uid="{00000000-0006-0000-2500-000001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64" authorId="0" shapeId="0" xr:uid="{00000000-0006-0000-2500-000002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C171" authorId="0" shapeId="0" xr:uid="{00000000-0006-0000-2500-000003000000}">
      <text>
        <r>
          <rPr>
            <sz val="8"/>
            <color indexed="81"/>
            <rFont val="Tahoma"/>
            <family val="2"/>
          </rPr>
          <t>Data from "Life Cycle Material Data Update for GREET Model" Keoleian et al. 2012
Based onTable 2.1</t>
        </r>
      </text>
    </comment>
    <comment ref="C172" authorId="0" shapeId="0" xr:uid="{00000000-0006-0000-2500-000004000000}">
      <text>
        <r>
          <rPr>
            <sz val="9"/>
            <color indexed="81"/>
            <rFont val="Tahoma"/>
            <family val="2"/>
          </rPr>
          <t>From "Life Cycle Inventory Report for the North American Aluminum Industry" Weston 1998
Page 5-6</t>
        </r>
      </text>
    </comment>
    <comment ref="C173" authorId="0" shapeId="0" xr:uid="{00000000-0006-0000-2500-000005000000}">
      <text>
        <r>
          <rPr>
            <sz val="9"/>
            <color indexed="81"/>
            <rFont val="Tahoma"/>
            <family val="2"/>
          </rPr>
          <t>Updated value using data from "Life Cycle Inventory Report for the North American Aluminum Industry" Weston 1998
Page 5-6</t>
        </r>
      </text>
    </comment>
    <comment ref="B179" authorId="0" shapeId="0" xr:uid="{00000000-0006-0000-2500-000006000000}">
      <text>
        <r>
          <rPr>
            <sz val="8"/>
            <color indexed="81"/>
            <rFont val="Tahoma"/>
            <family val="2"/>
          </rPr>
          <t>Data from "Life Cycle Material Data Update for GREET Model" Keoleian et al. 2012
Based onTable 2.1</t>
        </r>
      </text>
    </comment>
    <comment ref="C179" authorId="0" shapeId="0" xr:uid="{00000000-0006-0000-2500-000007000000}">
      <text>
        <r>
          <rPr>
            <sz val="8"/>
            <color indexed="81"/>
            <rFont val="Tahoma"/>
            <family val="2"/>
          </rPr>
          <t>Data from "Life Cycle Material Data Update for GREET Model" Keoleian et al. 2012
Based onTable 2.1</t>
        </r>
      </text>
    </comment>
    <comment ref="D179" authorId="0" shapeId="0" xr:uid="{00000000-0006-0000-2500-000008000000}">
      <text>
        <r>
          <rPr>
            <sz val="8"/>
            <color indexed="81"/>
            <rFont val="Tahoma"/>
            <family val="2"/>
          </rPr>
          <t>Data from "Life Cycle Material Data Update for GREET Model" Keoleian et al. 2012
Based onTable 2.1</t>
        </r>
      </text>
    </comment>
    <comment ref="B184" authorId="0" shapeId="0" xr:uid="{00000000-0006-0000-2500-000009000000}">
      <text>
        <r>
          <rPr>
            <sz val="8"/>
            <color indexed="81"/>
            <rFont val="Tahoma"/>
            <family val="2"/>
          </rPr>
          <t>Data from "Life Cycle Material Data Update for GREET Model" Keoleian et al. 2012</t>
        </r>
      </text>
    </comment>
    <comment ref="G184" authorId="0" shapeId="0" xr:uid="{00000000-0006-0000-2500-00000A000000}">
      <text>
        <r>
          <rPr>
            <b/>
            <sz val="9"/>
            <color indexed="81"/>
            <rFont val="Tahoma"/>
            <family val="2"/>
          </rPr>
          <t>Author:</t>
        </r>
        <r>
          <rPr>
            <sz val="9"/>
            <color indexed="81"/>
            <rFont val="Tahoma"/>
            <family val="2"/>
          </rPr>
          <t xml:space="preserve">
Title: Update of Process Energy Requirement and Material Efficiency for Steel and Al Stamping in the GREET Model
Publication date: September 2017
Authors: Q. Dai, J.C. Kelly, and A. Elgowainy</t>
        </r>
      </text>
    </comment>
    <comment ref="B185" authorId="0" shapeId="0" xr:uid="{00000000-0006-0000-2500-00000B000000}">
      <text>
        <r>
          <rPr>
            <sz val="8"/>
            <color indexed="81"/>
            <rFont val="Tahoma"/>
            <family val="2"/>
          </rPr>
          <t>Based on Athena 2002, Cradle-to-gate life cycle inventory: Canadian and US Steel Production by Mill Type</t>
        </r>
      </text>
    </comment>
    <comment ref="J185" authorId="0" shapeId="0" xr:uid="{00000000-0006-0000-2500-00000C000000}">
      <text>
        <r>
          <rPr>
            <sz val="8"/>
            <color indexed="81"/>
            <rFont val="Tahoma"/>
            <family val="2"/>
          </rPr>
          <t>Data from "Energy Analysis of 108 Industrial Processes" Brown et al. 1996
Page 309</t>
        </r>
      </text>
    </comment>
    <comment ref="B186" authorId="0" shapeId="0" xr:uid="{00000000-0006-0000-2500-00000D000000}">
      <text>
        <r>
          <rPr>
            <sz val="8"/>
            <color indexed="81"/>
            <rFont val="Tahoma"/>
            <family val="2"/>
          </rPr>
          <t>Recycled steel for construction was not updated in "Life Cycle Material Data Update for GREET Model" Keoleian et al. 2012
Assumed to be the same as recycled steel</t>
        </r>
      </text>
    </comment>
    <comment ref="J186" authorId="0" shapeId="0" xr:uid="{00000000-0006-0000-2500-00000E000000}">
      <text>
        <r>
          <rPr>
            <sz val="9"/>
            <color indexed="81"/>
            <rFont val="Tahoma"/>
            <family val="2"/>
          </rPr>
          <t>Data from "Energy Analysis of 108 Industrial Processes" Brown et al. 1996
Page 309</t>
        </r>
      </text>
    </comment>
    <comment ref="B187" authorId="0" shapeId="0" xr:uid="{00000000-0006-0000-2500-00000F000000}">
      <text>
        <r>
          <rPr>
            <sz val="8"/>
            <color indexed="81"/>
            <rFont val="Tahoma"/>
            <family val="2"/>
          </rPr>
          <t>Stainless steel was not updated in "Life Cycle Material Data Update for GREET Model" Keoleian et al. 2012
Have kept the same intermediate amount of EAF, which is then sent to the rod and bar mill.</t>
        </r>
      </text>
    </comment>
    <comment ref="J187" authorId="0" shapeId="0" xr:uid="{00000000-0006-0000-2500-000010000000}">
      <text>
        <r>
          <rPr>
            <sz val="9"/>
            <color indexed="81"/>
            <rFont val="Tahoma"/>
            <family val="2"/>
          </rPr>
          <t>Data from "Energy Analysis of 108 Industrial Processes" Brown et al. 1996
Page 309</t>
        </r>
      </text>
    </comment>
    <comment ref="B190" authorId="0" shapeId="0" xr:uid="{00000000-0006-0000-2500-000011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C190" authorId="0" shapeId="0" xr:uid="{00000000-0006-0000-2500-000012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B194" authorId="0" shapeId="0" xr:uid="{00000000-0006-0000-2500-000013000000}">
      <text>
        <r>
          <rPr>
            <sz val="9"/>
            <color indexed="81"/>
            <rFont val="Tahoma"/>
            <family val="2"/>
          </rPr>
          <t>Data from "Life Cycle Inventory Report for the North American Aluminum Industry" Weston 1998
Page 5-6. All rolled aluminum is assumed to be cold rolled based on page 2-2</t>
        </r>
      </text>
    </comment>
    <comment ref="C194" authorId="0" shapeId="0" xr:uid="{00000000-0006-0000-2500-000014000000}">
      <text>
        <r>
          <rPr>
            <sz val="9"/>
            <color indexed="81"/>
            <rFont val="Tahoma"/>
            <family val="2"/>
          </rPr>
          <t>Data from "Life Cycle Inventory Report for the North American Aluminum Industry" Weston 1998
Page 5-6. All rolled aluminum is assumed to be cold rolled based on page 2-2</t>
        </r>
      </text>
    </comment>
    <comment ref="D194" authorId="0" shapeId="0" xr:uid="{00000000-0006-0000-2500-000015000000}">
      <text>
        <r>
          <rPr>
            <sz val="9"/>
            <color indexed="81"/>
            <rFont val="Tahoma"/>
            <family val="2"/>
          </rPr>
          <t>Data from "Life Cycle Inventory Report for the North American Aluminum Industry" Weston 1998
Page 5-6. All rolled aluminum is assumed to be cold rolled based on page 2-2</t>
        </r>
      </text>
    </comment>
    <comment ref="B199" authorId="0" shapeId="0" xr:uid="{00000000-0006-0000-2500-000016000000}">
      <text>
        <r>
          <rPr>
            <sz val="8"/>
            <color indexed="81"/>
            <rFont val="Tahoma"/>
            <family val="2"/>
          </rPr>
          <t xml:space="preserve">Virgin Production (Bauxite Mining through Primary Ingot Casting) data from "Life Cycle Impact Assessment of Aluminum Beverage Cans" Aluminum Association 2010.
</t>
        </r>
      </text>
    </comment>
    <comment ref="G199" authorId="0" shapeId="0" xr:uid="{00000000-0006-0000-25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199" authorId="0" shapeId="0" xr:uid="{00000000-0006-0000-25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199" authorId="0" shapeId="0" xr:uid="{00000000-0006-0000-2500-000019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0" authorId="0" shapeId="0" xr:uid="{00000000-0006-0000-2500-00001A000000}">
      <text>
        <r>
          <rPr>
            <sz val="8"/>
            <color indexed="81"/>
            <rFont val="Tahoma"/>
            <family val="2"/>
          </rPr>
          <t xml:space="preserve">Virgin Production (Bauxite Mining through Primary Ingot Casting) data from "Life Cycle Impact Assessment of Aluminum Beverage Cans" Aluminum Association 2010.
</t>
        </r>
      </text>
    </comment>
    <comment ref="G200" authorId="0" shapeId="0" xr:uid="{00000000-0006-0000-25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0" authorId="0" shapeId="0" xr:uid="{00000000-0006-0000-25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0" authorId="0" shapeId="0" xr:uid="{00000000-0006-0000-25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0" authorId="0" shapeId="0" xr:uid="{00000000-0006-0000-2500-00001E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1" authorId="0" shapeId="0" xr:uid="{00000000-0006-0000-2500-00001F000000}">
      <text>
        <r>
          <rPr>
            <sz val="8"/>
            <color indexed="81"/>
            <rFont val="Tahoma"/>
            <family val="2"/>
          </rPr>
          <t xml:space="preserve">Virgin Production (Bauxite Mining through Primary Ingot Casting) data from "Life Cycle Impact Assessment of Aluminum Beverage Cans" Aluminum Association 2010.
</t>
        </r>
      </text>
    </comment>
    <comment ref="G201" authorId="0" shapeId="0" xr:uid="{00000000-0006-0000-25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1" authorId="0" shapeId="0" xr:uid="{00000000-0006-0000-25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202" authorId="0" shapeId="0" xr:uid="{00000000-0006-0000-25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2" authorId="0" shapeId="0" xr:uid="{00000000-0006-0000-25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2" authorId="0" shapeId="0" xr:uid="{00000000-0006-0000-25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2" authorId="0" shapeId="0" xr:uid="{00000000-0006-0000-2500-000025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H203" authorId="0" shapeId="0" xr:uid="{00000000-0006-0000-25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3" authorId="0" shapeId="0" xr:uid="{00000000-0006-0000-25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3" authorId="0" shapeId="0" xr:uid="{00000000-0006-0000-25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3" authorId="0" shapeId="0" xr:uid="{00000000-0006-0000-25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3" authorId="0" shapeId="0" xr:uid="{00000000-0006-0000-2500-00002A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H204" authorId="0" shapeId="0" xr:uid="{00000000-0006-0000-25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4" authorId="0" shapeId="0" xr:uid="{00000000-0006-0000-25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4" authorId="0" shapeId="0" xr:uid="{00000000-0006-0000-25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208" authorId="0" shapeId="0" xr:uid="{00000000-0006-0000-2500-00002E000000}">
      <text>
        <r>
          <rPr>
            <sz val="8"/>
            <color indexed="81"/>
            <rFont val="Tahoma"/>
            <family val="2"/>
          </rPr>
          <t xml:space="preserve">Virgin Production (Bauxite Mining through Primary Ingot Casting) data from "Life Cycle Impact Assessment of Aluminum Beverage Cans" Aluminum Association 2010.
</t>
        </r>
      </text>
    </comment>
    <comment ref="G208" authorId="0" shapeId="0" xr:uid="{00000000-0006-0000-25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8" authorId="0" shapeId="0" xr:uid="{00000000-0006-0000-2500-000030000000}">
      <text>
        <r>
          <rPr>
            <sz val="9"/>
            <color indexed="81"/>
            <rFont val="Tahoma"/>
            <family val="2"/>
          </rPr>
          <t>Data from "Life Cycle Inventory Report for the North American Aluminum Industry" Weston 1998
Table 4-7</t>
        </r>
      </text>
    </comment>
    <comment ref="K208" authorId="0" shapeId="0" xr:uid="{00000000-0006-0000-2500-000031000000}">
      <text>
        <r>
          <rPr>
            <sz val="9"/>
            <color indexed="81"/>
            <rFont val="Tahoma"/>
            <family val="2"/>
          </rPr>
          <t>Data from "Energy Analysis of 108 Industrial Processes" Brown et al. 1996
Page 309</t>
        </r>
      </text>
    </comment>
    <comment ref="H209" authorId="0" shapeId="0" xr:uid="{00000000-0006-0000-25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9" authorId="0" shapeId="0" xr:uid="{00000000-0006-0000-25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9" authorId="0" shapeId="0" xr:uid="{00000000-0006-0000-2500-000034000000}">
      <text>
        <r>
          <rPr>
            <sz val="9"/>
            <color indexed="81"/>
            <rFont val="Tahoma"/>
            <family val="2"/>
          </rPr>
          <t>Data from "Life Cycle Inventory Report for the North American Aluminum Industry" Weston 1998
Table 4-7</t>
        </r>
      </text>
    </comment>
    <comment ref="K209" authorId="0" shapeId="0" xr:uid="{00000000-0006-0000-2500-000035000000}">
      <text>
        <r>
          <rPr>
            <sz val="9"/>
            <color indexed="81"/>
            <rFont val="Tahoma"/>
            <family val="2"/>
          </rPr>
          <t>Data from "Energy Analysis of 108 Industrial Processes" Brown et al. 1996
Page 309</t>
        </r>
      </text>
    </comment>
    <comment ref="B212" authorId="0" shapeId="0" xr:uid="{00000000-0006-0000-2500-000036000000}">
      <text>
        <r>
          <rPr>
            <sz val="8"/>
            <color indexed="81"/>
            <rFont val="Tahoma"/>
            <family val="2"/>
          </rPr>
          <t>Based on the chemical composition of nickel hydroxide.</t>
        </r>
      </text>
    </comment>
    <comment ref="A218" authorId="0" shapeId="0" xr:uid="{00000000-0006-0000-2500-000037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B224" authorId="0" shapeId="0" xr:uid="{00000000-0006-0000-2500-000038000000}">
      <text>
        <r>
          <rPr>
            <sz val="9"/>
            <color indexed="81"/>
            <rFont val="Tahoma"/>
            <family val="2"/>
          </rPr>
          <t xml:space="preserve">Title: Life Cycle Assessment Update of Glass and Glass Fiber for GREET
Publication Date: September 2015
Authors: Q. Dai, J.C. Kelly, J. Sullivan, and A. Elgowainy
</t>
        </r>
      </text>
    </comment>
    <comment ref="B225" authorId="0" shapeId="0" xr:uid="{00000000-0006-0000-2500-000039000000}">
      <text>
        <r>
          <rPr>
            <sz val="9"/>
            <color indexed="81"/>
            <rFont val="Tahoma"/>
            <family val="2"/>
          </rPr>
          <t xml:space="preserve">Title: Life Cycle Assessment Update of Glass and Glass Fiber for GREET
Publication Date: September 2015
Authors: Q. Dai, J.C. Kelly, J. Sullivan, and A. Elgowainy
</t>
        </r>
      </text>
    </comment>
    <comment ref="B226" authorId="0" shapeId="0" xr:uid="{00000000-0006-0000-2500-00003A000000}">
      <text>
        <r>
          <rPr>
            <sz val="9"/>
            <color indexed="81"/>
            <rFont val="Tahoma"/>
            <family val="2"/>
          </rPr>
          <t xml:space="preserve">Title: Life Cycle Assessment Update of Glass and Glass Fiber for GREET
Publication Date: September 2015
Authors: Q. Dai, J.C. Kelly, J. Sullivan, and A. Elgowainy
</t>
        </r>
      </text>
    </comment>
    <comment ref="B234" authorId="0" shapeId="0" xr:uid="{00000000-0006-0000-2500-00003B000000}">
      <text>
        <r>
          <rPr>
            <sz val="9"/>
            <color indexed="81"/>
            <rFont val="Tahoma"/>
            <family val="2"/>
          </rPr>
          <t>Data from "Life Cycle Material Data Update for GREET Model" Keoleian et al. 2012
Table 2.42</t>
        </r>
      </text>
    </comment>
    <comment ref="B235" authorId="0" shapeId="0" xr:uid="{00000000-0006-0000-2500-00003C000000}">
      <text>
        <r>
          <rPr>
            <sz val="9"/>
            <color indexed="81"/>
            <rFont val="Tahoma"/>
            <family val="2"/>
          </rPr>
          <t>Data from "Life Cycle Material Data Update for GREET Model" Keoleian et al. 2012
Table 2.42</t>
        </r>
      </text>
    </comment>
    <comment ref="B236" authorId="0" shapeId="0" xr:uid="{00000000-0006-0000-2500-00003D000000}">
      <text>
        <r>
          <rPr>
            <sz val="9"/>
            <color indexed="81"/>
            <rFont val="Tahoma"/>
            <family val="2"/>
          </rPr>
          <t>Data from "Life Cycle Material Data Update for GREET Model" Keoleian et al. 2012
Table 2.42</t>
        </r>
      </text>
    </comment>
    <comment ref="B237" authorId="0" shapeId="0" xr:uid="{00000000-0006-0000-2500-00003E000000}">
      <text>
        <r>
          <rPr>
            <sz val="9"/>
            <color indexed="81"/>
            <rFont val="Tahoma"/>
            <family val="2"/>
          </rPr>
          <t>Data from "Life Cycle Material Data Update for GREET Model" Keoleian et al. 2012
Table 2.42</t>
        </r>
      </text>
    </comment>
    <comment ref="B238" authorId="0" shapeId="0" xr:uid="{00000000-0006-0000-2500-00003F000000}">
      <text>
        <r>
          <rPr>
            <sz val="9"/>
            <color indexed="81"/>
            <rFont val="Tahoma"/>
            <family val="2"/>
          </rPr>
          <t>Data from "Life Cycle Material Data Update for GREET Model" Keoleian et al. 2012
Table 2.42</t>
        </r>
      </text>
    </comment>
    <comment ref="B239" authorId="0" shapeId="0" xr:uid="{00000000-0006-0000-2500-000040000000}">
      <text>
        <r>
          <rPr>
            <sz val="9"/>
            <color indexed="81"/>
            <rFont val="Tahoma"/>
            <family val="2"/>
          </rPr>
          <t>Data from "Life Cycle Material Data Update for GREET Model" Keoleian et al. 2012
Table 2.42</t>
        </r>
      </text>
    </comment>
    <comment ref="B240" authorId="0" shapeId="0" xr:uid="{00000000-0006-0000-2500-000041000000}">
      <text>
        <r>
          <rPr>
            <sz val="9"/>
            <color indexed="81"/>
            <rFont val="Tahoma"/>
            <family val="2"/>
          </rPr>
          <t>Data from "Life Cycle Material Data Update for GREET Model" Keoleian et al. 2012
Table 2.42</t>
        </r>
      </text>
    </comment>
    <comment ref="B241" authorId="0" shapeId="0" xr:uid="{00000000-0006-0000-2500-000042000000}">
      <text>
        <r>
          <rPr>
            <sz val="9"/>
            <color indexed="81"/>
            <rFont val="Tahoma"/>
            <family val="2"/>
          </rPr>
          <t>Data from "Life Cycle Material Data Update for GREET Model" Keoleian et al. 2012
Table 2.42</t>
        </r>
      </text>
    </comment>
    <comment ref="B242" authorId="0" shapeId="0" xr:uid="{00000000-0006-0000-2500-000043000000}">
      <text>
        <r>
          <rPr>
            <sz val="9"/>
            <color indexed="81"/>
            <rFont val="Tahoma"/>
            <family val="2"/>
          </rPr>
          <t>Data from "Life Cycle Material Data Update for GREET Model" Keoleian et al. 2012
Table 2.42</t>
        </r>
      </text>
    </comment>
    <comment ref="B248" authorId="0" shapeId="0" xr:uid="{00000000-0006-0000-2500-000044000000}">
      <text>
        <r>
          <rPr>
            <sz val="9"/>
            <color indexed="81"/>
            <rFont val="Tahoma"/>
            <family val="2"/>
          </rPr>
          <t>Data from "Life Cycle Material Data Update for GREET Model" Keoleian et al. 2012
Table 2.41</t>
        </r>
      </text>
    </comment>
    <comment ref="B249" authorId="0" shapeId="0" xr:uid="{00000000-0006-0000-2500-000045000000}">
      <text>
        <r>
          <rPr>
            <sz val="9"/>
            <color indexed="81"/>
            <rFont val="Tahoma"/>
            <family val="2"/>
          </rPr>
          <t>Data from "Life Cycle Material Data Update for GREET Model" Keoleian et al. 2012
Table 2.41</t>
        </r>
      </text>
    </comment>
    <comment ref="B250" authorId="0" shapeId="0" xr:uid="{00000000-0006-0000-2500-000046000000}">
      <text>
        <r>
          <rPr>
            <sz val="9"/>
            <color indexed="81"/>
            <rFont val="Tahoma"/>
            <family val="2"/>
          </rPr>
          <t>Data from "Life Cycle Material Data Update for GREET Model" Keoleian et al. 2012
Table 2.41</t>
        </r>
      </text>
    </comment>
    <comment ref="B251" authorId="0" shapeId="0" xr:uid="{00000000-0006-0000-2500-000047000000}">
      <text>
        <r>
          <rPr>
            <sz val="9"/>
            <color indexed="81"/>
            <rFont val="Tahoma"/>
            <family val="2"/>
          </rPr>
          <t>Data from "Life Cycle Material Data Update for GREET Model" Keoleian et al. 2012
Table 2.41</t>
        </r>
      </text>
    </comment>
    <comment ref="B252" authorId="0" shapeId="0" xr:uid="{00000000-0006-0000-2500-000048000000}">
      <text>
        <r>
          <rPr>
            <sz val="9"/>
            <color indexed="81"/>
            <rFont val="Tahoma"/>
            <family val="2"/>
          </rPr>
          <t>Data from "Life Cycle Material Data Update for GREET Model" Keoleian et al. 2012
Table 2.41</t>
        </r>
      </text>
    </comment>
    <comment ref="B253" authorId="0" shapeId="0" xr:uid="{00000000-0006-0000-2500-000049000000}">
      <text>
        <r>
          <rPr>
            <sz val="9"/>
            <color indexed="81"/>
            <rFont val="Tahoma"/>
            <family val="2"/>
          </rPr>
          <t>Data from "Life Cycle Material Data Update for GREET Model" Keoleian et al. 2012
Table 2.41</t>
        </r>
      </text>
    </comment>
    <comment ref="B254" authorId="0" shapeId="0" xr:uid="{00000000-0006-0000-2500-00004A000000}">
      <text>
        <r>
          <rPr>
            <sz val="9"/>
            <color indexed="81"/>
            <rFont val="Tahoma"/>
            <family val="2"/>
          </rPr>
          <t>Data from "Life Cycle Material Data Update for GREET Model" Keoleian et al. 2012
Table 2.41</t>
        </r>
      </text>
    </comment>
    <comment ref="B255" authorId="0" shapeId="0" xr:uid="{00000000-0006-0000-2500-00004B000000}">
      <text>
        <r>
          <rPr>
            <sz val="9"/>
            <color indexed="81"/>
            <rFont val="Tahoma"/>
            <family val="2"/>
          </rPr>
          <t>Data from "Life Cycle Material Data Update for GREET Model" Keoleian et al. 2012
Table 2.41</t>
        </r>
      </text>
    </comment>
    <comment ref="B256" authorId="0" shapeId="0" xr:uid="{00000000-0006-0000-2500-00004C000000}">
      <text>
        <r>
          <rPr>
            <sz val="9"/>
            <color indexed="81"/>
            <rFont val="Tahoma"/>
            <family val="2"/>
          </rPr>
          <t>Data from "Life Cycle Material Data Update for GREET Model" Keoleian et al. 2012
Table 2.41</t>
        </r>
      </text>
    </comment>
    <comment ref="B259" authorId="0" shapeId="0" xr:uid="{00000000-0006-0000-2500-00004D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C259" authorId="0" shapeId="0" xr:uid="{00000000-0006-0000-2500-00004E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D282" authorId="0" shapeId="0" xr:uid="{00000000-0006-0000-2500-00004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282" authorId="0" shapeId="0" xr:uid="{00000000-0006-0000-2500-00005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282" authorId="0" shapeId="0" xr:uid="{00000000-0006-0000-2500-00005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282" authorId="0" shapeId="0" xr:uid="{00000000-0006-0000-2500-000052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I282" authorId="0" shapeId="0" xr:uid="{00000000-0006-0000-2500-00005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82" authorId="0" shapeId="0" xr:uid="{00000000-0006-0000-2500-00005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82" authorId="0" shapeId="0" xr:uid="{00000000-0006-0000-2500-00005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82" authorId="0" shapeId="0" xr:uid="{00000000-0006-0000-2500-000056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B296" authorId="0" shapeId="0" xr:uid="{00000000-0006-0000-2500-000057000000}">
      <text>
        <r>
          <rPr>
            <sz val="8"/>
            <color indexed="81"/>
            <rFont val="Tahoma"/>
            <family val="2"/>
          </rPr>
          <t>Data based on Athena, Cradle-to-gate life cycle inventory: Canadian and US Steel Production by Mill Type, 2002</t>
        </r>
      </text>
    </comment>
    <comment ref="B297" authorId="0" shapeId="0" xr:uid="{00000000-0006-0000-2500-000058000000}">
      <text>
        <r>
          <rPr>
            <sz val="8"/>
            <color indexed="81"/>
            <rFont val="Tahoma"/>
            <family val="2"/>
          </rPr>
          <t>Data based on Athena, Cradle-to-gate life cycle inventory: Canadian and US Steel Production by Mill Type, 2002</t>
        </r>
      </text>
    </comment>
    <comment ref="B298" authorId="0" shapeId="0" xr:uid="{00000000-0006-0000-2500-000059000000}">
      <text>
        <r>
          <rPr>
            <sz val="8"/>
            <color indexed="81"/>
            <rFont val="Tahoma"/>
            <family val="2"/>
          </rPr>
          <t>Data based on Athena, Cradle-to-gate life cycle inventory: Canadian and US Steel Production by Mill Type, 2002</t>
        </r>
      </text>
    </comment>
    <comment ref="B299" authorId="0" shapeId="0" xr:uid="{00000000-0006-0000-2500-00005A000000}">
      <text>
        <r>
          <rPr>
            <sz val="8"/>
            <color indexed="81"/>
            <rFont val="Tahoma"/>
            <family val="2"/>
          </rPr>
          <t>Data based on Athena, Cradle-to-gate life cycle inventory: Canadian and US Steel Production by Mill Type, 2002</t>
        </r>
      </text>
    </comment>
    <comment ref="B300" authorId="0" shapeId="0" xr:uid="{00000000-0006-0000-2500-00005B000000}">
      <text>
        <r>
          <rPr>
            <sz val="8"/>
            <color indexed="81"/>
            <rFont val="Tahoma"/>
            <family val="2"/>
          </rPr>
          <t>Data based on Athena, Cradle-to-gate life cycle inventory: Canadian and US Steel Production by Mill Type, 2002</t>
        </r>
      </text>
    </comment>
    <comment ref="B301" authorId="0" shapeId="0" xr:uid="{00000000-0006-0000-2500-00005C000000}">
      <text>
        <r>
          <rPr>
            <sz val="8"/>
            <color indexed="81"/>
            <rFont val="Tahoma"/>
            <family val="2"/>
          </rPr>
          <t>Data based on Athena, Cradle-to-gate life cycle inventory: Canadian and US Steel Production by Mill Type, 2002</t>
        </r>
      </text>
    </comment>
    <comment ref="B302" authorId="0" shapeId="0" xr:uid="{00000000-0006-0000-2500-00005D000000}">
      <text>
        <r>
          <rPr>
            <sz val="8"/>
            <color indexed="81"/>
            <rFont val="Tahoma"/>
            <family val="2"/>
          </rPr>
          <t>Data based on Athena, Cradle-to-gate life cycle inventory: Canadian and US Steel Production by Mill Type, 2002</t>
        </r>
      </text>
    </comment>
    <comment ref="B303" authorId="0" shapeId="0" xr:uid="{00000000-0006-0000-2500-00005E000000}">
      <text>
        <r>
          <rPr>
            <sz val="8"/>
            <color indexed="81"/>
            <rFont val="Tahoma"/>
            <family val="2"/>
          </rPr>
          <t>Data based on Athena, Cradle-to-gate life cycle inventory: Canadian and US Steel Production by Mill Type, 2002</t>
        </r>
      </text>
    </comment>
    <comment ref="B304" authorId="0" shapeId="0" xr:uid="{00000000-0006-0000-2500-00005F000000}">
      <text>
        <r>
          <rPr>
            <sz val="8"/>
            <color indexed="81"/>
            <rFont val="Tahoma"/>
            <family val="2"/>
          </rPr>
          <t>Data based on Athena, Cradle-to-gate life cycle inventory: Canadian and US Steel Production by Mill Type, 2002</t>
        </r>
      </text>
    </comment>
    <comment ref="B305" authorId="0" shapeId="0" xr:uid="{00000000-0006-0000-2500-000060000000}">
      <text>
        <r>
          <rPr>
            <sz val="8"/>
            <color indexed="81"/>
            <rFont val="Tahoma"/>
            <family val="2"/>
          </rPr>
          <t>Data based on Athena, Cradle-to-gate life cycle inventory: Canadian and US Steel Production by Mill Type, 2002</t>
        </r>
      </text>
    </comment>
    <comment ref="B306" authorId="0" shapeId="0" xr:uid="{00000000-0006-0000-2500-000061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07" authorId="0" shapeId="0" xr:uid="{00000000-0006-0000-2500-000062000000}">
      <text>
        <r>
          <rPr>
            <sz val="8"/>
            <color indexed="81"/>
            <rFont val="Tahoma"/>
            <family val="2"/>
          </rPr>
          <t>Data based on Athena, Cradle-to-gate life cycle inventory: Canadian and US Steel Production by Mill Type, 2002</t>
        </r>
      </text>
    </comment>
    <comment ref="B308" authorId="0" shapeId="0" xr:uid="{00000000-0006-0000-2500-000063000000}">
      <text>
        <r>
          <rPr>
            <sz val="8"/>
            <color indexed="81"/>
            <rFont val="Tahoma"/>
            <family val="2"/>
          </rPr>
          <t>Data based on Athena, Cradle-to-gate life cycle inventory: Canadian and US Steel Production by Mill Type, 2002</t>
        </r>
      </text>
    </comment>
    <comment ref="B309" authorId="0" shapeId="0" xr:uid="{00000000-0006-0000-2500-000064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2" authorId="0" shapeId="0" xr:uid="{00000000-0006-0000-2500-000065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3" authorId="0" shapeId="0" xr:uid="{00000000-0006-0000-2500-000066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4" authorId="0" shapeId="0" xr:uid="{00000000-0006-0000-2500-00006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5" authorId="0" shapeId="0" xr:uid="{00000000-0006-0000-2500-000068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8" authorId="0" shapeId="0" xr:uid="{00000000-0006-0000-2500-00006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19" authorId="0" shapeId="0" xr:uid="{00000000-0006-0000-2500-00006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0" authorId="0" shapeId="0" xr:uid="{00000000-0006-0000-2500-00006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1" authorId="0" shapeId="0" xr:uid="{00000000-0006-0000-2500-00006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2" authorId="0" shapeId="0" xr:uid="{00000000-0006-0000-2500-00006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3" authorId="0" shapeId="0" xr:uid="{00000000-0006-0000-2500-00006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4" authorId="0" shapeId="0" xr:uid="{00000000-0006-0000-2500-00006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5" authorId="0" shapeId="0" xr:uid="{00000000-0006-0000-2500-00007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6" authorId="0" shapeId="0" xr:uid="{00000000-0006-0000-2500-00007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7" authorId="0" shapeId="0" xr:uid="{00000000-0006-0000-2500-000072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28" authorId="0" shapeId="0" xr:uid="{00000000-0006-0000-2500-00007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1" authorId="0" shapeId="0" xr:uid="{00000000-0006-0000-2500-00007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2" authorId="0" shapeId="0" xr:uid="{00000000-0006-0000-2500-00007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3" authorId="0" shapeId="0" xr:uid="{00000000-0006-0000-2500-00007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4" authorId="0" shapeId="0" xr:uid="{00000000-0006-0000-2500-00007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5" authorId="0" shapeId="0" xr:uid="{00000000-0006-0000-2500-00007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6" authorId="0" shapeId="0" xr:uid="{00000000-0006-0000-2500-00007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7" authorId="0" shapeId="0" xr:uid="{00000000-0006-0000-2500-00007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8" authorId="0" shapeId="0" xr:uid="{00000000-0006-0000-2500-00007B000000}">
      <text>
        <r>
          <rPr>
            <sz val="8"/>
            <color indexed="81"/>
            <rFont val="Tahoma"/>
            <family val="2"/>
          </rPr>
          <t>Data from "Life Cycle Material Data Update for GREET Model" Keoleian et al. 2012
Appendix, total includes kerosene and propane</t>
        </r>
      </text>
    </comment>
    <comment ref="B339" authorId="0" shapeId="0" xr:uid="{00000000-0006-0000-2500-00007C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342" authorId="0" shapeId="0" xr:uid="{00000000-0006-0000-2500-00007D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3" authorId="0" shapeId="0" xr:uid="{00000000-0006-0000-2500-00007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Coke is the only energy feedstock.
</t>
        </r>
      </text>
    </comment>
    <comment ref="B344" authorId="0" shapeId="0" xr:uid="{00000000-0006-0000-2500-00007F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7" authorId="0" shapeId="0" xr:uid="{00000000-0006-0000-2500-000080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8" authorId="0" shapeId="0" xr:uid="{00000000-0006-0000-2500-000081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9" authorId="0" shapeId="0" xr:uid="{00000000-0006-0000-2500-000082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50" authorId="0" shapeId="0" xr:uid="{00000000-0006-0000-2500-000083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64" authorId="0" shapeId="0" xr:uid="{00000000-0006-0000-2500-000084000000}">
      <text>
        <r>
          <rPr>
            <sz val="8"/>
            <color indexed="81"/>
            <rFont val="Tahoma"/>
            <family val="2"/>
          </rPr>
          <t>Data from "Life Cycle Material Data Update for GREET Model" Keoleian et al. 2012
Appendix</t>
        </r>
      </text>
    </comment>
    <comment ref="B365" authorId="0" shapeId="0" xr:uid="{00000000-0006-0000-2500-000085000000}">
      <text>
        <r>
          <rPr>
            <sz val="8"/>
            <color indexed="81"/>
            <rFont val="Tahoma"/>
            <family val="2"/>
          </rPr>
          <t>Data from "Life Cycle Material Data Update for GREET Model" Keoleian et al. 2012
Appendix</t>
        </r>
      </text>
    </comment>
    <comment ref="B366" authorId="0" shapeId="0" xr:uid="{00000000-0006-0000-2500-000086000000}">
      <text>
        <r>
          <rPr>
            <sz val="9"/>
            <color indexed="81"/>
            <rFont val="Tahoma"/>
            <family val="2"/>
          </rPr>
          <t>Data from "Updated Life Cycle Inventory of Copper: Imports from Chile" Kelly et al. 2015.</t>
        </r>
      </text>
    </comment>
    <comment ref="B367" authorId="0" shapeId="0" xr:uid="{00000000-0006-0000-2500-00008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73" authorId="0" shapeId="0" xr:uid="{00000000-0006-0000-2500-00008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The additional 0.11 comes from beneficiation process of zinc ore, see Report of Metals update </t>
        </r>
      </text>
    </comment>
    <comment ref="B374" authorId="0" shapeId="0" xr:uid="{00000000-0006-0000-2500-000089000000}">
      <text>
        <r>
          <rPr>
            <sz val="9"/>
            <color indexed="81"/>
            <rFont val="Tahoma"/>
            <family val="2"/>
          </rPr>
          <t>Moats, M., Guerra, E., Siegmund, A., &amp; Manthey, J. (2010). Primary Zinc Smelter Operation Data Survey. USA, Canada, Germany: College of Mines and Earth Science, School of Engineering Laurentian University, LanMetCon-Recylex GmbH.</t>
        </r>
      </text>
    </comment>
    <comment ref="B375" authorId="0" shapeId="0" xr:uid="{00000000-0006-0000-2500-00008A000000}">
      <text>
        <r>
          <rPr>
            <sz val="9"/>
            <color indexed="81"/>
            <rFont val="Tahoma"/>
            <family val="2"/>
          </rPr>
          <t>this value can be found on the new metals report, this value correspond to French process to produce zinc oxide from zinc metal. See Brown et at 1996</t>
        </r>
      </text>
    </comment>
    <comment ref="B378" authorId="0" shapeId="0" xr:uid="{00000000-0006-0000-2500-00008B000000}">
      <text>
        <r>
          <rPr>
            <sz val="8"/>
            <color indexed="81"/>
            <rFont val="Tahoma"/>
            <family val="2"/>
          </rPr>
          <t xml:space="preserve">Mining energy use is included in the next step (magnesium production).
</t>
        </r>
      </text>
    </comment>
    <comment ref="B379" authorId="0" shapeId="0" xr:uid="{00000000-0006-0000-2500-00008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91" authorId="0" shapeId="0" xr:uid="{00000000-0006-0000-2500-00008D000000}">
      <text>
        <r>
          <rPr>
            <sz val="9"/>
            <color indexed="81"/>
            <rFont val="Tahoma"/>
            <family val="2"/>
          </rPr>
          <t xml:space="preserve">Title: Life Cycle Assessment Update of Glass and Glass Fiber for GREET
Publication Date: September 2015
Authors: Q. Dai, J.C. Kelly, J. Sullivan, and A. Elgowainy
</t>
        </r>
      </text>
    </comment>
    <comment ref="B392" authorId="0" shapeId="0" xr:uid="{00000000-0006-0000-2500-00008E000000}">
      <text>
        <r>
          <rPr>
            <sz val="9"/>
            <color indexed="81"/>
            <rFont val="Tahoma"/>
            <family val="2"/>
          </rPr>
          <t xml:space="preserve">Title: Life Cycle Assessment Update of Glass and Glass Fiber for GREET
Publication Date: September 2015
Authors: Q. Dai, J.C. Kelly, J. Sullivan, and A. Elgowainy
</t>
        </r>
      </text>
    </comment>
    <comment ref="B393" authorId="0" shapeId="0" xr:uid="{00000000-0006-0000-2500-00008F000000}">
      <text>
        <r>
          <rPr>
            <sz val="9"/>
            <color indexed="81"/>
            <rFont val="Tahoma"/>
            <family val="2"/>
          </rPr>
          <t xml:space="preserve">Title: Life Cycle Assessment Update of Glass and Glass Fiber for GREET
Publication Date: September 2015
Authors: Q. Dai, J.C. Kelly, J. Sullivan, and A. Elgowainy
</t>
        </r>
      </text>
    </comment>
    <comment ref="B394" authorId="0" shapeId="0" xr:uid="{00000000-0006-0000-2500-000090000000}">
      <text>
        <r>
          <rPr>
            <sz val="9"/>
            <color indexed="81"/>
            <rFont val="Tahoma"/>
            <family val="2"/>
          </rPr>
          <t xml:space="preserve">Title: Life Cycle Assessment Update of Glass and Glass Fiber for GREET
Publication Date: September 2015
Authors: Q. Dai, J.C. Kelly, J. Sullivan, and A. Elgowainy
</t>
        </r>
      </text>
    </comment>
    <comment ref="B395" authorId="0" shapeId="0" xr:uid="{00000000-0006-0000-2500-000091000000}">
      <text>
        <r>
          <rPr>
            <sz val="9"/>
            <color indexed="81"/>
            <rFont val="Tahoma"/>
            <family val="2"/>
          </rPr>
          <t xml:space="preserve">Title: Life Cycle Assessment Update of Glass and Glass Fiber for GREET
Publication Date: September 2015
Authors: Q. Dai, J.C. Kelly, J. Sullivan, and A. Elgowainy
</t>
        </r>
      </text>
    </comment>
    <comment ref="B396" authorId="0" shapeId="0" xr:uid="{00000000-0006-0000-2500-000092000000}">
      <text>
        <r>
          <rPr>
            <sz val="9"/>
            <color indexed="81"/>
            <rFont val="Tahoma"/>
            <family val="2"/>
          </rPr>
          <t xml:space="preserve">Title: Life Cycle Assessment Update of Glass and Glass Fiber for GREET
Publication Date: September 2015
Authors: Q. Dai, J.C. Kelly, J. Sullivan, and A. Elgowainy
</t>
        </r>
      </text>
    </comment>
    <comment ref="B397" authorId="0" shapeId="0" xr:uid="{00000000-0006-0000-2500-000093000000}">
      <text>
        <r>
          <rPr>
            <sz val="9"/>
            <color indexed="81"/>
            <rFont val="Tahoma"/>
            <family val="2"/>
          </rPr>
          <t xml:space="preserve">Title: Life Cycle Assessment Update of Glass and Glass Fiber for GREET
Publication Date: September 2015
Authors: Q. Dai, J.C. Kelly, J. Sullivan, and A. Elgowainy
</t>
        </r>
      </text>
    </comment>
    <comment ref="B398" authorId="0" shapeId="0" xr:uid="{00000000-0006-0000-2500-000094000000}">
      <text>
        <r>
          <rPr>
            <sz val="9"/>
            <color indexed="81"/>
            <rFont val="Tahoma"/>
            <family val="2"/>
          </rPr>
          <t xml:space="preserve">Title: Life Cycle Assessment Update of Glass and Glass Fiber for GREET
Publication Date: September 2015
Authors: Q. Dai, J.C. Kelly, J. Sullivan, and A. Elgowainy
</t>
        </r>
      </text>
    </comment>
    <comment ref="B399" authorId="0" shapeId="0" xr:uid="{00000000-0006-0000-2500-000095000000}">
      <text>
        <r>
          <rPr>
            <sz val="9"/>
            <color indexed="81"/>
            <rFont val="Tahoma"/>
            <family val="2"/>
          </rPr>
          <t xml:space="preserve">Title: Life Cycle Assessment Update of Glass and Glass Fiber for GREET
Publication Date: September 2015
Authors: Q. Dai, J.C. Kelly, J. Sullivan, and A. Elgowainy
</t>
        </r>
      </text>
    </comment>
    <comment ref="B400" authorId="0" shapeId="0" xr:uid="{00000000-0006-0000-2500-000096000000}">
      <text>
        <r>
          <rPr>
            <sz val="9"/>
            <color indexed="81"/>
            <rFont val="Tahoma"/>
            <family val="2"/>
          </rPr>
          <t xml:space="preserve">Title: Life Cycle Assessment Update of Glass and Glass Fiber for GREET
Publication Date: September 2015
Authors: Q. Dai, J.C. Kelly, J. Sullivan, and A. Elgowainy
</t>
        </r>
      </text>
    </comment>
    <comment ref="B403" authorId="0" shapeId="0" xr:uid="{00000000-0006-0000-2500-000097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4" authorId="0" shapeId="0" xr:uid="{00000000-0006-0000-2500-000098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5" authorId="0" shapeId="0" xr:uid="{00000000-0006-0000-2500-000099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6" authorId="0" shapeId="0" xr:uid="{00000000-0006-0000-2500-00009A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7" authorId="0" shapeId="0" xr:uid="{00000000-0006-0000-2500-00009B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8" authorId="0" shapeId="0" xr:uid="{00000000-0006-0000-2500-00009C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9" authorId="0" shapeId="0" xr:uid="{00000000-0006-0000-2500-00009D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0" authorId="0" shapeId="0" xr:uid="{00000000-0006-0000-2500-00009E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1" authorId="0" shapeId="0" xr:uid="{00000000-0006-0000-2500-00009F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2" authorId="0" shapeId="0" xr:uid="{00000000-0006-0000-2500-0000A0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3" authorId="0" shapeId="0" xr:uid="{00000000-0006-0000-2500-0000A1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4" authorId="0" shapeId="0" xr:uid="{00000000-0006-0000-2500-0000A2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5" authorId="0" shapeId="0" xr:uid="{00000000-0006-0000-2500-0000A3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6" authorId="0" shapeId="0" xr:uid="{00000000-0006-0000-2500-0000A4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7" authorId="0" shapeId="0" xr:uid="{00000000-0006-0000-2500-0000A5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8" authorId="0" shapeId="0" xr:uid="{00000000-0006-0000-2500-0000A6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9" authorId="0" shapeId="0" xr:uid="{00000000-0006-0000-2500-0000A7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0" authorId="0" shapeId="0" xr:uid="{00000000-0006-0000-2500-0000A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1" authorId="0" shapeId="0" xr:uid="{00000000-0006-0000-2500-0000A9000000}">
      <text>
        <r>
          <rPr>
            <sz val="9"/>
            <color indexed="81"/>
            <rFont val="Tahoma"/>
            <family val="2"/>
          </rPr>
          <t xml:space="preserve">Title: Life Cycle Assessment Update of Glass and Glass Fiber for GREET
Publication Date: September 2015
Authors: Q. Dai, J.C. Kelly, J. Sullivan, and A. Elgowainy
</t>
        </r>
      </text>
    </comment>
    <comment ref="B422" authorId="0" shapeId="0" xr:uid="{00000000-0006-0000-2500-0000AA000000}">
      <text>
        <r>
          <rPr>
            <sz val="9"/>
            <color indexed="81"/>
            <rFont val="Tahoma"/>
            <family val="2"/>
          </rPr>
          <t xml:space="preserve">Title: Life Cycle Assessment Update of Glass and Glass Fiber for GREET
Publication Date: September 2015
Authors: Q. Dai, J.C. Kelly, J. Sullivan, and A. Elgowainy
</t>
        </r>
      </text>
    </comment>
    <comment ref="B423" authorId="0" shapeId="0" xr:uid="{00000000-0006-0000-2500-0000AB000000}">
      <text>
        <r>
          <rPr>
            <sz val="9"/>
            <color indexed="81"/>
            <rFont val="Tahoma"/>
            <family val="2"/>
          </rPr>
          <t xml:space="preserve">Title: Life Cycle Assessment Update of Glass and Glass Fiber for GREET
Publication Date: September 2015
Authors: Q. Dai, J.C. Kelly, J. Sullivan, and A. Elgowainy
</t>
        </r>
      </text>
    </comment>
    <comment ref="B424" authorId="0" shapeId="0" xr:uid="{00000000-0006-0000-2500-0000A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5" authorId="0" shapeId="0" xr:uid="{00000000-0006-0000-2500-0000AD000000}">
      <text>
        <r>
          <rPr>
            <sz val="8"/>
            <color indexed="81"/>
            <rFont val="Tahoma"/>
            <family val="2"/>
          </rPr>
          <t>Data from "Life Cycle Material Data Update for GREET Model" Keoleian et al. 2012
Appendix</t>
        </r>
      </text>
    </comment>
    <comment ref="B426" authorId="0" shapeId="0" xr:uid="{00000000-0006-0000-2500-0000AE000000}">
      <text>
        <r>
          <rPr>
            <sz val="8"/>
            <color indexed="81"/>
            <rFont val="Tahoma"/>
            <family val="2"/>
          </rPr>
          <t>Data from "Life Cycle Material Data Update for GREET Model" Keoleian et al. 2012
Appendix</t>
        </r>
      </text>
    </comment>
    <comment ref="B427" authorId="0" shapeId="0" xr:uid="{00000000-0006-0000-2500-0000AF000000}">
      <text>
        <r>
          <rPr>
            <sz val="8"/>
            <color indexed="81"/>
            <rFont val="Tahoma"/>
            <family val="2"/>
          </rPr>
          <t>Data from "Life Cycle Material Data Update for GREET Model" Keoleian et al. 2012
Appendix</t>
        </r>
      </text>
    </comment>
    <comment ref="B428" authorId="0" shapeId="0" xr:uid="{00000000-0006-0000-2500-0000B0000000}">
      <text>
        <r>
          <rPr>
            <sz val="8"/>
            <color indexed="81"/>
            <rFont val="Tahoma"/>
            <family val="2"/>
          </rPr>
          <t>Data from "Life Cycle Material Data Update for GREET Model" Keoleian et al. 2012
Appendix</t>
        </r>
      </text>
    </comment>
    <comment ref="B429" authorId="0" shapeId="0" xr:uid="{00000000-0006-0000-2500-0000B1000000}">
      <text>
        <r>
          <rPr>
            <sz val="8"/>
            <color indexed="81"/>
            <rFont val="Tahoma"/>
            <family val="2"/>
          </rPr>
          <t>Data from "Life Cycle Material Data Update for GREET Model" Keoleian et al. 2012
Appendix</t>
        </r>
      </text>
    </comment>
    <comment ref="B430" authorId="0" shapeId="0" xr:uid="{00000000-0006-0000-2500-0000B2000000}">
      <text>
        <r>
          <rPr>
            <sz val="8"/>
            <color indexed="81"/>
            <rFont val="Tahoma"/>
            <family val="2"/>
          </rPr>
          <t>Data from "Life Cycle Material Data Update for GREET Model" Keoleian et al. 2012
Appendix</t>
        </r>
      </text>
    </comment>
    <comment ref="B431" authorId="0" shapeId="0" xr:uid="{00000000-0006-0000-2500-0000B3000000}">
      <text>
        <r>
          <rPr>
            <sz val="8"/>
            <color indexed="81"/>
            <rFont val="Tahoma"/>
            <family val="2"/>
          </rPr>
          <t>Data from "Life Cycle Material Data Update for GREET Model" Keoleian et al. 2012
Appendix</t>
        </r>
      </text>
    </comment>
    <comment ref="B432" authorId="0" shapeId="0" xr:uid="{00000000-0006-0000-2500-0000B4000000}">
      <text>
        <r>
          <rPr>
            <sz val="8"/>
            <color indexed="81"/>
            <rFont val="Tahoma"/>
            <family val="2"/>
          </rPr>
          <t>Data from "Life Cycle Material Data Update for GREET Model" Keoleian et al. 2012
Appendix</t>
        </r>
      </text>
    </comment>
    <comment ref="B433" authorId="0" shapeId="0" xr:uid="{00000000-0006-0000-2500-0000B5000000}">
      <text>
        <r>
          <rPr>
            <sz val="8"/>
            <color indexed="81"/>
            <rFont val="Tahoma"/>
            <family val="2"/>
          </rPr>
          <t>Data from "Life Cycle Material Data Update for GREET Model" Keoleian et al. 2012
Appendix</t>
        </r>
      </text>
    </comment>
    <comment ref="B436" authorId="0" shapeId="0" xr:uid="{00000000-0006-0000-2500-0000B6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37" authorId="0" shapeId="0" xr:uid="{00000000-0006-0000-2500-0000B7000000}">
      <text>
        <r>
          <rPr>
            <sz val="8"/>
            <color indexed="81"/>
            <rFont val="Tahoma"/>
            <family val="2"/>
          </rPr>
          <t xml:space="preserve">Data from Data from "Energy Analysis of 108 Industrial Processes" Brown et al. 1996
Page 234
Documented in "Energy-Consumption and Carbon-Emission Analysis of Vehicle and Component Manufacturing" Sullivan et al 2010 and "Life Cycle Material Data Update for GREET Model" Keoleian et al. 2011
Calculations in Listofprocesses_ajb_020112,xls
</t>
        </r>
      </text>
    </comment>
    <comment ref="B438" authorId="0" shapeId="0" xr:uid="{00000000-0006-0000-2500-0000B8000000}">
      <text>
        <r>
          <rPr>
            <sz val="8"/>
            <color indexed="81"/>
            <rFont val="Tahoma"/>
            <family val="2"/>
          </rPr>
          <t>Data from "Life Cycle Material Data Update for GREET Model" Keoleian et al. 2012
Appendix</t>
        </r>
      </text>
    </comment>
    <comment ref="B443" authorId="0" shapeId="0" xr:uid="{00000000-0006-0000-2500-0000B9000000}">
      <text>
        <r>
          <rPr>
            <sz val="9"/>
            <color indexed="81"/>
            <rFont val="Tahoma"/>
            <family val="2"/>
          </rPr>
          <t>For South Africa cases: Based on Anglo Americas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t>
        </r>
      </text>
    </comment>
    <comment ref="B444" authorId="0" shapeId="0" xr:uid="{00000000-0006-0000-2500-0000BA000000}">
      <text>
        <r>
          <rPr>
            <sz val="9"/>
            <color indexed="81"/>
            <rFont val="Tahoma"/>
            <family val="2"/>
          </rPr>
          <t>Platinum  Company, South Africa. Annual report 2014 t</t>
        </r>
      </text>
    </comment>
    <comment ref="B445" authorId="0" shapeId="0" xr:uid="{00000000-0006-0000-2500-0000BB000000}">
      <text>
        <r>
          <rPr>
            <sz val="9"/>
            <color indexed="81"/>
            <rFont val="Tahoma"/>
            <family val="2"/>
          </rPr>
          <t xml:space="preserve">Platinum  Company, South Africa. Annual report 2014 </t>
        </r>
      </text>
    </comment>
    <comment ref="B446" authorId="0" shapeId="0" xr:uid="{00000000-0006-0000-2500-0000BC000000}">
      <text>
        <r>
          <rPr>
            <sz val="9"/>
            <color indexed="81"/>
            <rFont val="Tahoma"/>
            <family val="2"/>
          </rPr>
          <t>For South Africa cases: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
Value depends 4.10) Selection of Method for Estimating Energy Use for Platinum, which is on this sheet</t>
        </r>
      </text>
    </comment>
    <comment ref="B469" authorId="0" shapeId="0" xr:uid="{00000000-0006-0000-2500-0000BD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0" authorId="0" shapeId="0" xr:uid="{00000000-0006-0000-2500-0000B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4" authorId="0" shapeId="0" xr:uid="{00000000-0006-0000-2500-0000BF000000}">
      <text>
        <r>
          <rPr>
            <sz val="8"/>
            <color indexed="81"/>
            <rFont val="Tahoma"/>
            <family val="2"/>
          </rPr>
          <t xml:space="preserve">The data for zinc production is applied here.
</t>
        </r>
      </text>
    </comment>
    <comment ref="B475" authorId="0" shapeId="0" xr:uid="{00000000-0006-0000-2500-0000C0000000}">
      <text>
        <r>
          <rPr>
            <sz val="8"/>
            <color indexed="81"/>
            <rFont val="Tahoma"/>
            <family val="2"/>
          </rPr>
          <t xml:space="preserve">The data for zinc production is applied here.
</t>
        </r>
      </text>
    </comment>
    <comment ref="B478" authorId="0" shapeId="0" xr:uid="{00000000-0006-0000-2500-0000C1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79" authorId="0" shapeId="0" xr:uid="{00000000-0006-0000-2500-0000C2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0" authorId="0" shapeId="0" xr:uid="{00000000-0006-0000-2500-0000C3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6" authorId="0" shapeId="0" xr:uid="{00000000-0006-0000-2500-0000C4000000}">
      <text>
        <r>
          <rPr>
            <sz val="9"/>
            <color indexed="81"/>
            <rFont val="Tahoma"/>
            <family val="2"/>
          </rPr>
          <t xml:space="preserve">Thompson creek air quality permit </t>
        </r>
      </text>
    </comment>
    <comment ref="B487" authorId="0" shapeId="0" xr:uid="{00000000-0006-0000-2500-0000C5000000}">
      <text>
        <r>
          <rPr>
            <sz val="9"/>
            <color indexed="81"/>
            <rFont val="Tahoma"/>
            <family val="2"/>
          </rPr>
          <t>This is from Fthenakis et al. Renewable and sustainable Energy reviews 13 (2009) 439-517</t>
        </r>
      </text>
    </comment>
    <comment ref="B488" authorId="0" shapeId="0" xr:uid="{00000000-0006-0000-2500-0000C6000000}">
      <text>
        <r>
          <rPr>
            <sz val="9"/>
            <color indexed="81"/>
            <rFont val="Tahoma"/>
            <family val="2"/>
          </rPr>
          <t>from the Climax Molybdenum company, air quality permit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81" authorId="0" shapeId="0" xr:uid="{00000000-0006-0000-2600-000001000000}">
      <text>
        <r>
          <rPr>
            <sz val="8"/>
            <color indexed="81"/>
            <rFont val="Tahoma"/>
            <family val="2"/>
          </rPr>
          <t>Data from "Life Cycle Environmental Assessment of Paint Processes"  Papasavva et al. 2002
Average value used from range</t>
        </r>
      </text>
    </comment>
    <comment ref="E82" authorId="0" shapeId="0" xr:uid="{00000000-0006-0000-2600-000002000000}">
      <text>
        <r>
          <rPr>
            <sz val="8"/>
            <color indexed="81"/>
            <rFont val="Tahoma"/>
            <family val="2"/>
          </rPr>
          <t>Data from "Life Cycle Environmental Assessment of Paint Processes"  Papasavva et al. 2002
Average value used from range</t>
        </r>
      </text>
    </comment>
    <comment ref="E83" authorId="0" shapeId="0" xr:uid="{00000000-0006-0000-2600-000003000000}">
      <text>
        <r>
          <rPr>
            <sz val="8"/>
            <color indexed="81"/>
            <rFont val="Tahoma"/>
            <family val="2"/>
          </rPr>
          <t>Data from "Life Cycle Environmental Assessment of Paint Processes"  Papasavva et al. 2002
Average value used from range</t>
        </r>
      </text>
    </comment>
    <comment ref="E84" authorId="0" shapeId="0" xr:uid="{00000000-0006-0000-2600-000004000000}">
      <text>
        <r>
          <rPr>
            <sz val="8"/>
            <color indexed="81"/>
            <rFont val="Tahoma"/>
            <family val="2"/>
          </rPr>
          <t xml:space="preserve">Data from "Life Cycle Environmental Assessment of Paint Processes"  Papasavva et al. 2002
</t>
        </r>
      </text>
    </comment>
    <comment ref="A136" authorId="0" shapeId="0" xr:uid="{00000000-0006-0000-2600-000005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A137" authorId="0" shapeId="0" xr:uid="{00000000-0006-0000-2600-000006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R138" authorId="0" shapeId="0" xr:uid="{00000000-0006-0000-2600-000007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V138" authorId="0" shapeId="0" xr:uid="{00000000-0006-0000-2600-000008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170" authorId="0" shapeId="0" xr:uid="{00000000-0006-0000-2600-000009000000}">
      <text>
        <r>
          <rPr>
            <sz val="8"/>
            <color indexed="81"/>
            <rFont val="Tahoma"/>
            <family val="2"/>
          </rPr>
          <t>See "Energy-Consumption and Carbon-Emission Analysis of Vehicle and Component Manufacturing" Sullivan et al 2010</t>
        </r>
      </text>
    </comment>
    <comment ref="A224" authorId="0" shapeId="0" xr:uid="{00000000-0006-0000-2600-00000A000000}">
      <text>
        <r>
          <rPr>
            <sz val="8"/>
            <color indexed="81"/>
            <rFont val="Tahoma"/>
            <family val="2"/>
          </rPr>
          <t>See "Energy-Consumption and Carbon-Emission Analysis of Vehicle and Component Manufacturing" Sullivan et al 2010</t>
        </r>
      </text>
    </comment>
  </commentList>
</comments>
</file>

<file path=xl/sharedStrings.xml><?xml version="1.0" encoding="utf-8"?>
<sst xmlns="http://schemas.openxmlformats.org/spreadsheetml/2006/main" count="21945" uniqueCount="3615">
  <si>
    <t>Lifetime (vehicle)</t>
  </si>
  <si>
    <t>[years]</t>
  </si>
  <si>
    <t>Annual mileage (active km, including cruising and overheading)</t>
  </si>
  <si>
    <t>[km/year]</t>
  </si>
  <si>
    <t>Daily mileage</t>
  </si>
  <si>
    <t>[km/day]</t>
  </si>
  <si>
    <t>Lifetime mileage (use phase, including cruising and overheading for ride sourcing)</t>
  </si>
  <si>
    <t>[km/vehicle]</t>
  </si>
  <si>
    <t>Vehicle weight</t>
  </si>
  <si>
    <t>[kg]</t>
  </si>
  <si>
    <t>Battery capacity</t>
  </si>
  <si>
    <t>[kWh]</t>
  </si>
  <si>
    <t>Average load</t>
  </si>
  <si>
    <t>[pkm/vkm] or [tkm/vkm]</t>
  </si>
  <si>
    <t>Region-specific:electricity mix (use phase): base year</t>
  </si>
  <si>
    <t>Vehicle manufacturing</t>
  </si>
  <si>
    <t>Battery replacement during vehicle life</t>
  </si>
  <si>
    <t>[1]</t>
  </si>
  <si>
    <t xml:space="preserve">  Number of replacements</t>
  </si>
  <si>
    <t>Use</t>
  </si>
  <si>
    <t>Fuel use/km</t>
  </si>
  <si>
    <t>[Lge/100 km]</t>
  </si>
  <si>
    <t>Electricty use/km</t>
  </si>
  <si>
    <t>[kWh/km]</t>
  </si>
  <si>
    <t>Hydrogen use/km</t>
  </si>
  <si>
    <t>Share of electric driving</t>
  </si>
  <si>
    <t>[%]</t>
  </si>
  <si>
    <t>Calculated</t>
  </si>
  <si>
    <t>Number of replacements</t>
  </si>
  <si>
    <t>Analysis for electricity mix (use phase): fuel-specific of region-specific?</t>
  </si>
  <si>
    <t>Vehicle (and battery) production</t>
  </si>
  <si>
    <t>Battery technology (Li-ion)</t>
  </si>
  <si>
    <t>Hydrogen production</t>
  </si>
  <si>
    <t>Average load (including effect of commuter deadheading for ride sourcing and deadheading for buses)</t>
  </si>
  <si>
    <t>Vehicle required to provide operational services</t>
  </si>
  <si>
    <t>Travel requirement for vehicle providing operational services</t>
  </si>
  <si>
    <t>Average number of vehicles taken care of by a single service vehicle trip</t>
  </si>
  <si>
    <t>Lifetime mileage (including effect of commuter deadheading for ride sourcing and deadheading for buses)</t>
  </si>
  <si>
    <t>Crusing and overheading % of active km</t>
  </si>
  <si>
    <t>Lifetime (infrastructure)</t>
  </si>
  <si>
    <t>[type]</t>
  </si>
  <si>
    <t>[km of service vehicle trip/day/vehicle]</t>
  </si>
  <si>
    <t>[vehicles/service vehicle trip]</t>
  </si>
  <si>
    <t>Region-specific:electricity mix (use phase): evolution over time</t>
  </si>
  <si>
    <t>Region-specific: electricity mix (use phase): country</t>
  </si>
  <si>
    <t>Fuel-specific: choice of primary energy</t>
  </si>
  <si>
    <t>Dedicated renewables</t>
  </si>
  <si>
    <t>India</t>
  </si>
  <si>
    <t>None</t>
  </si>
  <si>
    <t>Vehicle production region</t>
  </si>
  <si>
    <t>Weight % by material type (excluding batteries)</t>
  </si>
  <si>
    <t xml:space="preserve">   Steel</t>
  </si>
  <si>
    <t xml:space="preserve">   Stainless Steel</t>
  </si>
  <si>
    <t xml:space="preserve">   Cast Iron</t>
  </si>
  <si>
    <t xml:space="preserve">   Wrought Aluminum</t>
  </si>
  <si>
    <t xml:space="preserve">   Cast Aluminum</t>
  </si>
  <si>
    <t xml:space="preserve">   Copper/Brass</t>
  </si>
  <si>
    <t xml:space="preserve">   Glass</t>
  </si>
  <si>
    <t xml:space="preserve">   Plastics (polycarbonate)</t>
  </si>
  <si>
    <t xml:space="preserve">   Carbon fiber</t>
  </si>
  <si>
    <t xml:space="preserve">   Rubber</t>
  </si>
  <si>
    <t xml:space="preserve">   Others</t>
  </si>
  <si>
    <t>Check</t>
  </si>
  <si>
    <t>Recycled material %</t>
  </si>
  <si>
    <t>Battery specifc energy</t>
  </si>
  <si>
    <t xml:space="preserve">   Selected chemistry</t>
  </si>
  <si>
    <t>Battery weight</t>
  </si>
  <si>
    <t>Energy intensity of material production</t>
  </si>
  <si>
    <t xml:space="preserve">   Virgin steel</t>
  </si>
  <si>
    <t xml:space="preserve">   Recycled steel</t>
  </si>
  <si>
    <t xml:space="preserve">   Virgin Wrought Aluminum</t>
  </si>
  <si>
    <t xml:space="preserve">   Recycled Wrought Aluminum</t>
  </si>
  <si>
    <t xml:space="preserve">   Virgin Cast Aluminum</t>
  </si>
  <si>
    <t xml:space="preserve">   Recycled Cast Aluminum</t>
  </si>
  <si>
    <t>Energy intensity of vehicle assembly and disposal</t>
  </si>
  <si>
    <t xml:space="preserve">   Assembly</t>
  </si>
  <si>
    <t xml:space="preserve">   Disposal</t>
  </si>
  <si>
    <t>Energy intensity of battery manufacturing</t>
  </si>
  <si>
    <t xml:space="preserve">   Manufacturing</t>
  </si>
  <si>
    <t xml:space="preserve">   Total</t>
  </si>
  <si>
    <t>Energy consumption for vehicle manufacturing, assembly and disposal</t>
  </si>
  <si>
    <t>Energy consumption for battery manufacturing, assembly and disposal</t>
  </si>
  <si>
    <t>Energy consumption for vehicle and battery manufacturing, assembly and disposal</t>
  </si>
  <si>
    <t>GHG emission intensity of material production</t>
  </si>
  <si>
    <t>GHG emission intensity of vehicle assembly and disposal</t>
  </si>
  <si>
    <t>GHG emission intensity of battery manufacturing</t>
  </si>
  <si>
    <t>GHG emission consumption for vehicle manufacturing, assembly and disposal</t>
  </si>
  <si>
    <t>GHG emission consumption for battery manufacturing, assembly and disposal</t>
  </si>
  <si>
    <t>GHG emission consumption for vehicle and battery manufacturing, assembly and disposal</t>
  </si>
  <si>
    <t>Fluids</t>
  </si>
  <si>
    <t>Fluids technology</t>
  </si>
  <si>
    <t>Energy intensity of fluids</t>
  </si>
  <si>
    <t>Energy consumption for fluids</t>
  </si>
  <si>
    <t>GHG emission intensity of fluids</t>
  </si>
  <si>
    <t>GHG emissions of fluids</t>
  </si>
  <si>
    <t>Energy consumption for vehicle and battery manufacturing, assembly and disposal - Including fluids</t>
  </si>
  <si>
    <t>GHG emission consumption for vehicle and battery manufacturing, assembly and disposal - including fluids</t>
  </si>
  <si>
    <t>[kWh/kg]</t>
  </si>
  <si>
    <t>[MJ/kg]</t>
  </si>
  <si>
    <t>[MJ/kWh of battery capacity]</t>
  </si>
  <si>
    <t>[MJ/vehicle]</t>
  </si>
  <si>
    <t>[g CO2 eq/kg]</t>
  </si>
  <si>
    <t>[g CO2 eq/kWh of battery capacity]</t>
  </si>
  <si>
    <t>[g CO2 eq/vehicle]</t>
  </si>
  <si>
    <t>[MJ/kg of vehicle/km]</t>
  </si>
  <si>
    <t>[g CO2 eq/kg of vehicle/km]</t>
  </si>
  <si>
    <t>Selected region</t>
  </si>
  <si>
    <t>Scenarios</t>
  </si>
  <si>
    <t>Key</t>
  </si>
  <si>
    <t>User Input</t>
  </si>
  <si>
    <t>Warnings</t>
  </si>
  <si>
    <t>Scenario 1</t>
  </si>
  <si>
    <t>Residual oil</t>
  </si>
  <si>
    <t>Natural gas</t>
  </si>
  <si>
    <t>Coal</t>
  </si>
  <si>
    <t>Nuclear</t>
  </si>
  <si>
    <t>Biomass</t>
  </si>
  <si>
    <t>Other renewables (hydro, solar, wind)</t>
  </si>
  <si>
    <t>Scenario 2</t>
  </si>
  <si>
    <t>Constant</t>
  </si>
  <si>
    <t>Scenario 3</t>
  </si>
  <si>
    <t>Scenario 4</t>
  </si>
  <si>
    <t>Scenario 5</t>
  </si>
  <si>
    <t>MJ/MJ</t>
  </si>
  <si>
    <t>gCO2/MJ</t>
  </si>
  <si>
    <t>Gasoline (Oil)</t>
  </si>
  <si>
    <t>Diesel (Oil)</t>
  </si>
  <si>
    <t>Total</t>
  </si>
  <si>
    <t>Feedstock</t>
  </si>
  <si>
    <t>Plant (combustion, fugitive and construction)</t>
  </si>
  <si>
    <t>gCO2eq/MJ</t>
  </si>
  <si>
    <t>gCO2eq/kWh</t>
  </si>
  <si>
    <t>%</t>
  </si>
  <si>
    <t>Energy consumption (Btu/mile)</t>
  </si>
  <si>
    <t>Energy consumption (MJ/mile)</t>
  </si>
  <si>
    <t>Energy consumption (MJ/km)</t>
  </si>
  <si>
    <t>IPCC</t>
  </si>
  <si>
    <t>Fuel properties</t>
  </si>
  <si>
    <t>gCO2/TJ</t>
  </si>
  <si>
    <t>Sub-bituminous coal</t>
  </si>
  <si>
    <t>Plant effciency</t>
  </si>
  <si>
    <t>Trasnsmission losses</t>
  </si>
  <si>
    <t>World</t>
  </si>
  <si>
    <t>IEA global value, including losses</t>
  </si>
  <si>
    <t>Assumed benchmarking resulting carbon intensity against IEA</t>
  </si>
  <si>
    <t>gCO2/kWh - IEA global average</t>
  </si>
  <si>
    <t>Emission factors and energy ratios</t>
  </si>
  <si>
    <t>Effciency, distribution losses and fuel properties</t>
  </si>
  <si>
    <t>GREET1</t>
  </si>
  <si>
    <t>Ratio</t>
  </si>
  <si>
    <t>GREET1 (Nuclear 33%)</t>
  </si>
  <si>
    <t>Hydrogen</t>
  </si>
  <si>
    <t>Energy (GREET1)</t>
  </si>
  <si>
    <t>GHG emissions</t>
  </si>
  <si>
    <t>Fuel</t>
  </si>
  <si>
    <t>List for selection</t>
  </si>
  <si>
    <t>(Btu per mmBtu of H2 Throughput)</t>
  </si>
  <si>
    <t>Ratio (Fuel+Feedstock)/Fuel for hydrogen</t>
  </si>
  <si>
    <t>Ratio (Fuel+Feedstock)/Fuel for electricity</t>
  </si>
  <si>
    <t>(grams per mmBtu of H2 Throughput)</t>
  </si>
  <si>
    <t>gCO2/kWh</t>
  </si>
  <si>
    <t>Ratio gCO2/MJ Hydrogen / gCO2/MJ electricity</t>
  </si>
  <si>
    <t>Electrolysis</t>
  </si>
  <si>
    <t>Oil</t>
  </si>
  <si>
    <t>Renewables</t>
  </si>
  <si>
    <t>Electroysis (Global power mix)</t>
  </si>
  <si>
    <t>Emissions intensity of renewable electricity generation</t>
  </si>
  <si>
    <t>(kgCO2/kWh)</t>
  </si>
  <si>
    <t>(kgCO2/MJ)</t>
  </si>
  <si>
    <t>Mean</t>
  </si>
  <si>
    <t>Median</t>
  </si>
  <si>
    <t>Wind</t>
  </si>
  <si>
    <t>Solar</t>
  </si>
  <si>
    <t>Average</t>
  </si>
  <si>
    <t>Emissions intensity of renewable hydrogen from electrolysis (kgCO2/kgH2)</t>
  </si>
  <si>
    <t>Source:</t>
  </si>
  <si>
    <t>Nugent &amp; Sovacool 2014</t>
  </si>
  <si>
    <t>Parkinson et al. 2019 based on Nugent &amp; Sovacool 2014</t>
  </si>
  <si>
    <t>Fuel cell car</t>
  </si>
  <si>
    <t>Gasoline car</t>
  </si>
  <si>
    <t>Electric car</t>
  </si>
  <si>
    <t>MJ/mile</t>
  </si>
  <si>
    <t>MJ/km</t>
  </si>
  <si>
    <t>kWh/km</t>
  </si>
  <si>
    <t>Lge/100 km</t>
  </si>
  <si>
    <t>JRC</t>
  </si>
  <si>
    <t>WTW</t>
  </si>
  <si>
    <t>TTW</t>
  </si>
  <si>
    <t>WTT</t>
  </si>
  <si>
    <t>Gasoline (GTL Fischer-Tropsch)</t>
  </si>
  <si>
    <t>Diesel (GTL Fischer-Tropsch)</t>
  </si>
  <si>
    <t>Diesel (CTL Fischer-Tropsch)</t>
  </si>
  <si>
    <t>Ethanol - Grain</t>
  </si>
  <si>
    <t>Ethanol - Sugar beet conventional process EU</t>
  </si>
  <si>
    <t>Ethanol - Sugar cane</t>
  </si>
  <si>
    <t>Ethanol - Enzymatic conversion of cellulose</t>
  </si>
  <si>
    <t>Natural Gas (fossil, EU mix)</t>
  </si>
  <si>
    <t>LPG</t>
  </si>
  <si>
    <t>Hydrogen (NG central plant)</t>
  </si>
  <si>
    <t>Hydrogen (electrolysis, renewable electricity)</t>
  </si>
  <si>
    <t>Hydrigen (gasification of wood)</t>
  </si>
  <si>
    <t>Biodiesel (rapeseed)</t>
  </si>
  <si>
    <t>Biodiesel (wood)</t>
  </si>
  <si>
    <t>WTT emission factors calculated with JRC estimates</t>
  </si>
  <si>
    <t>kg CO2/Lge</t>
  </si>
  <si>
    <t>NG</t>
  </si>
  <si>
    <t>NG (CCS)</t>
  </si>
  <si>
    <t>coal</t>
  </si>
  <si>
    <t>coal (CCS)</t>
  </si>
  <si>
    <t>sugar beet</t>
  </si>
  <si>
    <t>sugar cane</t>
  </si>
  <si>
    <t>wheat</t>
  </si>
  <si>
    <t>rapeseed/sunflower</t>
  </si>
  <si>
    <t>palm</t>
  </si>
  <si>
    <t>soybean</t>
  </si>
  <si>
    <t>woody biomass</t>
  </si>
  <si>
    <t>Brazil (ktoe)</t>
  </si>
  <si>
    <t>MJ/Lge</t>
  </si>
  <si>
    <t>Electrolyzer efficiency:</t>
  </si>
  <si>
    <t>Source: JRC, same as below</t>
  </si>
  <si>
    <t>GASOLINE</t>
  </si>
  <si>
    <t>Road</t>
  </si>
  <si>
    <t>Bio-gasoline</t>
  </si>
  <si>
    <t>g CO2/kWh</t>
  </si>
  <si>
    <t>METHANE</t>
  </si>
  <si>
    <t>Gasoline</t>
  </si>
  <si>
    <t>EU average</t>
  </si>
  <si>
    <t>Bio-diesel</t>
  </si>
  <si>
    <t>Source: IEA</t>
  </si>
  <si>
    <t>DIESEL</t>
  </si>
  <si>
    <t>Diesel</t>
  </si>
  <si>
    <t>DME</t>
  </si>
  <si>
    <t>HYDROGEN</t>
  </si>
  <si>
    <t>KEROSENE</t>
  </si>
  <si>
    <t>Steel</t>
  </si>
  <si>
    <t>kg</t>
  </si>
  <si>
    <t>Lead</t>
  </si>
  <si>
    <t>Nickel</t>
  </si>
  <si>
    <t>Copper</t>
  </si>
  <si>
    <t>Rubber</t>
  </si>
  <si>
    <t>Aluminium</t>
  </si>
  <si>
    <t>Zinc</t>
  </si>
  <si>
    <t>Glass</t>
  </si>
  <si>
    <t>Other</t>
  </si>
  <si>
    <t>Fuel consumption</t>
  </si>
  <si>
    <t>Capacity</t>
  </si>
  <si>
    <t>kWh</t>
  </si>
  <si>
    <t>Electric motor</t>
  </si>
  <si>
    <t>GREET2</t>
  </si>
  <si>
    <t>Cast aluminium</t>
  </si>
  <si>
    <t>km/trip</t>
  </si>
  <si>
    <t>Min</t>
  </si>
  <si>
    <t>Max</t>
  </si>
  <si>
    <t>km/h</t>
  </si>
  <si>
    <t>FCEV</t>
  </si>
  <si>
    <t>ICE</t>
  </si>
  <si>
    <t>Chester, 2008</t>
  </si>
  <si>
    <t>Years</t>
  </si>
  <si>
    <t>Energy use/km</t>
  </si>
  <si>
    <t>Range</t>
  </si>
  <si>
    <t>km</t>
  </si>
  <si>
    <t>IEA</t>
  </si>
  <si>
    <t>Brazil</t>
  </si>
  <si>
    <t>China</t>
  </si>
  <si>
    <t>EU 28</t>
  </si>
  <si>
    <t>France</t>
  </si>
  <si>
    <t>Germany</t>
  </si>
  <si>
    <t>Italy</t>
  </si>
  <si>
    <t>Japan</t>
  </si>
  <si>
    <t>Korea</t>
  </si>
  <si>
    <t>Mexico</t>
  </si>
  <si>
    <t>Unitd Kingdom</t>
  </si>
  <si>
    <t>United States</t>
  </si>
  <si>
    <t>Nuclear power</t>
  </si>
  <si>
    <t>Electricity generation (GWh)</t>
  </si>
  <si>
    <t>Year 2016</t>
  </si>
  <si>
    <t>Gas</t>
  </si>
  <si>
    <t>Biofuels</t>
  </si>
  <si>
    <t>Waste</t>
  </si>
  <si>
    <t>Hydro</t>
  </si>
  <si>
    <t>Geothermal</t>
  </si>
  <si>
    <t>Solar PV</t>
  </si>
  <si>
    <t>Solar thermal/Tide</t>
  </si>
  <si>
    <t>Fuel-specific</t>
  </si>
  <si>
    <t>Region-specific</t>
  </si>
  <si>
    <t>Vehicle type</t>
  </si>
  <si>
    <t>Source</t>
  </si>
  <si>
    <t>Stainless Steel</t>
  </si>
  <si>
    <t>Cast Iron</t>
  </si>
  <si>
    <t>Wrought Aluminum</t>
  </si>
  <si>
    <t>Cast Aluminum</t>
  </si>
  <si>
    <t>Copper/Brass</t>
  </si>
  <si>
    <t>Others</t>
  </si>
  <si>
    <t>HEV</t>
  </si>
  <si>
    <t>PHEV</t>
  </si>
  <si>
    <t>BEV</t>
  </si>
  <si>
    <t>SUV</t>
  </si>
  <si>
    <t>CNG</t>
  </si>
  <si>
    <t>Available options</t>
  </si>
  <si>
    <t>LMO</t>
  </si>
  <si>
    <t>NMC111</t>
  </si>
  <si>
    <t>LFP: hydrothermal</t>
  </si>
  <si>
    <t>LFP: solid state</t>
  </si>
  <si>
    <t>NMC622</t>
  </si>
  <si>
    <t>NMC811</t>
  </si>
  <si>
    <t>LMR-NMC:Gr</t>
  </si>
  <si>
    <t>LMR-NMC:Gr-SI</t>
  </si>
  <si>
    <t>NCA</t>
  </si>
  <si>
    <t>Battery specifc energy [kWh/kg]</t>
  </si>
  <si>
    <t>Energy intensity of material production (default values from GREET2 account for changes in the power generation mix only) [MJ/kg]</t>
  </si>
  <si>
    <t>Region</t>
  </si>
  <si>
    <t>Default</t>
  </si>
  <si>
    <t>Assumption &gt;&gt;</t>
  </si>
  <si>
    <t>Energy intensity of vehicle assembly and disposal (default values from GREET2 account for changes in the power generation mix only)</t>
  </si>
  <si>
    <t>Car manufacturing</t>
  </si>
  <si>
    <t>Energy intensity of battery manufacturing (default values from GREET2 account for changes in the power generation mix only)</t>
  </si>
  <si>
    <t>[MWh/kg]</t>
  </si>
  <si>
    <t>Energy intensity of battery disposal</t>
  </si>
  <si>
    <t>&lt;&lt; Assumption of energy and GHG intensity per kWh may be inappropriate: this is based on cars, per unit weight, and transposed to batteries per kWh using specific energy in formulas to the left</t>
  </si>
  <si>
    <t>Chemistry</t>
  </si>
  <si>
    <t>Energy use: mmBtu per vehicle lifetime</t>
  </si>
  <si>
    <t>GHG emission intensity of material production (default values from GREET2 account for changes in the power generation mix only)</t>
  </si>
  <si>
    <t>Final Average Stamped Steel Product: Combined</t>
  </si>
  <si>
    <t>Final Steel Product: Combined</t>
  </si>
  <si>
    <t>Final Iron Product: Combined</t>
  </si>
  <si>
    <t>Final Average Wrought Aluminum Product: Combined</t>
  </si>
  <si>
    <t>Final Shape Cast Aluminum Product: Combined</t>
  </si>
  <si>
    <t>Final Copper Product: Combined</t>
  </si>
  <si>
    <t>Final Automotive Glass Product</t>
  </si>
  <si>
    <t>Polycarbonate (PC) Resin</t>
  </si>
  <si>
    <t>Carbon Fiber</t>
  </si>
  <si>
    <t>Final Average Rubber Product: Combined</t>
  </si>
  <si>
    <t>GHG emission intensity of vehicle assembly and disposal (default values from GREET2 account for changes in the power generation mix only)</t>
  </si>
  <si>
    <t>GHG emission intensity of battery manufacturing (default values from GREET2 account for changes in the power generation mix only)</t>
  </si>
  <si>
    <t>GHG emission intensity of battery disposal</t>
  </si>
  <si>
    <t>Total Emissions: grams per vehicle lifetime</t>
  </si>
  <si>
    <t>Medium car</t>
  </si>
  <si>
    <t>Vehicle</t>
  </si>
  <si>
    <t>Lifetime travel</t>
  </si>
  <si>
    <t>[km]</t>
  </si>
  <si>
    <t>[MJ/kg of vehicle]</t>
  </si>
  <si>
    <t>[g CO2 eq/kg of vehicle]</t>
  </si>
  <si>
    <t xml:space="preserve"> </t>
  </si>
  <si>
    <t>Delivery distance (by mode)</t>
  </si>
  <si>
    <t>Hollingsworth et al., 2019</t>
  </si>
  <si>
    <t>Cherry et al., 2009 + assumptions</t>
  </si>
  <si>
    <t>Ship</t>
  </si>
  <si>
    <t>Truck</t>
  </si>
  <si>
    <t>lm</t>
  </si>
  <si>
    <t>Assumptions informed by IEA Mobility Model</t>
  </si>
  <si>
    <t>Assumptions informed by UIC data</t>
  </si>
  <si>
    <t>Canada</t>
  </si>
  <si>
    <t>Europe</t>
  </si>
  <si>
    <t>Note:</t>
  </si>
  <si>
    <t xml:space="preserve">   Air</t>
  </si>
  <si>
    <t>Combustion</t>
  </si>
  <si>
    <t>Use-phase values because use of these vehicles for delivery is not the determinant for their purchase, nor for the construction of transport network infrastructure.</t>
  </si>
  <si>
    <t xml:space="preserve">   Ship</t>
  </si>
  <si>
    <t xml:space="preserve">   Heavy truck</t>
  </si>
  <si>
    <t>Electric</t>
  </si>
  <si>
    <t xml:space="preserve">   Medium truck</t>
  </si>
  <si>
    <t xml:space="preserve">   Delivery van</t>
  </si>
  <si>
    <t>IEA TCEP</t>
  </si>
  <si>
    <t>MJ/tkm</t>
  </si>
  <si>
    <t>CO2 intensity of fuels</t>
  </si>
  <si>
    <t>[g CO2 eq/MJ]</t>
  </si>
  <si>
    <t>Kerosene properties</t>
  </si>
  <si>
    <t>Diesel properties</t>
  </si>
  <si>
    <t>HFO properties</t>
  </si>
  <si>
    <t>Global average</t>
  </si>
  <si>
    <t>WTW values because use of these vehicles for delivery is not the determinant for their production, but it does require fuel manufacturing (WTT) and use (TTW)</t>
  </si>
  <si>
    <t>Car - ICE</t>
  </si>
  <si>
    <t>Car - HEV</t>
  </si>
  <si>
    <t>Car - PHEV</t>
  </si>
  <si>
    <t>Car - BEV</t>
  </si>
  <si>
    <t>Large car - ICE</t>
  </si>
  <si>
    <t>Large car - HEV</t>
  </si>
  <si>
    <t>Large car - PHEV</t>
  </si>
  <si>
    <t>Large car - BEV</t>
  </si>
  <si>
    <t>Van - ICE</t>
  </si>
  <si>
    <t>Van - HEV</t>
  </si>
  <si>
    <t>Van - PHEV</t>
  </si>
  <si>
    <t>Van - BEV</t>
  </si>
  <si>
    <t>Van - BEV (low carbon)</t>
  </si>
  <si>
    <t>[MJ/km of service vehicle use]</t>
  </si>
  <si>
    <t>Electricity consumption</t>
  </si>
  <si>
    <t>Fuel used</t>
  </si>
  <si>
    <t>Electricity</t>
  </si>
  <si>
    <t>Electricty used</t>
  </si>
  <si>
    <t>YES</t>
  </si>
  <si>
    <t>Energy intensity of fuel production</t>
  </si>
  <si>
    <t>Energy intensity of electricity production</t>
  </si>
  <si>
    <t>Energy required by the service vehicle</t>
  </si>
  <si>
    <t>Well-to-tank</t>
  </si>
  <si>
    <t>Energy intensity of electricity production (low-carbon)</t>
  </si>
  <si>
    <t>GHG emission intensity of fuel</t>
  </si>
  <si>
    <t>GHG emission intensity of electricity</t>
  </si>
  <si>
    <t>GHG emission intensity of low-carbon electricity production</t>
  </si>
  <si>
    <t>GHG emissions of the service vehicle</t>
  </si>
  <si>
    <t>[g CO2/km of service vehicle use]</t>
  </si>
  <si>
    <t>E-scooter</t>
  </si>
  <si>
    <t>New model</t>
  </si>
  <si>
    <t>lb</t>
  </si>
  <si>
    <t>Body, tyres and other</t>
  </si>
  <si>
    <t>kg/lb</t>
  </si>
  <si>
    <t>Body</t>
  </si>
  <si>
    <t>km/mile</t>
  </si>
  <si>
    <t>litres/gallon</t>
  </si>
  <si>
    <t>MJ/Litre (gasoline)</t>
  </si>
  <si>
    <t>Lithium battery (NMC 111)</t>
  </si>
  <si>
    <t>MJ/kWh</t>
  </si>
  <si>
    <t>&lt;&lt; Accounts for 25% more due to swappable batteries</t>
  </si>
  <si>
    <t>Tyres</t>
  </si>
  <si>
    <t>Total excluding battery</t>
  </si>
  <si>
    <t>miles</t>
  </si>
  <si>
    <t>Year</t>
  </si>
  <si>
    <t>Lifetime</t>
  </si>
  <si>
    <t>Assumption</t>
  </si>
  <si>
    <t>Travel (before correction fro availability and utilisation)</t>
  </si>
  <si>
    <t>Chester quoting Bird</t>
  </si>
  <si>
    <t>miles/day/e-scooter</t>
  </si>
  <si>
    <t>km/day/e-scooter</t>
  </si>
  <si>
    <t>trips/day/e-scooter</t>
  </si>
  <si>
    <t>miles/trip</t>
  </si>
  <si>
    <t>Skip, 2020</t>
  </si>
  <si>
    <t>Paper on Life Cycle Assessment on the mobility service escooter sharing shared by an operator</t>
  </si>
  <si>
    <t>https://ieeexplore.ieee.org/abstract/document/9111817</t>
  </si>
  <si>
    <t>Inferred from communication with Operator</t>
  </si>
  <si>
    <t>EU Capital &gt;&gt;</t>
  </si>
  <si>
    <t>6-t, 2019c</t>
  </si>
  <si>
    <t>&lt;&lt; On average, 4.7 km. 59% of trips between 1 and 4 kms and 10% above 10 km</t>
  </si>
  <si>
    <t>https://www.sae.org/binaries/content/assets/cm/content/topics/micromobility/sae-micromobility-trend-or-fad-report.pdf</t>
  </si>
  <si>
    <t>km/day/e-sccoter</t>
  </si>
  <si>
    <t>&lt;&lt; Citing NACTO: average trip distances of e-scooters being significantly lower than dockless e-bikes at 1.2 miles</t>
  </si>
  <si>
    <t>&lt;&lt; Quarz study cited in SAE</t>
  </si>
  <si>
    <t>EU mid size city &gt;&gt;</t>
  </si>
  <si>
    <t>km/day/e-sccoter in use</t>
  </si>
  <si>
    <t>Travel (after correction fro availability and utilisation)</t>
  </si>
  <si>
    <t>Personal communication with Operator</t>
  </si>
  <si>
    <t>https://www.mi.com/global/mi-electric-scooter-pro/specs/</t>
  </si>
  <si>
    <t>kg (approx)</t>
  </si>
  <si>
    <t>kWh/kg (GREET default, car)</t>
  </si>
  <si>
    <t>https://www.mi.com/global/mi-electric-scooter/specs/</t>
  </si>
  <si>
    <t>kWh/100 km</t>
  </si>
  <si>
    <t>Matt Chester</t>
  </si>
  <si>
    <t>e-scooters/car</t>
  </si>
  <si>
    <t>&lt;&lt; 20: Bird's cap; 5 min due to competition</t>
  </si>
  <si>
    <t>miles/day/car (round trip)</t>
  </si>
  <si>
    <t>&lt;&lt; Assumptions (no data)</t>
  </si>
  <si>
    <t>https://techcrunch.com/2020/01/17/how-scooter-charging-startups-want-to-make-the-industry-more-profitable/</t>
  </si>
  <si>
    <t>e-scooters/night</t>
  </si>
  <si>
    <t>standard</t>
  </si>
  <si>
    <t>possible higher valuye allowed by Charge</t>
  </si>
  <si>
    <t>https://www.perchmobility.com/</t>
  </si>
  <si>
    <t>e-scooters/charging trip</t>
  </si>
  <si>
    <t>smaller value (likely per trip)</t>
  </si>
  <si>
    <t>larger value (lkely per trip)</t>
  </si>
  <si>
    <t>https://www.npr.org/2019/03/13/701130673/who-charges-all-those-electric-scooters-follow-a-nocturnal-juicer?t=1583502215112</t>
  </si>
  <si>
    <t>mentioned as upper bound load for a car</t>
  </si>
  <si>
    <t>mile car travel/day/e-scooter</t>
  </si>
  <si>
    <t>km car travel/day/e-scooter</t>
  </si>
  <si>
    <t>Shared e-scooter life</t>
  </si>
  <si>
    <t>Company</t>
  </si>
  <si>
    <t>Model</t>
  </si>
  <si>
    <t>Number</t>
  </si>
  <si>
    <t>Usage</t>
  </si>
  <si>
    <t>Parts replaced</t>
  </si>
  <si>
    <t>Average % of vehicles requiring maintenance (excluding cases with multiple parts to be replaced)</t>
  </si>
  <si>
    <t>[vehicles]</t>
  </si>
  <si>
    <t>[trips/day/vehicle]</t>
  </si>
  <si>
    <t>[trips/day]</t>
  </si>
  <si>
    <t>[items/day]</t>
  </si>
  <si>
    <t>[items/day/vehicle]</t>
  </si>
  <si>
    <t>[items/trip]</t>
  </si>
  <si>
    <t>Skip</t>
  </si>
  <si>
    <t>Ninebot ES4</t>
  </si>
  <si>
    <t>https://www.theverge.com/2020/1/21/21072785/skip-electric-scooter-life-cycle-maintenance-costs</t>
  </si>
  <si>
    <t>S3</t>
  </si>
  <si>
    <t>S3 improved</t>
  </si>
  <si>
    <t>Bird</t>
  </si>
  <si>
    <t>ES</t>
  </si>
  <si>
    <t>https://www.smartcitiesdive.com/news/reduce-reuse-rescoot-a-look-at-e-scooters-long-term-sustainability/558691/</t>
  </si>
  <si>
    <t>http://www.carbone4.com/wp-content/uploads/2019/09/Carbone-4-for-Bird-E-Scooter-and-Cities-decarbonization.pdf</t>
  </si>
  <si>
    <t>Bird Zero</t>
  </si>
  <si>
    <t>Extrapolating from http://www.carbone4.com/wp-content/uploads/2019/09/Carbone-4-for-Bird-E-Scooter-and-Cities-decarbonization.pdf</t>
  </si>
  <si>
    <t>2018/early 2019</t>
  </si>
  <si>
    <t>https://www.bcg.com/publications/2019/promise-pitfalls-e-scooter-sharing.aspx</t>
  </si>
  <si>
    <t>Batteries</t>
  </si>
  <si>
    <t>cycles (full charges before reaching 70% capacity)</t>
  </si>
  <si>
    <t>Daily distance</t>
  </si>
  <si>
    <t>km/day (mid-size EU city) (for the scooters actually used) - NIT IN USE</t>
  </si>
  <si>
    <t>Daily distance (total average, accounting for maintenace and availability)</t>
  </si>
  <si>
    <t>km/day (EU capital)</t>
  </si>
  <si>
    <t>Daily distance (fleet available)</t>
  </si>
  <si>
    <t>km/day (EU capital) (for the scooters actually used)</t>
  </si>
  <si>
    <t>Availability rate</t>
  </si>
  <si>
    <t>Fleet availability (presumably because the remaining % needs maintenance) - 92% according to operator</t>
  </si>
  <si>
    <t>Utilisation rate</t>
  </si>
  <si>
    <t>% of available fleet used at least once in a day (the rest of the time it is transported or charging) (80% accoridng to operator)</t>
  </si>
  <si>
    <t>Frequency of service</t>
  </si>
  <si>
    <t>days between charges (close to 3 according to operator)</t>
  </si>
  <si>
    <t>&lt;&lt; Implied residual battery charge after 3 days (considers 70% of all battery capacity available)</t>
  </si>
  <si>
    <t>% of time off due to charging</t>
  </si>
  <si>
    <t>% of time off due to charging (also accounting for fleet availability)</t>
  </si>
  <si>
    <t>batteries/scooter (calculated)</t>
  </si>
  <si>
    <t>batteries/scooter</t>
  </si>
  <si>
    <t>batteries/sccoter</t>
  </si>
  <si>
    <t>&lt;&lt; Operators: numbers given were 1.25 and 1.3; 1.5 according to paper on Life Cycle Assessment on the mobility service escooter sharing</t>
  </si>
  <si>
    <t>Pack capacity</t>
  </si>
  <si>
    <t>Wh</t>
  </si>
  <si>
    <t>Cell capacity</t>
  </si>
  <si>
    <t>mAh</t>
  </si>
  <si>
    <t>Operational life span</t>
  </si>
  <si>
    <t>months</t>
  </si>
  <si>
    <t xml:space="preserve">&lt;&lt; Operator value: includes changes, replairs, replacement of some components (accounts for vandalism and theft) - Aonther operator questions lifetime of swappable batteries, though </t>
  </si>
  <si>
    <t>lifetime km</t>
  </si>
  <si>
    <t>Total weight</t>
  </si>
  <si>
    <t>Distance driven per van</t>
  </si>
  <si>
    <t>km/van/day</t>
  </si>
  <si>
    <t>in EU capital</t>
  </si>
  <si>
    <t>round trips</t>
  </si>
  <si>
    <t>km/cargo bike/day</t>
  </si>
  <si>
    <t>Vehicle capacity</t>
  </si>
  <si>
    <t>Electric van capacity (e.g. Master ZE)</t>
  </si>
  <si>
    <t>scooters</t>
  </si>
  <si>
    <t>in EU capital (electric van)</t>
  </si>
  <si>
    <t>batteries</t>
  </si>
  <si>
    <t>Cargo bike</t>
  </si>
  <si>
    <t>Trailer bike</t>
  </si>
  <si>
    <t>for rebalancing</t>
  </si>
  <si>
    <t>e.g. Nissan EV 200</t>
  </si>
  <si>
    <t>e-scooters</t>
  </si>
  <si>
    <t>cargo bikes</t>
  </si>
  <si>
    <t>trailer bikes</t>
  </si>
  <si>
    <t>Daily servicing km (total)</t>
  </si>
  <si>
    <t>Daily servicing km (per service vehicle)</t>
  </si>
  <si>
    <t>km of service vehicle/day</t>
  </si>
  <si>
    <t>&lt;&lt; 50 according to another operator (paper on Life Cycle Assessment on the mobility service escooter sharing) for vans, 30 for cargo bikes - sounds overestimated, and probably related with capacity</t>
  </si>
  <si>
    <t>Daily servicing km (per service vehicle trip)</t>
  </si>
  <si>
    <t>km of service vehicle/trip/day</t>
  </si>
  <si>
    <t>Daily servicing km (per service vehicle trip, per e-scooter)</t>
  </si>
  <si>
    <t>km of service vehicle trip/day/e-scooter</t>
  </si>
  <si>
    <t>Capacity of vans is &gt;&gt;</t>
  </si>
  <si>
    <t>&lt;&lt; 100 (200 per day, assumiun 2 trips a day gives 100) for vand, and 50 (100/2) for cargo bikes, according to another operator (paper on Life Cycle Assessment on the mobility service escooter sharing) - sounds overestimated, and probably related with capacity</t>
  </si>
  <si>
    <t>service km per e-scooter</t>
  </si>
  <si>
    <t>&lt;&lt; 0.8 is average for large US cities according to operator</t>
  </si>
  <si>
    <t>&lt;&lt; 1 for no battery swapping and 0.25 for batter swapping according to paper on Life Cycle Assessment on the mobility service escooter sharing that was sent by an operator</t>
  </si>
  <si>
    <t>Daily active km (e-scooter)</t>
  </si>
  <si>
    <t>&lt;&lt; needs to be consistent with cell below</t>
  </si>
  <si>
    <t>km/km tot</t>
  </si>
  <si>
    <t>0-0.25</t>
  </si>
  <si>
    <t>0.25-0.5</t>
  </si>
  <si>
    <t>0.5-0.75</t>
  </si>
  <si>
    <t>0.75-1</t>
  </si>
  <si>
    <t>Max load %</t>
  </si>
  <si>
    <t>Capacity factor</t>
  </si>
  <si>
    <t>&lt;&lt; assumed based on profile shown here&gt;&gt;</t>
  </si>
  <si>
    <t>Load %</t>
  </si>
  <si>
    <t>EU capital is best case, other cities have diesel vans.</t>
  </si>
  <si>
    <t>EU capital is also all "in house", not so elsewhere.</t>
  </si>
  <si>
    <t>&lt;&lt; In house means dedicate dpurchase of the vans? If yes, shal the van manufacturing be accounted for the LCA?</t>
  </si>
  <si>
    <t>Share of batteries colelcted by cargo bikes</t>
  </si>
  <si>
    <t>There are prioritising software helping drivers pick up scooters, and they also come with route optimisation</t>
  </si>
  <si>
    <t>End results</t>
  </si>
  <si>
    <t>gCO2/km</t>
  </si>
  <si>
    <t>in Hamburg</t>
  </si>
  <si>
    <t>gCO2/pkm</t>
  </si>
  <si>
    <t>earlier in EU capital</t>
  </si>
  <si>
    <t>Recycled material: 5 to 20%</t>
  </si>
  <si>
    <t>Manufacturer</t>
  </si>
  <si>
    <t>Segway</t>
  </si>
  <si>
    <t>Ninebot max</t>
  </si>
  <si>
    <t>of motor cover</t>
  </si>
  <si>
    <t>of total Aluminium used</t>
  </si>
  <si>
    <t>Rebalancing has shorter distances</t>
  </si>
  <si>
    <t>Aluminum</t>
  </si>
  <si>
    <t>Motor</t>
  </si>
  <si>
    <t>Polyurethane</t>
  </si>
  <si>
    <t>Cells</t>
  </si>
  <si>
    <t>Rest of the pack</t>
  </si>
  <si>
    <t>Battery</t>
  </si>
  <si>
    <t>NMC</t>
  </si>
  <si>
    <t>LG</t>
  </si>
  <si>
    <t>Private</t>
  </si>
  <si>
    <t>London</t>
  </si>
  <si>
    <t>Rail: per single wagon/railcar</t>
  </si>
  <si>
    <t>Type of vehicle</t>
  </si>
  <si>
    <t>Empty weight</t>
  </si>
  <si>
    <t>kWh/km/wagon</t>
  </si>
  <si>
    <t>Passengers</t>
  </si>
  <si>
    <t>EPD (INNOVIA APM 300)</t>
  </si>
  <si>
    <t>EPD (Regina Intercity X55 train)</t>
  </si>
  <si>
    <t>Intercity train</t>
  </si>
  <si>
    <t>EPD (Metro Rome Line C)</t>
  </si>
  <si>
    <t>Metro/Urbanm train</t>
  </si>
  <si>
    <t>EPD (Bombardier Azur)</t>
  </si>
  <si>
    <t>Urban/suburban train</t>
  </si>
  <si>
    <t>EPD (SPACIUM)</t>
  </si>
  <si>
    <t>EPD (Alstom DT5)</t>
  </si>
  <si>
    <t>Metro Oslo</t>
  </si>
  <si>
    <t>Hitachi Caravaggio Train</t>
  </si>
  <si>
    <t>CAF Metro Helsinki</t>
  </si>
  <si>
    <t>BART</t>
  </si>
  <si>
    <t>Notes:</t>
  </si>
  <si>
    <t>EPD</t>
  </si>
  <si>
    <t>Environmental Product Declaration</t>
  </si>
  <si>
    <t>See</t>
  </si>
  <si>
    <t>https://www.environdec.com</t>
  </si>
  <si>
    <t>Energy consumption per km</t>
  </si>
  <si>
    <t>MJ/km/wagon</t>
  </si>
  <si>
    <t>wagons/train</t>
  </si>
  <si>
    <t>MJ/train/km</t>
  </si>
  <si>
    <t>kWh/train/km</t>
  </si>
  <si>
    <t>Materials</t>
  </si>
  <si>
    <t>Manufacturing</t>
  </si>
  <si>
    <t>Maintenance</t>
  </si>
  <si>
    <t>Total, %</t>
  </si>
  <si>
    <t>Total, % (no fluids)</t>
  </si>
  <si>
    <t>Metals</t>
  </si>
  <si>
    <t>Polymers</t>
  </si>
  <si>
    <t>Elastomers</t>
  </si>
  <si>
    <t>Modified organic natural materials</t>
  </si>
  <si>
    <t>Carbody</t>
  </si>
  <si>
    <t>Interior, windows and doord</t>
  </si>
  <si>
    <t>Bogies and running gears</t>
  </si>
  <si>
    <t>Propulsion and electric equipment</t>
  </si>
  <si>
    <t>Comfort systems</t>
  </si>
  <si>
    <t>Iron alloys</t>
  </si>
  <si>
    <t>Non ferrous metals</t>
  </si>
  <si>
    <t>Aluminium share in train materials</t>
  </si>
  <si>
    <t>Inorganic materials</t>
  </si>
  <si>
    <t>Plastics</t>
  </si>
  <si>
    <t>Other materials</t>
  </si>
  <si>
    <t>Organic substances</t>
  </si>
  <si>
    <t>Electronics</t>
  </si>
  <si>
    <t>Vehicle types</t>
  </si>
  <si>
    <t>Small</t>
  </si>
  <si>
    <t>Medium</t>
  </si>
  <si>
    <t>Large</t>
  </si>
  <si>
    <t>Power - all powertrains (kW)</t>
  </si>
  <si>
    <t>Weight - all powertrains (without battery) (kg)</t>
  </si>
  <si>
    <t>BEV Range (km)</t>
  </si>
  <si>
    <t>BEV Battery capacity - final assumption (kWh)</t>
  </si>
  <si>
    <t>BEV Battery capacity (kWh)</t>
  </si>
  <si>
    <t>BEV Fuel economy (lge/100km)</t>
  </si>
  <si>
    <t>BEV Fuel economy (kWh/100km)</t>
  </si>
  <si>
    <t>PHEV Range (km)</t>
  </si>
  <si>
    <t>PHEV Battery capacity - final assumption (kWh)</t>
  </si>
  <si>
    <t>PHEV Battery capacity (kWh)</t>
  </si>
  <si>
    <t>PHEV Electric Fuel economy (lge/100km)</t>
  </si>
  <si>
    <t>PHEV Electric Fuel economy (kWh/100km)</t>
  </si>
  <si>
    <t>Gasoline ICE Fuel economy (lge/100km)</t>
  </si>
  <si>
    <t>Gasoline Hybrid Fuel economy (lge/100km)</t>
  </si>
  <si>
    <t>FCEV Fuel economy (lge/100km)</t>
  </si>
  <si>
    <t>Material intensities</t>
  </si>
  <si>
    <t>Asphalt</t>
  </si>
  <si>
    <t>Concrete</t>
  </si>
  <si>
    <t xml:space="preserve">Cement </t>
  </si>
  <si>
    <t>Bike lane</t>
  </si>
  <si>
    <t>Urban road</t>
  </si>
  <si>
    <t>Urban road including parking</t>
  </si>
  <si>
    <t>Non-urban road</t>
  </si>
  <si>
    <t>Assumed the same as urban road</t>
  </si>
  <si>
    <t>Bus lane</t>
  </si>
  <si>
    <t>Light rail track</t>
  </si>
  <si>
    <t>Metro track</t>
  </si>
  <si>
    <t>Assuming 1 m width and same amount pe one-way lane of parkings requiring only on-street slab and asphalt</t>
  </si>
  <si>
    <t>Roads</t>
  </si>
  <si>
    <t>Urban</t>
  </si>
  <si>
    <t>Assumes all urban road are comparable in terms of material demand to secondary roads</t>
  </si>
  <si>
    <t>Parking</t>
  </si>
  <si>
    <t>Assumes 54 parkings/lane km, all only requiring on-street slab and asphalt, no accounting for steel structures, no additional road space to access parking</t>
  </si>
  <si>
    <t>Rail</t>
  </si>
  <si>
    <t>Light</t>
  </si>
  <si>
    <t>Using average of available sources idebtified below (mostlry surface)</t>
  </si>
  <si>
    <t>Metro</t>
  </si>
  <si>
    <t>Using average of available sources idebtified below (mix of tunnels and elevated, includes stations)</t>
  </si>
  <si>
    <t>% of "capital GHG emissions" imputable to materials (excludes operations)</t>
  </si>
  <si>
    <t>Saxe et al (2017), citing Paris and de Silva, 2010</t>
  </si>
  <si>
    <t>Rural road</t>
  </si>
  <si>
    <t>Trunzo et al. (2019)</t>
  </si>
  <si>
    <t>Rural road with 7.1 km open road, 0.3 km bridge and 1.1 tunnel</t>
  </si>
  <si>
    <t>Birgisdóttir, 2005</t>
  </si>
  <si>
    <t>From results in Figure on page 30</t>
  </si>
  <si>
    <t>World Bank (2010)</t>
  </si>
  <si>
    <t>Figure 3 on page 5, provincial road (most emissions are from pavement, see Figure 2 on page 5)</t>
  </si>
  <si>
    <t>Jullien (2019)</t>
  </si>
  <si>
    <t>Unit conversions</t>
  </si>
  <si>
    <t>ton</t>
  </si>
  <si>
    <t>tonne</t>
  </si>
  <si>
    <t>mile</t>
  </si>
  <si>
    <t>m3 concrete</t>
  </si>
  <si>
    <t>tonne concrete</t>
  </si>
  <si>
    <t>yd3</t>
  </si>
  <si>
    <t>m3</t>
  </si>
  <si>
    <t>ft3</t>
  </si>
  <si>
    <t>cubic m</t>
  </si>
  <si>
    <t>m</t>
  </si>
  <si>
    <t>% cement in concrete</t>
  </si>
  <si>
    <t>Used here</t>
  </si>
  <si>
    <t>https://pubs.usgs.gov/fs/2006/3127/2006-3127.pdf</t>
  </si>
  <si>
    <t>https://iopscience.iop.org/1748-9326/5/3/034001/media/ERL353493LET_supp.pdf</t>
  </si>
  <si>
    <t>% of asphalt vs. concrete roads &amp; parkings</t>
  </si>
  <si>
    <t>Item</t>
  </si>
  <si>
    <t>Country</t>
  </si>
  <si>
    <t>% Asphalt</t>
  </si>
  <si>
    <t>Units</t>
  </si>
  <si>
    <t>Notes</t>
  </si>
  <si>
    <t>Roads (general)</t>
  </si>
  <si>
    <t>USA</t>
  </si>
  <si>
    <t>http://www.asphaltpavement.org/index.php?option=com_content&amp;view=article&amp;id=891&amp;Itemid=1068</t>
  </si>
  <si>
    <t>https://eapa.org/asphalt/</t>
  </si>
  <si>
    <t>Private (household driveways, etc.)</t>
  </si>
  <si>
    <t>https://iopscience.iop.org/article/10.1088/1748-9326/5/3/034001/meta</t>
  </si>
  <si>
    <t>Secondary Road</t>
  </si>
  <si>
    <t>Intensity-Average</t>
  </si>
  <si>
    <t>t/km of one-way lane or track</t>
  </si>
  <si>
    <t>tonnes per km</t>
  </si>
  <si>
    <t>https://doi.org/10.1016/j.resconrec.2017.08.024</t>
  </si>
  <si>
    <t>Pg. 5 of pdf, Table 1 - Number of lanes unclear, assuming 4 lanes based on width of 12 m</t>
  </si>
  <si>
    <t>Mg per Lane-km CEMENT (one way)</t>
  </si>
  <si>
    <t>https://doi.org/10.1016/j.resconrec.2012.12.014</t>
  </si>
  <si>
    <t>tonnes per km (one-way) CONCRETE</t>
  </si>
  <si>
    <t>http://www.athenasmi.org/wp-content/uploads/2012/01/Athena_Update_Report_LCA_PCCP_vs_HMA_Final_Document_Sept_2006.pdf</t>
  </si>
  <si>
    <t>Average for Quebec and Ontario Municipal Minor and Major Arterial roads. Note: includes maintenance</t>
  </si>
  <si>
    <t>https://doi.org/10.1111/jiec.12053</t>
  </si>
  <si>
    <t>Mg per Lane-km</t>
  </si>
  <si>
    <t>tonnes per km (two-way)</t>
  </si>
  <si>
    <t>Average for Quebec and Ontario Municipal Collectors (see Athena Outputs comarison, road type comparison tab). **Note: includes maintenance</t>
  </si>
  <si>
    <t>tonnes per km (one-way)</t>
  </si>
  <si>
    <t>http://planningcommission.gov.in/sectors/NTDPC/Study%20Reports/TERI/Study_Life%20Cycle%20Analysis%20of%20Transport%20Modes_Submitted%20to%20the%20Govt%20on%20Jan%204,%202013/LCA_Final%20Report%20Vol%20I.pdf</t>
  </si>
  <si>
    <t>Includes road, median, footpath, and service road; plus 6 (? Based on 10.5 m width) lanes of road</t>
  </si>
  <si>
    <t>Parkings</t>
  </si>
  <si>
    <t>Number of Parking Spaces</t>
  </si>
  <si>
    <t>#</t>
  </si>
  <si>
    <t>Spaces per Vehicle</t>
  </si>
  <si>
    <t>https://doi.org/10.1016/j.landusepol.2009.03.002</t>
  </si>
  <si>
    <t>https://doi.org/10.1016/S0965-8564(99)00007-5</t>
  </si>
  <si>
    <t>Gruen (1973) estimated that for every car there must be at least one parking space at the place of residence and three to four spaces elsewhere.</t>
  </si>
  <si>
    <t>Size of Parking Spaces</t>
  </si>
  <si>
    <t>m2</t>
  </si>
  <si>
    <t>On street</t>
  </si>
  <si>
    <t>m2/space</t>
  </si>
  <si>
    <t>Back of the envelope thinking of European standards</t>
  </si>
  <si>
    <t>Parking garages/structures</t>
  </si>
  <si>
    <t>Citing TRB paper from 1991</t>
  </si>
  <si>
    <t>Number of parking spaces (United States)</t>
  </si>
  <si>
    <t>Millions</t>
  </si>
  <si>
    <t>Proportion</t>
  </si>
  <si>
    <t>Type</t>
  </si>
  <si>
    <t>Average Scenarios 2 to 4</t>
  </si>
  <si>
    <t>Ratio cars/parking spaces</t>
  </si>
  <si>
    <t>On-street</t>
  </si>
  <si>
    <t>Surface (parking lots)</t>
  </si>
  <si>
    <t>Structures (public parking garages/parkades/ramps)</t>
  </si>
  <si>
    <t>Total cars</t>
  </si>
  <si>
    <t>Total lane km</t>
  </si>
  <si>
    <t>Ratio parking spaces/lane km</t>
  </si>
  <si>
    <t>Parking structures</t>
  </si>
  <si>
    <t>Slab thickness</t>
  </si>
  <si>
    <t>cm</t>
  </si>
  <si>
    <t>(cm)</t>
  </si>
  <si>
    <t>Structure</t>
  </si>
  <si>
    <t>Cement structure</t>
  </si>
  <si>
    <t>(t/space)</t>
  </si>
  <si>
    <t>Steel structure</t>
  </si>
  <si>
    <t>GREET</t>
  </si>
  <si>
    <t>Urban density of parking spaces</t>
  </si>
  <si>
    <t xml:space="preserve">   Asphalt</t>
  </si>
  <si>
    <t xml:space="preserve">   Cement </t>
  </si>
  <si>
    <t>Road density</t>
  </si>
  <si>
    <t>lane km/square km</t>
  </si>
  <si>
    <t>Parking density</t>
  </si>
  <si>
    <t>parkings/square km</t>
  </si>
  <si>
    <t>parkings/lane km</t>
  </si>
  <si>
    <t>Lane width</t>
  </si>
  <si>
    <t>Meters</t>
  </si>
  <si>
    <t>Parking width</t>
  </si>
  <si>
    <t>Parking length</t>
  </si>
  <si>
    <t>Barcelona</t>
  </si>
  <si>
    <t>Streets with two lanes and parking on two sides</t>
  </si>
  <si>
    <t>km/square km</t>
  </si>
  <si>
    <t>Major streets (no parking)</t>
  </si>
  <si>
    <t>Highway/Motorway</t>
  </si>
  <si>
    <t>tonnes per km CEMENT *number of lanes unclear, assuming 4 lanes based on width of 12 m</t>
  </si>
  <si>
    <t>Pg. 5 of pdf, Table 1</t>
  </si>
  <si>
    <t>Average for urban interstates in California and Illinois and generaly US interstate and rural highways. Note: includes maintenance.</t>
  </si>
  <si>
    <t>Switzerland</t>
  </si>
  <si>
    <t>tonne per km concrete</t>
  </si>
  <si>
    <t>Ecoinvent, pg. 76, Table 5-93</t>
  </si>
  <si>
    <t>t CEMENT per km two-lane highway (presumably two-lanes total)</t>
  </si>
  <si>
    <t>https://doi.org/10.1061/(ASCE)1076-0342(2005)11:1(9)</t>
  </si>
  <si>
    <t>Includes steel for construction of culverts, small bridges, kerb channels (steel reinforcement and structural steel)</t>
  </si>
  <si>
    <t>Average for urban interstates in California and Illinois (see Athena Outputs comarison, road type comparison tab). **Note: includes maintenance</t>
  </si>
  <si>
    <t>ton per lane-mile</t>
  </si>
  <si>
    <t>http://dx.doi.org/10.3141/2170-03</t>
  </si>
  <si>
    <t>Category</t>
  </si>
  <si>
    <t>System Concrete Intensity (kg/km)</t>
  </si>
  <si>
    <t>System Steel Intensity (kg/km)</t>
  </si>
  <si>
    <t>https://www.sciencedirect.com/science/article/pii/S135223100901036X</t>
  </si>
  <si>
    <t>Chicago Metro</t>
  </si>
  <si>
    <t>NYC Subway</t>
  </si>
  <si>
    <t>Light Rail</t>
  </si>
  <si>
    <t>https://iopscience.iop.org/article/10.1088/1748-9326/4/2/024008/meta</t>
  </si>
  <si>
    <t>Boston Green Line Light Rail</t>
  </si>
  <si>
    <t>SF BART</t>
  </si>
  <si>
    <t>SF Muni Light Rail</t>
  </si>
  <si>
    <t>https://iopscience.iop.org/article/10.1088/1748-9326/8/1/015041/meta</t>
  </si>
  <si>
    <t>LA Gold Light Rail</t>
  </si>
  <si>
    <t>SF Caltrain</t>
  </si>
  <si>
    <t>Inter-City</t>
  </si>
  <si>
    <t>NYC Commuter Rail</t>
  </si>
  <si>
    <t>Chicago Commuter Rail</t>
  </si>
  <si>
    <t>High Speed Rail</t>
  </si>
  <si>
    <t>https://iopscience.iop.org/article/10.1088/1748-9326/5/1/014003/meta</t>
  </si>
  <si>
    <t>California HSR, paper has some specifications in the supplementary information</t>
  </si>
  <si>
    <t>Chester (2008)</t>
  </si>
  <si>
    <t>https://escholarship.org/content/qt7n29n303/qt7n29n303.pdf</t>
  </si>
  <si>
    <t>Total Material Requirements</t>
  </si>
  <si>
    <t>pg. 122</t>
  </si>
  <si>
    <t>pg. 135</t>
  </si>
  <si>
    <t>For Stations</t>
  </si>
  <si>
    <t>For Track (includes track itself, power system, and substations</t>
  </si>
  <si>
    <t>Total (per mile)</t>
  </si>
  <si>
    <t>Miles of Track</t>
  </si>
  <si>
    <t>Concrete (10^6 ft 3)</t>
  </si>
  <si>
    <t>Steel (10^3 lbs)</t>
  </si>
  <si>
    <t>Steel (10^6 lbs)</t>
  </si>
  <si>
    <t>Heavy Rail</t>
  </si>
  <si>
    <t>Caltrain</t>
  </si>
  <si>
    <t>All surface level</t>
  </si>
  <si>
    <t>Muni</t>
  </si>
  <si>
    <t>47 stations at grade, 9 underground</t>
  </si>
  <si>
    <t>Tracks are treated at-grade; ballast subbase on 50% of segments</t>
  </si>
  <si>
    <t>Green Line</t>
  </si>
  <si>
    <t>Similar to Muni station profile, with many at-grad stations and some underground stations; also are 2 elevated stations</t>
  </si>
  <si>
    <t>CAHSR</t>
  </si>
  <si>
    <t>High speed heavy rail</t>
  </si>
  <si>
    <t>10^6 ft 3 per mile Concrete</t>
  </si>
  <si>
    <t>https://escholarship.org/uc/item/7n29n303</t>
  </si>
  <si>
    <t>kg/km</t>
  </si>
  <si>
    <t>Chester, Horvath (various)</t>
  </si>
  <si>
    <t>Upper bound, includes stations</t>
  </si>
  <si>
    <t>Includes stations</t>
  </si>
  <si>
    <t>Lowe\r bound, includes stations</t>
  </si>
  <si>
    <t>10^6 lbs per mile (assuming one way)</t>
  </si>
  <si>
    <t>Metro At-grade, elevated, vs. Underground</t>
  </si>
  <si>
    <t>https://www.sciencedirect.com/science/article/pii/S0886779803001044</t>
  </si>
  <si>
    <t>http://tunnel.ita-aites.org/media/k2/attachments/public/Tust_Vol_19_1_3-28.pdf</t>
  </si>
  <si>
    <t>Survey of 30 cities from regions around the world. Estimate of % of transit systems at-grade, elevated, and underground</t>
  </si>
  <si>
    <t>Table 5, Pg. 22</t>
  </si>
  <si>
    <t>At grade</t>
  </si>
  <si>
    <t>Elevated</t>
  </si>
  <si>
    <t>Underground</t>
  </si>
  <si>
    <t>Regional Metro and Suburban Trains</t>
  </si>
  <si>
    <t>Urban Metro and Automatic Metro</t>
  </si>
  <si>
    <t>Urban Light Rail Tramways</t>
  </si>
  <si>
    <t>2009-2013</t>
  </si>
  <si>
    <t>t/km</t>
  </si>
  <si>
    <t>https://doi.org/10.1016/j.trd.2017.01.007</t>
  </si>
  <si>
    <t>Tunnel, includes stations</t>
  </si>
  <si>
    <t>t/km CEMENT</t>
  </si>
  <si>
    <t>https://doi.org/10.1016/j.resconrec.2016.03.007</t>
  </si>
  <si>
    <t>tonnes per km CEMENT (assuming two way)</t>
  </si>
  <si>
    <t>10^6 lbs per mile</t>
  </si>
  <si>
    <t>tonnes per km (assuming two way)</t>
  </si>
  <si>
    <t>Frequency of use of infrastructure</t>
  </si>
  <si>
    <t>Infrastructure required</t>
  </si>
  <si>
    <t>% of vkm on Item 1 on</t>
  </si>
  <si>
    <t>Item 1</t>
  </si>
  <si>
    <t>Item 2</t>
  </si>
  <si>
    <t>Bicycles, e-scooters</t>
  </si>
  <si>
    <t>Motorbikes</t>
  </si>
  <si>
    <t>Cars</t>
  </si>
  <si>
    <t>Shared cars</t>
  </si>
  <si>
    <t>Buses</t>
  </si>
  <si>
    <t>Intercity road vehicle</t>
  </si>
  <si>
    <t>Light rail</t>
  </si>
  <si>
    <t>Network type</t>
  </si>
  <si>
    <t>Use of network by vehicles</t>
  </si>
  <si>
    <t>Lifetime or relevant infrastructure</t>
  </si>
  <si>
    <t>Thousand vkm/year/one-way lane of track km</t>
  </si>
  <si>
    <t>Million vkm/one-way lane of track km</t>
  </si>
  <si>
    <t>Value</t>
  </si>
  <si>
    <t>Bus routes</t>
  </si>
  <si>
    <t>https://www.whatdotheyknow.com/request/218189/response/539748/attach/3/09%2015062014%20sched%20mileage%20by%20route%20direction%20final.xls?cookie_passthrough=1</t>
  </si>
  <si>
    <t>Total/2</t>
  </si>
  <si>
    <t>Avrage bus route length</t>
  </si>
  <si>
    <t>lane km/route</t>
  </si>
  <si>
    <t>Median is 8.2 miles</t>
  </si>
  <si>
    <t>Bus network length (gross)</t>
  </si>
  <si>
    <t>route km</t>
  </si>
  <si>
    <t>Gross: incuding duplications in case of multipel bus routes per network km</t>
  </si>
  <si>
    <t>Routes per network km</t>
  </si>
  <si>
    <t>route km/lane km</t>
  </si>
  <si>
    <t>Assumed</t>
  </si>
  <si>
    <t>33% of lines shared with 3 other buses, 33% with 1 more, 34% exclusive</t>
  </si>
  <si>
    <t>Bus network length (net)</t>
  </si>
  <si>
    <t>lane km</t>
  </si>
  <si>
    <t>Net: physical km, excluding duplications in case of multipel bus routes per network km</t>
  </si>
  <si>
    <t>Bus lane km (net)</t>
  </si>
  <si>
    <t>http://content.tfl.gov.uk/understanding-and-managing-congestion-in-london.pdf</t>
  </si>
  <si>
    <t>Year 2014</t>
  </si>
  <si>
    <t>Share of dedicated lane km</t>
  </si>
  <si>
    <t>Bus activity</t>
  </si>
  <si>
    <t>Bus km (millions)/year</t>
  </si>
  <si>
    <t>https://roadtraffic.dft.gov.uk/regions/6</t>
  </si>
  <si>
    <t>Consistent with https://www.london.gov.uk/sites/default/files/bus_network_report_final.pdf</t>
  </si>
  <si>
    <t>bus frequency</t>
  </si>
  <si>
    <t>complete bus route trips/year</t>
  </si>
  <si>
    <t>Assumes uniform use of available network</t>
  </si>
  <si>
    <t>complete bus route trips/day</t>
  </si>
  <si>
    <t>Bus operating hours</t>
  </si>
  <si>
    <t>hours/day</t>
  </si>
  <si>
    <t>complete bus route trips/hour</t>
  </si>
  <si>
    <t>Assumes uniform use of available network during operation</t>
  </si>
  <si>
    <t>complete bus route trips/hour/route</t>
  </si>
  <si>
    <t>Average waiting time (buses)</t>
  </si>
  <si>
    <t>minutes</t>
  </si>
  <si>
    <t>Frequency of buses</t>
  </si>
  <si>
    <t>Buses/hour</t>
  </si>
  <si>
    <t>http://content.tfl.gov.uk/travel-in-london-report-11.pdf</t>
  </si>
  <si>
    <t>Threshold between high and low frequency services; not clear on how many hours/day</t>
  </si>
  <si>
    <t>Average of high frequency services</t>
  </si>
  <si>
    <t>Average of low frequency services</t>
  </si>
  <si>
    <t>Minutes</t>
  </si>
  <si>
    <t>Use of dedicated network by vehicles</t>
  </si>
  <si>
    <t>Bus km/year/bus lane km (thousand)</t>
  </si>
  <si>
    <t>Assumes at least</t>
  </si>
  <si>
    <t xml:space="preserve"> buses per km on dedicated lanes</t>
  </si>
  <si>
    <t>bus: passenger capacity (per vehicle)</t>
  </si>
  <si>
    <t>Places/bus</t>
  </si>
  <si>
    <t>Travel capacity of bus</t>
  </si>
  <si>
    <t>Place km/year</t>
  </si>
  <si>
    <t>Table 11</t>
  </si>
  <si>
    <t>bus passengers</t>
  </si>
  <si>
    <t>Billion trips/year</t>
  </si>
  <si>
    <t>Table 2.2: 6.2 million journeys/day</t>
  </si>
  <si>
    <t>bus: passenger trip length</t>
  </si>
  <si>
    <t>Passenger km (bus)</t>
  </si>
  <si>
    <t>Billion pkm/year</t>
  </si>
  <si>
    <t>Figure 2-8</t>
  </si>
  <si>
    <t>Average bus occupancy</t>
  </si>
  <si>
    <t>% of passenger km capacity</t>
  </si>
  <si>
    <t>Average amount of passengers transported in buss</t>
  </si>
  <si>
    <t>pkm/bus km</t>
  </si>
  <si>
    <t>Use of network by passengers</t>
  </si>
  <si>
    <t>Pkm/year/km of network (thousand)</t>
  </si>
  <si>
    <t>Bus speed</t>
  </si>
  <si>
    <t>Bus trip time</t>
  </si>
  <si>
    <t>hours/trip</t>
  </si>
  <si>
    <t>Metro network length</t>
  </si>
  <si>
    <t>track km</t>
  </si>
  <si>
    <t>https://madeby.tfl.gov.uk/2019/07/29/tube-trivia-and-facts/</t>
  </si>
  <si>
    <t>Factor 2 for two tracks per line</t>
  </si>
  <si>
    <t>Metro lines</t>
  </si>
  <si>
    <t>Average metro line length</t>
  </si>
  <si>
    <t>track km/line</t>
  </si>
  <si>
    <t>Assumed same as average of km/line</t>
  </si>
  <si>
    <t>Metro activity</t>
  </si>
  <si>
    <t>Train km (millions)/year</t>
  </si>
  <si>
    <t>Metro frequency</t>
  </si>
  <si>
    <t>Train trips/year</t>
  </si>
  <si>
    <t>Train trips/day</t>
  </si>
  <si>
    <t>Metro operating hours</t>
  </si>
  <si>
    <t>Train trips/hour</t>
  </si>
  <si>
    <t>Train trips/hour/line</t>
  </si>
  <si>
    <t>Average waiting time (metro)</t>
  </si>
  <si>
    <t>Train km/year/track km of network (thousand)</t>
  </si>
  <si>
    <t>Metro: passenger capacity (per train)</t>
  </si>
  <si>
    <t>Passengers/train</t>
  </si>
  <si>
    <t>Range is from 665 to 864</t>
  </si>
  <si>
    <t>Travel capacity of metro</t>
  </si>
  <si>
    <t>Passenger km (capacity, billions)/year</t>
  </si>
  <si>
    <t>Consistent with 68.8 in Table 10.1 in http://content.tfl.gov.uk/travel-in-london-report-11.pdf</t>
  </si>
  <si>
    <t>Metro passengers</t>
  </si>
  <si>
    <t>Consistent with 3.7*365 million journeys fo Table 2.2 in http://content.tfl.gov.uk/travel-in-london-report-11.pdf</t>
  </si>
  <si>
    <t>Metro: passenger trip length</t>
  </si>
  <si>
    <t>Passenger km (metro)</t>
  </si>
  <si>
    <t>Average metro occupancy</t>
  </si>
  <si>
    <t>Average amount of passengers transported in metros</t>
  </si>
  <si>
    <t>pkm/train km</t>
  </si>
  <si>
    <t>Metro speed</t>
  </si>
  <si>
    <t>Metro trip time</t>
  </si>
  <si>
    <t>Table 10.3</t>
  </si>
  <si>
    <t>Cycling</t>
  </si>
  <si>
    <t>Cycle paths</t>
  </si>
  <si>
    <t>Superhighway and Quietway</t>
  </si>
  <si>
    <t>Cycle lanes</t>
  </si>
  <si>
    <t>Assumes 2 directions per cycle path</t>
  </si>
  <si>
    <t>Cycling activity</t>
  </si>
  <si>
    <t>Billion vkm</t>
  </si>
  <si>
    <t>Cycle activity on dedicated network</t>
  </si>
  <si>
    <t>Cycling km/year/cycle lane km (thousand)</t>
  </si>
  <si>
    <t>This means that the rest is just imputable to cars and other vehicles, basically (roads would not be built for just cycles)</t>
  </si>
  <si>
    <t>Vehicles and roads - Urban</t>
  </si>
  <si>
    <t>Road network</t>
  </si>
  <si>
    <t>Assumed 2 lanes * 2 directions for motorway, 2 lanes * 2 directions for A roads and 1.5 lanes for minor roads (so 50% 1 lane and 2 directions, 50% 1 lane and one way)</t>
  </si>
  <si>
    <t>Motorways</t>
  </si>
  <si>
    <t>https://www.gov.uk/government/statistics/road-lengths-in-great-britain-2018</t>
  </si>
  <si>
    <t>London region</t>
  </si>
  <si>
    <t>A roads</t>
  </si>
  <si>
    <t>Minor</t>
  </si>
  <si>
    <t>Cars and taxis</t>
  </si>
  <si>
    <t>LCVs</t>
  </si>
  <si>
    <t>HGV</t>
  </si>
  <si>
    <t>Buses and coaches</t>
  </si>
  <si>
    <t>motorcycles and scooters</t>
  </si>
  <si>
    <t>Cycles</t>
  </si>
  <si>
    <t>Use of urban road network by all road vehicles</t>
  </si>
  <si>
    <t>Vkm/year/lane km of road network (thousand)</t>
  </si>
  <si>
    <t>This attributes to vehicles the whole point of existance of the road network</t>
  </si>
  <si>
    <t>Vehicles and roads - Intercity</t>
  </si>
  <si>
    <t>Rural</t>
  </si>
  <si>
    <t>Assumed 3 lanes * 2 directions for motorway, 2 lanes * 2 directions for A roads and 1.5 lanes for minor roads (so 50% 1 lane and 2 directions, 50% 1 lane and one way)</t>
  </si>
  <si>
    <t>Traffic</t>
  </si>
  <si>
    <t>https://roadtraffic.dft.gov.uk</t>
  </si>
  <si>
    <t>Total motorised</t>
  </si>
  <si>
    <t>Use of all road network by all road vehicles</t>
  </si>
  <si>
    <t>Use of non-urban road network by all road vehicles</t>
  </si>
  <si>
    <t>Assuming all urban is like London average</t>
  </si>
  <si>
    <t>Convert</t>
  </si>
  <si>
    <t>Conversion factors</t>
  </si>
  <si>
    <t>1kg=</t>
  </si>
  <si>
    <t>lbs</t>
  </si>
  <si>
    <t>EJ</t>
  </si>
  <si>
    <t>Mtoe</t>
  </si>
  <si>
    <t xml:space="preserve">1 Mtoe = </t>
  </si>
  <si>
    <t>Petajoule (10^15 joules)</t>
  </si>
  <si>
    <t>Billion lge</t>
  </si>
  <si>
    <t>1 ktoe</t>
  </si>
  <si>
    <t>TJ</t>
  </si>
  <si>
    <t>1 Btu =</t>
  </si>
  <si>
    <t>joules</t>
  </si>
  <si>
    <t>mboe/d</t>
  </si>
  <si>
    <t>GJ</t>
  </si>
  <si>
    <t>1 toe =</t>
  </si>
  <si>
    <t>Litres ge</t>
  </si>
  <si>
    <t>billion cubic m of natural gas</t>
  </si>
  <si>
    <t>MJ</t>
  </si>
  <si>
    <t>1 litre ge =</t>
  </si>
  <si>
    <t>Megajoules (10^6 joules)</t>
  </si>
  <si>
    <t>MJ/Mbtu</t>
  </si>
  <si>
    <t>1 gallon =</t>
  </si>
  <si>
    <t>litres</t>
  </si>
  <si>
    <t xml:space="preserve">MPG = </t>
  </si>
  <si>
    <t>divided by L/100 km</t>
  </si>
  <si>
    <t>1 kWh =</t>
  </si>
  <si>
    <t>1 Lge</t>
  </si>
  <si>
    <t>Characteristics of fuels</t>
  </si>
  <si>
    <t>Energy Content [MJ/l], LHV</t>
  </si>
  <si>
    <t>Energy Content [MJ/kg], LHV</t>
  </si>
  <si>
    <t>CO2 emissions per litre gasoline eq [kg/lge]</t>
  </si>
  <si>
    <t>Gas/diesel oil</t>
  </si>
  <si>
    <t>Jet fuel (kerosene)</t>
  </si>
  <si>
    <t>LPG (60% propane, 40% butane)</t>
  </si>
  <si>
    <t>Ethanol</t>
  </si>
  <si>
    <t>Biodiesel (FAME)</t>
  </si>
  <si>
    <t>Hydrotreated biodiesel</t>
  </si>
  <si>
    <t xml:space="preserve">Residual fuel oil (bunker fuel) </t>
  </si>
  <si>
    <t>Methanol</t>
  </si>
  <si>
    <t>[km/vehicle delivered]</t>
  </si>
  <si>
    <t xml:space="preserve">   Train</t>
  </si>
  <si>
    <t>Tkm for delivery</t>
  </si>
  <si>
    <t>[tkm/vehicle delivered]</t>
  </si>
  <si>
    <t>Energy intensity of vehicle delivery</t>
  </si>
  <si>
    <t>[MJ/vkm]</t>
  </si>
  <si>
    <t>Average load of delivery vehicle(s) (by mode)</t>
  </si>
  <si>
    <t>[tkm/vkm]</t>
  </si>
  <si>
    <t>[MJ/tkm]</t>
  </si>
  <si>
    <t>Energy consumption for vehicle delivery</t>
  </si>
  <si>
    <t>CO2 emissons for vehicle delivery</t>
  </si>
  <si>
    <t>Transport</t>
  </si>
  <si>
    <t>Fuel type</t>
  </si>
  <si>
    <t>Electricity generation mix in the use phase (output)</t>
  </si>
  <si>
    <t xml:space="preserve"> Residual oil</t>
  </si>
  <si>
    <t xml:space="preserve"> Natural gas</t>
  </si>
  <si>
    <t xml:space="preserve"> Coal</t>
  </si>
  <si>
    <t xml:space="preserve"> Nuclear</t>
  </si>
  <si>
    <t xml:space="preserve"> Biomass</t>
  </si>
  <si>
    <t xml:space="preserve"> Other renewables (hydro, solar, wind)</t>
  </si>
  <si>
    <t>[MJ/MJ]</t>
  </si>
  <si>
    <t>Energy intensity of hydrogen production</t>
  </si>
  <si>
    <t>[kg CO2 eq/Lge]</t>
  </si>
  <si>
    <t>GHG emission intensity of electricity production</t>
  </si>
  <si>
    <t>[g CO2 eq/kWh]</t>
  </si>
  <si>
    <t>GHG emission intensity of hydrogen production</t>
  </si>
  <si>
    <t>[MJ/km]</t>
  </si>
  <si>
    <t>Energy consumption for vehicle use</t>
  </si>
  <si>
    <t>GHG emissions for vehicle use</t>
  </si>
  <si>
    <t>Vehicle travel</t>
  </si>
  <si>
    <t>Average number of vehicles serviced by a single service vehicle every day</t>
  </si>
  <si>
    <t>[vehicles/service vehicle]</t>
  </si>
  <si>
    <t>Travel requirement ratio for vehicle providing operational services</t>
  </si>
  <si>
    <t>[vkm of service vehicle use/vkm of use phase, including cruising and overheading for ride sourcing]</t>
  </si>
  <si>
    <t>[g CO2 eq/km of service vehicle use]</t>
  </si>
  <si>
    <t>Energy needed for operational services</t>
  </si>
  <si>
    <t>GHG emissions needed for operational services</t>
  </si>
  <si>
    <t>Infrastructure</t>
  </si>
  <si>
    <t>Vehicle category</t>
  </si>
  <si>
    <t>Infrastructure needed (1/2)</t>
  </si>
  <si>
    <t>Infrastructure needed (2/2)</t>
  </si>
  <si>
    <t>% of vkm on infrastructure 1</t>
  </si>
  <si>
    <t>% of vkm on infrastructure 2</t>
  </si>
  <si>
    <t>Material intensities - Infrastructure 1</t>
  </si>
  <si>
    <t>[t/km of one-way lane or track]</t>
  </si>
  <si>
    <t>Material intensities - Infrastructure 2</t>
  </si>
  <si>
    <t>Infrastructure lifetime</t>
  </si>
  <si>
    <t xml:space="preserve">   Infrastructure 1</t>
  </si>
  <si>
    <t xml:space="preserve">   Infrastructure 2</t>
  </si>
  <si>
    <t>Annual use of infrastructure</t>
  </si>
  <si>
    <t>[Thousand vkm/year/one-way lane of track km]</t>
  </si>
  <si>
    <t>Absolute use of infrastructure (over full lifetime)</t>
  </si>
  <si>
    <t>[Million vkm/one-way lane of track km]</t>
  </si>
  <si>
    <t>Energy consumption for network manufacturing (materials)</t>
  </si>
  <si>
    <t>[MJ/km of one-way lane or track]</t>
  </si>
  <si>
    <t>% of energy imputable to materials</t>
  </si>
  <si>
    <t>Energy intensity of network</t>
  </si>
  <si>
    <t>Energy intensity of network (vehicle activity perspective)</t>
  </si>
  <si>
    <t>GHG emission intensity of material production (materials)</t>
  </si>
  <si>
    <t>[kg CO2/km of one-way lane or track]</t>
  </si>
  <si>
    <t>% of GHG emissions imputable to materials</t>
  </si>
  <si>
    <t>GHG emission intensity of network</t>
  </si>
  <si>
    <t>GHG emission intensity of network (vehicle activity perspective)</t>
  </si>
  <si>
    <t>[g CO2/vkm]</t>
  </si>
  <si>
    <t>Results</t>
  </si>
  <si>
    <t>Energy consumption per pkm</t>
  </si>
  <si>
    <t>[MJ/pkm] or [MJ/tkm]</t>
  </si>
  <si>
    <t>Vehicle and battery manufacturing, assembly and disposal - Including fluids</t>
  </si>
  <si>
    <t>Vehicle delivery at point of purchase</t>
  </si>
  <si>
    <t>Vehicle use (including fuel production) - active travel</t>
  </si>
  <si>
    <t>Operational services</t>
  </si>
  <si>
    <t>Energy consumption per vkm</t>
  </si>
  <si>
    <t>Energy consumption per vehicle</t>
  </si>
  <si>
    <t>GHG emissions per pkm</t>
  </si>
  <si>
    <t>[g CO₂/pkm] or [g CO₂/tkm]</t>
  </si>
  <si>
    <t>GHG emissions per vkm</t>
  </si>
  <si>
    <t>[g CO₂/vkm]</t>
  </si>
  <si>
    <t>GHG emissions per vehicle</t>
  </si>
  <si>
    <t>[g CO₂ eq/vehicle]</t>
  </si>
  <si>
    <t>Three-wheeler - ICE</t>
  </si>
  <si>
    <t>Metro/urban train</t>
  </si>
  <si>
    <t>Private car - BEV</t>
  </si>
  <si>
    <t>Private car - ICE</t>
  </si>
  <si>
    <t>Colour</t>
  </si>
  <si>
    <t>Meaning</t>
  </si>
  <si>
    <t>Use of fuel/km</t>
  </si>
  <si>
    <t xml:space="preserve">Electricty </t>
  </si>
  <si>
    <t xml:space="preserve">Hydrogen </t>
  </si>
  <si>
    <t xml:space="preserve">                                         </t>
  </si>
  <si>
    <t>Taxi-ICE</t>
  </si>
  <si>
    <t>Taxi-BEV</t>
  </si>
  <si>
    <t>Three-wheeler - BEV</t>
  </si>
  <si>
    <t>Bus  AC- ICE -9m</t>
  </si>
  <si>
    <t>Bus -AC- BEV -9m</t>
  </si>
  <si>
    <t>Bus - AC- BEV -12m</t>
  </si>
  <si>
    <t>Bus AC- ICE -12m</t>
  </si>
  <si>
    <t>Bus Non  AC- ICE -9m</t>
  </si>
  <si>
    <t>Bus AC- Non ICE -12m</t>
  </si>
  <si>
    <t>Bus -Non AC- BEV -9m</t>
  </si>
  <si>
    <t>Bus -Non AC- BEV -12m</t>
  </si>
  <si>
    <t xml:space="preserve">Electricity </t>
  </si>
  <si>
    <t>Private two-wheeler - ICE (Scooter)</t>
  </si>
  <si>
    <t>Private two-wheeler - BEV (Scooter)</t>
  </si>
  <si>
    <t>Private two-wheeler - ICE (Motor cycle)</t>
  </si>
  <si>
    <t>Private two-wheeler - BEV (Motorcycle)</t>
  </si>
  <si>
    <t>Shared two-wheeler - ICE (Scooter)</t>
  </si>
  <si>
    <t>Shared two-wheeler - BEV (Scooter)</t>
  </si>
  <si>
    <t>Shared two-wheeler - ICE (Motorcycle)</t>
  </si>
  <si>
    <t>Shared two-wheeler - BEV (Motorcycle)</t>
  </si>
  <si>
    <t>Define the evolution of the electricity grid here by filling inputs in blue</t>
  </si>
  <si>
    <t>Switch to Renewables</t>
  </si>
  <si>
    <t>User defined scenario</t>
  </si>
  <si>
    <t>Formula within mainsheets</t>
  </si>
  <si>
    <t>Formula with backup sheets</t>
  </si>
  <si>
    <t>Base inputs</t>
  </si>
  <si>
    <t>Graphs</t>
  </si>
  <si>
    <t>Vehicle characteristics</t>
  </si>
  <si>
    <t>Transport phase</t>
  </si>
  <si>
    <t>Conversion (mmBtu/MoS2)</t>
  </si>
  <si>
    <t>Secondary Mining and beneficiation (mmBtu/Mo)</t>
  </si>
  <si>
    <t xml:space="preserve">Primary Mining and beneficiation (mmBtu/MoS2) </t>
  </si>
  <si>
    <t>5.20) Energy Use of Molybdenum: mmBtu per ton of Molybdenum</t>
  </si>
  <si>
    <t>Ethylene Glycol</t>
  </si>
  <si>
    <t>5.19) Energy Use of Fluids: mmBtu per ton of material product</t>
  </si>
  <si>
    <t>PTFE</t>
  </si>
  <si>
    <t>Nafion Dry Polymer</t>
  </si>
  <si>
    <t>Nafion 117 Sheet</t>
  </si>
  <si>
    <t>5.18) Energy Use of Fuel-Cell Materials: mmBtu per ton of material product</t>
  </si>
  <si>
    <t>Virgin Manganese</t>
  </si>
  <si>
    <t>Manganese Ore Mining</t>
  </si>
  <si>
    <t>5.17) Energy Use of Manganese: mmBtu per ton of manganese</t>
  </si>
  <si>
    <t>Recycled Rare Earth</t>
  </si>
  <si>
    <t>Virgin Rare Earth</t>
  </si>
  <si>
    <t>Rare Earth Ore Mining</t>
  </si>
  <si>
    <t>5.16) Energy Use of Rare Earth: mmBtu per ton of rare earth</t>
  </si>
  <si>
    <t>Recycled Chromium</t>
  </si>
  <si>
    <t>Virgin Chromium</t>
  </si>
  <si>
    <t>Ore Mining</t>
  </si>
  <si>
    <t>5.20) Energy Use of Chromium: mmBtu per ton of chromium</t>
  </si>
  <si>
    <t>Recycled Titanium</t>
  </si>
  <si>
    <t>Virgin Titanium</t>
  </si>
  <si>
    <t>5.19) Energy Use of Titanium: mmBtu per ton of titanium</t>
  </si>
  <si>
    <t>Recycled Zirconium</t>
  </si>
  <si>
    <t>Virgin Zirconium</t>
  </si>
  <si>
    <t>5.18) Energy Use of Zirconium: mmBtu per ton of zirconium</t>
  </si>
  <si>
    <t>PC-PE</t>
  </si>
  <si>
    <t>Epoxy-PE</t>
  </si>
  <si>
    <t>Recycled Vanadium</t>
  </si>
  <si>
    <t>Nylon6-PE</t>
  </si>
  <si>
    <t>Virgin Vanadium</t>
  </si>
  <si>
    <t>Nylon66-PE</t>
  </si>
  <si>
    <t>PUR Flexible Foam Hybrid Final</t>
  </si>
  <si>
    <t>5.17) Energy Use of Vanadium: mmBtu per ton of vanadium</t>
  </si>
  <si>
    <t>Processing</t>
  </si>
  <si>
    <t>Smelting</t>
  </si>
  <si>
    <t>Concentration</t>
  </si>
  <si>
    <t>Platinum Ore Mining</t>
  </si>
  <si>
    <t>Market value based</t>
  </si>
  <si>
    <t>Weight based</t>
  </si>
  <si>
    <t>Allocation Method</t>
  </si>
  <si>
    <t>North American Mine</t>
  </si>
  <si>
    <t>South African Mine</t>
  </si>
  <si>
    <t>Location</t>
  </si>
  <si>
    <t>5.15) Energy Use of Platinum: mmBtu per ton of platinum</t>
  </si>
  <si>
    <t>Injection Molding (PVC)</t>
  </si>
  <si>
    <t>Compression Molding</t>
  </si>
  <si>
    <t>Styrene-butadiene Rubber</t>
  </si>
  <si>
    <t>5.14) Energy Use of Rubber: mmBtu per ton of rubber</t>
  </si>
  <si>
    <t>Injection Molding (PP)</t>
  </si>
  <si>
    <t>Injection Molding (HDPE)</t>
  </si>
  <si>
    <t>Extrusion (PP)</t>
  </si>
  <si>
    <t>Extrusion (PVC)</t>
  </si>
  <si>
    <t>Extrusion (HDPE)</t>
  </si>
  <si>
    <t>Calendaring (PVC)</t>
  </si>
  <si>
    <t>Blow Molding (HPDE)</t>
  </si>
  <si>
    <t>Carbon Fiber-Reinforced Plastic Fabrication</t>
  </si>
  <si>
    <t>Glass Fiber-Reinforced Plastic Fabrication: Resin Transfer Molding (RTM)</t>
  </si>
  <si>
    <t>Glass Fiber-Reinforced Plastic Fabrication: Prepregs</t>
  </si>
  <si>
    <t>Glass Fiber-Reinforced Plastic Fabrication: Sheet Molding Compound (SMC)</t>
  </si>
  <si>
    <t>Inert Filler</t>
  </si>
  <si>
    <t>Polyvinyl Chloride (PVC)</t>
  </si>
  <si>
    <t>Polyurethane (PUR) Rigid Foam</t>
  </si>
  <si>
    <t>Polyurethane (PUR) Flexible Foam</t>
  </si>
  <si>
    <t>Polypropylene (PP)</t>
  </si>
  <si>
    <t>Polyethylene Terephthalate (PET)</t>
  </si>
  <si>
    <t>Polycarbonate (PC)</t>
  </si>
  <si>
    <t>Nylon 66</t>
  </si>
  <si>
    <t>Nylon 6</t>
  </si>
  <si>
    <t>Linear Low-Density Polyethylene (LLDPE)</t>
  </si>
  <si>
    <t>Low-Density Polyethylene (LDPE)</t>
  </si>
  <si>
    <t>High-Density Polyethylene (HDPE)</t>
  </si>
  <si>
    <t>High-Impact Polystyrene (HIPS)</t>
  </si>
  <si>
    <t>General Purpose Polystyrene (GPPS)</t>
  </si>
  <si>
    <t>Liquid Epoxy</t>
  </si>
  <si>
    <t>Ethylene Propylene Diene Monomer (EPDM)</t>
  </si>
  <si>
    <t>Acrylonitrile‐Butadiene‐Styrene (ABS)</t>
  </si>
  <si>
    <t>5.13) Energy Use of Plastic: mmBtu per ton of material product</t>
  </si>
  <si>
    <t>Glass Fiber Post-forming</t>
  </si>
  <si>
    <t>Glass Fiber Forming</t>
  </si>
  <si>
    <t>Glass Fiber Melting and Refining</t>
  </si>
  <si>
    <t>Glass Fiber Batch Preparation</t>
  </si>
  <si>
    <t>Glass Laminating</t>
  </si>
  <si>
    <t>Glass Tempering</t>
  </si>
  <si>
    <t>Glass Annealing</t>
  </si>
  <si>
    <t>Glass Forming</t>
  </si>
  <si>
    <t>Glass Melting and Refining</t>
  </si>
  <si>
    <t>Glass Batch Preparation</t>
  </si>
  <si>
    <t>5.12) Energy Use of Glass: mmBtu per ton of material product</t>
  </si>
  <si>
    <t>Sulfuric Acid</t>
  </si>
  <si>
    <t>5.11) Energy Use of Sulfuric Acid: mmBtu per ton of sulfuric acid</t>
  </si>
  <si>
    <t>Thermal Production</t>
  </si>
  <si>
    <t>Electrolytic Production</t>
  </si>
  <si>
    <t>Production Shares for Vigrin Magnesium</t>
  </si>
  <si>
    <t>Magnesium Cast and Molding</t>
  </si>
  <si>
    <t>Magnesium Recyclying</t>
  </si>
  <si>
    <t>Magnesium Production via Thermal Production (Pidgeon)</t>
  </si>
  <si>
    <t>Magnesium Production via Electrolytic Production</t>
  </si>
  <si>
    <t>Magnesium Ore Mining</t>
  </si>
  <si>
    <t>5.10) Energy Use of Magnesium: mmBtu per ton of magnesium</t>
  </si>
  <si>
    <t>Zinc Oxide</t>
  </si>
  <si>
    <t>Zinc metal</t>
  </si>
  <si>
    <t>Zinc Ore Mining</t>
  </si>
  <si>
    <t>5.9) Energy Use of Zinc: mmBtu per ton of zinc</t>
  </si>
  <si>
    <t>Chile</t>
  </si>
  <si>
    <t>U.S. and other sources</t>
  </si>
  <si>
    <t>Production Shares for Copper</t>
  </si>
  <si>
    <t>Drawing Wire</t>
  </si>
  <si>
    <t>Chilean copper production (mining/refining)</t>
  </si>
  <si>
    <t>Copper Smelting/Refining</t>
  </si>
  <si>
    <t>Copper Ore Mining</t>
  </si>
  <si>
    <t>5.8) Energy Use of Copper: mmBtu per ton of copper</t>
  </si>
  <si>
    <t>Cobalt Electrowinning</t>
  </si>
  <si>
    <t>Co3O4 Production</t>
  </si>
  <si>
    <t>CoSO4 Production</t>
  </si>
  <si>
    <t>Cobalt Ore Processing</t>
  </si>
  <si>
    <t>Cobalt Ore Mining</t>
  </si>
  <si>
    <t>5.7) Energy Use of Cobalt: mmBtu per ton of cobalt</t>
  </si>
  <si>
    <t>Recycled Nickel Hydroxide</t>
  </si>
  <si>
    <t>Nickel Hydroxide</t>
  </si>
  <si>
    <t>Recycled Nickel</t>
  </si>
  <si>
    <t>Nickel Refining</t>
  </si>
  <si>
    <t>Primary Extraction</t>
  </si>
  <si>
    <t>Beneficiation</t>
  </si>
  <si>
    <t>Nickel Ore Mining</t>
  </si>
  <si>
    <t>5.6) Energy Use of Nickel: mmBtu per ton of nickel or nickel hydroxide</t>
  </si>
  <si>
    <t>Recycled Lead</t>
  </si>
  <si>
    <t>Virgin Lead</t>
  </si>
  <si>
    <t>Lead Ore Mining</t>
  </si>
  <si>
    <t>5.5) Energy Use of Lead: mmBtu per ton of lead</t>
  </si>
  <si>
    <t>Machining</t>
  </si>
  <si>
    <t>Shape Casting</t>
  </si>
  <si>
    <t>Secondary Ingot Casting (Recycled Al)</t>
  </si>
  <si>
    <t>Scrap Preparation (Recycled Cast Al)</t>
  </si>
  <si>
    <t>Primary Ingot Casting</t>
  </si>
  <si>
    <t>Alumina Reduction: Hall-Heroult Process</t>
  </si>
  <si>
    <t>Anode Production</t>
  </si>
  <si>
    <t>Bauxite Refining: Bayer Process</t>
  </si>
  <si>
    <t>Bauxite Mining</t>
  </si>
  <si>
    <t>5.4) Energy Use of Cast Aluminum: mmBtu per ton of material product</t>
  </si>
  <si>
    <t>Extrusion</t>
  </si>
  <si>
    <t>Stamping</t>
  </si>
  <si>
    <t>Cold Rolling</t>
  </si>
  <si>
    <t>Hot Rolling</t>
  </si>
  <si>
    <t>Scrap Preparation (Recycled Wrought Al)</t>
  </si>
  <si>
    <t>5.3) Energy Use of Wrought Aluminum: mmBtu per ton of material product</t>
  </si>
  <si>
    <t>Iron Forging</t>
  </si>
  <si>
    <t>Iron Casting</t>
  </si>
  <si>
    <t>Iron Recycling</t>
  </si>
  <si>
    <t>5.2) Energy Use of Cast Iron: mmBtu per ton of material product</t>
  </si>
  <si>
    <t>Rod and Bar Mill</t>
  </si>
  <si>
    <t>Electric Arc Furnace</t>
  </si>
  <si>
    <t>Galvanizing (per ton of Galvanized Steel)</t>
  </si>
  <si>
    <t>Cold Rolling (per ton of Cold Rolled Steel)</t>
  </si>
  <si>
    <t>Skin Mill (per ton of Hot Rolled Steel)</t>
  </si>
  <si>
    <t>Hot Rolling (per ton of Hot Strip)</t>
  </si>
  <si>
    <t>On-site Generation and Other Steam Uses and Losses (per ton of Steel)</t>
  </si>
  <si>
    <t>Basic Oxygen Furnace (per ton of Steel)</t>
  </si>
  <si>
    <t>Blast Furnace (per ton of Steel)</t>
  </si>
  <si>
    <t>Sintering (per ton of Steel)</t>
  </si>
  <si>
    <t>Coke Production (per ton of Steel)</t>
  </si>
  <si>
    <t>Iron Ore Extraction and Processing (per ton of Iron Ore)</t>
  </si>
  <si>
    <t>5.1) Energy Use of Steel: mmBtu per ton of material product</t>
  </si>
  <si>
    <t>5. GREET Default Key Assumptions for Material</t>
  </si>
  <si>
    <t xml:space="preserve">  2 -- Market value based allocation</t>
  </si>
  <si>
    <t xml:space="preserve">  1 -- Weight based allocation</t>
  </si>
  <si>
    <t>4.12) Selection of Method for Estimating Material and Energy Use for Cobalt</t>
  </si>
  <si>
    <t>User Defined Mix</t>
  </si>
  <si>
    <t>US market-weighted mix</t>
  </si>
  <si>
    <t>US smelter mix</t>
  </si>
  <si>
    <t>NA smelter mix</t>
  </si>
  <si>
    <t>US Mix</t>
  </si>
  <si>
    <t>4.11.c) Electric Generation Mixes for Alumina Reduction: Hall-Heroult Process (Aluminum Smelting)</t>
  </si>
  <si>
    <t xml:space="preserve">  5 -- User-defined mix</t>
  </si>
  <si>
    <t xml:space="preserve">  4 -- US market-weighted mix</t>
  </si>
  <si>
    <t xml:space="preserve">  3 -- US smelter mix</t>
  </si>
  <si>
    <t xml:space="preserve">  2 -- NA smelter mix</t>
  </si>
  <si>
    <t xml:space="preserve">  1 -- US national grid mix</t>
  </si>
  <si>
    <t>4.11.b) Selection of Cast Aluminum Electric Generation Mix for Alumina Reduction: Hall-Heroult Process (Aluminum Smelting)</t>
  </si>
  <si>
    <t>4.11.a) Selection of Wrought Aluminum Electric Generation Mix for Alumina Reduction: Hall-Heroult Process (Aluminum Smelting)</t>
  </si>
  <si>
    <t xml:space="preserve">  2 -- Market value based energy allocation</t>
  </si>
  <si>
    <t xml:space="preserve">  2 -- North American mine </t>
  </si>
  <si>
    <t xml:space="preserve">  1 -- Weight based energy allocation</t>
  </si>
  <si>
    <t xml:space="preserve">  1 -- South African mine</t>
  </si>
  <si>
    <t>4.10) Selection of Method for Estimating Energy Use for Platinum</t>
  </si>
  <si>
    <t>4.9) Material Transformation Percentage for Average Rubber Calculation, % by wt</t>
  </si>
  <si>
    <t>Blow Molding (HDPE)</t>
  </si>
  <si>
    <t>Carbon Fiber-Reinforced Plastic</t>
  </si>
  <si>
    <t>Glass Fiber-Reinforced Plastic</t>
  </si>
  <si>
    <t>PVC</t>
  </si>
  <si>
    <t>PP</t>
  </si>
  <si>
    <t>PET</t>
  </si>
  <si>
    <t>PC</t>
  </si>
  <si>
    <t>LLDPE</t>
  </si>
  <si>
    <t>LDPE</t>
  </si>
  <si>
    <t>HPDE</t>
  </si>
  <si>
    <t>EPDM</t>
  </si>
  <si>
    <t>ABS</t>
  </si>
  <si>
    <t>CFRP</t>
  </si>
  <si>
    <t>GFRP</t>
  </si>
  <si>
    <t/>
  </si>
  <si>
    <t>4.8.d) Material Transformation Percentage by Plastic Type, % by wt</t>
  </si>
  <si>
    <t>4.8.c) Tons of Resin (or Intermediate Material) Needed per Ton of Final Transformed Plastic and Rubber Product</t>
  </si>
  <si>
    <t>Carbon Fiber-Reinforced Plastic for High Pressure Vessels</t>
  </si>
  <si>
    <t>Carbon Fiber-Reinforced Plastic for General Use</t>
  </si>
  <si>
    <t>Glass Fiber-Reinforced Plastic (RTM)</t>
  </si>
  <si>
    <t>Glass Fiber-Reinforced Plastic (prepregs)</t>
  </si>
  <si>
    <t>Glass Fiber-Reinforced Plastic (SMC)</t>
  </si>
  <si>
    <t>Glass Fiber</t>
  </si>
  <si>
    <t>4.8.b) Composition of Glass Fiber-Reinforced Plastic and Carbon Fiber-Reinforced Plastic, % by wt</t>
  </si>
  <si>
    <t>PUR Rigid Foam</t>
  </si>
  <si>
    <t>PUR Flexible Foam</t>
  </si>
  <si>
    <t>HDPE</t>
  </si>
  <si>
    <t>HIPS</t>
  </si>
  <si>
    <t>GPPS</t>
  </si>
  <si>
    <t>4.8.a) Shares of Individual Plastic in a Vehicle for Average Plastic Calculation, % by wt</t>
  </si>
  <si>
    <t>4.7) Composition of Fiber Glass, % by wt</t>
  </si>
  <si>
    <t>4.6) Tons of Nickel Needed per Ton of Nickel Hydroxide Product</t>
  </si>
  <si>
    <t>Recycled Cast Aluminum</t>
  </si>
  <si>
    <t>Virgin Cast Aluminum</t>
  </si>
  <si>
    <t>Secondary Ingot Casting</t>
  </si>
  <si>
    <t>Scrap Preparation</t>
  </si>
  <si>
    <t>Alumina Reduction</t>
  </si>
  <si>
    <t>Bauxite Refining</t>
  </si>
  <si>
    <t>4.5) Tons of Intermediate Material Needed per Ton of Final Cast Aluminum Product</t>
  </si>
  <si>
    <t>Recycled Extruded Wrought Aluminum</t>
  </si>
  <si>
    <t>Recycled Cold Rolled Wrought Aluminum</t>
  </si>
  <si>
    <t>Recycled Hot Rolled Wrought Aluminum</t>
  </si>
  <si>
    <t>Virgin Extruded Wrought Aluminum</t>
  </si>
  <si>
    <t>Virgin Cold Rolled Wrought Aluminum</t>
  </si>
  <si>
    <t>Virgin Hot Rolled Wrought Aluminum</t>
  </si>
  <si>
    <t>4.4.b) Tons of Intermediate Material Needed per Ton of Final Wrought Aluminum Product</t>
  </si>
  <si>
    <t xml:space="preserve">  </t>
  </si>
  <si>
    <t>Extruded</t>
  </si>
  <si>
    <t>Cold Rolled</t>
  </si>
  <si>
    <t>Hot Rolled</t>
  </si>
  <si>
    <t>4.4.a) Shares of Wrought Aluminum Types in a Vehicle for Average Virgin Wrought Aluminum Calculation, % by wt</t>
  </si>
  <si>
    <t>Forged Iron</t>
  </si>
  <si>
    <t>4.3 Shares of Iron Types in a Vehicle for Average Iron Calculation, % by wt</t>
  </si>
  <si>
    <t>Recycled Steel for Construction</t>
  </si>
  <si>
    <t>Recycled Steel</t>
  </si>
  <si>
    <t>Virgin Stamped Steel</t>
  </si>
  <si>
    <t>Galvanizing</t>
  </si>
  <si>
    <t>Skin Mill</t>
  </si>
  <si>
    <t>4.2b) Tons of Steel Feedstock per Ton of Steel Output</t>
  </si>
  <si>
    <t>Galvanized Rolled</t>
  </si>
  <si>
    <t>4.2.a) Shares of Steel Types in a Vehicle for Average Virgin Stamped Steel Calculation, % by wt</t>
  </si>
  <si>
    <t>Magnesium</t>
  </si>
  <si>
    <t>Recycled Material</t>
  </si>
  <si>
    <t>Virgin Material</t>
  </si>
  <si>
    <t>4.1) Share of Virgin and Recycled Materials Used in Vehicle, % by wt</t>
  </si>
  <si>
    <t>4. Key Input Parameters for Material Use</t>
  </si>
  <si>
    <t xml:space="preserve">  Share of methanol in windshield fluid, % by wt</t>
  </si>
  <si>
    <t xml:space="preserve">  Share of ethylene glycol in engine coolant, % by wt</t>
  </si>
  <si>
    <t>3. Share of Key Material Compostion in Specific Fluids</t>
  </si>
  <si>
    <t xml:space="preserve">    Electronic Parts</t>
  </si>
  <si>
    <t xml:space="preserve">    Coolant: Glycol</t>
  </si>
  <si>
    <t xml:space="preserve">    Thermal Insulation</t>
  </si>
  <si>
    <t xml:space="preserve">    Steel</t>
  </si>
  <si>
    <t xml:space="preserve">    Plastic: Polyethylene Terephthalate</t>
  </si>
  <si>
    <t xml:space="preserve">    Plastic: Polyethylene</t>
  </si>
  <si>
    <t xml:space="preserve">    Plastic: Polypropylene</t>
    <phoneticPr fontId="4" type="noConversion"/>
  </si>
  <si>
    <t xml:space="preserve">    Electrolyte: Dimethyl Carbonate</t>
  </si>
  <si>
    <t xml:space="preserve">    Electrolyte: Ethylene Carbonate</t>
  </si>
  <si>
    <r>
      <t xml:space="preserve">    Electrolyte: LiPF</t>
    </r>
    <r>
      <rPr>
        <vertAlign val="subscript"/>
        <sz val="8"/>
        <rFont val="Arial"/>
        <family val="2"/>
      </rPr>
      <t>6</t>
    </r>
  </si>
  <si>
    <t xml:space="preserve">    Cast Aluminum</t>
  </si>
  <si>
    <t xml:space="preserve">    Wrought Aluminum</t>
  </si>
  <si>
    <t xml:space="preserve">    Copper</t>
  </si>
  <si>
    <t xml:space="preserve">    Binder</t>
  </si>
  <si>
    <t xml:space="preserve">    Silicon</t>
  </si>
  <si>
    <t xml:space="preserve">    Graphite/Carbon</t>
  </si>
  <si>
    <t xml:space="preserve">    Active Material</t>
  </si>
  <si>
    <t>LFP</t>
  </si>
  <si>
    <t>EV</t>
  </si>
  <si>
    <t>Series PHEV</t>
  </si>
  <si>
    <t>Split PHEV</t>
  </si>
  <si>
    <t>Li-Ion</t>
  </si>
  <si>
    <t xml:space="preserve">    Rubber</t>
  </si>
  <si>
    <t xml:space="preserve">    Average Plastic</t>
    <phoneticPr fontId="4" type="noConversion"/>
  </si>
  <si>
    <t xml:space="preserve">    Rare Earth Metals</t>
  </si>
  <si>
    <t xml:space="preserve">    Nickel</t>
  </si>
  <si>
    <t xml:space="preserve">    Cobalt</t>
  </si>
  <si>
    <t xml:space="preserve">    Magnesium</t>
  </si>
  <si>
    <t xml:space="preserve">    Aluminum</t>
  </si>
  <si>
    <t xml:space="preserve">    Iron</t>
  </si>
  <si>
    <t>Ni-MH</t>
  </si>
  <si>
    <t xml:space="preserve">    Others</t>
  </si>
  <si>
    <t xml:space="preserve">    Water</t>
  </si>
  <si>
    <t xml:space="preserve">    Fiberglass</t>
  </si>
  <si>
    <t xml:space="preserve">    Sulfuric Acid</t>
  </si>
  <si>
    <t xml:space="preserve">    Lead</t>
  </si>
  <si>
    <t>Lead-Acid</t>
  </si>
  <si>
    <t>FCV: Lightweight Material</t>
  </si>
  <si>
    <t>FCV: Conventional Material</t>
  </si>
  <si>
    <t>EV: Lightweight Material</t>
  </si>
  <si>
    <t>EV: Conventional Material</t>
  </si>
  <si>
    <t>PHEV: Lightweight Material</t>
  </si>
  <si>
    <t>PHEV: Conventional Material</t>
  </si>
  <si>
    <t>HEV: Lightweight Material</t>
  </si>
  <si>
    <t>HEV: Conventional Material</t>
  </si>
  <si>
    <t>ICEV: Lightweight Material</t>
  </si>
  <si>
    <t>ICEV: Conventional Material</t>
  </si>
  <si>
    <t>2. Battery Material Composition, % by wt</t>
  </si>
  <si>
    <t>1.3) Material Composition of Tire, % by wt</t>
  </si>
  <si>
    <t>Carbon</t>
  </si>
  <si>
    <t>Silicon</t>
  </si>
  <si>
    <t>Platinum</t>
  </si>
  <si>
    <t>Carbon &amp; PFSA Suspension</t>
  </si>
  <si>
    <t>Carbon Paper</t>
  </si>
  <si>
    <t>PFSA</t>
  </si>
  <si>
    <t>Average Plastic</t>
  </si>
  <si>
    <t>1.2) Vehicle Material Compostion Aggregated by Each Component: % by wt</t>
  </si>
  <si>
    <t xml:space="preserve">    Average Plastics</t>
  </si>
  <si>
    <t xml:space="preserve">    Glass Fiber-Reinforced Plastic</t>
  </si>
  <si>
    <t xml:space="preserve">    Carbon Fiber-Reinforced Plastic</t>
    <phoneticPr fontId="4" type="noConversion"/>
  </si>
  <si>
    <t xml:space="preserve">    Stainless Steel</t>
  </si>
  <si>
    <t>Fuel Cell Onboard Storage</t>
  </si>
  <si>
    <t xml:space="preserve">    Average Plastic</t>
  </si>
  <si>
    <t xml:space="preserve">    Copper/Brass</t>
  </si>
  <si>
    <t>Electronic Controller</t>
  </si>
  <si>
    <t>Generator</t>
  </si>
  <si>
    <t>Traction Motor</t>
  </si>
  <si>
    <t xml:space="preserve">    Cast Iron</t>
  </si>
  <si>
    <t>Chassis (w/o battery)</t>
  </si>
  <si>
    <t xml:space="preserve">    Carbon Fiber-Reinforced Plastic</t>
  </si>
  <si>
    <t>Transmission System/Gearbox</t>
  </si>
  <si>
    <t xml:space="preserve">    Carbon</t>
  </si>
  <si>
    <t xml:space="preserve">    Platinum</t>
  </si>
  <si>
    <t xml:space="preserve">    Carbon &amp; PFSA Suspension</t>
  </si>
  <si>
    <t xml:space="preserve">    PTFE</t>
  </si>
  <si>
    <t xml:space="preserve">    Carbon Paper</t>
  </si>
  <si>
    <t xml:space="preserve">    PFSA</t>
  </si>
  <si>
    <t xml:space="preserve">    Cast iron</t>
  </si>
  <si>
    <t>Powertrain System (Including BOP)</t>
  </si>
  <si>
    <t xml:space="preserve">    Glass</t>
  </si>
  <si>
    <t>1.1) Material Composition for Each Component, % by wt</t>
  </si>
  <si>
    <t>1. Material Compostion for Vehicle Components</t>
  </si>
  <si>
    <t>Scenario Control Variables and Input Assumptions Related to Vehicle Materials</t>
  </si>
  <si>
    <t xml:space="preserve">     OC</t>
  </si>
  <si>
    <t xml:space="preserve">     BC</t>
  </si>
  <si>
    <t xml:space="preserve">     SOx</t>
  </si>
  <si>
    <t xml:space="preserve">     PM2.5</t>
  </si>
  <si>
    <t xml:space="preserve">     PM10</t>
  </si>
  <si>
    <t xml:space="preserve">     NOx</t>
  </si>
  <si>
    <t xml:space="preserve">     CO</t>
  </si>
  <si>
    <t xml:space="preserve">     VOC</t>
  </si>
  <si>
    <t>Urban Emissions: grams per vehicle lifetime</t>
  </si>
  <si>
    <t xml:space="preserve">     GHGs</t>
  </si>
  <si>
    <t xml:space="preserve">     CO2 (VOC, CO, CO2)</t>
  </si>
  <si>
    <t xml:space="preserve">     CO2</t>
  </si>
  <si>
    <t xml:space="preserve">     N2O</t>
  </si>
  <si>
    <t xml:space="preserve">     CH4</t>
  </si>
  <si>
    <t>Water consumption</t>
  </si>
  <si>
    <t xml:space="preserve">     Petroleum</t>
  </si>
  <si>
    <t xml:space="preserve">     Natural gas</t>
  </si>
  <si>
    <t xml:space="preserve">     Coal</t>
  </si>
  <si>
    <t xml:space="preserve">     Fossil fuels</t>
  </si>
  <si>
    <t xml:space="preserve">     Total energy</t>
  </si>
  <si>
    <t>3) Summary of Energy Consumption and Emissions for Battery: per-vehicle lifetime</t>
  </si>
  <si>
    <r>
      <t xml:space="preserve">    Electrolyte: LiPF</t>
    </r>
    <r>
      <rPr>
        <vertAlign val="subscript"/>
        <sz val="10"/>
        <rFont val="Arial"/>
        <family val="2"/>
      </rPr>
      <t>6</t>
    </r>
  </si>
  <si>
    <t>Weight by Materials: lb per battery</t>
  </si>
  <si>
    <t>2.3) Li-Ion Battery</t>
  </si>
  <si>
    <t>2.2) Ni-MH Battery</t>
  </si>
  <si>
    <t xml:space="preserve">    Plastic (polypropylene)</t>
  </si>
  <si>
    <t>2.1) Lead-Acid Battery</t>
  </si>
  <si>
    <t>2) Calculations of Energy Consumption and Emissions for Each Battery Type: per-vehicle lifetime</t>
  </si>
  <si>
    <t>Battery Material Composition, % by wt</t>
  </si>
  <si>
    <t>Battery Weight: lb per Vehicle</t>
  </si>
  <si>
    <t>FCV</t>
  </si>
  <si>
    <t>Battery Specific Energy: Wh/kg</t>
  </si>
  <si>
    <t>Battery Specific Power: W/kg</t>
  </si>
  <si>
    <t>ICEV</t>
  </si>
  <si>
    <t>Battery Replacements During Lifetime of Vehicle</t>
  </si>
  <si>
    <t>Peak Battery Energy Output (High Energy Applications), kilowatt-hours</t>
  </si>
  <si>
    <t>Peak Battery Power Output  (High Power Applications), kilowatts</t>
  </si>
  <si>
    <t xml:space="preserve">   2 -- Li Ion</t>
  </si>
  <si>
    <t xml:space="preserve">   1 -- Ni-MH</t>
  </si>
  <si>
    <t>Battery Type for Hybrid Electric Vehicle, Plug-in Hybrid Electric Vehicle, Electric Vehicle and Fuel Cell Vehicle Simulation</t>
  </si>
  <si>
    <r>
      <t xml:space="preserve">1) Key Input Parameters (from the </t>
    </r>
    <r>
      <rPr>
        <b/>
        <i/>
        <sz val="11"/>
        <rFont val="Arial"/>
        <family val="2"/>
      </rPr>
      <t xml:space="preserve">Vehi_Inputs </t>
    </r>
    <r>
      <rPr>
        <b/>
        <sz val="11"/>
        <rFont val="Arial"/>
        <family val="2"/>
      </rPr>
      <t>and</t>
    </r>
    <r>
      <rPr>
        <b/>
        <i/>
        <sz val="11"/>
        <rFont val="Arial"/>
        <family val="2"/>
      </rPr>
      <t xml:space="preserve"> Mat_Inputs</t>
    </r>
    <r>
      <rPr>
        <b/>
        <sz val="11"/>
        <rFont val="Arial"/>
        <family val="2"/>
      </rPr>
      <t xml:space="preserve"> sheet)</t>
    </r>
  </si>
  <si>
    <t>Summary of Energy Consumption and Emissions for Battery</t>
  </si>
  <si>
    <t>GREET 1_2018 Model</t>
  </si>
  <si>
    <t>Sheet from GREET2 2018</t>
  </si>
  <si>
    <t>Urban Emissions: grams</t>
  </si>
  <si>
    <t xml:space="preserve">     NOx </t>
  </si>
  <si>
    <t>Total Emissions: grams</t>
  </si>
  <si>
    <t>Energy Use: mmBtu per lb of material product</t>
  </si>
  <si>
    <t>Molybdenum</t>
  </si>
  <si>
    <t>Silicon as anode material</t>
  </si>
  <si>
    <t>Coolant</t>
  </si>
  <si>
    <t>BMS</t>
  </si>
  <si>
    <t>Dimethyl Carbonate</t>
  </si>
  <si>
    <t>Ethylene Carbonate</t>
  </si>
  <si>
    <r>
      <t>LiPF</t>
    </r>
    <r>
      <rPr>
        <vertAlign val="subscript"/>
        <sz val="10"/>
        <rFont val="Arial"/>
        <family val="2"/>
      </rPr>
      <t>6</t>
    </r>
  </si>
  <si>
    <t>PVDF</t>
  </si>
  <si>
    <t>Graphite</t>
  </si>
  <si>
    <t>NMP</t>
  </si>
  <si>
    <t>LCO: Solid State</t>
  </si>
  <si>
    <t>LCO: Hydrothermal</t>
  </si>
  <si>
    <t>LFP: Solid State</t>
  </si>
  <si>
    <t>LFP: Hydrothermal</t>
  </si>
  <si>
    <t>LMR-NMC:Solid State</t>
  </si>
  <si>
    <t>Recycled NMC(111): Coprecipitation</t>
  </si>
  <si>
    <t>NMC(811): Coprecipitation</t>
  </si>
  <si>
    <t>NMC(622): Coprecipitation</t>
  </si>
  <si>
    <t>NMC(111): Coprecipitation</t>
  </si>
  <si>
    <t>NMC(442): Coprecipitation</t>
  </si>
  <si>
    <r>
      <t>LiMn</t>
    </r>
    <r>
      <rPr>
        <b/>
        <vertAlign val="subscript"/>
        <sz val="10"/>
        <rFont val="Arial"/>
        <family val="2"/>
      </rPr>
      <t>2</t>
    </r>
    <r>
      <rPr>
        <b/>
        <sz val="10"/>
        <rFont val="Arial"/>
        <family val="2"/>
      </rPr>
      <t>O</t>
    </r>
    <r>
      <rPr>
        <b/>
        <vertAlign val="subscript"/>
        <sz val="10"/>
        <rFont val="Arial"/>
        <family val="2"/>
      </rPr>
      <t>4</t>
    </r>
    <r>
      <rPr>
        <b/>
        <sz val="8"/>
        <rFont val="Arial"/>
        <family val="2"/>
      </rPr>
      <t/>
    </r>
  </si>
  <si>
    <t>Nafion117 Sheet</t>
  </si>
  <si>
    <t>Thermal Insulation</t>
  </si>
  <si>
    <t>Manganese</t>
  </si>
  <si>
    <t>Manganese in Manganese Ore (MnO)</t>
  </si>
  <si>
    <t>Rare Earth</t>
  </si>
  <si>
    <t>Chromium</t>
  </si>
  <si>
    <t>Titanium</t>
  </si>
  <si>
    <t>Zirconium</t>
  </si>
  <si>
    <t>Vanadium</t>
  </si>
  <si>
    <t>Carbon Fiber Composite Plastic for High Pressure Vessels</t>
  </si>
  <si>
    <t>Carbon Fiber Composite Plastic for General Use</t>
  </si>
  <si>
    <t>Glass Fiber Composite Plastic</t>
  </si>
  <si>
    <t>Polypropylene</t>
  </si>
  <si>
    <t>Polyethylene Terephthalate</t>
  </si>
  <si>
    <t>High-Density Polyethylene</t>
  </si>
  <si>
    <t>Fiber Glass</t>
  </si>
  <si>
    <t>Average Magnesium</t>
  </si>
  <si>
    <t>Recycled Magnesium</t>
  </si>
  <si>
    <t>Virgin Magnesium</t>
  </si>
  <si>
    <t>Virgin Cobalt Metal</t>
  </si>
  <si>
    <t>Virgin Cobalt Chloride</t>
  </si>
  <si>
    <t>Virgin Cobalt Oxide</t>
  </si>
  <si>
    <t>Refined Nickel</t>
  </si>
  <si>
    <t>Average Nickel Hydroxide</t>
  </si>
  <si>
    <t>Virgin Nickel Hydroxide</t>
  </si>
  <si>
    <t>Average Nickel</t>
  </si>
  <si>
    <t>Virgin Nickel</t>
  </si>
  <si>
    <t>Average Lead</t>
  </si>
  <si>
    <t>Average Cast Aluminum</t>
  </si>
  <si>
    <t>Average Wrought Aluminum</t>
  </si>
  <si>
    <t>Recycled Wrought Aluminum</t>
  </si>
  <si>
    <t>Virgin Wrought Aluminum</t>
  </si>
  <si>
    <t>Average Steel</t>
  </si>
  <si>
    <t>Virgin Steel</t>
  </si>
  <si>
    <t>2) Summary of Energy Consumption and Emissions of Material Products</t>
  </si>
  <si>
    <t>Recycled Material Product</t>
  </si>
  <si>
    <t>Virgin Material Product</t>
  </si>
  <si>
    <r>
      <t xml:space="preserve">1) Key Input Parameters (from the </t>
    </r>
    <r>
      <rPr>
        <b/>
        <i/>
        <sz val="11"/>
        <rFont val="Arial"/>
        <family val="2"/>
      </rPr>
      <t>Mat_Inputs</t>
    </r>
    <r>
      <rPr>
        <b/>
        <sz val="11"/>
        <rFont val="Arial"/>
        <family val="2"/>
      </rPr>
      <t xml:space="preserve"> sheet): Share of Virgin and Recycled Materials Used in Vehicle</t>
    </r>
  </si>
  <si>
    <t>Summary of Material Production</t>
  </si>
  <si>
    <t>Sheet from GREET2 2018 With Aluminum Smelting Mostly from Coal</t>
  </si>
  <si>
    <t>LiMn2O4</t>
  </si>
  <si>
    <t>LiPF6</t>
  </si>
  <si>
    <t>1) Key Input Parameters (from the Vehi_Inputs and Mat_Inputs sheet)</t>
  </si>
  <si>
    <t xml:space="preserve">    Electrolyte: LiPF6</t>
  </si>
  <si>
    <t xml:space="preserve">    Plastic: Polypropylene</t>
  </si>
  <si>
    <t>Energy Use: mmBtu per ton of product</t>
  </si>
  <si>
    <r>
      <t>Recyled Li</t>
    </r>
    <r>
      <rPr>
        <b/>
        <vertAlign val="subscript"/>
        <sz val="10"/>
        <rFont val="Arial"/>
        <family val="2"/>
      </rPr>
      <t>2</t>
    </r>
    <r>
      <rPr>
        <b/>
        <sz val="10"/>
        <rFont val="Arial"/>
        <family val="2"/>
      </rPr>
      <t>CoO</t>
    </r>
    <r>
      <rPr>
        <b/>
        <vertAlign val="subscript"/>
        <sz val="10"/>
        <rFont val="Arial"/>
        <family val="2"/>
      </rPr>
      <t>3</t>
    </r>
  </si>
  <si>
    <t>Co</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</si>
  <si>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Recyled Li</t>
    </r>
    <r>
      <rPr>
        <b/>
        <vertAlign val="subscript"/>
        <sz val="10"/>
        <rFont val="Arial"/>
        <family val="2"/>
      </rPr>
      <t>2</t>
    </r>
    <r>
      <rPr>
        <b/>
        <sz val="10"/>
        <rFont val="Arial"/>
        <family val="2"/>
      </rPr>
      <t>CO</t>
    </r>
    <r>
      <rPr>
        <b/>
        <vertAlign val="subscript"/>
        <sz val="10"/>
        <rFont val="Arial"/>
        <family val="2"/>
      </rPr>
      <t>3</t>
    </r>
  </si>
  <si>
    <r>
      <t>Li</t>
    </r>
    <r>
      <rPr>
        <b/>
        <vertAlign val="subscript"/>
        <sz val="10"/>
        <rFont val="Arial"/>
        <family val="2"/>
      </rPr>
      <t>2</t>
    </r>
    <r>
      <rPr>
        <b/>
        <sz val="10"/>
        <rFont val="Arial"/>
        <family val="2"/>
      </rPr>
      <t>CO</t>
    </r>
    <r>
      <rPr>
        <b/>
        <vertAlign val="subscript"/>
        <sz val="10"/>
        <rFont val="Arial"/>
        <family val="2"/>
      </rPr>
      <t>3</t>
    </r>
  </si>
  <si>
    <t>Lithium</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</si>
  <si>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Virgin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from U.S.</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</si>
  <si>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Virgin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from Chile</t>
    </r>
  </si>
  <si>
    <r>
      <t>Mn</t>
    </r>
    <r>
      <rPr>
        <b/>
        <vertAlign val="subscript"/>
        <sz val="10"/>
        <rFont val="Arial"/>
        <family val="2"/>
      </rPr>
      <t>2</t>
    </r>
    <r>
      <rPr>
        <b/>
        <sz val="10"/>
        <rFont val="Arial"/>
        <family val="2"/>
      </rPr>
      <t>O</t>
    </r>
    <r>
      <rPr>
        <b/>
        <vertAlign val="subscript"/>
        <sz val="10"/>
        <rFont val="Arial"/>
        <family val="2"/>
      </rPr>
      <t>3</t>
    </r>
  </si>
  <si>
    <t>Lime</t>
  </si>
  <si>
    <t>Soda Ash</t>
  </si>
  <si>
    <t>Alcohol</t>
  </si>
  <si>
    <t xml:space="preserve">Sulfuric Acid </t>
  </si>
  <si>
    <t xml:space="preserve">Organic Solvent </t>
  </si>
  <si>
    <t xml:space="preserve">Lime </t>
  </si>
  <si>
    <t xml:space="preserve">Concentrated Lithium Brine </t>
  </si>
  <si>
    <t xml:space="preserve">Soda Ash </t>
  </si>
  <si>
    <t>Hydrochloric Acid</t>
  </si>
  <si>
    <r>
      <t>H</t>
    </r>
    <r>
      <rPr>
        <b/>
        <vertAlign val="subscript"/>
        <sz val="10"/>
        <rFont val="Arial"/>
        <family val="2"/>
      </rPr>
      <t>2</t>
    </r>
  </si>
  <si>
    <t>Pyrometallurgical Process</t>
  </si>
  <si>
    <t>Intermediate Physical</t>
  </si>
  <si>
    <t>Hydrometallurgical Process</t>
  </si>
  <si>
    <t>Hydrogen Peroxide</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</si>
  <si>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Production with Virgin Li</t>
    </r>
    <r>
      <rPr>
        <b/>
        <vertAlign val="subscript"/>
        <sz val="10"/>
        <rFont val="Arial"/>
        <family val="2"/>
      </rPr>
      <t>2</t>
    </r>
    <r>
      <rPr>
        <b/>
        <sz val="10"/>
        <rFont val="Arial"/>
        <family val="2"/>
      </rPr>
      <t>CO</t>
    </r>
    <r>
      <rPr>
        <b/>
        <vertAlign val="subscript"/>
        <sz val="10"/>
        <rFont val="Arial"/>
        <family val="2"/>
      </rPr>
      <t>3</t>
    </r>
  </si>
  <si>
    <r>
      <t>Li</t>
    </r>
    <r>
      <rPr>
        <b/>
        <vertAlign val="subscript"/>
        <sz val="10"/>
        <rFont val="Arial"/>
        <family val="2"/>
      </rPr>
      <t>2</t>
    </r>
    <r>
      <rPr>
        <b/>
        <sz val="10"/>
        <rFont val="Arial"/>
        <family val="2"/>
      </rPr>
      <t>CO3 Production in U.S.</t>
    </r>
  </si>
  <si>
    <r>
      <t>Li</t>
    </r>
    <r>
      <rPr>
        <b/>
        <vertAlign val="subscript"/>
        <sz val="10"/>
        <rFont val="Arial"/>
        <family val="2"/>
      </rPr>
      <t>2</t>
    </r>
    <r>
      <rPr>
        <b/>
        <sz val="10"/>
        <rFont val="Arial"/>
        <family val="2"/>
      </rPr>
      <t>CO3 Production in Chile</t>
    </r>
  </si>
  <si>
    <r>
      <t>Combined LiMn</t>
    </r>
    <r>
      <rPr>
        <b/>
        <vertAlign val="subscript"/>
        <sz val="10"/>
        <rFont val="Arial"/>
        <family val="2"/>
      </rPr>
      <t>2</t>
    </r>
    <r>
      <rPr>
        <b/>
        <sz val="10"/>
        <rFont val="Arial"/>
        <family val="2"/>
      </rPr>
      <t>O</t>
    </r>
    <r>
      <rPr>
        <b/>
        <vertAlign val="subscript"/>
        <sz val="10"/>
        <rFont val="Arial"/>
        <family val="2"/>
      </rPr>
      <t>4</t>
    </r>
  </si>
  <si>
    <r>
      <t>Recyled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via Direct Physical</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</si>
  <si>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Virgin Li</t>
    </r>
    <r>
      <rPr>
        <b/>
        <vertAlign val="subscript"/>
        <sz val="10"/>
        <rFont val="Arial"/>
        <family val="2"/>
      </rPr>
      <t>2</t>
    </r>
    <r>
      <rPr>
        <b/>
        <sz val="10"/>
        <rFont val="Arial"/>
        <family val="2"/>
      </rPr>
      <t>CO</t>
    </r>
    <r>
      <rPr>
        <b/>
        <vertAlign val="subscript"/>
        <sz val="10"/>
        <rFont val="Arial"/>
        <family val="2"/>
      </rPr>
      <t>3</t>
    </r>
  </si>
  <si>
    <t>4) Summary of Energy Consumption and Emissions Related to Li2CO3 Production</t>
  </si>
  <si>
    <t>Urban Emissions: grams per ton of product</t>
  </si>
  <si>
    <t>Total Emissions: grams per ton of product</t>
  </si>
  <si>
    <t xml:space="preserve">     Electricity</t>
  </si>
  <si>
    <t xml:space="preserve">     LPG</t>
  </si>
  <si>
    <t xml:space="preserve">     Gasoline</t>
  </si>
  <si>
    <t xml:space="preserve">     Diesel</t>
  </si>
  <si>
    <t xml:space="preserve">     Resid. oil</t>
  </si>
  <si>
    <t>Energy use: mmBtu per ton of product</t>
  </si>
  <si>
    <t xml:space="preserve">Shares of process fuels </t>
  </si>
  <si>
    <t>Urban emission share</t>
  </si>
  <si>
    <t>Energy inputs: mmBtu per ton</t>
  </si>
  <si>
    <t>Non-Combustion Emissions</t>
  </si>
  <si>
    <t>Combustion Emissions</t>
  </si>
  <si>
    <t>Transportation</t>
  </si>
  <si>
    <t>Al Recyling</t>
  </si>
  <si>
    <r>
      <t>LiCO</t>
    </r>
    <r>
      <rPr>
        <b/>
        <vertAlign val="subscript"/>
        <sz val="10"/>
        <rFont val="Arial"/>
        <family val="2"/>
      </rPr>
      <t>3</t>
    </r>
    <r>
      <rPr>
        <b/>
        <sz val="10"/>
        <rFont val="Arial"/>
        <family val="2"/>
      </rPr>
      <t xml:space="preserve"> Recycling</t>
    </r>
  </si>
  <si>
    <t>Cu Recyling</t>
  </si>
  <si>
    <t>Li Recyling</t>
  </si>
  <si>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 - U.S. (Nevada)</t>
    </r>
  </si>
  <si>
    <t>Soda Ash Production in U.S.</t>
  </si>
  <si>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 - Chile</t>
    </r>
  </si>
  <si>
    <t>Concentrated Li Brine Production - Chile</t>
  </si>
  <si>
    <t>Soda Ash Production in Chile</t>
  </si>
  <si>
    <r>
      <t>LiCoO</t>
    </r>
    <r>
      <rPr>
        <b/>
        <vertAlign val="subscript"/>
        <sz val="10"/>
        <rFont val="Arial"/>
        <family val="2"/>
      </rPr>
      <t>2</t>
    </r>
    <r>
      <rPr>
        <b/>
        <sz val="10"/>
        <rFont val="Arial"/>
        <family val="2"/>
      </rPr>
      <t xml:space="preserve"> Recycling</t>
    </r>
  </si>
  <si>
    <t>Smelting and Leaching</t>
  </si>
  <si>
    <t>Firing Step</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</si>
  <si>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and LiCoO</t>
    </r>
    <r>
      <rPr>
        <b/>
        <vertAlign val="subscript"/>
        <sz val="10"/>
        <rFont val="Arial"/>
        <family val="2"/>
      </rPr>
      <t>2</t>
    </r>
    <r>
      <rPr>
        <b/>
        <sz val="10"/>
        <rFont val="Arial"/>
        <family val="2"/>
      </rPr>
      <t xml:space="preserve"> Recycling</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</si>
  <si>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Recyle via Intermediate Physical</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</si>
  <si>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Recyle via Hydrometallurgical Process</t>
    </r>
  </si>
  <si>
    <t>Hydrogen Peroxide Production</t>
  </si>
  <si>
    <t>Production in U.S.</t>
  </si>
  <si>
    <t>Production in Chile</t>
  </si>
  <si>
    <t>Co recycle by Intermediate Process</t>
  </si>
  <si>
    <r>
      <t>Li</t>
    </r>
    <r>
      <rPr>
        <b/>
        <vertAlign val="subscript"/>
        <sz val="10"/>
        <rFont val="Arial"/>
        <family val="2"/>
      </rPr>
      <t>2</t>
    </r>
    <r>
      <rPr>
        <b/>
        <sz val="10"/>
        <rFont val="Arial"/>
        <family val="2"/>
      </rPr>
      <t>CoO</t>
    </r>
    <r>
      <rPr>
        <b/>
        <vertAlign val="subscript"/>
        <sz val="10"/>
        <rFont val="Arial"/>
        <family val="2"/>
      </rPr>
      <t>2</t>
    </r>
    <r>
      <rPr>
        <b/>
        <sz val="10"/>
        <rFont val="Arial"/>
        <family val="2"/>
      </rPr>
      <t xml:space="preserve"> Recyle via Pyrometallurgical Process</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</si>
  <si>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and LiCoO</t>
    </r>
    <r>
      <rPr>
        <b/>
        <vertAlign val="subscript"/>
        <sz val="10"/>
        <rFont val="Arial"/>
        <family val="2"/>
      </rPr>
      <t>2</t>
    </r>
    <r>
      <rPr>
        <b/>
        <sz val="10"/>
        <rFont val="Arial"/>
        <family val="2"/>
      </rPr>
      <t xml:space="preserve"> Recyle via Direct Physical</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</si>
  <si>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Production</t>
    </r>
  </si>
  <si>
    <r>
      <t>Mn</t>
    </r>
    <r>
      <rPr>
        <b/>
        <vertAlign val="subscript"/>
        <sz val="10"/>
        <rFont val="Arial"/>
        <family val="2"/>
      </rPr>
      <t>2</t>
    </r>
    <r>
      <rPr>
        <b/>
        <sz val="10"/>
        <rFont val="Arial"/>
        <family val="2"/>
      </rPr>
      <t>O</t>
    </r>
    <r>
      <rPr>
        <b/>
        <vertAlign val="subscript"/>
        <sz val="10"/>
        <rFont val="Arial"/>
        <family val="2"/>
      </rPr>
      <t xml:space="preserve">3 </t>
    </r>
    <r>
      <rPr>
        <b/>
        <sz val="10"/>
        <rFont val="Arial"/>
        <family val="2"/>
      </rPr>
      <t>Production</t>
    </r>
  </si>
  <si>
    <r>
      <t>Recyled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t>
    </r>
  </si>
  <si>
    <r>
      <t>Virgin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t>
    </r>
  </si>
  <si>
    <t>3) Calculations of Energy Consumption and Emissions for Each Stage</t>
  </si>
  <si>
    <t>Coal Kiln</t>
  </si>
  <si>
    <t>Coal industrial boiler</t>
  </si>
  <si>
    <t>NG Calciner</t>
  </si>
  <si>
    <t>NG Dryer</t>
  </si>
  <si>
    <t>NG Kiln</t>
  </si>
  <si>
    <t>NG Conversion</t>
  </si>
  <si>
    <t>NG stationary recip engine</t>
  </si>
  <si>
    <t>NG small industrial boiler</t>
  </si>
  <si>
    <t>NG utility boiler</t>
  </si>
  <si>
    <t>LPG industrial boiler</t>
  </si>
  <si>
    <t>Gasoline stationary recip engine</t>
  </si>
  <si>
    <t>Diesel industrial boiler</t>
  </si>
  <si>
    <t>Diesel stationary reciprocating engine</t>
  </si>
  <si>
    <t>Diesel off-road vehicle</t>
  </si>
  <si>
    <t>Resi. Oil Conversion</t>
  </si>
  <si>
    <t>Resi. oil industrial boiler</t>
  </si>
  <si>
    <t>Pyrometallurgical: LiCoO2</t>
  </si>
  <si>
    <t>Pyrometallurgical: Smelting and Leaching</t>
  </si>
  <si>
    <t>Pyrometallurgical: Firing Step</t>
  </si>
  <si>
    <t>Direct Physical: Al</t>
  </si>
  <si>
    <r>
      <t>Direct Physical: LiMn</t>
    </r>
    <r>
      <rPr>
        <b/>
        <vertAlign val="subscript"/>
        <sz val="10"/>
        <rFont val="Arial"/>
        <family val="2"/>
      </rPr>
      <t>2</t>
    </r>
    <r>
      <rPr>
        <b/>
        <sz val="10"/>
        <rFont val="Arial"/>
        <family val="2"/>
      </rPr>
      <t>O</t>
    </r>
    <r>
      <rPr>
        <b/>
        <vertAlign val="subscript"/>
        <sz val="10"/>
        <rFont val="Arial"/>
        <family val="2"/>
      </rPr>
      <t>4</t>
    </r>
  </si>
  <si>
    <t>LiMn2O4 Production</t>
  </si>
  <si>
    <t>Mn2O3 Production</t>
  </si>
  <si>
    <t>Intermediate Physical: Al</t>
  </si>
  <si>
    <r>
      <t>Intermediate Physical: Li</t>
    </r>
    <r>
      <rPr>
        <b/>
        <vertAlign val="subscript"/>
        <sz val="10"/>
        <rFont val="Arial"/>
        <family val="2"/>
      </rPr>
      <t>2</t>
    </r>
    <r>
      <rPr>
        <b/>
        <sz val="10"/>
        <rFont val="Arial"/>
        <family val="2"/>
      </rPr>
      <t>CO</t>
    </r>
    <r>
      <rPr>
        <b/>
        <vertAlign val="subscript"/>
        <sz val="10"/>
        <rFont val="Arial"/>
        <family val="2"/>
      </rPr>
      <t>3</t>
    </r>
  </si>
  <si>
    <t>Hydrometallurgical: Cu</t>
  </si>
  <si>
    <t>Hydrometallurgical: Al</t>
  </si>
  <si>
    <t>Hydrometallurgical: Li</t>
  </si>
  <si>
    <t>Li2CO3 Production - U.S. (Nevada)</t>
  </si>
  <si>
    <t>Soda Ash (Na2CO3) in U.S.</t>
  </si>
  <si>
    <t>Li2CO3 Production - Chile</t>
  </si>
  <si>
    <t>Soda Ash (Na2CO3) in Chile</t>
  </si>
  <si>
    <t>2) Shares of Combustion Processes for Each stage</t>
  </si>
  <si>
    <r>
      <t>Type of Alcohol for Li</t>
    </r>
    <r>
      <rPr>
        <vertAlign val="subscript"/>
        <sz val="10"/>
        <rFont val="Arial"/>
        <family val="2"/>
      </rPr>
      <t>2</t>
    </r>
    <r>
      <rPr>
        <sz val="11"/>
        <color theme="1"/>
        <rFont val="Calibri"/>
        <family val="2"/>
        <scheme val="minor"/>
      </rPr>
      <t>CO</t>
    </r>
    <r>
      <rPr>
        <vertAlign val="subscript"/>
        <sz val="10"/>
        <rFont val="Arial"/>
        <family val="2"/>
      </rPr>
      <t>3</t>
    </r>
    <r>
      <rPr>
        <sz val="11"/>
        <color theme="1"/>
        <rFont val="Calibri"/>
        <family val="2"/>
        <scheme val="minor"/>
      </rPr>
      <t xml:space="preserve"> Production in Chile</t>
    </r>
  </si>
  <si>
    <r>
      <t xml:space="preserve">     Mn</t>
    </r>
    <r>
      <rPr>
        <vertAlign val="subscript"/>
        <sz val="10"/>
        <rFont val="Arial"/>
        <family val="2"/>
      </rPr>
      <t>2</t>
    </r>
    <r>
      <rPr>
        <sz val="11"/>
        <color theme="1"/>
        <rFont val="Calibri"/>
        <family val="2"/>
        <scheme val="minor"/>
      </rPr>
      <t>O</t>
    </r>
    <r>
      <rPr>
        <vertAlign val="subscript"/>
        <sz val="10"/>
        <rFont val="Arial"/>
        <family val="2"/>
      </rPr>
      <t>3</t>
    </r>
  </si>
  <si>
    <r>
      <t xml:space="preserve">     Li</t>
    </r>
    <r>
      <rPr>
        <vertAlign val="subscript"/>
        <sz val="10"/>
        <rFont val="Arial"/>
        <family val="2"/>
      </rPr>
      <t>2</t>
    </r>
    <r>
      <rPr>
        <sz val="11"/>
        <color theme="1"/>
        <rFont val="Calibri"/>
        <family val="2"/>
        <scheme val="minor"/>
      </rPr>
      <t>CO</t>
    </r>
    <r>
      <rPr>
        <vertAlign val="subscript"/>
        <sz val="10"/>
        <rFont val="Arial"/>
        <family val="2"/>
      </rPr>
      <t>3</t>
    </r>
  </si>
  <si>
    <t xml:space="preserve">     Manganese in manganese ore</t>
  </si>
  <si>
    <t xml:space="preserve">     Limestone</t>
  </si>
  <si>
    <t xml:space="preserve">     Lithium</t>
  </si>
  <si>
    <t xml:space="preserve">     NMP</t>
  </si>
  <si>
    <r>
      <t xml:space="preserve">     Hydrogen Peroxide (H</t>
    </r>
    <r>
      <rPr>
        <vertAlign val="subscript"/>
        <sz val="10"/>
        <rFont val="Arial"/>
        <family val="2"/>
      </rPr>
      <t>2</t>
    </r>
    <r>
      <rPr>
        <sz val="11"/>
        <color theme="1"/>
        <rFont val="Calibri"/>
        <family val="2"/>
        <scheme val="minor"/>
      </rPr>
      <t>O</t>
    </r>
    <r>
      <rPr>
        <vertAlign val="subscript"/>
        <sz val="10"/>
        <rFont val="Arial"/>
        <family val="2"/>
      </rPr>
      <t>2</t>
    </r>
    <r>
      <rPr>
        <sz val="11"/>
        <color theme="1"/>
        <rFont val="Calibri"/>
        <family val="2"/>
        <scheme val="minor"/>
      </rPr>
      <t>)</t>
    </r>
  </si>
  <si>
    <t xml:space="preserve">     Citric Acid</t>
  </si>
  <si>
    <t xml:space="preserve">     Alcohol</t>
  </si>
  <si>
    <r>
      <t xml:space="preserve">     Sulfuric acid (H</t>
    </r>
    <r>
      <rPr>
        <vertAlign val="subscript"/>
        <sz val="10"/>
        <rFont val="Arial"/>
        <family val="2"/>
      </rPr>
      <t>2</t>
    </r>
    <r>
      <rPr>
        <sz val="11"/>
        <color theme="1"/>
        <rFont val="Calibri"/>
        <family val="2"/>
        <scheme val="minor"/>
      </rPr>
      <t>SO</t>
    </r>
    <r>
      <rPr>
        <vertAlign val="subscript"/>
        <sz val="10"/>
        <rFont val="Arial"/>
        <family val="2"/>
      </rPr>
      <t>4</t>
    </r>
    <r>
      <rPr>
        <sz val="11"/>
        <color theme="1"/>
        <rFont val="Calibri"/>
        <family val="2"/>
        <scheme val="minor"/>
      </rPr>
      <t>)</t>
    </r>
  </si>
  <si>
    <t xml:space="preserve">     Organic solvent</t>
  </si>
  <si>
    <t xml:space="preserve">     Lime</t>
  </si>
  <si>
    <t xml:space="preserve">     Concentrated Lithium Brine</t>
  </si>
  <si>
    <r>
      <t xml:space="preserve">     Soda Ash (Na</t>
    </r>
    <r>
      <rPr>
        <vertAlign val="subscript"/>
        <sz val="10"/>
        <rFont val="Arial"/>
        <family val="2"/>
      </rPr>
      <t>2</t>
    </r>
    <r>
      <rPr>
        <sz val="11"/>
        <color theme="1"/>
        <rFont val="Calibri"/>
        <family val="2"/>
        <scheme val="minor"/>
      </rPr>
      <t>CO</t>
    </r>
    <r>
      <rPr>
        <vertAlign val="subscript"/>
        <sz val="10"/>
        <rFont val="Arial"/>
        <family val="2"/>
      </rPr>
      <t>3</t>
    </r>
    <r>
      <rPr>
        <sz val="11"/>
        <color theme="1"/>
        <rFont val="Calibri"/>
        <family val="2"/>
        <scheme val="minor"/>
      </rPr>
      <t>)</t>
    </r>
  </si>
  <si>
    <t xml:space="preserve">     Hydrochloric acid (HCl)</t>
  </si>
  <si>
    <r>
      <t xml:space="preserve">     H</t>
    </r>
    <r>
      <rPr>
        <vertAlign val="subscript"/>
        <sz val="10"/>
        <rFont val="Arial"/>
        <family val="2"/>
      </rPr>
      <t>2</t>
    </r>
  </si>
  <si>
    <t>Co via pyrometallurgical (ton/ton Co)</t>
  </si>
  <si>
    <r>
      <t>Li</t>
    </r>
    <r>
      <rPr>
        <b/>
        <sz val="10"/>
        <rFont val="Arial"/>
        <family val="2"/>
      </rPr>
      <t>CoO</t>
    </r>
    <r>
      <rPr>
        <b/>
        <vertAlign val="subscript"/>
        <sz val="10"/>
        <rFont val="Arial"/>
        <family val="2"/>
      </rPr>
      <t>2</t>
    </r>
    <r>
      <rPr>
        <b/>
        <sz val="10"/>
        <rFont val="Arial"/>
        <family val="2"/>
      </rPr>
      <t xml:space="preserve"> via pyrometallurgical (ton/ton LiCoO</t>
    </r>
    <r>
      <rPr>
        <b/>
        <vertAlign val="subscript"/>
        <sz val="10"/>
        <rFont val="Arial"/>
        <family val="2"/>
      </rPr>
      <t>2</t>
    </r>
    <r>
      <rPr>
        <b/>
        <sz val="10"/>
        <rFont val="Arial"/>
        <family val="2"/>
      </rPr>
      <t>)</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</si>
  <si>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via direct physical (ton/ton LiMn</t>
    </r>
    <r>
      <rPr>
        <b/>
        <vertAlign val="subscript"/>
        <sz val="10"/>
        <rFont val="Arial"/>
        <family val="2"/>
      </rPr>
      <t>2</t>
    </r>
    <r>
      <rPr>
        <b/>
        <sz val="10"/>
        <rFont val="Arial"/>
        <family val="2"/>
      </rPr>
      <t>O</t>
    </r>
    <r>
      <rPr>
        <b/>
        <vertAlign val="subscript"/>
        <sz val="10"/>
        <rFont val="Arial"/>
        <family val="2"/>
      </rPr>
      <t>4</t>
    </r>
    <r>
      <rPr>
        <b/>
        <sz val="10"/>
        <rFont val="Arial"/>
        <family val="2"/>
      </rPr>
      <t>)</t>
    </r>
  </si>
  <si>
    <r>
      <t>Virgin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Production (ton/ton LiMn</t>
    </r>
    <r>
      <rPr>
        <b/>
        <vertAlign val="subscript"/>
        <sz val="10"/>
        <rFont val="Arial"/>
        <family val="2"/>
      </rPr>
      <t>2</t>
    </r>
    <r>
      <rPr>
        <b/>
        <sz val="10"/>
        <rFont val="Arial"/>
        <family val="2"/>
      </rPr>
      <t>O</t>
    </r>
    <r>
      <rPr>
        <b/>
        <vertAlign val="subscript"/>
        <sz val="10"/>
        <rFont val="Arial"/>
        <family val="2"/>
      </rPr>
      <t>4</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</si>
  <si>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via intermediate physical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</si>
  <si>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via hydrometallurgical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</si>
  <si>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t>Li via hydrometallurgical (ton/ton recovered Li)</t>
  </si>
  <si>
    <r>
      <t>H</t>
    </r>
    <r>
      <rPr>
        <b/>
        <vertAlign val="subscript"/>
        <sz val="10"/>
        <rFont val="Arial"/>
        <family val="2"/>
      </rPr>
      <t>2</t>
    </r>
    <r>
      <rPr>
        <b/>
        <sz val="10"/>
        <rFont val="Arial"/>
        <family val="2"/>
      </rPr>
      <t>O</t>
    </r>
    <r>
      <rPr>
        <b/>
        <vertAlign val="subscript"/>
        <sz val="10"/>
        <rFont val="Arial"/>
        <family val="2"/>
      </rPr>
      <t>2</t>
    </r>
    <r>
      <rPr>
        <b/>
        <sz val="10"/>
        <rFont val="Arial"/>
        <family val="2"/>
      </rPr>
      <t xml:space="preserve"> (ton/ton H</t>
    </r>
    <r>
      <rPr>
        <b/>
        <vertAlign val="subscript"/>
        <sz val="10"/>
        <rFont val="Arial"/>
        <family val="2"/>
      </rPr>
      <t>2</t>
    </r>
    <r>
      <rPr>
        <b/>
        <sz val="10"/>
        <rFont val="Arial"/>
        <family val="2"/>
      </rPr>
      <t>O</t>
    </r>
    <r>
      <rPr>
        <b/>
        <vertAlign val="subscript"/>
        <sz val="10"/>
        <rFont val="Arial"/>
        <family val="2"/>
      </rPr>
      <t>2</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</si>
  <si>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in U.S.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</si>
  <si>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in Chile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</si>
  <si>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t>1.3) Upstream Material Use: ton per ton of product</t>
  </si>
  <si>
    <r>
      <t>ton NMP/ton LiMn</t>
    </r>
    <r>
      <rPr>
        <vertAlign val="subscript"/>
        <sz val="10"/>
        <rFont val="Arial"/>
        <family val="2"/>
      </rPr>
      <t>2</t>
    </r>
    <r>
      <rPr>
        <sz val="11"/>
        <color theme="1"/>
        <rFont val="Calibri"/>
        <family val="2"/>
        <scheme val="minor"/>
      </rPr>
      <t>O</t>
    </r>
    <r>
      <rPr>
        <vertAlign val="subscript"/>
        <sz val="10"/>
        <rFont val="Arial"/>
        <family val="2"/>
      </rPr>
      <t>4</t>
    </r>
  </si>
  <si>
    <r>
      <t>1.2) NMP required during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battery manufacturing process</t>
    </r>
  </si>
  <si>
    <t>Share of LiMn2O4 Sources</t>
  </si>
  <si>
    <t>via Direct Physical</t>
  </si>
  <si>
    <t>via Intermediate Physical</t>
  </si>
  <si>
    <t>via Hydrometallurgical</t>
  </si>
  <si>
    <t>From U.S.</t>
  </si>
  <si>
    <t>From Chile</t>
  </si>
  <si>
    <r>
      <t>Recyled LiMn</t>
    </r>
    <r>
      <rPr>
        <vertAlign val="subscript"/>
        <sz val="10"/>
        <rFont val="Arial"/>
        <family val="2"/>
      </rPr>
      <t>2</t>
    </r>
    <r>
      <rPr>
        <sz val="11"/>
        <color theme="1"/>
        <rFont val="Calibri"/>
        <family val="2"/>
        <scheme val="minor"/>
      </rPr>
      <t>O</t>
    </r>
    <r>
      <rPr>
        <vertAlign val="subscript"/>
        <sz val="10"/>
        <rFont val="Arial"/>
        <family val="2"/>
      </rPr>
      <t>4</t>
    </r>
  </si>
  <si>
    <r>
      <t>Recyled Li</t>
    </r>
    <r>
      <rPr>
        <vertAlign val="subscript"/>
        <sz val="10"/>
        <rFont val="Arial"/>
        <family val="2"/>
      </rPr>
      <t>2</t>
    </r>
    <r>
      <rPr>
        <sz val="11"/>
        <color theme="1"/>
        <rFont val="Calibri"/>
        <family val="2"/>
        <scheme val="minor"/>
      </rPr>
      <t>CO</t>
    </r>
    <r>
      <rPr>
        <vertAlign val="subscript"/>
        <sz val="10"/>
        <rFont val="Arial"/>
        <family val="2"/>
      </rPr>
      <t>3</t>
    </r>
  </si>
  <si>
    <r>
      <t>Virgin Li</t>
    </r>
    <r>
      <rPr>
        <vertAlign val="subscript"/>
        <sz val="10"/>
        <rFont val="Arial"/>
        <family val="2"/>
      </rPr>
      <t>2</t>
    </r>
    <r>
      <rPr>
        <sz val="11"/>
        <color theme="1"/>
        <rFont val="Calibri"/>
        <family val="2"/>
        <scheme val="minor"/>
      </rPr>
      <t>CO</t>
    </r>
    <r>
      <rPr>
        <vertAlign val="subscript"/>
        <sz val="10"/>
        <rFont val="Arial"/>
        <family val="2"/>
      </rPr>
      <t>3</t>
    </r>
  </si>
  <si>
    <r>
      <t>1.1) Share of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Sources</t>
    </r>
  </si>
  <si>
    <t>1) Key Input Parameters</t>
  </si>
  <si>
    <t>10. Ratios of Fuel Economy of Lightweight Material Vehicles Relative to Their Conventional Material Vehicles Counterpart</t>
  </si>
  <si>
    <t>9. Ratios of Fuel Economy of Chosen Conventional Vehicles Relative to Their Baseline Vehicles</t>
  </si>
  <si>
    <t>8. Lifetime VMT of a Vehicle, miles</t>
  </si>
  <si>
    <t>Vehicle Disposal</t>
  </si>
  <si>
    <t>Vehicle Assembly - Compressed Air</t>
  </si>
  <si>
    <t>Vehicle Assembly - Welding</t>
  </si>
  <si>
    <t>Vehicle Assembly - Material Handling</t>
  </si>
  <si>
    <t>Vehicle Assembly - Heating</t>
  </si>
  <si>
    <t>Vehicle Assembly - HVAC &amp; Lighting</t>
  </si>
  <si>
    <t>Vehicle Assembly - Painting</t>
  </si>
  <si>
    <t>Paint Production</t>
  </si>
  <si>
    <t>7.2) Energy Use of Vehicle Assembling, Disposal and Recycling: mmBtu per vehicle</t>
  </si>
  <si>
    <t>Li-Ion (mmBtu per kWh battery)</t>
  </si>
  <si>
    <t>Ni-MH (mmBtu per ton of battery)</t>
  </si>
  <si>
    <t>Lead-Acid (mmBtu per ton of battery)</t>
  </si>
  <si>
    <t>7.1) Energy Use of Battery Assembly</t>
  </si>
  <si>
    <t>7. GREET Default Key Assumptions for Vehicle Assembly</t>
  </si>
  <si>
    <t>Adhesives</t>
  </si>
  <si>
    <t>Windshield Fluid</t>
  </si>
  <si>
    <t>Powertrain Coolant</t>
  </si>
  <si>
    <t>Transmission Fluid</t>
  </si>
  <si>
    <t>Brake Fluid</t>
  </si>
  <si>
    <t>Power Steering Fluid</t>
  </si>
  <si>
    <t>Engine Oil</t>
  </si>
  <si>
    <t>6.2) Ratio of Waste to Product when Fluids is Disposed</t>
  </si>
  <si>
    <t>6.1) Fluids Replacements During Lifetime of Vehicle</t>
  </si>
  <si>
    <t>6. Key Input Parameters for Fluids</t>
  </si>
  <si>
    <t>Wh/lb</t>
  </si>
  <si>
    <t>Wh/kg</t>
  </si>
  <si>
    <t>Series-PHEV</t>
  </si>
  <si>
    <t>Split-PHEV</t>
  </si>
  <si>
    <t>Li-Ion</t>
    <phoneticPr fontId="4" type="noConversion"/>
  </si>
  <si>
    <t>Li-ion Battery Specific Energy (Wh/kg)</t>
  </si>
  <si>
    <t>5.7) Battery Specific Energy</t>
  </si>
  <si>
    <t>W/lb</t>
  </si>
  <si>
    <t>W/kg</t>
  </si>
  <si>
    <t>Li-ion Battery Specific Power (W/kg)</t>
  </si>
  <si>
    <t>5.6) Battery Specific Power</t>
  </si>
  <si>
    <t>1. LMO, 2. NMC111, 3.LFP: Hydrothermal, 4. LFP: Solid State</t>
  </si>
  <si>
    <t>1. LMO, 2. NMC111, 3.LFP: Hydrothermal, 4. LFP: Solid State, 5. NMC622, 6. NMC811, 7. LMR-NMC: Graphite, 8. LMR-NMC: Graphite-Silicon, 9. NCA</t>
  </si>
  <si>
    <t>Hydrothermal and solid state refer to the technique used to prepare the cathode material from raw material inputs.  For additional details consult Dunn et al. 2014.</t>
  </si>
  <si>
    <t>5.5) Li-ion Battery Cathode Material</t>
  </si>
  <si>
    <t>5.4) Battery Replacements During Lifetime of Vehicle</t>
  </si>
  <si>
    <t>5.3) Battery Size in Peak Battery Energy (High Energy Applications), kWh</t>
  </si>
  <si>
    <t>5.2) Battery Size in Peak Battery Power (High Power Applications), kW</t>
  </si>
  <si>
    <t>2 -- Li-Ion</t>
  </si>
  <si>
    <t>1 -- Ni-MH</t>
  </si>
  <si>
    <t>Note: Battery Types</t>
  </si>
  <si>
    <t>5.1) Battery Type for Hybrid, Plug-in Hybrid, Electric, and Fuel Cell Vehicles</t>
  </si>
  <si>
    <t>5. Key Input Parameters for Batteries</t>
  </si>
  <si>
    <t>4.5) Vehicle Tire Weight (lbs/tire)</t>
  </si>
  <si>
    <t>4.4) Tire Replacements During Lifetime of Vehicle</t>
  </si>
  <si>
    <t>Body: including BIW, interior, exterior, and glass</t>
  </si>
  <si>
    <t>Transmission System</t>
  </si>
  <si>
    <t>Powertrain System (including BOP)</t>
  </si>
  <si>
    <t>4.3) Vehicle Components Composition, % by wt</t>
  </si>
  <si>
    <t>Fuel Cell Onboard Storage: Lightweight Material</t>
  </si>
  <si>
    <t>Fuel Cell Stack and BOP (Powertrain System): Lightweight Material</t>
  </si>
  <si>
    <t>Fuel Cell Onboard Storage: Convenional Material</t>
  </si>
  <si>
    <t>Fuel Cell Stack and BOP (Powertrain System): Conventional Material</t>
  </si>
  <si>
    <t>4.2.c) Weight of Fuel Cell Stack and Auxiliary System, pounds</t>
  </si>
  <si>
    <t>Fuel Cell Stack and BOP (Powertrain System)</t>
  </si>
  <si>
    <t>4.2.b) Fuel Cell Stack and Auxiliary System, based on Stack Power, Weight-to-Power Ratio, lb/kW</t>
  </si>
  <si>
    <t>Lightweight Material</t>
  </si>
  <si>
    <t>Conventional Material</t>
    <phoneticPr fontId="4" type="noConversion"/>
  </si>
  <si>
    <t>4.2.a) Fuel Cell Stack Size, kW</t>
  </si>
  <si>
    <t>4.1) Vehicle Components Weight, pounds (excluding battery, fluids, and fuel)</t>
  </si>
  <si>
    <t>4. Key Input Parameters for Vehicle Components: Body, Powertrain System, Transmission System, Chassis, Traction Motor, Generator, Electronic Controller, and Fuel Cell Auxiliary System</t>
  </si>
  <si>
    <t xml:space="preserve">    FCV</t>
  </si>
  <si>
    <t xml:space="preserve">    HEV</t>
  </si>
  <si>
    <t xml:space="preserve">    ICEV: Lightweight Material</t>
  </si>
  <si>
    <t>3.2) Fluids Weight</t>
  </si>
  <si>
    <t>3.1) Battery Weight</t>
  </si>
  <si>
    <t>3. Vehicle Battery and Fluids Weight, pounds per vehicle</t>
  </si>
  <si>
    <t>2. Specification of Total Vehicle Weight, pounds</t>
  </si>
  <si>
    <t xml:space="preserve">  1 -- Pick-Up Trucks 1, 2 -- Pick-Up Trucks 2</t>
  </si>
  <si>
    <t>When the "Pick-Up Trucks" option is selected, select one of the following two vehicles for ICEVs</t>
  </si>
  <si>
    <t xml:space="preserve">  1 -- Sport Utility Vehicles 1, 2 -- Sport Utility Vehicles 2</t>
  </si>
  <si>
    <t>When the "Sport Utility Vehicles" option is selected, select one of the following two vehicles for ICEVs</t>
  </si>
  <si>
    <t xml:space="preserve">  1 -- Passenger Cars 1, 2 -- Passenger Cars 2</t>
  </si>
  <si>
    <t>When the "Passenger Cars" option is selected, select one of the following two vehicles for ICEVs</t>
  </si>
  <si>
    <t xml:space="preserve">  3 -- Pick-Up Trucks</t>
  </si>
  <si>
    <t xml:space="preserve">  2 -- Sport Utility Vehicles</t>
  </si>
  <si>
    <t xml:space="preserve">  1 -- Passenger Cars</t>
  </si>
  <si>
    <t>1. Selection of Vehicle Types for Simulation</t>
  </si>
  <si>
    <t>Scenario Control Variables and Input Assumptions Related to Vehicle and its Components</t>
  </si>
  <si>
    <t>Energy Use: mmBtu per vehicle</t>
  </si>
  <si>
    <t>6) Summary of Energy Consumption and Emissions Related to Part Manufacturing and Vehicle Assembly (VMA): per-vehicle lifetime</t>
  </si>
  <si>
    <t>Carbon &amp; PFSA Suspension (Nafion Dry Polymer)</t>
  </si>
  <si>
    <t xml:space="preserve">PTFE </t>
  </si>
  <si>
    <t>PFSA (Nafion117 Sheet)</t>
  </si>
  <si>
    <t>Cast iron</t>
  </si>
  <si>
    <t>Stainless steel</t>
  </si>
  <si>
    <t>Weight by Materials: lbs, per-vehicle lifetime</t>
  </si>
  <si>
    <t>Vehicle Weight: lbs</t>
  </si>
  <si>
    <t>5.2) Energy Use and Emissions Related to Material Transformation for Vehicle Materials: per-vehicle lifetime</t>
  </si>
  <si>
    <t>per lb</t>
  </si>
  <si>
    <t>per ton</t>
  </si>
  <si>
    <t>Energy Use: mmBtu per ton of material product transformed</t>
  </si>
  <si>
    <t>Rubber Injection Molding (PVC)</t>
  </si>
  <si>
    <t>Rubber Compression Molding</t>
  </si>
  <si>
    <t>Plastic Injection Molding (PP)</t>
  </si>
  <si>
    <t>Plastic Injection Molding (PVC)</t>
  </si>
  <si>
    <t>Plastic Injection Molding (HDPE)</t>
  </si>
  <si>
    <t>Plastic Extrusion (PP)</t>
  </si>
  <si>
    <t>Plastic Extrusion (PVC)</t>
  </si>
  <si>
    <t>Plastic Extrusion (HDPE)</t>
  </si>
  <si>
    <t>Plastic Compression Molding</t>
  </si>
  <si>
    <t>Plastic Calendaring (PVC)</t>
  </si>
  <si>
    <t>Plastic Blow Molding (HPDE)</t>
  </si>
  <si>
    <t>CFRP Fabrication</t>
  </si>
  <si>
    <t>GFRP Fabrication</t>
  </si>
  <si>
    <t>Glass Production</t>
  </si>
  <si>
    <t>Copper Wire</t>
  </si>
  <si>
    <t>Recycled Wrought Extruded Aluminum</t>
  </si>
  <si>
    <t>Recycled Wrought Hot Rolled Stamped Aluminum</t>
  </si>
  <si>
    <t>Recycled Wrought Cold Rolled Stamped Aluminum</t>
  </si>
  <si>
    <t>Virgin Wrought Extruded Aluminum</t>
  </si>
  <si>
    <t>Virgin Wrought Cold Rolled Stamped Aluminum</t>
  </si>
  <si>
    <t>Virgin Wrought Hot Rolled Stamped Aluminum</t>
  </si>
  <si>
    <t>Stainless Steel Rod and Bar</t>
  </si>
  <si>
    <t>Recycled Steel Rod and Bar</t>
  </si>
  <si>
    <t>Virgin Galvanized Stamped Steel</t>
  </si>
  <si>
    <t>Virgin Cold Rolled Stamped Steel</t>
  </si>
  <si>
    <t>Virgin Hot Rolled Stamped Steel</t>
  </si>
  <si>
    <t>5.1) Energy Use and Emissions Related to Material Transformation Processes</t>
  </si>
  <si>
    <t>5) Summary of Energy Consumption and Emissions Related to Material Transformation (Only used to examine Part Manufacturing and Vehicle Assembly (VMA))</t>
  </si>
  <si>
    <t>Urban Emissions: grams per vehicle</t>
  </si>
  <si>
    <t>Total Emissions: grams per vehicle</t>
  </si>
  <si>
    <t xml:space="preserve">     Total Energy</t>
  </si>
  <si>
    <t>Total ADR</t>
  </si>
  <si>
    <t>4) Summary of Energy Consumption and Emissions Related to Vehicle Assembly, Disposal and Recycling</t>
  </si>
  <si>
    <t>Energy use: mmBtu per vehicle</t>
  </si>
  <si>
    <t>NG industrial boiler</t>
  </si>
  <si>
    <t>1.9) Material Transformation Percentage for Average Rubber Calculation, % by wt</t>
  </si>
  <si>
    <t>1.7) Material Transformation Percentage by Plastic Type, % by wt</t>
  </si>
  <si>
    <t>1.6) Shares of Individual Plastic in a Vehicle for Average Plastic Calculation, % by wt</t>
  </si>
  <si>
    <t>1.5) Composition of Fiber Glass, % by wt</t>
  </si>
  <si>
    <t>1.4) Shares of Wrought Aluminum Types in a Vehicle for Average Virgin Wrought Aluminum Calculation, % by wt</t>
  </si>
  <si>
    <t>1.3 Shares of Iron Types in a Vehicle for Average Iron Calculation, % by wt</t>
  </si>
  <si>
    <t>1.2) Shares of Steel Types in a Vehicle for Average Virgin Stamped Steel Calculation, % by wt</t>
  </si>
  <si>
    <t>1.1) Share of Virgin and Recycled Materials Used in Vehicle, % by wt (from the Mat_Inputs sheet)</t>
  </si>
  <si>
    <t>Vehicle Assembly, Disposal, and Recycling</t>
  </si>
  <si>
    <t>Urban Emissions: grams per ton of intermediate material product and final aluminum product</t>
  </si>
  <si>
    <t xml:space="preserve">     C2F6</t>
  </si>
  <si>
    <t xml:space="preserve">     CF4</t>
  </si>
  <si>
    <t>Total Emissions: grams per ton of intermediate material product and final aluminum product</t>
  </si>
  <si>
    <t>Energy Use: mmBtu per ton of intermediate material product and final aluminum product</t>
  </si>
  <si>
    <t>Tons of intermediate material needed per ton of aluminum</t>
  </si>
  <si>
    <t>4.2) Energy Use and Emissions Related to Recycled Cast Aluminum</t>
  </si>
  <si>
    <t>4.1) Energy Use and Emissions Related to Virgin Cast Aluminum</t>
  </si>
  <si>
    <t>4) Summary of Energy Consumption and Emissions</t>
  </si>
  <si>
    <t>Urban Emissions: grams per ton of material product</t>
  </si>
  <si>
    <t>Total Emissions: grams per ton of material product</t>
  </si>
  <si>
    <t xml:space="preserve">     Primary Al ingot: ton</t>
  </si>
  <si>
    <t xml:space="preserve">     Steel Sheet Part: ton</t>
  </si>
  <si>
    <t xml:space="preserve">     Coke input: ton</t>
  </si>
  <si>
    <t xml:space="preserve">     Pet coke input: ton</t>
  </si>
  <si>
    <t xml:space="preserve">     Lime: ton</t>
  </si>
  <si>
    <t xml:space="preserve">     Sodium Hydroxide (50%): ton</t>
  </si>
  <si>
    <t xml:space="preserve">     Liquefied petroleum gas</t>
  </si>
  <si>
    <t xml:space="preserve">     Natural gas used</t>
  </si>
  <si>
    <t>Energy use: mmBtu per ton of material product, except as noted</t>
  </si>
  <si>
    <t>(for trucks)</t>
  </si>
  <si>
    <t>Energy inputs: mmBtu per ton of material product, except as noted</t>
  </si>
  <si>
    <t>Scrap Preparation (Recycled Al)</t>
  </si>
  <si>
    <t>Diesel Off-road Equipment</t>
  </si>
  <si>
    <t>Diesel Heavy Heavy-Duty Truck</t>
  </si>
  <si>
    <t>Gasoline Off-road Equipment</t>
  </si>
  <si>
    <t>Gasoline Stationary Reciprocating Engine</t>
  </si>
  <si>
    <t>NG Off-road Equipment</t>
  </si>
  <si>
    <t>OC: Urban</t>
  </si>
  <si>
    <t>BC: Urban</t>
  </si>
  <si>
    <t>SOx: Urban</t>
  </si>
  <si>
    <t>PM2.5: Urban</t>
  </si>
  <si>
    <t>PM10: Urban</t>
  </si>
  <si>
    <t>NOx: Urban</t>
  </si>
  <si>
    <t>CO: Urban</t>
  </si>
  <si>
    <t>VOC: Urban</t>
  </si>
  <si>
    <t>CO2</t>
  </si>
  <si>
    <t>N2O</t>
  </si>
  <si>
    <t>CH4</t>
  </si>
  <si>
    <t>OC: Total</t>
  </si>
  <si>
    <t>BC: Total</t>
  </si>
  <si>
    <t>SOx: Total</t>
  </si>
  <si>
    <t>PM2.5: Total</t>
  </si>
  <si>
    <t>PM10: Total</t>
  </si>
  <si>
    <t>NOx: Total</t>
  </si>
  <si>
    <t>CO: Total</t>
  </si>
  <si>
    <t>VOC: Total</t>
  </si>
  <si>
    <t>Petroleum</t>
  </si>
  <si>
    <t>Fossil fuels</t>
  </si>
  <si>
    <t>Total energy</t>
  </si>
  <si>
    <t>1.2) Electric Generation Mix for Alumina Reduction: Hall-Heroult Process for Cast Aluminum (from the Mat_Inputs sheet)</t>
  </si>
  <si>
    <t>1.1) Tons of Intermediate Material Needed per Ton of Final Cast Aluminum Product (from the Mat_Inputs sheet)</t>
  </si>
  <si>
    <t>Virgin and Recycled Cast Aluminum</t>
  </si>
  <si>
    <t>Final Forged Iron Product: Combined</t>
  </si>
  <si>
    <t>Final Cast Iron Product: Combined</t>
  </si>
  <si>
    <t>4) Summary of Energy Consumption and Emissions Related to Cast and Forged Iron</t>
  </si>
  <si>
    <t>1.1) Shares of Iron Types in a Vehicle for Average Iron Calculation, % by wt</t>
  </si>
  <si>
    <r>
      <t>1) Key Input Parameters (from the</t>
    </r>
    <r>
      <rPr>
        <b/>
        <i/>
        <sz val="11"/>
        <rFont val="Arial"/>
        <family val="2"/>
      </rPr>
      <t xml:space="preserve"> Mat_Inputs </t>
    </r>
    <r>
      <rPr>
        <b/>
        <sz val="11"/>
        <rFont val="Arial"/>
        <family val="2"/>
      </rPr>
      <t>sheet)</t>
    </r>
  </si>
  <si>
    <t>Cast and Forged Iron</t>
  </si>
  <si>
    <t>Tons of intermediate material needed per ton of extruded aluminum</t>
  </si>
  <si>
    <t>Tons of intermediate material needed per ton of cold rolled aluminum</t>
  </si>
  <si>
    <t>Tons of intermediate material needed per ton of hot rolled aluminum</t>
  </si>
  <si>
    <t>Final Extruded Aluminum Product: Combined</t>
  </si>
  <si>
    <t>Final Stamped Cold Rolled Aluminum Product: Combined</t>
  </si>
  <si>
    <t>Final Stamped Hot Rolled Aluminum Product: Combined</t>
  </si>
  <si>
    <t>Final Cold Rolled Aluminum Product: Combined</t>
  </si>
  <si>
    <t>Final Hot Rolled Aluminum Product: Combined</t>
  </si>
  <si>
    <t>4.2) Energy Use and Emissions Related to Recycled Wrought Aluminum</t>
  </si>
  <si>
    <t>Final Al2O3</t>
  </si>
  <si>
    <t>4.1) Energy Use and Emissions Related to Virgin Wrought Aluminum</t>
  </si>
  <si>
    <t>1.3) Electric Generation Mix for Alumina Reduction: Hall-Heroult Process for Wrought Aluminum (from the Mat_Inputs sheet)</t>
  </si>
  <si>
    <t>1.2) Tons of Intermediate Material Needed per Ton of Final Wrought Aluminum Product (from the Mat_Inputs sheet)</t>
  </si>
  <si>
    <t>1.1) Shares of Wrought Aluminum Types in a Vehicle for Average Virgin Wrought Aluminum Calculation, % by wt</t>
  </si>
  <si>
    <t>Virgin and Recycled Wrought Aluminum</t>
  </si>
  <si>
    <t>Urban Emissions: grams per ton of intermediate material product and final steel product</t>
  </si>
  <si>
    <t>Total Emissions: grams per ton of intermediate material product and final steel product</t>
  </si>
  <si>
    <t>Water consumptions: gal per ton</t>
  </si>
  <si>
    <t>Energy Use: mmBtu per ton of intermediate material product and final steel product</t>
  </si>
  <si>
    <t>Loss Factor (Tons of Steel Feedstock per Ton of Steel Output from Each Process)</t>
  </si>
  <si>
    <t>4.4) Energy Use and Emissions Related to Stainless Steel</t>
  </si>
  <si>
    <t>4.3) Energy Use and Emissions Related to Recycled Steel for Construction</t>
  </si>
  <si>
    <t>4.2) Energy Use and Emissions Related to Recycled Steel</t>
  </si>
  <si>
    <t>Final Stamped Galvanized Steel Product: Combined</t>
  </si>
  <si>
    <t>Final Stamped Cold Rolled Steel Product: Combined</t>
  </si>
  <si>
    <t>Final Stamped Hot Rolled Steel Product: Combined</t>
  </si>
  <si>
    <t>Final Galvanized Steel Product: Combined</t>
  </si>
  <si>
    <t>Final Cold Rolled Steel Product: Combined</t>
  </si>
  <si>
    <t>Final Hot Rolled Steel Product: Combined</t>
  </si>
  <si>
    <t>Steel Production</t>
  </si>
  <si>
    <t>Coke Production</t>
  </si>
  <si>
    <t>4.1) Energy Use and Emissions Related to Virgin Steel</t>
  </si>
  <si>
    <t xml:space="preserve">     Coke oven gas</t>
  </si>
  <si>
    <t xml:space="preserve">     Blast furnace gas</t>
  </si>
  <si>
    <t xml:space="preserve">     Benzole (Light Oil)</t>
  </si>
  <si>
    <t xml:space="preserve">     Tar</t>
  </si>
  <si>
    <t xml:space="preserve">     Coke</t>
  </si>
  <si>
    <t xml:space="preserve">     Iron Ore (ton)</t>
  </si>
  <si>
    <t xml:space="preserve">     Lime (ton)</t>
  </si>
  <si>
    <t xml:space="preserve">     Limestone (ton)</t>
  </si>
  <si>
    <t>(for truck)</t>
  </si>
  <si>
    <t>Per ton of Rod and Bar</t>
  </si>
  <si>
    <t>Per ton of Cast Steel</t>
  </si>
  <si>
    <t>Per ton of Stamped Steel</t>
  </si>
  <si>
    <t>Per ton of Galvanized Steel</t>
  </si>
  <si>
    <t>Per ton of Cold Rolled Steel</t>
  </si>
  <si>
    <t>Per ton of Hot Rolled Steel</t>
  </si>
  <si>
    <t>Per ton of Hot Strip</t>
  </si>
  <si>
    <t>Per ton of Steel</t>
  </si>
  <si>
    <t>Per ton of Iron Ore</t>
  </si>
  <si>
    <t>Displacement Credit (Exported Coke, Tar and Benzole)</t>
  </si>
  <si>
    <t>On-site Generation and Other Steam Uses and Losses</t>
  </si>
  <si>
    <t>Basic Oxygen Furnace (including Ladles and Caster)</t>
  </si>
  <si>
    <t>Blast Furnace (Including BF Gas Flaring and Loss and Stoves)</t>
  </si>
  <si>
    <t>Sintering</t>
  </si>
  <si>
    <t>Iron Ore Extraction and Processing</t>
  </si>
  <si>
    <t>Blast Furnace Gas Venting</t>
  </si>
  <si>
    <t>Blast Furnace Gas Flaring</t>
  </si>
  <si>
    <t>Blast Furnace Gas Combustion</t>
  </si>
  <si>
    <t>Coke Oven Gas Flaring</t>
  </si>
  <si>
    <t>Coke Oven Gas Combustion</t>
  </si>
  <si>
    <t>Coal Conversion to Coke</t>
  </si>
  <si>
    <t>NG Conversion to Blast Furnace Gas</t>
  </si>
  <si>
    <t>Stainless Steel Pathway: Electric Arc Furnace --&gt; Rod and Bar Mill --&gt; Machining</t>
  </si>
  <si>
    <t>Recycled Steel Pathway: Electric Arc Furnace --&gt; Rod and Bar Mill --&gt; Machining</t>
  </si>
  <si>
    <t>1.2) Loss Factor (Tons of Steel Feedstock per Ton of Steel Output from Each Process)</t>
  </si>
  <si>
    <t>Galvanized Rolled Steel Pathway: Steel Production --&gt; Hot Rolling --&gt; Cold Rolling --&gt; Galvanizing --&gt; Stamping</t>
  </si>
  <si>
    <t>Cold Rolled Steel Pathway: Steel Production --&gt; Hot Rolling --&gt; Cold Rolling --&gt; Stamping</t>
  </si>
  <si>
    <t>Hot Rolled Steel Pathway: Steel Production --&gt; Hot Rolling --&gt; Skin Mill --&gt; Stamping</t>
  </si>
  <si>
    <t>1.1) Shares of Rolled Steel Types in a Vehicle for Average Virgin Stamped Steel Calculation, % by wt</t>
  </si>
  <si>
    <t>1) Key Input Parameters (from the Mat_Inputs sheet)</t>
  </si>
  <si>
    <t>Steel: Virgin Steel, Recycled Steel and Stainless Steel</t>
  </si>
  <si>
    <t>Energy Use: mmBtu</t>
  </si>
  <si>
    <t>Final Copper Product in U.S.: Combined</t>
  </si>
  <si>
    <t>Chilean Copper Production</t>
  </si>
  <si>
    <t>Copper Smelting / Refining</t>
  </si>
  <si>
    <t>3) Summary of Energy Consumption and Emissions Related to Copper</t>
  </si>
  <si>
    <t>Chilean Copper production</t>
  </si>
  <si>
    <t xml:space="preserve">U.S. </t>
  </si>
  <si>
    <t>1) Shares of Production Location for Copper</t>
  </si>
  <si>
    <t>Final E Glass Product</t>
  </si>
  <si>
    <t>Post-forming</t>
  </si>
  <si>
    <t>Forming</t>
  </si>
  <si>
    <t>Melting and Refining</t>
  </si>
  <si>
    <t>Batch Preparation</t>
  </si>
  <si>
    <t>Final Flat Glass Product</t>
  </si>
  <si>
    <t>Laminating</t>
  </si>
  <si>
    <t>Tempering</t>
  </si>
  <si>
    <t>Annealing</t>
  </si>
  <si>
    <t>E Glass</t>
  </si>
  <si>
    <t>3) Summary of Energy Consumption and Emissions Related to Glass</t>
  </si>
  <si>
    <t xml:space="preserve">     Refined B2O3 (ton)</t>
  </si>
  <si>
    <t xml:space="preserve">     Kaolin (ton)</t>
  </si>
  <si>
    <t xml:space="preserve">     Dolomite (ton)</t>
  </si>
  <si>
    <t xml:space="preserve">     Soda ash (ton)</t>
  </si>
  <si>
    <t xml:space="preserve">     Sand (ton)</t>
  </si>
  <si>
    <t>E Glass as a representative of Glass Fiber</t>
  </si>
  <si>
    <t>Refined B2O3</t>
  </si>
  <si>
    <t>Dolomite Mining &amp; Transpt.</t>
  </si>
  <si>
    <t>Diesel Reciprocating Engine</t>
  </si>
  <si>
    <t>Composition of Fiber Glass:</t>
  </si>
  <si>
    <r>
      <t xml:space="preserve">1) Key Input Parameter (from the </t>
    </r>
    <r>
      <rPr>
        <b/>
        <i/>
        <sz val="11"/>
        <rFont val="Arial"/>
        <family val="2"/>
      </rPr>
      <t>Mat_Inputs</t>
    </r>
    <r>
      <rPr>
        <b/>
        <sz val="11"/>
        <rFont val="Arial"/>
        <family val="2"/>
      </rPr>
      <t xml:space="preserve"> sheet)</t>
    </r>
  </si>
  <si>
    <t>Glass and Fiber Glass</t>
  </si>
  <si>
    <t>Final Carbon Fiber-Reinforced Plastic Product for High Pressure Vessels: Combined</t>
  </si>
  <si>
    <t>Final Carbon Fiber-Reinforced Plastic Product for General Use: Combined</t>
  </si>
  <si>
    <t>Final Glass Fiber-Reinforced Plastic Product: Combined</t>
  </si>
  <si>
    <t>Final Glass Fiber-Reinforced Plastic Product: RTM</t>
  </si>
  <si>
    <t>Final Glass Fiber-Reinforced Plastic Product: Prepregs</t>
  </si>
  <si>
    <t>Final Glass Fiber-Reinforced Plastic Product: SMC</t>
  </si>
  <si>
    <t>Final Average Plastic Product: Combined</t>
  </si>
  <si>
    <t>Final PVC Product: Combined</t>
  </si>
  <si>
    <t>Final PUR Rigid Foam Product: Combined</t>
  </si>
  <si>
    <t>Final PUR Flexible Foam Product: Combined</t>
  </si>
  <si>
    <t>Final PP Product: Combined</t>
  </si>
  <si>
    <t>Final PET Product: Combined</t>
  </si>
  <si>
    <t>Final PC Product: Combined</t>
  </si>
  <si>
    <t>Final Nylon 66 Product: Combined</t>
  </si>
  <si>
    <t>Final Nylon 6 Product: Combined</t>
  </si>
  <si>
    <t>Final LLDPE Product: Combined</t>
  </si>
  <si>
    <t>Final LDPE Product: Combined</t>
  </si>
  <si>
    <t>Final HDPE Product: Combined</t>
  </si>
  <si>
    <t>Final HIPS Product: Combined</t>
  </si>
  <si>
    <t>Final GPPS Product: Combined</t>
  </si>
  <si>
    <t>Final Liquid Epoxy Product: Combined</t>
  </si>
  <si>
    <t>Final EPDM Product: Combined</t>
  </si>
  <si>
    <t>Final ABS Product: Combined</t>
  </si>
  <si>
    <t>GFRP RTM</t>
  </si>
  <si>
    <t>GFRP Prepregs</t>
  </si>
  <si>
    <t>GFRP SMC</t>
  </si>
  <si>
    <t>PVC Resin</t>
  </si>
  <si>
    <t>PP Resin</t>
  </si>
  <si>
    <t>PET Resin</t>
  </si>
  <si>
    <t>PC Resin</t>
  </si>
  <si>
    <t>Nylon 66 Resin</t>
  </si>
  <si>
    <t>Nylon 6 Resin</t>
  </si>
  <si>
    <t>LLDPE Resin</t>
  </si>
  <si>
    <t>LDPE Resin</t>
  </si>
  <si>
    <t>HDPE Resin</t>
  </si>
  <si>
    <t>HIPS Resin</t>
  </si>
  <si>
    <t>GPPS Resin</t>
  </si>
  <si>
    <t>Liquid Epoxy Resin</t>
  </si>
  <si>
    <t>EPDM Resin</t>
  </si>
  <si>
    <t>ABS Resin</t>
  </si>
  <si>
    <t>4.1) Summary of Energy Consumption and Emissions Related to Plastic and Transformation</t>
  </si>
  <si>
    <t xml:space="preserve">     Natural gas as feed</t>
  </si>
  <si>
    <t xml:space="preserve">     Crude oil as feed</t>
  </si>
  <si>
    <t>Carbon Fiber-Reinforced Plastic (CFRP) Fabrication</t>
  </si>
  <si>
    <t>Glass Fiber-Reinforced Plastic (GRRP) RTM</t>
  </si>
  <si>
    <t>Glass Fiber-Reinforced Plastic (GRRP) Prepregs</t>
  </si>
  <si>
    <t>Glass Fiber-Reinforced Plastic (GRRP) SMC</t>
  </si>
  <si>
    <t>Acrylonitrile-Butadiene-Styrene (ABS)</t>
  </si>
  <si>
    <t>1.4) Material Transformation Percentage by Plastic Type, % by wt</t>
  </si>
  <si>
    <t>1.3) Tons of Resin (or Intermediate Material) Needed per Ton of Final Transformed Plastic and Rubber Product</t>
  </si>
  <si>
    <t>1.2) Composition of Glass Fiber-Reinforced Plastic and Carbon Fiber-Reinforced Plastic, % by wt</t>
  </si>
  <si>
    <t>1.1) Shares of Individual Plastic in a Vehicle for Average Plastic Calculation, % by wt</t>
  </si>
  <si>
    <r>
      <t>1) Key Input Parameters (from the</t>
    </r>
    <r>
      <rPr>
        <b/>
        <i/>
        <sz val="11"/>
        <rFont val="Arial"/>
        <family val="2"/>
      </rPr>
      <t xml:space="preserve"> Mat_Inputs</t>
    </r>
    <r>
      <rPr>
        <b/>
        <sz val="11"/>
        <rFont val="Arial"/>
        <family val="2"/>
      </rPr>
      <t xml:space="preserve"> sheet)</t>
    </r>
  </si>
  <si>
    <t>Plastic Production</t>
  </si>
  <si>
    <t>Final Injection Molded Rubber Product: Combined</t>
  </si>
  <si>
    <t>Final Compression Molded Rubber Product: Combined</t>
  </si>
  <si>
    <t>3) Summary of Energy Consumption and Emissions Related to Rubber</t>
  </si>
  <si>
    <t>1.2) Material Transformation Percentage for Average Rubber Calculation, % by wt</t>
  </si>
  <si>
    <t>1.1) Tons of Resin (or Intermediate Material) Needed per Ton of Final Transformed Plastic and Rubber Product</t>
  </si>
  <si>
    <r>
      <t xml:space="preserve">1) Key Input Parameters (from the </t>
    </r>
    <r>
      <rPr>
        <b/>
        <i/>
        <sz val="11"/>
        <rFont val="Arial"/>
        <family val="2"/>
      </rPr>
      <t>Mat_Inputs</t>
    </r>
    <r>
      <rPr>
        <b/>
        <sz val="11"/>
        <rFont val="Arial"/>
        <family val="2"/>
      </rPr>
      <t xml:space="preserve"> sheet)</t>
    </r>
  </si>
  <si>
    <t>per kWh</t>
  </si>
  <si>
    <t>Battery Assembly: Lithium Ion</t>
  </si>
  <si>
    <t>Battery Assembly: Nickel Metal Hydride</t>
  </si>
  <si>
    <t>Battery Assembly: Lead-Acid</t>
  </si>
  <si>
    <t>3) Summary of Energy Consumption and Emissions Related to Battery Assembly</t>
  </si>
  <si>
    <t>Urban Emissions: grams per ton of product, except as noted</t>
  </si>
  <si>
    <t>Total Emissions: grams per ton of product, except as noted</t>
  </si>
  <si>
    <t>Energy use: mmBtu per ton of product, except as noted</t>
  </si>
  <si>
    <t>Battery Assembly: Lithium Ion per kWh</t>
  </si>
  <si>
    <t>2) Calculations of Energy Consumption and Emissions for Each Stage</t>
  </si>
  <si>
    <t>1) Shares of Combustion Processes for Each stage</t>
  </si>
  <si>
    <t>Battery Assembly: Lead-Acid battery, Ni-MH battery, and Li-Ion battery</t>
  </si>
  <si>
    <t>Selected Passenger Car</t>
  </si>
  <si>
    <t>Passenger Car 2</t>
  </si>
  <si>
    <t>Passenger Car 1</t>
  </si>
  <si>
    <t>8. Fuel Economy of Passenger Car (mpgge)</t>
  </si>
  <si>
    <t>Selcted Passenger Car</t>
  </si>
  <si>
    <t>7. Material Composition for Each Passenger Car Component, % by wt</t>
  </si>
  <si>
    <t>Passenger Car</t>
  </si>
  <si>
    <t>6. Lifetime VMT of a Vehicle, miles</t>
  </si>
  <si>
    <t>5. Fluids Replacements During Lifetime of Passenger Car</t>
  </si>
  <si>
    <t>4.3) Battery Replacements During Lifetime of Passenger Car</t>
  </si>
  <si>
    <t>PHEV40</t>
  </si>
  <si>
    <t>PHEV30</t>
  </si>
  <si>
    <t>PHEV20/EV300</t>
  </si>
  <si>
    <t>PHEV10/EV100</t>
  </si>
  <si>
    <t>4.2) Passenger Car Battery Size in Peak Battery Energy (High Energy Applications), kWh</t>
  </si>
  <si>
    <t>4.1) Passenger Car Battery Size in Peak Battery Power (High Power Applications), kW</t>
  </si>
  <si>
    <t>4. Key Input Parameters for Batteries</t>
  </si>
  <si>
    <t>3.5) Vehice Tire Weight (lbs/tire)</t>
  </si>
  <si>
    <t>3.4) Tire Replacements During Lifetime of Vehicle</t>
    <phoneticPr fontId="4" type="noConversion"/>
  </si>
  <si>
    <t>EV300: Lightweight Material</t>
  </si>
  <si>
    <t>EV300: Conventional Material</t>
  </si>
  <si>
    <t>EV100: Lightweight Material</t>
  </si>
  <si>
    <t>EV100: Conventional Material</t>
  </si>
  <si>
    <t>PHEV40: Lightweight Material</t>
  </si>
  <si>
    <t>PHEV40: Conventional Material</t>
  </si>
  <si>
    <t>PHEV30: Lightweight Material</t>
  </si>
  <si>
    <t>PHEV30: Conventional Material</t>
  </si>
  <si>
    <t>PHEV20: Lightweight Material</t>
  </si>
  <si>
    <t>PHEV20: Conventional Material</t>
  </si>
  <si>
    <t>PHEV10: Lightweight Material</t>
  </si>
  <si>
    <t>PHEV10: Conventional Material</t>
  </si>
  <si>
    <t>3.3) Passenger Car Components Composition, % by wt</t>
  </si>
  <si>
    <t>3.2.b) Passenger Car Weight of Fuel Cell Stack and Auxiliary System, pounds</t>
  </si>
  <si>
    <t>Passenger Car - Lightweight Material</t>
  </si>
  <si>
    <t>Passenger Car - Conventional Material</t>
  </si>
  <si>
    <t>3.2.a) Fuel Cell Stack Size, kW</t>
  </si>
  <si>
    <t>3.1) Vehicle Components Weight, pounds (excluding battery, fluids, and fuel)</t>
  </si>
  <si>
    <t>3. Key Input Parameters for Vehicle Components: Body, Powertrain System, Transmission System, Chassis, Traction Motor, Generator, Electronic Controller, and Fuel Cell Auxiliary System</t>
  </si>
  <si>
    <t xml:space="preserve"> Selected Passenger Car - FCV</t>
  </si>
  <si>
    <t>Selected Passenger Car - EV</t>
  </si>
  <si>
    <t>Selected Passenger Car - PHEV</t>
  </si>
  <si>
    <t>Selected Passenger Car - HEV</t>
  </si>
  <si>
    <t>Selected Passenger Car - ICEV (LW)</t>
  </si>
  <si>
    <t>Selected Passenger Car - ICEV (CM)</t>
  </si>
  <si>
    <t xml:space="preserve"> Passenger Car 2 - FCV</t>
  </si>
  <si>
    <t>Passenger Car 2 - EV</t>
  </si>
  <si>
    <t>Passenger Car 2 - PHEV</t>
  </si>
  <si>
    <t>Passenger Car 2 - HEV</t>
  </si>
  <si>
    <t>Passenger Car 2 - ICEV (LW)</t>
  </si>
  <si>
    <t>Passenger Car 2 - ICEV (CM)</t>
  </si>
  <si>
    <t xml:space="preserve"> Passenger Car 1 - FCV</t>
  </si>
  <si>
    <t>Passenger Car 1 - EV</t>
  </si>
  <si>
    <t>Passenger Car 1 - PHEV</t>
  </si>
  <si>
    <t>Passenger Car 1 - HEV</t>
  </si>
  <si>
    <t>Passenger Car 1 - ICEV (LW)</t>
  </si>
  <si>
    <t>Passenger Car 1 - ICEV (CM)</t>
  </si>
  <si>
    <t>2.2) Fluids Weight</t>
  </si>
  <si>
    <t>Selected Passenger Car - Li-Ion</t>
  </si>
  <si>
    <t>Selected Passenger Car - Ni-MH</t>
  </si>
  <si>
    <t xml:space="preserve"> Selected Passenger Car - Lead-Acid</t>
  </si>
  <si>
    <t>Passenger Car 2 - Li-Ion</t>
  </si>
  <si>
    <t>Passenger Car 2 - Ni-MH</t>
  </si>
  <si>
    <t xml:space="preserve"> Passenger Car 2 - Lead-Acid</t>
  </si>
  <si>
    <t>Passenger Car 1 - Li-Ion</t>
  </si>
  <si>
    <t>Passenger Car 1 - Ni-MH</t>
  </si>
  <si>
    <t xml:space="preserve"> Passenger Car 1 - Lead-Acid</t>
  </si>
  <si>
    <t>Baseline vehicle total vehicle weight: (sans fluids)</t>
  </si>
  <si>
    <t>2.1) Battery Weight</t>
  </si>
  <si>
    <t>2. Vehicle Battery and Fluids Weight, pounds per vehicle</t>
  </si>
  <si>
    <t>1. Specification of Total Vehicle Weight, pounds</t>
  </si>
  <si>
    <t>Scenario Control Variables and Input Assumptions Related to Passenger Car and its Components</t>
  </si>
  <si>
    <t>Urban Emissions</t>
  </si>
  <si>
    <t>Total Emissions</t>
  </si>
  <si>
    <t>Energy use</t>
  </si>
  <si>
    <t>Hydrogen Storage System</t>
  </si>
  <si>
    <t>Percentage of each vehicle component</t>
  </si>
  <si>
    <t>mmBtu or grams per vehicle lifetime</t>
  </si>
  <si>
    <t>3.9) FCV: Lightweight Material</t>
  </si>
  <si>
    <t>3.8) FCV: Conventional Material</t>
  </si>
  <si>
    <t>3.7) EV: Lightweight Material</t>
  </si>
  <si>
    <t>3.7) EV: Conventional Material</t>
  </si>
  <si>
    <t>3.6) PHEV: Lightweight Material</t>
  </si>
  <si>
    <t>3.5) PHEV: Conventional Material</t>
  </si>
  <si>
    <t>3.4) HEV: Lightweight Material</t>
  </si>
  <si>
    <t>3.3) HEV: Conventional Material</t>
  </si>
  <si>
    <t>3.2) ICEV: Lightweight Material</t>
  </si>
  <si>
    <t>3.1) ICEV: Conventional Material</t>
  </si>
  <si>
    <t>3) Summary of Energy Consumption and Emissions by Vehicle Component: per-vehicle lifetime</t>
  </si>
  <si>
    <t>2) Summary of Energy Consumption and Emissions for Vehicle Materials: per-vehicle lifetime</t>
  </si>
  <si>
    <t>Material Composition of Tire (% by wt)</t>
  </si>
  <si>
    <t>Vehicle Tire Weight (lbs/tire)</t>
  </si>
  <si>
    <t>Tire Replacements During Lifetime of Vehicle</t>
  </si>
  <si>
    <t>Vehicle Material Composition (% by wt): aggregated by each component</t>
  </si>
  <si>
    <t xml:space="preserve">    Motor steel (Stainless Steel)</t>
  </si>
  <si>
    <t>Material Composition for Each Component (% by wt)</t>
  </si>
  <si>
    <t>Fuel Cell Auxiliary System</t>
  </si>
  <si>
    <t>Powertrain System</t>
  </si>
  <si>
    <t>Vehicle Components Composition (% by wt)</t>
  </si>
  <si>
    <t>Vehicle Weight (lbs): without Battery, Fluids and Fuel</t>
  </si>
  <si>
    <t>Summary of Energy Consumption and Emissions for Vehicle Components</t>
  </si>
  <si>
    <t>Selected SUV</t>
  </si>
  <si>
    <t>SUV 2</t>
  </si>
  <si>
    <t>SUV 1</t>
  </si>
  <si>
    <t>8. Fuel Economy of SUV (mpgge)</t>
  </si>
  <si>
    <t>7. Material Composition for Each SUV Component, % by wt</t>
  </si>
  <si>
    <t>FCV: Light-weight Material</t>
  </si>
  <si>
    <t>EV: Light-Weight Material</t>
  </si>
  <si>
    <t>PHEV: Light-Weight Material</t>
  </si>
  <si>
    <t>HEV: Light-weight Material</t>
  </si>
  <si>
    <t>ICEV: Light-weight Material</t>
  </si>
  <si>
    <t>5. Fluids Replacements During Lifetime of SUV</t>
  </si>
  <si>
    <t>4.3) Battery Replacements During Lifetime of SUV</t>
  </si>
  <si>
    <t>4.2) SUV Battery Size in Peak Battery Energy (High Energy Applications), kWh</t>
  </si>
  <si>
    <t>4.1) SUV Battery Size in Peak Battery Power (High Power Applications), kW</t>
  </si>
  <si>
    <t>3.3) SUV Components Composition, % by wt</t>
  </si>
  <si>
    <t>3.2.b) SUV Weight of Fuel Cell Stack and Auxiliary System, pounds</t>
  </si>
  <si>
    <t>SUV - Lightweight Material</t>
  </si>
  <si>
    <t>SUV - Conventional Material</t>
  </si>
  <si>
    <t xml:space="preserve"> Selected SUV - FCV</t>
  </si>
  <si>
    <t xml:space="preserve"> Selected SUV - EV</t>
  </si>
  <si>
    <t>Selected SUV - PHEV</t>
  </si>
  <si>
    <t>Selected SUV - HEV</t>
  </si>
  <si>
    <t>Selected SUV - ICEV (LW)</t>
  </si>
  <si>
    <t>Selected SUV - ICEV (CM)</t>
  </si>
  <si>
    <t xml:space="preserve"> SUV 2 - FCV</t>
  </si>
  <si>
    <t xml:space="preserve"> SUV 2 - EV</t>
  </si>
  <si>
    <t>SUV 2 - PHEV</t>
  </si>
  <si>
    <t>SUV 2 - HEV</t>
  </si>
  <si>
    <t>SUV 2 - ICEV (LW)</t>
  </si>
  <si>
    <t>SUV 2 - ICEV (CM)</t>
  </si>
  <si>
    <t xml:space="preserve"> SUV 1 - FCV</t>
  </si>
  <si>
    <t xml:space="preserve"> SUV 1 - EV</t>
  </si>
  <si>
    <t>SUV 1 - PHEV</t>
  </si>
  <si>
    <t>SUV 1 - HEV</t>
  </si>
  <si>
    <t>SUV 1 - ICEV (LW)</t>
  </si>
  <si>
    <t>SUV 1 - ICEV (CM)</t>
  </si>
  <si>
    <t>Selected SUV - Li-Ion</t>
  </si>
  <si>
    <t>Selected SUV - Ni-MH</t>
  </si>
  <si>
    <t>Selected SUV - Lead-Acid</t>
  </si>
  <si>
    <t>SUV 2 - Li-Ion</t>
  </si>
  <si>
    <t>SUV 2 - Ni-MH</t>
  </si>
  <si>
    <t>SUV 2 - Lead-Acid</t>
  </si>
  <si>
    <t>SUV 1 - Li-Ion</t>
  </si>
  <si>
    <t>SUV 1 - Ni-MH</t>
  </si>
  <si>
    <t>SUV 1 - Lead-Acid</t>
  </si>
  <si>
    <t>Scenario Control Variables and Input Assumptions Related to Sport Utility Vehicle and its Components</t>
  </si>
  <si>
    <t>FCVs</t>
  </si>
  <si>
    <t>EVs</t>
  </si>
  <si>
    <t>PHEVs</t>
  </si>
  <si>
    <t>HEVs</t>
  </si>
  <si>
    <t>ICEVs (LW)</t>
  </si>
  <si>
    <t>ICEVs (CM)</t>
  </si>
  <si>
    <t>5) Per-vehicle Lifetime Energy Consumption and Emissions of Fluids</t>
  </si>
  <si>
    <t>Disposal</t>
  </si>
  <si>
    <t>Production</t>
  </si>
  <si>
    <t>4) Summary of Energy Consumption and Emissions Related to Fluids</t>
  </si>
  <si>
    <t>Windshield Fluid Use</t>
  </si>
  <si>
    <t>Waste Disposal</t>
  </si>
  <si>
    <t>Ratio of Waste to Product</t>
  </si>
  <si>
    <t>Numbers of Replacement per Life</t>
  </si>
  <si>
    <t xml:space="preserve">    FCVs</t>
  </si>
  <si>
    <t xml:space="preserve">    EVs</t>
  </si>
  <si>
    <t xml:space="preserve">    PHEVs</t>
  </si>
  <si>
    <t xml:space="preserve">    HEVs</t>
  </si>
  <si>
    <t xml:space="preserve">    ICEVs (Lightweighting Materials)</t>
  </si>
  <si>
    <t xml:space="preserve">    ICEVs (Conventional Materials)</t>
  </si>
  <si>
    <t>Weight: lb of fluids per vehicle</t>
  </si>
  <si>
    <r>
      <t xml:space="preserve">1) Key Input Parameters (from the </t>
    </r>
    <r>
      <rPr>
        <b/>
        <i/>
        <sz val="11"/>
        <rFont val="Arial"/>
        <family val="2"/>
      </rPr>
      <t xml:space="preserve">Vehi_Inputs </t>
    </r>
    <r>
      <rPr>
        <b/>
        <sz val="11"/>
        <rFont val="Arial"/>
        <family val="2"/>
      </rPr>
      <t>and</t>
    </r>
    <r>
      <rPr>
        <b/>
        <i/>
        <sz val="11"/>
        <rFont val="Arial"/>
        <family val="2"/>
      </rPr>
      <t xml:space="preserve"> Mat_Inputs</t>
    </r>
    <r>
      <rPr>
        <b/>
        <sz val="11"/>
        <rFont val="Arial"/>
        <family val="2"/>
      </rPr>
      <t xml:space="preserve"> sheets)</t>
    </r>
  </si>
  <si>
    <t>Final Concrete Product: Combined</t>
  </si>
  <si>
    <t>Final Cement Product: Combined</t>
  </si>
  <si>
    <t>3) Summary of Energy Consumption and Emissions Related to Cement and Concrete</t>
  </si>
  <si>
    <t xml:space="preserve">     Waste</t>
  </si>
  <si>
    <t xml:space="preserve">     Pet Coke</t>
  </si>
  <si>
    <t>Cement</t>
  </si>
  <si>
    <t>Material Shares in Concrete</t>
  </si>
  <si>
    <t>Water</t>
  </si>
  <si>
    <t>Sand</t>
  </si>
  <si>
    <t>Aggregate</t>
  </si>
  <si>
    <t>Portlant Cement</t>
  </si>
  <si>
    <t>Petroleum to Gasoline, Liquefied Petroleum Gas, Residual Oil, Diesel, and Naphtha</t>
  </si>
  <si>
    <t>1) Scenario Control and Key Input Parameters</t>
  </si>
  <si>
    <t>Gasoline oxygen content (by weight)</t>
  </si>
  <si>
    <t>Gasoline blendstock</t>
  </si>
  <si>
    <t>CA Gasoline</t>
  </si>
  <si>
    <t>Gasoline Blendstock</t>
  </si>
  <si>
    <t>Type of additive to be used</t>
  </si>
  <si>
    <t xml:space="preserve"> (Selected from Input tab: 1 -- MTBE,  2 -- ETBE,  3 -- TAME,  4 -- Ethanol,  5 -- No additive)</t>
  </si>
  <si>
    <t>Share of Crude Feedstocks to US Refinery</t>
  </si>
  <si>
    <t xml:space="preserve">    </t>
  </si>
  <si>
    <t>Conventional Crude Oil</t>
  </si>
  <si>
    <t>Oil Sand: Surface Mining</t>
  </si>
  <si>
    <t>Oil Sand: In-Situ</t>
  </si>
  <si>
    <t>Shale Oil</t>
  </si>
  <si>
    <t>Dilbit</t>
  </si>
  <si>
    <t>SCO</t>
  </si>
  <si>
    <t>Bakken</t>
  </si>
  <si>
    <t>Eagle Ford</t>
  </si>
  <si>
    <t xml:space="preserve">Vol. Share </t>
  </si>
  <si>
    <t>Energy Share</t>
  </si>
  <si>
    <t>Parameters for Dilbit</t>
  </si>
  <si>
    <t>NGL from Western Canada</t>
  </si>
  <si>
    <t>NGL from US Shale Wells</t>
  </si>
  <si>
    <t>Naphtha from US</t>
  </si>
  <si>
    <t>Virgin Diluent Share</t>
  </si>
  <si>
    <t>Bitumen</t>
  </si>
  <si>
    <t>Unrecovered Diluent</t>
  </si>
  <si>
    <t>Recovered Diluent</t>
  </si>
  <si>
    <t>Mass Ratio to Bitmen plus Unrecovered Diluent</t>
  </si>
  <si>
    <t>Energy Ratio to Bitmen plus Unrecovered Diluent</t>
  </si>
  <si>
    <t>Shale Oil Production Parameters</t>
  </si>
  <si>
    <t>Flaring Intensity (scf/mmBtu)</t>
  </si>
  <si>
    <t>CO2 emission factor (gCO2/scf flared)</t>
  </si>
  <si>
    <t>CH4 emission factor (gCH4/scf flared)</t>
  </si>
  <si>
    <t>Fugitive Intensity (scf/mmBtu)</t>
  </si>
  <si>
    <t>CO2 emission factor (gCO2/scf fugitive)</t>
  </si>
  <si>
    <t>CH4 emission factor (gCH4/scf fugitive)</t>
  </si>
  <si>
    <t>High Octane Fuel Assumptions</t>
  </si>
  <si>
    <t>Ethanol's Energy Content for High Octane Gasoline</t>
  </si>
  <si>
    <t>E10</t>
  </si>
  <si>
    <t>E25</t>
  </si>
  <si>
    <t>E40</t>
  </si>
  <si>
    <t>Selection of Refinery Parameters for High Octane Fuels</t>
  </si>
  <si>
    <t>PADD3</t>
  </si>
  <si>
    <t>Selected for Calculation</t>
  </si>
  <si>
    <t>PADD2</t>
  </si>
  <si>
    <t>CA</t>
  </si>
  <si>
    <t>Configuration Model</t>
  </si>
  <si>
    <t>PADD1</t>
  </si>
  <si>
    <t>PADD4</t>
  </si>
  <si>
    <t>PADD5 excl. CA</t>
  </si>
  <si>
    <t>Energy efficiency</t>
  </si>
  <si>
    <t>Energy ratio of crude oil feeds to product 
(mmBtu of crude/mmBtu of fuel throughput)</t>
  </si>
  <si>
    <t xml:space="preserve">     Residual oil</t>
  </si>
  <si>
    <t xml:space="preserve">     Hydrogen</t>
  </si>
  <si>
    <t xml:space="preserve">     Butane</t>
  </si>
  <si>
    <t xml:space="preserve">     Blendstock</t>
  </si>
  <si>
    <t xml:space="preserve">     GTL</t>
  </si>
  <si>
    <t>Refinery still gas combustion (Btu/mmBtu)</t>
  </si>
  <si>
    <t>CO2 from NG SMR (g/mmBtu)</t>
  </si>
  <si>
    <t>CO2 from FCC Coke Combustion (g/mmBtu)</t>
  </si>
  <si>
    <t>2) Shares of Combustion Processes for Each Stage</t>
  </si>
  <si>
    <t>Crude Recovery</t>
  </si>
  <si>
    <t>Oil Sands Recovery</t>
  </si>
  <si>
    <t>Shale Oil (Bakken) Recovery</t>
  </si>
  <si>
    <t>Shale Oil (Eagle Ford) Recovery</t>
  </si>
  <si>
    <t>Gasoline Refining</t>
  </si>
  <si>
    <t>LPG Refining</t>
  </si>
  <si>
    <t>Naphtha Refining</t>
  </si>
  <si>
    <t>Resi. Oil Refining</t>
  </si>
  <si>
    <t>Diesel Fuel Refining</t>
  </si>
  <si>
    <t>Pet Coke Production</t>
  </si>
  <si>
    <t>MTBE production</t>
  </si>
  <si>
    <t>TAME production</t>
  </si>
  <si>
    <t>ETBE production</t>
  </si>
  <si>
    <t>Residual oil industrial boiler</t>
  </si>
  <si>
    <t>Residual oil conversion</t>
  </si>
  <si>
    <t>Diesel commercial boiler</t>
  </si>
  <si>
    <t>Diesel stationary engine</t>
  </si>
  <si>
    <t>Diesel turbine</t>
  </si>
  <si>
    <t>Diesel off-road equipment</t>
  </si>
  <si>
    <t>Diesel HDE truck</t>
  </si>
  <si>
    <t>NG engine</t>
  </si>
  <si>
    <t>NG large turbine</t>
  </si>
  <si>
    <t>NG large industrial boiler</t>
  </si>
  <si>
    <t>NG off-road equipment</t>
  </si>
  <si>
    <t>LPG conversion</t>
  </si>
  <si>
    <t>Pet coke industrial boiler</t>
  </si>
  <si>
    <t>Gasoline off-road equipment</t>
  </si>
  <si>
    <t>3) Calculations of Energy Consumption, Water Consumption, and Emissions for Petroleum Fuels By Stage</t>
  </si>
  <si>
    <t>Crude Oil</t>
  </si>
  <si>
    <t>Oil Sands Recovery: Surface Mining + Bitumen</t>
  </si>
  <si>
    <t>Oil Sands Recovery: Surface Mining + SCO</t>
  </si>
  <si>
    <t>Oil Sands Recovery: In-Situ Production + Bitumen</t>
  </si>
  <si>
    <t>Oil Sands Recovery: In-Situ Production + SCO</t>
  </si>
  <si>
    <t>Shale Oil (Bakken)</t>
  </si>
  <si>
    <t>Shale Oil (Eagle Ford)</t>
  </si>
  <si>
    <t>Liquefied Petroleum Gas</t>
  </si>
  <si>
    <t>Residual Oil</t>
  </si>
  <si>
    <t>Conventional Diesel</t>
  </si>
  <si>
    <t>Low-Sulfur Diesel</t>
  </si>
  <si>
    <t>CA Diesel</t>
  </si>
  <si>
    <t>Crude Naphtha</t>
  </si>
  <si>
    <t>Pet Coke</t>
  </si>
  <si>
    <t>High Octance Gasoline Blendstock (HOF E10)</t>
  </si>
  <si>
    <t>High Octance Gasoline Blendstock (HOF E25)</t>
  </si>
  <si>
    <t>High Octance Gasoline Blendstock (HOF E40)</t>
  </si>
  <si>
    <t>Low Octane Gasoline-Like Fuel (LOF)</t>
  </si>
  <si>
    <t>Recovery</t>
  </si>
  <si>
    <t>Transportation to U.S. Refineries</t>
  </si>
  <si>
    <t>Transportation to CA Refineries</t>
  </si>
  <si>
    <t>Storage</t>
  </si>
  <si>
    <t>Bitumen Extraction and Separation</t>
  </si>
  <si>
    <t>On-site H2 Production</t>
  </si>
  <si>
    <t>Co-produecd Electricity Credit</t>
  </si>
  <si>
    <t>Flaring Emissions</t>
  </si>
  <si>
    <t>Bitumen Extraction and Separation Non-Combustion Emissions</t>
  </si>
  <si>
    <t>Bitumen Extraction and Upgrading</t>
  </si>
  <si>
    <t>Bitumen Extraction and Upgrading: Non-Combustion Emissions</t>
  </si>
  <si>
    <t>Gasoline Blendstock Refining: Feed Inputs</t>
  </si>
  <si>
    <t>Gasoline Blendstock Refininig: Intermediate Product Combustion</t>
  </si>
  <si>
    <t>Gasoline Blendstock Refining: Non-Combustion Emissions</t>
  </si>
  <si>
    <t>Gasoline Blendstock Transportation</t>
  </si>
  <si>
    <t>Gasoline Blendstock Distribution</t>
  </si>
  <si>
    <t>Gasoline Distribution</t>
  </si>
  <si>
    <t>Gasoline Storage</t>
  </si>
  <si>
    <t>CA Gasoline Blendstock Refining: Feed Inputs</t>
  </si>
  <si>
    <t>CA Gasoline Blendstock Refininig: Intermediate Product Combustion</t>
  </si>
  <si>
    <t>CA Gasoline Blendstock Refining: Non-Combustion Emissions</t>
  </si>
  <si>
    <t>CA Gasoline Blendstock Transportation</t>
  </si>
  <si>
    <t>CA Gasoline Blendstock Distribution</t>
  </si>
  <si>
    <t>CA Gasoline Distribution</t>
  </si>
  <si>
    <t>CA Gasoline Storage</t>
  </si>
  <si>
    <t>LPG Refining: Feed Inputs</t>
  </si>
  <si>
    <t>LPG Refining: Intermediate Product Combustion</t>
  </si>
  <si>
    <t>LPG Refining: Non-Combustion Emissions</t>
  </si>
  <si>
    <t>LPG Transportation and Distribution</t>
  </si>
  <si>
    <t>LPG Storage</t>
  </si>
  <si>
    <t>Residual Oil Refining: Feed Inputs</t>
  </si>
  <si>
    <t>Residual Oil Refining: Intermediate Product Combustion</t>
  </si>
  <si>
    <t>Resi. Oil Refining: Non-Combustion Emissions</t>
  </si>
  <si>
    <t>Resi. Oil Transportation and Distribution</t>
  </si>
  <si>
    <t>Resi. Oil Storage</t>
  </si>
  <si>
    <t>Conv. Diesel Refining: Feed Inputs</t>
  </si>
  <si>
    <t>Conv. Diesel Refining: Intermediate Product Combustion</t>
  </si>
  <si>
    <t>Conv. Diesel Refining: Non-Combustion  Emissions</t>
  </si>
  <si>
    <t>Conv. Diesel Transportation and Distribution</t>
  </si>
  <si>
    <t>Conv. Diesel Storage</t>
  </si>
  <si>
    <t>LS Diesel Refining: Feed Inputs</t>
  </si>
  <si>
    <t>LS Diesel Refining: Intermediate Product Combustion</t>
  </si>
  <si>
    <t>LS Diesel Refining: Non-Combustion Emissions</t>
  </si>
  <si>
    <t>LS Diesel Transportation Distribution</t>
  </si>
  <si>
    <t>LS Diesel Storage</t>
  </si>
  <si>
    <t>CA Diesel Refining: Feed Inputs</t>
  </si>
  <si>
    <t>CA Diesel Refining: Intermediate Product Combustion</t>
  </si>
  <si>
    <t>CA Diesel Refining: Non-Combustion Emissions</t>
  </si>
  <si>
    <t>CA Diesel Transportation Distribution</t>
  </si>
  <si>
    <t>CA Diesel Storage</t>
  </si>
  <si>
    <t>Crude Naphtha Refining: Feed Inputs</t>
  </si>
  <si>
    <t>Crude Naphtha Refining: Intermediate Product Combustion</t>
  </si>
  <si>
    <t>Crude Naphtha Refining: Non-Combustion Emissions</t>
  </si>
  <si>
    <t>Crude Naphtha Transportation and Distribution</t>
  </si>
  <si>
    <t>Crude Naphtha Storage</t>
  </si>
  <si>
    <t>Crude Naphtha Transportation and Distribution to Oil Sands</t>
  </si>
  <si>
    <t>Crude Naphtha Storage (Oil Sands)</t>
  </si>
  <si>
    <t>Pet Coke Production: Feed Inputs</t>
  </si>
  <si>
    <t>Pet Coke Production: Intermediate Product Combustion</t>
  </si>
  <si>
    <t>Pet Coke Production: Non-Combustion Emissions</t>
  </si>
  <si>
    <t>Pet Coke Transportation and Distribution</t>
  </si>
  <si>
    <t>Pet Coke Storage</t>
  </si>
  <si>
    <t>Gasoline Blendstock Transportation and Distribution</t>
  </si>
  <si>
    <t>LOF Refining: Feed Inputs</t>
  </si>
  <si>
    <t>LOF Refining: Intermediate Product Combustion</t>
  </si>
  <si>
    <t>LOF Refining: Non-Combustion  Emissions</t>
  </si>
  <si>
    <t>LOF Transportation and Distribution</t>
  </si>
  <si>
    <t>LOF Storage</t>
  </si>
  <si>
    <t>Loss factor</t>
  </si>
  <si>
    <t>Energy ratio of crude oil feeds to product (mmBtu of crude/mmBtu of fuel throughput)</t>
  </si>
  <si>
    <t xml:space="preserve">     Crude oil / SCO</t>
  </si>
  <si>
    <t xml:space="preserve">     Diesel fuel</t>
  </si>
  <si>
    <t xml:space="preserve">     Pet coke</t>
  </si>
  <si>
    <t xml:space="preserve">     Produced gas</t>
  </si>
  <si>
    <t xml:space="preserve">     Refinery still gas</t>
  </si>
  <si>
    <t xml:space="preserve">     Diluent flared</t>
  </si>
  <si>
    <t xml:space="preserve">     Natural gas flared</t>
  </si>
  <si>
    <t xml:space="preserve">     Feed loss</t>
  </si>
  <si>
    <t>Energy use: Btu/mmBtu of fuel throughput</t>
  </si>
  <si>
    <t xml:space="preserve">     Petcoke</t>
  </si>
  <si>
    <t>Total emissions: grams/mmBtu of fuel throughput</t>
  </si>
  <si>
    <t xml:space="preserve">     CH4: combustion</t>
  </si>
  <si>
    <t xml:space="preserve">     VOC from bulk terminal</t>
  </si>
  <si>
    <t xml:space="preserve">     VOC from ref. Station</t>
  </si>
  <si>
    <t>CO2 emissions from associated gas flaring and venting</t>
  </si>
  <si>
    <t xml:space="preserve">     CH4: non-combustion</t>
  </si>
  <si>
    <t>Urban emissions: grams/mmBtu of fuel throughput</t>
  </si>
  <si>
    <t>4) Calculations of Energy Use and Emissions of Additive Production</t>
  </si>
  <si>
    <t>4.1) The Amount of Additives Required for Meeting Gasoline Oxygen Requirements</t>
  </si>
  <si>
    <t>O2 Content (by weight)</t>
  </si>
  <si>
    <t>Weight Content for Gasoline Blendstock</t>
  </si>
  <si>
    <t>Weight Content for Gasoline</t>
  </si>
  <si>
    <t>Weight Content for CA Gasoline</t>
  </si>
  <si>
    <t>Volumetric Content for Gasoline Blendstock</t>
  </si>
  <si>
    <t>Volumetric Content for Gasoline</t>
  </si>
  <si>
    <t>Volumetric Content for CA Gasoline</t>
  </si>
  <si>
    <t>Energy Content for Gasoline Blendstock</t>
  </si>
  <si>
    <t>Energy Content for Gasoline</t>
  </si>
  <si>
    <t>Energy Content for CA Gasoline</t>
  </si>
  <si>
    <t>MTBE</t>
  </si>
  <si>
    <t>ETBE</t>
  </si>
  <si>
    <t>TAME</t>
  </si>
  <si>
    <t>4.2) Shares of Onsite and Offsite Production of Additives (onsite: refinery production; offsite: additive plant production)</t>
  </si>
  <si>
    <t>Offsite</t>
  </si>
  <si>
    <t>Onsite</t>
  </si>
  <si>
    <t>4.3) Calculations of Energy Consumption and Emissions for Additive Production by Stage</t>
  </si>
  <si>
    <t>MTBE: Offsite Production</t>
  </si>
  <si>
    <t>MTBE: Onsite Production</t>
  </si>
  <si>
    <t>TAME: Offsite Production</t>
  </si>
  <si>
    <t>TAME: Onsite Production</t>
  </si>
  <si>
    <t>ETBE: Offsite Production</t>
  </si>
  <si>
    <t>ETBE: Onsite Production</t>
  </si>
  <si>
    <t xml:space="preserve">    Diesel fuel</t>
  </si>
  <si>
    <t xml:space="preserve">    Residual oil</t>
  </si>
  <si>
    <t xml:space="preserve">    Natural gas</t>
  </si>
  <si>
    <t xml:space="preserve">    Electricity</t>
  </si>
  <si>
    <t xml:space="preserve">    Feed loss</t>
  </si>
  <si>
    <t>Material Inputs: per ton of additive produced</t>
  </si>
  <si>
    <t xml:space="preserve">    Residual oil: Btu</t>
  </si>
  <si>
    <t xml:space="preserve">    Steam: Btu</t>
  </si>
  <si>
    <t xml:space="preserve">    Electricity: kWh</t>
  </si>
  <si>
    <t xml:space="preserve">    NG: Btu (for combustion)</t>
  </si>
  <si>
    <t xml:space="preserve">    Isobutylene: ton</t>
  </si>
  <si>
    <t xml:space="preserve">    Methanol: ton</t>
  </si>
  <si>
    <t xml:space="preserve">    Ethanol: ton</t>
  </si>
  <si>
    <t xml:space="preserve">    Steam boiler efficiency</t>
  </si>
  <si>
    <t xml:space="preserve">    Steam boiler fuel split:</t>
  </si>
  <si>
    <t xml:space="preserve">         Natural gas</t>
  </si>
  <si>
    <t xml:space="preserve">         Refinery still gas</t>
  </si>
  <si>
    <t xml:space="preserve">    Isolbutylene feedstock split:</t>
  </si>
  <si>
    <t xml:space="preserve">         Petroleum</t>
  </si>
  <si>
    <t>Energy consumption: Btu per ton of additive produced</t>
  </si>
  <si>
    <t>Water consumption: Gallons per ton of additive produced</t>
  </si>
  <si>
    <t>Total emissions: grams per ton of additive produced</t>
  </si>
  <si>
    <t xml:space="preserve">     CO2 (w/ C in VOC &amp; CO)</t>
  </si>
  <si>
    <t>Urban emissions: grams per ton of additive produced</t>
  </si>
  <si>
    <t>4.4) Summary: Production of Additives (Per mmBtu of additive)</t>
  </si>
  <si>
    <t>MTBE for Gasoline Blendstock</t>
  </si>
  <si>
    <t>MTBE for Gasoline</t>
  </si>
  <si>
    <t>Petroleum and fossil fuel content of additives (by energy)</t>
  </si>
  <si>
    <t>Petroleum content</t>
  </si>
  <si>
    <t>Fossil fuel content</t>
  </si>
  <si>
    <t>VOC</t>
  </si>
  <si>
    <t>CO</t>
  </si>
  <si>
    <t>NOx</t>
  </si>
  <si>
    <t>PM10</t>
  </si>
  <si>
    <t>PM2.5</t>
  </si>
  <si>
    <t>SOx</t>
  </si>
  <si>
    <t>BC</t>
  </si>
  <si>
    <t>OC</t>
  </si>
  <si>
    <t>CO2 (w/ C in VOC &amp; CO)</t>
  </si>
  <si>
    <t>GHGs</t>
  </si>
  <si>
    <t>Urban emissions</t>
  </si>
  <si>
    <t>5) Summary of Energy Consumption, Water Consumption, and Emissions: Btu or Gallons or Grams per mmBtu of Fuel Throughput at Each Stage</t>
  </si>
  <si>
    <t>5.1) Energy Use, Water Consumption, and Total Emissions</t>
  </si>
  <si>
    <t>Feedstocks</t>
  </si>
  <si>
    <t>Fuels</t>
  </si>
  <si>
    <t>High Octane Fuel</t>
  </si>
  <si>
    <t>Virgin Diluent to Oil Sands</t>
  </si>
  <si>
    <t>Intermediate Products for Refinery</t>
  </si>
  <si>
    <t>Crude for Use in U.S. Refineries</t>
  </si>
  <si>
    <t>Crude for Use in CA Refineries</t>
  </si>
  <si>
    <t>CA Gasoline Blendstock</t>
  </si>
  <si>
    <t>Resi. Oil</t>
  </si>
  <si>
    <t>Conv. Diesel</t>
  </si>
  <si>
    <t>LS Diesel</t>
  </si>
  <si>
    <t>Crude Naphtha to Oil Sands</t>
  </si>
  <si>
    <t>HOF E10</t>
  </si>
  <si>
    <t>HOF E25</t>
  </si>
  <si>
    <t>HOF E40</t>
  </si>
  <si>
    <t>Crude for Use in Chilean Refineries</t>
  </si>
  <si>
    <t>Gasoline in Chile</t>
  </si>
  <si>
    <t>LPG in Chile</t>
  </si>
  <si>
    <t>Resi. Oil in Chile</t>
  </si>
  <si>
    <t>Diesel in Chile</t>
  </si>
  <si>
    <t>Unfinished Oil</t>
  </si>
  <si>
    <t>Butane</t>
  </si>
  <si>
    <t>Blendstock</t>
  </si>
  <si>
    <t>5.2) Urban Emissions: Grams per mmBtu of Fuel Throughput at Each Stage</t>
  </si>
  <si>
    <t>Electricity Generation</t>
  </si>
  <si>
    <t>1) Scenario Control and Key Input Parameters (from the Inputs sheet)</t>
  </si>
  <si>
    <t xml:space="preserve">    Control variable for selecting power plant emission factors</t>
  </si>
  <si>
    <t xml:space="preserve">     1 --  GREET-calculated emissions factors via emission factors in EF Sheet</t>
  </si>
  <si>
    <t xml:space="preserve">     2 --  Emission factors based on EIA/eGRID database</t>
  </si>
  <si>
    <t>G.H2</t>
  </si>
  <si>
    <t>L.H2</t>
  </si>
  <si>
    <t>Selecting nuclear reactor technologies for electrolysis at refueling stations</t>
  </si>
  <si>
    <t xml:space="preserve">    1 --  Light Water Reactor (LWR); 2-- High Temperature Gas Reactor (HTGR)</t>
  </si>
  <si>
    <t>LWR</t>
  </si>
  <si>
    <t>HTGR</t>
  </si>
  <si>
    <t>Conversion factor for nuclear power plants (MWh/g of U-235)</t>
  </si>
  <si>
    <t>Energy Use of Power Plant Infrastructure</t>
  </si>
  <si>
    <t>No</t>
  </si>
  <si>
    <t xml:space="preserve">  To consider energy and emissions for infrastructure of power plants?</t>
  </si>
  <si>
    <t>Pressurized Water Reactor (PWR)</t>
  </si>
  <si>
    <t>Boiling Water Reactor (BWR)</t>
  </si>
  <si>
    <t>Shares of LWR technologies for infrastructure</t>
  </si>
  <si>
    <t>Geothermal-Flash</t>
  </si>
  <si>
    <t>Geothermal-Binary</t>
  </si>
  <si>
    <t>Geothermal-EGS</t>
  </si>
  <si>
    <t>Shares of Geothermal Technologies</t>
  </si>
  <si>
    <t>Fugitive CO2 emissions from geofluid (g CO2/kWh)</t>
  </si>
  <si>
    <t>2) Electricity Generation Mixes, Combustion Technology Shares, and Power Plant Energy Conversion Efficiencies</t>
  </si>
  <si>
    <t>2.1) Regional Combustion Technolgy Shares and Power Plant Energy Conversion Efficiencies</t>
  </si>
  <si>
    <t>Combustion Technology</t>
  </si>
  <si>
    <t>Boiler</t>
  </si>
  <si>
    <t>IGCC</t>
  </si>
  <si>
    <t>Gas Turbine</t>
  </si>
  <si>
    <t>Internal Combustion Engine</t>
  </si>
  <si>
    <t>U.S.</t>
  </si>
  <si>
    <t>ASCC </t>
  </si>
  <si>
    <t>FRCC</t>
  </si>
  <si>
    <t>HICC</t>
  </si>
  <si>
    <t>MRO</t>
  </si>
  <si>
    <t>NPCC</t>
  </si>
  <si>
    <t>RFC</t>
  </si>
  <si>
    <t>SERC</t>
  </si>
  <si>
    <t>SPP</t>
  </si>
  <si>
    <t>TRE</t>
  </si>
  <si>
    <t>WECC</t>
  </si>
  <si>
    <t>Efficiency</t>
  </si>
  <si>
    <t>Technology Share</t>
  </si>
  <si>
    <t>Emissions (g/kWh)</t>
  </si>
  <si>
    <t>Combined Cycle</t>
  </si>
  <si>
    <t>2.2) Electricity Generation Mixes, Combustion Technolgy Shares and Power Plant Energy Conversion Efficiencies for GREET Calculation</t>
  </si>
  <si>
    <t>Generation Mix for EVs, Grid-Connected PHEVs, and Electrolysis H2</t>
  </si>
  <si>
    <t>Generation Mix for Stationary Applications</t>
  </si>
  <si>
    <t>Combustion Technology Shares for A Given Plant Fuel Type: EVs, GC PHEVs, and Electrolysis</t>
  </si>
  <si>
    <t>Combustion Technology Shares for A Given Plant Fuel Type (Stationary)</t>
  </si>
  <si>
    <t>Power Plant Energy Conversion Efficiency (Transportation)</t>
  </si>
  <si>
    <t>Power Plant Energy Conversion Efficiency (Stationary)</t>
  </si>
  <si>
    <t>Urban Emission Share for EVs, Grid-Connected PHEVs, and Electrolysis H2</t>
  </si>
  <si>
    <t>Urban Emission Share for Stationary Applications</t>
  </si>
  <si>
    <t>Residual Oil-Fired Power Plants</t>
  </si>
  <si>
    <t>Electricity Generation Mixes</t>
  </si>
  <si>
    <t xml:space="preserve">     Boiler</t>
  </si>
  <si>
    <t xml:space="preserve">     Internal Combustion Engine</t>
  </si>
  <si>
    <t>Natural Gas-Fired Power Plants</t>
  </si>
  <si>
    <t xml:space="preserve">     Gas Turbine</t>
  </si>
  <si>
    <t>Coal-Fired Power Plants</t>
  </si>
  <si>
    <t>Biomass Power Plants</t>
  </si>
  <si>
    <t>Nuclear Power Plants</t>
  </si>
  <si>
    <t xml:space="preserve">     Simple-cycle gas turbine</t>
  </si>
  <si>
    <t>Other Power Plants (hydro, wind, geothermal, etc.)</t>
  </si>
  <si>
    <t xml:space="preserve">     Combined-cycle gas turbine</t>
  </si>
  <si>
    <t>Other Power Plants' Electricity Generation Mixes</t>
  </si>
  <si>
    <t xml:space="preserve">     Hydroelectric</t>
  </si>
  <si>
    <t>Share of coal to power plants</t>
  </si>
  <si>
    <t xml:space="preserve">     Geothermal</t>
  </si>
  <si>
    <t>Bituminous coal</t>
  </si>
  <si>
    <t xml:space="preserve">     Wind</t>
  </si>
  <si>
    <t xml:space="preserve">     IGCC</t>
  </si>
  <si>
    <t>Subbituminous coal</t>
  </si>
  <si>
    <t xml:space="preserve">     Solar PV</t>
  </si>
  <si>
    <t>Lignite coal</t>
  </si>
  <si>
    <t xml:space="preserve">     Others (Biogenic Waste, Pumped Storage, etc.)</t>
  </si>
  <si>
    <t>Synthetic coal</t>
  </si>
  <si>
    <t xml:space="preserve"> Power Plant Energy Conversion Efficiencies </t>
  </si>
  <si>
    <t>Waste coal</t>
  </si>
  <si>
    <t>Tire Derived Fuel</t>
  </si>
  <si>
    <t>2.3) Combined Heat and Power Generation Technologies</t>
  </si>
  <si>
    <t>Natural Gas-Fired Combined Heat and Power Plants (CHP)</t>
  </si>
  <si>
    <t>Equivalent electric efficiency using fuel allocated to power generation</t>
  </si>
  <si>
    <t xml:space="preserve">Overall Plant Energy Conversion Efficiency </t>
  </si>
  <si>
    <t>Coal-Fired Combined Heat and Power Plants (CHP)</t>
  </si>
  <si>
    <t>2.4) Power Generation Technologies with Carbon Capture and Storage (CCS)</t>
  </si>
  <si>
    <t xml:space="preserve">Power Plant Energy Conversion Efficiency </t>
  </si>
  <si>
    <t xml:space="preserve">Percentage of Captured CO2 </t>
  </si>
  <si>
    <t>Efficiency of Auxilliary NG plant</t>
  </si>
  <si>
    <t>Coal Boiler</t>
  </si>
  <si>
    <t xml:space="preserve">     Integrated CCS design</t>
  </si>
  <si>
    <t>Theta</t>
  </si>
  <si>
    <t xml:space="preserve">     Auxiliary (power-matched) NG turbine for CCS</t>
  </si>
  <si>
    <t>Epsi</t>
  </si>
  <si>
    <t>NGCC</t>
  </si>
  <si>
    <t>3) Electric Transmission and Distribution Loss</t>
  </si>
  <si>
    <t>4) Power Plant Emissions: in Grams per kWh of Electricity Available at Power Plant Gate</t>
  </si>
  <si>
    <t>GREET-Calculated Emission Factors</t>
  </si>
  <si>
    <t>User-Inputted Emission Factors for Stationary Use (Default Data Here Are Emission Factors for EPA Database [g/kWh])</t>
  </si>
  <si>
    <t>User-Inputted Emission Factors for Transportation Use (Default Data Here Are Emission Factors for EPA Database [g/kWh])</t>
  </si>
  <si>
    <t>User-Inputted Emission Factors: Stationary Electricity Use</t>
  </si>
  <si>
    <t>User-Inputted Emission Factors: EVs, HEVs, and Electrolysis H2</t>
  </si>
  <si>
    <t>User-Inputted Emission Factors</t>
  </si>
  <si>
    <t>By Fuel-Type Plants (Stationary)</t>
  </si>
  <si>
    <t>By Fuel-Type Plants (Transportation)</t>
  </si>
  <si>
    <t>By Fuel-Type Plants</t>
  </si>
  <si>
    <t>Stationary Use</t>
  </si>
  <si>
    <t>Transportation Use</t>
  </si>
  <si>
    <t>Oil-Fired</t>
  </si>
  <si>
    <t>NG-Fired</t>
  </si>
  <si>
    <t>Coal-Fired</t>
  </si>
  <si>
    <t>Biomass-Fired: Willow</t>
  </si>
  <si>
    <t>Biomass-Fired: Poplar</t>
  </si>
  <si>
    <t>Biomass-Fired: Switchgrass</t>
  </si>
  <si>
    <t>Biomass-Fired: Miscanthus</t>
  </si>
  <si>
    <t>Biomass-Fired: Forest Residue</t>
  </si>
  <si>
    <t>Oil Boiler</t>
  </si>
  <si>
    <t>Oil Internal Combustion Engine</t>
  </si>
  <si>
    <t>Oil Gas Turbine</t>
  </si>
  <si>
    <t>NG Boiler</t>
  </si>
  <si>
    <t>NG SC Turbine</t>
  </si>
  <si>
    <t>NG CC Turbine</t>
  </si>
  <si>
    <t>NG Internal Combustion Engine</t>
  </si>
  <si>
    <t>Coal IGCC Turbine</t>
  </si>
  <si>
    <t>Bimoass Boiler: Willow</t>
  </si>
  <si>
    <t>Bimoass Boiler: Poplar</t>
  </si>
  <si>
    <t>Bimoass Boiler: Switchgrass</t>
  </si>
  <si>
    <t>Bimoass Boiler: Miscanthus</t>
  </si>
  <si>
    <t>Bimoass Boiler: Forest Residue</t>
  </si>
  <si>
    <t>Bimoass IGCC Turbine: Willow</t>
  </si>
  <si>
    <t>Bimoass IGCC Turbine: Poplar</t>
  </si>
  <si>
    <t>Bimoass IGCC Turbine: Switchgrass</t>
  </si>
  <si>
    <t>Bimoass IGCC Turbine: Miscanthus</t>
  </si>
  <si>
    <t>Bimoass IGCC Turbine: Forest Residue</t>
  </si>
  <si>
    <t>Biomass-Fired</t>
  </si>
  <si>
    <t xml:space="preserve">CO2 </t>
  </si>
  <si>
    <t>5) Power Plant Emissions: Grams per kWh of Electricity Available at User Sites (wall outlets)</t>
  </si>
  <si>
    <t>Stationary Use: U.S. Mix</t>
  </si>
  <si>
    <t>Transportation Use: U.S. Mix</t>
  </si>
  <si>
    <t>Oil-Fired Power Plants</t>
  </si>
  <si>
    <t>NG-Fired Power Plant</t>
  </si>
  <si>
    <t>Coal-Fired Power Plant</t>
  </si>
  <si>
    <t>Biomass-Fired Power Plant</t>
  </si>
  <si>
    <t>Nuclear Power Plant</t>
  </si>
  <si>
    <t>Other Power Plants</t>
  </si>
  <si>
    <t>Oil-Fired Boiler Power Plants</t>
  </si>
  <si>
    <t>Oil-Fired Internal Combustion Engine Power Plants</t>
  </si>
  <si>
    <t>Oil-Fired Gas Turbine Power Plants</t>
  </si>
  <si>
    <t>NG-Fired Boiler Power Plant</t>
  </si>
  <si>
    <t>NG-Fired Simple Cycle Power Plant</t>
  </si>
  <si>
    <t>NG-Fired Combined Cycle Power Plant</t>
  </si>
  <si>
    <t>NG-Fired Internal Combustion Engine Power Plant</t>
  </si>
  <si>
    <t>Coal-Fired Boiler Power Plant</t>
  </si>
  <si>
    <t>Coal-Fired IGCC Power Plant</t>
  </si>
  <si>
    <t>Biomass-Fired Boiler Power Plants: Willow</t>
  </si>
  <si>
    <t>Biomass-Fired Boiler Power Plants: Poplar</t>
  </si>
  <si>
    <t>Biomass-Fired Boiler Power Plants: Switchgrass</t>
  </si>
  <si>
    <t>Biomass-Fired Boiler Power Plants: Miscanthus</t>
  </si>
  <si>
    <t>Biomass-Fired Boiler Power Plants: Forest Residue</t>
  </si>
  <si>
    <t>Biomass IGCC Power Plants: Willow</t>
  </si>
  <si>
    <t>Biomass IGCC Power Plants: Poplar</t>
  </si>
  <si>
    <t>Biomass IGCC Power Plants: Switchgrass</t>
  </si>
  <si>
    <t>Biomass IGCC Power Plants: Miscanthus</t>
  </si>
  <si>
    <t>Biomass IGCC Power Plants: Forest Residue</t>
  </si>
  <si>
    <t>Geothermal-Flash Power Plant</t>
  </si>
  <si>
    <t>6) Power Plant Energy Use and Emissions: per mmBtu of Electricity Available at User Sites (wall outlets)</t>
  </si>
  <si>
    <t>Oil-Fired Power Plant</t>
  </si>
  <si>
    <t>Nuclear-PWR Power Plant</t>
  </si>
  <si>
    <t>Nuclear-BWR Power Plant</t>
  </si>
  <si>
    <t>Hydroelectric Power Plant</t>
  </si>
  <si>
    <t>Wind Power Plant</t>
  </si>
  <si>
    <t>PV Power Plant</t>
  </si>
  <si>
    <t>Geothermal-Binary Power Plant</t>
  </si>
  <si>
    <t>Geothermal-EGS Power Plant</t>
  </si>
  <si>
    <t>NG-Fired Combined Cycle Power Plant with CCS (integrated design)</t>
  </si>
  <si>
    <t>NG-Fired Combined Cycle Power Plant with CCS (GT auxiliary)</t>
  </si>
  <si>
    <t>NG-Fired Combined Cycle (CHP) Power Plant</t>
  </si>
  <si>
    <t>NG-Fired Boiler (CHP) Power Plant</t>
  </si>
  <si>
    <t>NG Simple-Cycle Gas Turbine (CHP) Power Plant</t>
  </si>
  <si>
    <t>Coal-Fired Boiler Power Plant with CCS (integrated design)</t>
  </si>
  <si>
    <t>Coal-Fired Boiler Power Plant with CCS  (GT auxiliary)</t>
  </si>
  <si>
    <t>Coal-Fired Boiler (CHP) Power Plant</t>
  </si>
  <si>
    <t>Energy Use: Btu</t>
  </si>
  <si>
    <t xml:space="preserve">     NG</t>
  </si>
  <si>
    <t xml:space="preserve">     Biomass</t>
  </si>
  <si>
    <t xml:space="preserve">     Nuclear</t>
  </si>
  <si>
    <t xml:space="preserve">     Other energy sources</t>
  </si>
  <si>
    <t>Emissions: grams</t>
  </si>
  <si>
    <t xml:space="preserve">     CO2 </t>
  </si>
  <si>
    <t>7) Energy Use, Water Consumption, and Emissions for Power Plant Infrastructure from GREET2 (BTU or Gallons or grams per mmBTU of Electricity Available at Power Plant Gate)</t>
  </si>
  <si>
    <t>Oil-Fired Boiler</t>
  </si>
  <si>
    <t>Oil-Fired Internal Combustion Engine</t>
  </si>
  <si>
    <t>Oil-Fired Gas Turbine</t>
  </si>
  <si>
    <t>NG-Fired Internal Combustion Engine</t>
  </si>
  <si>
    <t>Biomass-Fired Boiler Power Plant</t>
  </si>
  <si>
    <t>Biomass-Fired IGCC Power Plant</t>
  </si>
  <si>
    <t>Energy Use: Btu per mmBtu</t>
  </si>
  <si>
    <t>Water consumption: gallons per mmBtu</t>
  </si>
  <si>
    <t>Emissions: grams per mmBtu</t>
  </si>
  <si>
    <t>8) Energy Use, Water Consumption, and Emissions for Power Plant Infrastructure (BTU or Gallons or grams per mmBTU of Electricity Available at Wall Outlets)</t>
  </si>
  <si>
    <t>Water consumption, gallons</t>
  </si>
  <si>
    <t>9) Fuel-Cycle Energy Use, Water Consumption, and Emissions of Electric Generation: Btu or Gallons or Grams per mmBtu of Electricity Available at User Sites (wall outlets)</t>
  </si>
  <si>
    <t>Nuclear Power Plant (LWR): for electrolysis to G.H2 at refueling station</t>
  </si>
  <si>
    <t>Nuclear Power Plant (LWR): for electrolysis to L.H2 at refueling station</t>
  </si>
  <si>
    <t>Nuclear Power Plant (HTGR): for electrolysis to H2 in central plant</t>
  </si>
  <si>
    <t>Coal-Fired Boiler Power Plant with CCS (GT auxiliary)</t>
  </si>
  <si>
    <t>Fuel Cycle (w/o Infrastructure)</t>
  </si>
  <si>
    <t>10) Calculation of Fuel-Cycle Energy Use, Water Consumption, and Emissions of other regional generation mixes</t>
  </si>
  <si>
    <t>Brazil for Sugarcane Ethanol</t>
  </si>
  <si>
    <t>Chile for Lime Production</t>
  </si>
  <si>
    <t>Central and Southern Plains for Sorghum</t>
  </si>
  <si>
    <t>South Africa for Platinum Production</t>
  </si>
  <si>
    <t>Australia</t>
  </si>
  <si>
    <t>Finland</t>
  </si>
  <si>
    <t>New Caledonia</t>
  </si>
  <si>
    <t>Norway</t>
  </si>
  <si>
    <t>Russia</t>
  </si>
  <si>
    <t>Alberta</t>
  </si>
  <si>
    <t>Congo for Cobalt Production</t>
  </si>
  <si>
    <t>Marginal</t>
  </si>
  <si>
    <t>Used in calculation</t>
  </si>
  <si>
    <t>T&amp;D Loss</t>
  </si>
  <si>
    <t>Btu or Gallons or Grams per mmBtu of Electricity Available at User Sites</t>
  </si>
  <si>
    <t>Urban area emissions</t>
  </si>
  <si>
    <t xml:space="preserve">11) Emission Factors for EPA/EIA Database over Time (g/kWh) </t>
  </si>
  <si>
    <t xml:space="preserve">  Fixed (original for 2015)</t>
  </si>
  <si>
    <t xml:space="preserve">  Default values from times series or user input</t>
  </si>
  <si>
    <t>5-year period</t>
  </si>
  <si>
    <t>Sheet from GREET1 2018</t>
  </si>
  <si>
    <t>Hydrogen Production Pathways: from NG, Electrolysis, Solar Photovotaics, Nuclear Energy, Coal, Biomass, Coke Oven Gas, Ethanol, and Methanol</t>
  </si>
  <si>
    <t>Transportation Fuel Application</t>
  </si>
  <si>
    <t>Hydrogen Production Facility</t>
  </si>
  <si>
    <t>Central Plant: NG</t>
  </si>
  <si>
    <t>Central Plant: Solar Energy</t>
  </si>
  <si>
    <t>Central Plant: Nuclear (water cracking)</t>
  </si>
  <si>
    <t>Central Plant: Electrolysis (HTGR)</t>
  </si>
  <si>
    <t>Central Plant: Coal</t>
  </si>
  <si>
    <t>Central Plant: Biomass</t>
  </si>
  <si>
    <t>Central Plant: Intergrated Fermentation</t>
  </si>
  <si>
    <t>Central Plant: High Temperature Electrolysis with SOFC</t>
  </si>
  <si>
    <t>Central Plant: Coke oven gas</t>
  </si>
  <si>
    <t>Central Plant: Byproduct from Chlorine Plants</t>
  </si>
  <si>
    <t>Central Plant: By-product from NGL Cracker Plants</t>
  </si>
  <si>
    <t>Central Plant: Pet Coke</t>
  </si>
  <si>
    <t>Refueling Station: NG</t>
  </si>
  <si>
    <t>Refueling Station: Electrolysis</t>
  </si>
  <si>
    <t>Refueling Station: EtOH</t>
  </si>
  <si>
    <t>Refueling Station: BDL reforming</t>
  </si>
  <si>
    <t>Refueling Station: MeOH</t>
  </si>
  <si>
    <t xml:space="preserve">    Share of H2 Production: G.H2</t>
  </si>
  <si>
    <t xml:space="preserve">    Share of H2 Production: L.H2</t>
  </si>
  <si>
    <t>CO2 Sequestration in Central H2 Plants: Percentage of CO2 to Be Captured</t>
  </si>
  <si>
    <t>NG-to-H2 Plant</t>
  </si>
  <si>
    <t>Coal-to-H2 Plant</t>
  </si>
  <si>
    <t xml:space="preserve">Biomass-to-H2 Plant </t>
  </si>
  <si>
    <t>Pet Coke-to-H2 Plant</t>
  </si>
  <si>
    <t>Conversion factor for HTGR (MWh of electricity or H2 per gram of U-235)</t>
  </si>
  <si>
    <t>Conversion factor for High Temperature Electrolysis with SOEC (MWh of H2 per gram of U-235)</t>
  </si>
  <si>
    <t>Selection of Method for Estimating Credits of Co-Products for H2 Pathways</t>
  </si>
  <si>
    <t xml:space="preserve">Pet Coke </t>
  </si>
  <si>
    <t>Central Plant G.H2</t>
  </si>
  <si>
    <t xml:space="preserve">    1 -- Displacement method</t>
  </si>
  <si>
    <t>Refueling Station G.H2</t>
  </si>
  <si>
    <t xml:space="preserve">    2 -- Btu-based Allocation</t>
  </si>
  <si>
    <t>Central Plant L.H2</t>
  </si>
  <si>
    <t xml:space="preserve">    3 -- Market value-based Allocation</t>
  </si>
  <si>
    <t>Refueling Station L.H2</t>
  </si>
  <si>
    <t>Allocation ratio of total energy and emission burdens</t>
  </si>
  <si>
    <t>Energy-based allocation</t>
  </si>
  <si>
    <t>Market value-based allocation</t>
  </si>
  <si>
    <t>Market Value</t>
  </si>
  <si>
    <t>H2</t>
  </si>
  <si>
    <t>Steam</t>
  </si>
  <si>
    <t>$/mmBtu</t>
  </si>
  <si>
    <t>cents/kWh</t>
  </si>
  <si>
    <t>$/Btu</t>
  </si>
  <si>
    <t>Types of Electricity Displaced by Co-Produced Electricity in NG-based H2 Plants for Export</t>
  </si>
  <si>
    <t xml:space="preserve">  1-- Electricity generation mix (Could be U.S. mix, NE U.S. mix, CA mix, or user defined mix, which is consistent with the option of user selection of electricity generation mix for stationary use)</t>
  </si>
  <si>
    <t xml:space="preserve">  2-- NGCC electricity</t>
  </si>
  <si>
    <t xml:space="preserve">  3-- Coal IGCC electricity</t>
  </si>
  <si>
    <t xml:space="preserve">  4-- Biomass IGCC electricity</t>
  </si>
  <si>
    <t>Types of Electricity Displaced by Co-Produced Electricity in Biomass-Based H2 Plants for Export</t>
  </si>
  <si>
    <t xml:space="preserve">  3-- Biomass IGCC electricity</t>
  </si>
  <si>
    <t>Types of Electricity Displaced by Co-Produced Electricity in Coal-Based H2 Plants for Export</t>
  </si>
  <si>
    <t>Types of Electricity Displaced by Co-Produced Electricity in Pet Coke-Based H2 Plants for Export</t>
  </si>
  <si>
    <t xml:space="preserve">Selection of Electricity Generation Mix for H2 liquifaction in Central Plants </t>
  </si>
  <si>
    <t>H2 Plant Type</t>
  </si>
  <si>
    <t>NG-Based Plant</t>
  </si>
  <si>
    <t xml:space="preserve">    1 -- NGCC; 2 -- Mix for stationary use (see 10.2.a in the Inputs tab)</t>
  </si>
  <si>
    <t>Solar Energy-Based Plant</t>
  </si>
  <si>
    <t xml:space="preserve">    1 -- Solar; 2 -- Mix for stationary use (see 10.2.a in the Inputs tab)</t>
  </si>
  <si>
    <t>Nuclear Plant (HTGR water cracking)</t>
  </si>
  <si>
    <t xml:space="preserve">    1 -- Nuclear; 2 -- Mix for stationary use (see 10.2.a in the Inputs tab)</t>
  </si>
  <si>
    <t>Coal-Based Plant</t>
  </si>
  <si>
    <t xml:space="preserve">    1 -- Coal IGCC; 2 -- Mix for stationary use (see 10.2.a in the Inputs tab)</t>
  </si>
  <si>
    <t>Biomass-Based Plant</t>
  </si>
  <si>
    <t xml:space="preserve">    1 -- Biomass IGCC; 2 -- Mix for stationary use (see 10.2.a in the Inputs tab)</t>
  </si>
  <si>
    <t>COG-Based Plant</t>
  </si>
  <si>
    <t>G.H2 Production: Non-Combustion Emissions</t>
  </si>
  <si>
    <t>g/mmBtu of H2 output</t>
  </si>
  <si>
    <t>g/mmBtu of NG inptus</t>
  </si>
  <si>
    <t>PM 2.5</t>
  </si>
  <si>
    <t>Yeast and Enzyme Use in Intergrated Fermentation</t>
  </si>
  <si>
    <t>Gaseous H2</t>
  </si>
  <si>
    <t>Liquid H2</t>
  </si>
  <si>
    <t>Ammonia (kg/ mmbtu H2)</t>
  </si>
  <si>
    <t>NaOH (kg/ mmbtu H2)</t>
  </si>
  <si>
    <t>H2SO4 (kg/ mmbtu H2)</t>
  </si>
  <si>
    <t>Glucose (kg/ mmbtu H2)</t>
  </si>
  <si>
    <t>CSL (kg/ mmbtu H2)</t>
  </si>
  <si>
    <t>DAP (kg/ mmbtu H2)</t>
  </si>
  <si>
    <t>1.1) H2 production from chloralkali process</t>
  </si>
  <si>
    <t>H2 handling method</t>
  </si>
  <si>
    <t>1 -- H2 diverted from vented emissions (carrying no energy/emissions burdens)</t>
  </si>
  <si>
    <t>2 -- H2 divered from internal combustion (NG substituing H2)</t>
  </si>
  <si>
    <t>3 -- H2 as co-products allocated by mass</t>
  </si>
  <si>
    <t>4 -- H2 as coproducts allocated by market value</t>
  </si>
  <si>
    <t>Cl2</t>
  </si>
  <si>
    <t>NaOH</t>
  </si>
  <si>
    <t>Co-products (kg/kg H2)</t>
  </si>
  <si>
    <t>Market Values ($/kg)</t>
  </si>
  <si>
    <t>Mass share</t>
  </si>
  <si>
    <t>Market value share</t>
  </si>
  <si>
    <t>Energy use before allocation</t>
  </si>
  <si>
    <t>Diaphragm</t>
  </si>
  <si>
    <t>Membrane</t>
  </si>
  <si>
    <t>Capacity Weighted</t>
  </si>
  <si>
    <t>Capacity Share</t>
  </si>
  <si>
    <t>Water consumption (gal/kg H2)</t>
  </si>
  <si>
    <t>Energy use (mmBtu/kg H2)</t>
  </si>
  <si>
    <t>Heat (as NG use)</t>
  </si>
  <si>
    <t>Rectifier, Electrolysis and Brine Preparation</t>
  </si>
  <si>
    <t>After-treatment</t>
  </si>
  <si>
    <t>Energy use after allocation</t>
  </si>
  <si>
    <t>Water consumption (gal/mmBtu H2)</t>
  </si>
  <si>
    <t>Total (mmBtu/kg H2)</t>
  </si>
  <si>
    <t>Total (Btu/mmBtu H2)</t>
  </si>
  <si>
    <t>CHP scenario</t>
  </si>
  <si>
    <t>1 -- National Average; 2 -- Non-CHP only; 3 -- CHP Only</t>
  </si>
  <si>
    <t>Share of H2 plants with CHP</t>
  </si>
  <si>
    <t>Share of heat supported by CHP</t>
  </si>
  <si>
    <t>Electricity use in H2 compression from 1.3 bars to 20 bars</t>
  </si>
  <si>
    <t>Btu/mmBtu H2</t>
  </si>
  <si>
    <t>CHP Electric Efficiency</t>
  </si>
  <si>
    <t>Grid Mix for Chlorine Plants w/ no CHPs</t>
  </si>
  <si>
    <t>1 -- U.S. Mix, 2 -- Capacity-weighted regional mix</t>
  </si>
  <si>
    <t>Capacity-weighted regional mix</t>
  </si>
  <si>
    <t>Mix used in calculation</t>
  </si>
  <si>
    <t>Chlorine plants capacity share</t>
  </si>
  <si>
    <t>Total Emissions: Grams per mmBtu of electricity</t>
  </si>
  <si>
    <t>Urban Emissions: Grams per mmBtu of electricity</t>
  </si>
  <si>
    <t>1.2) H2 production from steam cracker plants (ethane-based)</t>
  </si>
  <si>
    <t>H2 production scenarios</t>
  </si>
  <si>
    <t xml:space="preserve">  1 -- Substitution: H2 diverted from combustion fuel stream, and NG substituting H2</t>
  </si>
  <si>
    <t xml:space="preserve">  2 -- H2 as a co-product, allocated by mass</t>
  </si>
  <si>
    <t>Ethylene</t>
  </si>
  <si>
    <t>Propylene</t>
  </si>
  <si>
    <t>Methane</t>
  </si>
  <si>
    <t>Butadiene</t>
  </si>
  <si>
    <t>Butene</t>
  </si>
  <si>
    <t>Benzene</t>
  </si>
  <si>
    <t>Toluene</t>
  </si>
  <si>
    <t>Styrene</t>
  </si>
  <si>
    <t>Xylene</t>
  </si>
  <si>
    <t>(C2H4)</t>
  </si>
  <si>
    <t>(C3H6)</t>
  </si>
  <si>
    <t>(CH4)</t>
  </si>
  <si>
    <t>(C4H6)</t>
  </si>
  <si>
    <t>(C4H8)</t>
  </si>
  <si>
    <t>(C6H6)</t>
  </si>
  <si>
    <t>(C7H8)</t>
  </si>
  <si>
    <t>(C8H8)</t>
  </si>
  <si>
    <t>(C8H10)</t>
  </si>
  <si>
    <t>Energy use and water consumption</t>
  </si>
  <si>
    <t>Allocated energy use (Btu/mmBtu H2)</t>
  </si>
  <si>
    <t>Natural gas (import)</t>
  </si>
  <si>
    <t xml:space="preserve"> (mmBtu/kg H2)</t>
  </si>
  <si>
    <t>Natural gas (on-site)</t>
  </si>
  <si>
    <t>Energy for H2 purification (Btu/mmBtu H2)</t>
  </si>
  <si>
    <t xml:space="preserve"> (kWh/kg H2)</t>
  </si>
  <si>
    <t>Allocated feed ratio (Btu/mmBtu H2)</t>
  </si>
  <si>
    <t>Natural gas liquids</t>
  </si>
  <si>
    <t xml:space="preserve"> (kg/kg H2)</t>
  </si>
  <si>
    <t xml:space="preserve"> (gal/kg H2)</t>
  </si>
  <si>
    <t>G.H2 Central Plant Production</t>
  </si>
  <si>
    <t>G.H2 Refueling Station Production</t>
  </si>
  <si>
    <t>G.H2 Compression</t>
  </si>
  <si>
    <t>Solar G.H2 Compression</t>
  </si>
  <si>
    <t>L.H2 Central Plant Production</t>
  </si>
  <si>
    <t>L.H2 Refueling Station Production</t>
  </si>
  <si>
    <t>H2 Liquefaction</t>
  </si>
  <si>
    <t>Resi. oil industrial or commerical boiler</t>
  </si>
  <si>
    <t>Diesel locomotive</t>
  </si>
  <si>
    <t>3) Calculations of Energy Consumption, Water Consumption, and Emissions for Each Stage</t>
  </si>
  <si>
    <t>Central Plants: North American Natural Gas to Gaseous Hydrogen</t>
  </si>
  <si>
    <t>Central Plants: Solar Energy to Gaseous Hydrogen</t>
  </si>
  <si>
    <t>Central Plants: Nuclear Energy to Gaseous Hydrogen (Thermo-Chemical Cracking of Water)</t>
  </si>
  <si>
    <t>Central Plants: Electrolysis (HTGR) to Gaseous Hydrogen</t>
  </si>
  <si>
    <t>Central Plants: Coal to Gaseous Hydrogen</t>
  </si>
  <si>
    <t>Central Plants: Biomass to Gaseous Hydrogen</t>
  </si>
  <si>
    <t>Central Plants: High Temperature Electrolysis with SOEC to Gaseous Hydrogen</t>
  </si>
  <si>
    <t>Central Plants: Integrated Fermentation to Gaseous Hydrogen</t>
  </si>
  <si>
    <t>Central Plants: Coke Oven Gas to Gaseous Hydrogen</t>
  </si>
  <si>
    <t>Central Plants: Pet Coke to Gaseous Hydrogen</t>
  </si>
  <si>
    <t>Refueling Stations: North American Natural Gas to Gaseous Hydrogen</t>
  </si>
  <si>
    <t>Refueling Stations: Electricity to Gaseous Hydrogen (Energy Use and Emissions from Electricity Generation)</t>
  </si>
  <si>
    <t>Refueling Stations: EtOH to Gaseous Hydrogen</t>
  </si>
  <si>
    <t>Refueling Stations: Biomass-derived Liquid Reforming to Gaseous Hydrogen</t>
  </si>
  <si>
    <t>Refueling Stations: MeOH to Gaseous Hydrogen</t>
  </si>
  <si>
    <t>Central Plants: North American Natural Gas to Liquid Hydrogen</t>
  </si>
  <si>
    <t>Central Plants: Solar Energy to Liquid Hydrogen</t>
  </si>
  <si>
    <t>Central Plants: Nuclear Energy to Liquid Hydrogen (Thermo-Chemical Cracking of Water)</t>
  </si>
  <si>
    <t>Central Plants: Electrolysis (HTGR) to Liquid Hydrogen</t>
  </si>
  <si>
    <t>Central Plants: Coal to Liquid Hydrogen</t>
  </si>
  <si>
    <t>Central Plants: Biomass to Liquid Hydrogen</t>
  </si>
  <si>
    <t>Central Plants: High Temperature Electrolysis with SOEC to Liquid Hydrogen</t>
  </si>
  <si>
    <t>Central Plants: Integrated Fermentation to Liquid Hydrogen</t>
  </si>
  <si>
    <t>Central Plants: Coke Oven Gas to Liquid Hydrogen</t>
  </si>
  <si>
    <t>Refueling Stations: North American Natural Gas to Liquefied Hydrogen</t>
  </si>
  <si>
    <t>Refueling Stations: Electricity to Liquid Hydrogen (Energy Use and Emissions from Electricity Generation)</t>
  </si>
  <si>
    <t>Refueling Stations: EtOH to Liquid Hydrogen</t>
  </si>
  <si>
    <t>Refueling Stations: Biomass-derived Liquid Reforming to Liquid Hydrogen</t>
  </si>
  <si>
    <t xml:space="preserve">Refueling Stations: MeOH to Liquid Hydrogen </t>
  </si>
  <si>
    <t>Byproduction of Gaseous H2 from Chlorine plants</t>
  </si>
  <si>
    <t>Byproduction of Liquid H2 from Chlorine plants</t>
  </si>
  <si>
    <t>By-product Gaseous H2 from NGL Steam Crackers</t>
  </si>
  <si>
    <t>By-product Liquid H2 from NGL Steam Crackers</t>
  </si>
  <si>
    <t>Adjustement in G. H2 Compression Energy Consumption for MHDVs Refueling (Central Plants)</t>
  </si>
  <si>
    <t>Adjustement in G. H2 Compression Energy Consumption for MHDVs Refueling (Refueling Station)</t>
  </si>
  <si>
    <t>G.H2 Production</t>
  </si>
  <si>
    <t>Production of Displaced Steam</t>
  </si>
  <si>
    <t xml:space="preserve">Electricity Co-Generation in Hydrogen Plant </t>
  </si>
  <si>
    <t>Generation of Displaced Electricity</t>
  </si>
  <si>
    <t>G.H2 Transmission and Distribution</t>
  </si>
  <si>
    <t>G.H2 Compression and Precooling</t>
  </si>
  <si>
    <t>Flared Gas Energy and Emission Credits</t>
  </si>
  <si>
    <t>Coal Gasification</t>
  </si>
  <si>
    <t>Coal Gasification: Non-Combustion Emissions</t>
  </si>
  <si>
    <t>Synthesis for G.H2 Production</t>
  </si>
  <si>
    <t>Synthesis for G.H2 production: Non-Combustion Emissions</t>
  </si>
  <si>
    <t>Electricity Co-Generation in Hydrogen Plant</t>
  </si>
  <si>
    <t>CO2 Transportation</t>
  </si>
  <si>
    <t>Biomass Gasification</t>
  </si>
  <si>
    <t>Biomass Gasification: Non-Combustion Emissions</t>
  </si>
  <si>
    <t>Synthesis for G.H2 Production: Non-Combustion Emissions</t>
  </si>
  <si>
    <t>Integrated Fermentation</t>
  </si>
  <si>
    <t>Integrated Fermentation Material Inputs</t>
  </si>
  <si>
    <t>Integrated Fermentation: Non-Combustion Emissions</t>
  </si>
  <si>
    <t>Pet Coke Gassification</t>
  </si>
  <si>
    <t>Pet-Coke: Non-Combustion Emissions</t>
  </si>
  <si>
    <t>Pyrolysis Oil Production</t>
  </si>
  <si>
    <t>Pyrolysis Oil Transportation</t>
  </si>
  <si>
    <t>G.H2 Liquefaction</t>
  </si>
  <si>
    <t>L.H2 Transportation and Distribution</t>
  </si>
  <si>
    <t>L.H2 Storage</t>
  </si>
  <si>
    <t>Coal Gasification: Non-combustion emissions</t>
  </si>
  <si>
    <t>Synthesis for G.H2 production</t>
  </si>
  <si>
    <t>Synthesis for G.H2 production: Non-combustion emissions</t>
  </si>
  <si>
    <t>Flared Gas Energy and Emissions Credits</t>
  </si>
  <si>
    <t>H2 Compression from 1.3 bars to 20 bars</t>
  </si>
  <si>
    <t>G.H2 Production: Non-Combustion Emissions and Avoided Emissions by Substitution of H2 Combustion</t>
  </si>
  <si>
    <t>H2 Purification</t>
  </si>
  <si>
    <t>Share of feedstock input as feed (the remaining input as process fuel)</t>
  </si>
  <si>
    <t>Per kg of pyrolysis oil</t>
  </si>
  <si>
    <t>Per mmBtu of fuel throughput</t>
  </si>
  <si>
    <t>Steam or electricity export: Btu (for steam) or KWh (for electricity) per mmBtu of fuel produced</t>
  </si>
  <si>
    <t xml:space="preserve">     N-butane</t>
  </si>
  <si>
    <t>Coal: feed loss</t>
  </si>
  <si>
    <t>EtOH: feed loss</t>
  </si>
  <si>
    <t>MeOH: feed loss</t>
  </si>
  <si>
    <t>(steam)</t>
  </si>
  <si>
    <t>Energy use: Btu/mmBtu of fuel throughput (except as noted)</t>
  </si>
  <si>
    <t>Per kWh</t>
  </si>
  <si>
    <t xml:space="preserve">     Natural gas: process fuel</t>
  </si>
  <si>
    <t>NG-CC as CHP</t>
  </si>
  <si>
    <t xml:space="preserve">     Coal: process fuel</t>
  </si>
  <si>
    <t>Pet coke</t>
  </si>
  <si>
    <t xml:space="preserve">     Natural gas: feed loss</t>
  </si>
  <si>
    <t>Biomass: feed loss</t>
  </si>
  <si>
    <t>Pet coke feed for H2 production</t>
  </si>
  <si>
    <t>kg of biomass</t>
  </si>
  <si>
    <t>kg of pyrolysis oil</t>
  </si>
  <si>
    <t>NGL: feed loss</t>
  </si>
  <si>
    <t xml:space="preserve">     Feedstock loss</t>
  </si>
  <si>
    <t>Water consumption, gallons/mmBtu of fuel throughput</t>
  </si>
  <si>
    <t xml:space="preserve">     CH4: leakage</t>
  </si>
  <si>
    <t>CO2 credit</t>
  </si>
  <si>
    <t xml:space="preserve">     VOC evaporation</t>
  </si>
  <si>
    <t xml:space="preserve">     Misc. Items</t>
  </si>
  <si>
    <t>4) Summary of Energy Consumption, Water Consumption, and Emissions: Btu or Gallons or Grams per mmBtu of H2 Throughput at Each Stage</t>
  </si>
  <si>
    <t>4.1) Energy Use, Water Consumption, and Total Emissions</t>
  </si>
  <si>
    <t>Central Plants: NG or FG to Gaseous Hydrogen</t>
  </si>
  <si>
    <t>Central Plants: Nuclear to Gaseous Hydrogen</t>
  </si>
  <si>
    <t>Central Plants: High Temperature Eletrolysis with SOEC to Gaseous Hydrogen</t>
  </si>
  <si>
    <t>Central Plants: Pet Coke  to Gaseous Hydrogen</t>
  </si>
  <si>
    <t>Central Plants: Byproduction of Gaseous H2 from Chlorine plants</t>
  </si>
  <si>
    <t>Central Plants: By-product Gaseous H2 from NGL Steam Cracker Plants</t>
  </si>
  <si>
    <t>Refueling Stations: NG or FG to Gaseous Hydrogen</t>
  </si>
  <si>
    <t>Refueling Stations: Electricity to Gaseous Hydrogen</t>
  </si>
  <si>
    <t>Biomass-derived Liquid Reforming to Gaseous Hydrogen</t>
  </si>
  <si>
    <t>Gaseous Hydrogen: Combined</t>
  </si>
  <si>
    <t>Gaseous Hydrogen: Combined (for MHDVs)</t>
  </si>
  <si>
    <t xml:space="preserve">Central Plants: NG or FG to Liquid Hydrogen </t>
  </si>
  <si>
    <t>Central Plants: Nuclear to Liquid Hydrogen</t>
  </si>
  <si>
    <t>Central Plants: High Temperature Eletrolysis with SOEC to Liquid Hydrogen</t>
  </si>
  <si>
    <t>Central Plants: Byproduction of Liquid H2 from Chlorine plants</t>
  </si>
  <si>
    <t>Central Plants: By-product Liquid H2 from NGL Steam Cracker Plants</t>
  </si>
  <si>
    <t>Refueling Stations: NG or FG to Liquid Hydrogen</t>
  </si>
  <si>
    <t>Refueling Stations: Electricity to Liquid Hydrogen</t>
  </si>
  <si>
    <t>Biomass-derived Liquid Reforming to Liquid Hydrogen</t>
  </si>
  <si>
    <t>Refueling Stations: MeOH to Liquid Hydrogen</t>
  </si>
  <si>
    <t>Liquid Hydrogen: Combined</t>
  </si>
  <si>
    <t>G. Hydrogen for Use in Refineries</t>
  </si>
  <si>
    <t>G. Hydrogen for Use in Renewable Diesel Production</t>
  </si>
  <si>
    <t>G. Hydrogen for Use in Pyrolysis Oil Upgrading</t>
  </si>
  <si>
    <t>G. Hydrogen for Process Fuels</t>
  </si>
  <si>
    <t>WTP</t>
  </si>
  <si>
    <t>PTW</t>
  </si>
  <si>
    <t>4.2) Urban Emissions: Grams per mmBtu of H2 Throughput at Each Stage</t>
  </si>
  <si>
    <t>Energy Consumption, Water Consumption, and Emissions from Material Production for Hydrogen Pathways</t>
  </si>
  <si>
    <t>Ammonia</t>
  </si>
  <si>
    <t>Glucose</t>
  </si>
  <si>
    <t>Corn Steep Liquor</t>
  </si>
  <si>
    <t>Diammonium Phosph</t>
  </si>
  <si>
    <t>Energy: Btu/kg of material throughput, except as noted</t>
  </si>
  <si>
    <t xml:space="preserve">    Total energy</t>
  </si>
  <si>
    <t xml:space="preserve">    Fossil fuels</t>
  </si>
  <si>
    <t xml:space="preserve">    Coal</t>
  </si>
  <si>
    <t xml:space="preserve">    Petroleum</t>
  </si>
  <si>
    <t>Water consumption: gal/kg of material throughput</t>
  </si>
  <si>
    <t>Total emissions: grams/kg of material throughput, except as noted</t>
  </si>
  <si>
    <t>Urban emissions: grams/kg of material throughput, except as noted</t>
  </si>
  <si>
    <t>Energy Use and Emissions of Vehicle Operations</t>
  </si>
  <si>
    <t>Volumetric share of an alternative fuel in a fuel blend</t>
  </si>
  <si>
    <t>Methanol in FFV fuel</t>
  </si>
  <si>
    <t>Methanol in dedicated vehicle fuel</t>
  </si>
  <si>
    <t>Ethanol in low-level blend of gasoline and ethanol</t>
  </si>
  <si>
    <t>Ethanol in FFV fuel</t>
  </si>
  <si>
    <t>Ethanol in dedicated vehicle fuel</t>
  </si>
  <si>
    <t>Ethanol in high octane fuel (HOF E25)</t>
  </si>
  <si>
    <t>Ethanol in high octane fuel (HOF E40)</t>
  </si>
  <si>
    <t>MPGGE gains by high octane fuel</t>
  </si>
  <si>
    <t>Butanol in FFV fuel</t>
  </si>
  <si>
    <t>FT diesel in CIDI fuel</t>
  </si>
  <si>
    <t>Biodiesel in CIDI fuel</t>
  </si>
  <si>
    <t>Renewable diesel in CIDI fuel</t>
  </si>
  <si>
    <t>Renewable gasoline in SI fuel</t>
  </si>
  <si>
    <t>Ethanol in E-diesel</t>
  </si>
  <si>
    <t>Coefficient of VMT-Share Curve Fit Note: DO NOT Change</t>
  </si>
  <si>
    <t>Additives in E-diesel</t>
  </si>
  <si>
    <t>Vehicle miles traveled (VMT) share by CD and CS operations for grid-connected (plug-in) hybrid electric vehicles Note: This VMT % will be used to calculate a weighted average performance of combined CD and CS operations</t>
  </si>
  <si>
    <t>Grid-Connected SI PHEV: Gasoline</t>
  </si>
  <si>
    <t>Grid-Connected SI HEV: CA gasoline</t>
  </si>
  <si>
    <t>Grid-Connected SI HEV: RG</t>
  </si>
  <si>
    <t>Grid-Connected SI HEV: Low-Level EtOH Blend with Gasoline</t>
  </si>
  <si>
    <t>Grid-Connected SI HEV: CNG</t>
  </si>
  <si>
    <t>Grid-Connected SI HEV: LNG</t>
  </si>
  <si>
    <t>Grid-Connected SI HEV: LPG</t>
  </si>
  <si>
    <t>Grid-Connected SI HEV: MeOH</t>
  </si>
  <si>
    <t>Grid-Connected SI HEV: EtOH</t>
  </si>
  <si>
    <t>Grid-Connected SI ICE HEV: H2</t>
  </si>
  <si>
    <t>Compression Ignition PHEVs: CD and LSD</t>
  </si>
  <si>
    <t>Grid-Independent CIDI HEVs: Dimethyl Ether</t>
  </si>
  <si>
    <t>Grid-Independent CIDI HEVs: FT Diesel</t>
  </si>
  <si>
    <t>Grid-Independent CIDI HEV: BD20</t>
  </si>
  <si>
    <t>Grid-Independent CIDI HEV: RD100</t>
  </si>
  <si>
    <t>Grid-Independent CIDI HEVs: E-Diesel</t>
  </si>
  <si>
    <t>Fuel Cell PHEVs: H2</t>
  </si>
  <si>
    <t>Operational All Electric Range (miles)</t>
  </si>
  <si>
    <t>Charge-Depleting (CD) Operation</t>
  </si>
  <si>
    <t>Charge-Sustaining (CS) Operation</t>
  </si>
  <si>
    <t>Share of RFG out of RFG and CG or Share of LSD out of LSD and CD for alternative fuel blends</t>
  </si>
  <si>
    <t xml:space="preserve">    Gasoline for methanol blend</t>
  </si>
  <si>
    <t xml:space="preserve">    Gasoline for low-level ethanol blend</t>
  </si>
  <si>
    <t xml:space="preserve">    Gasoline for high-level ethanol blend</t>
  </si>
  <si>
    <t xml:space="preserve">    Gasoline for butanoll blend</t>
  </si>
  <si>
    <t>Gasoline for high octane fuel (HOF E25)</t>
  </si>
  <si>
    <t>Gasoline for high octane fuel (HOF E40)</t>
  </si>
  <si>
    <t>Gasoline for renewable gasoline blend</t>
  </si>
  <si>
    <t xml:space="preserve">    Diesel for Fischer-Tropsch diesel blend</t>
  </si>
  <si>
    <t>Diesel for biodiesel blend</t>
  </si>
  <si>
    <t>Diesel for renewable diesel blend</t>
  </si>
  <si>
    <t xml:space="preserve">    Diesel for E-diesel blend</t>
  </si>
  <si>
    <t>2) Ratios of Vehicle Fuel Economy and Emissions by Advanced and Alternative-Fueled Vehicles (from the Inputs sheet)</t>
  </si>
  <si>
    <t xml:space="preserve">    (fuel economy is relative to baseline gasoline vehicle; emissions for SI technologies are relative to GVs fueled with baseline gasoline, and for CIDI technologies are relative to CIDI Vehicles fueled with baseline diesel)</t>
  </si>
  <si>
    <t>Gasoline Vehicle: CA gasoline</t>
  </si>
  <si>
    <t>Gasoline Vehicle: Low-Level EtOH Blend with Gasoline</t>
  </si>
  <si>
    <t>Bi-fuel CNGV on CNG</t>
  </si>
  <si>
    <t>Dedicated CNGV</t>
  </si>
  <si>
    <t>Dedicated LNGV</t>
  </si>
  <si>
    <t>Dedicated LPGV</t>
  </si>
  <si>
    <t>MeOH Flexible-Fuel Vehicle</t>
  </si>
  <si>
    <t>Dedicated MeOH Vehicle</t>
  </si>
  <si>
    <t>EtOH Flexible-Fuel Vehicle</t>
  </si>
  <si>
    <t>BtOH Flexible-Fuel Vehicle</t>
  </si>
  <si>
    <t>Dedicated EtOH Vehicle</t>
  </si>
  <si>
    <t>H2 ICE Vehicle</t>
  </si>
  <si>
    <t>RG100 Vehicle</t>
  </si>
  <si>
    <t>SIDI Vehicle: Gasoline</t>
  </si>
  <si>
    <t>SIDI Vehicle: CA gasoline</t>
  </si>
  <si>
    <t>SIDI Vehicle: Low-Level EtOH Blend with Gasoline</t>
  </si>
  <si>
    <t>SIDI Dedicated MeOH Vehicle</t>
  </si>
  <si>
    <t>SIDI Dedicated EtOH Vehicle</t>
  </si>
  <si>
    <t>CIDI Vehicle: Conventional or LS Diesel</t>
  </si>
  <si>
    <t>CIDI Vehicle: Dimethyl Ether</t>
  </si>
  <si>
    <t>CIDI Vehicle: FT Diesel</t>
  </si>
  <si>
    <t>CIDI Vehicle: BD20</t>
  </si>
  <si>
    <t>CIDI Vehicle: RD100</t>
  </si>
  <si>
    <t>CIDI Vehicle: E-Diesel</t>
  </si>
  <si>
    <t>CIDI Vehicle: NRP-derived Diesel</t>
  </si>
  <si>
    <t>Grid-Independent SI HEV: Gasoline</t>
  </si>
  <si>
    <t>Grid-Independent SI HEV: CA gasoline</t>
  </si>
  <si>
    <t>Grid-Independent SI HEV: RG</t>
  </si>
  <si>
    <t>Grid-Independent SI HEV: Low-Level EtOH Blend with Gasoline</t>
  </si>
  <si>
    <t>Grid-Independent SI HEV: CNG</t>
  </si>
  <si>
    <t>Grid-Independent SI HEV: LNG</t>
  </si>
  <si>
    <t>Grid-Independent SI HEV: LPG</t>
  </si>
  <si>
    <t>Grid-Independent SI HEV: MeOH</t>
  </si>
  <si>
    <t>Grid-Independent SI HEV: EtOH</t>
  </si>
  <si>
    <t>Grid-Independent SI ICE HEV: H2</t>
  </si>
  <si>
    <t>Grid-Connected SI PHEV: Gasoline, CD On-Board</t>
  </si>
  <si>
    <t>Grid-Connected SI PHEV: Gasoline, CS Mode</t>
  </si>
  <si>
    <t>Grid-Connected SI PHEV: CA gasoline, CD On-Board</t>
  </si>
  <si>
    <t>Grid-Connected SI PHEV: CA gasoline, CS Mode</t>
  </si>
  <si>
    <t>Grid-Connected SI PHEV: RG, CD On-Board</t>
  </si>
  <si>
    <t>Grid-Connected SI PHEV: RG, CS Mode</t>
  </si>
  <si>
    <t>Grid-Connected SI PHEV: Low-Level EtOH Blend with Gasoline, CD On-Board</t>
  </si>
  <si>
    <t>Grid-Connected SI PHEV: Low-Level EtOH Blend with Gasoline, CS Mode</t>
  </si>
  <si>
    <t>Grid-Connected SI PHEV: CNG, CD On-Board</t>
  </si>
  <si>
    <t>Grid-Connected SI PHEV: CNG, CS Mode</t>
  </si>
  <si>
    <t>Grid-Connected SI PHEV: LNG, CD On-Board</t>
  </si>
  <si>
    <t>Grid-Connected SI PHEV: LNG, CS Mode</t>
  </si>
  <si>
    <t>Grid-Connected SI PHEV: LPG, CD On-Board</t>
  </si>
  <si>
    <t>Grid-Connected SI PHEV: LPG, CS Mode</t>
  </si>
  <si>
    <t>Grid-Connected SI PHEV: MeOH, CD On-Board</t>
  </si>
  <si>
    <t>Grid-Connected SI PHEV: MeOH, CS Mode</t>
  </si>
  <si>
    <t>Grid-Connected SI PHEV: EtOH, CD On-Board</t>
  </si>
  <si>
    <t>Grid-Connected SI PHEV: EtOH, CS Mode</t>
  </si>
  <si>
    <t>Grid-Connected SI PHEV: H2, CD On-Board</t>
  </si>
  <si>
    <t>Grid-Connected SI PHEV: H2, CS Mode</t>
  </si>
  <si>
    <t>Grid-Independent CIDI HEV: Conventional and LS Diesel</t>
  </si>
  <si>
    <t>Grid-Connected CIDI PHEVs: Conventional and LS Diesel, CD On-Board</t>
  </si>
  <si>
    <t>Grid-Connected CIDI PHEVs: Conventional and LS Diesel, CS Mode</t>
  </si>
  <si>
    <t>Grid-Connected CIDI PHEVs: Dimethyl Ether, CD On-Board</t>
  </si>
  <si>
    <t>Grid-Connected CIDI PHEVs: Dimethyl Ether, CS Mode</t>
  </si>
  <si>
    <t>Grid-Connected CIDI PHEVs: FT Diesel, CD On-Board</t>
  </si>
  <si>
    <t>Grid-Connected CIDI PHEVs: FT Diesel, CS Mode</t>
  </si>
  <si>
    <t>Grid-Connected CIDI PHEVs: BD20, CD On-Board</t>
  </si>
  <si>
    <t>Grid-Connected CIDI PHEV CS Mode: BD20, CS Mode</t>
  </si>
  <si>
    <t>Grid-Connected CIDI PHEVs: RD100, CD On-Board</t>
  </si>
  <si>
    <t>Grid-Connected CIDI PHEV CS Mode: RD100, CS Mode</t>
  </si>
  <si>
    <t>Grid-Connected CIDI PHEVs: E-Diesel, CD On-Board</t>
  </si>
  <si>
    <t>Grid-Connected CIDI PHEVs: CS Mode, E-Diesel</t>
  </si>
  <si>
    <t>Electric Vehicle</t>
  </si>
  <si>
    <t>Hydrogen Fuel-Cell Vehicle</t>
  </si>
  <si>
    <t>Methanol Fuel-Cell Vehicle</t>
  </si>
  <si>
    <t>LS Gasoline Fuel-Cell Vehicle</t>
  </si>
  <si>
    <t>CA gasoline Fuel-Cell Vehicle</t>
  </si>
  <si>
    <t>LS Diesel Fuel-Cell Vehicle</t>
  </si>
  <si>
    <t>Ethanol Fuel-Cell Vehicle</t>
  </si>
  <si>
    <t>CNG Fuel-Cell Vehicle</t>
  </si>
  <si>
    <t>LNG Fuel-Cell Vehicle</t>
  </si>
  <si>
    <t>LPG Fuel-Cell Vehicle</t>
  </si>
  <si>
    <t>Naphtha Fuel-Cell Vehicle</t>
  </si>
  <si>
    <t>Grid-Connected FC PHEV: H2, CD On-Board</t>
  </si>
  <si>
    <t>Grid-Connected FC PHEV: H2, FC Mode</t>
  </si>
  <si>
    <t>LOF GCI Vehicle</t>
  </si>
  <si>
    <t>MPGGE (per gasoline equivalent gallon)</t>
  </si>
  <si>
    <t>VOC: exhaust</t>
  </si>
  <si>
    <t>VOC: evaporative</t>
  </si>
  <si>
    <t>PM10: exhaust</t>
  </si>
  <si>
    <t>PM10: brake and tire wear</t>
  </si>
  <si>
    <t>PM2.5: exhaust</t>
  </si>
  <si>
    <t>PM2.5: brake and tire wear</t>
  </si>
  <si>
    <t>3) Per-Mile Fuel Consumption and Emissions of Vehicle Operations</t>
  </si>
  <si>
    <t>Baseline Gasoline Vehicle: Gasoline</t>
  </si>
  <si>
    <t>Bi-Fueled CNGV on CNG</t>
  </si>
  <si>
    <t>MeOH Flexiable-Fuel Vehicle</t>
  </si>
  <si>
    <t>G.H2 ICE Vehicle</t>
  </si>
  <si>
    <t>L.H2 ICE Vehicle</t>
  </si>
  <si>
    <t>RG100 Vehicle: IDL</t>
  </si>
  <si>
    <t>RG0 Vehicle: Ex Situ CFP</t>
  </si>
  <si>
    <t>High Octane Fuel Vehicle: HOF E10</t>
  </si>
  <si>
    <t>High Octane Fuel Vehicle: HOF E25</t>
  </si>
  <si>
    <t>High Octane Fuel Vehicle: HOF E40</t>
  </si>
  <si>
    <t>CIDI Vehicle: Conventional and LS Diesel</t>
  </si>
  <si>
    <t>Grid-Independent SI ICE HEV: G.H2</t>
  </si>
  <si>
    <t>Grid-Independent SI ICE HEV: L.H2</t>
  </si>
  <si>
    <t>Grid-Connected SI PHEV: Gasoline, CD Combined</t>
  </si>
  <si>
    <t>Grid-Connected SI PHEV: Gasoline, CD Electric, w/ charger</t>
  </si>
  <si>
    <t>Grid-Connected SI PHEV: CA gasoline, CD Combined</t>
  </si>
  <si>
    <t>Grid-Connected SI PHEV: CA gasoline, CD Electric, w/ charger</t>
  </si>
  <si>
    <t>Grid-Connected SI PHEV: RG, CD Combined</t>
  </si>
  <si>
    <t>Grid-Connected SI PHEV: RG, CD Electric, w/ charger</t>
  </si>
  <si>
    <t>Grid-Connected SI PHEV: Low-Level EtOH Blend with Gasoline, CD Combined</t>
  </si>
  <si>
    <t>Grid-Connected SI PHEV: Low-Level EtOH Blend with Gasoline, CD Electric, w/ charger</t>
  </si>
  <si>
    <t>Grid-Connected SI PHEV: CNG, CD combined</t>
  </si>
  <si>
    <t>Grid-Connected SI PHEV: CNG, CD Electric, w/ charger</t>
  </si>
  <si>
    <t>Grid-Connected SI PHEV: LNG, CD combined</t>
  </si>
  <si>
    <t>Grid-Connected SI PHEV: LNG, CD Electric, w/ charger</t>
  </si>
  <si>
    <t>Grid-Connected SI PHEV: LPG, CD combined</t>
  </si>
  <si>
    <t>Grid-Connected SI PHEV: LPG, CD Electric, w/ charger</t>
  </si>
  <si>
    <t>Grid-Connected SI PHEV: MeOH, CD combined</t>
  </si>
  <si>
    <t>Grid-Connected SI PHEV: MeOH, CD Electric, w/ charger</t>
  </si>
  <si>
    <t>Grid-Connected SI PHEV: EtOH, CD Combined</t>
  </si>
  <si>
    <t>Grid-Connected SI PHEV: EtOH, CD Electric, w/ charger</t>
  </si>
  <si>
    <t xml:space="preserve"> Grid-Connected SI PHEV: EtOH,CD On-Board</t>
  </si>
  <si>
    <t>Grid-Connected SI PHEV: H2, CD Combined</t>
  </si>
  <si>
    <t>Grid-Connected SI PHEV: H2, CD Electric, w/ charger</t>
  </si>
  <si>
    <t>Grid-Connected SI PHEV: G.H2, CS Mode</t>
  </si>
  <si>
    <t>Grid-Connected SI PHEV: L.H2, CS Mode</t>
  </si>
  <si>
    <t>Grid-Independent CIDI HEV: Conventional and Low-Sulfur Diesel</t>
  </si>
  <si>
    <t>Grid-Independent CIDI HEV: Dimethyl Ether</t>
  </si>
  <si>
    <t>Grid-Connected CIDI PHEV: Conventional and Low-Sulfur Diesel, CD Combined</t>
  </si>
  <si>
    <t>Grid-Connected CIDI PHEV: Conventional and Low-Sulfur Diesel, CD Electric, w/ charger</t>
  </si>
  <si>
    <t>Grid-Connected CIDI PHEV: Conventional and Low-Sulfur Diesel, CD On-Board</t>
  </si>
  <si>
    <t>Grid-Connected CIDI PHEV: Conventional and Low-Sulfur Diesel, CS Mode</t>
  </si>
  <si>
    <t>Grid-Connected CIDI PHEV: Dimethyl Ether, CD Combined</t>
  </si>
  <si>
    <t>Grid-Connected CIDI PHEV: Dimethyl Ether, CD Electric, w/ charger</t>
  </si>
  <si>
    <t>Grid-Connected CIDI PHEV: Dimethyl Ether, CD On-Board</t>
  </si>
  <si>
    <t>Grid-Connected CIDI PHEV: Dimethyl Ether, CS Mode</t>
  </si>
  <si>
    <t>Grid-Connected CIDI PHEV: FT Diesel, CD Combined</t>
  </si>
  <si>
    <t>Grid-Connected CIDI PHEV: FT Diesel, CD Electric, w/ charger</t>
  </si>
  <si>
    <t>Grid-Connected CIDI PHEV: FT Diesel, CD On-Board</t>
  </si>
  <si>
    <t>Grid-Connected CIDI PHEV CS Mode: BD20, CD Combined</t>
  </si>
  <si>
    <t>Grid-Connected CIDI PHEV CS Mode: BD20, CD Electric, w/ charger</t>
  </si>
  <si>
    <t>Grid-Connected CIDI PHEV CS Mode: BD20, CD On-Board</t>
  </si>
  <si>
    <t>Grid-Connected CIDI PHEV CS Mode: RD100, CD Combined</t>
  </si>
  <si>
    <t>Grid-Connected CIDI PHEV CS Mode: RD100, CD Electric, w/ charger</t>
  </si>
  <si>
    <t>Grid-Connected CIDI PHEV CS Mode: RD100, CD On-Board</t>
  </si>
  <si>
    <t>Grid-Connected CIDI PHEV: E-Diesel, CD Combined</t>
  </si>
  <si>
    <t>Grid-Connected CIDI PHEV: E-Diesel,, CD Electric, w/ charger</t>
  </si>
  <si>
    <t>Grid-Connected CIDI PHEV: E-Diesel, CD On-Board</t>
  </si>
  <si>
    <t>Grid-Connected CIDI PHEV CS Mode: E-Diesel, CS Mode</t>
  </si>
  <si>
    <t>Electric Vehicle, w/ charger</t>
  </si>
  <si>
    <t>G.H2 Fuel-Cell Vehicle</t>
  </si>
  <si>
    <t>L.H2 Fuel-Cell Vehicle</t>
  </si>
  <si>
    <t>Grid-Connected FC PHEV: H2, CD Combined</t>
  </si>
  <si>
    <t>Grid-Connected FC PHEV: H2, CD Electric, w/ charger</t>
  </si>
  <si>
    <t>Grid-Connected FC PHEV: H2, CS Mode</t>
  </si>
  <si>
    <t>Urban Emission Shares</t>
  </si>
  <si>
    <t>Total fuel use (Btu/mile)</t>
  </si>
  <si>
    <t>Fossil fuel use (Btu/mile)</t>
  </si>
  <si>
    <t>Coal use (Btu/mile)</t>
  </si>
  <si>
    <t>Natural gas use (Btu/mile)</t>
  </si>
  <si>
    <t>Petroleum use (Btu/mile)</t>
  </si>
  <si>
    <t>Emissions: grams/mile</t>
  </si>
  <si>
    <t xml:space="preserve">    VOC: exhaust</t>
  </si>
  <si>
    <t xml:space="preserve">    VOC: evaporation</t>
  </si>
  <si>
    <t xml:space="preserve">    CO</t>
  </si>
  <si>
    <t xml:space="preserve">    NOx</t>
  </si>
  <si>
    <t xml:space="preserve">    PM10: exhaust</t>
  </si>
  <si>
    <t xml:space="preserve">    PM10: brake and tire wear</t>
  </si>
  <si>
    <t xml:space="preserve">    PM2.5: exhaust</t>
  </si>
  <si>
    <t xml:space="preserve">    PM2.5: brake and tire wear</t>
  </si>
  <si>
    <t xml:space="preserve">    SOx</t>
  </si>
  <si>
    <t xml:space="preserve">    BC</t>
  </si>
  <si>
    <t xml:space="preserve">    OC</t>
  </si>
  <si>
    <t xml:space="preserve">    CH4</t>
  </si>
  <si>
    <t xml:space="preserve">    N2O</t>
  </si>
  <si>
    <t xml:space="preserve">    CO2</t>
  </si>
  <si>
    <t xml:space="preserve">    CO2 (w/ C in VOC &amp; CO)</t>
  </si>
  <si>
    <t xml:space="preserve">    GHGs</t>
  </si>
  <si>
    <t>Misc. item</t>
  </si>
  <si>
    <t>Sheet from GREET2 2018 SUV</t>
  </si>
  <si>
    <t>Sheet from GREET1 2018, Electrolysis H2 Power from Coal</t>
  </si>
  <si>
    <t>Sheet from GREET1 2018, Electrolysis H2 Power from Oil</t>
  </si>
  <si>
    <t>Sheet from GREET1 2018, Electrolysis H2 Power from NG</t>
  </si>
  <si>
    <t>Sheet from GREET1 2018, Electrolysis H2 Power from Nuclear</t>
  </si>
  <si>
    <t>Sheet from GREET1 2018, Electrolysis H2 Power from Renewables</t>
  </si>
  <si>
    <t>With Al smelting mostly from coal</t>
  </si>
  <si>
    <t>Battery information (In case of BEVs only)</t>
  </si>
  <si>
    <t>Summary</t>
  </si>
  <si>
    <t>EM (Energy mix)</t>
  </si>
  <si>
    <t>Electricity generation scenarios (Only applicable  in case of BEVs)</t>
  </si>
  <si>
    <t>Battery chemistry</t>
  </si>
  <si>
    <t>Battery Capacity</t>
  </si>
  <si>
    <t>Fluid technology</t>
  </si>
  <si>
    <t>Battery technology (Li-on)</t>
  </si>
  <si>
    <t>Bus Non AC-  ICE -12m</t>
  </si>
  <si>
    <t>Coach Bus AC ICE 12 m</t>
  </si>
  <si>
    <t>Coach Bus AC BEV 12 m</t>
  </si>
  <si>
    <t xml:space="preserve"> Distance covered by delivery vehicle </t>
  </si>
  <si>
    <t>According to engine powertrain</t>
  </si>
  <si>
    <t xml:space="preserve">SIAM FE Data 2018-19 </t>
  </si>
  <si>
    <t>https://trucks.cardekho.com/en/trucks/tvs/deluxe</t>
  </si>
  <si>
    <t>Bengaluru Metropolitan Transport Corporation (2021)</t>
  </si>
  <si>
    <t>https://unepccc.org/wp-content/uploads/2014/08/assessment-of-motor-vehicle-use-characteristics-in-three-indian-cities.pdf</t>
  </si>
  <si>
    <t>UITP performace evaluation report (2022)</t>
  </si>
  <si>
    <t>SIAM FE Data 2018-19</t>
  </si>
  <si>
    <t>Secondary data from Delhi derived from UNEP report (https://unepccc.org/wp-content/uploads/2014/08/assessment-of-motor-vehicle-use-characteristics-in-three-indian-cities.pdf)</t>
  </si>
  <si>
    <t>Consultations with OEMs and vehicle owners</t>
  </si>
  <si>
    <t>Secondary data triangulated from Chennai, Visakhapatnam, Gurugram and Udaipur</t>
  </si>
  <si>
    <t>Consultations with OEMs and operators</t>
  </si>
  <si>
    <t>Recent Indian contracts (https://pib.gov.in/PressReleaseIframePage.aspx?PRID=1820225)</t>
  </si>
  <si>
    <t>60% of bus capacity (BMTC)</t>
  </si>
  <si>
    <t>https://www.honda2wheelersindia.com/assets/pdf/Activa_6G_Final_Brochure.pdf</t>
  </si>
  <si>
    <t>BMTC</t>
  </si>
  <si>
    <t>Olectra-BYD (Pune)</t>
  </si>
  <si>
    <t>Olectra-BYD (Karnataka)</t>
  </si>
  <si>
    <t>https://autos.maxabout.com/bikes/okinawa/electric-scooter/praise-pro</t>
  </si>
  <si>
    <t>https://www.heromotocorp.com/en-in/uploads/bike/bike_e_brochure/20210308125602-pdf-438.pdf</t>
  </si>
  <si>
    <t>https://www.bikedekho.com/revolt-motors/rv-400/specifications</t>
  </si>
  <si>
    <t>https://www.tvsmotor.com/api/DownloadPDF/King-Deluxe?ItemId=51cf9c3a-8038-4b20-b472-df319b430fd2</t>
  </si>
  <si>
    <t>https://www.mahindraelectric.com/pdfs/Mahindra-Treo.pdf</t>
  </si>
  <si>
    <t xml:space="preserve">Data collected by: </t>
  </si>
  <si>
    <t>Average values from Bengaluru (https://english.bmrc.co.in/#/project-progress)</t>
  </si>
  <si>
    <t>Acknowledgments</t>
  </si>
  <si>
    <t xml:space="preserve">Project Funding: </t>
  </si>
  <si>
    <t>Tool aim and characteristics:</t>
  </si>
  <si>
    <t>Disclaimer:</t>
  </si>
  <si>
    <t>The following sheets are exceprts from the 2018 version of the GREET Model</t>
  </si>
  <si>
    <t xml:space="preserve">© COPYRIGHT 2017 UChicago Argonne, LLC                                                                                   </t>
  </si>
  <si>
    <t>ALL RIGHTS RESERVED</t>
  </si>
  <si>
    <t>Energy mix scenarios in the EM sheet are inspired by the World Bank Country Climate and Development Report (CCDR) (to be published); Note that grid emission factors rely of different assumptions to the CCDR</t>
  </si>
  <si>
    <t>INPUTS</t>
  </si>
  <si>
    <t>PHASES</t>
  </si>
  <si>
    <t>RESULTS</t>
  </si>
  <si>
    <t>Based on Bangalore metro average occupancy Sept 2022</t>
  </si>
  <si>
    <t>Based on average of  representative models</t>
  </si>
  <si>
    <t>Ravi Gadepalli (2022), Average load and lifetime (all vehicles), all data for buses</t>
  </si>
  <si>
    <t xml:space="preserve">Battery coresponding to vehicle weight </t>
  </si>
  <si>
    <t>Taxi/Ridehailing-ICE</t>
  </si>
  <si>
    <t>Taxi/Ridehailing-BEV</t>
  </si>
  <si>
    <t>CO2 intensity for vehicle delivery</t>
  </si>
  <si>
    <t>Natural Gas to Compressed Natural Gas (CNG), Liquefied Natural Gas (LNG) and Liquefied Petroleum Gas (LPG)</t>
  </si>
  <si>
    <r>
      <t xml:space="preserve">1) Scenario Control and Key Input Parameters (from the </t>
    </r>
    <r>
      <rPr>
        <b/>
        <i/>
        <sz val="11"/>
        <rFont val="Arial"/>
        <family val="2"/>
      </rPr>
      <t>Inputs</t>
    </r>
    <r>
      <rPr>
        <b/>
        <sz val="11"/>
        <rFont val="Arial"/>
        <family val="2"/>
      </rPr>
      <t xml:space="preserve"> sheet)</t>
    </r>
  </si>
  <si>
    <t>LPG Production</t>
  </si>
  <si>
    <t>Natural Gas</t>
  </si>
  <si>
    <t>Renewable NG</t>
  </si>
  <si>
    <t>LNG Production</t>
  </si>
  <si>
    <t>Flared Gas</t>
  </si>
  <si>
    <t>NG Recovery</t>
  </si>
  <si>
    <t>NG Processing</t>
  </si>
  <si>
    <t>NG Compression</t>
  </si>
  <si>
    <t>NG Liquefaction</t>
  </si>
  <si>
    <t>Canadian NG Recovery</t>
  </si>
  <si>
    <t>Canadian NG Processing</t>
  </si>
  <si>
    <t>Diesel commercial Boiler</t>
  </si>
  <si>
    <t>Natural Gas as a Processing Fuel (produced in North America)</t>
  </si>
  <si>
    <t>Natural Gas as a Feedstock to Produce Transportation Fuels</t>
  </si>
  <si>
    <t>NG or FG to Compressed Natural Gas</t>
  </si>
  <si>
    <t>Natural Gas to Liquefied Natural Gas</t>
  </si>
  <si>
    <t>Flare Gas to Liquefied Natural Gas (as an intermediate fuel)</t>
  </si>
  <si>
    <t>Flare Gas to Liquefied Natural Gas (as a final transportation fuel)</t>
  </si>
  <si>
    <t>Natural Gas/Landfill Gas to Liquefied Petroleum Gas</t>
  </si>
  <si>
    <t>Canadian Natural Gas/Natural Gas Liquids  to Oil Sands Recovery</t>
  </si>
  <si>
    <t>Conventional NG Recovery</t>
  </si>
  <si>
    <t>Conventional NG Processing</t>
  </si>
  <si>
    <t>Conventional NG Processing: Non-Combustion Emissions</t>
  </si>
  <si>
    <t>Shale Gas Recovery</t>
  </si>
  <si>
    <t>Shale Gas Processing</t>
  </si>
  <si>
    <t>Shale Gas Processing: Non-Combustion Emissions</t>
  </si>
  <si>
    <t>NG Transmission and Distribution</t>
  </si>
  <si>
    <t>NGL Transportation to Oil Sands</t>
  </si>
  <si>
    <t>NGL Transportation to Steam Crackers</t>
  </si>
  <si>
    <t>NA NG Recovery</t>
  </si>
  <si>
    <t>NA Shale Gas Recovery</t>
  </si>
  <si>
    <t>NA NG Processing</t>
  </si>
  <si>
    <t>NA NG Processing: Non-Combustion Emissions</t>
  </si>
  <si>
    <t>NNA NG Recovery</t>
  </si>
  <si>
    <t>NNA NG Processing</t>
  </si>
  <si>
    <t>NNA NG Processing: Non-Combustion Emissions</t>
  </si>
  <si>
    <t>NNA FG Recovery</t>
  </si>
  <si>
    <t>NNA FG Processing</t>
  </si>
  <si>
    <t>NNA FG Processing: Non-Combustion Emissions</t>
  </si>
  <si>
    <t>NG Transmission to LNG Plant (as an intermediate fuel)</t>
  </si>
  <si>
    <t>NG Transmission to LNG Plant (as a final transportation fuel)</t>
  </si>
  <si>
    <t>NG Transmission to LPG Plant</t>
  </si>
  <si>
    <t>NG Transmission to MeOH Plant</t>
  </si>
  <si>
    <t>NG Transmission to DME Plant</t>
  </si>
  <si>
    <t>NG Transmission to Central G.H2 Plant</t>
  </si>
  <si>
    <t>NG Transmission to Central L.H2 Plant</t>
  </si>
  <si>
    <t>NG Transmission to FT Plant</t>
  </si>
  <si>
    <t>NG Transmission to NG Electric Power Plant</t>
  </si>
  <si>
    <t>NG Transmission to Ammonia Plant</t>
  </si>
  <si>
    <t>NG Transmission to Refueling Stations for CNG Production</t>
  </si>
  <si>
    <t>NG Transmission to Refueling Stations for G.H2 Production</t>
  </si>
  <si>
    <t>NG Transmission to Refueling Stations for L.H2 Production</t>
  </si>
  <si>
    <t>Gas Compression</t>
  </si>
  <si>
    <t>NG Liquefaction: As an Intermediate Fuel</t>
  </si>
  <si>
    <t>NG Liquefaction: As a Transportation Fuel</t>
  </si>
  <si>
    <t>LNG Transportation and Distribution: As an Intermediate Fuel</t>
  </si>
  <si>
    <t>LNG Storage: As an Intermediate Fuel</t>
  </si>
  <si>
    <t>LNG Transportation and Distribution: As a Transportation Fuel</t>
  </si>
  <si>
    <t>LNG Storage: As a Transportation Fuel</t>
  </si>
  <si>
    <t>Gas Liquefaction</t>
  </si>
  <si>
    <t>LNG Transportation and Distribution: Non-North American FG Sources for CNG</t>
  </si>
  <si>
    <t>LNG Storage: Non-North American FG Sources for CNG</t>
  </si>
  <si>
    <t>LPG Production: Non-Combustion Emissions</t>
  </si>
  <si>
    <t>Canadian Natural Gas/Natural Gas Liquids Recovery</t>
  </si>
  <si>
    <t>Canadian Natural Gas/Natural Gas Liquids Processing</t>
  </si>
  <si>
    <t>Canadian Natural Gas/Natural Gas Liquids Processing: Non-Combustion Emissions</t>
  </si>
  <si>
    <t>Natural Gas Transmission to Oil Sands Recovery</t>
  </si>
  <si>
    <t>Natural Gas Transmission to Canadian Utility</t>
  </si>
  <si>
    <t>Natural Gas Liquids Transportation to Oil Sands Recovery</t>
  </si>
  <si>
    <t>4) Summary of Energy Consumption, Water Consumption, and Emissions: Btu or Grams per mmBtu of Fuel Throughput at Each Stage</t>
  </si>
  <si>
    <t>Natural Gas as Stationary Fuels</t>
  </si>
  <si>
    <t>Natural Gas for Electricity generation</t>
  </si>
  <si>
    <t>NGL to Oil Sands</t>
  </si>
  <si>
    <t>NGL (based on Shale Gas) to Steam Crackers</t>
  </si>
  <si>
    <t>Natural Gas to Liquefied Natural Gas (as an intermediate fuel)</t>
  </si>
  <si>
    <t>Flare gas to Liquefied Natural Gas (as an intermediate fuel)</t>
  </si>
  <si>
    <t>Natural Gas to Liquefied Natural Gas (as a transportation fuel)</t>
  </si>
  <si>
    <t>Flare gas to Liquefied Natural Gas (as a transportation fuel)</t>
  </si>
  <si>
    <t>Landfill Gas to Liquefied Natural Gas (as a transportation fuel)</t>
  </si>
  <si>
    <t>Liquefied Natural Gas: Combined (as a transportation fuel)</t>
  </si>
  <si>
    <t>Crude Oil to Liquefied Petroleum Gas</t>
  </si>
  <si>
    <t>Liquefied Petroleum Gas: Combined</t>
  </si>
  <si>
    <t>NG as Stationary Fuels in Chile</t>
  </si>
  <si>
    <t>Natural Gas to Liquefied Petroleum Gas in Chile</t>
  </si>
  <si>
    <t>Crude Oil to Liquefied Petroleum Gas in Chile</t>
  </si>
  <si>
    <t>Liquefied Petroleum Gas in Chile: Combined</t>
  </si>
  <si>
    <t>Canadian NG as Stationary Fuels</t>
  </si>
  <si>
    <t>Canadian NG for Electricity generation</t>
  </si>
  <si>
    <t>Canadian Natural Gas Liquids  to Oil Sands</t>
  </si>
  <si>
    <t>Natural Gas for Ammonia Production</t>
  </si>
  <si>
    <t>4.2) Urban Emissions: Grams per mmBtu of Fuel Throughput at Each Stage</t>
  </si>
  <si>
    <t>Bus - FCEV</t>
  </si>
  <si>
    <t>Electrolysis (Dedicated renewables)</t>
  </si>
  <si>
    <t>[km/l]</t>
  </si>
  <si>
    <t>[km/kg]</t>
  </si>
  <si>
    <t>Petrol</t>
  </si>
  <si>
    <t>1 l</t>
  </si>
  <si>
    <t>lge</t>
  </si>
  <si>
    <t>1 kg</t>
  </si>
  <si>
    <t xml:space="preserve"> Apé Auto HT DX (CNG)</t>
  </si>
  <si>
    <t>Delhi Data (DTC+DIMTS)</t>
  </si>
  <si>
    <t>Delhi Data</t>
  </si>
  <si>
    <t xml:space="preserve"> Delhi Data (DTC+DIMTS)</t>
  </si>
  <si>
    <t>v1.0 (June 2023)</t>
  </si>
  <si>
    <t>Infrastructure network (from the vehicle perspective)</t>
  </si>
  <si>
    <t>https://www.ecodesign-company.com/download/Siemens-EPD_metro_oslo.pdf?m=1473168020
https://www.avnir.org/</t>
  </si>
  <si>
    <t>UITP reports</t>
  </si>
  <si>
    <t>Average value from Bengaluru metro</t>
  </si>
  <si>
    <t>NA</t>
  </si>
  <si>
    <t>Electricity generation scenarios (Only applicable in case of BEVs and FCEVs)</t>
  </si>
  <si>
    <t>Coach Bus AC FCEV 12 m</t>
  </si>
  <si>
    <t>Notes: Vehicle material composition data collected at vehicle service centres. Vehicle curb weights from various online secondary data sources as mentioned (2 and 3W)</t>
  </si>
  <si>
    <t>Notes: Fuel use (gasoline, diesel, electricity) based on MTCs and further analysis (2 and 3W)</t>
  </si>
  <si>
    <t>Shinde, A. M.and Sharma, V. A. (2023). "Life Cycle Inventory for Road Transport Modes in India". Aapaavani Environmental Solutions Private Limited, Dakshina Kannada, Karnataka, India.</t>
  </si>
  <si>
    <t>Shinde and Sharma, 2022</t>
  </si>
  <si>
    <t>Shinde and Sharma, 2023</t>
  </si>
  <si>
    <t>Shinde and Sharma, 2024</t>
  </si>
  <si>
    <t>Shinde and Sharma, 2025</t>
  </si>
  <si>
    <t>Shinde and Sharma, 2026</t>
  </si>
  <si>
    <t>Shinde and Sharma, 2027</t>
  </si>
  <si>
    <t>Shinde and Sharma, 2028</t>
  </si>
  <si>
    <t>Shinde and Sharma, 2029</t>
  </si>
  <si>
    <t>Shinde and Sharma, 2030</t>
  </si>
  <si>
    <t>Shinde and Sharma, 2031</t>
  </si>
  <si>
    <t>Shinde and Sharma, 2032</t>
  </si>
  <si>
    <t>Shinde and Sharma, 2033</t>
  </si>
  <si>
    <t>High ambition scenario</t>
  </si>
  <si>
    <r>
      <t>Infrastructure network (from the vehicle perspective)</t>
    </r>
    <r>
      <rPr>
        <i/>
        <sz val="11"/>
        <color theme="1"/>
        <rFont val="Calibri"/>
        <family val="2"/>
        <scheme val="minor"/>
      </rPr>
      <t xml:space="preserve"> Results not available at the vehicle level</t>
    </r>
  </si>
  <si>
    <t>Vehicle manufacturing phase of the lifecycle of the vehicle</t>
  </si>
  <si>
    <t>Use phase of the lifecycle of the vehicle</t>
  </si>
  <si>
    <t>Operational service phase of the lifecycle of the vehicle</t>
  </si>
  <si>
    <t>Infrastructure required for the vehicle</t>
  </si>
  <si>
    <t>Summary of the energy consumption and GHG emission from each phase</t>
  </si>
  <si>
    <t>Graphical representation of the"Summary" sheet</t>
  </si>
  <si>
    <t>Default values used for the variables in the "Base inputs" sheet</t>
  </si>
  <si>
    <t>Data sources for the default values</t>
  </si>
  <si>
    <t>Computation of some required variable used in multiple phases</t>
  </si>
  <si>
    <t>Well to wheel fuel properties</t>
  </si>
  <si>
    <t>Manufacturing inputs</t>
  </si>
  <si>
    <t>Transport inputs</t>
  </si>
  <si>
    <t>Operational services inputs</t>
  </si>
  <si>
    <t>Technical specification E-scooter</t>
  </si>
  <si>
    <t>Technical specification New  E-scooter</t>
  </si>
  <si>
    <t>Technical specification Rail</t>
  </si>
  <si>
    <t>Technical specification car</t>
  </si>
  <si>
    <t>Technical specification infrastrcture</t>
  </si>
  <si>
    <t>[DMJ/MJ]</t>
  </si>
  <si>
    <t xml:space="preserve">Transportation of the vehicle from the point of manufacturing to the point of use </t>
  </si>
  <si>
    <t>Calculated assumption</t>
  </si>
  <si>
    <t>Grid specifications for different regions</t>
  </si>
  <si>
    <t>User input sheet for key variables</t>
  </si>
  <si>
    <t>Energy Mix (with options for user input)</t>
  </si>
  <si>
    <t xml:space="preserve">The India LCA Tool has been developed in the framework of the ITF activities on the Decarbonising Transport in Emerging Economies (DTEE) and Nationally Determined Contributions – Transport Initiative for Asia (NDC-TIA) projects. 
The DTEE project supports transport decarbonisation through the development and the provision of a framework allowing the quantitative assessment of transport mitigation actions, while also facilitating policy dialogue across all relevant stakeholders.
The NDC Transport Initiative for Asia (NDC-TIA) supports Asian economies to define policies capable to allow them to develop and meet the ambition of their Nationally Determined Contributions (NDCs).
The LCA Tool described here was developed in the context of the DTEE project and leveraged in the context of the NDC-TIA project to help local research and academic institutions increase technical capacity, so that they can support the Indian national government in defining greenhouse gas (GHG) emission mitigation policies in transport.
NITI Aayog is the nodal agency working closely with the ITF on the DTEE and NDC-TIA project development in India.
This project is part of the International Climate Initiative (IKI) implemented by the Federal Ministry for Economic Affairs and Climate Action (BMWK), Germany.
</t>
  </si>
  <si>
    <t xml:space="preserve">The objective of the Tool is the estimation of energy and GHG emissions associated with different modes of transport, looking at the characteristics of the vehicles needed to serve them, their powertrain technologies, their energy vectors and the infrastructure that they require to operate.
More specifically, the Tool aims to provide a holistic assessment of different transport options, accounting for energy use and GHG emissions that occur in different phases of the life of the vehicles, including:
1. Manufacturing including the assembly and disposal of materials associated with the vehicle and battery; 
2. Transport to the place of commercialisation;
3. Use (including impacts associated with energy production);
4. Operational services needed by specific vehicles and possibly requiring the involvement of other vehicles (this does not typically apply to private vehicles);
5. Infrastructure construction and maintenance, according to relevant usage profiles (i.e. using an attributional approach, allocating energy and emissions occurring during construction and operation of infrastructures to the transport activity taking place on these same infrastructures).
The Tool was designed to be flexibly applicable at different administrative levels, including in particular local (urban) administrations, as well as the Central or State governments.
</t>
  </si>
  <si>
    <t>This LCA Tool consists of the following sheets:</t>
  </si>
  <si>
    <t>The Tool and corresponding manual are supplied without a warranty. The ITF, nor its partners, nor the individuals acknowledged assume responsibility for the accuracy of the input data, calculations, results or methodology of the Tool, nor any decisions made on the basis of its outputs.</t>
  </si>
  <si>
    <t xml:space="preserve">The Tool is based on the GREET Model (2018) of the Argonne National Laboratory, developed by Michael Wang. This Tool is not  associated with the GREET Model, though the authors are grateful to the Argonne National Laboratory and Michael Wang for support at points throughout the project. Direct inputs related to fuel and material properties are based on GREET Model results. The ITF Tool assumes the same system boundary.    © COPYRIGHT 2017 UChicago Argonne, LLC  </t>
  </si>
  <si>
    <t>Direct reference to user input from input sheet</t>
  </si>
  <si>
    <r>
      <t xml:space="preserve">Technology Information, Forecasting &amp; Assessment Council (forthcoming). </t>
    </r>
    <r>
      <rPr>
        <sz val="10"/>
        <color theme="1"/>
        <rFont val="Calibri"/>
        <family val="2"/>
        <scheme val="minor"/>
      </rPr>
      <t>Estimation of Real Life Fuel Economy of Indian Vehicles by a Data Driven Approach</t>
    </r>
  </si>
  <si>
    <t>Colour scheme  for calculations in phases sheets</t>
  </si>
  <si>
    <t>Irrelevant input/ User input is not required.</t>
  </si>
  <si>
    <t>Colour coding for inputs and results</t>
  </si>
  <si>
    <t xml:space="preserve">The Tool was developed by the ITF through a number of collaborations. 
Pierpaolo Cazzola (formerly ITF) developed an initial version of the Tool. Leeza Malik and Subrajeet Sengupta (IIT(ISM) Dhanbad) further improved the Tool, incorporating data sourced by Ravi Gadepalli (independent consultant, World Bank), Amar Shinde (IIT Pune), and Technology Information Forecasting and Assesment Council (TIFAC) .
Tool development was managed by Malithi Fernando (ITF), with valuable input from Vatsalya Sohu (ITF) and Ravi Gadepalli. 
The Tool also benefited from the feedback of NITI Aayog, the NDC-TIA consortium members ICCT, WRI, GIZ, Agora, and REN21, in addition to the World Bank. A peer review workshop was held in January 2023 with representation from academia, international organisations, and transport practictioners in India as well as international experts. The feedback from this event and following was incorporated into the Tool and manual. In particular, they benefitted from the detailed review of Gerald Ollivier (World Bank), N Mohan (Government of Delhi), Sudhanshu Mishra, and Minal Chandra (UC Davis). </t>
  </si>
  <si>
    <t>ITF Transport Life-cycle Assessment Tool for India</t>
  </si>
  <si>
    <t xml:space="preserve">Please read the manual prior to use: </t>
  </si>
  <si>
    <t>https://www.itf-oecd.org/repository/user-manuals-itf-transport-life-cycle-assessment-tool-india</t>
  </si>
  <si>
    <t>v1.0 (August 2023)</t>
  </si>
  <si>
    <r>
      <t>Please cite this tool as:</t>
    </r>
    <r>
      <rPr>
        <sz val="11"/>
        <color theme="1"/>
        <rFont val="Calibri"/>
        <family val="2"/>
        <scheme val="minor"/>
      </rPr>
      <t xml:space="preserve"> ITF (2023)</t>
    </r>
    <r>
      <rPr>
        <i/>
        <sz val="11"/>
        <color theme="1"/>
        <rFont val="Calibri"/>
        <family val="2"/>
        <scheme val="minor"/>
      </rPr>
      <t>, ITF Transport Life-cycle Assessment Tool for India (v1.0)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</si>
</sst>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3" formatCode="_-* #,##0.00_-;\-* #,##0.00_-;_-* &quot;-&quot;??_-;_-@_-"/>
    <numFmt numFmtId="164" formatCode="_ * #,##0.00_ ;_ * \-#,##0.00_ ;_ * &quot;-&quot;??_ ;_ @_ "/>
    <numFmt numFmtId="165" formatCode="0.0"/>
    <numFmt numFmtId="166" formatCode="0.000"/>
    <numFmt numFmtId="167" formatCode="0.0%"/>
    <numFmt numFmtId="168" formatCode="#,##0.0"/>
    <numFmt numFmtId="169" formatCode="0.0000"/>
    <numFmt numFmtId="170" formatCode="#,##0.000"/>
    <numFmt numFmtId="171" formatCode="_(* #,##0.00_);_(* \(#,##0.00\);_(* &quot;-&quot;??_);_(@_)"/>
    <numFmt numFmtId="172" formatCode="_(* #,##0_);_(* \(#,##0\);_(* &quot;-&quot;??_);_(@_)"/>
    <numFmt numFmtId="173" formatCode="0.000000"/>
    <numFmt numFmtId="174" formatCode="#,##0.000_);\(#,##0.000\)"/>
    <numFmt numFmtId="175" formatCode="#,##0.00000"/>
    <numFmt numFmtId="176" formatCode="#,##0.000000"/>
    <numFmt numFmtId="177" formatCode="0.000%"/>
    <numFmt numFmtId="178" formatCode="0.0000%"/>
    <numFmt numFmtId="179" formatCode="#,##0.0000000"/>
    <numFmt numFmtId="180" formatCode="#,##0.000000000"/>
    <numFmt numFmtId="181" formatCode="#,##0.00000000000"/>
    <numFmt numFmtId="182" formatCode="#,##0.0000"/>
    <numFmt numFmtId="183" formatCode="0.00000"/>
    <numFmt numFmtId="184" formatCode="_(&quot;$&quot;* #,##0.00_);_(&quot;$&quot;* \(#,##0.00\);_(&quot;$&quot;* &quot;-&quot;??_);_(@_)"/>
    <numFmt numFmtId="185" formatCode="_ [$€-2]\ * #,##0.00_ ;_ [$€-2]\ * \-#,##0.00_ ;_ [$€-2]\ * &quot;-&quot;??_ "/>
    <numFmt numFmtId="186" formatCode="0.0000000"/>
    <numFmt numFmtId="187" formatCode="0.000000000"/>
  </numFmts>
  <fonts count="109" x14ac:knownFonts="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sz val="12"/>
      <color theme="1"/>
      <name val="Times New Roman"/>
      <family val="1"/>
    </font>
    <font>
      <sz val="10"/>
      <name val="Calibri"/>
      <family val="2"/>
      <scheme val="minor"/>
    </font>
    <font>
      <b/>
      <sz val="9"/>
      <color indexed="81"/>
      <name val="Tahoma"/>
      <family val="2"/>
    </font>
    <font>
      <sz val="9"/>
      <color indexed="81"/>
      <name val="Tahoma"/>
      <family val="2"/>
    </font>
    <font>
      <b/>
      <sz val="10"/>
      <name val="Calibri"/>
      <family val="2"/>
      <scheme val="minor"/>
    </font>
    <font>
      <sz val="11"/>
      <name val="Calibri"/>
      <family val="2"/>
      <scheme val="minor"/>
    </font>
    <font>
      <sz val="10"/>
      <color theme="1"/>
      <name val="Arial"/>
      <family val="2"/>
    </font>
    <font>
      <b/>
      <sz val="10"/>
      <color theme="1"/>
      <name val="Arial"/>
      <family val="2"/>
    </font>
    <font>
      <sz val="10"/>
      <color theme="1"/>
      <name val="Calibri"/>
      <family val="2"/>
      <scheme val="minor"/>
    </font>
    <font>
      <b/>
      <sz val="10"/>
      <name val="Arial"/>
      <family val="2"/>
    </font>
    <font>
      <u/>
      <sz val="10"/>
      <color theme="10"/>
      <name val="Arial"/>
      <family val="2"/>
    </font>
    <font>
      <u/>
      <sz val="15"/>
      <color theme="10"/>
      <name val="Arial"/>
      <family val="2"/>
    </font>
    <font>
      <sz val="10"/>
      <color theme="0" tint="-0.34998626667073579"/>
      <name val="Arial"/>
      <family val="2"/>
    </font>
    <font>
      <b/>
      <sz val="10"/>
      <color theme="1"/>
      <name val="Calibri"/>
      <family val="2"/>
      <scheme val="minor"/>
    </font>
    <font>
      <sz val="10"/>
      <name val="Arial"/>
      <family val="2"/>
    </font>
    <font>
      <sz val="10"/>
      <color rgb="FF00B050"/>
      <name val="Arial"/>
      <family val="2"/>
    </font>
    <font>
      <sz val="10"/>
      <color rgb="FFFF0000"/>
      <name val="Arial"/>
      <family val="2"/>
    </font>
    <font>
      <u/>
      <sz val="11"/>
      <color theme="10"/>
      <name val="Calibri"/>
      <family val="2"/>
      <scheme val="minor"/>
    </font>
    <font>
      <sz val="10"/>
      <color rgb="FF0070C0"/>
      <name val="Arial"/>
      <family val="2"/>
    </font>
    <font>
      <sz val="10"/>
      <color theme="6" tint="-0.499984740745262"/>
      <name val="Arial"/>
      <family val="2"/>
    </font>
    <font>
      <sz val="10"/>
      <color rgb="FFE2001A"/>
      <name val="Arial"/>
      <family val="2"/>
    </font>
    <font>
      <i/>
      <sz val="10"/>
      <color theme="1"/>
      <name val="Arial"/>
      <family val="2"/>
    </font>
    <font>
      <b/>
      <i/>
      <sz val="10"/>
      <color theme="1"/>
      <name val="Arial"/>
      <family val="2"/>
    </font>
    <font>
      <i/>
      <sz val="11"/>
      <color theme="1"/>
      <name val="Calibri"/>
      <family val="2"/>
      <scheme val="minor"/>
    </font>
    <font>
      <b/>
      <sz val="12"/>
      <name val="Arial"/>
      <family val="2"/>
    </font>
    <font>
      <u/>
      <sz val="10"/>
      <color indexed="12"/>
      <name val="Arial"/>
      <family val="2"/>
    </font>
    <font>
      <sz val="10"/>
      <color indexed="20"/>
      <name val="Arial"/>
      <family val="2"/>
    </font>
    <font>
      <b/>
      <sz val="11"/>
      <name val="Arial"/>
      <family val="2"/>
    </font>
    <font>
      <vertAlign val="subscript"/>
      <sz val="8"/>
      <name val="Arial"/>
      <family val="2"/>
    </font>
    <font>
      <sz val="8"/>
      <color indexed="81"/>
      <name val="Tahoma"/>
      <family val="2"/>
    </font>
    <font>
      <vertAlign val="subscript"/>
      <sz val="10"/>
      <name val="Arial"/>
      <family val="2"/>
    </font>
    <font>
      <b/>
      <i/>
      <sz val="11"/>
      <name val="Arial"/>
      <family val="2"/>
    </font>
    <font>
      <b/>
      <vertAlign val="subscript"/>
      <sz val="10"/>
      <name val="Arial"/>
      <family val="2"/>
    </font>
    <font>
      <b/>
      <sz val="8"/>
      <name val="Arial"/>
      <family val="2"/>
    </font>
    <font>
      <sz val="10"/>
      <color rgb="FF00B0F0"/>
      <name val="Arial"/>
      <family val="2"/>
    </font>
    <font>
      <sz val="9"/>
      <color rgb="FF000000"/>
      <name val="Tahoma"/>
      <family val="2"/>
    </font>
    <font>
      <sz val="8"/>
      <color indexed="8"/>
      <name val="Tahoma"/>
      <family val="2"/>
    </font>
    <font>
      <b/>
      <sz val="10"/>
      <color indexed="81"/>
      <name val="Calibri"/>
      <family val="2"/>
    </font>
    <font>
      <sz val="10"/>
      <color indexed="81"/>
      <name val="Calibri"/>
      <family val="2"/>
    </font>
    <font>
      <sz val="10"/>
      <color rgb="FF000000"/>
      <name val="Arial"/>
      <family val="2"/>
    </font>
    <font>
      <sz val="10"/>
      <color indexed="23"/>
      <name val="Arial"/>
      <family val="2"/>
    </font>
    <font>
      <sz val="11"/>
      <color rgb="FF000000"/>
      <name val="Calibri"/>
      <family val="2"/>
    </font>
    <font>
      <sz val="9"/>
      <color indexed="8"/>
      <name val="Tahoma"/>
      <family val="2"/>
    </font>
    <font>
      <sz val="11"/>
      <color rgb="FF000000"/>
      <name val="Arial"/>
      <family val="2"/>
    </font>
    <font>
      <b/>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name val="Verdana"/>
      <family val="2"/>
    </font>
    <font>
      <b/>
      <sz val="18"/>
      <color theme="1"/>
      <name val="Calibri"/>
      <family val="2"/>
      <scheme val="minor"/>
    </font>
    <font>
      <sz val="11"/>
      <color rgb="FF000000"/>
      <name val="Calibri"/>
      <family val="2"/>
      <scheme val="minor"/>
    </font>
    <font>
      <sz val="12"/>
      <color theme="1"/>
      <name val="Calibri"/>
      <family val="2"/>
      <scheme val="minor"/>
    </font>
    <font>
      <b/>
      <sz val="12"/>
      <color theme="1"/>
      <name val="Calibri"/>
      <family val="2"/>
      <scheme val="minor"/>
    </font>
    <font>
      <b/>
      <sz val="14"/>
      <name val="Calibri"/>
      <family val="2"/>
      <scheme val="minor"/>
    </font>
    <font>
      <b/>
      <sz val="11"/>
      <name val="Calibri"/>
      <family val="2"/>
      <scheme val="minor"/>
    </font>
    <font>
      <b/>
      <sz val="14"/>
      <color theme="1"/>
      <name val="Calibri"/>
      <family val="2"/>
      <scheme val="minor"/>
    </font>
    <font>
      <sz val="10"/>
      <color theme="8" tint="-0.249977111117893"/>
      <name val="Calibri"/>
      <family val="2"/>
      <scheme val="minor"/>
    </font>
    <font>
      <sz val="8"/>
      <color theme="1"/>
      <name val="Calibri"/>
      <family val="2"/>
      <scheme val="minor"/>
    </font>
    <font>
      <b/>
      <sz val="15"/>
      <name val="Calibri"/>
      <family val="2"/>
      <scheme val="minor"/>
    </font>
    <font>
      <sz val="12"/>
      <name val="Calibri"/>
      <family val="2"/>
      <scheme val="minor"/>
    </font>
    <font>
      <sz val="16"/>
      <name val="Calibri"/>
      <family val="2"/>
      <scheme val="minor"/>
    </font>
    <font>
      <sz val="8"/>
      <name val="Calibri"/>
      <family val="2"/>
      <scheme val="minor"/>
    </font>
    <font>
      <b/>
      <sz val="14"/>
      <name val="Arial"/>
      <family val="2"/>
    </font>
    <font>
      <sz val="11"/>
      <color theme="1"/>
      <name val="Arial"/>
      <family val="2"/>
    </font>
    <font>
      <b/>
      <sz val="14"/>
      <color theme="1"/>
      <name val="Arial"/>
      <family val="2"/>
    </font>
    <font>
      <b/>
      <sz val="11"/>
      <color theme="1"/>
      <name val="Arial"/>
      <family val="2"/>
    </font>
    <font>
      <i/>
      <sz val="11"/>
      <color theme="1"/>
      <name val="Arial"/>
      <family val="2"/>
    </font>
    <font>
      <sz val="11"/>
      <color rgb="FFFF0000"/>
      <name val="Arial"/>
      <family val="2"/>
    </font>
    <font>
      <sz val="11"/>
      <name val="Arial"/>
      <family val="2"/>
    </font>
    <font>
      <b/>
      <i/>
      <sz val="11"/>
      <color theme="1"/>
      <name val="Arial"/>
      <family val="2"/>
    </font>
    <font>
      <sz val="12"/>
      <color theme="1"/>
      <name val="Arial"/>
      <family val="2"/>
    </font>
    <font>
      <sz val="10"/>
      <color theme="1" tint="0.499984740745262"/>
      <name val="Arial"/>
      <family val="2"/>
    </font>
    <font>
      <sz val="10"/>
      <color rgb="FF7030A0"/>
      <name val="Arial"/>
      <family val="2"/>
    </font>
    <font>
      <b/>
      <sz val="15"/>
      <color theme="1"/>
      <name val="Arial"/>
      <family val="2"/>
    </font>
    <font>
      <sz val="15"/>
      <color theme="1"/>
      <name val="Arial"/>
      <family val="2"/>
    </font>
    <font>
      <sz val="11"/>
      <color rgb="FF00B050"/>
      <name val="Arial"/>
      <family val="2"/>
    </font>
    <font>
      <b/>
      <sz val="11"/>
      <color rgb="FF00B050"/>
      <name val="Arial"/>
      <family val="2"/>
    </font>
    <font>
      <sz val="11"/>
      <color rgb="FF0070C0"/>
      <name val="Arial"/>
      <family val="2"/>
    </font>
    <font>
      <u/>
      <sz val="11"/>
      <color theme="10"/>
      <name val="Arial"/>
      <family val="2"/>
    </font>
    <font>
      <b/>
      <sz val="12"/>
      <color theme="1"/>
      <name val="Arial"/>
      <family val="2"/>
    </font>
    <font>
      <u/>
      <sz val="10"/>
      <name val="Calibri"/>
      <family val="2"/>
      <scheme val="minor"/>
    </font>
    <font>
      <i/>
      <sz val="10"/>
      <name val="Calibri"/>
      <family val="2"/>
      <scheme val="minor"/>
    </font>
    <font>
      <b/>
      <sz val="4.5"/>
      <color theme="1"/>
      <name val="Calibri"/>
      <family val="2"/>
    </font>
    <font>
      <b/>
      <sz val="10"/>
      <color theme="1"/>
      <name val="Calibri"/>
      <family val="2"/>
    </font>
    <font>
      <sz val="10"/>
      <color theme="1"/>
      <name val="Times New Roman"/>
      <family val="1"/>
    </font>
    <font>
      <sz val="10"/>
      <color theme="1"/>
      <name val="Calibri"/>
      <family val="2"/>
    </font>
    <font>
      <b/>
      <sz val="12"/>
      <color theme="1"/>
      <name val="Times New Roman"/>
      <family val="1"/>
    </font>
    <font>
      <sz val="11"/>
      <name val="Times New Roman"/>
      <family val="1"/>
    </font>
    <font>
      <sz val="12"/>
      <name val="Times New Roman"/>
      <family val="1"/>
    </font>
    <font>
      <b/>
      <sz val="14"/>
      <name val="Times New Roman"/>
      <family val="1"/>
    </font>
  </fonts>
  <fills count="62">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1"/>
        <bgColor indexed="64"/>
      </patternFill>
    </fill>
    <fill>
      <patternFill patternType="solid">
        <fgColor theme="7" tint="-0.249977111117893"/>
        <bgColor indexed="64"/>
      </patternFill>
    </fill>
    <fill>
      <patternFill patternType="solid">
        <fgColor indexed="13"/>
        <bgColor indexed="64"/>
      </patternFill>
    </fill>
    <fill>
      <patternFill patternType="solid">
        <fgColor indexed="29"/>
        <bgColor indexed="64"/>
      </patternFill>
    </fill>
    <fill>
      <patternFill patternType="solid">
        <fgColor rgb="FF00B0F0"/>
        <bgColor indexed="64"/>
      </patternFill>
    </fill>
    <fill>
      <patternFill patternType="solid">
        <fgColor indexed="63"/>
        <bgColor indexed="64"/>
      </patternFill>
    </fill>
    <fill>
      <patternFill patternType="solid">
        <fgColor indexed="9"/>
        <bgColor indexed="64"/>
      </patternFill>
    </fill>
    <fill>
      <patternFill patternType="solid">
        <fgColor rgb="FFFFFF00"/>
        <bgColor rgb="FF000000"/>
      </patternFill>
    </fill>
    <fill>
      <patternFill patternType="solid">
        <fgColor indexed="13"/>
        <bgColor indexed="8"/>
      </patternFill>
    </fill>
    <fill>
      <patternFill patternType="solid">
        <fgColor rgb="FF00FF00"/>
        <bgColor indexed="64"/>
      </patternFill>
    </fill>
    <fill>
      <patternFill patternType="solid">
        <fgColor rgb="FFFF8080"/>
        <bgColor indexed="64"/>
      </patternFill>
    </fill>
    <fill>
      <patternFill patternType="solid">
        <fgColor rgb="FF00FF00"/>
        <bgColor indexed="9"/>
      </patternFill>
    </fill>
    <fill>
      <patternFill patternType="solid">
        <fgColor theme="1" tint="0.24994659260841701"/>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BC2E6"/>
        <bgColor indexed="64"/>
      </patternFill>
    </fill>
    <fill>
      <patternFill patternType="solid">
        <fgColor rgb="FFFFE599"/>
        <bgColor indexed="64"/>
      </patternFill>
    </fill>
    <fill>
      <patternFill patternType="solid">
        <fgColor rgb="FFA8D08D"/>
        <bgColor indexed="64"/>
      </patternFill>
    </fill>
    <fill>
      <patternFill patternType="solid">
        <fgColor rgb="FFF4B084"/>
        <bgColor indexed="64"/>
      </patternFill>
    </fill>
    <fill>
      <patternFill patternType="solid">
        <fgColor rgb="FFBF8F00"/>
        <bgColor indexed="64"/>
      </patternFill>
    </fill>
    <fill>
      <patternFill patternType="darkUp">
        <fgColor theme="6" tint="0.59996337778862885"/>
        <bgColor theme="0"/>
      </patternFill>
    </fill>
    <fill>
      <patternFill patternType="solid">
        <fgColor rgb="FFFFE499"/>
        <bgColor indexed="64"/>
      </patternFill>
    </fill>
    <fill>
      <patternFill patternType="solid">
        <fgColor rgb="FFF4AF84"/>
        <bgColor indexed="64"/>
      </patternFill>
    </fill>
    <fill>
      <patternFill patternType="solid">
        <fgColor rgb="FFBE8F00"/>
        <bgColor indexed="64"/>
      </patternFill>
    </fill>
    <fill>
      <patternFill patternType="solid">
        <fgColor rgb="FF0D0D0D"/>
        <bgColor indexed="64"/>
      </patternFill>
    </fill>
  </fills>
  <borders count="5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bottom/>
      <diagonal/>
    </border>
    <border>
      <left style="medium">
        <color auto="1"/>
      </left>
      <right style="medium">
        <color auto="1"/>
      </right>
      <top/>
      <bottom/>
      <diagonal/>
    </border>
    <border>
      <left style="hair">
        <color auto="1"/>
      </left>
      <right style="hair">
        <color auto="1"/>
      </right>
      <top style="hair">
        <color auto="1"/>
      </top>
      <bottom style="hair">
        <color auto="1"/>
      </bottom>
      <diagonal/>
    </border>
    <border>
      <left style="dashed">
        <color auto="1"/>
      </left>
      <right/>
      <top style="thin">
        <color indexed="64"/>
      </top>
      <bottom style="thin">
        <color indexed="64"/>
      </bottom>
      <diagonal/>
    </border>
    <border>
      <left/>
      <right style="dashed">
        <color auto="1"/>
      </right>
      <top style="thin">
        <color indexed="64"/>
      </top>
      <bottom style="thin">
        <color indexed="64"/>
      </bottom>
      <diagonal/>
    </border>
    <border>
      <left style="thin">
        <color auto="1"/>
      </left>
      <right style="dashed">
        <color auto="1"/>
      </right>
      <top style="thin">
        <color indexed="64"/>
      </top>
      <bottom style="thin">
        <color indexed="64"/>
      </bottom>
      <diagonal/>
    </border>
    <border>
      <left style="dashed">
        <color auto="1"/>
      </left>
      <right/>
      <top style="thin">
        <color auto="1"/>
      </top>
      <bottom/>
      <diagonal/>
    </border>
    <border>
      <left/>
      <right style="dashed">
        <color auto="1"/>
      </right>
      <top style="thin">
        <color auto="1"/>
      </top>
      <bottom/>
      <diagonal/>
    </border>
    <border>
      <left style="thin">
        <color auto="1"/>
      </left>
      <right style="dashed">
        <color auto="1"/>
      </right>
      <top style="thin">
        <color auto="1"/>
      </top>
      <bottom/>
      <diagonal/>
    </border>
    <border>
      <left style="dashed">
        <color auto="1"/>
      </left>
      <right/>
      <top/>
      <bottom/>
      <diagonal/>
    </border>
    <border>
      <left/>
      <right style="dashed">
        <color auto="1"/>
      </right>
      <top/>
      <bottom/>
      <diagonal/>
    </border>
    <border>
      <left style="thin">
        <color auto="1"/>
      </left>
      <right style="dashed">
        <color auto="1"/>
      </right>
      <top/>
      <bottom/>
      <diagonal/>
    </border>
    <border>
      <left style="dashed">
        <color auto="1"/>
      </left>
      <right/>
      <top/>
      <bottom style="thin">
        <color auto="1"/>
      </bottom>
      <diagonal/>
    </border>
    <border>
      <left/>
      <right style="dashed">
        <color auto="1"/>
      </right>
      <top/>
      <bottom style="thin">
        <color auto="1"/>
      </bottom>
      <diagonal/>
    </border>
    <border>
      <left style="thin">
        <color auto="1"/>
      </left>
      <right style="dashed">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indexed="64"/>
      </top>
      <bottom/>
      <diagonal/>
    </border>
    <border>
      <left/>
      <right/>
      <top style="thin">
        <color indexed="64"/>
      </top>
      <bottom/>
      <diagonal/>
    </border>
    <border>
      <left/>
      <right style="thin">
        <color auto="1"/>
      </right>
      <top style="thin">
        <color auto="1"/>
      </top>
      <bottom/>
      <diagonal/>
    </border>
    <border>
      <left/>
      <right style="thin">
        <color auto="1"/>
      </right>
      <top style="thin">
        <color auto="1"/>
      </top>
      <bottom style="thin">
        <color indexed="64"/>
      </bottom>
      <diagonal/>
    </border>
    <border>
      <left style="thin">
        <color auto="1"/>
      </left>
      <right/>
      <top style="thin">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68">
    <xf numFmtId="0" fontId="0"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14" fillId="0" borderId="0" applyNumberFormat="0" applyFill="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18" fillId="0" borderId="0"/>
    <xf numFmtId="0" fontId="18" fillId="0" borderId="0"/>
    <xf numFmtId="9" fontId="18" fillId="0" borderId="0" applyFont="0" applyFill="0" applyBorder="0" applyAlignment="0" applyProtection="0"/>
    <xf numFmtId="171" fontId="18" fillId="0" borderId="0" applyFont="0" applyFill="0" applyBorder="0" applyAlignment="0" applyProtection="0"/>
    <xf numFmtId="0" fontId="18" fillId="0" borderId="0" applyBorder="0"/>
    <xf numFmtId="0" fontId="18" fillId="0" borderId="18"/>
    <xf numFmtId="0" fontId="18" fillId="0" borderId="18"/>
    <xf numFmtId="0" fontId="18" fillId="0" borderId="18"/>
    <xf numFmtId="185" fontId="49" fillId="30" borderId="0" applyNumberFormat="0" applyBorder="0" applyAlignment="0" applyProtection="0"/>
    <xf numFmtId="185" fontId="49" fillId="31" borderId="0" applyNumberFormat="0" applyBorder="0" applyAlignment="0" applyProtection="0"/>
    <xf numFmtId="185" fontId="49" fillId="32" borderId="0" applyNumberFormat="0" applyBorder="0" applyAlignment="0" applyProtection="0"/>
    <xf numFmtId="185" fontId="49" fillId="33" borderId="0" applyNumberFormat="0" applyBorder="0" applyAlignment="0" applyProtection="0"/>
    <xf numFmtId="185" fontId="49" fillId="34" borderId="0" applyNumberFormat="0" applyBorder="0" applyAlignment="0" applyProtection="0"/>
    <xf numFmtId="185" fontId="49" fillId="35" borderId="0" applyNumberFormat="0" applyBorder="0" applyAlignment="0" applyProtection="0"/>
    <xf numFmtId="185" fontId="49" fillId="36" borderId="0" applyNumberFormat="0" applyBorder="0" applyAlignment="0" applyProtection="0"/>
    <xf numFmtId="185" fontId="49" fillId="37" borderId="0" applyNumberFormat="0" applyBorder="0" applyAlignment="0" applyProtection="0"/>
    <xf numFmtId="185" fontId="49" fillId="38" borderId="0" applyNumberFormat="0" applyBorder="0" applyAlignment="0" applyProtection="0"/>
    <xf numFmtId="185" fontId="49" fillId="33" borderId="0" applyNumberFormat="0" applyBorder="0" applyAlignment="0" applyProtection="0"/>
    <xf numFmtId="185" fontId="49" fillId="36" borderId="0" applyNumberFormat="0" applyBorder="0" applyAlignment="0" applyProtection="0"/>
    <xf numFmtId="185" fontId="49" fillId="39" borderId="0" applyNumberFormat="0" applyBorder="0" applyAlignment="0" applyProtection="0"/>
    <xf numFmtId="185" fontId="50" fillId="40" borderId="0" applyNumberFormat="0" applyBorder="0" applyAlignment="0" applyProtection="0"/>
    <xf numFmtId="185" fontId="50" fillId="37" borderId="0" applyNumberFormat="0" applyBorder="0" applyAlignment="0" applyProtection="0"/>
    <xf numFmtId="185" fontId="50" fillId="38" borderId="0" applyNumberFormat="0" applyBorder="0" applyAlignment="0" applyProtection="0"/>
    <xf numFmtId="185" fontId="50" fillId="41" borderId="0" applyNumberFormat="0" applyBorder="0" applyAlignment="0" applyProtection="0"/>
    <xf numFmtId="185" fontId="50" fillId="42" borderId="0" applyNumberFormat="0" applyBorder="0" applyAlignment="0" applyProtection="0"/>
    <xf numFmtId="185" fontId="50" fillId="43" borderId="0" applyNumberFormat="0" applyBorder="0" applyAlignment="0" applyProtection="0"/>
    <xf numFmtId="185" fontId="50" fillId="44" borderId="0" applyNumberFormat="0" applyBorder="0" applyAlignment="0" applyProtection="0"/>
    <xf numFmtId="185" fontId="50" fillId="45" borderId="0" applyNumberFormat="0" applyBorder="0" applyAlignment="0" applyProtection="0"/>
    <xf numFmtId="185" fontId="50" fillId="46" borderId="0" applyNumberFormat="0" applyBorder="0" applyAlignment="0" applyProtection="0"/>
    <xf numFmtId="185" fontId="50" fillId="41" borderId="0" applyNumberFormat="0" applyBorder="0" applyAlignment="0" applyProtection="0"/>
    <xf numFmtId="185" fontId="50" fillId="42" borderId="0" applyNumberFormat="0" applyBorder="0" applyAlignment="0" applyProtection="0"/>
    <xf numFmtId="185" fontId="50" fillId="47" borderId="0" applyNumberFormat="0" applyBorder="0" applyAlignment="0" applyProtection="0"/>
    <xf numFmtId="185" fontId="51" fillId="31" borderId="0" applyNumberFormat="0" applyBorder="0" applyAlignment="0" applyProtection="0"/>
    <xf numFmtId="185" fontId="52" fillId="48" borderId="37" applyNumberFormat="0" applyAlignment="0" applyProtection="0"/>
    <xf numFmtId="185" fontId="53" fillId="49" borderId="38" applyNumberFormat="0" applyAlignment="0" applyProtection="0"/>
    <xf numFmtId="3" fontId="18" fillId="0" borderId="0" applyFont="0" applyFill="0" applyBorder="0" applyAlignment="0" applyProtection="0"/>
    <xf numFmtId="184" fontId="18" fillId="0" borderId="0" applyFont="0" applyFill="0" applyBorder="0" applyAlignment="0" applyProtection="0"/>
    <xf numFmtId="185" fontId="54" fillId="0" borderId="0" applyNumberFormat="0" applyFill="0" applyBorder="0" applyAlignment="0" applyProtection="0"/>
    <xf numFmtId="185" fontId="55" fillId="32" borderId="0" applyNumberFormat="0" applyBorder="0" applyAlignment="0" applyProtection="0"/>
    <xf numFmtId="185" fontId="56" fillId="0" borderId="39" applyNumberFormat="0" applyFill="0" applyAlignment="0" applyProtection="0"/>
    <xf numFmtId="185" fontId="57" fillId="0" borderId="40" applyNumberFormat="0" applyFill="0" applyAlignment="0" applyProtection="0"/>
    <xf numFmtId="185" fontId="58" fillId="0" borderId="41" applyNumberFormat="0" applyFill="0" applyAlignment="0" applyProtection="0"/>
    <xf numFmtId="185" fontId="58" fillId="0" borderId="0" applyNumberFormat="0" applyFill="0" applyBorder="0" applyAlignment="0" applyProtection="0"/>
    <xf numFmtId="185" fontId="59" fillId="0" borderId="0" applyNumberFormat="0" applyFill="0" applyBorder="0" applyAlignment="0" applyProtection="0">
      <alignment vertical="top"/>
      <protection locked="0"/>
    </xf>
    <xf numFmtId="185" fontId="60" fillId="35" borderId="37" applyNumberFormat="0" applyAlignment="0" applyProtection="0"/>
    <xf numFmtId="185" fontId="61" fillId="0" borderId="42" applyNumberFormat="0" applyFill="0" applyAlignment="0" applyProtection="0"/>
    <xf numFmtId="185" fontId="62" fillId="50" borderId="0" applyNumberFormat="0" applyBorder="0" applyAlignment="0" applyProtection="0"/>
    <xf numFmtId="185" fontId="18" fillId="51" borderId="43" applyNumberFormat="0" applyFont="0" applyAlignment="0" applyProtection="0"/>
    <xf numFmtId="185" fontId="63" fillId="48" borderId="44" applyNumberFormat="0" applyAlignment="0" applyProtection="0"/>
    <xf numFmtId="185" fontId="64" fillId="0" borderId="0" applyNumberFormat="0" applyFill="0" applyBorder="0" applyAlignment="0" applyProtection="0"/>
    <xf numFmtId="185" fontId="65" fillId="0" borderId="45" applyNumberFormat="0" applyFill="0" applyAlignment="0" applyProtection="0"/>
    <xf numFmtId="185" fontId="66" fillId="0" borderId="0" applyNumberFormat="0" applyFill="0" applyBorder="0" applyAlignment="0" applyProtection="0"/>
    <xf numFmtId="3" fontId="18"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0" fontId="2" fillId="0" borderId="0"/>
    <xf numFmtId="0" fontId="2" fillId="0" borderId="0"/>
    <xf numFmtId="3" fontId="18" fillId="0" borderId="0" applyFont="0" applyFill="0" applyBorder="0" applyAlignment="0" applyProtection="0"/>
    <xf numFmtId="0" fontId="2" fillId="0" borderId="0"/>
    <xf numFmtId="0" fontId="18" fillId="0" borderId="0"/>
  </cellStyleXfs>
  <cellXfs count="2284">
    <xf numFmtId="0" fontId="0" fillId="0" borderId="0" xfId="0"/>
    <xf numFmtId="0" fontId="0" fillId="0" borderId="0" xfId="0" applyAlignment="1">
      <alignment wrapText="1"/>
    </xf>
    <xf numFmtId="9" fontId="0" fillId="0" borderId="0" xfId="2" applyFont="1"/>
    <xf numFmtId="167" fontId="0" fillId="0" borderId="0" xfId="2" applyNumberFormat="1" applyFont="1"/>
    <xf numFmtId="167" fontId="0" fillId="0" borderId="0" xfId="0" applyNumberFormat="1"/>
    <xf numFmtId="0" fontId="12" fillId="0" borderId="0" xfId="0" applyFont="1"/>
    <xf numFmtId="4" fontId="0" fillId="0" borderId="0" xfId="0" applyNumberFormat="1"/>
    <xf numFmtId="3" fontId="0" fillId="0" borderId="0" xfId="0" applyNumberFormat="1"/>
    <xf numFmtId="2" fontId="0" fillId="0" borderId="0" xfId="0" applyNumberFormat="1"/>
    <xf numFmtId="0" fontId="13" fillId="0" borderId="0" xfId="0" applyFont="1" applyAlignment="1">
      <alignment horizontal="right"/>
    </xf>
    <xf numFmtId="3" fontId="18" fillId="0" borderId="0" xfId="0" applyNumberFormat="1" applyFont="1"/>
    <xf numFmtId="168" fontId="0" fillId="0" borderId="0" xfId="0" applyNumberFormat="1"/>
    <xf numFmtId="1" fontId="0" fillId="0" borderId="0" xfId="0" applyNumberFormat="1"/>
    <xf numFmtId="166" fontId="0" fillId="0" borderId="0" xfId="0" applyNumberFormat="1"/>
    <xf numFmtId="0" fontId="0" fillId="0" borderId="0" xfId="0" applyAlignment="1">
      <alignment horizontal="right"/>
    </xf>
    <xf numFmtId="9" fontId="0" fillId="0" borderId="0" xfId="0" applyNumberFormat="1"/>
    <xf numFmtId="0" fontId="17" fillId="0" borderId="0" xfId="0" applyFont="1"/>
    <xf numFmtId="0" fontId="0" fillId="2" borderId="0" xfId="0" applyFill="1"/>
    <xf numFmtId="0" fontId="18" fillId="0" borderId="0" xfId="0" applyFont="1"/>
    <xf numFmtId="0" fontId="0" fillId="0" borderId="0" xfId="0" applyAlignment="1">
      <alignment horizontal="left"/>
    </xf>
    <xf numFmtId="0" fontId="0" fillId="0" borderId="0" xfId="0" applyAlignment="1">
      <alignment horizontal="center"/>
    </xf>
    <xf numFmtId="10" fontId="0" fillId="0" borderId="0" xfId="0" applyNumberFormat="1"/>
    <xf numFmtId="0" fontId="3" fillId="0" borderId="0" xfId="0" applyFont="1"/>
    <xf numFmtId="0" fontId="12" fillId="0" borderId="0" xfId="0" applyFont="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12" fillId="0" borderId="15" xfId="0" applyFont="1" applyBorder="1" applyAlignment="1">
      <alignment horizontal="center" vertical="center" wrapText="1"/>
    </xf>
    <xf numFmtId="0" fontId="5" fillId="0" borderId="15" xfId="0" applyFont="1" applyBorder="1" applyAlignment="1">
      <alignment horizontal="center" vertical="center" wrapText="1"/>
    </xf>
    <xf numFmtId="165" fontId="5" fillId="0" borderId="15"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0" fontId="3" fillId="0" borderId="15" xfId="0" applyFont="1" applyBorder="1" applyAlignment="1">
      <alignment horizontal="center" vertical="center" wrapText="1"/>
    </xf>
    <xf numFmtId="10" fontId="5" fillId="0" borderId="15" xfId="0" applyNumberFormat="1" applyFont="1" applyBorder="1" applyAlignment="1">
      <alignment horizontal="center" vertical="center" wrapText="1"/>
    </xf>
    <xf numFmtId="0" fontId="5" fillId="0" borderId="15" xfId="0" applyFont="1" applyBorder="1" applyAlignment="1">
      <alignment horizontal="left" vertical="center" wrapText="1"/>
    </xf>
    <xf numFmtId="0" fontId="8" fillId="0" borderId="15" xfId="0" applyFont="1" applyBorder="1" applyAlignment="1">
      <alignment horizontal="left" vertical="center" wrapText="1"/>
    </xf>
    <xf numFmtId="0" fontId="3" fillId="0" borderId="15" xfId="0" applyFont="1" applyBorder="1" applyAlignment="1">
      <alignment horizontal="left" vertical="center"/>
    </xf>
    <xf numFmtId="0" fontId="3" fillId="0" borderId="15" xfId="0" applyFont="1" applyBorder="1" applyAlignment="1">
      <alignment horizontal="left" vertical="center" wrapText="1"/>
    </xf>
    <xf numFmtId="0" fontId="8" fillId="4" borderId="15" xfId="0" applyFont="1" applyFill="1" applyBorder="1" applyAlignment="1">
      <alignment horizontal="center" vertical="center" wrapText="1"/>
    </xf>
    <xf numFmtId="0" fontId="9" fillId="0" borderId="0" xfId="0" applyFont="1"/>
    <xf numFmtId="0" fontId="18" fillId="0" borderId="0" xfId="8"/>
    <xf numFmtId="0" fontId="18" fillId="16" borderId="0" xfId="8" applyFill="1"/>
    <xf numFmtId="0" fontId="13" fillId="0" borderId="0" xfId="8" applyFont="1"/>
    <xf numFmtId="170" fontId="18" fillId="16" borderId="0" xfId="8" applyNumberFormat="1" applyFill="1"/>
    <xf numFmtId="3" fontId="18" fillId="0" borderId="4" xfId="8" applyNumberFormat="1" applyBorder="1"/>
    <xf numFmtId="3" fontId="18" fillId="0" borderId="13" xfId="8" applyNumberFormat="1" applyBorder="1"/>
    <xf numFmtId="3" fontId="18" fillId="0" borderId="3" xfId="8" applyNumberFormat="1" applyBorder="1"/>
    <xf numFmtId="0" fontId="18" fillId="0" borderId="14" xfId="8" applyBorder="1"/>
    <xf numFmtId="3" fontId="18" fillId="0" borderId="5" xfId="8" applyNumberFormat="1" applyBorder="1"/>
    <xf numFmtId="3" fontId="18" fillId="0" borderId="0" xfId="8" applyNumberFormat="1"/>
    <xf numFmtId="3" fontId="18" fillId="0" borderId="12" xfId="8" applyNumberFormat="1" applyBorder="1"/>
    <xf numFmtId="0" fontId="18" fillId="0" borderId="11" xfId="8" applyBorder="1"/>
    <xf numFmtId="0" fontId="18" fillId="0" borderId="4" xfId="8" applyBorder="1" applyAlignment="1">
      <alignment horizontal="center"/>
    </xf>
    <xf numFmtId="0" fontId="18" fillId="0" borderId="13" xfId="8" applyBorder="1" applyAlignment="1">
      <alignment horizontal="center"/>
    </xf>
    <xf numFmtId="0" fontId="18" fillId="0" borderId="3" xfId="8" applyBorder="1" applyAlignment="1">
      <alignment horizontal="center"/>
    </xf>
    <xf numFmtId="0" fontId="18" fillId="0" borderId="2" xfId="8" applyBorder="1" applyAlignment="1">
      <alignment horizontal="center"/>
    </xf>
    <xf numFmtId="0" fontId="18" fillId="0" borderId="9" xfId="8" applyBorder="1"/>
    <xf numFmtId="167" fontId="18" fillId="0" borderId="4" xfId="8" applyNumberFormat="1" applyBorder="1"/>
    <xf numFmtId="0" fontId="18" fillId="0" borderId="3" xfId="8" applyBorder="1"/>
    <xf numFmtId="167" fontId="18" fillId="16" borderId="5" xfId="8" applyNumberFormat="1" applyFill="1" applyBorder="1"/>
    <xf numFmtId="0" fontId="18" fillId="0" borderId="12" xfId="8" applyBorder="1"/>
    <xf numFmtId="0" fontId="18" fillId="0" borderId="2" xfId="8" applyBorder="1"/>
    <xf numFmtId="0" fontId="18" fillId="0" borderId="1" xfId="8" applyBorder="1"/>
    <xf numFmtId="9" fontId="18" fillId="2" borderId="4" xfId="9" applyFont="1" applyFill="1" applyBorder="1"/>
    <xf numFmtId="9" fontId="0" fillId="0" borderId="5" xfId="9" applyFont="1" applyBorder="1"/>
    <xf numFmtId="166" fontId="18" fillId="2" borderId="0" xfId="8" applyNumberFormat="1" applyFill="1"/>
    <xf numFmtId="166" fontId="18" fillId="2" borderId="4" xfId="8" applyNumberFormat="1" applyFill="1" applyBorder="1"/>
    <xf numFmtId="166" fontId="18" fillId="2" borderId="13" xfId="8" applyNumberFormat="1" applyFill="1" applyBorder="1"/>
    <xf numFmtId="166" fontId="18" fillId="2" borderId="5" xfId="8" applyNumberFormat="1" applyFill="1" applyBorder="1"/>
    <xf numFmtId="0" fontId="18" fillId="0" borderId="8" xfId="8" applyBorder="1"/>
    <xf numFmtId="0" fontId="18" fillId="0" borderId="7" xfId="8" applyBorder="1"/>
    <xf numFmtId="0" fontId="18" fillId="0" borderId="15" xfId="8" applyBorder="1"/>
    <xf numFmtId="170" fontId="18" fillId="2" borderId="0" xfId="8" applyNumberFormat="1" applyFill="1"/>
    <xf numFmtId="0" fontId="31" fillId="0" borderId="0" xfId="8" applyFont="1"/>
    <xf numFmtId="167" fontId="0" fillId="0" borderId="0" xfId="9" applyNumberFormat="1" applyFont="1" applyBorder="1"/>
    <xf numFmtId="0" fontId="18" fillId="17" borderId="15" xfId="8" applyFill="1" applyBorder="1" applyAlignment="1">
      <alignment horizontal="center"/>
    </xf>
    <xf numFmtId="167" fontId="0" fillId="0" borderId="0" xfId="9" applyNumberFormat="1" applyFont="1" applyFill="1" applyBorder="1"/>
    <xf numFmtId="167" fontId="0" fillId="0" borderId="4" xfId="9" applyNumberFormat="1" applyFont="1" applyBorder="1"/>
    <xf numFmtId="0" fontId="18" fillId="0" borderId="13" xfId="8" applyBorder="1"/>
    <xf numFmtId="167" fontId="0" fillId="0" borderId="13" xfId="9" applyNumberFormat="1" applyFont="1" applyBorder="1"/>
    <xf numFmtId="167" fontId="0" fillId="0" borderId="3" xfId="9" applyNumberFormat="1" applyFont="1" applyBorder="1"/>
    <xf numFmtId="167" fontId="0" fillId="16" borderId="5" xfId="9" applyNumberFormat="1" applyFont="1" applyFill="1" applyBorder="1"/>
    <xf numFmtId="167" fontId="0" fillId="0" borderId="12" xfId="9" applyNumberFormat="1" applyFont="1" applyBorder="1"/>
    <xf numFmtId="0" fontId="18" fillId="0" borderId="4" xfId="8" applyBorder="1" applyAlignment="1">
      <alignment horizontal="right" wrapText="1"/>
    </xf>
    <xf numFmtId="0" fontId="18" fillId="0" borderId="13" xfId="8" applyBorder="1" applyAlignment="1">
      <alignment horizontal="right" wrapText="1"/>
    </xf>
    <xf numFmtId="0" fontId="18" fillId="0" borderId="3" xfId="8" applyBorder="1" applyAlignment="1">
      <alignment horizontal="right" wrapText="1"/>
    </xf>
    <xf numFmtId="167" fontId="0" fillId="16" borderId="3" xfId="9" applyNumberFormat="1" applyFont="1" applyFill="1" applyBorder="1"/>
    <xf numFmtId="0" fontId="18" fillId="0" borderId="8" xfId="8" applyBorder="1" applyAlignment="1">
      <alignment horizontal="right" wrapText="1"/>
    </xf>
    <xf numFmtId="0" fontId="18" fillId="0" borderId="6" xfId="8" applyBorder="1" applyAlignment="1">
      <alignment horizontal="right" wrapText="1"/>
    </xf>
    <xf numFmtId="167" fontId="0" fillId="16" borderId="0" xfId="9" applyNumberFormat="1" applyFont="1" applyFill="1" applyBorder="1"/>
    <xf numFmtId="0" fontId="18" fillId="0" borderId="8" xfId="8" applyBorder="1" applyAlignment="1">
      <alignment horizontal="right"/>
    </xf>
    <xf numFmtId="0" fontId="18" fillId="0" borderId="7" xfId="8" applyBorder="1" applyAlignment="1">
      <alignment horizontal="right"/>
    </xf>
    <xf numFmtId="0" fontId="18" fillId="0" borderId="6" xfId="8" applyBorder="1"/>
    <xf numFmtId="166" fontId="18" fillId="16" borderId="4" xfId="8" applyNumberFormat="1" applyFill="1" applyBorder="1"/>
    <xf numFmtId="166" fontId="18" fillId="16" borderId="5" xfId="8" applyNumberFormat="1" applyFill="1" applyBorder="1"/>
    <xf numFmtId="166" fontId="18" fillId="16" borderId="2" xfId="8" applyNumberFormat="1" applyFill="1" applyBorder="1"/>
    <xf numFmtId="167" fontId="0" fillId="16" borderId="13" xfId="9" applyNumberFormat="1" applyFont="1" applyFill="1" applyBorder="1"/>
    <xf numFmtId="0" fontId="18" fillId="0" borderId="3" xfId="8" applyBorder="1" applyAlignment="1">
      <alignment wrapText="1"/>
    </xf>
    <xf numFmtId="167" fontId="0" fillId="0" borderId="5" xfId="9" applyNumberFormat="1" applyFont="1" applyBorder="1"/>
    <xf numFmtId="0" fontId="18" fillId="0" borderId="12" xfId="8" applyBorder="1" applyAlignment="1">
      <alignment wrapText="1"/>
    </xf>
    <xf numFmtId="0" fontId="18" fillId="0" borderId="5" xfId="8" applyBorder="1"/>
    <xf numFmtId="0" fontId="18" fillId="0" borderId="4" xfId="8" applyBorder="1"/>
    <xf numFmtId="0" fontId="18" fillId="0" borderId="10" xfId="8" applyBorder="1"/>
    <xf numFmtId="167" fontId="0" fillId="0" borderId="4" xfId="9" applyNumberFormat="1" applyFont="1" applyFill="1" applyBorder="1"/>
    <xf numFmtId="0" fontId="18" fillId="0" borderId="7" xfId="8" applyBorder="1" applyAlignment="1">
      <alignment horizontal="right" wrapText="1"/>
    </xf>
    <xf numFmtId="0" fontId="18" fillId="0" borderId="6" xfId="8" applyBorder="1" applyAlignment="1">
      <alignment horizontal="right"/>
    </xf>
    <xf numFmtId="167" fontId="0" fillId="16" borderId="0" xfId="9" applyNumberFormat="1" applyFont="1" applyFill="1"/>
    <xf numFmtId="166" fontId="18" fillId="16" borderId="13" xfId="8" applyNumberFormat="1" applyFill="1" applyBorder="1"/>
    <xf numFmtId="166" fontId="0" fillId="16" borderId="13" xfId="9" applyNumberFormat="1" applyFont="1" applyFill="1" applyBorder="1"/>
    <xf numFmtId="0" fontId="18" fillId="0" borderId="3" xfId="8" applyBorder="1" applyAlignment="1">
      <alignment horizontal="right"/>
    </xf>
    <xf numFmtId="166" fontId="18" fillId="16" borderId="0" xfId="8" applyNumberFormat="1" applyFill="1"/>
    <xf numFmtId="0" fontId="18" fillId="0" borderId="12" xfId="8" applyBorder="1" applyAlignment="1">
      <alignment horizontal="right"/>
    </xf>
    <xf numFmtId="166" fontId="0" fillId="16" borderId="4" xfId="9" applyNumberFormat="1" applyFont="1" applyFill="1" applyBorder="1"/>
    <xf numFmtId="166" fontId="0" fillId="0" borderId="13" xfId="9" applyNumberFormat="1" applyFont="1" applyBorder="1"/>
    <xf numFmtId="166" fontId="0" fillId="0" borderId="5" xfId="9" applyNumberFormat="1" applyFont="1" applyBorder="1"/>
    <xf numFmtId="166" fontId="0" fillId="2" borderId="0" xfId="9" applyNumberFormat="1" applyFont="1" applyFill="1" applyBorder="1"/>
    <xf numFmtId="166" fontId="0" fillId="16" borderId="0" xfId="9" applyNumberFormat="1" applyFont="1" applyFill="1" applyBorder="1"/>
    <xf numFmtId="166" fontId="0" fillId="0" borderId="0" xfId="9" applyNumberFormat="1" applyFont="1" applyBorder="1"/>
    <xf numFmtId="0" fontId="18" fillId="0" borderId="12" xfId="8" applyBorder="1" applyAlignment="1">
      <alignment horizontal="right" wrapText="1"/>
    </xf>
    <xf numFmtId="166" fontId="0" fillId="16" borderId="5" xfId="9" applyNumberFormat="1" applyFont="1" applyFill="1" applyBorder="1"/>
    <xf numFmtId="166" fontId="18" fillId="0" borderId="13" xfId="8" applyNumberFormat="1" applyBorder="1"/>
    <xf numFmtId="166" fontId="18" fillId="0" borderId="0" xfId="8" applyNumberFormat="1"/>
    <xf numFmtId="166" fontId="18" fillId="0" borderId="5" xfId="8" applyNumberFormat="1" applyBorder="1"/>
    <xf numFmtId="167" fontId="18" fillId="0" borderId="13" xfId="8" applyNumberFormat="1" applyBorder="1"/>
    <xf numFmtId="167" fontId="18" fillId="0" borderId="3" xfId="8" applyNumberFormat="1" applyBorder="1"/>
    <xf numFmtId="167" fontId="18" fillId="2" borderId="5" xfId="8" applyNumberFormat="1" applyFill="1" applyBorder="1"/>
    <xf numFmtId="167" fontId="18" fillId="2" borderId="0" xfId="8" applyNumberFormat="1" applyFill="1"/>
    <xf numFmtId="167" fontId="18" fillId="2" borderId="12" xfId="8" applyNumberFormat="1" applyFill="1" applyBorder="1"/>
    <xf numFmtId="167" fontId="0" fillId="0" borderId="5" xfId="9" applyNumberFormat="1" applyFont="1" applyFill="1" applyBorder="1"/>
    <xf numFmtId="0" fontId="13" fillId="0" borderId="12" xfId="8" applyFont="1" applyBorder="1"/>
    <xf numFmtId="167" fontId="0" fillId="0" borderId="2" xfId="9" applyNumberFormat="1" applyFont="1" applyBorder="1"/>
    <xf numFmtId="167" fontId="0" fillId="0" borderId="10" xfId="9" applyNumberFormat="1" applyFont="1" applyBorder="1"/>
    <xf numFmtId="0" fontId="13" fillId="0" borderId="1" xfId="8" applyFont="1" applyBorder="1"/>
    <xf numFmtId="167" fontId="18" fillId="0" borderId="0" xfId="8" applyNumberFormat="1"/>
    <xf numFmtId="0" fontId="18" fillId="0" borderId="2" xfId="8" applyBorder="1" applyAlignment="1">
      <alignment horizontal="right" wrapText="1"/>
    </xf>
    <xf numFmtId="0" fontId="18" fillId="0" borderId="10" xfId="8" applyBorder="1" applyAlignment="1">
      <alignment horizontal="right" wrapText="1"/>
    </xf>
    <xf numFmtId="167" fontId="18" fillId="16" borderId="3" xfId="8" applyNumberFormat="1" applyFill="1" applyBorder="1"/>
    <xf numFmtId="167" fontId="18" fillId="0" borderId="5" xfId="8" applyNumberFormat="1" applyBorder="1"/>
    <xf numFmtId="167" fontId="18" fillId="0" borderId="2" xfId="8" applyNumberFormat="1" applyBorder="1"/>
    <xf numFmtId="167" fontId="18" fillId="0" borderId="10" xfId="8" applyNumberFormat="1" applyBorder="1"/>
    <xf numFmtId="0" fontId="13" fillId="0" borderId="1" xfId="8" applyFont="1" applyBorder="1" applyAlignment="1">
      <alignment horizontal="left"/>
    </xf>
    <xf numFmtId="0" fontId="28" fillId="0" borderId="0" xfId="8" applyFont="1"/>
    <xf numFmtId="170" fontId="18" fillId="0" borderId="4" xfId="8" applyNumberFormat="1" applyBorder="1"/>
    <xf numFmtId="170" fontId="18" fillId="0" borderId="13" xfId="8" applyNumberFormat="1" applyBorder="1"/>
    <xf numFmtId="170" fontId="18" fillId="0" borderId="14" xfId="8" applyNumberFormat="1" applyBorder="1"/>
    <xf numFmtId="170" fontId="18" fillId="0" borderId="5" xfId="8" applyNumberFormat="1" applyBorder="1"/>
    <xf numFmtId="170" fontId="18" fillId="0" borderId="0" xfId="8" applyNumberFormat="1"/>
    <xf numFmtId="170" fontId="18" fillId="0" borderId="11" xfId="8" applyNumberFormat="1" applyBorder="1"/>
    <xf numFmtId="170" fontId="18" fillId="0" borderId="5" xfId="10" applyNumberFormat="1" applyFont="1" applyFill="1" applyBorder="1"/>
    <xf numFmtId="170" fontId="18" fillId="0" borderId="0" xfId="10" applyNumberFormat="1" applyFont="1" applyFill="1" applyBorder="1"/>
    <xf numFmtId="170" fontId="13" fillId="0" borderId="11" xfId="8" applyNumberFormat="1" applyFont="1" applyBorder="1"/>
    <xf numFmtId="3" fontId="18" fillId="0" borderId="4" xfId="10" applyNumberFormat="1" applyFont="1" applyFill="1" applyBorder="1"/>
    <xf numFmtId="3" fontId="18" fillId="0" borderId="13" xfId="10" applyNumberFormat="1" applyFont="1" applyFill="1" applyBorder="1"/>
    <xf numFmtId="3" fontId="18" fillId="0" borderId="14" xfId="8" applyNumberFormat="1" applyBorder="1"/>
    <xf numFmtId="3" fontId="18" fillId="0" borderId="5" xfId="10" applyNumberFormat="1" applyFont="1" applyFill="1" applyBorder="1"/>
    <xf numFmtId="3" fontId="18" fillId="0" borderId="0" xfId="10" applyNumberFormat="1" applyFont="1" applyFill="1" applyBorder="1"/>
    <xf numFmtId="3" fontId="18" fillId="0" borderId="11" xfId="8" applyNumberFormat="1" applyBorder="1"/>
    <xf numFmtId="170" fontId="18" fillId="0" borderId="2" xfId="8" applyNumberFormat="1" applyBorder="1"/>
    <xf numFmtId="170" fontId="18" fillId="0" borderId="10" xfId="8" applyNumberFormat="1" applyBorder="1"/>
    <xf numFmtId="170" fontId="13" fillId="0" borderId="9" xfId="8" applyNumberFormat="1" applyFont="1" applyBorder="1"/>
    <xf numFmtId="0" fontId="13" fillId="0" borderId="8" xfId="8" applyFont="1" applyBorder="1" applyAlignment="1">
      <alignment horizontal="right" wrapText="1"/>
    </xf>
    <xf numFmtId="0" fontId="13" fillId="0" borderId="7" xfId="8" applyFont="1" applyBorder="1" applyAlignment="1">
      <alignment horizontal="right" wrapText="1"/>
    </xf>
    <xf numFmtId="170" fontId="18" fillId="18" borderId="4" xfId="8" applyNumberFormat="1" applyFill="1" applyBorder="1"/>
    <xf numFmtId="170" fontId="18" fillId="18" borderId="13" xfId="8" applyNumberFormat="1" applyFill="1" applyBorder="1"/>
    <xf numFmtId="170" fontId="18" fillId="18" borderId="5" xfId="8" applyNumberFormat="1" applyFill="1" applyBorder="1"/>
    <xf numFmtId="170" fontId="18" fillId="18" borderId="0" xfId="8" applyNumberFormat="1" applyFill="1"/>
    <xf numFmtId="170" fontId="18" fillId="18" borderId="5" xfId="10" applyNumberFormat="1" applyFont="1" applyFill="1" applyBorder="1"/>
    <xf numFmtId="170" fontId="18" fillId="18" borderId="0" xfId="10" applyNumberFormat="1" applyFont="1" applyFill="1" applyBorder="1"/>
    <xf numFmtId="3" fontId="18" fillId="18" borderId="4" xfId="10" applyNumberFormat="1" applyFont="1" applyFill="1" applyBorder="1"/>
    <xf numFmtId="3" fontId="18" fillId="18" borderId="13" xfId="10" applyNumberFormat="1" applyFont="1" applyFill="1" applyBorder="1"/>
    <xf numFmtId="3" fontId="18" fillId="18" borderId="5" xfId="10" applyNumberFormat="1" applyFont="1" applyFill="1" applyBorder="1"/>
    <xf numFmtId="3" fontId="18" fillId="18" borderId="0" xfId="10" applyNumberFormat="1" applyFont="1" applyFill="1" applyBorder="1"/>
    <xf numFmtId="170" fontId="18" fillId="18" borderId="2" xfId="8" applyNumberFormat="1" applyFill="1" applyBorder="1"/>
    <xf numFmtId="170" fontId="18" fillId="18" borderId="10" xfId="8" applyNumberFormat="1" applyFill="1" applyBorder="1"/>
    <xf numFmtId="3" fontId="18" fillId="18" borderId="0" xfId="8" applyNumberFormat="1" applyFill="1"/>
    <xf numFmtId="2" fontId="18" fillId="0" borderId="5" xfId="8" applyNumberFormat="1" applyBorder="1"/>
    <xf numFmtId="2" fontId="18" fillId="0" borderId="0" xfId="8" applyNumberFormat="1"/>
    <xf numFmtId="165" fontId="18" fillId="0" borderId="0" xfId="8" applyNumberFormat="1"/>
    <xf numFmtId="1" fontId="18" fillId="0" borderId="10" xfId="8" applyNumberFormat="1" applyBorder="1"/>
    <xf numFmtId="0" fontId="13" fillId="0" borderId="9" xfId="8" applyFont="1" applyBorder="1"/>
    <xf numFmtId="0" fontId="13" fillId="0" borderId="2" xfId="8" applyFont="1" applyBorder="1" applyAlignment="1">
      <alignment horizontal="right" wrapText="1"/>
    </xf>
    <xf numFmtId="0" fontId="13" fillId="0" borderId="10" xfId="8" applyFont="1" applyBorder="1" applyAlignment="1">
      <alignment horizontal="right" wrapText="1"/>
    </xf>
    <xf numFmtId="3" fontId="18" fillId="18" borderId="5" xfId="8" applyNumberFormat="1" applyFill="1" applyBorder="1"/>
    <xf numFmtId="2" fontId="18" fillId="0" borderId="4" xfId="8" applyNumberFormat="1" applyBorder="1"/>
    <xf numFmtId="2" fontId="18" fillId="0" borderId="13" xfId="8" applyNumberFormat="1" applyBorder="1"/>
    <xf numFmtId="165" fontId="18" fillId="0" borderId="13" xfId="8" applyNumberFormat="1" applyBorder="1"/>
    <xf numFmtId="1" fontId="18" fillId="0" borderId="2" xfId="8" applyNumberFormat="1" applyBorder="1"/>
    <xf numFmtId="4" fontId="18" fillId="0" borderId="0" xfId="8" applyNumberFormat="1"/>
    <xf numFmtId="4" fontId="18" fillId="0" borderId="4" xfId="8" applyNumberFormat="1" applyBorder="1"/>
    <xf numFmtId="4" fontId="18" fillId="0" borderId="13" xfId="8" applyNumberFormat="1" applyBorder="1"/>
    <xf numFmtId="4" fontId="18" fillId="0" borderId="14" xfId="8" applyNumberFormat="1" applyBorder="1"/>
    <xf numFmtId="4" fontId="18" fillId="0" borderId="5" xfId="8" applyNumberFormat="1" applyBorder="1"/>
    <xf numFmtId="4" fontId="18" fillId="0" borderId="11" xfId="8" applyNumberFormat="1" applyBorder="1"/>
    <xf numFmtId="10" fontId="18" fillId="0" borderId="0" xfId="9" applyNumberFormat="1" applyFont="1" applyBorder="1"/>
    <xf numFmtId="167" fontId="18" fillId="0" borderId="4" xfId="9" applyNumberFormat="1" applyFont="1" applyFill="1" applyBorder="1"/>
    <xf numFmtId="167" fontId="18" fillId="0" borderId="13" xfId="9" applyNumberFormat="1" applyFont="1" applyFill="1" applyBorder="1"/>
    <xf numFmtId="10" fontId="18" fillId="0" borderId="13" xfId="9" applyNumberFormat="1" applyFont="1" applyFill="1" applyBorder="1"/>
    <xf numFmtId="167" fontId="18" fillId="0" borderId="5" xfId="9" applyNumberFormat="1" applyFont="1" applyFill="1" applyBorder="1"/>
    <xf numFmtId="167" fontId="18" fillId="0" borderId="0" xfId="9" applyNumberFormat="1" applyFont="1" applyFill="1" applyBorder="1"/>
    <xf numFmtId="10" fontId="18" fillId="0" borderId="0" xfId="9" applyNumberFormat="1" applyFont="1" applyFill="1" applyBorder="1"/>
    <xf numFmtId="10" fontId="18" fillId="0" borderId="2" xfId="9" applyNumberFormat="1" applyFont="1" applyFill="1" applyBorder="1"/>
    <xf numFmtId="10" fontId="18" fillId="0" borderId="10" xfId="9" applyNumberFormat="1" applyFont="1" applyFill="1" applyBorder="1"/>
    <xf numFmtId="10" fontId="18" fillId="0" borderId="5" xfId="9" applyNumberFormat="1" applyFont="1" applyFill="1" applyBorder="1"/>
    <xf numFmtId="10" fontId="18" fillId="0" borderId="2" xfId="9" applyNumberFormat="1" applyFont="1" applyBorder="1"/>
    <xf numFmtId="10" fontId="18" fillId="0" borderId="10" xfId="9" applyNumberFormat="1" applyFont="1" applyBorder="1"/>
    <xf numFmtId="168" fontId="18" fillId="0" borderId="4" xfId="8" applyNumberFormat="1" applyBorder="1"/>
    <xf numFmtId="168" fontId="18" fillId="0" borderId="13" xfId="8" applyNumberFormat="1" applyBorder="1"/>
    <xf numFmtId="168" fontId="18" fillId="0" borderId="5" xfId="8" applyNumberFormat="1" applyBorder="1"/>
    <xf numFmtId="168" fontId="18" fillId="0" borderId="0" xfId="8" applyNumberFormat="1"/>
    <xf numFmtId="1" fontId="18" fillId="0" borderId="4" xfId="8" applyNumberFormat="1" applyBorder="1"/>
    <xf numFmtId="1" fontId="18" fillId="0" borderId="13" xfId="8" applyNumberFormat="1" applyBorder="1"/>
    <xf numFmtId="1" fontId="18" fillId="0" borderId="0" xfId="8" applyNumberFormat="1"/>
    <xf numFmtId="1" fontId="18" fillId="0" borderId="5" xfId="8" applyNumberFormat="1" applyBorder="1"/>
    <xf numFmtId="0" fontId="18" fillId="0" borderId="4" xfId="8" applyBorder="1" applyAlignment="1">
      <alignment horizontal="right"/>
    </xf>
    <xf numFmtId="0" fontId="18" fillId="0" borderId="13" xfId="8" applyBorder="1" applyAlignment="1">
      <alignment horizontal="right"/>
    </xf>
    <xf numFmtId="0" fontId="18" fillId="0" borderId="3" xfId="8" applyBorder="1" applyAlignment="1">
      <alignment horizontal="left"/>
    </xf>
    <xf numFmtId="0" fontId="18" fillId="0" borderId="5" xfId="8" applyBorder="1" applyAlignment="1">
      <alignment horizontal="right"/>
    </xf>
    <xf numFmtId="0" fontId="18" fillId="0" borderId="0" xfId="8" applyAlignment="1">
      <alignment horizontal="right"/>
    </xf>
    <xf numFmtId="0" fontId="18" fillId="0" borderId="12" xfId="8" applyBorder="1" applyAlignment="1">
      <alignment horizontal="left"/>
    </xf>
    <xf numFmtId="0" fontId="18" fillId="0" borderId="2" xfId="8" applyBorder="1" applyAlignment="1">
      <alignment horizontal="right"/>
    </xf>
    <xf numFmtId="0" fontId="18" fillId="0" borderId="10" xfId="8" applyBorder="1" applyAlignment="1">
      <alignment horizontal="right"/>
    </xf>
    <xf numFmtId="0" fontId="18" fillId="0" borderId="1" xfId="8" applyBorder="1" applyAlignment="1">
      <alignment horizontal="left"/>
    </xf>
    <xf numFmtId="0" fontId="13" fillId="0" borderId="1" xfId="8" applyFont="1" applyBorder="1" applyAlignment="1">
      <alignment horizontal="right"/>
    </xf>
    <xf numFmtId="0" fontId="18" fillId="0" borderId="0" xfId="8" applyAlignment="1">
      <alignment horizontal="left"/>
    </xf>
    <xf numFmtId="1" fontId="18" fillId="0" borderId="4" xfId="8" applyNumberFormat="1" applyBorder="1" applyAlignment="1">
      <alignment horizontal="right"/>
    </xf>
    <xf numFmtId="1" fontId="18" fillId="0" borderId="13" xfId="8" applyNumberFormat="1" applyBorder="1" applyAlignment="1">
      <alignment horizontal="right"/>
    </xf>
    <xf numFmtId="1" fontId="18" fillId="0" borderId="5" xfId="8" applyNumberFormat="1" applyBorder="1" applyAlignment="1">
      <alignment horizontal="right"/>
    </xf>
    <xf numFmtId="1" fontId="18" fillId="0" borderId="0" xfId="8" applyNumberFormat="1" applyAlignment="1">
      <alignment horizontal="right"/>
    </xf>
    <xf numFmtId="1" fontId="18" fillId="0" borderId="2" xfId="8" applyNumberFormat="1" applyBorder="1" applyAlignment="1">
      <alignment horizontal="right"/>
    </xf>
    <xf numFmtId="1" fontId="18" fillId="0" borderId="10" xfId="8" applyNumberFormat="1" applyBorder="1" applyAlignment="1">
      <alignment horizontal="right"/>
    </xf>
    <xf numFmtId="0" fontId="18" fillId="0" borderId="5" xfId="8" applyBorder="1" applyAlignment="1">
      <alignment horizontal="center"/>
    </xf>
    <xf numFmtId="0" fontId="18" fillId="2" borderId="0" xfId="8" applyFill="1"/>
    <xf numFmtId="170" fontId="18" fillId="0" borderId="3" xfId="8" applyNumberFormat="1" applyBorder="1"/>
    <xf numFmtId="170" fontId="18" fillId="0" borderId="12" xfId="8" applyNumberFormat="1" applyBorder="1"/>
    <xf numFmtId="170" fontId="18" fillId="0" borderId="9" xfId="10" applyNumberFormat="1" applyFont="1" applyFill="1" applyBorder="1"/>
    <xf numFmtId="170" fontId="18" fillId="0" borderId="2" xfId="10" applyNumberFormat="1" applyFont="1" applyFill="1" applyBorder="1"/>
    <xf numFmtId="170" fontId="18" fillId="0" borderId="10" xfId="10" applyNumberFormat="1" applyFont="1" applyFill="1" applyBorder="1"/>
    <xf numFmtId="170" fontId="18" fillId="0" borderId="1" xfId="10" applyNumberFormat="1" applyFont="1" applyFill="1" applyBorder="1"/>
    <xf numFmtId="170" fontId="18" fillId="0" borderId="1" xfId="8" applyNumberFormat="1" applyBorder="1"/>
    <xf numFmtId="0" fontId="13" fillId="0" borderId="11" xfId="8" applyFont="1" applyBorder="1"/>
    <xf numFmtId="3" fontId="18" fillId="0" borderId="11" xfId="10" applyNumberFormat="1" applyFont="1" applyFill="1" applyBorder="1"/>
    <xf numFmtId="3" fontId="18" fillId="0" borderId="12" xfId="10" applyNumberFormat="1" applyFont="1" applyFill="1" applyBorder="1"/>
    <xf numFmtId="170" fontId="18" fillId="0" borderId="9" xfId="8" applyNumberFormat="1" applyBorder="1"/>
    <xf numFmtId="0" fontId="18" fillId="0" borderId="9" xfId="8" applyBorder="1" applyAlignment="1">
      <alignment horizontal="right" wrapText="1"/>
    </xf>
    <xf numFmtId="0" fontId="18" fillId="0" borderId="1" xfId="8" applyBorder="1" applyAlignment="1">
      <alignment horizontal="right" wrapText="1"/>
    </xf>
    <xf numFmtId="0" fontId="18" fillId="0" borderId="0" xfId="8" applyAlignment="1">
      <alignment textRotation="90"/>
    </xf>
    <xf numFmtId="0" fontId="13" fillId="0" borderId="9" xfId="8" applyFont="1" applyBorder="1" applyAlignment="1">
      <alignment horizontal="right" textRotation="90" wrapText="1"/>
    </xf>
    <xf numFmtId="0" fontId="13" fillId="0" borderId="2" xfId="8" applyFont="1" applyBorder="1" applyAlignment="1">
      <alignment horizontal="right" textRotation="90" wrapText="1"/>
    </xf>
    <xf numFmtId="0" fontId="13" fillId="0" borderId="10" xfId="8" applyFont="1" applyBorder="1" applyAlignment="1">
      <alignment horizontal="right" textRotation="90" wrapText="1"/>
    </xf>
    <xf numFmtId="0" fontId="13" fillId="0" borderId="1" xfId="8" applyFont="1" applyBorder="1" applyAlignment="1">
      <alignment horizontal="right" textRotation="90" wrapText="1"/>
    </xf>
    <xf numFmtId="0" fontId="13" fillId="0" borderId="7" xfId="8" applyFont="1" applyBorder="1" applyAlignment="1">
      <alignment textRotation="90"/>
    </xf>
    <xf numFmtId="0" fontId="18" fillId="0" borderId="9" xfId="8" applyBorder="1" applyAlignment="1">
      <alignment textRotation="90"/>
    </xf>
    <xf numFmtId="167" fontId="18" fillId="0" borderId="4" xfId="9" applyNumberFormat="1" applyFont="1" applyBorder="1"/>
    <xf numFmtId="167" fontId="18" fillId="0" borderId="13" xfId="9" applyNumberFormat="1" applyFont="1" applyBorder="1"/>
    <xf numFmtId="167" fontId="18" fillId="0" borderId="5" xfId="9" applyNumberFormat="1" applyFont="1" applyBorder="1"/>
    <xf numFmtId="167" fontId="18" fillId="0" borderId="0" xfId="9" applyNumberFormat="1" applyFont="1" applyBorder="1"/>
    <xf numFmtId="170" fontId="18" fillId="19" borderId="13" xfId="8" applyNumberFormat="1" applyFill="1" applyBorder="1"/>
    <xf numFmtId="170" fontId="18" fillId="19" borderId="0" xfId="8" applyNumberFormat="1" applyFill="1"/>
    <xf numFmtId="170" fontId="18" fillId="19" borderId="10" xfId="8" applyNumberFormat="1" applyFill="1" applyBorder="1"/>
    <xf numFmtId="3" fontId="18" fillId="19" borderId="0" xfId="10" applyNumberFormat="1" applyFont="1" applyFill="1" applyBorder="1"/>
    <xf numFmtId="3" fontId="18" fillId="19" borderId="0" xfId="8" applyNumberFormat="1" applyFill="1"/>
    <xf numFmtId="3" fontId="18" fillId="19" borderId="13" xfId="8" applyNumberFormat="1" applyFill="1" applyBorder="1"/>
    <xf numFmtId="0" fontId="18" fillId="19" borderId="10" xfId="8" applyFill="1" applyBorder="1"/>
    <xf numFmtId="0" fontId="13" fillId="0" borderId="5" xfId="8" applyFont="1" applyBorder="1" applyAlignment="1">
      <alignment horizontal="center" wrapText="1"/>
    </xf>
    <xf numFmtId="0" fontId="13" fillId="0" borderId="0" xfId="8" applyFont="1" applyAlignment="1">
      <alignment horizontal="center" wrapText="1"/>
    </xf>
    <xf numFmtId="0" fontId="13" fillId="19" borderId="0" xfId="8" applyFont="1" applyFill="1" applyAlignment="1">
      <alignment horizontal="center" wrapText="1"/>
    </xf>
    <xf numFmtId="0" fontId="13" fillId="0" borderId="4" xfId="8" applyFont="1" applyBorder="1" applyAlignment="1">
      <alignment horizontal="center" wrapText="1"/>
    </xf>
    <xf numFmtId="0" fontId="13" fillId="0" borderId="3" xfId="8" applyFont="1" applyBorder="1" applyAlignment="1">
      <alignment horizontal="center" wrapText="1"/>
    </xf>
    <xf numFmtId="0" fontId="13" fillId="0" borderId="13" xfId="8" applyFont="1" applyBorder="1" applyAlignment="1">
      <alignment horizontal="center" wrapText="1"/>
    </xf>
    <xf numFmtId="0" fontId="13" fillId="0" borderId="13" xfId="8" applyFont="1" applyBorder="1" applyAlignment="1">
      <alignment horizontal="center"/>
    </xf>
    <xf numFmtId="0" fontId="13" fillId="0" borderId="8" xfId="8" applyFont="1" applyBorder="1" applyAlignment="1">
      <alignment horizontal="center" wrapText="1"/>
    </xf>
    <xf numFmtId="0" fontId="13" fillId="0" borderId="7" xfId="8" applyFont="1" applyBorder="1" applyAlignment="1">
      <alignment horizontal="center" wrapText="1"/>
    </xf>
    <xf numFmtId="0" fontId="13" fillId="0" borderId="6" xfId="8" applyFont="1" applyBorder="1" applyAlignment="1">
      <alignment horizontal="center" wrapText="1"/>
    </xf>
    <xf numFmtId="0" fontId="28" fillId="0" borderId="1" xfId="8" applyFont="1" applyBorder="1"/>
    <xf numFmtId="166" fontId="18" fillId="0" borderId="3" xfId="8" applyNumberFormat="1" applyBorder="1"/>
    <xf numFmtId="0" fontId="18" fillId="19" borderId="4" xfId="8" applyFill="1" applyBorder="1"/>
    <xf numFmtId="166" fontId="18" fillId="19" borderId="13" xfId="8" applyNumberFormat="1" applyFill="1" applyBorder="1"/>
    <xf numFmtId="166" fontId="18" fillId="19" borderId="3" xfId="8" applyNumberFormat="1" applyFill="1" applyBorder="1"/>
    <xf numFmtId="166" fontId="18" fillId="0" borderId="12" xfId="8" applyNumberFormat="1" applyBorder="1"/>
    <xf numFmtId="0" fontId="18" fillId="19" borderId="5" xfId="8" applyFill="1" applyBorder="1"/>
    <xf numFmtId="166" fontId="18" fillId="19" borderId="0" xfId="8" applyNumberFormat="1" applyFill="1"/>
    <xf numFmtId="166" fontId="18" fillId="19" borderId="12" xfId="8" applyNumberFormat="1" applyFill="1" applyBorder="1"/>
    <xf numFmtId="0" fontId="18" fillId="19" borderId="0" xfId="8" applyFill="1"/>
    <xf numFmtId="0" fontId="18" fillId="19" borderId="12" xfId="8" applyFill="1" applyBorder="1"/>
    <xf numFmtId="3" fontId="18" fillId="16" borderId="4" xfId="8" applyNumberFormat="1" applyFill="1" applyBorder="1"/>
    <xf numFmtId="3" fontId="18" fillId="19" borderId="3" xfId="8" applyNumberFormat="1" applyFill="1" applyBorder="1"/>
    <xf numFmtId="3" fontId="18" fillId="16" borderId="13" xfId="8" applyNumberFormat="1" applyFill="1" applyBorder="1"/>
    <xf numFmtId="170" fontId="18" fillId="19" borderId="12" xfId="8" applyNumberFormat="1" applyFill="1" applyBorder="1"/>
    <xf numFmtId="0" fontId="18" fillId="19" borderId="2" xfId="8" applyFill="1" applyBorder="1"/>
    <xf numFmtId="170" fontId="18" fillId="19" borderId="1" xfId="8" applyNumberFormat="1" applyFill="1" applyBorder="1"/>
    <xf numFmtId="3" fontId="18" fillId="0" borderId="8" xfId="8" applyNumberFormat="1" applyBorder="1"/>
    <xf numFmtId="3" fontId="18" fillId="0" borderId="6" xfId="8" applyNumberFormat="1" applyBorder="1"/>
    <xf numFmtId="3" fontId="18" fillId="0" borderId="7" xfId="8" applyNumberFormat="1" applyBorder="1"/>
    <xf numFmtId="170" fontId="18" fillId="19" borderId="3" xfId="8" applyNumberFormat="1" applyFill="1" applyBorder="1"/>
    <xf numFmtId="167" fontId="18" fillId="19" borderId="13" xfId="8" applyNumberFormat="1" applyFill="1" applyBorder="1"/>
    <xf numFmtId="167" fontId="18" fillId="19" borderId="3" xfId="8" applyNumberFormat="1" applyFill="1" applyBorder="1"/>
    <xf numFmtId="167" fontId="18" fillId="0" borderId="12" xfId="8" applyNumberFormat="1" applyBorder="1"/>
    <xf numFmtId="167" fontId="0" fillId="19" borderId="0" xfId="9" applyNumberFormat="1" applyFont="1" applyFill="1" applyBorder="1"/>
    <xf numFmtId="9" fontId="18" fillId="0" borderId="0" xfId="8" applyNumberFormat="1"/>
    <xf numFmtId="10" fontId="18" fillId="19" borderId="12" xfId="8" applyNumberFormat="1" applyFill="1" applyBorder="1"/>
    <xf numFmtId="9" fontId="18" fillId="0" borderId="12" xfId="8" applyNumberFormat="1" applyBorder="1"/>
    <xf numFmtId="0" fontId="18" fillId="19" borderId="1" xfId="8" applyFill="1" applyBorder="1"/>
    <xf numFmtId="167" fontId="18" fillId="19" borderId="5" xfId="8" applyNumberFormat="1" applyFill="1" applyBorder="1"/>
    <xf numFmtId="167" fontId="18" fillId="19" borderId="0" xfId="8" applyNumberFormat="1" applyFill="1"/>
    <xf numFmtId="167" fontId="18" fillId="19" borderId="12" xfId="8" applyNumberFormat="1" applyFill="1" applyBorder="1"/>
    <xf numFmtId="0" fontId="13" fillId="0" borderId="11" xfId="8" applyFont="1" applyBorder="1" applyAlignment="1">
      <alignment wrapText="1"/>
    </xf>
    <xf numFmtId="0" fontId="13" fillId="0" borderId="8" xfId="8" applyFont="1" applyBorder="1" applyAlignment="1">
      <alignment textRotation="90" wrapText="1"/>
    </xf>
    <xf numFmtId="0" fontId="13" fillId="0" borderId="6" xfId="8" applyFont="1" applyBorder="1" applyAlignment="1">
      <alignment textRotation="90" wrapText="1"/>
    </xf>
    <xf numFmtId="0" fontId="13" fillId="0" borderId="7" xfId="8" applyFont="1" applyBorder="1" applyAlignment="1">
      <alignment textRotation="90" wrapText="1"/>
    </xf>
    <xf numFmtId="0" fontId="13" fillId="19" borderId="8" xfId="8" applyFont="1" applyFill="1" applyBorder="1" applyAlignment="1">
      <alignment textRotation="90" wrapText="1"/>
    </xf>
    <xf numFmtId="0" fontId="13" fillId="19" borderId="7" xfId="8" applyFont="1" applyFill="1" applyBorder="1" applyAlignment="1">
      <alignment textRotation="90" wrapText="1"/>
    </xf>
    <xf numFmtId="0" fontId="13" fillId="19" borderId="6" xfId="8" applyFont="1" applyFill="1" applyBorder="1" applyAlignment="1">
      <alignment textRotation="90" wrapText="1"/>
    </xf>
    <xf numFmtId="0" fontId="13" fillId="0" borderId="15" xfId="8" applyFont="1" applyBorder="1"/>
    <xf numFmtId="0" fontId="13" fillId="0" borderId="14" xfId="8" applyFont="1" applyBorder="1"/>
    <xf numFmtId="0" fontId="28" fillId="0" borderId="11" xfId="8" applyFont="1" applyBorder="1"/>
    <xf numFmtId="0" fontId="28" fillId="0" borderId="9" xfId="8" applyFont="1" applyBorder="1"/>
    <xf numFmtId="167" fontId="18" fillId="19" borderId="10" xfId="8" applyNumberFormat="1" applyFill="1" applyBorder="1"/>
    <xf numFmtId="167" fontId="18" fillId="0" borderId="8" xfId="8" applyNumberFormat="1" applyBorder="1"/>
    <xf numFmtId="167" fontId="18" fillId="0" borderId="7" xfId="8" applyNumberFormat="1" applyBorder="1"/>
    <xf numFmtId="167" fontId="18" fillId="19" borderId="7" xfId="8" applyNumberFormat="1" applyFill="1" applyBorder="1"/>
    <xf numFmtId="0" fontId="18" fillId="17" borderId="0" xfId="8" applyFill="1"/>
    <xf numFmtId="170" fontId="18" fillId="16" borderId="13" xfId="8" applyNumberFormat="1" applyFill="1" applyBorder="1"/>
    <xf numFmtId="170" fontId="18" fillId="16" borderId="5" xfId="8" applyNumberFormat="1" applyFill="1" applyBorder="1"/>
    <xf numFmtId="169" fontId="18" fillId="0" borderId="0" xfId="8" applyNumberFormat="1"/>
    <xf numFmtId="9" fontId="18" fillId="0" borderId="4" xfId="8" applyNumberFormat="1" applyBorder="1"/>
    <xf numFmtId="9" fontId="18" fillId="16" borderId="4" xfId="8" applyNumberFormat="1" applyFill="1" applyBorder="1"/>
    <xf numFmtId="9" fontId="18" fillId="16" borderId="3" xfId="8" applyNumberFormat="1" applyFill="1" applyBorder="1"/>
    <xf numFmtId="9" fontId="18" fillId="16" borderId="13" xfId="8" applyNumberFormat="1" applyFill="1" applyBorder="1"/>
    <xf numFmtId="0" fontId="18" fillId="0" borderId="14" xfId="8" applyBorder="1" applyAlignment="1">
      <alignment horizontal="right"/>
    </xf>
    <xf numFmtId="0" fontId="18" fillId="0" borderId="8" xfId="8" applyBorder="1" applyAlignment="1">
      <alignment horizontal="center" wrapText="1"/>
    </xf>
    <xf numFmtId="0" fontId="18" fillId="0" borderId="6" xfId="8" applyBorder="1" applyAlignment="1">
      <alignment horizontal="center" wrapText="1"/>
    </xf>
    <xf numFmtId="0" fontId="18" fillId="0" borderId="7" xfId="8" applyBorder="1" applyAlignment="1">
      <alignment horizontal="center" wrapText="1"/>
    </xf>
    <xf numFmtId="0" fontId="18" fillId="0" borderId="2" xfId="8" applyBorder="1" applyAlignment="1">
      <alignment horizontal="centerContinuous"/>
    </xf>
    <xf numFmtId="0" fontId="18" fillId="0" borderId="1" xfId="8" applyBorder="1" applyAlignment="1">
      <alignment horizontal="centerContinuous"/>
    </xf>
    <xf numFmtId="0" fontId="18" fillId="0" borderId="10" xfId="8" applyBorder="1" applyAlignment="1">
      <alignment horizontal="centerContinuous"/>
    </xf>
    <xf numFmtId="9" fontId="0" fillId="0" borderId="0" xfId="9" applyFont="1" applyFill="1"/>
    <xf numFmtId="0" fontId="38" fillId="0" borderId="0" xfId="8" applyFont="1"/>
    <xf numFmtId="9" fontId="18" fillId="0" borderId="13" xfId="8" applyNumberFormat="1" applyBorder="1"/>
    <xf numFmtId="9" fontId="18" fillId="0" borderId="3" xfId="8" applyNumberFormat="1" applyBorder="1"/>
    <xf numFmtId="9" fontId="18" fillId="0" borderId="8" xfId="8" applyNumberFormat="1" applyBorder="1"/>
    <xf numFmtId="9" fontId="18" fillId="0" borderId="7" xfId="8" applyNumberFormat="1" applyBorder="1"/>
    <xf numFmtId="9" fontId="18" fillId="0" borderId="6" xfId="8" applyNumberFormat="1" applyBorder="1"/>
    <xf numFmtId="166" fontId="18" fillId="16" borderId="14" xfId="8" applyNumberFormat="1" applyFill="1" applyBorder="1"/>
    <xf numFmtId="166" fontId="18" fillId="16" borderId="11" xfId="8" applyNumberFormat="1" applyFill="1" applyBorder="1"/>
    <xf numFmtId="166" fontId="18" fillId="16" borderId="9" xfId="8" applyNumberFormat="1" applyFill="1" applyBorder="1"/>
    <xf numFmtId="166" fontId="18" fillId="2" borderId="14" xfId="8" applyNumberFormat="1" applyFill="1" applyBorder="1"/>
    <xf numFmtId="167" fontId="18" fillId="16" borderId="4" xfId="8" applyNumberFormat="1" applyFill="1" applyBorder="1"/>
    <xf numFmtId="167" fontId="18" fillId="16" borderId="13" xfId="8" applyNumberFormat="1" applyFill="1" applyBorder="1"/>
    <xf numFmtId="3" fontId="18" fillId="20" borderId="4" xfId="8" applyNumberFormat="1" applyFill="1" applyBorder="1"/>
    <xf numFmtId="3" fontId="18" fillId="20" borderId="13" xfId="8" applyNumberFormat="1" applyFill="1" applyBorder="1"/>
    <xf numFmtId="3" fontId="18" fillId="20" borderId="3" xfId="8" applyNumberFormat="1" applyFill="1" applyBorder="1"/>
    <xf numFmtId="3" fontId="18" fillId="2" borderId="3" xfId="8" applyNumberFormat="1" applyFill="1" applyBorder="1"/>
    <xf numFmtId="3" fontId="18" fillId="16" borderId="3" xfId="8" applyNumberFormat="1" applyFill="1" applyBorder="1"/>
    <xf numFmtId="1" fontId="18" fillId="0" borderId="3" xfId="8" applyNumberFormat="1" applyBorder="1"/>
    <xf numFmtId="3" fontId="18" fillId="16" borderId="12" xfId="8" applyNumberFormat="1" applyFill="1" applyBorder="1"/>
    <xf numFmtId="172" fontId="18" fillId="0" borderId="8" xfId="8" applyNumberFormat="1" applyBorder="1"/>
    <xf numFmtId="172" fontId="18" fillId="0" borderId="7" xfId="8" applyNumberFormat="1" applyBorder="1"/>
    <xf numFmtId="172" fontId="18" fillId="0" borderId="6" xfId="8" applyNumberFormat="1" applyBorder="1"/>
    <xf numFmtId="0" fontId="18" fillId="17" borderId="4" xfId="8" applyFill="1" applyBorder="1" applyAlignment="1">
      <alignment horizontal="center"/>
    </xf>
    <xf numFmtId="0" fontId="18" fillId="17" borderId="5" xfId="8" applyFill="1" applyBorder="1" applyAlignment="1">
      <alignment horizontal="center"/>
    </xf>
    <xf numFmtId="0" fontId="18" fillId="17" borderId="2" xfId="8" applyFill="1" applyBorder="1" applyAlignment="1">
      <alignment horizontal="center"/>
    </xf>
    <xf numFmtId="3" fontId="18" fillId="0" borderId="4" xfId="8" applyNumberFormat="1" applyBorder="1" applyAlignment="1">
      <alignment horizontal="center"/>
    </xf>
    <xf numFmtId="3" fontId="18" fillId="0" borderId="13" xfId="8" applyNumberFormat="1" applyBorder="1" applyAlignment="1">
      <alignment horizontal="center"/>
    </xf>
    <xf numFmtId="3" fontId="18" fillId="0" borderId="5" xfId="8" applyNumberFormat="1" applyBorder="1" applyAlignment="1">
      <alignment horizontal="center"/>
    </xf>
    <xf numFmtId="3" fontId="18" fillId="0" borderId="0" xfId="8" applyNumberFormat="1" applyAlignment="1">
      <alignment horizontal="center"/>
    </xf>
    <xf numFmtId="0" fontId="18" fillId="20" borderId="5" xfId="8" applyFill="1" applyBorder="1" applyAlignment="1">
      <alignment horizontal="center"/>
    </xf>
    <xf numFmtId="0" fontId="18" fillId="20" borderId="0" xfId="8" applyFill="1" applyAlignment="1">
      <alignment horizontal="center"/>
    </xf>
    <xf numFmtId="0" fontId="18" fillId="0" borderId="8" xfId="8" applyBorder="1" applyAlignment="1">
      <alignment horizontal="center"/>
    </xf>
    <xf numFmtId="0" fontId="18" fillId="0" borderId="7" xfId="8" applyBorder="1" applyAlignment="1">
      <alignment horizontal="center"/>
    </xf>
    <xf numFmtId="0" fontId="18" fillId="0" borderId="1" xfId="8" applyBorder="1" applyAlignment="1">
      <alignment horizontal="right"/>
    </xf>
    <xf numFmtId="0" fontId="18" fillId="0" borderId="8" xfId="11" applyBorder="1" applyAlignment="1">
      <alignment horizontal="right" wrapText="1"/>
    </xf>
    <xf numFmtId="0" fontId="18" fillId="0" borderId="7" xfId="11" applyBorder="1" applyAlignment="1">
      <alignment horizontal="right" wrapText="1"/>
    </xf>
    <xf numFmtId="0" fontId="18" fillId="0" borderId="6" xfId="11" applyBorder="1"/>
    <xf numFmtId="0" fontId="18" fillId="20" borderId="15" xfId="8" applyFill="1" applyBorder="1" applyAlignment="1">
      <alignment horizontal="center"/>
    </xf>
    <xf numFmtId="3" fontId="18" fillId="0" borderId="14" xfId="8" applyNumberFormat="1" applyBorder="1" applyAlignment="1">
      <alignment horizontal="center"/>
    </xf>
    <xf numFmtId="3" fontId="18" fillId="0" borderId="11" xfId="8" applyNumberFormat="1" applyBorder="1" applyAlignment="1">
      <alignment horizontal="center"/>
    </xf>
    <xf numFmtId="3" fontId="18" fillId="0" borderId="9" xfId="8" applyNumberFormat="1" applyBorder="1" applyAlignment="1">
      <alignment horizontal="center"/>
    </xf>
    <xf numFmtId="4" fontId="18" fillId="2" borderId="15" xfId="8" applyNumberFormat="1" applyFill="1" applyBorder="1" applyAlignment="1">
      <alignment horizontal="center"/>
    </xf>
    <xf numFmtId="0" fontId="18" fillId="0" borderId="14" xfId="8" applyBorder="1" applyAlignment="1">
      <alignment horizontal="center"/>
    </xf>
    <xf numFmtId="0" fontId="18" fillId="0" borderId="9" xfId="8" applyBorder="1" applyAlignment="1">
      <alignment horizontal="center"/>
    </xf>
    <xf numFmtId="0" fontId="18" fillId="6" borderId="0" xfId="8" applyFill="1"/>
    <xf numFmtId="0" fontId="18" fillId="0" borderId="15" xfId="8" applyBorder="1" applyAlignment="1">
      <alignment horizontal="center"/>
    </xf>
    <xf numFmtId="170" fontId="18" fillId="0" borderId="2" xfId="8" applyNumberFormat="1" applyBorder="1" applyAlignment="1">
      <alignment horizontal="right"/>
    </xf>
    <xf numFmtId="170" fontId="18" fillId="0" borderId="10" xfId="8" applyNumberFormat="1" applyBorder="1" applyAlignment="1">
      <alignment horizontal="right"/>
    </xf>
    <xf numFmtId="3" fontId="18" fillId="0" borderId="15" xfId="8" applyNumberFormat="1" applyBorder="1"/>
    <xf numFmtId="170" fontId="13" fillId="0" borderId="2" xfId="8" applyNumberFormat="1" applyFont="1" applyBorder="1" applyAlignment="1">
      <alignment horizontal="right" wrapText="1"/>
    </xf>
    <xf numFmtId="170" fontId="13" fillId="0" borderId="10" xfId="8" applyNumberFormat="1" applyFont="1" applyBorder="1" applyAlignment="1">
      <alignment horizontal="right" wrapText="1"/>
    </xf>
    <xf numFmtId="170" fontId="31" fillId="0" borderId="0" xfId="8" applyNumberFormat="1" applyFont="1"/>
    <xf numFmtId="170" fontId="18" fillId="0" borderId="1" xfId="8" applyNumberFormat="1" applyBorder="1" applyAlignment="1">
      <alignment horizontal="right"/>
    </xf>
    <xf numFmtId="170" fontId="13" fillId="0" borderId="12" xfId="8" applyNumberFormat="1" applyFont="1" applyBorder="1"/>
    <xf numFmtId="3" fontId="18" fillId="0" borderId="3" xfId="10" applyNumberFormat="1" applyFont="1" applyFill="1" applyBorder="1"/>
    <xf numFmtId="170" fontId="13" fillId="0" borderId="1" xfId="8" applyNumberFormat="1" applyFont="1" applyBorder="1"/>
    <xf numFmtId="170" fontId="18" fillId="0" borderId="6" xfId="8" applyNumberFormat="1" applyBorder="1"/>
    <xf numFmtId="4" fontId="18" fillId="0" borderId="3" xfId="8" applyNumberFormat="1" applyBorder="1"/>
    <xf numFmtId="4" fontId="18" fillId="0" borderId="12" xfId="8" applyNumberFormat="1" applyBorder="1"/>
    <xf numFmtId="3" fontId="18" fillId="0" borderId="2" xfId="8" applyNumberFormat="1" applyBorder="1"/>
    <xf numFmtId="3" fontId="18" fillId="0" borderId="10" xfId="8" applyNumberFormat="1" applyBorder="1"/>
    <xf numFmtId="3" fontId="18" fillId="0" borderId="1" xfId="8" applyNumberFormat="1" applyBorder="1"/>
    <xf numFmtId="170" fontId="13" fillId="0" borderId="6" xfId="8" applyNumberFormat="1" applyFont="1" applyBorder="1"/>
    <xf numFmtId="170" fontId="13" fillId="0" borderId="1" xfId="8" applyNumberFormat="1" applyFont="1" applyBorder="1" applyAlignment="1">
      <alignment horizontal="right" wrapText="1"/>
    </xf>
    <xf numFmtId="170" fontId="18" fillId="0" borderId="0" xfId="8" applyNumberFormat="1" applyAlignment="1">
      <alignment horizontal="centerContinuous"/>
    </xf>
    <xf numFmtId="170" fontId="13" fillId="0" borderId="0" xfId="8" applyNumberFormat="1" applyFont="1"/>
    <xf numFmtId="170" fontId="18" fillId="0" borderId="0" xfId="10" applyNumberFormat="1" applyFont="1" applyFill="1" applyBorder="1" applyAlignment="1">
      <alignment horizontal="right"/>
    </xf>
    <xf numFmtId="170" fontId="18" fillId="0" borderId="5" xfId="8" applyNumberFormat="1" applyBorder="1" applyAlignment="1">
      <alignment horizontal="right"/>
    </xf>
    <xf numFmtId="170" fontId="18" fillId="0" borderId="0" xfId="8" applyNumberFormat="1" applyAlignment="1">
      <alignment horizontal="right"/>
    </xf>
    <xf numFmtId="170" fontId="13" fillId="0" borderId="8" xfId="8" applyNumberFormat="1" applyFont="1" applyBorder="1" applyAlignment="1">
      <alignment horizontal="right" wrapText="1"/>
    </xf>
    <xf numFmtId="170" fontId="13" fillId="0" borderId="7" xfId="8" applyNumberFormat="1" applyFont="1" applyBorder="1" applyAlignment="1">
      <alignment horizontal="right" wrapText="1"/>
    </xf>
    <xf numFmtId="170" fontId="13" fillId="0" borderId="15" xfId="8" applyNumberFormat="1" applyFont="1" applyBorder="1"/>
    <xf numFmtId="170" fontId="18" fillId="0" borderId="9" xfId="8" applyNumberFormat="1" applyBorder="1" applyAlignment="1">
      <alignment horizontal="right" wrapText="1"/>
    </xf>
    <xf numFmtId="170" fontId="18" fillId="0" borderId="0" xfId="8" applyNumberFormat="1" applyAlignment="1">
      <alignment horizontal="right" wrapText="1"/>
    </xf>
    <xf numFmtId="170" fontId="18" fillId="0" borderId="7" xfId="8" applyNumberFormat="1" applyBorder="1" applyAlignment="1">
      <alignment horizontal="right" wrapText="1"/>
    </xf>
    <xf numFmtId="170" fontId="18" fillId="2" borderId="5" xfId="8" applyNumberFormat="1" applyFill="1" applyBorder="1"/>
    <xf numFmtId="170" fontId="18" fillId="0" borderId="12" xfId="10" applyNumberFormat="1" applyFont="1" applyFill="1" applyBorder="1"/>
    <xf numFmtId="167" fontId="18" fillId="0" borderId="3" xfId="9" applyNumberFormat="1" applyFont="1" applyFill="1" applyBorder="1"/>
    <xf numFmtId="167" fontId="18" fillId="0" borderId="12" xfId="9" applyNumberFormat="1" applyFont="1" applyFill="1" applyBorder="1"/>
    <xf numFmtId="0" fontId="13" fillId="0" borderId="1" xfId="8" applyFont="1" applyBorder="1" applyAlignment="1">
      <alignment wrapText="1"/>
    </xf>
    <xf numFmtId="0" fontId="13" fillId="0" borderId="8" xfId="8" applyFont="1" applyBorder="1" applyAlignment="1">
      <alignment horizontal="right" textRotation="90" wrapText="1"/>
    </xf>
    <xf numFmtId="0" fontId="13" fillId="0" borderId="6" xfId="8" applyFont="1" applyBorder="1" applyAlignment="1">
      <alignment horizontal="right" textRotation="90" wrapText="1"/>
    </xf>
    <xf numFmtId="167" fontId="18" fillId="0" borderId="2" xfId="9" applyNumberFormat="1" applyFont="1" applyFill="1" applyBorder="1"/>
    <xf numFmtId="0" fontId="18" fillId="0" borderId="0" xfId="8" applyAlignment="1">
      <alignment horizontal="left" wrapText="1"/>
    </xf>
    <xf numFmtId="0" fontId="18" fillId="0" borderId="0" xfId="8" quotePrefix="1" applyAlignment="1">
      <alignment horizontal="right"/>
    </xf>
    <xf numFmtId="167" fontId="18" fillId="0" borderId="0" xfId="8" applyNumberFormat="1" applyAlignment="1">
      <alignment horizontal="right"/>
    </xf>
    <xf numFmtId="173" fontId="18" fillId="0" borderId="0" xfId="8" applyNumberFormat="1"/>
    <xf numFmtId="167" fontId="18" fillId="0" borderId="4" xfId="8" applyNumberFormat="1" applyBorder="1" applyAlignment="1">
      <alignment horizontal="right"/>
    </xf>
    <xf numFmtId="167" fontId="18" fillId="0" borderId="13" xfId="8" applyNumberFormat="1" applyBorder="1" applyAlignment="1">
      <alignment horizontal="right"/>
    </xf>
    <xf numFmtId="167" fontId="18" fillId="0" borderId="5" xfId="8" applyNumberFormat="1" applyBorder="1" applyAlignment="1">
      <alignment horizontal="right"/>
    </xf>
    <xf numFmtId="167" fontId="18" fillId="0" borderId="2" xfId="8" applyNumberFormat="1" applyBorder="1" applyAlignment="1">
      <alignment horizontal="right"/>
    </xf>
    <xf numFmtId="167" fontId="18" fillId="0" borderId="10" xfId="8" applyNumberFormat="1" applyBorder="1" applyAlignment="1">
      <alignment horizontal="right"/>
    </xf>
    <xf numFmtId="166" fontId="18" fillId="0" borderId="5" xfId="8" applyNumberFormat="1" applyBorder="1" applyAlignment="1">
      <alignment horizontal="right"/>
    </xf>
    <xf numFmtId="166" fontId="18" fillId="0" borderId="9" xfId="8" applyNumberFormat="1" applyBorder="1" applyAlignment="1">
      <alignment horizontal="right"/>
    </xf>
    <xf numFmtId="170" fontId="18" fillId="0" borderId="9" xfId="8" applyNumberFormat="1" applyBorder="1" applyAlignment="1">
      <alignment horizontal="right"/>
    </xf>
    <xf numFmtId="170" fontId="18" fillId="0" borderId="5" xfId="8" applyNumberFormat="1" applyBorder="1" applyAlignment="1">
      <alignment horizontal="right" wrapText="1"/>
    </xf>
    <xf numFmtId="170" fontId="18" fillId="0" borderId="8" xfId="8" applyNumberFormat="1" applyBorder="1" applyAlignment="1">
      <alignment horizontal="right" wrapText="1"/>
    </xf>
    <xf numFmtId="170" fontId="18" fillId="0" borderId="6" xfId="8" applyNumberFormat="1" applyBorder="1" applyAlignment="1">
      <alignment horizontal="right" wrapText="1"/>
    </xf>
    <xf numFmtId="170" fontId="18" fillId="0" borderId="8" xfId="8" applyNumberFormat="1" applyBorder="1"/>
    <xf numFmtId="170" fontId="18" fillId="0" borderId="7" xfId="8" applyNumberFormat="1" applyBorder="1"/>
    <xf numFmtId="3" fontId="18" fillId="0" borderId="14" xfId="10" applyNumberFormat="1" applyFont="1" applyFill="1" applyBorder="1"/>
    <xf numFmtId="166" fontId="18" fillId="0" borderId="9" xfId="8" applyNumberFormat="1" applyBorder="1"/>
    <xf numFmtId="166" fontId="18" fillId="0" borderId="8" xfId="8" applyNumberFormat="1" applyBorder="1"/>
    <xf numFmtId="166" fontId="18" fillId="0" borderId="6" xfId="8" applyNumberFormat="1" applyBorder="1"/>
    <xf numFmtId="166" fontId="18" fillId="0" borderId="15" xfId="8" applyNumberFormat="1" applyBorder="1"/>
    <xf numFmtId="166" fontId="18" fillId="0" borderId="7" xfId="8" applyNumberFormat="1" applyBorder="1"/>
    <xf numFmtId="0" fontId="13" fillId="0" borderId="9" xfId="8" applyFont="1" applyBorder="1" applyAlignment="1">
      <alignment horizontal="right" wrapText="1"/>
    </xf>
    <xf numFmtId="166" fontId="13" fillId="0" borderId="7" xfId="8" applyNumberFormat="1" applyFont="1" applyBorder="1" applyAlignment="1">
      <alignment horizontal="right" wrapText="1"/>
    </xf>
    <xf numFmtId="170" fontId="18" fillId="0" borderId="4" xfId="10" applyNumberFormat="1" applyFont="1" applyFill="1" applyBorder="1"/>
    <xf numFmtId="170" fontId="18" fillId="0" borderId="13" xfId="10" applyNumberFormat="1" applyFont="1" applyFill="1" applyBorder="1"/>
    <xf numFmtId="172" fontId="18" fillId="0" borderId="2" xfId="10" applyNumberFormat="1" applyFont="1" applyFill="1" applyBorder="1"/>
    <xf numFmtId="172" fontId="18" fillId="0" borderId="10" xfId="10" applyNumberFormat="1" applyFont="1" applyFill="1" applyBorder="1"/>
    <xf numFmtId="172" fontId="18" fillId="0" borderId="1" xfId="10" applyNumberFormat="1" applyFont="1" applyFill="1" applyBorder="1"/>
    <xf numFmtId="172" fontId="18" fillId="0" borderId="5" xfId="10" applyNumberFormat="1" applyFont="1" applyFill="1" applyBorder="1"/>
    <xf numFmtId="172" fontId="18" fillId="0" borderId="0" xfId="10" applyNumberFormat="1" applyFont="1" applyFill="1" applyBorder="1"/>
    <xf numFmtId="170" fontId="18" fillId="0" borderId="12" xfId="8" applyNumberFormat="1" applyBorder="1" applyAlignment="1">
      <alignment horizontal="right"/>
    </xf>
    <xf numFmtId="174" fontId="18" fillId="0" borderId="12" xfId="10" applyNumberFormat="1" applyFont="1" applyBorder="1"/>
    <xf numFmtId="174" fontId="18" fillId="0" borderId="12" xfId="10" applyNumberFormat="1" applyFont="1" applyFill="1" applyBorder="1"/>
    <xf numFmtId="174" fontId="18" fillId="0" borderId="0" xfId="10" applyNumberFormat="1" applyFont="1" applyFill="1" applyBorder="1"/>
    <xf numFmtId="0" fontId="13" fillId="0" borderId="3" xfId="8" applyFont="1" applyBorder="1"/>
    <xf numFmtId="166" fontId="18" fillId="0" borderId="10" xfId="8" applyNumberFormat="1" applyBorder="1"/>
    <xf numFmtId="166" fontId="18" fillId="0" borderId="1" xfId="8" applyNumberFormat="1" applyBorder="1"/>
    <xf numFmtId="9" fontId="18" fillId="0" borderId="5" xfId="8" applyNumberFormat="1" applyBorder="1"/>
    <xf numFmtId="167" fontId="18" fillId="0" borderId="0" xfId="8" applyNumberFormat="1" applyAlignment="1">
      <alignment horizontal="right" wrapText="1"/>
    </xf>
    <xf numFmtId="170" fontId="18" fillId="0" borderId="14" xfId="8" applyNumberFormat="1" applyBorder="1" applyAlignment="1">
      <alignment horizontal="right" wrapText="1"/>
    </xf>
    <xf numFmtId="170" fontId="18" fillId="0" borderId="11" xfId="8" applyNumberFormat="1" applyBorder="1" applyAlignment="1">
      <alignment horizontal="right" wrapText="1"/>
    </xf>
    <xf numFmtId="170" fontId="18" fillId="0" borderId="2" xfId="8" applyNumberFormat="1" applyBorder="1" applyAlignment="1">
      <alignment horizontal="right" wrapText="1"/>
    </xf>
    <xf numFmtId="3" fontId="18" fillId="0" borderId="5" xfId="8" applyNumberFormat="1" applyBorder="1" applyAlignment="1">
      <alignment horizontal="right" wrapText="1"/>
    </xf>
    <xf numFmtId="3" fontId="18" fillId="0" borderId="2" xfId="8" applyNumberFormat="1" applyBorder="1" applyAlignment="1">
      <alignment horizontal="right" wrapText="1"/>
    </xf>
    <xf numFmtId="167" fontId="18" fillId="0" borderId="4" xfId="8" applyNumberFormat="1" applyBorder="1" applyAlignment="1">
      <alignment horizontal="right" wrapText="1"/>
    </xf>
    <xf numFmtId="167" fontId="18" fillId="0" borderId="5" xfId="8" applyNumberFormat="1" applyBorder="1" applyAlignment="1">
      <alignment horizontal="right" wrapText="1"/>
    </xf>
    <xf numFmtId="166" fontId="18" fillId="0" borderId="4" xfId="8" applyNumberFormat="1" applyBorder="1"/>
    <xf numFmtId="3" fontId="18" fillId="0" borderId="2" xfId="8" applyNumberFormat="1" applyBorder="1" applyAlignment="1">
      <alignment horizontal="right"/>
    </xf>
    <xf numFmtId="3" fontId="18" fillId="0" borderId="9" xfId="8" applyNumberFormat="1" applyBorder="1" applyAlignment="1">
      <alignment horizontal="right"/>
    </xf>
    <xf numFmtId="3" fontId="18" fillId="0" borderId="10" xfId="8" applyNumberFormat="1" applyBorder="1" applyAlignment="1">
      <alignment horizontal="right"/>
    </xf>
    <xf numFmtId="166" fontId="18" fillId="0" borderId="2" xfId="8" applyNumberFormat="1" applyBorder="1" applyAlignment="1">
      <alignment horizontal="right"/>
    </xf>
    <xf numFmtId="166" fontId="18" fillId="0" borderId="10" xfId="8" applyNumberFormat="1" applyBorder="1" applyAlignment="1">
      <alignment horizontal="right"/>
    </xf>
    <xf numFmtId="0" fontId="13" fillId="0" borderId="1" xfId="8" applyFont="1" applyBorder="1" applyAlignment="1">
      <alignment horizontal="right" wrapText="1"/>
    </xf>
    <xf numFmtId="166" fontId="18" fillId="0" borderId="13" xfId="10" applyNumberFormat="1" applyFont="1" applyBorder="1"/>
    <xf numFmtId="166" fontId="18" fillId="0" borderId="3" xfId="10" applyNumberFormat="1" applyFont="1" applyBorder="1"/>
    <xf numFmtId="166" fontId="18" fillId="16" borderId="13" xfId="10" applyNumberFormat="1" applyFont="1" applyFill="1" applyBorder="1"/>
    <xf numFmtId="174" fontId="18" fillId="0" borderId="0" xfId="10" applyNumberFormat="1" applyFont="1" applyBorder="1"/>
    <xf numFmtId="167" fontId="18" fillId="0" borderId="12" xfId="9" applyNumberFormat="1" applyFont="1" applyBorder="1"/>
    <xf numFmtId="0" fontId="13" fillId="0" borderId="7" xfId="8" applyFont="1" applyBorder="1" applyAlignment="1">
      <alignment horizontal="right" textRotation="90" wrapText="1"/>
    </xf>
    <xf numFmtId="167" fontId="18" fillId="0" borderId="4" xfId="9" applyNumberFormat="1" applyFont="1" applyBorder="1" applyAlignment="1">
      <alignment horizontal="right"/>
    </xf>
    <xf numFmtId="167" fontId="18" fillId="0" borderId="3" xfId="9" applyNumberFormat="1" applyFont="1" applyBorder="1" applyAlignment="1">
      <alignment horizontal="right"/>
    </xf>
    <xf numFmtId="0" fontId="13" fillId="0" borderId="6" xfId="8" applyFont="1" applyBorder="1" applyAlignment="1">
      <alignment horizontal="right" wrapText="1"/>
    </xf>
    <xf numFmtId="166" fontId="18" fillId="0" borderId="11" xfId="8" applyNumberFormat="1" applyBorder="1" applyAlignment="1">
      <alignment horizontal="right"/>
    </xf>
    <xf numFmtId="166" fontId="18" fillId="0" borderId="0" xfId="8" applyNumberFormat="1" applyAlignment="1">
      <alignment horizontal="right"/>
    </xf>
    <xf numFmtId="166" fontId="13" fillId="0" borderId="8" xfId="8" applyNumberFormat="1" applyFont="1" applyBorder="1" applyAlignment="1">
      <alignment horizontal="right" wrapText="1"/>
    </xf>
    <xf numFmtId="166" fontId="13" fillId="0" borderId="6" xfId="8" applyNumberFormat="1" applyFont="1" applyBorder="1" applyAlignment="1">
      <alignment horizontal="right" wrapText="1"/>
    </xf>
    <xf numFmtId="175" fontId="18" fillId="0" borderId="5" xfId="8" applyNumberFormat="1" applyBorder="1"/>
    <xf numFmtId="175" fontId="18" fillId="0" borderId="12" xfId="8" applyNumberFormat="1" applyBorder="1"/>
    <xf numFmtId="175" fontId="18" fillId="0" borderId="0" xfId="8" applyNumberFormat="1"/>
    <xf numFmtId="175" fontId="18" fillId="0" borderId="0" xfId="10" applyNumberFormat="1" applyFont="1" applyFill="1" applyBorder="1"/>
    <xf numFmtId="175" fontId="18" fillId="0" borderId="12" xfId="10" applyNumberFormat="1" applyFont="1" applyFill="1" applyBorder="1"/>
    <xf numFmtId="175" fontId="18" fillId="0" borderId="0" xfId="10" applyNumberFormat="1" applyFont="1" applyBorder="1"/>
    <xf numFmtId="175" fontId="18" fillId="0" borderId="12" xfId="10" applyNumberFormat="1" applyFont="1" applyBorder="1"/>
    <xf numFmtId="170" fontId="18" fillId="0" borderId="0" xfId="10" applyNumberFormat="1" applyFont="1" applyBorder="1"/>
    <xf numFmtId="170" fontId="18" fillId="0" borderId="12" xfId="10" applyNumberFormat="1" applyFont="1" applyBorder="1"/>
    <xf numFmtId="176" fontId="18" fillId="0" borderId="12" xfId="10" applyNumberFormat="1" applyFont="1" applyFill="1" applyBorder="1"/>
    <xf numFmtId="170" fontId="18" fillId="0" borderId="4" xfId="8" applyNumberFormat="1" applyBorder="1" applyAlignment="1">
      <alignment horizontal="right" wrapText="1"/>
    </xf>
    <xf numFmtId="0" fontId="18" fillId="0" borderId="11" xfId="8" applyBorder="1" applyAlignment="1">
      <alignment horizontal="right"/>
    </xf>
    <xf numFmtId="2" fontId="18" fillId="0" borderId="8" xfId="8" applyNumberFormat="1" applyBorder="1" applyAlignment="1">
      <alignment horizontal="right" wrapText="1"/>
    </xf>
    <xf numFmtId="166" fontId="18" fillId="0" borderId="16" xfId="8" applyNumberFormat="1" applyBorder="1"/>
    <xf numFmtId="167" fontId="18" fillId="0" borderId="3" xfId="8" applyNumberFormat="1" applyBorder="1" applyAlignment="1">
      <alignment horizontal="right"/>
    </xf>
    <xf numFmtId="0" fontId="13" fillId="0" borderId="2" xfId="8" applyFont="1" applyBorder="1" applyAlignment="1">
      <alignment horizontal="centerContinuous" wrapText="1"/>
    </xf>
    <xf numFmtId="0" fontId="13" fillId="0" borderId="10" xfId="8" applyFont="1" applyBorder="1" applyAlignment="1">
      <alignment horizontal="centerContinuous" wrapText="1"/>
    </xf>
    <xf numFmtId="0" fontId="13" fillId="0" borderId="1" xfId="8" applyFont="1" applyBorder="1" applyAlignment="1">
      <alignment horizontal="centerContinuous" wrapText="1"/>
    </xf>
    <xf numFmtId="0" fontId="13" fillId="0" borderId="9" xfId="8" applyFont="1" applyBorder="1" applyAlignment="1">
      <alignment horizontal="centerContinuous" wrapText="1"/>
    </xf>
    <xf numFmtId="170" fontId="18" fillId="20" borderId="5" xfId="8" applyNumberFormat="1" applyFill="1" applyBorder="1"/>
    <xf numFmtId="0" fontId="18" fillId="20" borderId="0" xfId="8" applyFill="1"/>
    <xf numFmtId="170" fontId="18" fillId="20" borderId="0" xfId="8" applyNumberFormat="1" applyFill="1"/>
    <xf numFmtId="0" fontId="18" fillId="20" borderId="12" xfId="8" applyFill="1" applyBorder="1"/>
    <xf numFmtId="1" fontId="18" fillId="0" borderId="12" xfId="8" applyNumberFormat="1" applyBorder="1"/>
    <xf numFmtId="170" fontId="18" fillId="16" borderId="3" xfId="8" applyNumberFormat="1" applyFill="1" applyBorder="1"/>
    <xf numFmtId="170" fontId="18" fillId="16" borderId="12" xfId="8" applyNumberFormat="1" applyFill="1" applyBorder="1"/>
    <xf numFmtId="170" fontId="18" fillId="16" borderId="1" xfId="8" applyNumberFormat="1" applyFill="1" applyBorder="1"/>
    <xf numFmtId="170" fontId="18" fillId="16" borderId="10" xfId="8" applyNumberFormat="1" applyFill="1" applyBorder="1"/>
    <xf numFmtId="167" fontId="18" fillId="0" borderId="4" xfId="9" applyNumberFormat="1" applyBorder="1"/>
    <xf numFmtId="167" fontId="18" fillId="0" borderId="3" xfId="9" applyNumberFormat="1" applyBorder="1"/>
    <xf numFmtId="167" fontId="18" fillId="0" borderId="13" xfId="9" applyNumberFormat="1" applyBorder="1"/>
    <xf numFmtId="167" fontId="18" fillId="0" borderId="5" xfId="9" applyNumberFormat="1" applyBorder="1"/>
    <xf numFmtId="167" fontId="18" fillId="0" borderId="12" xfId="9" applyNumberFormat="1" applyBorder="1"/>
    <xf numFmtId="167" fontId="18" fillId="0" borderId="0" xfId="9" applyNumberFormat="1" applyBorder="1"/>
    <xf numFmtId="167" fontId="18" fillId="0" borderId="0" xfId="9" applyNumberFormat="1" applyFill="1" applyBorder="1"/>
    <xf numFmtId="0" fontId="13" fillId="0" borderId="4" xfId="8" applyFont="1" applyBorder="1" applyAlignment="1">
      <alignment textRotation="90" wrapText="1"/>
    </xf>
    <xf numFmtId="0" fontId="13" fillId="0" borderId="3" xfId="8" applyFont="1" applyBorder="1" applyAlignment="1">
      <alignment textRotation="90" wrapText="1"/>
    </xf>
    <xf numFmtId="0" fontId="13" fillId="0" borderId="13" xfId="8" applyFont="1" applyBorder="1" applyAlignment="1">
      <alignment textRotation="90" wrapText="1"/>
    </xf>
    <xf numFmtId="167" fontId="18" fillId="0" borderId="14" xfId="9" applyNumberFormat="1" applyBorder="1"/>
    <xf numFmtId="167" fontId="18" fillId="0" borderId="11" xfId="9" applyNumberFormat="1" applyBorder="1"/>
    <xf numFmtId="0" fontId="13" fillId="0" borderId="15" xfId="8" applyFont="1" applyBorder="1" applyAlignment="1">
      <alignment textRotation="90" wrapText="1"/>
    </xf>
    <xf numFmtId="170" fontId="18" fillId="0" borderId="11" xfId="8" applyNumberFormat="1" applyBorder="1" applyAlignment="1">
      <alignment horizontal="right"/>
    </xf>
    <xf numFmtId="170" fontId="18" fillId="0" borderId="15" xfId="8" applyNumberFormat="1" applyBorder="1"/>
    <xf numFmtId="170" fontId="18" fillId="0" borderId="12" xfId="8" applyNumberFormat="1" applyBorder="1" applyAlignment="1">
      <alignment horizontal="right" wrapText="1"/>
    </xf>
    <xf numFmtId="170" fontId="13" fillId="0" borderId="6" xfId="8" applyNumberFormat="1" applyFont="1" applyBorder="1" applyAlignment="1">
      <alignment horizontal="right" wrapText="1"/>
    </xf>
    <xf numFmtId="3" fontId="18" fillId="0" borderId="4" xfId="10" applyNumberFormat="1" applyFont="1" applyBorder="1"/>
    <xf numFmtId="170" fontId="18" fillId="0" borderId="11" xfId="10" applyNumberFormat="1" applyFont="1" applyFill="1" applyBorder="1"/>
    <xf numFmtId="170" fontId="18" fillId="0" borderId="1" xfId="8" applyNumberFormat="1" applyBorder="1" applyAlignment="1">
      <alignment horizontal="right" wrapText="1"/>
    </xf>
    <xf numFmtId="0" fontId="13" fillId="0" borderId="7" xfId="8" applyFont="1" applyBorder="1"/>
    <xf numFmtId="0" fontId="13" fillId="0" borderId="6" xfId="8" applyFont="1" applyBorder="1"/>
    <xf numFmtId="170" fontId="13" fillId="0" borderId="12" xfId="8" applyNumberFormat="1" applyFont="1" applyBorder="1" applyAlignment="1">
      <alignment horizontal="right" wrapText="1"/>
    </xf>
    <xf numFmtId="0" fontId="13" fillId="0" borderId="15" xfId="8" applyFont="1" applyBorder="1" applyAlignment="1">
      <alignment horizontal="right" textRotation="90" wrapText="1"/>
    </xf>
    <xf numFmtId="170" fontId="18" fillId="0" borderId="10" xfId="8" applyNumberFormat="1" applyBorder="1" applyAlignment="1">
      <alignment horizontal="right" wrapText="1"/>
    </xf>
    <xf numFmtId="3" fontId="18" fillId="16" borderId="4" xfId="10" applyNumberFormat="1" applyFont="1" applyFill="1" applyBorder="1"/>
    <xf numFmtId="170" fontId="18" fillId="16" borderId="12" xfId="10" applyNumberFormat="1" applyFont="1" applyFill="1" applyBorder="1"/>
    <xf numFmtId="0" fontId="13" fillId="0" borderId="9" xfId="8" applyFont="1" applyBorder="1" applyAlignment="1">
      <alignment wrapText="1"/>
    </xf>
    <xf numFmtId="0" fontId="13" fillId="0" borderId="0" xfId="8" applyFont="1" applyAlignment="1">
      <alignment horizontal="right" textRotation="90" wrapText="1"/>
    </xf>
    <xf numFmtId="167" fontId="18" fillId="0" borderId="0" xfId="9" applyNumberFormat="1" applyFont="1" applyFill="1" applyBorder="1" applyAlignment="1"/>
    <xf numFmtId="166" fontId="18" fillId="0" borderId="0" xfId="9" applyNumberFormat="1" applyFont="1" applyFill="1" applyBorder="1" applyAlignment="1"/>
    <xf numFmtId="166" fontId="18" fillId="0" borderId="4" xfId="8" applyNumberFormat="1" applyBorder="1" applyAlignment="1">
      <alignment horizontal="right"/>
    </xf>
    <xf numFmtId="166" fontId="18" fillId="0" borderId="13" xfId="8" applyNumberFormat="1" applyBorder="1" applyAlignment="1">
      <alignment horizontal="right"/>
    </xf>
    <xf numFmtId="166" fontId="18" fillId="0" borderId="13" xfId="9" applyNumberFormat="1" applyFont="1" applyFill="1" applyBorder="1" applyAlignment="1"/>
    <xf numFmtId="0" fontId="18" fillId="0" borderId="0" xfId="8" applyAlignment="1">
      <alignment horizontal="center"/>
    </xf>
    <xf numFmtId="0" fontId="13" fillId="0" borderId="17" xfId="8" applyFont="1" applyBorder="1"/>
    <xf numFmtId="167" fontId="18" fillId="0" borderId="10" xfId="9" applyNumberFormat="1" applyFont="1" applyFill="1" applyBorder="1"/>
    <xf numFmtId="167" fontId="18" fillId="0" borderId="1" xfId="9" applyNumberFormat="1" applyFont="1" applyFill="1" applyBorder="1"/>
    <xf numFmtId="0" fontId="18" fillId="0" borderId="0" xfId="8" applyAlignment="1">
      <alignment horizontal="right" wrapText="1"/>
    </xf>
    <xf numFmtId="170" fontId="13" fillId="0" borderId="2" xfId="8" applyNumberFormat="1" applyFont="1" applyBorder="1"/>
    <xf numFmtId="170" fontId="18" fillId="0" borderId="3" xfId="10" applyNumberFormat="1" applyFont="1" applyBorder="1"/>
    <xf numFmtId="170" fontId="18" fillId="0" borderId="13" xfId="10" applyNumberFormat="1" applyFont="1" applyBorder="1"/>
    <xf numFmtId="167" fontId="18" fillId="0" borderId="3" xfId="9" applyNumberFormat="1" applyFont="1" applyBorder="1"/>
    <xf numFmtId="166" fontId="18" fillId="0" borderId="4" xfId="9" applyNumberFormat="1" applyFont="1" applyFill="1" applyBorder="1"/>
    <xf numFmtId="166" fontId="18" fillId="0" borderId="3" xfId="9" applyNumberFormat="1" applyFont="1" applyFill="1" applyBorder="1"/>
    <xf numFmtId="167" fontId="13" fillId="0" borderId="0" xfId="9" applyNumberFormat="1" applyFont="1" applyFill="1" applyBorder="1"/>
    <xf numFmtId="170" fontId="13" fillId="0" borderId="15" xfId="8" applyNumberFormat="1" applyFont="1" applyBorder="1" applyAlignment="1">
      <alignment wrapText="1"/>
    </xf>
    <xf numFmtId="0" fontId="13" fillId="0" borderId="0" xfId="8" quotePrefix="1" applyFont="1" applyAlignment="1">
      <alignment horizontal="left"/>
    </xf>
    <xf numFmtId="171" fontId="18" fillId="0" borderId="0" xfId="8" applyNumberFormat="1"/>
    <xf numFmtId="2" fontId="18" fillId="2" borderId="2" xfId="8" applyNumberFormat="1" applyFill="1" applyBorder="1"/>
    <xf numFmtId="2" fontId="18" fillId="2" borderId="10" xfId="8" applyNumberFormat="1" applyFill="1" applyBorder="1"/>
    <xf numFmtId="0" fontId="0" fillId="0" borderId="8" xfId="11" applyFont="1" applyBorder="1" applyAlignment="1">
      <alignment horizontal="right" wrapText="1"/>
    </xf>
    <xf numFmtId="0" fontId="0" fillId="0" borderId="7" xfId="11" applyFont="1" applyBorder="1" applyAlignment="1">
      <alignment horizontal="right" wrapText="1"/>
    </xf>
    <xf numFmtId="0" fontId="0" fillId="0" borderId="6" xfId="11" applyFont="1" applyBorder="1" applyAlignment="1">
      <alignment horizontal="right" wrapText="1"/>
    </xf>
    <xf numFmtId="0" fontId="0" fillId="0" borderId="6" xfId="11" applyFont="1" applyBorder="1"/>
    <xf numFmtId="167" fontId="18" fillId="16" borderId="0" xfId="8" applyNumberFormat="1" applyFill="1"/>
    <xf numFmtId="0" fontId="13" fillId="0" borderId="9" xfId="8" applyFont="1" applyBorder="1" applyAlignment="1">
      <alignment horizontal="left"/>
    </xf>
    <xf numFmtId="167" fontId="18" fillId="16" borderId="12" xfId="8" applyNumberFormat="1" applyFill="1" applyBorder="1"/>
    <xf numFmtId="167" fontId="18" fillId="0" borderId="1" xfId="8" applyNumberFormat="1" applyBorder="1"/>
    <xf numFmtId="177" fontId="18" fillId="2" borderId="0" xfId="8" applyNumberFormat="1" applyFill="1"/>
    <xf numFmtId="3" fontId="18" fillId="0" borderId="3" xfId="8" applyNumberFormat="1" applyBorder="1" applyAlignment="1">
      <alignment horizontal="right"/>
    </xf>
    <xf numFmtId="0" fontId="18" fillId="16" borderId="4" xfId="8" applyFill="1" applyBorder="1"/>
    <xf numFmtId="0" fontId="18" fillId="16" borderId="13" xfId="8" applyFill="1" applyBorder="1"/>
    <xf numFmtId="0" fontId="18" fillId="16" borderId="3" xfId="8" applyFill="1" applyBorder="1"/>
    <xf numFmtId="0" fontId="31" fillId="20" borderId="0" xfId="8" applyFont="1" applyFill="1"/>
    <xf numFmtId="0" fontId="18" fillId="16" borderId="4" xfId="8" applyFill="1" applyBorder="1" applyAlignment="1">
      <alignment horizontal="center"/>
    </xf>
    <xf numFmtId="0" fontId="18" fillId="16" borderId="13" xfId="8" applyFill="1" applyBorder="1" applyAlignment="1">
      <alignment horizontal="center"/>
    </xf>
    <xf numFmtId="0" fontId="18" fillId="16" borderId="5" xfId="8" applyFill="1" applyBorder="1" applyAlignment="1">
      <alignment horizontal="center"/>
    </xf>
    <xf numFmtId="0" fontId="18" fillId="16" borderId="0" xfId="8" applyFill="1" applyAlignment="1">
      <alignment horizontal="center"/>
    </xf>
    <xf numFmtId="0" fontId="18" fillId="20" borderId="5" xfId="8" applyFill="1" applyBorder="1"/>
    <xf numFmtId="3" fontId="18" fillId="20" borderId="0" xfId="8" applyNumberFormat="1" applyFill="1"/>
    <xf numFmtId="0" fontId="18" fillId="20" borderId="0" xfId="8" applyFill="1" applyAlignment="1">
      <alignment horizontal="right"/>
    </xf>
    <xf numFmtId="0" fontId="13" fillId="20" borderId="0" xfId="8" applyFont="1" applyFill="1"/>
    <xf numFmtId="1" fontId="18" fillId="2" borderId="4" xfId="8" applyNumberFormat="1" applyFill="1" applyBorder="1"/>
    <xf numFmtId="1" fontId="18" fillId="2" borderId="13" xfId="8" applyNumberFormat="1" applyFill="1" applyBorder="1"/>
    <xf numFmtId="1" fontId="18" fillId="2" borderId="3" xfId="8" applyNumberFormat="1" applyFill="1" applyBorder="1"/>
    <xf numFmtId="3" fontId="43" fillId="0" borderId="4" xfId="8" applyNumberFormat="1" applyFont="1" applyBorder="1"/>
    <xf numFmtId="3" fontId="43" fillId="0" borderId="13" xfId="8" applyNumberFormat="1" applyFont="1" applyBorder="1"/>
    <xf numFmtId="1" fontId="18" fillId="2" borderId="5" xfId="8" applyNumberFormat="1" applyFill="1" applyBorder="1"/>
    <xf numFmtId="1" fontId="18" fillId="2" borderId="0" xfId="8" applyNumberFormat="1" applyFill="1"/>
    <xf numFmtId="1" fontId="18" fillId="2" borderId="12" xfId="8" applyNumberFormat="1" applyFill="1" applyBorder="1"/>
    <xf numFmtId="3" fontId="43" fillId="0" borderId="5" xfId="8" applyNumberFormat="1" applyFont="1" applyBorder="1"/>
    <xf numFmtId="3" fontId="43" fillId="0" borderId="0" xfId="8" applyNumberFormat="1" applyFont="1"/>
    <xf numFmtId="1" fontId="18" fillId="0" borderId="0" xfId="9" applyNumberFormat="1" applyFont="1" applyFill="1" applyBorder="1"/>
    <xf numFmtId="3" fontId="43" fillId="0" borderId="2" xfId="8" applyNumberFormat="1" applyFont="1" applyBorder="1"/>
    <xf numFmtId="1" fontId="18" fillId="0" borderId="10" xfId="9" applyNumberFormat="1" applyFont="1" applyFill="1" applyBorder="1"/>
    <xf numFmtId="3" fontId="43" fillId="21" borderId="4" xfId="8" applyNumberFormat="1" applyFont="1" applyFill="1" applyBorder="1"/>
    <xf numFmtId="3" fontId="43" fillId="21" borderId="5" xfId="8" applyNumberFormat="1" applyFont="1" applyFill="1" applyBorder="1"/>
    <xf numFmtId="0" fontId="18" fillId="16" borderId="15" xfId="8" applyFill="1" applyBorder="1" applyAlignment="1">
      <alignment horizontal="center"/>
    </xf>
    <xf numFmtId="167" fontId="0" fillId="0" borderId="13" xfId="9" applyNumberFormat="1" applyFont="1" applyFill="1" applyBorder="1"/>
    <xf numFmtId="167" fontId="0" fillId="0" borderId="3" xfId="9" applyNumberFormat="1" applyFont="1" applyFill="1" applyBorder="1"/>
    <xf numFmtId="167" fontId="0" fillId="0" borderId="12" xfId="9" applyNumberFormat="1" applyFont="1" applyFill="1" applyBorder="1"/>
    <xf numFmtId="167" fontId="0" fillId="16" borderId="5" xfId="9" applyNumberFormat="1" applyFont="1" applyFill="1" applyBorder="1" applyAlignment="1">
      <alignment horizontal="right" wrapText="1"/>
    </xf>
    <xf numFmtId="167" fontId="0" fillId="16" borderId="0" xfId="9" applyNumberFormat="1" applyFont="1" applyFill="1" applyBorder="1" applyAlignment="1">
      <alignment horizontal="right" wrapText="1"/>
    </xf>
    <xf numFmtId="167" fontId="18" fillId="22" borderId="0" xfId="8" applyNumberFormat="1" applyFill="1"/>
    <xf numFmtId="167" fontId="18" fillId="22" borderId="12" xfId="8" applyNumberFormat="1" applyFill="1" applyBorder="1"/>
    <xf numFmtId="167" fontId="0" fillId="16" borderId="12" xfId="9" applyNumberFormat="1" applyFont="1" applyFill="1" applyBorder="1"/>
    <xf numFmtId="167" fontId="0" fillId="2" borderId="4" xfId="9" applyNumberFormat="1" applyFont="1" applyFill="1" applyBorder="1"/>
    <xf numFmtId="167" fontId="0" fillId="2" borderId="13" xfId="9" applyNumberFormat="1" applyFont="1" applyFill="1" applyBorder="1"/>
    <xf numFmtId="167" fontId="0" fillId="2" borderId="3" xfId="9" applyNumberFormat="1" applyFont="1" applyFill="1" applyBorder="1"/>
    <xf numFmtId="167" fontId="0" fillId="2" borderId="5" xfId="9" applyNumberFormat="1" applyFont="1" applyFill="1" applyBorder="1"/>
    <xf numFmtId="167" fontId="0" fillId="2" borderId="0" xfId="9" applyNumberFormat="1" applyFont="1" applyFill="1" applyBorder="1"/>
    <xf numFmtId="167" fontId="0" fillId="2" borderId="12" xfId="9" applyNumberFormat="1" applyFont="1" applyFill="1" applyBorder="1"/>
    <xf numFmtId="0" fontId="18" fillId="0" borderId="5" xfId="8" applyBorder="1" applyAlignment="1">
      <alignment horizontal="right" wrapText="1"/>
    </xf>
    <xf numFmtId="3" fontId="18" fillId="2" borderId="14" xfId="8" applyNumberFormat="1" applyFill="1" applyBorder="1" applyAlignment="1">
      <alignment horizontal="center"/>
    </xf>
    <xf numFmtId="3" fontId="18" fillId="2" borderId="11" xfId="8" applyNumberFormat="1" applyFill="1" applyBorder="1" applyAlignment="1">
      <alignment horizontal="center"/>
    </xf>
    <xf numFmtId="0" fontId="18" fillId="2" borderId="14" xfId="8" applyFill="1" applyBorder="1" applyAlignment="1">
      <alignment horizontal="center"/>
    </xf>
    <xf numFmtId="0" fontId="18" fillId="2" borderId="9" xfId="8" applyFill="1" applyBorder="1" applyAlignment="1">
      <alignment horizontal="center"/>
    </xf>
    <xf numFmtId="165" fontId="18" fillId="0" borderId="4" xfId="8" applyNumberFormat="1" applyBorder="1"/>
    <xf numFmtId="165" fontId="18" fillId="0" borderId="5" xfId="8" applyNumberFormat="1" applyBorder="1"/>
    <xf numFmtId="165" fontId="18" fillId="16" borderId="4" xfId="8" applyNumberFormat="1" applyFill="1" applyBorder="1"/>
    <xf numFmtId="165" fontId="18" fillId="16" borderId="13" xfId="8" applyNumberFormat="1" applyFill="1" applyBorder="1"/>
    <xf numFmtId="165" fontId="18" fillId="16" borderId="5" xfId="8" applyNumberFormat="1" applyFill="1" applyBorder="1"/>
    <xf numFmtId="165" fontId="18" fillId="16" borderId="0" xfId="8" applyNumberFormat="1" applyFill="1"/>
    <xf numFmtId="165" fontId="18" fillId="22" borderId="5" xfId="8" applyNumberFormat="1" applyFill="1" applyBorder="1"/>
    <xf numFmtId="165" fontId="18" fillId="22" borderId="0" xfId="8" applyNumberFormat="1" applyFill="1"/>
    <xf numFmtId="168" fontId="18" fillId="0" borderId="2" xfId="8" applyNumberFormat="1" applyBorder="1"/>
    <xf numFmtId="168" fontId="18" fillId="0" borderId="10" xfId="8" applyNumberFormat="1" applyBorder="1"/>
    <xf numFmtId="0" fontId="18" fillId="16" borderId="4" xfId="8" applyFill="1" applyBorder="1" applyAlignment="1">
      <alignment horizontal="right" wrapText="1"/>
    </xf>
    <xf numFmtId="0" fontId="18" fillId="16" borderId="13" xfId="8" applyFill="1" applyBorder="1" applyAlignment="1">
      <alignment horizontal="right" wrapText="1"/>
    </xf>
    <xf numFmtId="0" fontId="18" fillId="16" borderId="5" xfId="8" applyFill="1" applyBorder="1" applyAlignment="1">
      <alignment horizontal="right" wrapText="1"/>
    </xf>
    <xf numFmtId="0" fontId="18" fillId="16" borderId="0" xfId="8" applyFill="1" applyAlignment="1">
      <alignment horizontal="right" wrapText="1"/>
    </xf>
    <xf numFmtId="0" fontId="18" fillId="16" borderId="2" xfId="8" applyFill="1" applyBorder="1" applyAlignment="1">
      <alignment horizontal="right" wrapText="1"/>
    </xf>
    <xf numFmtId="0" fontId="18" fillId="16" borderId="10" xfId="8" applyFill="1" applyBorder="1" applyAlignment="1">
      <alignment horizontal="right" wrapText="1"/>
    </xf>
    <xf numFmtId="168" fontId="18" fillId="22" borderId="10" xfId="8" applyNumberFormat="1" applyFill="1" applyBorder="1"/>
    <xf numFmtId="172" fontId="0" fillId="0" borderId="8" xfId="10" applyNumberFormat="1" applyFont="1" applyFill="1" applyBorder="1"/>
    <xf numFmtId="172" fontId="0" fillId="0" borderId="7" xfId="10" applyNumberFormat="1" applyFont="1" applyFill="1" applyBorder="1"/>
    <xf numFmtId="172" fontId="0" fillId="0" borderId="6" xfId="10" applyNumberFormat="1" applyFont="1" applyFill="1" applyBorder="1"/>
    <xf numFmtId="168" fontId="18" fillId="16" borderId="2" xfId="8" applyNumberFormat="1" applyFill="1" applyBorder="1"/>
    <xf numFmtId="168" fontId="18" fillId="16" borderId="10" xfId="8" applyNumberFormat="1" applyFill="1" applyBorder="1"/>
    <xf numFmtId="3" fontId="18" fillId="22" borderId="0" xfId="8" applyNumberFormat="1" applyFill="1"/>
    <xf numFmtId="3" fontId="18" fillId="2" borderId="4" xfId="8" applyNumberFormat="1" applyFill="1" applyBorder="1"/>
    <xf numFmtId="3" fontId="18" fillId="2" borderId="13" xfId="8" applyNumberFormat="1" applyFill="1" applyBorder="1"/>
    <xf numFmtId="3" fontId="43" fillId="21" borderId="2" xfId="8" applyNumberFormat="1" applyFont="1" applyFill="1" applyBorder="1"/>
    <xf numFmtId="3" fontId="43" fillId="21" borderId="0" xfId="8" applyNumberFormat="1" applyFont="1" applyFill="1"/>
    <xf numFmtId="0" fontId="28" fillId="20" borderId="0" xfId="8" applyFont="1" applyFill="1"/>
    <xf numFmtId="10" fontId="18" fillId="0" borderId="12" xfId="9" applyNumberFormat="1" applyFont="1" applyFill="1" applyBorder="1"/>
    <xf numFmtId="166" fontId="13" fillId="0" borderId="2" xfId="8" applyNumberFormat="1" applyFont="1" applyBorder="1" applyAlignment="1">
      <alignment horizontal="right" wrapText="1"/>
    </xf>
    <xf numFmtId="166" fontId="13" fillId="0" borderId="10" xfId="8" applyNumberFormat="1" applyFont="1" applyBorder="1" applyAlignment="1">
      <alignment horizontal="right" wrapText="1"/>
    </xf>
    <xf numFmtId="166" fontId="13" fillId="0" borderId="1" xfId="8" applyNumberFormat="1" applyFont="1" applyBorder="1" applyAlignment="1">
      <alignment horizontal="right" wrapText="1"/>
    </xf>
    <xf numFmtId="166" fontId="18" fillId="0" borderId="2" xfId="8" applyNumberFormat="1" applyBorder="1"/>
    <xf numFmtId="172" fontId="18" fillId="0" borderId="4" xfId="8" applyNumberFormat="1" applyBorder="1"/>
    <xf numFmtId="172" fontId="18" fillId="0" borderId="13" xfId="8" applyNumberFormat="1" applyBorder="1"/>
    <xf numFmtId="0" fontId="18" fillId="0" borderId="0" xfId="8" applyAlignment="1">
      <alignment horizontal="centerContinuous"/>
    </xf>
    <xf numFmtId="172" fontId="18" fillId="0" borderId="4" xfId="10" applyNumberFormat="1" applyFont="1" applyFill="1" applyBorder="1"/>
    <xf numFmtId="172" fontId="18" fillId="0" borderId="13" xfId="10" applyNumberFormat="1" applyFont="1" applyFill="1" applyBorder="1"/>
    <xf numFmtId="172" fontId="18" fillId="0" borderId="3" xfId="10" applyNumberFormat="1" applyFont="1" applyFill="1" applyBorder="1"/>
    <xf numFmtId="0" fontId="18" fillId="0" borderId="2" xfId="12" applyBorder="1" applyAlignment="1">
      <alignment horizontal="right" wrapText="1"/>
    </xf>
    <xf numFmtId="0" fontId="18" fillId="0" borderId="10" xfId="12" applyBorder="1" applyAlignment="1">
      <alignment horizontal="right" wrapText="1"/>
    </xf>
    <xf numFmtId="0" fontId="13" fillId="0" borderId="1" xfId="13" applyFont="1" applyBorder="1"/>
    <xf numFmtId="167" fontId="18" fillId="0" borderId="4" xfId="9" applyNumberFormat="1" applyFont="1" applyFill="1" applyBorder="1" applyAlignment="1">
      <alignment horizontal="right"/>
    </xf>
    <xf numFmtId="167" fontId="18" fillId="0" borderId="13" xfId="9" applyNumberFormat="1" applyFont="1" applyFill="1" applyBorder="1" applyAlignment="1">
      <alignment horizontal="right"/>
    </xf>
    <xf numFmtId="10" fontId="18" fillId="0" borderId="5" xfId="9" applyNumberFormat="1" applyFont="1" applyFill="1" applyBorder="1" applyAlignment="1">
      <alignment horizontal="right"/>
    </xf>
    <xf numFmtId="10" fontId="18" fillId="0" borderId="0" xfId="9" applyNumberFormat="1" applyFont="1" applyFill="1" applyBorder="1" applyAlignment="1">
      <alignment horizontal="right"/>
    </xf>
    <xf numFmtId="177" fontId="18" fillId="0" borderId="5" xfId="9" applyNumberFormat="1" applyFont="1" applyFill="1" applyBorder="1" applyAlignment="1">
      <alignment horizontal="right"/>
    </xf>
    <xf numFmtId="177" fontId="18" fillId="0" borderId="0" xfId="9" applyNumberFormat="1" applyFont="1" applyFill="1" applyBorder="1" applyAlignment="1">
      <alignment horizontal="right"/>
    </xf>
    <xf numFmtId="178" fontId="18" fillId="0" borderId="0" xfId="9" applyNumberFormat="1" applyFont="1" applyFill="1" applyBorder="1" applyAlignment="1">
      <alignment horizontal="right"/>
    </xf>
    <xf numFmtId="167" fontId="18" fillId="0" borderId="0" xfId="9" applyNumberFormat="1" applyFont="1" applyFill="1" applyBorder="1" applyAlignment="1">
      <alignment horizontal="right"/>
    </xf>
    <xf numFmtId="167" fontId="18" fillId="0" borderId="5" xfId="9" applyNumberFormat="1" applyFont="1" applyFill="1" applyBorder="1" applyAlignment="1">
      <alignment horizontal="right"/>
    </xf>
    <xf numFmtId="167" fontId="44" fillId="0" borderId="13" xfId="9" applyNumberFormat="1" applyFont="1" applyFill="1" applyBorder="1"/>
    <xf numFmtId="167" fontId="44" fillId="0" borderId="3" xfId="9" applyNumberFormat="1" applyFont="1" applyFill="1" applyBorder="1"/>
    <xf numFmtId="167" fontId="44" fillId="0" borderId="0" xfId="9" applyNumberFormat="1" applyFont="1" applyFill="1" applyBorder="1"/>
    <xf numFmtId="167" fontId="44" fillId="0" borderId="12" xfId="9" applyNumberFormat="1" applyFont="1" applyFill="1" applyBorder="1"/>
    <xf numFmtId="167" fontId="44" fillId="0" borderId="5" xfId="9" applyNumberFormat="1" applyFont="1" applyFill="1" applyBorder="1"/>
    <xf numFmtId="2" fontId="18" fillId="2" borderId="0" xfId="8" applyNumberFormat="1" applyFill="1"/>
    <xf numFmtId="177" fontId="18" fillId="2" borderId="5" xfId="8" applyNumberFormat="1" applyFill="1" applyBorder="1"/>
    <xf numFmtId="1" fontId="18" fillId="20" borderId="0" xfId="8" applyNumberFormat="1" applyFill="1"/>
    <xf numFmtId="0" fontId="18" fillId="0" borderId="6" xfId="11" applyBorder="1" applyAlignment="1">
      <alignment horizontal="right" wrapText="1"/>
    </xf>
    <xf numFmtId="167" fontId="18" fillId="0" borderId="4" xfId="9" applyNumberFormat="1" applyFill="1" applyBorder="1"/>
    <xf numFmtId="167" fontId="18" fillId="0" borderId="13" xfId="9" applyNumberFormat="1" applyFill="1" applyBorder="1"/>
    <xf numFmtId="167" fontId="18" fillId="0" borderId="5" xfId="9" applyNumberFormat="1" applyFill="1" applyBorder="1"/>
    <xf numFmtId="167" fontId="18" fillId="16" borderId="5" xfId="9" applyNumberFormat="1" applyFill="1" applyBorder="1"/>
    <xf numFmtId="167" fontId="18" fillId="16" borderId="0" xfId="9" applyNumberFormat="1" applyFill="1" applyBorder="1"/>
    <xf numFmtId="167" fontId="18" fillId="2" borderId="4" xfId="9" applyNumberFormat="1" applyFont="1" applyFill="1" applyBorder="1"/>
    <xf numFmtId="167" fontId="18" fillId="2" borderId="13" xfId="9" applyNumberFormat="1" applyFont="1" applyFill="1" applyBorder="1"/>
    <xf numFmtId="167" fontId="18" fillId="2" borderId="3" xfId="9" applyNumberFormat="1" applyFont="1" applyFill="1" applyBorder="1"/>
    <xf numFmtId="167" fontId="18" fillId="21" borderId="5" xfId="9" applyNumberFormat="1" applyFont="1" applyFill="1" applyBorder="1"/>
    <xf numFmtId="167" fontId="18" fillId="21" borderId="0" xfId="9" applyNumberFormat="1" applyFont="1" applyFill="1" applyBorder="1"/>
    <xf numFmtId="167" fontId="18" fillId="2" borderId="0" xfId="9" applyNumberFormat="1" applyFill="1" applyBorder="1"/>
    <xf numFmtId="167" fontId="18" fillId="2" borderId="5" xfId="9" applyNumberFormat="1" applyFont="1" applyFill="1" applyBorder="1"/>
    <xf numFmtId="167" fontId="18" fillId="2" borderId="0" xfId="9" applyNumberFormat="1" applyFont="1" applyFill="1" applyBorder="1"/>
    <xf numFmtId="167" fontId="18" fillId="2" borderId="12" xfId="9" applyNumberFormat="1" applyFont="1" applyFill="1" applyBorder="1"/>
    <xf numFmtId="3" fontId="45" fillId="21" borderId="14" xfId="8" applyNumberFormat="1" applyFont="1" applyFill="1" applyBorder="1" applyAlignment="1">
      <alignment horizontal="center"/>
    </xf>
    <xf numFmtId="3" fontId="45" fillId="21" borderId="11" xfId="8" applyNumberFormat="1" applyFont="1" applyFill="1" applyBorder="1" applyAlignment="1">
      <alignment horizontal="center"/>
    </xf>
    <xf numFmtId="1" fontId="45" fillId="21" borderId="14" xfId="8" applyNumberFormat="1" applyFont="1" applyFill="1" applyBorder="1" applyAlignment="1">
      <alignment horizontal="center"/>
    </xf>
    <xf numFmtId="1" fontId="45" fillId="21" borderId="9" xfId="8" applyNumberFormat="1" applyFont="1" applyFill="1" applyBorder="1" applyAlignment="1">
      <alignment horizontal="center"/>
    </xf>
    <xf numFmtId="3" fontId="45" fillId="21" borderId="2" xfId="8" applyNumberFormat="1" applyFont="1" applyFill="1" applyBorder="1"/>
    <xf numFmtId="3" fontId="45" fillId="21" borderId="0" xfId="8" applyNumberFormat="1" applyFont="1" applyFill="1"/>
    <xf numFmtId="3" fontId="45" fillId="0" borderId="0" xfId="8" applyNumberFormat="1" applyFont="1"/>
    <xf numFmtId="0" fontId="18" fillId="0" borderId="0" xfId="8" applyAlignment="1">
      <alignment wrapText="1"/>
    </xf>
    <xf numFmtId="170" fontId="18" fillId="0" borderId="0" xfId="8" applyNumberFormat="1" applyAlignment="1">
      <alignment wrapText="1"/>
    </xf>
    <xf numFmtId="3" fontId="18" fillId="0" borderId="0" xfId="8" applyNumberFormat="1" applyAlignment="1">
      <alignment wrapText="1"/>
    </xf>
    <xf numFmtId="170" fontId="13" fillId="0" borderId="2" xfId="8" applyNumberFormat="1" applyFont="1" applyBorder="1" applyAlignment="1">
      <alignment horizontal="right"/>
    </xf>
    <xf numFmtId="170" fontId="13" fillId="0" borderId="10" xfId="8" applyNumberFormat="1" applyFont="1" applyBorder="1" applyAlignment="1">
      <alignment horizontal="right"/>
    </xf>
    <xf numFmtId="170" fontId="18" fillId="0" borderId="4" xfId="8" applyNumberFormat="1" applyBorder="1" applyAlignment="1">
      <alignment wrapText="1"/>
    </xf>
    <xf numFmtId="170" fontId="18" fillId="0" borderId="5" xfId="8" applyNumberFormat="1" applyBorder="1" applyAlignment="1">
      <alignment wrapText="1"/>
    </xf>
    <xf numFmtId="170" fontId="18" fillId="0" borderId="2" xfId="8" applyNumberFormat="1" applyBorder="1" applyAlignment="1">
      <alignment wrapText="1"/>
    </xf>
    <xf numFmtId="3" fontId="18" fillId="0" borderId="5" xfId="10" applyNumberFormat="1" applyFont="1" applyFill="1" applyBorder="1" applyAlignment="1">
      <alignment wrapText="1"/>
    </xf>
    <xf numFmtId="170" fontId="18" fillId="0" borderId="8" xfId="8" applyNumberFormat="1" applyBorder="1" applyAlignment="1">
      <alignment wrapText="1"/>
    </xf>
    <xf numFmtId="170" fontId="18" fillId="0" borderId="7" xfId="8" applyNumberFormat="1" applyBorder="1" applyAlignment="1">
      <alignment horizontal="right"/>
    </xf>
    <xf numFmtId="170" fontId="18" fillId="0" borderId="8" xfId="8" applyNumberFormat="1" applyBorder="1" applyAlignment="1">
      <alignment horizontal="right"/>
    </xf>
    <xf numFmtId="170" fontId="18" fillId="0" borderId="6" xfId="8" applyNumberFormat="1" applyBorder="1" applyAlignment="1">
      <alignment horizontal="right"/>
    </xf>
    <xf numFmtId="167" fontId="18" fillId="0" borderId="14" xfId="9" applyNumberFormat="1" applyFont="1" applyFill="1" applyBorder="1"/>
    <xf numFmtId="167" fontId="18" fillId="0" borderId="9" xfId="9" applyNumberFormat="1" applyFont="1" applyFill="1" applyBorder="1"/>
    <xf numFmtId="167" fontId="18" fillId="16" borderId="12" xfId="9" applyNumberFormat="1" applyFont="1" applyFill="1" applyBorder="1"/>
    <xf numFmtId="166" fontId="18" fillId="16" borderId="12" xfId="8" applyNumberFormat="1" applyFill="1" applyBorder="1"/>
    <xf numFmtId="167" fontId="18" fillId="16" borderId="13" xfId="9" applyNumberFormat="1" applyFont="1" applyFill="1" applyBorder="1"/>
    <xf numFmtId="167" fontId="18" fillId="0" borderId="2" xfId="9" applyNumberFormat="1" applyFont="1" applyBorder="1" applyAlignment="1">
      <alignment horizontal="right" wrapText="1"/>
    </xf>
    <xf numFmtId="167" fontId="18" fillId="0" borderId="10" xfId="9" applyNumberFormat="1" applyFont="1" applyBorder="1" applyAlignment="1">
      <alignment horizontal="right" wrapText="1"/>
    </xf>
    <xf numFmtId="167" fontId="18" fillId="0" borderId="1" xfId="9" applyNumberFormat="1" applyFont="1" applyBorder="1"/>
    <xf numFmtId="0" fontId="28" fillId="0" borderId="0" xfId="0" applyFont="1"/>
    <xf numFmtId="0" fontId="13" fillId="0" borderId="0" xfId="0" applyFont="1"/>
    <xf numFmtId="0" fontId="31" fillId="0" borderId="0" xfId="0" applyFont="1"/>
    <xf numFmtId="0" fontId="0" fillId="0" borderId="1" xfId="0" applyBorder="1" applyAlignment="1">
      <alignment horizontal="right"/>
    </xf>
    <xf numFmtId="167" fontId="0" fillId="0" borderId="2" xfId="9" applyNumberFormat="1" applyFont="1" applyFill="1" applyBorder="1" applyAlignment="1"/>
    <xf numFmtId="0" fontId="0" fillId="0" borderId="12" xfId="0" applyBorder="1" applyAlignment="1">
      <alignment horizontal="right"/>
    </xf>
    <xf numFmtId="167" fontId="0" fillId="0" borderId="5" xfId="9" applyNumberFormat="1" applyFont="1" applyFill="1" applyBorder="1" applyAlignment="1"/>
    <xf numFmtId="0" fontId="0" fillId="0" borderId="3" xfId="0" applyBorder="1" applyAlignment="1">
      <alignment horizontal="right"/>
    </xf>
    <xf numFmtId="167" fontId="0" fillId="0" borderId="4" xfId="9" applyNumberFormat="1" applyFont="1" applyFill="1" applyBorder="1" applyAlignment="1"/>
    <xf numFmtId="0" fontId="0" fillId="0" borderId="0" xfId="9" applyNumberFormat="1" applyFont="1" applyFill="1" applyBorder="1" applyAlignment="1"/>
    <xf numFmtId="0" fontId="0" fillId="0" borderId="15" xfId="0" applyBorder="1"/>
    <xf numFmtId="0" fontId="0" fillId="0" borderId="7" xfId="0" applyBorder="1" applyAlignment="1">
      <alignment horizontal="right" wrapText="1"/>
    </xf>
    <xf numFmtId="0" fontId="0" fillId="0" borderId="8" xfId="0" applyBorder="1" applyAlignment="1">
      <alignment horizontal="right" wrapText="1"/>
    </xf>
    <xf numFmtId="0" fontId="0" fillId="0" borderId="14" xfId="0" applyBorder="1"/>
    <xf numFmtId="3" fontId="0" fillId="0" borderId="13" xfId="0" applyNumberFormat="1" applyBorder="1"/>
    <xf numFmtId="3" fontId="0" fillId="0" borderId="4" xfId="0" applyNumberFormat="1" applyBorder="1"/>
    <xf numFmtId="0" fontId="0" fillId="0" borderId="9" xfId="0" applyBorder="1"/>
    <xf numFmtId="0" fontId="0" fillId="0" borderId="3" xfId="0" applyBorder="1" applyAlignment="1">
      <alignment horizontal="center" wrapText="1"/>
    </xf>
    <xf numFmtId="0" fontId="0" fillId="0" borderId="4" xfId="0" applyBorder="1" applyAlignment="1">
      <alignment horizontal="center" wrapText="1"/>
    </xf>
    <xf numFmtId="0" fontId="0" fillId="0" borderId="13" xfId="0" applyBorder="1" applyAlignment="1">
      <alignment horizontal="center" wrapText="1"/>
    </xf>
    <xf numFmtId="0" fontId="0" fillId="0" borderId="11" xfId="0" applyBorder="1"/>
    <xf numFmtId="167" fontId="0" fillId="0" borderId="0" xfId="9" applyNumberFormat="1" applyFont="1" applyFill="1" applyBorder="1" applyAlignment="1">
      <alignment horizontal="center"/>
    </xf>
    <xf numFmtId="167" fontId="0" fillId="0" borderId="12" xfId="9" applyNumberFormat="1" applyFont="1" applyFill="1" applyBorder="1" applyAlignment="1">
      <alignment horizontal="center"/>
    </xf>
    <xf numFmtId="167" fontId="0" fillId="0" borderId="5" xfId="9" applyNumberFormat="1" applyFont="1" applyFill="1" applyBorder="1" applyAlignment="1">
      <alignment horizontal="center"/>
    </xf>
    <xf numFmtId="167" fontId="0" fillId="0" borderId="0" xfId="0" applyNumberFormat="1" applyAlignment="1">
      <alignment horizontal="center"/>
    </xf>
    <xf numFmtId="167" fontId="0" fillId="0" borderId="12" xfId="0" applyNumberFormat="1" applyBorder="1" applyAlignment="1">
      <alignment horizontal="center"/>
    </xf>
    <xf numFmtId="167" fontId="0" fillId="0" borderId="5" xfId="0" applyNumberFormat="1" applyBorder="1" applyAlignment="1">
      <alignment horizontal="center"/>
    </xf>
    <xf numFmtId="167" fontId="0" fillId="0" borderId="13" xfId="9" applyNumberFormat="1" applyFont="1" applyFill="1" applyBorder="1" applyAlignment="1">
      <alignment horizontal="center"/>
    </xf>
    <xf numFmtId="167" fontId="0" fillId="0" borderId="3" xfId="9" applyNumberFormat="1" applyFont="1" applyFill="1" applyBorder="1" applyAlignment="1">
      <alignment horizontal="center"/>
    </xf>
    <xf numFmtId="167" fontId="0" fillId="0" borderId="4" xfId="9" applyNumberFormat="1" applyFont="1" applyFill="1" applyBorder="1" applyAlignment="1">
      <alignment horizontal="center"/>
    </xf>
    <xf numFmtId="0" fontId="0" fillId="0" borderId="6" xfId="0" applyBorder="1"/>
    <xf numFmtId="0" fontId="0" fillId="0" borderId="3" xfId="0" applyBorder="1"/>
    <xf numFmtId="9" fontId="0" fillId="2" borderId="13" xfId="0" applyNumberFormat="1" applyFill="1" applyBorder="1"/>
    <xf numFmtId="9" fontId="0" fillId="0" borderId="4" xfId="0" applyNumberFormat="1" applyBorder="1"/>
    <xf numFmtId="0" fontId="0" fillId="0" borderId="15" xfId="0" applyBorder="1" applyAlignment="1">
      <alignment wrapText="1"/>
    </xf>
    <xf numFmtId="0" fontId="0" fillId="0" borderId="9" xfId="0" applyBorder="1" applyAlignment="1">
      <alignment wrapText="1"/>
    </xf>
    <xf numFmtId="2" fontId="0" fillId="0" borderId="10" xfId="0" applyNumberFormat="1" applyBorder="1" applyAlignment="1">
      <alignment horizontal="right" wrapText="1"/>
    </xf>
    <xf numFmtId="2" fontId="0" fillId="0" borderId="2" xfId="0" applyNumberFormat="1" applyBorder="1" applyAlignment="1">
      <alignment horizontal="right" wrapText="1"/>
    </xf>
    <xf numFmtId="0" fontId="0" fillId="0" borderId="14" xfId="0" applyBorder="1" applyAlignment="1">
      <alignment wrapText="1"/>
    </xf>
    <xf numFmtId="2" fontId="0" fillId="0" borderId="13" xfId="0" applyNumberFormat="1" applyBorder="1" applyAlignment="1">
      <alignment wrapText="1"/>
    </xf>
    <xf numFmtId="2" fontId="0" fillId="0" borderId="4" xfId="0" applyNumberFormat="1" applyBorder="1" applyAlignment="1">
      <alignment wrapText="1"/>
    </xf>
    <xf numFmtId="0" fontId="0" fillId="0" borderId="8" xfId="0" applyBorder="1"/>
    <xf numFmtId="0" fontId="0" fillId="0" borderId="7" xfId="0" applyBorder="1" applyAlignment="1">
      <alignment horizontal="right"/>
    </xf>
    <xf numFmtId="0" fontId="0" fillId="0" borderId="8" xfId="0" applyBorder="1" applyAlignment="1">
      <alignment horizontal="right"/>
    </xf>
    <xf numFmtId="0" fontId="0" fillId="0" borderId="12" xfId="0" applyBorder="1"/>
    <xf numFmtId="0" fontId="0" fillId="0" borderId="5" xfId="0" applyBorder="1"/>
    <xf numFmtId="0" fontId="0" fillId="23" borderId="0" xfId="0" applyFill="1"/>
    <xf numFmtId="0" fontId="0" fillId="23" borderId="5" xfId="0" applyFill="1" applyBorder="1"/>
    <xf numFmtId="1" fontId="0" fillId="0" borderId="5" xfId="0" applyNumberFormat="1" applyBorder="1"/>
    <xf numFmtId="166" fontId="0" fillId="0" borderId="5" xfId="0" applyNumberFormat="1" applyBorder="1"/>
    <xf numFmtId="0" fontId="0" fillId="0" borderId="4" xfId="0" applyBorder="1"/>
    <xf numFmtId="166" fontId="0" fillId="0" borderId="13" xfId="0" applyNumberFormat="1" applyBorder="1"/>
    <xf numFmtId="166" fontId="0" fillId="0" borderId="4" xfId="0" applyNumberFormat="1" applyBorder="1"/>
    <xf numFmtId="167" fontId="47" fillId="0" borderId="0" xfId="9" applyNumberFormat="1" applyFont="1" applyFill="1" applyBorder="1"/>
    <xf numFmtId="0" fontId="47" fillId="0" borderId="0" xfId="0" applyFont="1"/>
    <xf numFmtId="0" fontId="0" fillId="0" borderId="1" xfId="0" applyBorder="1"/>
    <xf numFmtId="10" fontId="0" fillId="0" borderId="2" xfId="9" applyNumberFormat="1" applyFont="1" applyFill="1" applyBorder="1" applyAlignment="1"/>
    <xf numFmtId="167" fontId="0" fillId="0" borderId="5" xfId="0" applyNumberFormat="1" applyBorder="1"/>
    <xf numFmtId="167" fontId="0" fillId="0" borderId="4" xfId="0" applyNumberFormat="1" applyBorder="1"/>
    <xf numFmtId="0" fontId="43" fillId="0" borderId="1" xfId="0" applyFont="1" applyBorder="1"/>
    <xf numFmtId="0" fontId="43" fillId="24" borderId="10" xfId="0" applyFont="1" applyFill="1" applyBorder="1"/>
    <xf numFmtId="0" fontId="0" fillId="0" borderId="10" xfId="0" applyBorder="1"/>
    <xf numFmtId="0" fontId="0" fillId="0" borderId="2" xfId="0" applyBorder="1"/>
    <xf numFmtId="0" fontId="43" fillId="0" borderId="10" xfId="0" applyFont="1" applyBorder="1"/>
    <xf numFmtId="0" fontId="43" fillId="0" borderId="15" xfId="0" applyFont="1" applyBorder="1"/>
    <xf numFmtId="0" fontId="0" fillId="0" borderId="6" xfId="0" applyBorder="1" applyAlignment="1">
      <alignment horizontal="right" vertical="center" wrapText="1"/>
    </xf>
    <xf numFmtId="0" fontId="43" fillId="0" borderId="19" xfId="0" applyFont="1" applyBorder="1" applyAlignment="1">
      <alignment horizontal="right" vertical="center" wrapText="1"/>
    </xf>
    <xf numFmtId="0" fontId="43" fillId="0" borderId="7" xfId="0" applyFont="1" applyBorder="1" applyAlignment="1">
      <alignment horizontal="right" vertical="center" wrapText="1"/>
    </xf>
    <xf numFmtId="0" fontId="43" fillId="0" borderId="8" xfId="0" applyFont="1" applyBorder="1" applyAlignment="1">
      <alignment horizontal="right" vertical="center" wrapText="1"/>
    </xf>
    <xf numFmtId="0" fontId="0" fillId="0" borderId="20" xfId="0" applyBorder="1" applyAlignment="1">
      <alignment horizontal="right" vertical="center" wrapText="1"/>
    </xf>
    <xf numFmtId="0" fontId="0" fillId="0" borderId="21" xfId="0" applyBorder="1" applyAlignment="1">
      <alignment horizontal="right" vertical="center" wrapText="1"/>
    </xf>
    <xf numFmtId="167" fontId="13" fillId="0" borderId="1" xfId="0" applyNumberFormat="1" applyFont="1" applyBorder="1"/>
    <xf numFmtId="167" fontId="43" fillId="0" borderId="1" xfId="9" applyNumberFormat="1" applyFont="1" applyFill="1" applyBorder="1"/>
    <xf numFmtId="167" fontId="43" fillId="0" borderId="22" xfId="9" applyNumberFormat="1" applyFont="1" applyFill="1" applyBorder="1"/>
    <xf numFmtId="167" fontId="43" fillId="0" borderId="10" xfId="9" applyNumberFormat="1" applyFont="1" applyFill="1" applyBorder="1"/>
    <xf numFmtId="167" fontId="43" fillId="0" borderId="2" xfId="9" applyNumberFormat="1" applyFont="1" applyFill="1" applyBorder="1"/>
    <xf numFmtId="167" fontId="43" fillId="0" borderId="23" xfId="9" applyNumberFormat="1" applyFont="1" applyFill="1" applyBorder="1"/>
    <xf numFmtId="167" fontId="43" fillId="0" borderId="24" xfId="9" applyNumberFormat="1" applyFont="1" applyFill="1" applyBorder="1"/>
    <xf numFmtId="0" fontId="13" fillId="0" borderId="6" xfId="0" applyFont="1" applyBorder="1" applyAlignment="1">
      <alignment vertical="center" wrapText="1"/>
    </xf>
    <xf numFmtId="166" fontId="43" fillId="0" borderId="6" xfId="0" applyNumberFormat="1" applyFont="1" applyBorder="1" applyAlignment="1">
      <alignment vertical="center"/>
    </xf>
    <xf numFmtId="166" fontId="43" fillId="0" borderId="19" xfId="0" applyNumberFormat="1" applyFont="1" applyBorder="1" applyAlignment="1">
      <alignment vertical="center"/>
    </xf>
    <xf numFmtId="166" fontId="43" fillId="0" borderId="7" xfId="0" applyNumberFormat="1" applyFont="1" applyBorder="1" applyAlignment="1">
      <alignment vertical="center"/>
    </xf>
    <xf numFmtId="166" fontId="43" fillId="0" borderId="8" xfId="0" applyNumberFormat="1" applyFont="1" applyBorder="1" applyAlignment="1">
      <alignment vertical="center"/>
    </xf>
    <xf numFmtId="166" fontId="43" fillId="0" borderId="20" xfId="0" applyNumberFormat="1" applyFont="1" applyBorder="1" applyAlignment="1">
      <alignment vertical="center"/>
    </xf>
    <xf numFmtId="166" fontId="43" fillId="0" borderId="21" xfId="0" applyNumberFormat="1" applyFont="1" applyBorder="1" applyAlignment="1">
      <alignment vertical="center"/>
    </xf>
    <xf numFmtId="0" fontId="0" fillId="0" borderId="25" xfId="0" applyBorder="1"/>
    <xf numFmtId="0" fontId="0" fillId="0" borderId="26" xfId="0" applyBorder="1"/>
    <xf numFmtId="0" fontId="0" fillId="0" borderId="27" xfId="0" applyBorder="1"/>
    <xf numFmtId="0" fontId="43" fillId="0" borderId="12" xfId="0" applyFont="1" applyBorder="1"/>
    <xf numFmtId="167" fontId="43" fillId="0" borderId="12" xfId="9" applyNumberFormat="1" applyFont="1" applyFill="1" applyBorder="1"/>
    <xf numFmtId="167" fontId="43" fillId="0" borderId="25" xfId="9" applyNumberFormat="1" applyFont="1" applyFill="1" applyBorder="1"/>
    <xf numFmtId="167" fontId="43" fillId="0" borderId="0" xfId="9" applyNumberFormat="1" applyFont="1" applyFill="1" applyBorder="1"/>
    <xf numFmtId="167" fontId="43" fillId="0" borderId="5" xfId="9" applyNumberFormat="1" applyFont="1" applyFill="1" applyBorder="1"/>
    <xf numFmtId="167" fontId="43" fillId="0" borderId="26" xfId="9" applyNumberFormat="1" applyFont="1" applyFill="1" applyBorder="1"/>
    <xf numFmtId="167" fontId="43" fillId="0" borderId="27" xfId="9" applyNumberFormat="1" applyFont="1" applyFill="1" applyBorder="1"/>
    <xf numFmtId="167" fontId="0" fillId="0" borderId="0" xfId="9" applyNumberFormat="1" applyFont="1" applyFill="1" applyBorder="1" applyAlignment="1"/>
    <xf numFmtId="167" fontId="0" fillId="0" borderId="0" xfId="9" applyNumberFormat="1" applyFont="1" applyBorder="1" applyAlignment="1"/>
    <xf numFmtId="0" fontId="43" fillId="0" borderId="6" xfId="0" applyFont="1" applyBorder="1"/>
    <xf numFmtId="3" fontId="43" fillId="0" borderId="6" xfId="0" applyNumberFormat="1" applyFont="1" applyBorder="1"/>
    <xf numFmtId="3" fontId="43" fillId="0" borderId="19" xfId="0" applyNumberFormat="1" applyFont="1" applyBorder="1"/>
    <xf numFmtId="3" fontId="43" fillId="0" borderId="7" xfId="0" applyNumberFormat="1" applyFont="1" applyBorder="1"/>
    <xf numFmtId="3" fontId="43" fillId="0" borderId="8" xfId="0" applyNumberFormat="1" applyFont="1" applyBorder="1"/>
    <xf numFmtId="3" fontId="43" fillId="0" borderId="20" xfId="0" applyNumberFormat="1" applyFont="1" applyBorder="1"/>
    <xf numFmtId="3" fontId="43" fillId="0" borderId="21" xfId="0" applyNumberFormat="1" applyFont="1" applyBorder="1"/>
    <xf numFmtId="3" fontId="43" fillId="0" borderId="12" xfId="0" applyNumberFormat="1" applyFont="1" applyBorder="1"/>
    <xf numFmtId="3" fontId="43" fillId="0" borderId="25" xfId="0" applyNumberFormat="1" applyFont="1" applyBorder="1"/>
    <xf numFmtId="3" fontId="43" fillId="0" borderId="0" xfId="0" applyNumberFormat="1" applyFont="1"/>
    <xf numFmtId="3" fontId="43" fillId="0" borderId="5" xfId="0" applyNumberFormat="1" applyFont="1" applyBorder="1"/>
    <xf numFmtId="3" fontId="43" fillId="0" borderId="26" xfId="0" applyNumberFormat="1" applyFont="1" applyBorder="1"/>
    <xf numFmtId="3" fontId="43" fillId="0" borderId="27" xfId="0" applyNumberFormat="1" applyFont="1" applyBorder="1"/>
    <xf numFmtId="0" fontId="43" fillId="0" borderId="3" xfId="0" applyFont="1" applyBorder="1"/>
    <xf numFmtId="3" fontId="43" fillId="0" borderId="3" xfId="0" applyNumberFormat="1" applyFont="1" applyBorder="1"/>
    <xf numFmtId="3" fontId="43" fillId="0" borderId="28" xfId="0" applyNumberFormat="1" applyFont="1" applyBorder="1"/>
    <xf numFmtId="3" fontId="43" fillId="0" borderId="13" xfId="0" applyNumberFormat="1" applyFont="1" applyBorder="1"/>
    <xf numFmtId="3" fontId="43" fillId="0" borderId="4" xfId="0" applyNumberFormat="1" applyFont="1" applyBorder="1"/>
    <xf numFmtId="3" fontId="43" fillId="0" borderId="29" xfId="0" applyNumberFormat="1" applyFont="1" applyBorder="1"/>
    <xf numFmtId="3" fontId="43" fillId="0" borderId="30" xfId="0" applyNumberFormat="1" applyFont="1" applyBorder="1"/>
    <xf numFmtId="0" fontId="13" fillId="0" borderId="7" xfId="0" applyFont="1" applyBorder="1" applyAlignment="1">
      <alignment horizontal="right" vertical="center" wrapText="1"/>
    </xf>
    <xf numFmtId="0" fontId="13" fillId="0" borderId="8" xfId="0" applyFont="1" applyBorder="1" applyAlignment="1">
      <alignment horizontal="right" vertical="center" wrapText="1"/>
    </xf>
    <xf numFmtId="167" fontId="0" fillId="0" borderId="13" xfId="9" applyNumberFormat="1" applyFont="1" applyFill="1" applyBorder="1" applyAlignment="1"/>
    <xf numFmtId="167" fontId="0" fillId="0" borderId="10" xfId="9" applyNumberFormat="1" applyFont="1" applyFill="1" applyBorder="1" applyAlignment="1"/>
    <xf numFmtId="167" fontId="0" fillId="0" borderId="7" xfId="9" applyNumberFormat="1" applyFont="1" applyFill="1" applyBorder="1" applyAlignment="1"/>
    <xf numFmtId="167" fontId="0" fillId="0" borderId="8" xfId="9" applyNumberFormat="1" applyFont="1" applyFill="1" applyBorder="1" applyAlignment="1"/>
    <xf numFmtId="0" fontId="13" fillId="0" borderId="12" xfId="0" applyFont="1" applyBorder="1" applyAlignment="1">
      <alignment textRotation="90" wrapText="1"/>
    </xf>
    <xf numFmtId="0" fontId="13" fillId="0" borderId="0" xfId="0" applyFont="1" applyAlignment="1">
      <alignment textRotation="90" wrapText="1"/>
    </xf>
    <xf numFmtId="0" fontId="13" fillId="0" borderId="5" xfId="0" applyFont="1" applyBorder="1" applyAlignment="1">
      <alignment textRotation="90" wrapText="1"/>
    </xf>
    <xf numFmtId="0" fontId="13" fillId="0" borderId="10" xfId="0" applyFont="1" applyBorder="1" applyAlignment="1">
      <alignment textRotation="90" wrapText="1"/>
    </xf>
    <xf numFmtId="0" fontId="13" fillId="0" borderId="2" xfId="0" applyFont="1" applyBorder="1" applyAlignment="1">
      <alignment textRotation="90" wrapText="1"/>
    </xf>
    <xf numFmtId="167" fontId="0" fillId="0" borderId="1" xfId="9" applyNumberFormat="1" applyFont="1" applyFill="1" applyBorder="1" applyAlignment="1"/>
    <xf numFmtId="167" fontId="0" fillId="0" borderId="10" xfId="0" applyNumberFormat="1" applyBorder="1"/>
    <xf numFmtId="167" fontId="0" fillId="0" borderId="2" xfId="0" applyNumberFormat="1" applyBorder="1"/>
    <xf numFmtId="0" fontId="13" fillId="0" borderId="12" xfId="0" applyFont="1" applyBorder="1"/>
    <xf numFmtId="167" fontId="0" fillId="0" borderId="12" xfId="9" applyNumberFormat="1" applyFont="1" applyFill="1" applyBorder="1" applyAlignment="1"/>
    <xf numFmtId="0" fontId="13" fillId="0" borderId="3" xfId="0" applyFont="1" applyBorder="1"/>
    <xf numFmtId="170" fontId="0" fillId="0" borderId="3" xfId="0" applyNumberFormat="1" applyBorder="1"/>
    <xf numFmtId="170" fontId="0" fillId="0" borderId="13" xfId="0" applyNumberFormat="1" applyBorder="1"/>
    <xf numFmtId="170" fontId="0" fillId="0" borderId="4" xfId="0" applyNumberFormat="1" applyBorder="1"/>
    <xf numFmtId="0" fontId="13" fillId="0" borderId="9" xfId="0" applyFont="1" applyBorder="1"/>
    <xf numFmtId="0" fontId="13" fillId="0" borderId="11" xfId="0" applyFont="1" applyBorder="1"/>
    <xf numFmtId="166" fontId="0" fillId="0" borderId="12" xfId="0" applyNumberFormat="1" applyBorder="1"/>
    <xf numFmtId="167" fontId="0" fillId="0" borderId="12" xfId="9" applyNumberFormat="1" applyFont="1" applyBorder="1" applyAlignment="1"/>
    <xf numFmtId="167" fontId="0" fillId="0" borderId="5" xfId="9" applyNumberFormat="1" applyFont="1" applyBorder="1" applyAlignment="1"/>
    <xf numFmtId="167" fontId="0" fillId="0" borderId="12" xfId="0" applyNumberFormat="1" applyBorder="1"/>
    <xf numFmtId="167" fontId="0" fillId="0" borderId="3" xfId="9" applyNumberFormat="1" applyFont="1" applyFill="1" applyBorder="1" applyAlignment="1"/>
    <xf numFmtId="167" fontId="0" fillId="0" borderId="13" xfId="0" applyNumberFormat="1" applyBorder="1"/>
    <xf numFmtId="3" fontId="0" fillId="0" borderId="12" xfId="1" applyNumberFormat="1" applyFont="1" applyBorder="1" applyAlignment="1"/>
    <xf numFmtId="3" fontId="0" fillId="0" borderId="0" xfId="1" applyNumberFormat="1" applyFont="1" applyBorder="1" applyAlignment="1"/>
    <xf numFmtId="3" fontId="0" fillId="0" borderId="5" xfId="1" applyNumberFormat="1" applyFont="1" applyBorder="1" applyAlignment="1"/>
    <xf numFmtId="3" fontId="0" fillId="23" borderId="12" xfId="1" applyNumberFormat="1" applyFont="1" applyFill="1" applyBorder="1" applyAlignment="1"/>
    <xf numFmtId="3" fontId="0" fillId="0" borderId="0" xfId="1" applyNumberFormat="1" applyFont="1" applyFill="1" applyBorder="1" applyAlignment="1"/>
    <xf numFmtId="3" fontId="0" fillId="0" borderId="5" xfId="1" applyNumberFormat="1" applyFont="1" applyFill="1" applyBorder="1" applyAlignment="1"/>
    <xf numFmtId="3" fontId="0" fillId="23" borderId="0" xfId="1" applyNumberFormat="1" applyFont="1" applyFill="1" applyBorder="1" applyAlignment="1"/>
    <xf numFmtId="3" fontId="0" fillId="0" borderId="12" xfId="1" applyNumberFormat="1" applyFont="1" applyFill="1" applyBorder="1" applyAlignment="1"/>
    <xf numFmtId="3" fontId="0" fillId="0" borderId="5" xfId="0" applyNumberFormat="1" applyBorder="1"/>
    <xf numFmtId="3" fontId="0" fillId="2" borderId="0" xfId="1" applyNumberFormat="1" applyFont="1" applyFill="1" applyBorder="1" applyAlignment="1"/>
    <xf numFmtId="3" fontId="0" fillId="0" borderId="12" xfId="0" applyNumberFormat="1" applyBorder="1"/>
    <xf numFmtId="3" fontId="0" fillId="0" borderId="0" xfId="9" applyNumberFormat="1" applyFont="1" applyFill="1" applyBorder="1" applyAlignment="1"/>
    <xf numFmtId="3" fontId="0" fillId="23" borderId="0" xfId="9" applyNumberFormat="1" applyFont="1" applyFill="1" applyBorder="1" applyAlignment="1"/>
    <xf numFmtId="3" fontId="0" fillId="16" borderId="12" xfId="1" applyNumberFormat="1" applyFont="1" applyFill="1" applyBorder="1" applyAlignment="1"/>
    <xf numFmtId="3" fontId="0" fillId="0" borderId="3" xfId="1" applyNumberFormat="1" applyFont="1" applyBorder="1" applyAlignment="1"/>
    <xf numFmtId="3" fontId="0" fillId="0" borderId="13" xfId="1" applyNumberFormat="1" applyFont="1" applyBorder="1" applyAlignment="1"/>
    <xf numFmtId="3" fontId="0" fillId="0" borderId="4" xfId="1" applyNumberFormat="1" applyFont="1" applyBorder="1" applyAlignment="1"/>
    <xf numFmtId="3" fontId="0" fillId="0" borderId="3" xfId="1" applyNumberFormat="1" applyFont="1" applyFill="1" applyBorder="1" applyAlignment="1"/>
    <xf numFmtId="3" fontId="0" fillId="0" borderId="13" xfId="1" applyNumberFormat="1" applyFont="1" applyFill="1" applyBorder="1" applyAlignment="1"/>
    <xf numFmtId="3" fontId="0" fillId="0" borderId="4" xfId="1" applyNumberFormat="1" applyFont="1" applyFill="1" applyBorder="1" applyAlignment="1"/>
    <xf numFmtId="3" fontId="0" fillId="0" borderId="1" xfId="1" applyNumberFormat="1" applyFont="1" applyFill="1" applyBorder="1" applyAlignment="1"/>
    <xf numFmtId="3" fontId="0" fillId="0" borderId="10" xfId="1" applyNumberFormat="1" applyFont="1" applyBorder="1" applyAlignment="1"/>
    <xf numFmtId="3" fontId="0" fillId="0" borderId="10" xfId="0" applyNumberFormat="1" applyBorder="1"/>
    <xf numFmtId="3" fontId="0" fillId="0" borderId="2" xfId="1" applyNumberFormat="1" applyFont="1" applyBorder="1" applyAlignment="1"/>
    <xf numFmtId="0" fontId="13" fillId="0" borderId="6" xfId="0" applyFont="1" applyBorder="1"/>
    <xf numFmtId="170" fontId="0" fillId="0" borderId="6" xfId="1" applyNumberFormat="1" applyFont="1" applyFill="1" applyBorder="1" applyAlignment="1"/>
    <xf numFmtId="170" fontId="0" fillId="0" borderId="7" xfId="1" applyNumberFormat="1" applyFont="1" applyFill="1" applyBorder="1" applyAlignment="1"/>
    <xf numFmtId="170" fontId="0" fillId="0" borderId="8" xfId="1" applyNumberFormat="1" applyFont="1" applyFill="1" applyBorder="1" applyAlignment="1"/>
    <xf numFmtId="170" fontId="0" fillId="0" borderId="7" xfId="0" applyNumberFormat="1" applyBorder="1"/>
    <xf numFmtId="170" fontId="0" fillId="0" borderId="7" xfId="1" applyNumberFormat="1" applyFont="1" applyBorder="1" applyAlignment="1"/>
    <xf numFmtId="170" fontId="0" fillId="0" borderId="8" xfId="1" applyNumberFormat="1" applyFont="1" applyBorder="1" applyAlignment="1"/>
    <xf numFmtId="0" fontId="13" fillId="0" borderId="1" xfId="0" applyFont="1" applyBorder="1"/>
    <xf numFmtId="3" fontId="0" fillId="0" borderId="1" xfId="0" applyNumberFormat="1" applyBorder="1"/>
    <xf numFmtId="3" fontId="0" fillId="0" borderId="2" xfId="0" applyNumberFormat="1" applyBorder="1"/>
    <xf numFmtId="3" fontId="0" fillId="0" borderId="10" xfId="1" applyNumberFormat="1" applyFont="1" applyFill="1" applyBorder="1" applyAlignment="1"/>
    <xf numFmtId="170" fontId="0" fillId="0" borderId="12" xfId="0" applyNumberFormat="1" applyBorder="1"/>
    <xf numFmtId="170" fontId="0" fillId="0" borderId="0" xfId="0" applyNumberFormat="1"/>
    <xf numFmtId="170" fontId="0" fillId="0" borderId="5" xfId="0" applyNumberFormat="1" applyBorder="1"/>
    <xf numFmtId="170" fontId="0" fillId="25" borderId="0" xfId="0" applyNumberFormat="1" applyFill="1"/>
    <xf numFmtId="170" fontId="0" fillId="0" borderId="0" xfId="1" applyNumberFormat="1" applyFont="1" applyBorder="1" applyAlignment="1"/>
    <xf numFmtId="170" fontId="0" fillId="0" borderId="0" xfId="1" applyNumberFormat="1" applyFont="1" applyFill="1" applyBorder="1" applyAlignment="1"/>
    <xf numFmtId="3" fontId="0" fillId="16" borderId="0" xfId="0" applyNumberFormat="1" applyFill="1"/>
    <xf numFmtId="170" fontId="0" fillId="16" borderId="12" xfId="0" applyNumberFormat="1" applyFill="1" applyBorder="1"/>
    <xf numFmtId="170" fontId="0" fillId="16" borderId="0" xfId="0" applyNumberFormat="1" applyFill="1"/>
    <xf numFmtId="3" fontId="0" fillId="2" borderId="12" xfId="0" applyNumberFormat="1" applyFill="1" applyBorder="1"/>
    <xf numFmtId="170" fontId="0" fillId="2" borderId="3" xfId="0" applyNumberFormat="1" applyFill="1" applyBorder="1"/>
    <xf numFmtId="170" fontId="0" fillId="2" borderId="13" xfId="0" applyNumberFormat="1" applyFill="1" applyBorder="1"/>
    <xf numFmtId="0" fontId="0" fillId="0" borderId="13" xfId="0" applyBorder="1"/>
    <xf numFmtId="0" fontId="13" fillId="0" borderId="7" xfId="0" applyFont="1" applyBorder="1" applyAlignment="1">
      <alignment horizontal="right" wrapText="1"/>
    </xf>
    <xf numFmtId="0" fontId="13" fillId="0" borderId="8" xfId="0" applyFont="1" applyBorder="1" applyAlignment="1">
      <alignment horizontal="right" wrapText="1"/>
    </xf>
    <xf numFmtId="0" fontId="13" fillId="0" borderId="11" xfId="0" applyFont="1" applyBorder="1" applyAlignment="1">
      <alignment horizontal="right"/>
    </xf>
    <xf numFmtId="0" fontId="13" fillId="0" borderId="14" xfId="0" applyFont="1" applyBorder="1" applyAlignment="1">
      <alignment horizontal="right"/>
    </xf>
    <xf numFmtId="167" fontId="0" fillId="0" borderId="13" xfId="9" applyNumberFormat="1" applyFont="1" applyBorder="1" applyAlignment="1"/>
    <xf numFmtId="167" fontId="0" fillId="0" borderId="4" xfId="9" applyNumberFormat="1" applyFont="1" applyBorder="1" applyAlignment="1"/>
    <xf numFmtId="0" fontId="0" fillId="0" borderId="0" xfId="9" applyNumberFormat="1" applyFont="1" applyBorder="1" applyAlignment="1"/>
    <xf numFmtId="0" fontId="0" fillId="0" borderId="1" xfId="0" applyBorder="1" applyAlignment="1">
      <alignment horizontal="centerContinuous"/>
    </xf>
    <xf numFmtId="0" fontId="0" fillId="0" borderId="2" xfId="0" applyBorder="1" applyAlignment="1">
      <alignment horizontal="centerContinuous"/>
    </xf>
    <xf numFmtId="0" fontId="0" fillId="0" borderId="10" xfId="0" applyBorder="1" applyAlignment="1">
      <alignment horizontal="centerContinuous"/>
    </xf>
    <xf numFmtId="0" fontId="0" fillId="0" borderId="6" xfId="0" applyBorder="1" applyAlignment="1">
      <alignment horizontal="right"/>
    </xf>
    <xf numFmtId="167" fontId="0" fillId="16" borderId="12" xfId="9" applyNumberFormat="1" applyFont="1" applyFill="1" applyBorder="1" applyAlignment="1"/>
    <xf numFmtId="167" fontId="0" fillId="16" borderId="0" xfId="9" applyNumberFormat="1" applyFont="1" applyFill="1" applyBorder="1" applyAlignment="1"/>
    <xf numFmtId="167" fontId="0" fillId="16" borderId="3" xfId="9" applyNumberFormat="1" applyFont="1" applyFill="1" applyBorder="1" applyAlignment="1"/>
    <xf numFmtId="0" fontId="13" fillId="0" borderId="10" xfId="0" applyFont="1" applyBorder="1" applyAlignment="1">
      <alignment horizontal="centerContinuous" wrapText="1"/>
    </xf>
    <xf numFmtId="0" fontId="13" fillId="0" borderId="9" xfId="0" applyFont="1" applyBorder="1" applyAlignment="1">
      <alignment horizontal="centerContinuous" wrapText="1"/>
    </xf>
    <xf numFmtId="0" fontId="13" fillId="0" borderId="1" xfId="0" applyFont="1" applyBorder="1" applyAlignment="1">
      <alignment textRotation="90"/>
    </xf>
    <xf numFmtId="0" fontId="13" fillId="0" borderId="10" xfId="0" applyFont="1" applyBorder="1" applyAlignment="1">
      <alignment textRotation="90"/>
    </xf>
    <xf numFmtId="0" fontId="13" fillId="0" borderId="9" xfId="0" applyFont="1" applyBorder="1" applyAlignment="1">
      <alignment textRotation="90"/>
    </xf>
    <xf numFmtId="167" fontId="0" fillId="0" borderId="9" xfId="9" applyNumberFormat="1" applyFont="1" applyFill="1" applyBorder="1" applyAlignment="1"/>
    <xf numFmtId="0" fontId="13" fillId="0" borderId="14" xfId="0" applyFont="1" applyBorder="1"/>
    <xf numFmtId="170" fontId="0" fillId="0" borderId="14" xfId="0" applyNumberFormat="1" applyBorder="1"/>
    <xf numFmtId="0" fontId="0" fillId="0" borderId="11" xfId="9" applyNumberFormat="1" applyFont="1" applyFill="1" applyBorder="1" applyAlignment="1"/>
    <xf numFmtId="0" fontId="0" fillId="0" borderId="0" xfId="1" applyNumberFormat="1" applyFont="1" applyBorder="1" applyAlignment="1"/>
    <xf numFmtId="3" fontId="0" fillId="16" borderId="0" xfId="1" applyNumberFormat="1" applyFont="1" applyFill="1" applyBorder="1" applyAlignment="1"/>
    <xf numFmtId="3" fontId="0" fillId="16" borderId="11" xfId="1" applyNumberFormat="1" applyFont="1" applyFill="1" applyBorder="1" applyAlignment="1"/>
    <xf numFmtId="4" fontId="0" fillId="16" borderId="0" xfId="0" applyNumberFormat="1" applyFill="1"/>
    <xf numFmtId="4" fontId="0" fillId="0" borderId="0" xfId="1" applyNumberFormat="1" applyFont="1" applyBorder="1" applyAlignment="1"/>
    <xf numFmtId="4" fontId="0" fillId="16" borderId="11" xfId="0" applyNumberFormat="1" applyFill="1" applyBorder="1"/>
    <xf numFmtId="170" fontId="0" fillId="16" borderId="11" xfId="0" applyNumberFormat="1" applyFill="1" applyBorder="1"/>
    <xf numFmtId="170" fontId="0" fillId="0" borderId="11" xfId="0" applyNumberFormat="1" applyBorder="1"/>
    <xf numFmtId="167" fontId="0" fillId="0" borderId="11" xfId="9" applyNumberFormat="1" applyFont="1" applyFill="1" applyBorder="1" applyAlignment="1"/>
    <xf numFmtId="167" fontId="0" fillId="0" borderId="11" xfId="0" applyNumberFormat="1" applyBorder="1"/>
    <xf numFmtId="167" fontId="0" fillId="0" borderId="11" xfId="9" applyNumberFormat="1" applyFont="1" applyBorder="1" applyAlignment="1"/>
    <xf numFmtId="167" fontId="0" fillId="0" borderId="14" xfId="9" applyNumberFormat="1" applyFont="1" applyBorder="1" applyAlignment="1"/>
    <xf numFmtId="9" fontId="0" fillId="0" borderId="0" xfId="9" applyFont="1" applyBorder="1" applyAlignment="1"/>
    <xf numFmtId="0" fontId="0" fillId="0" borderId="11" xfId="1" applyNumberFormat="1" applyFont="1" applyBorder="1" applyAlignment="1"/>
    <xf numFmtId="3" fontId="0" fillId="0" borderId="11" xfId="0" applyNumberFormat="1" applyBorder="1"/>
    <xf numFmtId="170" fontId="0" fillId="0" borderId="15" xfId="0" applyNumberFormat="1" applyBorder="1"/>
    <xf numFmtId="3" fontId="0" fillId="0" borderId="9" xfId="0" applyNumberFormat="1" applyBorder="1"/>
    <xf numFmtId="3" fontId="0" fillId="0" borderId="11" xfId="1" applyNumberFormat="1" applyFont="1" applyFill="1" applyBorder="1" applyAlignment="1"/>
    <xf numFmtId="3" fontId="0" fillId="0" borderId="14" xfId="0" applyNumberFormat="1" applyBorder="1"/>
    <xf numFmtId="0" fontId="13" fillId="0" borderId="10" xfId="0" applyFont="1" applyBorder="1" applyAlignment="1">
      <alignment horizontal="right" wrapText="1"/>
    </xf>
    <xf numFmtId="0" fontId="13" fillId="0" borderId="10" xfId="0" applyFont="1" applyBorder="1" applyAlignment="1">
      <alignment horizontal="right"/>
    </xf>
    <xf numFmtId="0" fontId="13" fillId="0" borderId="2" xfId="0" applyFont="1" applyBorder="1" applyAlignment="1">
      <alignment horizontal="right"/>
    </xf>
    <xf numFmtId="0" fontId="13" fillId="0" borderId="1" xfId="0" applyFont="1" applyBorder="1" applyAlignment="1" applyProtection="1">
      <alignment horizontal="centerContinuous" wrapText="1"/>
      <protection hidden="1"/>
    </xf>
    <xf numFmtId="0" fontId="13" fillId="0" borderId="10" xfId="0" applyFont="1" applyBorder="1" applyAlignment="1" applyProtection="1">
      <alignment horizontal="centerContinuous" wrapText="1"/>
      <protection hidden="1"/>
    </xf>
    <xf numFmtId="0" fontId="13" fillId="0" borderId="2" xfId="0" applyFont="1" applyBorder="1" applyAlignment="1" applyProtection="1">
      <alignment horizontal="centerContinuous" wrapText="1"/>
      <protection hidden="1"/>
    </xf>
    <xf numFmtId="0" fontId="0" fillId="0" borderId="6" xfId="0" applyBorder="1" applyProtection="1">
      <protection hidden="1"/>
    </xf>
    <xf numFmtId="0" fontId="0" fillId="0" borderId="7" xfId="0" applyBorder="1" applyAlignment="1" applyProtection="1">
      <alignment horizontal="right" wrapText="1"/>
      <protection hidden="1"/>
    </xf>
    <xf numFmtId="0" fontId="0" fillId="0" borderId="8" xfId="0" applyBorder="1" applyAlignment="1" applyProtection="1">
      <alignment horizontal="right" wrapText="1"/>
      <protection hidden="1"/>
    </xf>
    <xf numFmtId="0" fontId="0" fillId="0" borderId="12" xfId="0" applyBorder="1" applyProtection="1">
      <protection hidden="1"/>
    </xf>
    <xf numFmtId="167" fontId="0" fillId="0" borderId="0" xfId="9" applyNumberFormat="1" applyFont="1" applyBorder="1" applyAlignment="1" applyProtection="1">
      <protection hidden="1"/>
    </xf>
    <xf numFmtId="167" fontId="0" fillId="0" borderId="5" xfId="9" applyNumberFormat="1" applyFont="1" applyBorder="1" applyAlignment="1" applyProtection="1">
      <protection hidden="1"/>
    </xf>
    <xf numFmtId="0" fontId="0" fillId="0" borderId="3" xfId="0" applyBorder="1" applyProtection="1">
      <protection hidden="1"/>
    </xf>
    <xf numFmtId="167" fontId="0" fillId="0" borderId="13" xfId="9" applyNumberFormat="1" applyFont="1" applyBorder="1" applyAlignment="1" applyProtection="1">
      <protection hidden="1"/>
    </xf>
    <xf numFmtId="167" fontId="0" fillId="0" borderId="4" xfId="9" applyNumberFormat="1" applyFont="1" applyBorder="1" applyAlignment="1" applyProtection="1">
      <protection hidden="1"/>
    </xf>
    <xf numFmtId="0" fontId="13" fillId="0" borderId="1" xfId="0" applyFont="1" applyBorder="1" applyAlignment="1">
      <alignment horizontal="centerContinuous"/>
    </xf>
    <xf numFmtId="0" fontId="13" fillId="0" borderId="2" xfId="0" applyFont="1" applyBorder="1" applyAlignment="1">
      <alignment horizontal="centerContinuous"/>
    </xf>
    <xf numFmtId="0" fontId="13" fillId="0" borderId="10" xfId="0" applyFont="1" applyBorder="1" applyAlignment="1">
      <alignment horizontal="centerContinuous"/>
    </xf>
    <xf numFmtId="0" fontId="0" fillId="0" borderId="7" xfId="0" applyBorder="1" applyAlignment="1">
      <alignment horizontal="centerContinuous"/>
    </xf>
    <xf numFmtId="0" fontId="13" fillId="0" borderId="6" xfId="0" applyFont="1" applyBorder="1" applyAlignment="1">
      <alignment horizontal="right" wrapText="1"/>
    </xf>
    <xf numFmtId="0" fontId="13" fillId="0" borderId="3" xfId="0" applyFont="1" applyBorder="1" applyAlignment="1">
      <alignment horizontal="right" wrapText="1"/>
    </xf>
    <xf numFmtId="0" fontId="13" fillId="0" borderId="13" xfId="0" applyFont="1" applyBorder="1" applyAlignment="1">
      <alignment horizontal="right" wrapText="1"/>
    </xf>
    <xf numFmtId="0" fontId="13" fillId="0" borderId="4" xfId="0" applyFont="1" applyBorder="1" applyAlignment="1">
      <alignment horizontal="right" wrapText="1"/>
    </xf>
    <xf numFmtId="170" fontId="0" fillId="0" borderId="1" xfId="0" applyNumberFormat="1" applyBorder="1"/>
    <xf numFmtId="3" fontId="0" fillId="0" borderId="3" xfId="0" applyNumberFormat="1" applyBorder="1"/>
    <xf numFmtId="3" fontId="0" fillId="0" borderId="7" xfId="0" applyNumberFormat="1" applyBorder="1"/>
    <xf numFmtId="170" fontId="0" fillId="0" borderId="2" xfId="0" applyNumberFormat="1" applyBorder="1"/>
    <xf numFmtId="170" fontId="0" fillId="0" borderId="10" xfId="0" applyNumberFormat="1" applyBorder="1"/>
    <xf numFmtId="10" fontId="0" fillId="0" borderId="0" xfId="9" applyNumberFormat="1" applyFont="1" applyBorder="1" applyAlignment="1"/>
    <xf numFmtId="0" fontId="0" fillId="0" borderId="3" xfId="0" applyBorder="1" applyAlignment="1">
      <alignment wrapText="1"/>
    </xf>
    <xf numFmtId="0" fontId="0" fillId="17" borderId="13" xfId="0" applyFill="1" applyBorder="1" applyAlignment="1">
      <alignment horizontal="center"/>
    </xf>
    <xf numFmtId="0" fontId="0" fillId="17" borderId="4" xfId="0" applyFill="1" applyBorder="1" applyAlignment="1">
      <alignment horizontal="center"/>
    </xf>
    <xf numFmtId="4" fontId="0" fillId="0" borderId="13" xfId="0" applyNumberFormat="1" applyBorder="1"/>
    <xf numFmtId="4" fontId="0" fillId="0" borderId="4" xfId="0" applyNumberFormat="1" applyBorder="1"/>
    <xf numFmtId="0" fontId="18" fillId="0" borderId="0" xfId="1" applyNumberFormat="1" applyFont="1" applyFill="1" applyBorder="1" applyAlignment="1"/>
    <xf numFmtId="0" fontId="0" fillId="0" borderId="0" xfId="0" applyAlignment="1">
      <alignment horizontal="center" wrapText="1"/>
    </xf>
    <xf numFmtId="166" fontId="0" fillId="0" borderId="0" xfId="9" applyNumberFormat="1" applyFont="1" applyBorder="1" applyAlignment="1"/>
    <xf numFmtId="0" fontId="0" fillId="0" borderId="1" xfId="0" applyBorder="1" applyAlignment="1">
      <alignment wrapText="1"/>
    </xf>
    <xf numFmtId="4" fontId="0" fillId="0" borderId="10" xfId="0" applyNumberFormat="1" applyBorder="1" applyAlignment="1">
      <alignment wrapText="1"/>
    </xf>
    <xf numFmtId="4" fontId="0" fillId="0" borderId="2" xfId="0" applyNumberFormat="1" applyBorder="1" applyAlignment="1">
      <alignment wrapText="1"/>
    </xf>
    <xf numFmtId="167" fontId="0" fillId="16" borderId="13" xfId="0" applyNumberFormat="1" applyFill="1" applyBorder="1"/>
    <xf numFmtId="167" fontId="0" fillId="0" borderId="10" xfId="0" applyNumberFormat="1" applyBorder="1" applyAlignment="1">
      <alignment wrapText="1"/>
    </xf>
    <xf numFmtId="0" fontId="18" fillId="0" borderId="2" xfId="1" applyNumberFormat="1" applyFont="1" applyFill="1" applyBorder="1" applyAlignment="1">
      <alignment wrapText="1"/>
    </xf>
    <xf numFmtId="0" fontId="0" fillId="0" borderId="12" xfId="0" applyBorder="1" applyAlignment="1">
      <alignment wrapText="1"/>
    </xf>
    <xf numFmtId="167" fontId="18" fillId="0" borderId="5" xfId="1" applyNumberFormat="1" applyFont="1" applyFill="1" applyBorder="1" applyAlignment="1"/>
    <xf numFmtId="0" fontId="13" fillId="0" borderId="15" xfId="0" applyFont="1" applyBorder="1"/>
    <xf numFmtId="167" fontId="0" fillId="2" borderId="0" xfId="0" applyNumberFormat="1" applyFill="1"/>
    <xf numFmtId="167" fontId="0" fillId="2" borderId="5" xfId="0" applyNumberFormat="1" applyFill="1" applyBorder="1"/>
    <xf numFmtId="166" fontId="0" fillId="2" borderId="0" xfId="0" applyNumberFormat="1" applyFill="1"/>
    <xf numFmtId="166" fontId="0" fillId="2" borderId="5" xfId="0" applyNumberFormat="1" applyFill="1" applyBorder="1"/>
    <xf numFmtId="166" fontId="0" fillId="0" borderId="3" xfId="0" applyNumberFormat="1" applyBorder="1"/>
    <xf numFmtId="166" fontId="0" fillId="2" borderId="13" xfId="0" applyNumberFormat="1" applyFill="1" applyBorder="1"/>
    <xf numFmtId="166" fontId="0" fillId="2" borderId="4" xfId="0" applyNumberFormat="1" applyFill="1" applyBorder="1"/>
    <xf numFmtId="0" fontId="13" fillId="0" borderId="1" xfId="0" applyFont="1" applyBorder="1" applyAlignment="1">
      <alignment textRotation="90" wrapText="1"/>
    </xf>
    <xf numFmtId="0" fontId="13" fillId="0" borderId="7" xfId="0" applyFont="1" applyBorder="1" applyAlignment="1">
      <alignment textRotation="90" wrapText="1"/>
    </xf>
    <xf numFmtId="0" fontId="13" fillId="0" borderId="8" xfId="0" applyFont="1" applyBorder="1" applyAlignment="1">
      <alignment textRotation="90" wrapText="1"/>
    </xf>
    <xf numFmtId="0" fontId="0" fillId="0" borderId="7" xfId="0" applyBorder="1"/>
    <xf numFmtId="167" fontId="18" fillId="0" borderId="1" xfId="9" applyNumberFormat="1" applyFont="1" applyFill="1" applyBorder="1" applyAlignment="1"/>
    <xf numFmtId="167" fontId="18" fillId="0" borderId="10" xfId="9" applyNumberFormat="1" applyFont="1" applyFill="1" applyBorder="1" applyAlignment="1"/>
    <xf numFmtId="167" fontId="18" fillId="0" borderId="2" xfId="9" applyNumberFormat="1" applyFont="1" applyFill="1" applyBorder="1" applyAlignment="1"/>
    <xf numFmtId="167" fontId="18" fillId="0" borderId="12" xfId="9" applyNumberFormat="1" applyFont="1" applyFill="1" applyBorder="1" applyAlignment="1"/>
    <xf numFmtId="167" fontId="18" fillId="0" borderId="5" xfId="9" applyNumberFormat="1" applyFont="1" applyFill="1" applyBorder="1" applyAlignment="1"/>
    <xf numFmtId="0" fontId="0" fillId="0" borderId="5" xfId="0" applyBorder="1" applyAlignment="1">
      <alignment horizontal="right"/>
    </xf>
    <xf numFmtId="167" fontId="18" fillId="0" borderId="3" xfId="9" applyNumberFormat="1" applyFont="1" applyFill="1" applyBorder="1" applyAlignment="1"/>
    <xf numFmtId="167" fontId="18" fillId="0" borderId="13" xfId="9" applyNumberFormat="1" applyFont="1" applyFill="1" applyBorder="1" applyAlignment="1"/>
    <xf numFmtId="167" fontId="18" fillId="0" borderId="4" xfId="9" applyNumberFormat="1" applyFont="1" applyFill="1" applyBorder="1" applyAlignment="1"/>
    <xf numFmtId="0" fontId="0" fillId="0" borderId="4" xfId="0" applyBorder="1" applyAlignment="1">
      <alignment horizontal="right"/>
    </xf>
    <xf numFmtId="10" fontId="0" fillId="16" borderId="5" xfId="0" applyNumberFormat="1" applyFill="1" applyBorder="1"/>
    <xf numFmtId="167" fontId="18" fillId="0" borderId="2" xfId="9" applyNumberFormat="1" applyFont="1" applyBorder="1" applyAlignment="1"/>
    <xf numFmtId="10" fontId="0" fillId="16" borderId="4" xfId="0" applyNumberFormat="1" applyFill="1" applyBorder="1"/>
    <xf numFmtId="167" fontId="18" fillId="0" borderId="5" xfId="9" applyNumberFormat="1" applyFont="1" applyBorder="1" applyAlignment="1"/>
    <xf numFmtId="167" fontId="18" fillId="0" borderId="4" xfId="9" applyNumberFormat="1" applyFont="1" applyBorder="1" applyAlignment="1"/>
    <xf numFmtId="11" fontId="0" fillId="0" borderId="0" xfId="9" applyNumberFormat="1" applyFont="1" applyBorder="1" applyAlignment="1"/>
    <xf numFmtId="11" fontId="0" fillId="0" borderId="0" xfId="0" applyNumberFormat="1"/>
    <xf numFmtId="0" fontId="13" fillId="0" borderId="8" xfId="0" applyFont="1" applyBorder="1"/>
    <xf numFmtId="178" fontId="0" fillId="2" borderId="5" xfId="9" applyNumberFormat="1" applyFont="1" applyFill="1" applyBorder="1" applyAlignment="1"/>
    <xf numFmtId="167" fontId="0" fillId="2" borderId="5" xfId="9" applyNumberFormat="1" applyFont="1" applyFill="1" applyBorder="1" applyAlignment="1"/>
    <xf numFmtId="177" fontId="0" fillId="2" borderId="4" xfId="9" applyNumberFormat="1" applyFont="1" applyFill="1" applyBorder="1" applyAlignment="1"/>
    <xf numFmtId="167" fontId="0" fillId="2" borderId="4" xfId="9" applyNumberFormat="1" applyFont="1" applyFill="1" applyBorder="1" applyAlignment="1"/>
    <xf numFmtId="167" fontId="18" fillId="0" borderId="9" xfId="9" applyNumberFormat="1" applyFont="1" applyFill="1" applyBorder="1" applyAlignment="1"/>
    <xf numFmtId="167" fontId="0" fillId="0" borderId="15" xfId="9" applyNumberFormat="1" applyFont="1" applyFill="1" applyBorder="1" applyAlignment="1"/>
    <xf numFmtId="167" fontId="18" fillId="0" borderId="11" xfId="9" applyNumberFormat="1" applyFont="1" applyFill="1" applyBorder="1" applyAlignment="1"/>
    <xf numFmtId="4" fontId="18" fillId="0" borderId="15" xfId="1" applyNumberFormat="1" applyFont="1" applyFill="1" applyBorder="1" applyAlignment="1"/>
    <xf numFmtId="10" fontId="0" fillId="0" borderId="11" xfId="0" applyNumberFormat="1" applyBorder="1"/>
    <xf numFmtId="167" fontId="18" fillId="0" borderId="14" xfId="9" applyNumberFormat="1" applyFont="1" applyFill="1" applyBorder="1" applyAlignment="1"/>
    <xf numFmtId="167" fontId="18" fillId="2" borderId="0" xfId="9" applyNumberFormat="1" applyFont="1" applyFill="1" applyBorder="1" applyAlignment="1"/>
    <xf numFmtId="170" fontId="0" fillId="26" borderId="0" xfId="0" applyNumberFormat="1" applyFill="1"/>
    <xf numFmtId="170" fontId="0" fillId="26" borderId="5" xfId="0" applyNumberFormat="1" applyFill="1" applyBorder="1"/>
    <xf numFmtId="3" fontId="0" fillId="26" borderId="0" xfId="0" applyNumberFormat="1" applyFill="1"/>
    <xf numFmtId="3" fontId="0" fillId="26" borderId="5" xfId="0" applyNumberFormat="1" applyFill="1" applyBorder="1"/>
    <xf numFmtId="3" fontId="0" fillId="26" borderId="13" xfId="0" applyNumberFormat="1" applyFill="1" applyBorder="1"/>
    <xf numFmtId="3" fontId="0" fillId="26" borderId="4" xfId="0" applyNumberFormat="1" applyFill="1" applyBorder="1"/>
    <xf numFmtId="0" fontId="13" fillId="0" borderId="6" xfId="0" applyFont="1" applyBorder="1" applyAlignment="1">
      <alignment horizontal="right"/>
    </xf>
    <xf numFmtId="0" fontId="13" fillId="0" borderId="8" xfId="0" applyFont="1" applyBorder="1" applyAlignment="1">
      <alignment horizontal="right"/>
    </xf>
    <xf numFmtId="175" fontId="0" fillId="0" borderId="5" xfId="0" applyNumberFormat="1" applyBorder="1"/>
    <xf numFmtId="170" fontId="20" fillId="0" borderId="5" xfId="0" applyNumberFormat="1" applyFont="1" applyBorder="1"/>
    <xf numFmtId="170" fontId="31" fillId="0" borderId="0" xfId="0" applyNumberFormat="1" applyFont="1"/>
    <xf numFmtId="170" fontId="0" fillId="0" borderId="9" xfId="0" applyNumberFormat="1" applyBorder="1"/>
    <xf numFmtId="170" fontId="0" fillId="0" borderId="6" xfId="0" applyNumberFormat="1" applyBorder="1"/>
    <xf numFmtId="170" fontId="0" fillId="0" borderId="8" xfId="0" applyNumberFormat="1" applyBorder="1"/>
    <xf numFmtId="0" fontId="13" fillId="0" borderId="7" xfId="0" applyFont="1" applyBorder="1" applyAlignment="1">
      <alignment horizontal="right"/>
    </xf>
    <xf numFmtId="179" fontId="0" fillId="0" borderId="0" xfId="0" applyNumberFormat="1"/>
    <xf numFmtId="164" fontId="0" fillId="0" borderId="0" xfId="1" applyFont="1" applyFill="1" applyBorder="1" applyAlignment="1"/>
    <xf numFmtId="180" fontId="0" fillId="0" borderId="0" xfId="0" applyNumberFormat="1"/>
    <xf numFmtId="181" fontId="0" fillId="0" borderId="0" xfId="0" applyNumberFormat="1"/>
    <xf numFmtId="0" fontId="0" fillId="0" borderId="10" xfId="0" applyBorder="1" applyAlignment="1">
      <alignment horizontal="center" wrapText="1"/>
    </xf>
    <xf numFmtId="0" fontId="0" fillId="0" borderId="9" xfId="0" applyBorder="1" applyAlignment="1">
      <alignment horizontal="center" wrapText="1"/>
    </xf>
    <xf numFmtId="0" fontId="0" fillId="27" borderId="6" xfId="0" applyFill="1" applyBorder="1" applyAlignment="1">
      <alignment horizontal="center"/>
    </xf>
    <xf numFmtId="0" fontId="0" fillId="27" borderId="7" xfId="0" applyFill="1" applyBorder="1" applyAlignment="1">
      <alignment horizontal="center"/>
    </xf>
    <xf numFmtId="0" fontId="0" fillId="27" borderId="8" xfId="0" applyFill="1" applyBorder="1" applyAlignment="1">
      <alignment horizontal="center"/>
    </xf>
    <xf numFmtId="0" fontId="0" fillId="0" borderId="7" xfId="0" applyBorder="1" applyAlignment="1">
      <alignment horizontal="center"/>
    </xf>
    <xf numFmtId="0" fontId="0" fillId="0" borderId="15" xfId="0" applyBorder="1" applyAlignment="1">
      <alignment horizontal="center"/>
    </xf>
    <xf numFmtId="0" fontId="0" fillId="27" borderId="12" xfId="0" applyFill="1" applyBorder="1" applyAlignment="1">
      <alignment horizontal="center" wrapText="1"/>
    </xf>
    <xf numFmtId="0" fontId="0" fillId="27" borderId="0" xfId="0" applyFill="1" applyAlignment="1">
      <alignment horizontal="center" wrapText="1"/>
    </xf>
    <xf numFmtId="0" fontId="0" fillId="0" borderId="11" xfId="0" applyBorder="1" applyAlignment="1">
      <alignment horizontal="center" wrapText="1"/>
    </xf>
    <xf numFmtId="0" fontId="0" fillId="0" borderId="11" xfId="0" applyBorder="1" applyAlignment="1">
      <alignment horizontal="center"/>
    </xf>
    <xf numFmtId="167" fontId="18" fillId="27" borderId="1" xfId="9" applyNumberFormat="1" applyFont="1" applyFill="1" applyBorder="1" applyAlignment="1"/>
    <xf numFmtId="167" fontId="18" fillId="27" borderId="10" xfId="9" applyNumberFormat="1" applyFont="1" applyFill="1" applyBorder="1" applyAlignment="1"/>
    <xf numFmtId="167" fontId="18" fillId="27" borderId="2" xfId="9" applyNumberFormat="1" applyFont="1" applyFill="1" applyBorder="1" applyAlignment="1"/>
    <xf numFmtId="167" fontId="18" fillId="16" borderId="10" xfId="9" applyNumberFormat="1" applyFont="1" applyFill="1" applyBorder="1" applyAlignment="1"/>
    <xf numFmtId="167" fontId="18" fillId="16" borderId="9" xfId="9" applyNumberFormat="1" applyFont="1" applyFill="1" applyBorder="1" applyAlignment="1"/>
    <xf numFmtId="167" fontId="0" fillId="2" borderId="9" xfId="0" applyNumberFormat="1" applyFill="1" applyBorder="1"/>
    <xf numFmtId="167" fontId="18" fillId="2" borderId="9" xfId="9" applyNumberFormat="1" applyFont="1" applyFill="1" applyBorder="1" applyAlignment="1"/>
    <xf numFmtId="167" fontId="18" fillId="27" borderId="12" xfId="9" applyNumberFormat="1" applyFont="1" applyFill="1" applyBorder="1" applyAlignment="1"/>
    <xf numFmtId="167" fontId="18" fillId="27" borderId="0" xfId="9" applyNumberFormat="1" applyFont="1" applyFill="1" applyBorder="1" applyAlignment="1"/>
    <xf numFmtId="167" fontId="18" fillId="27" borderId="5" xfId="9" applyNumberFormat="1" applyFont="1" applyFill="1" applyBorder="1" applyAlignment="1"/>
    <xf numFmtId="167" fontId="18" fillId="16" borderId="0" xfId="9" applyNumberFormat="1" applyFont="1" applyFill="1" applyBorder="1" applyAlignment="1"/>
    <xf numFmtId="167" fontId="18" fillId="16" borderId="11" xfId="9" applyNumberFormat="1" applyFont="1" applyFill="1" applyBorder="1" applyAlignment="1"/>
    <xf numFmtId="167" fontId="0" fillId="2" borderId="11" xfId="0" applyNumberFormat="1" applyFill="1" applyBorder="1"/>
    <xf numFmtId="167" fontId="18" fillId="2" borderId="11" xfId="9" applyNumberFormat="1" applyFont="1" applyFill="1" applyBorder="1" applyAlignment="1"/>
    <xf numFmtId="167" fontId="18" fillId="27" borderId="3" xfId="9" applyNumberFormat="1" applyFont="1" applyFill="1" applyBorder="1" applyAlignment="1"/>
    <xf numFmtId="167" fontId="18" fillId="27" borderId="13" xfId="9" applyNumberFormat="1" applyFont="1" applyFill="1" applyBorder="1" applyAlignment="1"/>
    <xf numFmtId="167" fontId="18" fillId="27" borderId="4" xfId="9" applyNumberFormat="1" applyFont="1" applyFill="1" applyBorder="1" applyAlignment="1"/>
    <xf numFmtId="167" fontId="0" fillId="0" borderId="14" xfId="0" applyNumberFormat="1" applyBorder="1"/>
    <xf numFmtId="167" fontId="0" fillId="27" borderId="12" xfId="0" applyNumberFormat="1" applyFill="1" applyBorder="1"/>
    <xf numFmtId="167" fontId="0" fillId="27" borderId="0" xfId="0" applyNumberFormat="1" applyFill="1"/>
    <xf numFmtId="167" fontId="0" fillId="2" borderId="11" xfId="9" applyNumberFormat="1" applyFont="1" applyFill="1" applyBorder="1" applyAlignment="1"/>
    <xf numFmtId="0" fontId="0" fillId="27" borderId="1" xfId="0" applyFill="1" applyBorder="1"/>
    <xf numFmtId="0" fontId="0" fillId="27" borderId="10" xfId="0" applyFill="1" applyBorder="1"/>
    <xf numFmtId="0" fontId="0" fillId="27" borderId="2" xfId="0" applyFill="1" applyBorder="1"/>
    <xf numFmtId="0" fontId="0" fillId="27" borderId="12" xfId="0" applyFill="1" applyBorder="1"/>
    <xf numFmtId="0" fontId="0" fillId="27" borderId="0" xfId="0" applyFill="1"/>
    <xf numFmtId="3" fontId="0" fillId="27" borderId="0" xfId="0" applyNumberFormat="1" applyFill="1"/>
    <xf numFmtId="3" fontId="0" fillId="27" borderId="5" xfId="0" applyNumberFormat="1" applyFill="1" applyBorder="1"/>
    <xf numFmtId="0" fontId="0" fillId="27" borderId="3" xfId="0" applyFill="1" applyBorder="1"/>
    <xf numFmtId="0" fontId="0" fillId="27" borderId="13" xfId="0" applyFill="1" applyBorder="1"/>
    <xf numFmtId="3" fontId="0" fillId="27" borderId="13" xfId="0" applyNumberFormat="1" applyFill="1" applyBorder="1"/>
    <xf numFmtId="3" fontId="0" fillId="27" borderId="4" xfId="0" applyNumberFormat="1" applyFill="1" applyBorder="1"/>
    <xf numFmtId="170" fontId="0" fillId="27" borderId="10" xfId="0" applyNumberFormat="1" applyFill="1" applyBorder="1"/>
    <xf numFmtId="170" fontId="0" fillId="27" borderId="2" xfId="0" applyNumberFormat="1" applyFill="1" applyBorder="1"/>
    <xf numFmtId="170" fontId="0" fillId="27" borderId="0" xfId="0" applyNumberFormat="1" applyFill="1"/>
    <xf numFmtId="170" fontId="0" fillId="27" borderId="5" xfId="0" applyNumberFormat="1" applyFill="1" applyBorder="1"/>
    <xf numFmtId="166" fontId="0" fillId="27" borderId="0" xfId="0" applyNumberFormat="1" applyFill="1"/>
    <xf numFmtId="166" fontId="0" fillId="27" borderId="5" xfId="0" applyNumberFormat="1" applyFill="1" applyBorder="1"/>
    <xf numFmtId="166" fontId="0" fillId="0" borderId="11" xfId="0" applyNumberFormat="1" applyBorder="1"/>
    <xf numFmtId="0" fontId="0" fillId="27" borderId="5" xfId="0" applyFill="1" applyBorder="1"/>
    <xf numFmtId="166" fontId="0" fillId="27" borderId="13" xfId="0" applyNumberFormat="1" applyFill="1" applyBorder="1"/>
    <xf numFmtId="166" fontId="0" fillId="27" borderId="4" xfId="0" applyNumberFormat="1" applyFill="1" applyBorder="1"/>
    <xf numFmtId="166" fontId="0" fillId="0" borderId="14" xfId="0" applyNumberFormat="1" applyBorder="1"/>
    <xf numFmtId="170" fontId="0" fillId="0" borderId="0" xfId="0" applyNumberFormat="1" applyAlignment="1">
      <alignment horizontal="center"/>
    </xf>
    <xf numFmtId="170" fontId="0" fillId="25" borderId="0" xfId="0" applyNumberFormat="1" applyFill="1" applyAlignment="1">
      <alignment horizontal="center"/>
    </xf>
    <xf numFmtId="170" fontId="0" fillId="23" borderId="0" xfId="0" applyNumberFormat="1" applyFill="1" applyAlignment="1">
      <alignment horizontal="center"/>
    </xf>
    <xf numFmtId="170" fontId="0" fillId="16" borderId="0" xfId="0" applyNumberFormat="1" applyFill="1" applyAlignment="1">
      <alignment horizontal="center"/>
    </xf>
    <xf numFmtId="0" fontId="13" fillId="0" borderId="6" xfId="0" applyFont="1" applyBorder="1" applyAlignment="1">
      <alignment horizontal="left" wrapText="1"/>
    </xf>
    <xf numFmtId="170" fontId="13" fillId="0" borderId="15" xfId="0" applyNumberFormat="1" applyFont="1" applyBorder="1" applyAlignment="1">
      <alignment horizontal="center" wrapText="1"/>
    </xf>
    <xf numFmtId="0" fontId="0" fillId="0" borderId="12" xfId="0" applyBorder="1" applyAlignment="1">
      <alignment horizontal="left"/>
    </xf>
    <xf numFmtId="170" fontId="0" fillId="0" borderId="11" xfId="0" applyNumberFormat="1" applyBorder="1" applyAlignment="1">
      <alignment horizontal="center"/>
    </xf>
    <xf numFmtId="0" fontId="48" fillId="0" borderId="12" xfId="0" applyFont="1" applyBorder="1" applyAlignment="1">
      <alignment horizontal="left"/>
    </xf>
    <xf numFmtId="170" fontId="48" fillId="0" borderId="11" xfId="0" applyNumberFormat="1" applyFont="1" applyBorder="1" applyAlignment="1">
      <alignment horizontal="center"/>
    </xf>
    <xf numFmtId="0" fontId="0" fillId="0" borderId="3" xfId="0" applyBorder="1" applyAlignment="1">
      <alignment horizontal="left"/>
    </xf>
    <xf numFmtId="170" fontId="0" fillId="0" borderId="14" xfId="0" applyNumberFormat="1" applyBorder="1" applyAlignment="1">
      <alignment horizontal="center"/>
    </xf>
    <xf numFmtId="182" fontId="0" fillId="0" borderId="0" xfId="0" applyNumberFormat="1" applyAlignment="1">
      <alignment horizontal="center"/>
    </xf>
    <xf numFmtId="0" fontId="18" fillId="0" borderId="0" xfId="9" applyNumberFormat="1" applyFont="1" applyFill="1" applyBorder="1" applyAlignment="1"/>
    <xf numFmtId="0" fontId="0" fillId="0" borderId="3" xfId="0" applyBorder="1" applyAlignment="1">
      <alignment horizontal="right" wrapText="1"/>
    </xf>
    <xf numFmtId="0" fontId="0" fillId="0" borderId="13" xfId="0" applyBorder="1" applyAlignment="1">
      <alignment horizontal="right" wrapText="1"/>
    </xf>
    <xf numFmtId="0" fontId="0" fillId="0" borderId="4" xfId="0" applyBorder="1" applyAlignment="1">
      <alignment horizontal="right" wrapText="1"/>
    </xf>
    <xf numFmtId="167" fontId="0" fillId="0" borderId="3" xfId="0" applyNumberFormat="1" applyBorder="1"/>
    <xf numFmtId="9" fontId="0" fillId="0" borderId="13" xfId="9" applyFont="1" applyBorder="1" applyAlignment="1"/>
    <xf numFmtId="9" fontId="0" fillId="0" borderId="13" xfId="0" applyNumberFormat="1" applyBorder="1"/>
    <xf numFmtId="0" fontId="0" fillId="0" borderId="0" xfId="0" applyProtection="1">
      <protection hidden="1"/>
    </xf>
    <xf numFmtId="0" fontId="18" fillId="0" borderId="7" xfId="9" applyNumberFormat="1" applyFont="1" applyFill="1" applyBorder="1" applyAlignment="1">
      <alignment horizontal="right"/>
    </xf>
    <xf numFmtId="0" fontId="18" fillId="0" borderId="8" xfId="9" applyNumberFormat="1" applyFont="1" applyFill="1" applyBorder="1" applyAlignment="1">
      <alignment horizontal="right"/>
    </xf>
    <xf numFmtId="0" fontId="18" fillId="0" borderId="0" xfId="9" applyNumberFormat="1" applyFont="1" applyFill="1" applyBorder="1" applyAlignment="1" applyProtection="1">
      <protection hidden="1"/>
    </xf>
    <xf numFmtId="0" fontId="18" fillId="0" borderId="10" xfId="9" applyNumberFormat="1" applyFont="1" applyFill="1" applyBorder="1" applyAlignment="1"/>
    <xf numFmtId="165" fontId="18" fillId="0" borderId="9" xfId="1" applyNumberFormat="1" applyFont="1" applyFill="1" applyBorder="1" applyAlignment="1"/>
    <xf numFmtId="165" fontId="0" fillId="0" borderId="14" xfId="0" applyNumberFormat="1" applyBorder="1"/>
    <xf numFmtId="0" fontId="18" fillId="0" borderId="6" xfId="9" applyNumberFormat="1" applyFont="1" applyFill="1" applyBorder="1" applyAlignment="1">
      <alignment horizontal="right"/>
    </xf>
    <xf numFmtId="0" fontId="18" fillId="0" borderId="12" xfId="9" applyNumberFormat="1" applyFont="1" applyFill="1" applyBorder="1" applyAlignment="1"/>
    <xf numFmtId="0" fontId="18" fillId="27" borderId="12" xfId="9" applyNumberFormat="1" applyFont="1" applyFill="1" applyBorder="1" applyAlignment="1"/>
    <xf numFmtId="0" fontId="18" fillId="27" borderId="3" xfId="9" applyNumberFormat="1" applyFont="1" applyFill="1" applyBorder="1" applyAlignment="1"/>
    <xf numFmtId="167" fontId="0" fillId="27" borderId="13" xfId="0" applyNumberFormat="1" applyFill="1" applyBorder="1"/>
    <xf numFmtId="167" fontId="0" fillId="26" borderId="10" xfId="0" applyNumberFormat="1" applyFill="1" applyBorder="1"/>
    <xf numFmtId="167" fontId="18" fillId="27" borderId="10" xfId="0" applyNumberFormat="1" applyFont="1" applyFill="1" applyBorder="1"/>
    <xf numFmtId="167" fontId="0" fillId="26" borderId="2" xfId="0" applyNumberFormat="1" applyFill="1" applyBorder="1"/>
    <xf numFmtId="0" fontId="0" fillId="26" borderId="2" xfId="0" applyFill="1" applyBorder="1"/>
    <xf numFmtId="167" fontId="0" fillId="26" borderId="0" xfId="0" applyNumberFormat="1" applyFill="1"/>
    <xf numFmtId="0" fontId="0" fillId="26" borderId="4" xfId="0" applyFill="1" applyBorder="1"/>
    <xf numFmtId="2" fontId="0" fillId="16" borderId="3" xfId="0" applyNumberFormat="1" applyFill="1" applyBorder="1"/>
    <xf numFmtId="2" fontId="0" fillId="0" borderId="13" xfId="0" applyNumberFormat="1" applyBorder="1"/>
    <xf numFmtId="2" fontId="0" fillId="26" borderId="4" xfId="0" applyNumberFormat="1" applyFill="1" applyBorder="1"/>
    <xf numFmtId="0" fontId="18" fillId="0" borderId="3" xfId="9" applyNumberFormat="1" applyFont="1" applyFill="1" applyBorder="1" applyAlignment="1"/>
    <xf numFmtId="167" fontId="0" fillId="26" borderId="13" xfId="0" applyNumberFormat="1" applyFill="1" applyBorder="1"/>
    <xf numFmtId="0" fontId="13" fillId="0" borderId="1" xfId="0" applyFont="1" applyBorder="1" applyAlignment="1">
      <alignment horizontal="right"/>
    </xf>
    <xf numFmtId="0" fontId="18" fillId="0" borderId="12" xfId="1" applyNumberFormat="1" applyFont="1" applyFill="1" applyBorder="1" applyAlignment="1">
      <alignment horizontal="right"/>
    </xf>
    <xf numFmtId="0" fontId="18" fillId="0" borderId="3" xfId="1" applyNumberFormat="1" applyFont="1" applyFill="1" applyBorder="1" applyAlignment="1">
      <alignment horizontal="right"/>
    </xf>
    <xf numFmtId="0" fontId="18" fillId="0" borderId="0" xfId="1" applyNumberFormat="1" applyFont="1" applyFill="1" applyBorder="1" applyAlignment="1">
      <alignment horizontal="right"/>
    </xf>
    <xf numFmtId="0" fontId="0" fillId="0" borderId="10" xfId="0" applyBorder="1" applyAlignment="1">
      <alignment horizontal="right" wrapText="1"/>
    </xf>
    <xf numFmtId="0" fontId="0" fillId="0" borderId="2" xfId="0" applyBorder="1" applyAlignment="1">
      <alignment horizontal="right" wrapText="1"/>
    </xf>
    <xf numFmtId="170" fontId="0" fillId="25" borderId="10" xfId="0" applyNumberFormat="1" applyFill="1" applyBorder="1"/>
    <xf numFmtId="166" fontId="0" fillId="0" borderId="2" xfId="0" applyNumberFormat="1" applyBorder="1"/>
    <xf numFmtId="0" fontId="0" fillId="2" borderId="0" xfId="0" applyFill="1" applyAlignment="1">
      <alignment horizontal="right"/>
    </xf>
    <xf numFmtId="0" fontId="0" fillId="2" borderId="5" xfId="0" applyFill="1" applyBorder="1" applyAlignment="1">
      <alignment horizontal="right"/>
    </xf>
    <xf numFmtId="0" fontId="0" fillId="2" borderId="13" xfId="0" applyFill="1" applyBorder="1" applyAlignment="1">
      <alignment horizontal="right"/>
    </xf>
    <xf numFmtId="0" fontId="0" fillId="2" borderId="4" xfId="0" applyFill="1" applyBorder="1" applyAlignment="1">
      <alignment horizontal="right"/>
    </xf>
    <xf numFmtId="0" fontId="0" fillId="24" borderId="0" xfId="0" applyFill="1" applyAlignment="1">
      <alignment horizontal="center"/>
    </xf>
    <xf numFmtId="0" fontId="0" fillId="0" borderId="10" xfId="0" applyBorder="1" applyAlignment="1">
      <alignment horizontal="right"/>
    </xf>
    <xf numFmtId="0" fontId="0" fillId="0" borderId="2" xfId="0" applyBorder="1" applyAlignment="1">
      <alignment horizontal="right"/>
    </xf>
    <xf numFmtId="165" fontId="0" fillId="2" borderId="10" xfId="0" applyNumberFormat="1" applyFill="1" applyBorder="1"/>
    <xf numFmtId="9" fontId="0" fillId="2" borderId="1" xfId="0" applyNumberFormat="1" applyFill="1" applyBorder="1"/>
    <xf numFmtId="9" fontId="0" fillId="0" borderId="10" xfId="0" applyNumberFormat="1" applyBorder="1"/>
    <xf numFmtId="165" fontId="0" fillId="2" borderId="12" xfId="0" applyNumberFormat="1" applyFill="1" applyBorder="1"/>
    <xf numFmtId="165" fontId="0" fillId="2" borderId="0" xfId="0" applyNumberFormat="1" applyFill="1"/>
    <xf numFmtId="0" fontId="0" fillId="0" borderId="6" xfId="0" applyBorder="1" applyAlignment="1">
      <alignment horizontal="right" wrapText="1"/>
    </xf>
    <xf numFmtId="169" fontId="0" fillId="2" borderId="12" xfId="0" applyNumberFormat="1" applyFill="1" applyBorder="1"/>
    <xf numFmtId="169" fontId="0" fillId="2" borderId="5" xfId="0" applyNumberFormat="1" applyFill="1" applyBorder="1"/>
    <xf numFmtId="169" fontId="0" fillId="2" borderId="0" xfId="0" applyNumberFormat="1" applyFill="1"/>
    <xf numFmtId="169" fontId="0" fillId="2" borderId="3" xfId="0" applyNumberFormat="1" applyFill="1" applyBorder="1"/>
    <xf numFmtId="169" fontId="0" fillId="0" borderId="4" xfId="0" applyNumberFormat="1" applyBorder="1"/>
    <xf numFmtId="169" fontId="0" fillId="2" borderId="13" xfId="0" applyNumberFormat="1" applyFill="1" applyBorder="1"/>
    <xf numFmtId="169" fontId="0" fillId="0" borderId="13" xfId="0" applyNumberFormat="1" applyBorder="1"/>
    <xf numFmtId="166" fontId="0" fillId="0" borderId="1" xfId="0" applyNumberFormat="1" applyBorder="1"/>
    <xf numFmtId="166" fontId="0" fillId="0" borderId="10" xfId="0" applyNumberFormat="1" applyBorder="1"/>
    <xf numFmtId="169" fontId="0" fillId="0" borderId="12" xfId="0" applyNumberFormat="1" applyBorder="1"/>
    <xf numFmtId="169" fontId="0" fillId="0" borderId="5" xfId="0" applyNumberFormat="1" applyBorder="1"/>
    <xf numFmtId="169" fontId="0" fillId="0" borderId="0" xfId="0" applyNumberFormat="1"/>
    <xf numFmtId="169" fontId="0" fillId="0" borderId="3" xfId="0" applyNumberFormat="1" applyBorder="1"/>
    <xf numFmtId="167" fontId="0" fillId="2" borderId="0" xfId="9" applyNumberFormat="1" applyFont="1" applyFill="1" applyBorder="1" applyAlignment="1"/>
    <xf numFmtId="0" fontId="0" fillId="0" borderId="9" xfId="0" applyBorder="1" applyAlignment="1">
      <alignment horizontal="right"/>
    </xf>
    <xf numFmtId="167" fontId="0" fillId="2" borderId="6" xfId="9" applyNumberFormat="1" applyFont="1" applyFill="1" applyBorder="1" applyAlignment="1"/>
    <xf numFmtId="167" fontId="0" fillId="2" borderId="7" xfId="9" applyNumberFormat="1" applyFont="1" applyFill="1" applyBorder="1" applyAlignment="1"/>
    <xf numFmtId="167" fontId="0" fillId="2" borderId="8" xfId="9" applyNumberFormat="1" applyFont="1" applyFill="1" applyBorder="1" applyAlignment="1"/>
    <xf numFmtId="0" fontId="0" fillId="0" borderId="5" xfId="0" applyBorder="1" applyAlignment="1">
      <alignment horizontal="center" wrapText="1"/>
    </xf>
    <xf numFmtId="0" fontId="3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right" vertical="center"/>
    </xf>
    <xf numFmtId="0" fontId="0" fillId="24" borderId="0" xfId="0" applyFill="1" applyAlignment="1">
      <alignment horizontal="center" vertical="center"/>
    </xf>
    <xf numFmtId="0" fontId="0" fillId="0" borderId="1" xfId="0" applyBorder="1" applyAlignment="1">
      <alignment horizontal="right" vertical="center"/>
    </xf>
    <xf numFmtId="0" fontId="0" fillId="0" borderId="10" xfId="0" applyBorder="1" applyAlignment="1">
      <alignment horizontal="right" vertical="center"/>
    </xf>
    <xf numFmtId="0" fontId="0" fillId="0" borderId="2" xfId="0" applyBorder="1" applyAlignment="1">
      <alignment horizontal="right" vertical="center"/>
    </xf>
    <xf numFmtId="0" fontId="0" fillId="0" borderId="3" xfId="0" applyBorder="1" applyAlignment="1">
      <alignment horizontal="right" vertical="center"/>
    </xf>
    <xf numFmtId="0" fontId="0" fillId="0" borderId="13" xfId="0" applyBorder="1" applyAlignment="1">
      <alignment horizontal="right" vertical="center"/>
    </xf>
    <xf numFmtId="0" fontId="0" fillId="0" borderId="4" xfId="0" applyBorder="1" applyAlignment="1">
      <alignment horizontal="right" vertical="center"/>
    </xf>
    <xf numFmtId="0" fontId="0" fillId="0" borderId="1" xfId="0" applyBorder="1" applyAlignment="1">
      <alignment horizontal="left" vertical="center"/>
    </xf>
    <xf numFmtId="0" fontId="0" fillId="0" borderId="12" xfId="0" applyBorder="1" applyAlignment="1">
      <alignment horizontal="right" vertical="center"/>
    </xf>
    <xf numFmtId="3" fontId="0" fillId="0" borderId="0" xfId="0" applyNumberFormat="1" applyAlignment="1">
      <alignment horizontal="right" vertical="center"/>
    </xf>
    <xf numFmtId="0" fontId="0" fillId="0" borderId="5" xfId="0" applyBorder="1" applyAlignment="1">
      <alignment horizontal="right" vertical="center"/>
    </xf>
    <xf numFmtId="183" fontId="0" fillId="0" borderId="12" xfId="0" applyNumberFormat="1" applyBorder="1" applyAlignment="1">
      <alignment horizontal="right" vertical="center"/>
    </xf>
    <xf numFmtId="0" fontId="0" fillId="0" borderId="31" xfId="0" applyBorder="1" applyAlignment="1">
      <alignment horizontal="right" vertical="center"/>
    </xf>
    <xf numFmtId="3" fontId="0" fillId="0" borderId="32" xfId="0" applyNumberFormat="1" applyBorder="1" applyAlignment="1">
      <alignment horizontal="right" vertical="center"/>
    </xf>
    <xf numFmtId="0" fontId="0" fillId="0" borderId="33" xfId="0" applyBorder="1" applyAlignment="1">
      <alignment horizontal="right" vertical="center"/>
    </xf>
    <xf numFmtId="0" fontId="0" fillId="0" borderId="34" xfId="0" applyBorder="1" applyAlignment="1">
      <alignment horizontal="left" vertical="center"/>
    </xf>
    <xf numFmtId="3" fontId="0" fillId="0" borderId="35" xfId="0" applyNumberFormat="1" applyBorder="1" applyAlignment="1">
      <alignment horizontal="right" vertical="center"/>
    </xf>
    <xf numFmtId="0" fontId="0" fillId="0" borderId="36" xfId="0" applyBorder="1" applyAlignment="1">
      <alignment horizontal="right" vertical="center"/>
    </xf>
    <xf numFmtId="0" fontId="0" fillId="0" borderId="34" xfId="0" applyBorder="1" applyAlignment="1">
      <alignment horizontal="right" vertical="center"/>
    </xf>
    <xf numFmtId="0" fontId="0" fillId="0" borderId="35" xfId="0" applyBorder="1" applyAlignment="1">
      <alignment horizontal="left" vertical="center"/>
    </xf>
    <xf numFmtId="0" fontId="0" fillId="0" borderId="32" xfId="0" applyBorder="1" applyAlignment="1">
      <alignment horizontal="left" vertical="center"/>
    </xf>
    <xf numFmtId="169" fontId="0" fillId="0" borderId="31" xfId="0" applyNumberFormat="1" applyBorder="1" applyAlignment="1">
      <alignment horizontal="right" vertical="center"/>
    </xf>
    <xf numFmtId="0" fontId="0" fillId="0" borderId="3" xfId="0" applyBorder="1" applyAlignment="1">
      <alignment horizontal="left" vertical="center"/>
    </xf>
    <xf numFmtId="3" fontId="0" fillId="0" borderId="13" xfId="0" applyNumberFormat="1" applyBorder="1" applyAlignment="1">
      <alignment horizontal="right" vertical="center"/>
    </xf>
    <xf numFmtId="169" fontId="0" fillId="27" borderId="3" xfId="0" applyNumberFormat="1" applyFill="1" applyBorder="1" applyAlignment="1">
      <alignment horizontal="right" vertical="center"/>
    </xf>
    <xf numFmtId="0" fontId="0" fillId="0" borderId="13" xfId="0" applyBorder="1" applyAlignment="1">
      <alignment horizontal="left" vertical="center"/>
    </xf>
    <xf numFmtId="0" fontId="13" fillId="0" borderId="6" xfId="0" applyFont="1" applyBorder="1" applyAlignment="1">
      <alignment textRotation="90" wrapText="1"/>
    </xf>
    <xf numFmtId="167" fontId="18" fillId="0" borderId="6" xfId="9" applyNumberFormat="1" applyFont="1" applyFill="1" applyBorder="1" applyAlignment="1"/>
    <xf numFmtId="167" fontId="18" fillId="0" borderId="7" xfId="9" applyNumberFormat="1" applyFont="1" applyFill="1" applyBorder="1" applyAlignment="1"/>
    <xf numFmtId="167" fontId="18" fillId="0" borderId="8" xfId="9" applyNumberFormat="1" applyFont="1" applyFill="1" applyBorder="1" applyAlignment="1"/>
    <xf numFmtId="0" fontId="13" fillId="0" borderId="3" xfId="0" applyFont="1" applyBorder="1" applyAlignment="1">
      <alignment textRotation="90" wrapText="1"/>
    </xf>
    <xf numFmtId="0" fontId="13" fillId="0" borderId="13" xfId="0" applyFont="1" applyBorder="1" applyAlignment="1">
      <alignment textRotation="90" wrapText="1"/>
    </xf>
    <xf numFmtId="0" fontId="13" fillId="0" borderId="4" xfId="0" applyFont="1" applyBorder="1" applyAlignment="1">
      <alignment textRotation="90" wrapText="1"/>
    </xf>
    <xf numFmtId="0" fontId="13" fillId="26" borderId="13" xfId="0" applyFont="1" applyFill="1" applyBorder="1" applyAlignment="1">
      <alignment textRotation="90" wrapText="1"/>
    </xf>
    <xf numFmtId="0" fontId="13" fillId="26" borderId="4" xfId="0" applyFont="1" applyFill="1" applyBorder="1" applyAlignment="1">
      <alignment textRotation="90" wrapText="1"/>
    </xf>
    <xf numFmtId="0" fontId="13" fillId="27" borderId="13" xfId="0" applyFont="1" applyFill="1" applyBorder="1" applyAlignment="1">
      <alignment textRotation="90" wrapText="1"/>
    </xf>
    <xf numFmtId="0" fontId="13" fillId="27" borderId="3" xfId="0" applyFont="1" applyFill="1" applyBorder="1" applyAlignment="1">
      <alignment textRotation="90" wrapText="1"/>
    </xf>
    <xf numFmtId="0" fontId="13" fillId="27" borderId="4" xfId="0" applyFont="1" applyFill="1" applyBorder="1" applyAlignment="1">
      <alignment textRotation="90" wrapText="1"/>
    </xf>
    <xf numFmtId="0" fontId="13" fillId="27" borderId="6" xfId="0" applyFont="1" applyFill="1" applyBorder="1" applyAlignment="1">
      <alignment textRotation="90" wrapText="1"/>
    </xf>
    <xf numFmtId="0" fontId="13" fillId="27" borderId="8" xfId="0" applyFont="1" applyFill="1" applyBorder="1" applyAlignment="1">
      <alignment textRotation="90" wrapText="1"/>
    </xf>
    <xf numFmtId="0" fontId="13" fillId="27" borderId="7" xfId="0" applyFont="1" applyFill="1" applyBorder="1" applyAlignment="1">
      <alignment textRotation="90" wrapText="1"/>
    </xf>
    <xf numFmtId="167" fontId="18" fillId="16" borderId="12" xfId="9" applyNumberFormat="1" applyFont="1" applyFill="1" applyBorder="1" applyAlignment="1"/>
    <xf numFmtId="167" fontId="18" fillId="26" borderId="0" xfId="9" applyNumberFormat="1" applyFont="1" applyFill="1" applyBorder="1" applyAlignment="1"/>
    <xf numFmtId="167" fontId="18" fillId="26" borderId="5" xfId="9" applyNumberFormat="1" applyFont="1" applyFill="1" applyBorder="1" applyAlignment="1"/>
    <xf numFmtId="167" fontId="0" fillId="0" borderId="1" xfId="0" applyNumberFormat="1" applyBorder="1"/>
    <xf numFmtId="170" fontId="0" fillId="27" borderId="12" xfId="0" applyNumberFormat="1" applyFill="1" applyBorder="1"/>
    <xf numFmtId="0" fontId="13" fillId="0" borderId="9" xfId="0" applyFont="1" applyBorder="1" applyAlignment="1">
      <alignment wrapText="1"/>
    </xf>
    <xf numFmtId="167" fontId="18" fillId="16" borderId="1" xfId="9" applyNumberFormat="1" applyFont="1" applyFill="1" applyBorder="1" applyAlignment="1"/>
    <xf numFmtId="167" fontId="0" fillId="27" borderId="10" xfId="0" applyNumberFormat="1" applyFill="1" applyBorder="1"/>
    <xf numFmtId="167" fontId="0" fillId="27" borderId="2" xfId="0" applyNumberFormat="1" applyFill="1" applyBorder="1"/>
    <xf numFmtId="167" fontId="0" fillId="0" borderId="9" xfId="0" applyNumberFormat="1" applyBorder="1"/>
    <xf numFmtId="0" fontId="13" fillId="0" borderId="11" xfId="0" applyFont="1" applyBorder="1" applyAlignment="1">
      <alignment wrapText="1"/>
    </xf>
    <xf numFmtId="4" fontId="18" fillId="0" borderId="12" xfId="1" applyNumberFormat="1" applyFont="1" applyFill="1" applyBorder="1" applyAlignment="1"/>
    <xf numFmtId="4" fontId="18" fillId="0" borderId="0" xfId="1" applyNumberFormat="1" applyFont="1" applyBorder="1" applyAlignment="1"/>
    <xf numFmtId="4" fontId="18" fillId="0" borderId="0" xfId="1" applyNumberFormat="1" applyFont="1" applyFill="1" applyBorder="1" applyAlignment="1"/>
    <xf numFmtId="4" fontId="18" fillId="0" borderId="5" xfId="1" applyNumberFormat="1" applyFont="1" applyBorder="1" applyAlignment="1"/>
    <xf numFmtId="4" fontId="18" fillId="0" borderId="5" xfId="1" applyNumberFormat="1" applyFont="1" applyFill="1" applyBorder="1" applyAlignment="1"/>
    <xf numFmtId="4" fontId="18" fillId="26" borderId="0" xfId="1" applyNumberFormat="1" applyFont="1" applyFill="1" applyBorder="1" applyAlignment="1"/>
    <xf numFmtId="4" fontId="18" fillId="26" borderId="5" xfId="1" applyNumberFormat="1" applyFont="1" applyFill="1" applyBorder="1" applyAlignment="1"/>
    <xf numFmtId="4" fontId="18" fillId="16" borderId="12" xfId="1" applyNumberFormat="1" applyFont="1" applyFill="1" applyBorder="1" applyAlignment="1"/>
    <xf numFmtId="4" fontId="0" fillId="26" borderId="0" xfId="0" applyNumberFormat="1" applyFill="1"/>
    <xf numFmtId="4" fontId="0" fillId="0" borderId="5" xfId="0" applyNumberFormat="1" applyBorder="1"/>
    <xf numFmtId="4" fontId="18" fillId="27" borderId="0" xfId="1" applyNumberFormat="1" applyFont="1" applyFill="1" applyBorder="1" applyAlignment="1"/>
    <xf numFmtId="4" fontId="0" fillId="27" borderId="0" xfId="0" applyNumberFormat="1" applyFill="1"/>
    <xf numFmtId="4" fontId="18" fillId="27" borderId="12" xfId="1" applyNumberFormat="1" applyFont="1" applyFill="1" applyBorder="1" applyAlignment="1"/>
    <xf numFmtId="4" fontId="18" fillId="27" borderId="5" xfId="1" applyNumberFormat="1" applyFont="1" applyFill="1" applyBorder="1" applyAlignment="1"/>
    <xf numFmtId="4" fontId="18" fillId="0" borderId="11" xfId="1" applyNumberFormat="1" applyFont="1" applyBorder="1" applyAlignment="1"/>
    <xf numFmtId="0" fontId="0" fillId="26" borderId="10" xfId="0" applyFill="1" applyBorder="1"/>
    <xf numFmtId="167" fontId="18" fillId="0" borderId="12" xfId="9" applyNumberFormat="1" applyFont="1" applyBorder="1" applyAlignment="1"/>
    <xf numFmtId="167" fontId="18" fillId="0" borderId="0" xfId="9" applyNumberFormat="1" applyFont="1" applyBorder="1" applyAlignment="1"/>
    <xf numFmtId="167" fontId="18" fillId="0" borderId="11" xfId="9" applyNumberFormat="1" applyFont="1" applyBorder="1" applyAlignment="1"/>
    <xf numFmtId="167" fontId="18" fillId="2" borderId="5" xfId="9" applyNumberFormat="1" applyFont="1" applyFill="1" applyBorder="1" applyAlignment="1"/>
    <xf numFmtId="167" fontId="18" fillId="26" borderId="13" xfId="9" applyNumberFormat="1" applyFont="1" applyFill="1" applyBorder="1" applyAlignment="1"/>
    <xf numFmtId="167" fontId="18" fillId="26" borderId="4" xfId="9" applyNumberFormat="1" applyFont="1" applyFill="1" applyBorder="1" applyAlignment="1"/>
    <xf numFmtId="0" fontId="0" fillId="26" borderId="0" xfId="0" applyFill="1"/>
    <xf numFmtId="0" fontId="0" fillId="26" borderId="5" xfId="0" applyFill="1" applyBorder="1"/>
    <xf numFmtId="3" fontId="18" fillId="0" borderId="12" xfId="1" applyNumberFormat="1" applyFont="1" applyBorder="1" applyAlignment="1"/>
    <xf numFmtId="3" fontId="18" fillId="0" borderId="0" xfId="1" applyNumberFormat="1" applyFont="1" applyBorder="1" applyAlignment="1"/>
    <xf numFmtId="3" fontId="18" fillId="0" borderId="5" xfId="1" applyNumberFormat="1" applyFont="1" applyBorder="1" applyAlignment="1"/>
    <xf numFmtId="3" fontId="18" fillId="0" borderId="12" xfId="1" applyNumberFormat="1" applyFont="1" applyFill="1" applyBorder="1" applyAlignment="1"/>
    <xf numFmtId="3" fontId="18" fillId="0" borderId="0" xfId="1" applyNumberFormat="1" applyFont="1" applyFill="1" applyBorder="1" applyAlignment="1"/>
    <xf numFmtId="3" fontId="18" fillId="26" borderId="0" xfId="1" applyNumberFormat="1" applyFont="1" applyFill="1" applyBorder="1" applyAlignment="1"/>
    <xf numFmtId="3" fontId="18" fillId="26" borderId="5" xfId="1" applyNumberFormat="1" applyFont="1" applyFill="1" applyBorder="1" applyAlignment="1"/>
    <xf numFmtId="3" fontId="18" fillId="0" borderId="5" xfId="1" applyNumberFormat="1" applyFont="1" applyFill="1" applyBorder="1" applyAlignment="1"/>
    <xf numFmtId="3" fontId="18" fillId="27" borderId="0" xfId="1" applyNumberFormat="1" applyFont="1" applyFill="1" applyBorder="1" applyAlignment="1"/>
    <xf numFmtId="3" fontId="18" fillId="27" borderId="12" xfId="1" applyNumberFormat="1" applyFont="1" applyFill="1" applyBorder="1" applyAlignment="1"/>
    <xf numFmtId="3" fontId="18" fillId="27" borderId="5" xfId="1" applyNumberFormat="1" applyFont="1" applyFill="1" applyBorder="1" applyAlignment="1"/>
    <xf numFmtId="3" fontId="18" fillId="0" borderId="11" xfId="1" applyNumberFormat="1" applyFont="1" applyBorder="1" applyAlignment="1"/>
    <xf numFmtId="3" fontId="18" fillId="0" borderId="11" xfId="1" applyNumberFormat="1" applyFont="1" applyFill="1" applyBorder="1" applyAlignment="1"/>
    <xf numFmtId="3" fontId="18" fillId="2" borderId="12" xfId="1" applyNumberFormat="1" applyFont="1" applyFill="1" applyBorder="1" applyAlignment="1"/>
    <xf numFmtId="3" fontId="18" fillId="0" borderId="0" xfId="9" applyNumberFormat="1" applyFont="1" applyFill="1" applyBorder="1" applyAlignment="1"/>
    <xf numFmtId="2" fontId="0" fillId="27" borderId="0" xfId="0" applyNumberFormat="1" applyFill="1"/>
    <xf numFmtId="3" fontId="0" fillId="0" borderId="12" xfId="0" applyNumberFormat="1" applyBorder="1" applyAlignment="1">
      <alignment horizontal="right" vertical="center"/>
    </xf>
    <xf numFmtId="3" fontId="0" fillId="0" borderId="5" xfId="0" applyNumberFormat="1" applyBorder="1" applyAlignment="1">
      <alignment horizontal="right" vertical="center"/>
    </xf>
    <xf numFmtId="0" fontId="0" fillId="27" borderId="4" xfId="0" applyFill="1" applyBorder="1"/>
    <xf numFmtId="3" fontId="0" fillId="0" borderId="3" xfId="0" applyNumberFormat="1" applyBorder="1" applyAlignment="1">
      <alignment horizontal="right" vertical="center"/>
    </xf>
    <xf numFmtId="3" fontId="0" fillId="0" borderId="4" xfId="0" applyNumberFormat="1" applyBorder="1" applyAlignment="1">
      <alignment horizontal="right" vertical="center"/>
    </xf>
    <xf numFmtId="3" fontId="18" fillId="0" borderId="1" xfId="1" applyNumberFormat="1" applyFont="1" applyFill="1" applyBorder="1" applyAlignment="1"/>
    <xf numFmtId="3" fontId="18" fillId="0" borderId="10" xfId="1" applyNumberFormat="1" applyFont="1" applyFill="1" applyBorder="1" applyAlignment="1"/>
    <xf numFmtId="3" fontId="0" fillId="26" borderId="10" xfId="0" applyNumberFormat="1" applyFill="1" applyBorder="1"/>
    <xf numFmtId="3" fontId="0" fillId="26" borderId="2" xfId="0" applyNumberFormat="1" applyFill="1" applyBorder="1"/>
    <xf numFmtId="3" fontId="0" fillId="27" borderId="10" xfId="0" applyNumberFormat="1" applyFill="1" applyBorder="1"/>
    <xf numFmtId="3" fontId="18" fillId="0" borderId="10" xfId="1" applyNumberFormat="1" applyFont="1" applyBorder="1" applyAlignment="1"/>
    <xf numFmtId="3" fontId="18" fillId="26" borderId="10" xfId="1" applyNumberFormat="1" applyFont="1" applyFill="1" applyBorder="1" applyAlignment="1"/>
    <xf numFmtId="3" fontId="18" fillId="27" borderId="10" xfId="1" applyNumberFormat="1" applyFont="1" applyFill="1" applyBorder="1" applyAlignment="1"/>
    <xf numFmtId="3" fontId="18" fillId="0" borderId="2" xfId="1" applyNumberFormat="1" applyFont="1" applyFill="1" applyBorder="1" applyAlignment="1"/>
    <xf numFmtId="3" fontId="18" fillId="27" borderId="1" xfId="1" applyNumberFormat="1" applyFont="1" applyFill="1" applyBorder="1" applyAlignment="1"/>
    <xf numFmtId="3" fontId="18" fillId="27" borderId="2" xfId="1" applyNumberFormat="1" applyFont="1" applyFill="1" applyBorder="1" applyAlignment="1"/>
    <xf numFmtId="3" fontId="0" fillId="27" borderId="1" xfId="0" applyNumberFormat="1" applyFill="1" applyBorder="1"/>
    <xf numFmtId="3" fontId="0" fillId="27" borderId="2" xfId="0" applyNumberFormat="1" applyFill="1" applyBorder="1"/>
    <xf numFmtId="3" fontId="0" fillId="0" borderId="1" xfId="0" applyNumberFormat="1" applyBorder="1" applyAlignment="1">
      <alignment horizontal="right" vertical="center" wrapText="1"/>
    </xf>
    <xf numFmtId="3" fontId="0" fillId="0" borderId="10" xfId="0" applyNumberFormat="1" applyBorder="1" applyAlignment="1">
      <alignment horizontal="right" vertical="center" wrapText="1"/>
    </xf>
    <xf numFmtId="3" fontId="0" fillId="0" borderId="10" xfId="0" applyNumberFormat="1" applyBorder="1" applyAlignment="1">
      <alignment horizontal="right" vertical="center"/>
    </xf>
    <xf numFmtId="3" fontId="0" fillId="0" borderId="2" xfId="0" applyNumberFormat="1" applyBorder="1" applyAlignment="1">
      <alignment horizontal="right" vertical="center"/>
    </xf>
    <xf numFmtId="3" fontId="0" fillId="0" borderId="1" xfId="0" applyNumberFormat="1" applyBorder="1" applyAlignment="1">
      <alignment horizontal="right" vertical="center"/>
    </xf>
    <xf numFmtId="3" fontId="0" fillId="27" borderId="12" xfId="0" applyNumberFormat="1" applyFill="1" applyBorder="1"/>
    <xf numFmtId="3" fontId="0" fillId="0" borderId="12" xfId="0" applyNumberFormat="1" applyBorder="1" applyAlignment="1">
      <alignment horizontal="right" vertical="center" wrapText="1"/>
    </xf>
    <xf numFmtId="3" fontId="0" fillId="0" borderId="0" xfId="0" applyNumberFormat="1" applyAlignment="1">
      <alignment horizontal="right" vertical="center" wrapText="1"/>
    </xf>
    <xf numFmtId="3" fontId="18" fillId="0" borderId="3" xfId="1" applyNumberFormat="1" applyFont="1" applyFill="1" applyBorder="1" applyAlignment="1"/>
    <xf numFmtId="3" fontId="18" fillId="0" borderId="13" xfId="1" applyNumberFormat="1" applyFont="1" applyFill="1" applyBorder="1" applyAlignment="1"/>
    <xf numFmtId="3" fontId="18" fillId="0" borderId="4" xfId="1" applyNumberFormat="1" applyFont="1" applyFill="1" applyBorder="1" applyAlignment="1"/>
    <xf numFmtId="3" fontId="18" fillId="26" borderId="13" xfId="1" applyNumberFormat="1" applyFont="1" applyFill="1" applyBorder="1" applyAlignment="1"/>
    <xf numFmtId="3" fontId="18" fillId="0" borderId="13" xfId="1" applyNumberFormat="1" applyFont="1" applyBorder="1" applyAlignment="1"/>
    <xf numFmtId="3" fontId="18" fillId="27" borderId="13" xfId="1" applyNumberFormat="1" applyFont="1" applyFill="1" applyBorder="1" applyAlignment="1"/>
    <xf numFmtId="3" fontId="18" fillId="27" borderId="3" xfId="1" applyNumberFormat="1" applyFont="1" applyFill="1" applyBorder="1" applyAlignment="1"/>
    <xf numFmtId="3" fontId="18" fillId="27" borderId="4" xfId="1" applyNumberFormat="1" applyFont="1" applyFill="1" applyBorder="1" applyAlignment="1"/>
    <xf numFmtId="3" fontId="0" fillId="27" borderId="3" xfId="0" applyNumberFormat="1" applyFill="1" applyBorder="1"/>
    <xf numFmtId="3" fontId="0" fillId="0" borderId="3" xfId="0" applyNumberFormat="1" applyBorder="1" applyAlignment="1">
      <alignment horizontal="right" vertical="center" wrapText="1"/>
    </xf>
    <xf numFmtId="3" fontId="18" fillId="0" borderId="14" xfId="1" applyNumberFormat="1" applyFont="1" applyFill="1" applyBorder="1" applyAlignment="1"/>
    <xf numFmtId="170" fontId="18" fillId="0" borderId="6" xfId="1" applyNumberFormat="1" applyFont="1" applyFill="1" applyBorder="1" applyAlignment="1"/>
    <xf numFmtId="170" fontId="18" fillId="0" borderId="7" xfId="1" applyNumberFormat="1" applyFont="1" applyFill="1" applyBorder="1" applyAlignment="1"/>
    <xf numFmtId="170" fontId="0" fillId="26" borderId="7" xfId="0" applyNumberFormat="1" applyFill="1" applyBorder="1"/>
    <xf numFmtId="170" fontId="0" fillId="26" borderId="8" xfId="0" applyNumberFormat="1" applyFill="1" applyBorder="1"/>
    <xf numFmtId="170" fontId="0" fillId="27" borderId="7" xfId="0" applyNumberFormat="1" applyFill="1" applyBorder="1"/>
    <xf numFmtId="3" fontId="0" fillId="0" borderId="6" xfId="0" applyNumberFormat="1" applyBorder="1"/>
    <xf numFmtId="170" fontId="18" fillId="0" borderId="7" xfId="1" applyNumberFormat="1" applyFont="1" applyBorder="1" applyAlignment="1"/>
    <xf numFmtId="170" fontId="18" fillId="26" borderId="7" xfId="1" applyNumberFormat="1" applyFont="1" applyFill="1" applyBorder="1" applyAlignment="1"/>
    <xf numFmtId="170" fontId="18" fillId="27" borderId="7" xfId="1" applyNumberFormat="1" applyFont="1" applyFill="1" applyBorder="1" applyAlignment="1"/>
    <xf numFmtId="170" fontId="18" fillId="0" borderId="8" xfId="1" applyNumberFormat="1" applyFont="1" applyFill="1" applyBorder="1" applyAlignment="1"/>
    <xf numFmtId="170" fontId="18" fillId="27" borderId="6" xfId="1" applyNumberFormat="1" applyFont="1" applyFill="1" applyBorder="1" applyAlignment="1"/>
    <xf numFmtId="170" fontId="18" fillId="27" borderId="8" xfId="1" applyNumberFormat="1" applyFont="1" applyFill="1" applyBorder="1" applyAlignment="1"/>
    <xf numFmtId="170" fontId="0" fillId="27" borderId="3" xfId="0" applyNumberFormat="1" applyFill="1" applyBorder="1"/>
    <xf numFmtId="170" fontId="0" fillId="27" borderId="4" xfId="0" applyNumberFormat="1" applyFill="1" applyBorder="1"/>
    <xf numFmtId="166" fontId="0" fillId="0" borderId="6" xfId="0" applyNumberFormat="1" applyBorder="1" applyAlignment="1">
      <alignment horizontal="right" vertical="center" wrapText="1"/>
    </xf>
    <xf numFmtId="166" fontId="0" fillId="0" borderId="7" xfId="0" applyNumberFormat="1" applyBorder="1" applyAlignment="1">
      <alignment horizontal="right" vertical="center"/>
    </xf>
    <xf numFmtId="166" fontId="0" fillId="0" borderId="8" xfId="0" applyNumberFormat="1" applyBorder="1" applyAlignment="1">
      <alignment horizontal="right" vertical="center"/>
    </xf>
    <xf numFmtId="166" fontId="0" fillId="0" borderId="6" xfId="0" applyNumberFormat="1" applyBorder="1" applyAlignment="1">
      <alignment horizontal="right" vertical="center"/>
    </xf>
    <xf numFmtId="170" fontId="18" fillId="0" borderId="0" xfId="1" applyNumberFormat="1" applyFont="1" applyFill="1" applyBorder="1" applyAlignment="1"/>
    <xf numFmtId="170" fontId="18" fillId="0" borderId="12" xfId="1" applyNumberFormat="1" applyFont="1" applyFill="1" applyBorder="1" applyAlignment="1"/>
    <xf numFmtId="170" fontId="18" fillId="0" borderId="5" xfId="1" applyNumberFormat="1" applyFont="1" applyFill="1" applyBorder="1" applyAlignment="1"/>
    <xf numFmtId="170" fontId="18" fillId="27" borderId="12" xfId="1" applyNumberFormat="1" applyFont="1" applyFill="1" applyBorder="1" applyAlignment="1"/>
    <xf numFmtId="170" fontId="18" fillId="27" borderId="5" xfId="1" applyNumberFormat="1" applyFont="1" applyFill="1" applyBorder="1" applyAlignment="1"/>
    <xf numFmtId="170" fontId="18" fillId="27" borderId="0" xfId="1" applyNumberFormat="1" applyFont="1" applyFill="1" applyBorder="1" applyAlignment="1"/>
    <xf numFmtId="166" fontId="0" fillId="0" borderId="12" xfId="0" applyNumberFormat="1" applyBorder="1" applyAlignment="1">
      <alignment horizontal="right" vertical="center" wrapText="1"/>
    </xf>
    <xf numFmtId="166" fontId="0" fillId="0" borderId="0" xfId="0" applyNumberFormat="1" applyAlignment="1">
      <alignment horizontal="right" vertical="center"/>
    </xf>
    <xf numFmtId="166" fontId="0" fillId="0" borderId="5" xfId="0" applyNumberFormat="1" applyBorder="1" applyAlignment="1">
      <alignment horizontal="right" vertical="center"/>
    </xf>
    <xf numFmtId="166" fontId="0" fillId="0" borderId="12" xfId="0" applyNumberFormat="1" applyBorder="1" applyAlignment="1">
      <alignment horizontal="right" vertical="center"/>
    </xf>
    <xf numFmtId="170" fontId="18" fillId="26" borderId="0" xfId="1" applyNumberFormat="1" applyFont="1" applyFill="1" applyBorder="1" applyAlignment="1"/>
    <xf numFmtId="3" fontId="18" fillId="2" borderId="0" xfId="1" applyNumberFormat="1" applyFont="1" applyFill="1" applyBorder="1" applyAlignment="1"/>
    <xf numFmtId="3" fontId="0" fillId="26" borderId="0" xfId="1" applyNumberFormat="1" applyFont="1" applyFill="1" applyBorder="1" applyAlignment="1"/>
    <xf numFmtId="166" fontId="0" fillId="0" borderId="3" xfId="0" applyNumberFormat="1" applyBorder="1" applyAlignment="1">
      <alignment horizontal="right" vertical="center"/>
    </xf>
    <xf numFmtId="166" fontId="0" fillId="0" borderId="13" xfId="0" applyNumberFormat="1" applyBorder="1" applyAlignment="1">
      <alignment horizontal="right" vertical="center"/>
    </xf>
    <xf numFmtId="166" fontId="0" fillId="0" borderId="4" xfId="0" applyNumberFormat="1" applyBorder="1" applyAlignment="1">
      <alignment horizontal="right" vertical="center"/>
    </xf>
    <xf numFmtId="170" fontId="0" fillId="26" borderId="13" xfId="0" applyNumberFormat="1" applyFill="1" applyBorder="1"/>
    <xf numFmtId="170" fontId="0" fillId="26" borderId="4" xfId="0" applyNumberFormat="1" applyFill="1" applyBorder="1"/>
    <xf numFmtId="170" fontId="0" fillId="27" borderId="13" xfId="0" applyNumberFormat="1" applyFill="1" applyBorder="1"/>
    <xf numFmtId="170" fontId="18" fillId="0" borderId="13" xfId="1" applyNumberFormat="1" applyFont="1" applyFill="1" applyBorder="1" applyAlignment="1"/>
    <xf numFmtId="170" fontId="18" fillId="0" borderId="3" xfId="1" applyNumberFormat="1" applyFont="1" applyFill="1" applyBorder="1" applyAlignment="1"/>
    <xf numFmtId="170" fontId="18" fillId="0" borderId="4" xfId="1" applyNumberFormat="1" applyFont="1" applyFill="1" applyBorder="1" applyAlignment="1"/>
    <xf numFmtId="170" fontId="18" fillId="27" borderId="3" xfId="1" applyNumberFormat="1" applyFont="1" applyFill="1" applyBorder="1" applyAlignment="1"/>
    <xf numFmtId="170" fontId="18" fillId="27" borderId="4" xfId="1" applyNumberFormat="1" applyFont="1" applyFill="1" applyBorder="1" applyAlignment="1"/>
    <xf numFmtId="170" fontId="18" fillId="27" borderId="13" xfId="1" applyNumberFormat="1" applyFont="1" applyFill="1" applyBorder="1" applyAlignment="1"/>
    <xf numFmtId="166" fontId="0" fillId="0" borderId="3" xfId="0" applyNumberFormat="1" applyBorder="1" applyAlignment="1">
      <alignment horizontal="right" vertical="center" wrapText="1"/>
    </xf>
    <xf numFmtId="0" fontId="13" fillId="27" borderId="6" xfId="0" applyFont="1" applyFill="1" applyBorder="1" applyAlignment="1">
      <alignment horizontal="right"/>
    </xf>
    <xf numFmtId="0" fontId="13" fillId="27" borderId="8" xfId="0" applyFont="1" applyFill="1" applyBorder="1" applyAlignment="1">
      <alignment horizontal="right"/>
    </xf>
    <xf numFmtId="170" fontId="0" fillId="27" borderId="1" xfId="0" applyNumberFormat="1" applyFill="1" applyBorder="1"/>
    <xf numFmtId="0" fontId="13" fillId="0" borderId="1" xfId="0" applyFont="1" applyBorder="1" applyAlignment="1">
      <alignment horizontal="right" wrapText="1"/>
    </xf>
    <xf numFmtId="0" fontId="13" fillId="0" borderId="2" xfId="0" applyFont="1" applyBorder="1" applyAlignment="1">
      <alignment horizontal="right" wrapText="1"/>
    </xf>
    <xf numFmtId="0" fontId="0" fillId="0" borderId="10" xfId="9" applyNumberFormat="1" applyFont="1" applyFill="1" applyBorder="1" applyAlignment="1">
      <alignment horizontal="right"/>
    </xf>
    <xf numFmtId="9" fontId="18" fillId="2" borderId="13" xfId="9" applyFont="1" applyFill="1" applyBorder="1" applyAlignment="1">
      <alignment horizontal="right"/>
    </xf>
    <xf numFmtId="9" fontId="0" fillId="2" borderId="4" xfId="0" applyNumberFormat="1" applyFill="1" applyBorder="1" applyAlignment="1">
      <alignment horizontal="right"/>
    </xf>
    <xf numFmtId="0" fontId="13" fillId="26" borderId="1" xfId="0" applyFont="1" applyFill="1" applyBorder="1"/>
    <xf numFmtId="0" fontId="0" fillId="0" borderId="13" xfId="0" applyBorder="1" applyAlignment="1">
      <alignment horizontal="right"/>
    </xf>
    <xf numFmtId="0" fontId="0" fillId="26" borderId="3" xfId="0" applyFill="1" applyBorder="1"/>
    <xf numFmtId="0" fontId="0" fillId="26" borderId="13" xfId="0" applyFill="1" applyBorder="1"/>
    <xf numFmtId="168" fontId="0" fillId="0" borderId="5" xfId="0" applyNumberFormat="1" applyBorder="1"/>
    <xf numFmtId="0" fontId="13" fillId="27" borderId="0" xfId="0" applyFont="1" applyFill="1"/>
    <xf numFmtId="0" fontId="18" fillId="27" borderId="0" xfId="9" applyNumberFormat="1" applyFont="1" applyFill="1" applyBorder="1" applyAlignment="1"/>
    <xf numFmtId="0" fontId="0" fillId="27" borderId="10" xfId="0" applyFill="1" applyBorder="1" applyAlignment="1">
      <alignment horizontal="right"/>
    </xf>
    <xf numFmtId="0" fontId="0" fillId="27" borderId="0" xfId="0" applyFill="1" applyAlignment="1">
      <alignment horizontal="right"/>
    </xf>
    <xf numFmtId="167" fontId="0" fillId="27" borderId="5" xfId="0" applyNumberFormat="1" applyFill="1" applyBorder="1"/>
    <xf numFmtId="0" fontId="0" fillId="27" borderId="13" xfId="0" applyFill="1" applyBorder="1" applyAlignment="1">
      <alignment horizontal="right"/>
    </xf>
    <xf numFmtId="167" fontId="0" fillId="27" borderId="4" xfId="0" applyNumberFormat="1" applyFill="1" applyBorder="1"/>
    <xf numFmtId="9" fontId="0" fillId="0" borderId="0" xfId="9" applyFont="1" applyFill="1" applyBorder="1" applyAlignment="1"/>
    <xf numFmtId="165" fontId="0" fillId="0" borderId="10" xfId="0" applyNumberFormat="1" applyBorder="1"/>
    <xf numFmtId="165" fontId="0" fillId="0" borderId="1" xfId="0" applyNumberFormat="1" applyBorder="1"/>
    <xf numFmtId="165" fontId="0" fillId="0" borderId="2" xfId="0" applyNumberFormat="1" applyBorder="1"/>
    <xf numFmtId="0" fontId="5" fillId="11" borderId="15" xfId="0" applyFont="1" applyFill="1" applyBorder="1" applyAlignment="1">
      <alignment horizontal="left" vertical="center" wrapText="1"/>
    </xf>
    <xf numFmtId="0" fontId="5" fillId="29" borderId="15" xfId="0" applyFont="1" applyFill="1" applyBorder="1" applyAlignment="1">
      <alignment horizontal="left" vertical="center" wrapText="1"/>
    </xf>
    <xf numFmtId="0" fontId="18" fillId="2" borderId="0" xfId="14" applyFill="1" applyBorder="1"/>
    <xf numFmtId="0" fontId="3" fillId="0" borderId="0" xfId="0" applyFont="1" applyAlignment="1">
      <alignment horizontal="left"/>
    </xf>
    <xf numFmtId="0" fontId="68" fillId="0" borderId="0" xfId="0" applyFont="1" applyAlignment="1">
      <alignment horizontal="left"/>
    </xf>
    <xf numFmtId="0" fontId="69" fillId="52" borderId="15" xfId="0" applyFont="1" applyFill="1" applyBorder="1" applyAlignment="1">
      <alignment horizontal="left" vertical="center"/>
    </xf>
    <xf numFmtId="0" fontId="69" fillId="53" borderId="15" xfId="0" applyFont="1" applyFill="1" applyBorder="1" applyAlignment="1">
      <alignment horizontal="left" vertical="center"/>
    </xf>
    <xf numFmtId="0" fontId="69" fillId="54" borderId="15" xfId="0" applyFont="1" applyFill="1" applyBorder="1" applyAlignment="1">
      <alignment horizontal="left" vertical="center"/>
    </xf>
    <xf numFmtId="0" fontId="69" fillId="55" borderId="15" xfId="0" applyFont="1" applyFill="1" applyBorder="1" applyAlignment="1">
      <alignment horizontal="left" vertical="center"/>
    </xf>
    <xf numFmtId="0" fontId="69" fillId="56" borderId="15" xfId="0" applyFont="1" applyFill="1" applyBorder="1" applyAlignment="1">
      <alignment horizontal="left" vertical="center"/>
    </xf>
    <xf numFmtId="0" fontId="3" fillId="0" borderId="15" xfId="0" applyFont="1" applyBorder="1" applyAlignment="1">
      <alignment horizontal="center" vertical="center"/>
    </xf>
    <xf numFmtId="0" fontId="71" fillId="0" borderId="15" xfId="0" applyFont="1" applyBorder="1" applyAlignment="1">
      <alignment horizontal="left" vertical="center" wrapText="1"/>
    </xf>
    <xf numFmtId="0" fontId="71" fillId="0" borderId="15" xfId="0" applyFont="1" applyBorder="1" applyAlignment="1">
      <alignment horizontal="center" vertical="center" wrapText="1"/>
    </xf>
    <xf numFmtId="0" fontId="71" fillId="0" borderId="0" xfId="0" applyFont="1" applyAlignment="1">
      <alignment horizontal="center" vertical="center" wrapText="1"/>
    </xf>
    <xf numFmtId="0" fontId="72" fillId="0" borderId="15" xfId="0" applyFont="1" applyBorder="1" applyAlignment="1">
      <alignment wrapText="1"/>
    </xf>
    <xf numFmtId="0" fontId="9" fillId="0" borderId="15" xfId="0" applyFont="1" applyBorder="1" applyAlignment="1">
      <alignment wrapText="1"/>
    </xf>
    <xf numFmtId="0" fontId="9" fillId="8" borderId="15" xfId="0" applyFont="1" applyFill="1" applyBorder="1" applyAlignment="1">
      <alignment wrapText="1"/>
    </xf>
    <xf numFmtId="0" fontId="73" fillId="7" borderId="15" xfId="0" applyFont="1" applyFill="1" applyBorder="1" applyAlignment="1">
      <alignment wrapText="1"/>
    </xf>
    <xf numFmtId="0" fontId="9" fillId="7" borderId="15" xfId="0" applyFont="1" applyFill="1" applyBorder="1" applyAlignment="1">
      <alignment wrapText="1"/>
    </xf>
    <xf numFmtId="0" fontId="73" fillId="0" borderId="15" xfId="0" applyFont="1" applyBorder="1" applyAlignment="1">
      <alignment wrapText="1"/>
    </xf>
    <xf numFmtId="0" fontId="9" fillId="28" borderId="15" xfId="0" applyFont="1" applyFill="1" applyBorder="1" applyAlignment="1">
      <alignment wrapText="1"/>
    </xf>
    <xf numFmtId="2" fontId="3" fillId="8" borderId="15" xfId="0" applyNumberFormat="1" applyFont="1" applyFill="1" applyBorder="1" applyAlignment="1">
      <alignment horizontal="center" vertical="center"/>
    </xf>
    <xf numFmtId="0" fontId="9" fillId="0" borderId="0" xfId="0" applyFont="1" applyAlignment="1">
      <alignment wrapText="1"/>
    </xf>
    <xf numFmtId="0" fontId="3" fillId="4" borderId="15" xfId="0" applyFont="1" applyFill="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xf numFmtId="0" fontId="3" fillId="0" borderId="15" xfId="0" applyFont="1" applyBorder="1" applyAlignment="1">
      <alignment vertical="center" wrapText="1"/>
    </xf>
    <xf numFmtId="166" fontId="3" fillId="0" borderId="15" xfId="0" applyNumberFormat="1" applyFont="1" applyBorder="1" applyAlignment="1">
      <alignment horizontal="center" vertical="center"/>
    </xf>
    <xf numFmtId="2" fontId="3" fillId="0" borderId="15" xfId="0" applyNumberFormat="1" applyFont="1" applyBorder="1" applyAlignment="1">
      <alignment horizontal="center" vertical="center"/>
    </xf>
    <xf numFmtId="0" fontId="74" fillId="0" borderId="15" xfId="0" applyFont="1" applyBorder="1"/>
    <xf numFmtId="2" fontId="9" fillId="8" borderId="15" xfId="0" applyNumberFormat="1" applyFont="1" applyFill="1" applyBorder="1" applyAlignment="1">
      <alignment horizontal="center" vertical="center"/>
    </xf>
    <xf numFmtId="166" fontId="3" fillId="8" borderId="15" xfId="0" applyNumberFormat="1" applyFont="1" applyFill="1" applyBorder="1" applyAlignment="1">
      <alignment horizontal="center" vertical="center"/>
    </xf>
    <xf numFmtId="0" fontId="9" fillId="8" borderId="15" xfId="0" applyFont="1" applyFill="1" applyBorder="1" applyAlignment="1">
      <alignment vertical="center" wrapText="1"/>
    </xf>
    <xf numFmtId="0" fontId="72" fillId="0" borderId="15" xfId="0" applyFont="1" applyBorder="1"/>
    <xf numFmtId="0" fontId="9" fillId="7" borderId="15" xfId="0" applyFont="1" applyFill="1" applyBorder="1"/>
    <xf numFmtId="0" fontId="8" fillId="7" borderId="15" xfId="0" applyFont="1" applyFill="1" applyBorder="1" applyAlignment="1">
      <alignment horizontal="left" vertical="center" wrapText="1"/>
    </xf>
    <xf numFmtId="0" fontId="5" fillId="7" borderId="15" xfId="0" applyFont="1" applyFill="1" applyBorder="1" applyAlignment="1">
      <alignment horizontal="left" vertical="center" wrapText="1"/>
    </xf>
    <xf numFmtId="0" fontId="72" fillId="0" borderId="15" xfId="0" applyFont="1" applyBorder="1" applyAlignment="1">
      <alignment horizontal="left" vertical="center" wrapText="1"/>
    </xf>
    <xf numFmtId="0" fontId="9" fillId="0" borderId="15" xfId="0" applyFont="1" applyBorder="1" applyAlignment="1">
      <alignment horizontal="left" vertical="center" wrapText="1"/>
    </xf>
    <xf numFmtId="0" fontId="9" fillId="7" borderId="15" xfId="0" applyFont="1" applyFill="1" applyBorder="1" applyAlignment="1">
      <alignment horizontal="left" vertical="center" wrapText="1"/>
    </xf>
    <xf numFmtId="0" fontId="73" fillId="0" borderId="15" xfId="0" applyFont="1" applyBorder="1" applyAlignment="1">
      <alignment horizontal="left" vertical="center" wrapText="1"/>
    </xf>
    <xf numFmtId="0" fontId="9" fillId="28" borderId="15" xfId="0" applyFont="1" applyFill="1" applyBorder="1" applyAlignment="1">
      <alignment horizontal="left" vertical="center" wrapText="1"/>
    </xf>
    <xf numFmtId="0" fontId="9" fillId="8" borderId="15" xfId="0" applyFont="1" applyFill="1" applyBorder="1" applyAlignment="1">
      <alignment horizontal="left" vertical="center" wrapText="1"/>
    </xf>
    <xf numFmtId="0" fontId="3" fillId="8" borderId="15" xfId="0" applyFont="1" applyFill="1" applyBorder="1" applyAlignment="1">
      <alignment horizontal="center" vertical="center" wrapText="1"/>
    </xf>
    <xf numFmtId="2" fontId="3" fillId="8" borderId="15" xfId="0" applyNumberFormat="1" applyFont="1" applyFill="1" applyBorder="1" applyAlignment="1">
      <alignment horizontal="center" vertical="center" wrapText="1"/>
    </xf>
    <xf numFmtId="2" fontId="9" fillId="8" borderId="15" xfId="0" applyNumberFormat="1" applyFont="1" applyFill="1" applyBorder="1" applyAlignment="1">
      <alignment horizontal="center" vertical="center" wrapText="1"/>
    </xf>
    <xf numFmtId="0" fontId="9" fillId="0" borderId="0" xfId="0" applyFont="1" applyAlignment="1">
      <alignment horizontal="left" vertical="center" wrapText="1"/>
    </xf>
    <xf numFmtId="9" fontId="0" fillId="0" borderId="0" xfId="2" applyFont="1" applyFill="1"/>
    <xf numFmtId="10" fontId="76" fillId="0" borderId="0" xfId="2" applyNumberFormat="1" applyFont="1"/>
    <xf numFmtId="0" fontId="77" fillId="0" borderId="15" xfId="0" applyFont="1" applyBorder="1" applyAlignment="1">
      <alignment horizontal="center" vertical="center" wrapText="1"/>
    </xf>
    <xf numFmtId="0" fontId="70" fillId="0" borderId="0" xfId="0" applyFont="1" applyAlignment="1">
      <alignment horizontal="center" vertical="center" wrapText="1"/>
    </xf>
    <xf numFmtId="0" fontId="5" fillId="5" borderId="15" xfId="0" applyFont="1" applyFill="1" applyBorder="1" applyAlignment="1">
      <alignment horizontal="left" vertical="center" wrapText="1"/>
    </xf>
    <xf numFmtId="0" fontId="9" fillId="5" borderId="15" xfId="0" applyFont="1" applyFill="1" applyBorder="1" applyAlignment="1">
      <alignment horizontal="center" vertical="center" wrapText="1"/>
    </xf>
    <xf numFmtId="0" fontId="78" fillId="0" borderId="0" xfId="0" applyFont="1" applyAlignment="1">
      <alignment horizontal="center" vertical="center" wrapText="1"/>
    </xf>
    <xf numFmtId="0" fontId="5" fillId="13" borderId="15" xfId="0" applyFont="1" applyFill="1" applyBorder="1" applyAlignment="1">
      <alignment horizontal="left" vertical="center" wrapText="1" indent="1"/>
    </xf>
    <xf numFmtId="0" fontId="5" fillId="13" borderId="15" xfId="0" applyFont="1" applyFill="1" applyBorder="1" applyAlignment="1">
      <alignment horizontal="center" vertical="center" wrapText="1"/>
    </xf>
    <xf numFmtId="165" fontId="5" fillId="13" borderId="15" xfId="0" applyNumberFormat="1" applyFont="1" applyFill="1" applyBorder="1" applyAlignment="1">
      <alignment horizontal="center" vertical="center" wrapText="1"/>
    </xf>
    <xf numFmtId="0" fontId="12" fillId="13" borderId="15" xfId="0" applyFont="1" applyFill="1" applyBorder="1" applyAlignment="1">
      <alignment horizontal="center" vertical="center" wrapText="1"/>
    </xf>
    <xf numFmtId="2" fontId="5" fillId="13" borderId="15" xfId="0" applyNumberFormat="1" applyFont="1" applyFill="1" applyBorder="1" applyAlignment="1">
      <alignment horizontal="center" vertical="center" wrapText="1"/>
    </xf>
    <xf numFmtId="10" fontId="5" fillId="13" borderId="15" xfId="0" applyNumberFormat="1" applyFont="1" applyFill="1" applyBorder="1" applyAlignment="1">
      <alignment horizontal="center" vertical="center" wrapText="1"/>
    </xf>
    <xf numFmtId="9" fontId="5" fillId="13" borderId="15" xfId="0" applyNumberFormat="1" applyFont="1" applyFill="1" applyBorder="1" applyAlignment="1">
      <alignment horizontal="center" vertical="center" wrapText="1"/>
    </xf>
    <xf numFmtId="0" fontId="5" fillId="13" borderId="15" xfId="0" applyFont="1" applyFill="1" applyBorder="1" applyAlignment="1">
      <alignment horizontal="left" vertical="center" wrapText="1"/>
    </xf>
    <xf numFmtId="0" fontId="5" fillId="9" borderId="15" xfId="0" applyFont="1" applyFill="1" applyBorder="1" applyAlignment="1">
      <alignment horizontal="left" vertical="center" wrapText="1"/>
    </xf>
    <xf numFmtId="0" fontId="5" fillId="9" borderId="15" xfId="0" applyFont="1" applyFill="1" applyBorder="1" applyAlignment="1">
      <alignment horizontal="center" vertical="center" wrapText="1"/>
    </xf>
    <xf numFmtId="165" fontId="5" fillId="9" borderId="15" xfId="0" applyNumberFormat="1" applyFont="1" applyFill="1" applyBorder="1" applyAlignment="1">
      <alignment horizontal="center" vertical="center" wrapText="1"/>
    </xf>
    <xf numFmtId="0" fontId="5" fillId="5" borderId="15" xfId="0" applyFont="1" applyFill="1" applyBorder="1" applyAlignment="1">
      <alignment horizontal="center" vertical="center" wrapText="1"/>
    </xf>
    <xf numFmtId="167" fontId="5" fillId="5" borderId="15" xfId="0" applyNumberFormat="1" applyFont="1" applyFill="1" applyBorder="1" applyAlignment="1">
      <alignment horizontal="center" vertical="center" wrapText="1"/>
    </xf>
    <xf numFmtId="10" fontId="5" fillId="5" borderId="15" xfId="0" applyNumberFormat="1" applyFont="1" applyFill="1" applyBorder="1" applyAlignment="1">
      <alignment horizontal="center" vertical="center" wrapText="1"/>
    </xf>
    <xf numFmtId="0" fontId="5" fillId="5" borderId="15" xfId="0" applyFont="1" applyFill="1" applyBorder="1" applyAlignment="1">
      <alignment horizontal="left" vertical="center" wrapText="1" indent="1"/>
    </xf>
    <xf numFmtId="165" fontId="5" fillId="5" borderId="15" xfId="0" applyNumberFormat="1" applyFont="1" applyFill="1" applyBorder="1" applyAlignment="1">
      <alignment horizontal="center" vertical="center" wrapText="1"/>
    </xf>
    <xf numFmtId="2" fontId="5" fillId="5" borderId="15" xfId="0" applyNumberFormat="1" applyFont="1" applyFill="1" applyBorder="1" applyAlignment="1">
      <alignment horizontal="center" vertical="center" wrapText="1"/>
    </xf>
    <xf numFmtId="0" fontId="78" fillId="0" borderId="15" xfId="0" applyFont="1" applyBorder="1" applyAlignment="1">
      <alignment horizontal="left" vertical="center" wrapText="1"/>
    </xf>
    <xf numFmtId="0" fontId="9" fillId="9" borderId="15" xfId="0" applyFont="1" applyFill="1" applyBorder="1"/>
    <xf numFmtId="0" fontId="5" fillId="10" borderId="15" xfId="0" applyFont="1" applyFill="1" applyBorder="1" applyAlignment="1">
      <alignment horizontal="left" vertical="center" wrapText="1"/>
    </xf>
    <xf numFmtId="0" fontId="5" fillId="13" borderId="9" xfId="0" applyFont="1" applyFill="1" applyBorder="1" applyAlignment="1">
      <alignment horizontal="left" vertical="center" wrapText="1"/>
    </xf>
    <xf numFmtId="0" fontId="70" fillId="13" borderId="15" xfId="0" applyFont="1" applyFill="1" applyBorder="1" applyAlignment="1">
      <alignment horizontal="center" vertical="center" wrapText="1"/>
    </xf>
    <xf numFmtId="0" fontId="70" fillId="0" borderId="0" xfId="0" applyFont="1" applyAlignment="1">
      <alignment horizontal="left" vertical="center" wrapText="1"/>
    </xf>
    <xf numFmtId="0" fontId="0" fillId="0" borderId="46" xfId="0" applyBorder="1"/>
    <xf numFmtId="0" fontId="0" fillId="0" borderId="47" xfId="0" applyBorder="1" applyAlignment="1">
      <alignment horizontal="centerContinuous"/>
    </xf>
    <xf numFmtId="0" fontId="0" fillId="0" borderId="48" xfId="0" applyBorder="1" applyAlignment="1">
      <alignment horizontal="centerContinuous"/>
    </xf>
    <xf numFmtId="0" fontId="0" fillId="0" borderId="49" xfId="0" applyBorder="1"/>
    <xf numFmtId="0" fontId="0" fillId="0" borderId="50" xfId="0" applyBorder="1" applyAlignment="1">
      <alignment horizontal="right"/>
    </xf>
    <xf numFmtId="0" fontId="0" fillId="0" borderId="51" xfId="0" applyBorder="1" applyAlignment="1">
      <alignment horizontal="right"/>
    </xf>
    <xf numFmtId="0" fontId="13" fillId="0" borderId="48" xfId="0" applyFont="1" applyBorder="1" applyAlignment="1">
      <alignment textRotation="90" wrapText="1"/>
    </xf>
    <xf numFmtId="0" fontId="13" fillId="0" borderId="46" xfId="0" applyFont="1" applyBorder="1" applyAlignment="1">
      <alignment textRotation="90" wrapText="1"/>
    </xf>
    <xf numFmtId="0" fontId="13" fillId="0" borderId="52" xfId="0" applyFont="1" applyBorder="1" applyAlignment="1">
      <alignment textRotation="90" wrapText="1"/>
    </xf>
    <xf numFmtId="167" fontId="18" fillId="0" borderId="50" xfId="9" applyNumberFormat="1" applyFont="1" applyFill="1" applyBorder="1" applyAlignment="1"/>
    <xf numFmtId="167" fontId="18" fillId="0" borderId="49" xfId="9" applyNumberFormat="1" applyFont="1" applyFill="1" applyBorder="1" applyAlignment="1"/>
    <xf numFmtId="167" fontId="18" fillId="0" borderId="51" xfId="9" applyNumberFormat="1" applyFont="1" applyFill="1" applyBorder="1" applyAlignment="1"/>
    <xf numFmtId="178" fontId="0" fillId="0" borderId="0" xfId="9" applyNumberFormat="1" applyFont="1" applyBorder="1" applyAlignment="1"/>
    <xf numFmtId="0" fontId="13" fillId="0" borderId="46" xfId="0" applyFont="1" applyBorder="1" applyAlignment="1">
      <alignment horizontal="centerContinuous" wrapText="1"/>
    </xf>
    <xf numFmtId="0" fontId="13" fillId="0" borderId="3" xfId="0" applyFont="1" applyBorder="1" applyAlignment="1">
      <alignment horizontal="right" textRotation="90" wrapText="1"/>
    </xf>
    <xf numFmtId="0" fontId="13" fillId="0" borderId="13" xfId="0" applyFont="1" applyBorder="1" applyAlignment="1">
      <alignment horizontal="right" textRotation="90" wrapText="1"/>
    </xf>
    <xf numFmtId="0" fontId="13" fillId="0" borderId="0" xfId="0" applyFont="1" applyAlignment="1">
      <alignment horizontal="right" textRotation="90" wrapText="1"/>
    </xf>
    <xf numFmtId="0" fontId="13" fillId="0" borderId="48" xfId="0" applyFont="1" applyBorder="1" applyAlignment="1">
      <alignment horizontal="right" textRotation="90" wrapText="1"/>
    </xf>
    <xf numFmtId="0" fontId="13" fillId="0" borderId="52" xfId="0" applyFont="1" applyBorder="1" applyAlignment="1">
      <alignment horizontal="right" textRotation="90" wrapText="1"/>
    </xf>
    <xf numFmtId="0" fontId="13" fillId="0" borderId="11" xfId="0" applyFont="1" applyBorder="1" applyAlignment="1">
      <alignment horizontal="right" textRotation="90" wrapText="1"/>
    </xf>
    <xf numFmtId="0" fontId="13" fillId="0" borderId="12" xfId="0" applyFont="1" applyBorder="1" applyAlignment="1">
      <alignment horizontal="right" textRotation="90" wrapText="1"/>
    </xf>
    <xf numFmtId="0" fontId="13" fillId="0" borderId="5" xfId="0" applyFont="1" applyBorder="1" applyAlignment="1">
      <alignment horizontal="right" textRotation="90" wrapText="1"/>
    </xf>
    <xf numFmtId="0" fontId="13" fillId="0" borderId="49" xfId="0" applyFont="1" applyBorder="1"/>
    <xf numFmtId="167" fontId="18" fillId="0" borderId="53" xfId="9" applyNumberFormat="1" applyFont="1" applyFill="1" applyBorder="1" applyAlignment="1"/>
    <xf numFmtId="167" fontId="0" fillId="0" borderId="50" xfId="0" applyNumberFormat="1" applyBorder="1"/>
    <xf numFmtId="167" fontId="0" fillId="0" borderId="51" xfId="0" applyNumberFormat="1" applyBorder="1"/>
    <xf numFmtId="167" fontId="18" fillId="2" borderId="53" xfId="9" applyNumberFormat="1" applyFont="1" applyFill="1" applyBorder="1" applyAlignment="1"/>
    <xf numFmtId="167" fontId="18" fillId="2" borderId="50" xfId="9" applyNumberFormat="1" applyFont="1" applyFill="1" applyBorder="1" applyAlignment="1"/>
    <xf numFmtId="167" fontId="18" fillId="2" borderId="12" xfId="9" applyNumberFormat="1" applyFont="1" applyFill="1" applyBorder="1" applyAlignment="1"/>
    <xf numFmtId="186" fontId="0" fillId="0" borderId="13" xfId="0" applyNumberFormat="1" applyBorder="1"/>
    <xf numFmtId="167" fontId="18" fillId="0" borderId="0" xfId="65" applyNumberFormat="1" applyFont="1" applyBorder="1" applyAlignment="1"/>
    <xf numFmtId="0" fontId="0" fillId="0" borderId="53" xfId="0" applyBorder="1"/>
    <xf numFmtId="0" fontId="0" fillId="0" borderId="50" xfId="0" applyBorder="1"/>
    <xf numFmtId="0" fontId="0" fillId="0" borderId="51" xfId="0" applyBorder="1"/>
    <xf numFmtId="3" fontId="18" fillId="0" borderId="12" xfId="65" applyFont="1" applyFill="1" applyBorder="1" applyAlignment="1"/>
    <xf numFmtId="3" fontId="18" fillId="0" borderId="0" xfId="65" applyFont="1" applyFill="1" applyBorder="1" applyAlignment="1"/>
    <xf numFmtId="3" fontId="18" fillId="0" borderId="5" xfId="65" applyFont="1" applyFill="1" applyBorder="1" applyAlignment="1"/>
    <xf numFmtId="3" fontId="18" fillId="0" borderId="0" xfId="65" applyFont="1" applyBorder="1" applyAlignment="1"/>
    <xf numFmtId="3" fontId="18" fillId="0" borderId="11" xfId="65" applyFont="1" applyBorder="1" applyAlignment="1"/>
    <xf numFmtId="3" fontId="18" fillId="0" borderId="12" xfId="65" applyFont="1" applyBorder="1" applyAlignment="1"/>
    <xf numFmtId="3" fontId="18" fillId="0" borderId="5" xfId="65" applyFont="1" applyBorder="1" applyAlignment="1"/>
    <xf numFmtId="3" fontId="18" fillId="0" borderId="0" xfId="67" applyNumberFormat="1"/>
    <xf numFmtId="3" fontId="18" fillId="0" borderId="11" xfId="65" applyFont="1" applyFill="1" applyBorder="1" applyAlignment="1"/>
    <xf numFmtId="3" fontId="18" fillId="0" borderId="3" xfId="65" applyFont="1" applyFill="1" applyBorder="1" applyAlignment="1"/>
    <xf numFmtId="3" fontId="18" fillId="0" borderId="13" xfId="65" applyFont="1" applyFill="1" applyBorder="1" applyAlignment="1"/>
    <xf numFmtId="3" fontId="18" fillId="0" borderId="4" xfId="65" applyFont="1" applyFill="1" applyBorder="1" applyAlignment="1"/>
    <xf numFmtId="3" fontId="18" fillId="0" borderId="14" xfId="65" applyFont="1" applyFill="1" applyBorder="1" applyAlignment="1"/>
    <xf numFmtId="3" fontId="18" fillId="0" borderId="3" xfId="65" applyFont="1" applyBorder="1" applyAlignment="1"/>
    <xf numFmtId="3" fontId="18" fillId="0" borderId="13" xfId="65" applyFont="1" applyBorder="1" applyAlignment="1"/>
    <xf numFmtId="3" fontId="18" fillId="0" borderId="53" xfId="65" applyFont="1" applyFill="1" applyBorder="1" applyAlignment="1"/>
    <xf numFmtId="3" fontId="18" fillId="0" borderId="50" xfId="65" applyFont="1" applyFill="1" applyBorder="1" applyAlignment="1"/>
    <xf numFmtId="0" fontId="13" fillId="0" borderId="46" xfId="0" applyFont="1" applyBorder="1"/>
    <xf numFmtId="170" fontId="18" fillId="0" borderId="47" xfId="65" applyNumberFormat="1" applyFont="1" applyFill="1" applyBorder="1" applyAlignment="1"/>
    <xf numFmtId="170" fontId="18" fillId="0" borderId="48" xfId="65" applyNumberFormat="1" applyFont="1" applyFill="1" applyBorder="1" applyAlignment="1"/>
    <xf numFmtId="170" fontId="0" fillId="0" borderId="48" xfId="0" applyNumberFormat="1" applyBorder="1"/>
    <xf numFmtId="170" fontId="18" fillId="0" borderId="52" xfId="65" applyNumberFormat="1" applyFont="1" applyFill="1" applyBorder="1" applyAlignment="1"/>
    <xf numFmtId="170" fontId="18" fillId="0" borderId="48" xfId="65" applyNumberFormat="1" applyFont="1" applyBorder="1" applyAlignment="1"/>
    <xf numFmtId="170" fontId="18" fillId="0" borderId="46" xfId="65" applyNumberFormat="1" applyFont="1" applyFill="1" applyBorder="1" applyAlignment="1"/>
    <xf numFmtId="3" fontId="0" fillId="0" borderId="53" xfId="0" applyNumberFormat="1" applyBorder="1"/>
    <xf numFmtId="3" fontId="0" fillId="0" borderId="50" xfId="0" applyNumberFormat="1" applyBorder="1"/>
    <xf numFmtId="3" fontId="0" fillId="0" borderId="51" xfId="0" applyNumberFormat="1" applyBorder="1"/>
    <xf numFmtId="3" fontId="0" fillId="0" borderId="49" xfId="0" applyNumberFormat="1" applyBorder="1"/>
    <xf numFmtId="3" fontId="18" fillId="0" borderId="53" xfId="0" applyNumberFormat="1" applyFont="1" applyBorder="1"/>
    <xf numFmtId="3" fontId="18" fillId="0" borderId="50" xfId="0" applyNumberFormat="1" applyFont="1" applyBorder="1"/>
    <xf numFmtId="170" fontId="18" fillId="0" borderId="0" xfId="65" applyNumberFormat="1" applyFont="1" applyFill="1" applyBorder="1" applyAlignment="1"/>
    <xf numFmtId="170" fontId="18" fillId="0" borderId="12" xfId="0" applyNumberFormat="1" applyFont="1" applyBorder="1"/>
    <xf numFmtId="170" fontId="18" fillId="0" borderId="0" xfId="0" applyNumberFormat="1" applyFont="1"/>
    <xf numFmtId="3" fontId="18" fillId="0" borderId="12" xfId="0" applyNumberFormat="1" applyFont="1" applyBorder="1"/>
    <xf numFmtId="3" fontId="18" fillId="2" borderId="0" xfId="65" applyFont="1" applyFill="1" applyBorder="1" applyAlignment="1"/>
    <xf numFmtId="170" fontId="18" fillId="2" borderId="12" xfId="0" applyNumberFormat="1" applyFont="1" applyFill="1" applyBorder="1"/>
    <xf numFmtId="170" fontId="18" fillId="2" borderId="0" xfId="0" applyNumberFormat="1" applyFont="1" applyFill="1"/>
    <xf numFmtId="170" fontId="0" fillId="2" borderId="0" xfId="0" applyNumberFormat="1" applyFill="1"/>
    <xf numFmtId="170" fontId="18" fillId="0" borderId="3" xfId="0" applyNumberFormat="1" applyFont="1" applyBorder="1"/>
    <xf numFmtId="170" fontId="18" fillId="0" borderId="13" xfId="0" applyNumberFormat="1" applyFont="1" applyBorder="1"/>
    <xf numFmtId="0" fontId="18" fillId="0" borderId="0" xfId="67"/>
    <xf numFmtId="0" fontId="13" fillId="0" borderId="0" xfId="0" applyFont="1" applyAlignment="1">
      <alignment wrapText="1"/>
    </xf>
    <xf numFmtId="0" fontId="13" fillId="0" borderId="47" xfId="0" applyFont="1" applyBorder="1" applyAlignment="1">
      <alignment horizontal="right"/>
    </xf>
    <xf numFmtId="0" fontId="13" fillId="0" borderId="52" xfId="0" applyFont="1" applyBorder="1" applyAlignment="1">
      <alignment horizontal="right"/>
    </xf>
    <xf numFmtId="0" fontId="13" fillId="0" borderId="48" xfId="0" applyFont="1" applyBorder="1" applyAlignment="1">
      <alignment horizontal="right"/>
    </xf>
    <xf numFmtId="170" fontId="0" fillId="0" borderId="53" xfId="0" applyNumberFormat="1" applyBorder="1"/>
    <xf numFmtId="170" fontId="0" fillId="0" borderId="51" xfId="0" applyNumberFormat="1" applyBorder="1"/>
    <xf numFmtId="170" fontId="0" fillId="0" borderId="50" xfId="0" applyNumberFormat="1" applyBorder="1"/>
    <xf numFmtId="170" fontId="18" fillId="0" borderId="11" xfId="65" applyNumberFormat="1" applyFont="1" applyBorder="1" applyAlignment="1"/>
    <xf numFmtId="170" fontId="18" fillId="0" borderId="12" xfId="65" applyNumberFormat="1" applyFont="1" applyFill="1" applyBorder="1" applyAlignment="1"/>
    <xf numFmtId="170" fontId="18" fillId="0" borderId="5" xfId="65" applyNumberFormat="1" applyFont="1" applyFill="1" applyBorder="1" applyAlignment="1"/>
    <xf numFmtId="170" fontId="18" fillId="0" borderId="11" xfId="65" applyNumberFormat="1" applyFont="1" applyFill="1" applyBorder="1" applyAlignment="1"/>
    <xf numFmtId="3" fontId="18" fillId="0" borderId="14" xfId="65" applyFont="1" applyBorder="1" applyAlignment="1"/>
    <xf numFmtId="170" fontId="0" fillId="0" borderId="49" xfId="0" applyNumberFormat="1" applyBorder="1"/>
    <xf numFmtId="170" fontId="18" fillId="0" borderId="14" xfId="65" applyNumberFormat="1" applyFont="1" applyBorder="1" applyAlignment="1"/>
    <xf numFmtId="170" fontId="18" fillId="0" borderId="3" xfId="65" applyNumberFormat="1" applyFont="1" applyFill="1" applyBorder="1" applyAlignment="1"/>
    <xf numFmtId="170" fontId="18" fillId="0" borderId="4" xfId="65" applyNumberFormat="1" applyFont="1" applyFill="1" applyBorder="1" applyAlignment="1"/>
    <xf numFmtId="170" fontId="18" fillId="0" borderId="14" xfId="65" applyNumberFormat="1" applyFont="1" applyFill="1" applyBorder="1" applyAlignment="1"/>
    <xf numFmtId="170" fontId="18" fillId="0" borderId="13" xfId="65" applyNumberFormat="1" applyFont="1" applyFill="1" applyBorder="1" applyAlignment="1"/>
    <xf numFmtId="0" fontId="5" fillId="13" borderId="46" xfId="0" applyFont="1" applyFill="1" applyBorder="1" applyAlignment="1">
      <alignment horizontal="left" vertical="center" wrapText="1" indent="1"/>
    </xf>
    <xf numFmtId="165" fontId="5" fillId="13" borderId="46" xfId="0" applyNumberFormat="1" applyFont="1" applyFill="1" applyBorder="1" applyAlignment="1">
      <alignment horizontal="center" vertical="center" wrapText="1"/>
    </xf>
    <xf numFmtId="0" fontId="12" fillId="13" borderId="46" xfId="0" applyFont="1" applyFill="1" applyBorder="1" applyAlignment="1">
      <alignment horizontal="center" vertical="center" wrapText="1"/>
    </xf>
    <xf numFmtId="0" fontId="9" fillId="13" borderId="15" xfId="0" applyFont="1" applyFill="1" applyBorder="1" applyAlignment="1">
      <alignment horizontal="left" vertical="center" wrapText="1"/>
    </xf>
    <xf numFmtId="0" fontId="77" fillId="0" borderId="46" xfId="0" applyFont="1" applyBorder="1" applyAlignment="1">
      <alignment horizontal="center" vertical="center" wrapText="1"/>
    </xf>
    <xf numFmtId="2" fontId="5" fillId="0" borderId="46" xfId="0" applyNumberFormat="1" applyFont="1" applyBorder="1" applyAlignment="1">
      <alignment horizontal="center" vertical="center" wrapText="1"/>
    </xf>
    <xf numFmtId="10" fontId="5" fillId="0" borderId="46" xfId="0" applyNumberFormat="1" applyFont="1" applyBorder="1" applyAlignment="1">
      <alignment horizontal="center" vertical="center" wrapText="1"/>
    </xf>
    <xf numFmtId="0" fontId="5" fillId="0" borderId="46" xfId="0" applyFont="1" applyBorder="1" applyAlignment="1">
      <alignment horizontal="center" vertical="center" wrapText="1"/>
    </xf>
    <xf numFmtId="0" fontId="8" fillId="12" borderId="46" xfId="0" applyFont="1" applyFill="1" applyBorder="1" applyAlignment="1">
      <alignment horizontal="center" vertical="center" wrapText="1"/>
    </xf>
    <xf numFmtId="0" fontId="5" fillId="13" borderId="49" xfId="0" applyFont="1" applyFill="1" applyBorder="1" applyAlignment="1">
      <alignment horizontal="left" vertical="center" wrapText="1"/>
    </xf>
    <xf numFmtId="0" fontId="5" fillId="0" borderId="46" xfId="0" applyFont="1" applyBorder="1" applyAlignment="1">
      <alignment horizontal="left" vertical="center" wrapText="1"/>
    </xf>
    <xf numFmtId="2" fontId="9" fillId="28" borderId="15" xfId="0" applyNumberFormat="1" applyFont="1" applyFill="1" applyBorder="1" applyAlignment="1">
      <alignment horizontal="center" vertical="center"/>
    </xf>
    <xf numFmtId="0" fontId="79" fillId="0" borderId="0" xfId="0" applyFont="1" applyAlignment="1">
      <alignment horizontal="left"/>
    </xf>
    <xf numFmtId="0" fontId="8" fillId="4" borderId="46" xfId="0" applyFont="1" applyFill="1" applyBorder="1" applyAlignment="1">
      <alignment horizontal="center" vertical="center" wrapText="1"/>
    </xf>
    <xf numFmtId="0" fontId="73" fillId="4" borderId="15" xfId="0" applyFont="1" applyFill="1" applyBorder="1" applyAlignment="1">
      <alignment horizontal="center" vertical="center" wrapText="1"/>
    </xf>
    <xf numFmtId="0" fontId="73" fillId="4" borderId="46" xfId="0" applyFont="1" applyFill="1" applyBorder="1" applyAlignment="1">
      <alignment horizontal="center" vertical="center" wrapText="1"/>
    </xf>
    <xf numFmtId="0" fontId="73" fillId="0" borderId="15" xfId="0" applyFont="1" applyBorder="1" applyAlignment="1">
      <alignment horizontal="center" vertical="center" wrapText="1"/>
    </xf>
    <xf numFmtId="0" fontId="3" fillId="0" borderId="53" xfId="0" applyFont="1" applyBorder="1"/>
    <xf numFmtId="0" fontId="3" fillId="0" borderId="50" xfId="0" applyFont="1" applyBorder="1"/>
    <xf numFmtId="0" fontId="17" fillId="0" borderId="15" xfId="0" applyFont="1" applyBorder="1" applyAlignment="1">
      <alignment horizontal="center" vertical="center" wrapText="1"/>
    </xf>
    <xf numFmtId="0" fontId="82" fillId="6" borderId="12" xfId="3" applyFont="1" applyFill="1" applyBorder="1"/>
    <xf numFmtId="0" fontId="82" fillId="6" borderId="0" xfId="3" applyFont="1" applyFill="1"/>
    <xf numFmtId="3" fontId="82" fillId="6" borderId="0" xfId="3" applyNumberFormat="1" applyFont="1" applyFill="1"/>
    <xf numFmtId="0" fontId="82" fillId="6" borderId="5" xfId="3" applyFont="1" applyFill="1" applyBorder="1"/>
    <xf numFmtId="0" fontId="82" fillId="6" borderId="3" xfId="3" applyFont="1" applyFill="1" applyBorder="1"/>
    <xf numFmtId="0" fontId="82" fillId="6" borderId="13" xfId="3" applyFont="1" applyFill="1" applyBorder="1"/>
    <xf numFmtId="0" fontId="82" fillId="6" borderId="4" xfId="3" applyFont="1" applyFill="1" applyBorder="1"/>
    <xf numFmtId="0" fontId="82" fillId="6" borderId="53" xfId="3" applyFont="1" applyFill="1" applyBorder="1" applyAlignment="1">
      <alignment horizontal="center" vertical="center" wrapText="1"/>
    </xf>
    <xf numFmtId="0" fontId="82" fillId="6" borderId="51" xfId="3" applyFont="1" applyFill="1" applyBorder="1"/>
    <xf numFmtId="3" fontId="82" fillId="6" borderId="0" xfId="0" applyNumberFormat="1" applyFont="1" applyFill="1"/>
    <xf numFmtId="0" fontId="84" fillId="6" borderId="5" xfId="3" applyFont="1" applyFill="1" applyBorder="1"/>
    <xf numFmtId="0" fontId="82" fillId="6" borderId="53" xfId="3" applyFont="1" applyFill="1" applyBorder="1"/>
    <xf numFmtId="4" fontId="82" fillId="6" borderId="51" xfId="3" applyNumberFormat="1" applyFont="1" applyFill="1" applyBorder="1"/>
    <xf numFmtId="4" fontId="82" fillId="6" borderId="0" xfId="0" applyNumberFormat="1" applyFont="1" applyFill="1"/>
    <xf numFmtId="4" fontId="82" fillId="6" borderId="0" xfId="3" applyNumberFormat="1" applyFont="1" applyFill="1"/>
    <xf numFmtId="1" fontId="10" fillId="6" borderId="5" xfId="0" applyNumberFormat="1" applyFont="1" applyFill="1" applyBorder="1"/>
    <xf numFmtId="0" fontId="14" fillId="6" borderId="0" xfId="4" applyFill="1"/>
    <xf numFmtId="0" fontId="10" fillId="6" borderId="0" xfId="0" applyFont="1" applyFill="1"/>
    <xf numFmtId="0" fontId="92" fillId="6" borderId="0" xfId="3" applyFont="1" applyFill="1"/>
    <xf numFmtId="0" fontId="93" fillId="6" borderId="0" xfId="3" applyFont="1" applyFill="1"/>
    <xf numFmtId="0" fontId="82" fillId="6" borderId="53" xfId="0" applyFont="1" applyFill="1" applyBorder="1"/>
    <xf numFmtId="0" fontId="82" fillId="6" borderId="50" xfId="3" applyFont="1" applyFill="1" applyBorder="1"/>
    <xf numFmtId="0" fontId="82" fillId="6" borderId="50" xfId="0" applyFont="1" applyFill="1" applyBorder="1"/>
    <xf numFmtId="0" fontId="82" fillId="6" borderId="51" xfId="0" applyFont="1" applyFill="1" applyBorder="1"/>
    <xf numFmtId="0" fontId="18" fillId="6" borderId="12" xfId="3" applyFont="1" applyFill="1" applyBorder="1"/>
    <xf numFmtId="4" fontId="82" fillId="6" borderId="5" xfId="0" applyNumberFormat="1" applyFont="1" applyFill="1" applyBorder="1"/>
    <xf numFmtId="2" fontId="82" fillId="6" borderId="0" xfId="0" applyNumberFormat="1" applyFont="1" applyFill="1"/>
    <xf numFmtId="2" fontId="82" fillId="6" borderId="5" xfId="0" applyNumberFormat="1" applyFont="1" applyFill="1" applyBorder="1"/>
    <xf numFmtId="0" fontId="18" fillId="6" borderId="3" xfId="3" applyFont="1" applyFill="1" applyBorder="1"/>
    <xf numFmtId="4" fontId="82" fillId="6" borderId="13" xfId="0" applyNumberFormat="1" applyFont="1" applyFill="1" applyBorder="1"/>
    <xf numFmtId="4" fontId="82" fillId="6" borderId="4" xfId="0" applyNumberFormat="1" applyFont="1" applyFill="1" applyBorder="1"/>
    <xf numFmtId="0" fontId="82" fillId="6" borderId="0" xfId="0" applyFont="1" applyFill="1"/>
    <xf numFmtId="0" fontId="82" fillId="6" borderId="50" xfId="3" applyFont="1" applyFill="1" applyBorder="1" applyAlignment="1">
      <alignment horizontal="center" wrapText="1"/>
    </xf>
    <xf numFmtId="0" fontId="82" fillId="6" borderId="51" xfId="3" applyFont="1" applyFill="1" applyBorder="1" applyAlignment="1">
      <alignment wrapText="1"/>
    </xf>
    <xf numFmtId="0" fontId="82" fillId="6" borderId="12" xfId="0" applyFont="1" applyFill="1" applyBorder="1"/>
    <xf numFmtId="0" fontId="82" fillId="6" borderId="5" xfId="0" applyFont="1" applyFill="1" applyBorder="1"/>
    <xf numFmtId="165" fontId="82" fillId="6" borderId="0" xfId="0" applyNumberFormat="1" applyFont="1" applyFill="1"/>
    <xf numFmtId="165" fontId="82" fillId="6" borderId="0" xfId="3" applyNumberFormat="1" applyFont="1" applyFill="1"/>
    <xf numFmtId="9" fontId="82" fillId="6" borderId="0" xfId="2" applyFont="1" applyFill="1" applyBorder="1"/>
    <xf numFmtId="165" fontId="82" fillId="6" borderId="5" xfId="3" applyNumberFormat="1" applyFont="1" applyFill="1" applyBorder="1"/>
    <xf numFmtId="9" fontId="82" fillId="6" borderId="0" xfId="2" applyFont="1" applyFill="1" applyBorder="1" applyAlignment="1"/>
    <xf numFmtId="0" fontId="13" fillId="6" borderId="0" xfId="0" applyFont="1" applyFill="1" applyAlignment="1">
      <alignment horizontal="left"/>
    </xf>
    <xf numFmtId="0" fontId="82" fillId="6" borderId="3" xfId="0" applyFont="1" applyFill="1" applyBorder="1"/>
    <xf numFmtId="165" fontId="82" fillId="6" borderId="13" xfId="0" applyNumberFormat="1" applyFont="1" applyFill="1" applyBorder="1"/>
    <xf numFmtId="3" fontId="82" fillId="6" borderId="13" xfId="0" applyNumberFormat="1" applyFont="1" applyFill="1" applyBorder="1"/>
    <xf numFmtId="165" fontId="82" fillId="6" borderId="13" xfId="3" applyNumberFormat="1" applyFont="1" applyFill="1" applyBorder="1"/>
    <xf numFmtId="9" fontId="82" fillId="6" borderId="13" xfId="2" applyFont="1" applyFill="1" applyBorder="1" applyAlignment="1"/>
    <xf numFmtId="165" fontId="82" fillId="6" borderId="4" xfId="3" applyNumberFormat="1" applyFont="1" applyFill="1" applyBorder="1"/>
    <xf numFmtId="0" fontId="15" fillId="6" borderId="53" xfId="4" applyFont="1" applyFill="1" applyBorder="1" applyAlignment="1"/>
    <xf numFmtId="0" fontId="93" fillId="6" borderId="50" xfId="3" applyFont="1" applyFill="1" applyBorder="1"/>
    <xf numFmtId="0" fontId="93" fillId="6" borderId="51" xfId="3" applyFont="1" applyFill="1" applyBorder="1"/>
    <xf numFmtId="0" fontId="14" fillId="6" borderId="12" xfId="4" applyFill="1" applyBorder="1" applyAlignment="1"/>
    <xf numFmtId="0" fontId="10" fillId="6" borderId="12" xfId="0" applyFont="1" applyFill="1" applyBorder="1"/>
    <xf numFmtId="0" fontId="10" fillId="6" borderId="5" xfId="0" applyFont="1" applyFill="1" applyBorder="1"/>
    <xf numFmtId="0" fontId="16" fillId="6" borderId="0" xfId="0" applyFont="1" applyFill="1"/>
    <xf numFmtId="0" fontId="13" fillId="6" borderId="0" xfId="0" applyFont="1" applyFill="1" applyAlignment="1">
      <alignment horizontal="right"/>
    </xf>
    <xf numFmtId="0" fontId="10" fillId="6" borderId="3" xfId="0" applyFont="1" applyFill="1" applyBorder="1"/>
    <xf numFmtId="0" fontId="10" fillId="6" borderId="13" xfId="0" applyFont="1" applyFill="1" applyBorder="1"/>
    <xf numFmtId="0" fontId="10" fillId="6" borderId="4" xfId="0" applyFont="1" applyFill="1" applyBorder="1"/>
    <xf numFmtId="0" fontId="93" fillId="6" borderId="53" xfId="3" applyFont="1" applyFill="1" applyBorder="1"/>
    <xf numFmtId="0" fontId="93" fillId="6" borderId="12" xfId="3" applyFont="1" applyFill="1" applyBorder="1"/>
    <xf numFmtId="0" fontId="93" fillId="6" borderId="5" xfId="3" applyFont="1" applyFill="1" applyBorder="1"/>
    <xf numFmtId="0" fontId="22" fillId="6" borderId="51" xfId="0" applyFont="1" applyFill="1" applyBorder="1"/>
    <xf numFmtId="167" fontId="10" fillId="6" borderId="5" xfId="0" applyNumberFormat="1" applyFont="1" applyFill="1" applyBorder="1"/>
    <xf numFmtId="9" fontId="82" fillId="6" borderId="12" xfId="3" applyNumberFormat="1" applyFont="1" applyFill="1" applyBorder="1"/>
    <xf numFmtId="9" fontId="10" fillId="6" borderId="5" xfId="0" applyNumberFormat="1" applyFont="1" applyFill="1" applyBorder="1"/>
    <xf numFmtId="3" fontId="16" fillId="6" borderId="0" xfId="0" applyNumberFormat="1" applyFont="1" applyFill="1"/>
    <xf numFmtId="0" fontId="14" fillId="6" borderId="12" xfId="4" applyFill="1" applyBorder="1"/>
    <xf numFmtId="1" fontId="82" fillId="6" borderId="12" xfId="3" applyNumberFormat="1" applyFont="1" applyFill="1" applyBorder="1"/>
    <xf numFmtId="9" fontId="10" fillId="6" borderId="4" xfId="0" applyNumberFormat="1" applyFont="1" applyFill="1" applyBorder="1"/>
    <xf numFmtId="1" fontId="10" fillId="6" borderId="0" xfId="0" applyNumberFormat="1" applyFont="1" applyFill="1"/>
    <xf numFmtId="1" fontId="93" fillId="6" borderId="50" xfId="0" applyNumberFormat="1" applyFont="1" applyFill="1" applyBorder="1"/>
    <xf numFmtId="0" fontId="15" fillId="6" borderId="50" xfId="4" applyFont="1" applyFill="1" applyBorder="1"/>
    <xf numFmtId="0" fontId="93" fillId="6" borderId="50" xfId="0" applyFont="1" applyFill="1" applyBorder="1"/>
    <xf numFmtId="0" fontId="14" fillId="6" borderId="0" xfId="4" applyFill="1" applyBorder="1"/>
    <xf numFmtId="0" fontId="84" fillId="6" borderId="0" xfId="3" applyFont="1" applyFill="1"/>
    <xf numFmtId="1" fontId="11" fillId="6" borderId="0" xfId="0" applyNumberFormat="1" applyFont="1" applyFill="1"/>
    <xf numFmtId="2" fontId="10" fillId="6" borderId="0" xfId="0" applyNumberFormat="1" applyFont="1" applyFill="1"/>
    <xf numFmtId="165" fontId="10" fillId="6" borderId="0" xfId="0" applyNumberFormat="1" applyFont="1" applyFill="1"/>
    <xf numFmtId="165" fontId="84" fillId="6" borderId="5" xfId="3" applyNumberFormat="1" applyFont="1" applyFill="1" applyBorder="1"/>
    <xf numFmtId="1" fontId="20" fillId="6" borderId="13" xfId="0" applyNumberFormat="1" applyFont="1" applyFill="1" applyBorder="1"/>
    <xf numFmtId="0" fontId="86" fillId="6" borderId="13" xfId="3" applyFont="1" applyFill="1" applyBorder="1"/>
    <xf numFmtId="2" fontId="10" fillId="6" borderId="13" xfId="0" applyNumberFormat="1" applyFont="1" applyFill="1" applyBorder="1"/>
    <xf numFmtId="165" fontId="86" fillId="6" borderId="13" xfId="3" applyNumberFormat="1" applyFont="1" applyFill="1" applyBorder="1"/>
    <xf numFmtId="165" fontId="86" fillId="6" borderId="4" xfId="3" applyNumberFormat="1" applyFont="1" applyFill="1" applyBorder="1"/>
    <xf numFmtId="0" fontId="18" fillId="6" borderId="0" xfId="0" applyFont="1" applyFill="1" applyAlignment="1">
      <alignment horizontal="left"/>
    </xf>
    <xf numFmtId="0" fontId="82" fillId="6" borderId="5" xfId="3" applyFont="1" applyFill="1" applyBorder="1" applyAlignment="1">
      <alignment horizontal="center" vertical="center" wrapText="1"/>
    </xf>
    <xf numFmtId="165" fontId="84" fillId="6" borderId="0" xfId="3" applyNumberFormat="1" applyFont="1" applyFill="1"/>
    <xf numFmtId="0" fontId="94" fillId="6" borderId="12" xfId="3" applyFont="1" applyFill="1" applyBorder="1"/>
    <xf numFmtId="0" fontId="94" fillId="6" borderId="0" xfId="3" applyFont="1" applyFill="1"/>
    <xf numFmtId="3" fontId="94" fillId="6" borderId="0" xfId="3" applyNumberFormat="1" applyFont="1" applyFill="1"/>
    <xf numFmtId="165" fontId="94" fillId="6" borderId="0" xfId="3" applyNumberFormat="1" applyFont="1" applyFill="1"/>
    <xf numFmtId="3" fontId="19" fillId="6" borderId="0" xfId="0" applyNumberFormat="1" applyFont="1" applyFill="1"/>
    <xf numFmtId="165" fontId="95" fillId="6" borderId="0" xfId="3" applyNumberFormat="1" applyFont="1" applyFill="1"/>
    <xf numFmtId="0" fontId="95" fillId="6" borderId="0" xfId="3" applyFont="1" applyFill="1"/>
    <xf numFmtId="0" fontId="94" fillId="6" borderId="5" xfId="3" applyFont="1" applyFill="1" applyBorder="1"/>
    <xf numFmtId="3" fontId="18" fillId="6" borderId="0" xfId="0" applyNumberFormat="1" applyFont="1" applyFill="1"/>
    <xf numFmtId="0" fontId="87" fillId="6" borderId="0" xfId="3" applyFont="1" applyFill="1"/>
    <xf numFmtId="3" fontId="20" fillId="6" borderId="13" xfId="0" applyNumberFormat="1" applyFont="1" applyFill="1" applyBorder="1"/>
    <xf numFmtId="3" fontId="82" fillId="6" borderId="13" xfId="3" applyNumberFormat="1" applyFont="1" applyFill="1" applyBorder="1"/>
    <xf numFmtId="165" fontId="84" fillId="6" borderId="13" xfId="3" applyNumberFormat="1" applyFont="1" applyFill="1" applyBorder="1"/>
    <xf numFmtId="0" fontId="84" fillId="6" borderId="13" xfId="3" applyFont="1" applyFill="1" applyBorder="1"/>
    <xf numFmtId="3" fontId="82" fillId="6" borderId="50" xfId="0" applyNumberFormat="1" applyFont="1" applyFill="1" applyBorder="1"/>
    <xf numFmtId="3" fontId="82" fillId="6" borderId="5" xfId="0" applyNumberFormat="1" applyFont="1" applyFill="1" applyBorder="1"/>
    <xf numFmtId="168" fontId="82" fillId="6" borderId="0" xfId="0" applyNumberFormat="1" applyFont="1" applyFill="1"/>
    <xf numFmtId="0" fontId="84" fillId="6" borderId="50" xfId="3" applyFont="1" applyFill="1" applyBorder="1"/>
    <xf numFmtId="4" fontId="84" fillId="6" borderId="0" xfId="3" applyNumberFormat="1" applyFont="1" applyFill="1"/>
    <xf numFmtId="3" fontId="82" fillId="6" borderId="53" xfId="3" applyNumberFormat="1" applyFont="1" applyFill="1" applyBorder="1"/>
    <xf numFmtId="165" fontId="82" fillId="6" borderId="50" xfId="3" applyNumberFormat="1" applyFont="1" applyFill="1" applyBorder="1"/>
    <xf numFmtId="165" fontId="84" fillId="6" borderId="50" xfId="3" applyNumberFormat="1" applyFont="1" applyFill="1" applyBorder="1"/>
    <xf numFmtId="3" fontId="82" fillId="6" borderId="50" xfId="3" applyNumberFormat="1" applyFont="1" applyFill="1" applyBorder="1"/>
    <xf numFmtId="165" fontId="82" fillId="6" borderId="51" xfId="3" applyNumberFormat="1" applyFont="1" applyFill="1" applyBorder="1"/>
    <xf numFmtId="3" fontId="82" fillId="6" borderId="12" xfId="0" applyNumberFormat="1" applyFont="1" applyFill="1" applyBorder="1"/>
    <xf numFmtId="168" fontId="82" fillId="6" borderId="12" xfId="0" applyNumberFormat="1" applyFont="1" applyFill="1" applyBorder="1"/>
    <xf numFmtId="4" fontId="82" fillId="6" borderId="5" xfId="3" applyNumberFormat="1" applyFont="1" applyFill="1" applyBorder="1"/>
    <xf numFmtId="4" fontId="82" fillId="6" borderId="12" xfId="0" applyNumberFormat="1" applyFont="1" applyFill="1" applyBorder="1"/>
    <xf numFmtId="1" fontId="10" fillId="6" borderId="4" xfId="0" applyNumberFormat="1" applyFont="1" applyFill="1" applyBorder="1"/>
    <xf numFmtId="165" fontId="82" fillId="6" borderId="3" xfId="3" applyNumberFormat="1" applyFont="1" applyFill="1" applyBorder="1"/>
    <xf numFmtId="1" fontId="10" fillId="6" borderId="13" xfId="0" applyNumberFormat="1" applyFont="1" applyFill="1" applyBorder="1"/>
    <xf numFmtId="2" fontId="82" fillId="6" borderId="0" xfId="3" applyNumberFormat="1" applyFont="1" applyFill="1"/>
    <xf numFmtId="2" fontId="82" fillId="6" borderId="12" xfId="3" applyNumberFormat="1" applyFont="1" applyFill="1" applyBorder="1"/>
    <xf numFmtId="2" fontId="96" fillId="6" borderId="3" xfId="3" applyNumberFormat="1" applyFont="1" applyFill="1" applyBorder="1"/>
    <xf numFmtId="2" fontId="82" fillId="6" borderId="13" xfId="3" applyNumberFormat="1" applyFont="1" applyFill="1" applyBorder="1"/>
    <xf numFmtId="0" fontId="82" fillId="6" borderId="1" xfId="3" applyFont="1" applyFill="1" applyBorder="1"/>
    <xf numFmtId="0" fontId="82" fillId="6" borderId="6" xfId="3" applyFont="1" applyFill="1" applyBorder="1"/>
    <xf numFmtId="0" fontId="82" fillId="6" borderId="7" xfId="3" applyFont="1" applyFill="1" applyBorder="1"/>
    <xf numFmtId="0" fontId="82" fillId="6" borderId="8" xfId="3" applyFont="1" applyFill="1" applyBorder="1"/>
    <xf numFmtId="0" fontId="84" fillId="6" borderId="6" xfId="3" applyFont="1" applyFill="1" applyBorder="1"/>
    <xf numFmtId="0" fontId="84" fillId="6" borderId="8" xfId="3" applyFont="1" applyFill="1" applyBorder="1"/>
    <xf numFmtId="0" fontId="82" fillId="6" borderId="0" xfId="3" applyFont="1" applyFill="1" applyAlignment="1">
      <alignment horizontal="right"/>
    </xf>
    <xf numFmtId="9" fontId="82" fillId="6" borderId="0" xfId="3" applyNumberFormat="1" applyFont="1" applyFill="1"/>
    <xf numFmtId="0" fontId="82" fillId="6" borderId="9" xfId="3" applyFont="1" applyFill="1" applyBorder="1"/>
    <xf numFmtId="2" fontId="82" fillId="6" borderId="10" xfId="3" applyNumberFormat="1" applyFont="1" applyFill="1" applyBorder="1"/>
    <xf numFmtId="2" fontId="94" fillId="6" borderId="10" xfId="3" applyNumberFormat="1" applyFont="1" applyFill="1" applyBorder="1"/>
    <xf numFmtId="2" fontId="82" fillId="6" borderId="2" xfId="3" applyNumberFormat="1" applyFont="1" applyFill="1" applyBorder="1"/>
    <xf numFmtId="0" fontId="82" fillId="6" borderId="10" xfId="3" applyFont="1" applyFill="1" applyBorder="1"/>
    <xf numFmtId="0" fontId="82" fillId="6" borderId="2" xfId="3" applyFont="1" applyFill="1" applyBorder="1"/>
    <xf numFmtId="9" fontId="82" fillId="6" borderId="0" xfId="5" applyFont="1" applyFill="1"/>
    <xf numFmtId="0" fontId="82" fillId="6" borderId="11" xfId="3" applyFont="1" applyFill="1" applyBorder="1"/>
    <xf numFmtId="2" fontId="82" fillId="6" borderId="5" xfId="3" applyNumberFormat="1" applyFont="1" applyFill="1" applyBorder="1"/>
    <xf numFmtId="0" fontId="97" fillId="6" borderId="0" xfId="6" applyFont="1" applyFill="1"/>
    <xf numFmtId="0" fontId="82" fillId="6" borderId="14" xfId="3" applyFont="1" applyFill="1" applyBorder="1"/>
    <xf numFmtId="2" fontId="94" fillId="6" borderId="0" xfId="3" applyNumberFormat="1" applyFont="1" applyFill="1"/>
    <xf numFmtId="2" fontId="82" fillId="6" borderId="3" xfId="3" applyNumberFormat="1" applyFont="1" applyFill="1" applyBorder="1"/>
    <xf numFmtId="2" fontId="82" fillId="6" borderId="4" xfId="3" applyNumberFormat="1" applyFont="1" applyFill="1" applyBorder="1"/>
    <xf numFmtId="0" fontId="14" fillId="6" borderId="53" xfId="4" applyFill="1" applyBorder="1"/>
    <xf numFmtId="0" fontId="10" fillId="6" borderId="50" xfId="0" applyFont="1" applyFill="1" applyBorder="1"/>
    <xf numFmtId="0" fontId="10" fillId="6" borderId="51" xfId="0" applyFont="1" applyFill="1" applyBorder="1"/>
    <xf numFmtId="9" fontId="10" fillId="6" borderId="0" xfId="2" applyFont="1" applyFill="1" applyBorder="1"/>
    <xf numFmtId="9" fontId="10" fillId="6" borderId="5" xfId="2" applyFont="1" applyFill="1" applyBorder="1"/>
    <xf numFmtId="0" fontId="82" fillId="6" borderId="4" xfId="0" applyFont="1" applyFill="1" applyBorder="1"/>
    <xf numFmtId="0" fontId="10" fillId="6" borderId="53" xfId="0" applyFont="1" applyFill="1" applyBorder="1"/>
    <xf numFmtId="0" fontId="19" fillId="6" borderId="13" xfId="0" applyFont="1" applyFill="1" applyBorder="1"/>
    <xf numFmtId="165" fontId="18" fillId="6" borderId="0" xfId="0" applyNumberFormat="1" applyFont="1" applyFill="1"/>
    <xf numFmtId="165" fontId="18" fillId="6" borderId="5" xfId="0" applyNumberFormat="1" applyFont="1" applyFill="1" applyBorder="1"/>
    <xf numFmtId="0" fontId="20" fillId="6" borderId="3" xfId="0" applyFont="1" applyFill="1" applyBorder="1" applyAlignment="1">
      <alignment horizontal="right"/>
    </xf>
    <xf numFmtId="165" fontId="20" fillId="6" borderId="13" xfId="0" applyNumberFormat="1" applyFont="1" applyFill="1" applyBorder="1"/>
    <xf numFmtId="165" fontId="20" fillId="6" borderId="4" xfId="0" applyNumberFormat="1" applyFont="1" applyFill="1" applyBorder="1"/>
    <xf numFmtId="166" fontId="10" fillId="6" borderId="0" xfId="0" applyNumberFormat="1" applyFont="1" applyFill="1"/>
    <xf numFmtId="166" fontId="10" fillId="6" borderId="5" xfId="0" applyNumberFormat="1" applyFont="1" applyFill="1" applyBorder="1"/>
    <xf numFmtId="3" fontId="10" fillId="6" borderId="0" xfId="0" applyNumberFormat="1" applyFont="1" applyFill="1"/>
    <xf numFmtId="166" fontId="10" fillId="6" borderId="13" xfId="0" applyNumberFormat="1" applyFont="1" applyFill="1" applyBorder="1"/>
    <xf numFmtId="166" fontId="10" fillId="6" borderId="4" xfId="0" applyNumberFormat="1" applyFont="1" applyFill="1" applyBorder="1"/>
    <xf numFmtId="165" fontId="18" fillId="6" borderId="13" xfId="0" applyNumberFormat="1" applyFont="1" applyFill="1" applyBorder="1"/>
    <xf numFmtId="165" fontId="18" fillId="6" borderId="4" xfId="0" applyNumberFormat="1" applyFont="1" applyFill="1" applyBorder="1"/>
    <xf numFmtId="0" fontId="20" fillId="6" borderId="0" xfId="0" applyFont="1" applyFill="1"/>
    <xf numFmtId="166" fontId="19" fillId="6" borderId="13" xfId="0" applyNumberFormat="1" applyFont="1" applyFill="1" applyBorder="1"/>
    <xf numFmtId="166" fontId="19" fillId="6" borderId="4" xfId="0" applyNumberFormat="1" applyFont="1" applyFill="1" applyBorder="1"/>
    <xf numFmtId="1" fontId="18" fillId="6" borderId="0" xfId="0" applyNumberFormat="1" applyFont="1" applyFill="1"/>
    <xf numFmtId="1" fontId="18" fillId="6" borderId="5" xfId="0" applyNumberFormat="1" applyFont="1" applyFill="1" applyBorder="1"/>
    <xf numFmtId="1" fontId="20" fillId="6" borderId="4" xfId="0" applyNumberFormat="1" applyFont="1" applyFill="1" applyBorder="1"/>
    <xf numFmtId="1" fontId="18" fillId="6" borderId="13" xfId="0" applyNumberFormat="1" applyFont="1" applyFill="1" applyBorder="1"/>
    <xf numFmtId="1" fontId="18" fillId="6" borderId="4" xfId="0" applyNumberFormat="1" applyFont="1" applyFill="1" applyBorder="1"/>
    <xf numFmtId="0" fontId="11" fillId="6" borderId="0" xfId="0" applyFont="1" applyFill="1"/>
    <xf numFmtId="0" fontId="18" fillId="6" borderId="0" xfId="0" applyFont="1" applyFill="1"/>
    <xf numFmtId="0" fontId="18" fillId="6" borderId="13" xfId="0" applyFont="1" applyFill="1" applyBorder="1"/>
    <xf numFmtId="3" fontId="10" fillId="6" borderId="5" xfId="0" applyNumberFormat="1" applyFont="1" applyFill="1" applyBorder="1"/>
    <xf numFmtId="0" fontId="91" fillId="6" borderId="0" xfId="0" applyFont="1" applyFill="1"/>
    <xf numFmtId="0" fontId="91" fillId="6" borderId="5" xfId="0" applyFont="1" applyFill="1" applyBorder="1"/>
    <xf numFmtId="3" fontId="10" fillId="6" borderId="0" xfId="0" quotePrefix="1" applyNumberFormat="1" applyFont="1" applyFill="1"/>
    <xf numFmtId="3" fontId="10" fillId="6" borderId="5" xfId="0" quotePrefix="1" applyNumberFormat="1" applyFont="1" applyFill="1" applyBorder="1"/>
    <xf numFmtId="0" fontId="91" fillId="6" borderId="13" xfId="0" applyFont="1" applyFill="1" applyBorder="1"/>
    <xf numFmtId="0" fontId="91" fillId="6" borderId="4" xfId="0" applyFont="1" applyFill="1" applyBorder="1"/>
    <xf numFmtId="0" fontId="11" fillId="6" borderId="53" xfId="0" applyFont="1" applyFill="1" applyBorder="1"/>
    <xf numFmtId="0" fontId="11" fillId="6" borderId="50" xfId="0" applyFont="1" applyFill="1" applyBorder="1"/>
    <xf numFmtId="0" fontId="11" fillId="6" borderId="51" xfId="0" applyFont="1" applyFill="1" applyBorder="1"/>
    <xf numFmtId="1" fontId="19" fillId="6" borderId="0" xfId="0" applyNumberFormat="1" applyFont="1" applyFill="1"/>
    <xf numFmtId="1" fontId="19" fillId="6" borderId="5" xfId="0" applyNumberFormat="1" applyFont="1" applyFill="1" applyBorder="1"/>
    <xf numFmtId="165" fontId="10" fillId="6" borderId="5" xfId="0" applyNumberFormat="1" applyFont="1" applyFill="1" applyBorder="1"/>
    <xf numFmtId="165" fontId="10" fillId="6" borderId="4" xfId="0" applyNumberFormat="1" applyFont="1" applyFill="1" applyBorder="1"/>
    <xf numFmtId="0" fontId="14" fillId="6" borderId="3" xfId="4" applyFill="1" applyBorder="1"/>
    <xf numFmtId="0" fontId="90" fillId="6" borderId="12" xfId="0" applyFont="1" applyFill="1" applyBorder="1"/>
    <xf numFmtId="0" fontId="90" fillId="6" borderId="0" xfId="0" applyFont="1" applyFill="1"/>
    <xf numFmtId="9" fontId="10" fillId="6" borderId="0" xfId="0" applyNumberFormat="1" applyFont="1" applyFill="1"/>
    <xf numFmtId="0" fontId="10" fillId="6" borderId="0" xfId="0" applyFont="1" applyFill="1" applyAlignment="1">
      <alignment wrapText="1"/>
    </xf>
    <xf numFmtId="165" fontId="82" fillId="6" borderId="5" xfId="0" applyNumberFormat="1" applyFont="1" applyFill="1" applyBorder="1"/>
    <xf numFmtId="0" fontId="18" fillId="6" borderId="0" xfId="7" applyFill="1"/>
    <xf numFmtId="165" fontId="22" fillId="57" borderId="0" xfId="0" applyNumberFormat="1" applyFont="1" applyFill="1"/>
    <xf numFmtId="165" fontId="19" fillId="6" borderId="0" xfId="0" applyNumberFormat="1" applyFont="1" applyFill="1"/>
    <xf numFmtId="0" fontId="82" fillId="6" borderId="13" xfId="0" applyFont="1" applyFill="1" applyBorder="1"/>
    <xf numFmtId="165" fontId="82" fillId="6" borderId="4" xfId="0" applyNumberFormat="1" applyFont="1" applyFill="1" applyBorder="1"/>
    <xf numFmtId="9" fontId="82" fillId="6" borderId="5" xfId="2" applyFont="1" applyFill="1" applyBorder="1"/>
    <xf numFmtId="9" fontId="82" fillId="6" borderId="0" xfId="2" applyFont="1" applyFill="1"/>
    <xf numFmtId="9" fontId="82" fillId="6" borderId="4" xfId="2" applyFont="1" applyFill="1" applyBorder="1"/>
    <xf numFmtId="1" fontId="82" fillId="6" borderId="0" xfId="0" applyNumberFormat="1" applyFont="1" applyFill="1"/>
    <xf numFmtId="0" fontId="19" fillId="6" borderId="0" xfId="0" applyFont="1" applyFill="1"/>
    <xf numFmtId="0" fontId="23" fillId="6" borderId="0" xfId="0" applyFont="1" applyFill="1"/>
    <xf numFmtId="1" fontId="23" fillId="6" borderId="0" xfId="0" applyNumberFormat="1" applyFont="1" applyFill="1"/>
    <xf numFmtId="0" fontId="82" fillId="6" borderId="0" xfId="0" applyFont="1" applyFill="1" applyAlignment="1">
      <alignment horizontal="right"/>
    </xf>
    <xf numFmtId="165" fontId="23" fillId="6" borderId="0" xfId="0" applyNumberFormat="1" applyFont="1" applyFill="1"/>
    <xf numFmtId="0" fontId="24" fillId="6" borderId="0" xfId="0" applyFont="1" applyFill="1"/>
    <xf numFmtId="0" fontId="23" fillId="6" borderId="13" xfId="0" applyFont="1" applyFill="1" applyBorder="1"/>
    <xf numFmtId="165" fontId="23" fillId="6" borderId="13" xfId="0" applyNumberFormat="1" applyFont="1" applyFill="1" applyBorder="1"/>
    <xf numFmtId="0" fontId="11" fillId="6" borderId="12" xfId="0" applyFont="1" applyFill="1" applyBorder="1"/>
    <xf numFmtId="0" fontId="19" fillId="6" borderId="5" xfId="0" applyFont="1" applyFill="1" applyBorder="1"/>
    <xf numFmtId="0" fontId="19" fillId="6" borderId="4" xfId="0" applyFont="1" applyFill="1" applyBorder="1"/>
    <xf numFmtId="9" fontId="82" fillId="6" borderId="50" xfId="0" applyNumberFormat="1" applyFont="1" applyFill="1" applyBorder="1"/>
    <xf numFmtId="9" fontId="82" fillId="6" borderId="13" xfId="0" applyNumberFormat="1" applyFont="1" applyFill="1" applyBorder="1"/>
    <xf numFmtId="165" fontId="22" fillId="6" borderId="50" xfId="0" applyNumberFormat="1" applyFont="1" applyFill="1" applyBorder="1"/>
    <xf numFmtId="0" fontId="22" fillId="6" borderId="50" xfId="0" applyFont="1" applyFill="1" applyBorder="1"/>
    <xf numFmtId="166" fontId="22" fillId="6" borderId="50" xfId="0" applyNumberFormat="1" applyFont="1" applyFill="1" applyBorder="1"/>
    <xf numFmtId="165" fontId="22" fillId="6" borderId="0" xfId="0" applyNumberFormat="1" applyFont="1" applyFill="1"/>
    <xf numFmtId="0" fontId="22" fillId="6" borderId="0" xfId="0" applyFont="1" applyFill="1"/>
    <xf numFmtId="166" fontId="22" fillId="6" borderId="0" xfId="0" applyNumberFormat="1" applyFont="1" applyFill="1"/>
    <xf numFmtId="0" fontId="22" fillId="6" borderId="5" xfId="0" applyFont="1" applyFill="1" applyBorder="1"/>
    <xf numFmtId="166" fontId="18" fillId="6" borderId="13" xfId="0" applyNumberFormat="1" applyFont="1" applyFill="1" applyBorder="1"/>
    <xf numFmtId="0" fontId="22" fillId="6" borderId="4" xfId="0" applyFont="1" applyFill="1" applyBorder="1"/>
    <xf numFmtId="2" fontId="82" fillId="6" borderId="3" xfId="0" applyNumberFormat="1" applyFont="1" applyFill="1" applyBorder="1"/>
    <xf numFmtId="0" fontId="14" fillId="6" borderId="5" xfId="4" applyFill="1" applyBorder="1"/>
    <xf numFmtId="9" fontId="82" fillId="6" borderId="0" xfId="0" applyNumberFormat="1" applyFont="1" applyFill="1"/>
    <xf numFmtId="0" fontId="16" fillId="6" borderId="12" xfId="0" applyFont="1" applyFill="1" applyBorder="1"/>
    <xf numFmtId="9" fontId="16" fillId="6" borderId="0" xfId="2" applyFont="1" applyFill="1" applyBorder="1"/>
    <xf numFmtId="0" fontId="16" fillId="6" borderId="5" xfId="0" applyFont="1" applyFill="1" applyBorder="1"/>
    <xf numFmtId="167" fontId="82" fillId="6" borderId="0" xfId="0" applyNumberFormat="1" applyFont="1" applyFill="1"/>
    <xf numFmtId="2" fontId="16" fillId="6" borderId="0" xfId="0" applyNumberFormat="1" applyFont="1" applyFill="1"/>
    <xf numFmtId="0" fontId="82" fillId="6" borderId="0" xfId="0" applyFont="1" applyFill="1" applyAlignment="1">
      <alignment horizontal="left"/>
    </xf>
    <xf numFmtId="0" fontId="82" fillId="6" borderId="0" xfId="0" applyFont="1" applyFill="1" applyAlignment="1">
      <alignment horizontal="center"/>
    </xf>
    <xf numFmtId="2" fontId="11" fillId="6" borderId="0" xfId="0" applyNumberFormat="1" applyFont="1" applyFill="1"/>
    <xf numFmtId="2" fontId="82" fillId="6" borderId="13" xfId="0" applyNumberFormat="1" applyFont="1" applyFill="1" applyBorder="1"/>
    <xf numFmtId="1" fontId="82" fillId="6" borderId="13" xfId="0" applyNumberFormat="1" applyFont="1" applyFill="1" applyBorder="1"/>
    <xf numFmtId="0" fontId="25" fillId="6" borderId="53" xfId="0" applyFont="1" applyFill="1" applyBorder="1"/>
    <xf numFmtId="0" fontId="14" fillId="6" borderId="4" xfId="4" applyFill="1" applyBorder="1"/>
    <xf numFmtId="0" fontId="82" fillId="6" borderId="47" xfId="0" applyFont="1" applyFill="1" applyBorder="1"/>
    <xf numFmtId="2" fontId="82" fillId="6" borderId="48" xfId="0" applyNumberFormat="1" applyFont="1" applyFill="1" applyBorder="1"/>
    <xf numFmtId="0" fontId="82" fillId="6" borderId="48" xfId="0" applyFont="1" applyFill="1" applyBorder="1"/>
    <xf numFmtId="0" fontId="82" fillId="6" borderId="52" xfId="0" applyFont="1" applyFill="1" applyBorder="1"/>
    <xf numFmtId="0" fontId="26" fillId="6" borderId="12" xfId="0" applyFont="1" applyFill="1" applyBorder="1"/>
    <xf numFmtId="9" fontId="25" fillId="6" borderId="0" xfId="2" applyFont="1" applyFill="1" applyBorder="1"/>
    <xf numFmtId="9" fontId="25" fillId="6" borderId="5" xfId="2" applyFont="1" applyFill="1" applyBorder="1"/>
    <xf numFmtId="1" fontId="82" fillId="6" borderId="0" xfId="3" applyNumberFormat="1" applyFont="1" applyFill="1"/>
    <xf numFmtId="1" fontId="82" fillId="6" borderId="5" xfId="3" applyNumberFormat="1" applyFont="1" applyFill="1" applyBorder="1"/>
    <xf numFmtId="2" fontId="14" fillId="6" borderId="0" xfId="4" applyNumberFormat="1" applyFill="1" applyBorder="1"/>
    <xf numFmtId="2" fontId="14" fillId="6" borderId="13" xfId="4" applyNumberFormat="1" applyFill="1" applyBorder="1"/>
    <xf numFmtId="0" fontId="84" fillId="6" borderId="53" xfId="0" applyFont="1" applyFill="1" applyBorder="1"/>
    <xf numFmtId="0" fontId="84" fillId="6" borderId="12" xfId="0" applyFont="1" applyFill="1" applyBorder="1"/>
    <xf numFmtId="2" fontId="82" fillId="6" borderId="0" xfId="2" applyNumberFormat="1" applyFont="1" applyFill="1" applyBorder="1"/>
    <xf numFmtId="0" fontId="82" fillId="6" borderId="0" xfId="2" applyNumberFormat="1" applyFont="1" applyFill="1" applyBorder="1"/>
    <xf numFmtId="0" fontId="14" fillId="6" borderId="0" xfId="4" applyNumberFormat="1" applyFill="1" applyBorder="1"/>
    <xf numFmtId="0" fontId="82" fillId="6" borderId="13" xfId="2" applyNumberFormat="1" applyFont="1" applyFill="1" applyBorder="1"/>
    <xf numFmtId="0" fontId="14" fillId="6" borderId="13" xfId="4" applyNumberFormat="1" applyFill="1" applyBorder="1"/>
    <xf numFmtId="0" fontId="82" fillId="6" borderId="0" xfId="2" applyNumberFormat="1" applyFont="1" applyFill="1"/>
    <xf numFmtId="0" fontId="26" fillId="6" borderId="53" xfId="0" applyFont="1" applyFill="1" applyBorder="1"/>
    <xf numFmtId="0" fontId="85" fillId="6" borderId="12" xfId="0" applyFont="1" applyFill="1" applyBorder="1"/>
    <xf numFmtId="0" fontId="84" fillId="6" borderId="0" xfId="0" applyFont="1" applyFill="1"/>
    <xf numFmtId="0" fontId="14" fillId="6" borderId="0" xfId="4" applyNumberFormat="1" applyFill="1"/>
    <xf numFmtId="0" fontId="84" fillId="6" borderId="5" xfId="0" applyFont="1" applyFill="1" applyBorder="1"/>
    <xf numFmtId="0" fontId="82" fillId="6" borderId="0" xfId="1" applyNumberFormat="1" applyFont="1" applyFill="1" applyBorder="1"/>
    <xf numFmtId="0" fontId="82" fillId="6" borderId="0" xfId="1" applyNumberFormat="1" applyFont="1" applyFill="1" applyBorder="1" applyAlignment="1">
      <alignment horizontal="right"/>
    </xf>
    <xf numFmtId="0" fontId="82" fillId="6" borderId="0" xfId="1" applyNumberFormat="1" applyFont="1" applyFill="1"/>
    <xf numFmtId="0" fontId="82" fillId="6" borderId="5" xfId="1" applyNumberFormat="1" applyFont="1" applyFill="1" applyBorder="1" applyAlignment="1">
      <alignment horizontal="right"/>
    </xf>
    <xf numFmtId="0" fontId="82" fillId="6" borderId="13" xfId="1" applyNumberFormat="1" applyFont="1" applyFill="1" applyBorder="1" applyAlignment="1">
      <alignment horizontal="right"/>
    </xf>
    <xf numFmtId="0" fontId="14" fillId="6" borderId="13" xfId="4" applyFill="1" applyBorder="1"/>
    <xf numFmtId="0" fontId="82" fillId="6" borderId="13" xfId="1" applyNumberFormat="1" applyFont="1" applyFill="1" applyBorder="1"/>
    <xf numFmtId="0" fontId="85" fillId="6" borderId="0" xfId="0" applyFont="1" applyFill="1"/>
    <xf numFmtId="0" fontId="14" fillId="6" borderId="50" xfId="4" applyNumberFormat="1" applyFill="1" applyBorder="1"/>
    <xf numFmtId="0" fontId="82" fillId="6" borderId="50" xfId="1" applyNumberFormat="1" applyFont="1" applyFill="1" applyBorder="1" applyAlignment="1">
      <alignment horizontal="right"/>
    </xf>
    <xf numFmtId="0" fontId="11" fillId="6" borderId="13" xfId="0" applyFont="1" applyFill="1" applyBorder="1"/>
    <xf numFmtId="0" fontId="85" fillId="6" borderId="53" xfId="0" applyFont="1" applyFill="1" applyBorder="1"/>
    <xf numFmtId="0" fontId="84" fillId="6" borderId="51" xfId="0" applyFont="1" applyFill="1" applyBorder="1"/>
    <xf numFmtId="1" fontId="82" fillId="6" borderId="5" xfId="0" applyNumberFormat="1" applyFont="1" applyFill="1" applyBorder="1"/>
    <xf numFmtId="0" fontId="82" fillId="6" borderId="0" xfId="1" applyNumberFormat="1" applyFont="1" applyFill="1" applyBorder="1" applyAlignment="1">
      <alignment horizontal="left"/>
    </xf>
    <xf numFmtId="0" fontId="82" fillId="6" borderId="5" xfId="1" applyNumberFormat="1" applyFont="1" applyFill="1" applyBorder="1"/>
    <xf numFmtId="0" fontId="86" fillId="6" borderId="0" xfId="1" applyNumberFormat="1" applyFont="1" applyFill="1" applyBorder="1" applyAlignment="1">
      <alignment horizontal="right"/>
    </xf>
    <xf numFmtId="0" fontId="14" fillId="6" borderId="13" xfId="4" applyNumberFormat="1" applyFill="1" applyBorder="1" applyAlignment="1">
      <alignment horizontal="right"/>
    </xf>
    <xf numFmtId="0" fontId="82" fillId="6" borderId="4" xfId="1" applyNumberFormat="1" applyFont="1" applyFill="1" applyBorder="1" applyAlignment="1">
      <alignment horizontal="right"/>
    </xf>
    <xf numFmtId="0" fontId="84" fillId="6" borderId="53" xfId="3" applyFont="1" applyFill="1" applyBorder="1"/>
    <xf numFmtId="0" fontId="14" fillId="6" borderId="12" xfId="4" applyNumberFormat="1" applyFill="1" applyBorder="1"/>
    <xf numFmtId="0" fontId="85" fillId="6" borderId="0" xfId="1" applyNumberFormat="1" applyFont="1" applyFill="1" applyBorder="1"/>
    <xf numFmtId="0" fontId="84" fillId="6" borderId="0" xfId="1" applyNumberFormat="1" applyFont="1" applyFill="1" applyBorder="1"/>
    <xf numFmtId="0" fontId="82" fillId="6" borderId="51" xfId="1" applyNumberFormat="1" applyFont="1" applyFill="1" applyBorder="1" applyAlignment="1">
      <alignment horizontal="right"/>
    </xf>
    <xf numFmtId="0" fontId="10" fillId="6" borderId="0" xfId="1" applyNumberFormat="1" applyFont="1" applyFill="1" applyBorder="1"/>
    <xf numFmtId="0" fontId="87" fillId="6" borderId="0" xfId="1" applyNumberFormat="1" applyFont="1" applyFill="1" applyBorder="1" applyAlignment="1">
      <alignment horizontal="right"/>
    </xf>
    <xf numFmtId="0" fontId="86" fillId="6" borderId="5" xfId="1" applyNumberFormat="1" applyFont="1" applyFill="1" applyBorder="1" applyAlignment="1">
      <alignment horizontal="right"/>
    </xf>
    <xf numFmtId="0" fontId="10" fillId="6" borderId="13" xfId="1" applyNumberFormat="1" applyFont="1" applyFill="1" applyBorder="1"/>
    <xf numFmtId="0" fontId="88" fillId="6" borderId="12" xfId="0" applyFont="1" applyFill="1" applyBorder="1"/>
    <xf numFmtId="0" fontId="88" fillId="6" borderId="0" xfId="0" applyFont="1" applyFill="1"/>
    <xf numFmtId="0" fontId="85" fillId="6" borderId="13" xfId="0" applyFont="1" applyFill="1" applyBorder="1"/>
    <xf numFmtId="0" fontId="84" fillId="6" borderId="50" xfId="0" applyFont="1" applyFill="1" applyBorder="1"/>
    <xf numFmtId="0" fontId="10" fillId="6" borderId="0" xfId="1" applyNumberFormat="1" applyFont="1" applyFill="1" applyBorder="1" applyAlignment="1">
      <alignment horizontal="right"/>
    </xf>
    <xf numFmtId="0" fontId="82" fillId="6" borderId="51" xfId="1" applyNumberFormat="1" applyFont="1" applyFill="1" applyBorder="1"/>
    <xf numFmtId="9" fontId="82" fillId="6" borderId="5" xfId="0" applyNumberFormat="1" applyFont="1" applyFill="1" applyBorder="1"/>
    <xf numFmtId="9" fontId="82" fillId="6" borderId="13" xfId="3" applyNumberFormat="1" applyFont="1" applyFill="1" applyBorder="1"/>
    <xf numFmtId="1" fontId="82" fillId="6" borderId="13" xfId="3" applyNumberFormat="1" applyFont="1" applyFill="1" applyBorder="1"/>
    <xf numFmtId="0" fontId="85" fillId="6" borderId="53" xfId="3" applyFont="1" applyFill="1" applyBorder="1"/>
    <xf numFmtId="0" fontId="85" fillId="6" borderId="12" xfId="3" applyFont="1" applyFill="1" applyBorder="1"/>
    <xf numFmtId="0" fontId="84" fillId="6" borderId="12" xfId="3" applyFont="1" applyFill="1" applyBorder="1"/>
    <xf numFmtId="0" fontId="14" fillId="6" borderId="5" xfId="4" applyNumberFormat="1" applyFill="1" applyBorder="1"/>
    <xf numFmtId="165" fontId="87" fillId="6" borderId="0" xfId="3" applyNumberFormat="1" applyFont="1" applyFill="1"/>
    <xf numFmtId="0" fontId="86" fillId="6" borderId="0" xfId="3" applyFont="1" applyFill="1"/>
    <xf numFmtId="1" fontId="87" fillId="6" borderId="0" xfId="3" applyNumberFormat="1" applyFont="1" applyFill="1"/>
    <xf numFmtId="0" fontId="88" fillId="6" borderId="12" xfId="3" applyFont="1" applyFill="1" applyBorder="1"/>
    <xf numFmtId="10" fontId="89" fillId="6" borderId="0" xfId="0" applyNumberFormat="1" applyFont="1" applyFill="1" applyAlignment="1">
      <alignment horizontal="center" vertical="center" wrapText="1"/>
    </xf>
    <xf numFmtId="0" fontId="28" fillId="6" borderId="0" xfId="7" applyFont="1" applyFill="1"/>
    <xf numFmtId="0" fontId="18" fillId="6" borderId="53" xfId="7" applyFill="1" applyBorder="1"/>
    <xf numFmtId="0" fontId="18" fillId="6" borderId="50" xfId="7" applyFill="1" applyBorder="1"/>
    <xf numFmtId="0" fontId="18" fillId="6" borderId="51" xfId="7" applyFill="1" applyBorder="1"/>
    <xf numFmtId="165" fontId="18" fillId="6" borderId="50" xfId="7" applyNumberFormat="1" applyFill="1" applyBorder="1"/>
    <xf numFmtId="165" fontId="11" fillId="6" borderId="50" xfId="0" applyNumberFormat="1" applyFont="1" applyFill="1" applyBorder="1"/>
    <xf numFmtId="0" fontId="18" fillId="6" borderId="12" xfId="7" applyFill="1" applyBorder="1"/>
    <xf numFmtId="0" fontId="18" fillId="6" borderId="5" xfId="7" applyFill="1" applyBorder="1"/>
    <xf numFmtId="165" fontId="13" fillId="6" borderId="0" xfId="7" applyNumberFormat="1" applyFont="1" applyFill="1"/>
    <xf numFmtId="0" fontId="18" fillId="6" borderId="5" xfId="7" applyFill="1" applyBorder="1" applyAlignment="1">
      <alignment wrapText="1"/>
    </xf>
    <xf numFmtId="0" fontId="18" fillId="6" borderId="0" xfId="7" applyFill="1" applyAlignment="1">
      <alignment wrapText="1"/>
    </xf>
    <xf numFmtId="0" fontId="18" fillId="6" borderId="13" xfId="7" applyFill="1" applyBorder="1"/>
    <xf numFmtId="0" fontId="18" fillId="6" borderId="4" xfId="7" applyFill="1" applyBorder="1"/>
    <xf numFmtId="0" fontId="82" fillId="6" borderId="0" xfId="0" applyFont="1" applyFill="1" applyAlignment="1">
      <alignment wrapText="1"/>
    </xf>
    <xf numFmtId="0" fontId="29" fillId="6" borderId="0" xfId="4" applyNumberFormat="1" applyFont="1" applyFill="1" applyAlignment="1" applyProtection="1"/>
    <xf numFmtId="0" fontId="18" fillId="6" borderId="50" xfId="7" applyFill="1" applyBorder="1" applyAlignment="1">
      <alignment wrapText="1"/>
    </xf>
    <xf numFmtId="0" fontId="82" fillId="6" borderId="50" xfId="0" applyFont="1" applyFill="1" applyBorder="1" applyAlignment="1">
      <alignment wrapText="1"/>
    </xf>
    <xf numFmtId="1" fontId="18" fillId="6" borderId="0" xfId="7" applyNumberFormat="1" applyFill="1"/>
    <xf numFmtId="2" fontId="30" fillId="6" borderId="0" xfId="0" applyNumberFormat="1" applyFont="1" applyFill="1"/>
    <xf numFmtId="0" fontId="18" fillId="6" borderId="47" xfId="7" applyFill="1" applyBorder="1" applyAlignment="1">
      <alignment wrapText="1"/>
    </xf>
    <xf numFmtId="0" fontId="18" fillId="6" borderId="48" xfId="7" applyFill="1" applyBorder="1" applyAlignment="1">
      <alignment horizontal="right"/>
    </xf>
    <xf numFmtId="0" fontId="18" fillId="6" borderId="48" xfId="7" applyFill="1" applyBorder="1"/>
    <xf numFmtId="2" fontId="18" fillId="6" borderId="52" xfId="7" applyNumberFormat="1" applyFill="1" applyBorder="1"/>
    <xf numFmtId="173" fontId="82" fillId="6" borderId="0" xfId="0" applyNumberFormat="1" applyFont="1" applyFill="1"/>
    <xf numFmtId="0" fontId="17" fillId="0" borderId="5" xfId="0" applyFont="1" applyBorder="1"/>
    <xf numFmtId="9" fontId="0" fillId="0" borderId="0" xfId="2" applyFont="1" applyFill="1" applyBorder="1"/>
    <xf numFmtId="9" fontId="75" fillId="0" borderId="0" xfId="2" applyFont="1" applyFill="1" applyBorder="1"/>
    <xf numFmtId="9" fontId="0" fillId="0" borderId="5" xfId="2" applyFont="1" applyFill="1" applyBorder="1"/>
    <xf numFmtId="9" fontId="0" fillId="0" borderId="13" xfId="2" applyFont="1" applyFill="1" applyBorder="1"/>
    <xf numFmtId="9" fontId="75" fillId="0" borderId="13" xfId="2" applyFont="1" applyFill="1" applyBorder="1"/>
    <xf numFmtId="9" fontId="0" fillId="0" borderId="4" xfId="2" applyFont="1" applyFill="1" applyBorder="1"/>
    <xf numFmtId="0" fontId="3" fillId="3" borderId="50" xfId="0" applyFont="1" applyFill="1" applyBorder="1"/>
    <xf numFmtId="9" fontId="0" fillId="13" borderId="0" xfId="2" applyFont="1" applyFill="1" applyBorder="1"/>
    <xf numFmtId="9" fontId="0" fillId="13" borderId="5" xfId="2" applyFont="1" applyFill="1" applyBorder="1"/>
    <xf numFmtId="9" fontId="0" fillId="13" borderId="13" xfId="2" applyFont="1" applyFill="1" applyBorder="1"/>
    <xf numFmtId="9" fontId="0" fillId="13" borderId="4" xfId="2" applyFont="1" applyFill="1" applyBorder="1"/>
    <xf numFmtId="10" fontId="82" fillId="6" borderId="5" xfId="0" applyNumberFormat="1" applyFont="1" applyFill="1" applyBorder="1"/>
    <xf numFmtId="0" fontId="0" fillId="0" borderId="15" xfId="0" applyBorder="1" applyAlignment="1">
      <alignment horizontal="left"/>
    </xf>
    <xf numFmtId="0" fontId="98" fillId="6" borderId="0" xfId="3" applyFont="1" applyFill="1"/>
    <xf numFmtId="0" fontId="5" fillId="0" borderId="15" xfId="0" applyFont="1" applyBorder="1" applyAlignment="1">
      <alignment vertical="center"/>
    </xf>
    <xf numFmtId="0" fontId="5" fillId="11" borderId="46" xfId="0" applyFont="1" applyFill="1" applyBorder="1" applyAlignment="1">
      <alignment horizontal="left" vertical="center" wrapText="1"/>
    </xf>
    <xf numFmtId="0" fontId="5" fillId="11" borderId="46" xfId="0" applyFont="1" applyFill="1" applyBorder="1" applyAlignment="1">
      <alignment horizontal="center" vertical="center" wrapText="1"/>
    </xf>
    <xf numFmtId="0" fontId="8" fillId="13" borderId="15" xfId="0" applyFont="1" applyFill="1" applyBorder="1" applyAlignment="1">
      <alignment horizontal="left" vertical="center" wrapText="1"/>
    </xf>
    <xf numFmtId="0" fontId="5" fillId="8" borderId="15" xfId="0" applyFont="1" applyFill="1" applyBorder="1" applyAlignment="1">
      <alignment horizontal="left" vertical="center" wrapText="1"/>
    </xf>
    <xf numFmtId="0" fontId="0" fillId="8" borderId="15" xfId="0" applyFill="1" applyBorder="1" applyAlignment="1">
      <alignment horizontal="center" vertical="center" wrapText="1"/>
    </xf>
    <xf numFmtId="1" fontId="0" fillId="8" borderId="15" xfId="0" applyNumberFormat="1" applyFill="1" applyBorder="1" applyAlignment="1">
      <alignment horizontal="center" vertical="center" wrapText="1"/>
    </xf>
    <xf numFmtId="0" fontId="5" fillId="2" borderId="15" xfId="0" applyFont="1" applyFill="1" applyBorder="1" applyAlignment="1">
      <alignment horizontal="left" vertical="center" wrapText="1"/>
    </xf>
    <xf numFmtId="0" fontId="0" fillId="2" borderId="15" xfId="0" applyFill="1" applyBorder="1" applyAlignment="1">
      <alignment horizontal="center" vertical="center" wrapText="1"/>
    </xf>
    <xf numFmtId="2" fontId="0" fillId="2" borderId="15" xfId="0" applyNumberFormat="1" applyFill="1" applyBorder="1" applyAlignment="1">
      <alignment horizontal="center" vertical="center" wrapText="1"/>
    </xf>
    <xf numFmtId="2" fontId="0" fillId="8" borderId="15" xfId="0" applyNumberFormat="1" applyFill="1" applyBorder="1" applyAlignment="1">
      <alignment horizontal="center" vertical="center" wrapText="1"/>
    </xf>
    <xf numFmtId="0" fontId="0" fillId="0" borderId="15" xfId="0" applyBorder="1" applyAlignment="1">
      <alignment horizontal="center" vertical="center" wrapText="1"/>
    </xf>
    <xf numFmtId="0" fontId="0" fillId="0" borderId="46" xfId="0" applyBorder="1" applyAlignment="1">
      <alignment horizontal="center" vertical="center" wrapText="1"/>
    </xf>
    <xf numFmtId="2" fontId="0" fillId="0" borderId="15" xfId="0" applyNumberFormat="1" applyBorder="1" applyAlignment="1">
      <alignment horizontal="center" vertical="center" wrapText="1"/>
    </xf>
    <xf numFmtId="9" fontId="0" fillId="0" borderId="15" xfId="0" applyNumberFormat="1" applyBorder="1" applyAlignment="1">
      <alignment horizontal="center" vertical="center" wrapText="1"/>
    </xf>
    <xf numFmtId="0" fontId="9" fillId="2" borderId="15" xfId="0" applyFont="1" applyFill="1" applyBorder="1" applyAlignment="1">
      <alignment horizontal="left" vertical="center" wrapText="1"/>
    </xf>
    <xf numFmtId="0" fontId="9" fillId="2" borderId="15" xfId="0" applyFont="1" applyFill="1" applyBorder="1" applyAlignment="1">
      <alignment horizontal="center" vertical="center" wrapText="1"/>
    </xf>
    <xf numFmtId="0" fontId="5" fillId="0" borderId="15" xfId="0" applyFont="1" applyBorder="1" applyAlignment="1">
      <alignment vertical="center" wrapText="1"/>
    </xf>
    <xf numFmtId="0" fontId="5" fillId="0" borderId="46" xfId="0" applyFont="1" applyBorder="1" applyAlignment="1">
      <alignment vertical="center" wrapText="1"/>
    </xf>
    <xf numFmtId="0" fontId="99" fillId="0" borderId="15" xfId="4" applyFont="1" applyFill="1" applyBorder="1" applyAlignment="1">
      <alignment vertical="center" wrapText="1"/>
    </xf>
    <xf numFmtId="0" fontId="99" fillId="0" borderId="46" xfId="4" applyFont="1" applyFill="1" applyBorder="1" applyAlignment="1">
      <alignment horizontal="center" vertical="center" wrapText="1"/>
    </xf>
    <xf numFmtId="0" fontId="99" fillId="0" borderId="46" xfId="4" applyFont="1" applyFill="1" applyBorder="1" applyAlignment="1">
      <alignment vertical="center" wrapText="1"/>
    </xf>
    <xf numFmtId="0" fontId="99" fillId="0" borderId="15" xfId="4" applyFont="1" applyFill="1" applyBorder="1" applyAlignment="1">
      <alignment vertical="center"/>
    </xf>
    <xf numFmtId="0" fontId="5" fillId="0" borderId="15" xfId="4" applyFont="1" applyFill="1" applyBorder="1" applyAlignment="1">
      <alignment vertical="center" wrapText="1"/>
    </xf>
    <xf numFmtId="0" fontId="0" fillId="0" borderId="0" xfId="0" applyAlignment="1">
      <alignment horizontal="center" vertical="center" wrapText="1"/>
    </xf>
    <xf numFmtId="10" fontId="0" fillId="0" borderId="15" xfId="0" applyNumberFormat="1" applyBorder="1"/>
    <xf numFmtId="0" fontId="0" fillId="0" borderId="15" xfId="0" applyBorder="1" applyAlignment="1">
      <alignment horizontal="center" vertical="center"/>
    </xf>
    <xf numFmtId="0" fontId="0" fillId="0" borderId="46" xfId="0" applyBorder="1" applyAlignment="1">
      <alignment horizontal="center" vertical="center"/>
    </xf>
    <xf numFmtId="10" fontId="0" fillId="0" borderId="0" xfId="0" applyNumberFormat="1" applyAlignment="1">
      <alignment horizontal="center" vertical="center" wrapText="1"/>
    </xf>
    <xf numFmtId="0" fontId="0" fillId="0" borderId="0" xfId="0" applyAlignment="1">
      <alignment horizontal="left" vertical="center" wrapText="1"/>
    </xf>
    <xf numFmtId="0" fontId="5" fillId="0" borderId="0" xfId="0" applyFont="1" applyAlignment="1">
      <alignment vertical="center"/>
    </xf>
    <xf numFmtId="0" fontId="5" fillId="0" borderId="0" xfId="0" applyFont="1" applyAlignment="1">
      <alignment vertical="center" wrapText="1"/>
    </xf>
    <xf numFmtId="0" fontId="5" fillId="29" borderId="15" xfId="0" applyFont="1" applyFill="1" applyBorder="1" applyAlignment="1">
      <alignment vertical="center" wrapText="1"/>
    </xf>
    <xf numFmtId="0" fontId="5" fillId="0" borderId="46" xfId="0" applyFont="1" applyBorder="1" applyAlignment="1">
      <alignment vertical="center"/>
    </xf>
    <xf numFmtId="0" fontId="8" fillId="0" borderId="0" xfId="0" applyFont="1" applyAlignment="1">
      <alignment vertical="center" wrapText="1"/>
    </xf>
    <xf numFmtId="0" fontId="8" fillId="0" borderId="0" xfId="0" applyFont="1" applyAlignment="1">
      <alignment horizontal="left" vertical="center" wrapText="1"/>
    </xf>
    <xf numFmtId="0" fontId="5" fillId="0" borderId="0" xfId="0" applyFont="1" applyAlignment="1">
      <alignment horizontal="left" vertical="center"/>
    </xf>
    <xf numFmtId="0" fontId="100" fillId="0" borderId="0" xfId="0" applyFont="1" applyAlignment="1">
      <alignment horizontal="left" vertical="center"/>
    </xf>
    <xf numFmtId="0" fontId="5" fillId="0" borderId="0" xfId="0" applyFont="1" applyAlignment="1">
      <alignment horizontal="left" vertical="center" wrapText="1"/>
    </xf>
    <xf numFmtId="0" fontId="0" fillId="0" borderId="46" xfId="0" applyBorder="1" applyAlignment="1">
      <alignment horizontal="center"/>
    </xf>
    <xf numFmtId="2" fontId="0" fillId="0" borderId="15" xfId="0" applyNumberFormat="1" applyBorder="1" applyAlignment="1">
      <alignment horizontal="center"/>
    </xf>
    <xf numFmtId="0" fontId="0" fillId="5" borderId="15" xfId="0" applyFill="1" applyBorder="1" applyAlignment="1">
      <alignment vertical="center" wrapText="1"/>
    </xf>
    <xf numFmtId="166" fontId="0" fillId="5" borderId="15" xfId="0" applyNumberFormat="1" applyFill="1" applyBorder="1" applyAlignment="1">
      <alignment horizontal="center" vertical="center"/>
    </xf>
    <xf numFmtId="2" fontId="0" fillId="5" borderId="15" xfId="0" applyNumberFormat="1" applyFill="1" applyBorder="1" applyAlignment="1">
      <alignment horizontal="center" vertical="center"/>
    </xf>
    <xf numFmtId="0" fontId="0" fillId="9" borderId="15" xfId="0" applyFill="1" applyBorder="1" applyAlignment="1">
      <alignment vertical="center" wrapText="1"/>
    </xf>
    <xf numFmtId="166" fontId="0" fillId="9" borderId="15" xfId="0" applyNumberFormat="1" applyFill="1" applyBorder="1" applyAlignment="1">
      <alignment horizontal="center" vertical="center"/>
    </xf>
    <xf numFmtId="169" fontId="0" fillId="9" borderId="15" xfId="0" applyNumberFormat="1" applyFill="1" applyBorder="1" applyAlignment="1">
      <alignment horizontal="center" vertical="center"/>
    </xf>
    <xf numFmtId="183" fontId="0" fillId="9" borderId="15" xfId="0" applyNumberFormat="1" applyFill="1" applyBorder="1" applyAlignment="1">
      <alignment horizontal="center" vertical="center"/>
    </xf>
    <xf numFmtId="2" fontId="0" fillId="9" borderId="15" xfId="0" applyNumberFormat="1" applyFill="1" applyBorder="1" applyAlignment="1">
      <alignment horizontal="center" vertical="center"/>
    </xf>
    <xf numFmtId="0" fontId="0" fillId="13" borderId="15" xfId="0" applyFill="1" applyBorder="1" applyAlignment="1">
      <alignment vertical="center" wrapText="1"/>
    </xf>
    <xf numFmtId="166" fontId="0" fillId="13" borderId="15" xfId="0" applyNumberFormat="1" applyFill="1" applyBorder="1" applyAlignment="1">
      <alignment horizontal="center" vertical="center"/>
    </xf>
    <xf numFmtId="2" fontId="0" fillId="13" borderId="15" xfId="0" applyNumberFormat="1" applyFill="1" applyBorder="1" applyAlignment="1">
      <alignment horizontal="center" vertical="center"/>
    </xf>
    <xf numFmtId="0" fontId="0" fillId="10" borderId="15" xfId="0" applyFill="1" applyBorder="1" applyAlignment="1">
      <alignment vertical="center" wrapText="1"/>
    </xf>
    <xf numFmtId="166" fontId="0" fillId="10" borderId="15" xfId="0" applyNumberFormat="1" applyFill="1" applyBorder="1" applyAlignment="1">
      <alignment horizontal="center" vertical="center"/>
    </xf>
    <xf numFmtId="2" fontId="0" fillId="10" borderId="15" xfId="0" applyNumberFormat="1" applyFill="1" applyBorder="1" applyAlignment="1">
      <alignment horizontal="center" vertical="center"/>
    </xf>
    <xf numFmtId="0" fontId="0" fillId="15" borderId="15" xfId="0" applyFill="1" applyBorder="1" applyAlignment="1">
      <alignment vertical="center" wrapText="1"/>
    </xf>
    <xf numFmtId="166" fontId="0" fillId="15" borderId="15" xfId="0" applyNumberFormat="1" applyFill="1" applyBorder="1" applyAlignment="1">
      <alignment horizontal="center" vertical="center"/>
    </xf>
    <xf numFmtId="2" fontId="0" fillId="15" borderId="15" xfId="0" applyNumberFormat="1" applyFill="1" applyBorder="1" applyAlignment="1">
      <alignment horizontal="center" vertical="center"/>
    </xf>
    <xf numFmtId="0" fontId="0" fillId="0" borderId="15" xfId="0" applyBorder="1" applyAlignment="1">
      <alignment vertical="center" wrapText="1"/>
    </xf>
    <xf numFmtId="166" fontId="0" fillId="0" borderId="15" xfId="0" applyNumberFormat="1" applyBorder="1" applyAlignment="1">
      <alignment horizontal="center" vertical="center"/>
    </xf>
    <xf numFmtId="166" fontId="0" fillId="0" borderId="46" xfId="0" applyNumberFormat="1" applyBorder="1" applyAlignment="1">
      <alignment horizontal="center" vertical="center"/>
    </xf>
    <xf numFmtId="2" fontId="0" fillId="0" borderId="15" xfId="0" applyNumberFormat="1" applyBorder="1" applyAlignment="1">
      <alignment horizontal="center" vertical="center"/>
    </xf>
    <xf numFmtId="0" fontId="0" fillId="14" borderId="15" xfId="0" applyFill="1" applyBorder="1" applyAlignment="1">
      <alignment vertical="center" wrapText="1"/>
    </xf>
    <xf numFmtId="166" fontId="0" fillId="14" borderId="15" xfId="0" applyNumberFormat="1" applyFill="1" applyBorder="1" applyAlignment="1">
      <alignment horizontal="center" vertical="center"/>
    </xf>
    <xf numFmtId="166" fontId="0" fillId="14" borderId="46" xfId="0" applyNumberFormat="1" applyFill="1" applyBorder="1" applyAlignment="1">
      <alignment horizontal="center" vertical="center"/>
    </xf>
    <xf numFmtId="2" fontId="0" fillId="14" borderId="15" xfId="0" applyNumberFormat="1" applyFill="1" applyBorder="1" applyAlignment="1">
      <alignment horizontal="center" vertical="center"/>
    </xf>
    <xf numFmtId="2" fontId="0" fillId="0" borderId="46" xfId="0" applyNumberFormat="1" applyBorder="1" applyAlignment="1">
      <alignment horizontal="center" vertical="center"/>
    </xf>
    <xf numFmtId="165" fontId="0" fillId="13" borderId="15" xfId="0" applyNumberFormat="1" applyFill="1" applyBorder="1" applyAlignment="1">
      <alignment horizontal="center" vertical="center"/>
    </xf>
    <xf numFmtId="165" fontId="0" fillId="10" borderId="15" xfId="0" applyNumberFormat="1" applyFill="1" applyBorder="1" applyAlignment="1">
      <alignment horizontal="center" vertical="center"/>
    </xf>
    <xf numFmtId="165" fontId="0" fillId="15" borderId="15" xfId="0" applyNumberFormat="1" applyFill="1" applyBorder="1" applyAlignment="1">
      <alignment horizontal="center" vertical="center"/>
    </xf>
    <xf numFmtId="0" fontId="0" fillId="0" borderId="0" xfId="0" applyAlignment="1">
      <alignment vertical="center"/>
    </xf>
    <xf numFmtId="2" fontId="0" fillId="0" borderId="0" xfId="0" applyNumberFormat="1" applyAlignment="1">
      <alignment vertical="center"/>
    </xf>
    <xf numFmtId="0" fontId="0" fillId="15" borderId="0" xfId="0" applyFill="1"/>
    <xf numFmtId="0" fontId="0" fillId="7" borderId="15" xfId="0" applyFill="1" applyBorder="1" applyAlignment="1">
      <alignment vertical="center" wrapText="1"/>
    </xf>
    <xf numFmtId="0" fontId="0" fillId="7" borderId="15" xfId="0" applyFill="1" applyBorder="1" applyAlignment="1">
      <alignment horizontal="center" vertical="center" wrapText="1"/>
    </xf>
    <xf numFmtId="0" fontId="0" fillId="7" borderId="15" xfId="0" applyFill="1" applyBorder="1" applyAlignment="1">
      <alignment horizontal="center" vertical="center"/>
    </xf>
    <xf numFmtId="0" fontId="0" fillId="28" borderId="15" xfId="0" applyFill="1" applyBorder="1" applyAlignment="1">
      <alignment vertical="center" wrapText="1"/>
    </xf>
    <xf numFmtId="0" fontId="0" fillId="28" borderId="15" xfId="0" applyFill="1" applyBorder="1" applyAlignment="1">
      <alignment horizontal="center" vertical="center" wrapText="1"/>
    </xf>
    <xf numFmtId="0" fontId="0" fillId="28" borderId="15" xfId="0" applyFill="1" applyBorder="1" applyAlignment="1">
      <alignment horizontal="center" vertical="center"/>
    </xf>
    <xf numFmtId="10" fontId="0" fillId="28" borderId="15" xfId="0" applyNumberFormat="1" applyFill="1" applyBorder="1" applyAlignment="1">
      <alignment horizontal="center" vertical="center"/>
    </xf>
    <xf numFmtId="2" fontId="0" fillId="28" borderId="15" xfId="0" applyNumberFormat="1" applyFill="1" applyBorder="1" applyAlignment="1">
      <alignment horizontal="center" vertical="center"/>
    </xf>
    <xf numFmtId="0" fontId="0" fillId="8" borderId="15" xfId="0" applyFill="1" applyBorder="1" applyAlignment="1">
      <alignment vertical="center" wrapText="1"/>
    </xf>
    <xf numFmtId="2" fontId="0" fillId="8" borderId="15" xfId="0" applyNumberFormat="1" applyFill="1" applyBorder="1" applyAlignment="1">
      <alignment horizontal="center" vertical="center"/>
    </xf>
    <xf numFmtId="9" fontId="0" fillId="28" borderId="15" xfId="0" applyNumberFormat="1" applyFill="1" applyBorder="1" applyAlignment="1">
      <alignment horizontal="center" vertical="center"/>
    </xf>
    <xf numFmtId="0" fontId="0" fillId="8" borderId="15" xfId="0" applyFill="1" applyBorder="1" applyAlignment="1">
      <alignment horizontal="center" vertical="center"/>
    </xf>
    <xf numFmtId="166" fontId="0" fillId="8" borderId="15" xfId="0" applyNumberFormat="1" applyFill="1" applyBorder="1" applyAlignment="1">
      <alignment horizontal="center" vertical="center"/>
    </xf>
    <xf numFmtId="0" fontId="0" fillId="10" borderId="0" xfId="0" applyFill="1" applyAlignment="1">
      <alignment wrapText="1"/>
    </xf>
    <xf numFmtId="0" fontId="0" fillId="0" borderId="15" xfId="0" applyBorder="1" applyAlignment="1">
      <alignment horizontal="center" wrapText="1"/>
    </xf>
    <xf numFmtId="0" fontId="0" fillId="7" borderId="15" xfId="0" applyFill="1" applyBorder="1" applyAlignment="1">
      <alignment horizontal="center" wrapText="1"/>
    </xf>
    <xf numFmtId="2" fontId="0" fillId="7" borderId="15" xfId="0" applyNumberFormat="1" applyFill="1" applyBorder="1" applyAlignment="1">
      <alignment horizontal="center" vertical="center" wrapText="1"/>
    </xf>
    <xf numFmtId="0" fontId="0" fillId="8" borderId="15" xfId="0" applyFill="1" applyBorder="1" applyAlignment="1">
      <alignment horizontal="center" wrapText="1"/>
    </xf>
    <xf numFmtId="169" fontId="0" fillId="8" borderId="15" xfId="0" applyNumberFormat="1" applyFill="1" applyBorder="1" applyAlignment="1">
      <alignment horizontal="center" vertical="center" wrapText="1"/>
    </xf>
    <xf numFmtId="173" fontId="0" fillId="8" borderId="15" xfId="0" applyNumberFormat="1" applyFill="1" applyBorder="1" applyAlignment="1">
      <alignment horizontal="center" vertical="center" wrapText="1"/>
    </xf>
    <xf numFmtId="0" fontId="0" fillId="28" borderId="15" xfId="0" applyFill="1" applyBorder="1" applyAlignment="1">
      <alignment horizontal="center" wrapText="1"/>
    </xf>
    <xf numFmtId="2" fontId="0" fillId="28" borderId="15" xfId="0" applyNumberFormat="1" applyFill="1" applyBorder="1" applyAlignment="1">
      <alignment horizontal="center" vertical="center" wrapText="1"/>
    </xf>
    <xf numFmtId="0" fontId="0" fillId="13" borderId="0" xfId="0" applyFill="1"/>
    <xf numFmtId="0" fontId="0" fillId="7" borderId="15" xfId="0" applyFill="1" applyBorder="1" applyAlignment="1">
      <alignment horizontal="center"/>
    </xf>
    <xf numFmtId="165" fontId="0" fillId="8" borderId="15" xfId="0" applyNumberFormat="1" applyFill="1" applyBorder="1" applyAlignment="1">
      <alignment horizontal="center" vertical="center"/>
    </xf>
    <xf numFmtId="2" fontId="0" fillId="7" borderId="15" xfId="0" applyNumberFormat="1" applyFill="1" applyBorder="1" applyAlignment="1">
      <alignment horizontal="center" vertical="center"/>
    </xf>
    <xf numFmtId="165" fontId="0" fillId="7" borderId="15" xfId="0" applyNumberFormat="1" applyFill="1" applyBorder="1" applyAlignment="1">
      <alignment horizontal="center" vertical="center"/>
    </xf>
    <xf numFmtId="2" fontId="0" fillId="7" borderId="46" xfId="0" applyNumberFormat="1" applyFill="1" applyBorder="1" applyAlignment="1">
      <alignment horizontal="center" vertical="center"/>
    </xf>
    <xf numFmtId="10" fontId="0" fillId="7" borderId="15" xfId="0" applyNumberFormat="1" applyFill="1" applyBorder="1" applyAlignment="1">
      <alignment horizontal="center" vertical="center"/>
    </xf>
    <xf numFmtId="10" fontId="0" fillId="7" borderId="46" xfId="0" applyNumberFormat="1" applyFill="1" applyBorder="1" applyAlignment="1">
      <alignment horizontal="center" vertical="center"/>
    </xf>
    <xf numFmtId="1" fontId="0" fillId="7" borderId="15" xfId="0" applyNumberFormat="1" applyFill="1" applyBorder="1" applyAlignment="1">
      <alignment horizontal="center" vertical="center"/>
    </xf>
    <xf numFmtId="167" fontId="0" fillId="28" borderId="15" xfId="0" applyNumberFormat="1" applyFill="1" applyBorder="1" applyAlignment="1">
      <alignment horizontal="center" vertical="center"/>
    </xf>
    <xf numFmtId="169" fontId="0" fillId="28" borderId="15" xfId="0" applyNumberFormat="1" applyFill="1" applyBorder="1" applyAlignment="1">
      <alignment horizontal="center" vertical="center"/>
    </xf>
    <xf numFmtId="2" fontId="0" fillId="0" borderId="0" xfId="0" applyNumberFormat="1" applyAlignment="1">
      <alignment horizontal="center" vertical="center"/>
    </xf>
    <xf numFmtId="0" fontId="0" fillId="0" borderId="0" xfId="0" applyAlignment="1">
      <alignment horizontal="center" vertical="center"/>
    </xf>
    <xf numFmtId="0" fontId="0" fillId="9" borderId="0" xfId="0" applyFill="1"/>
    <xf numFmtId="0" fontId="0" fillId="7" borderId="46" xfId="0" applyFill="1" applyBorder="1" applyAlignment="1">
      <alignment horizontal="center" vertical="center"/>
    </xf>
    <xf numFmtId="1" fontId="0" fillId="28" borderId="15" xfId="0" applyNumberFormat="1" applyFill="1" applyBorder="1" applyAlignment="1">
      <alignment horizontal="center" vertical="center"/>
    </xf>
    <xf numFmtId="0" fontId="0" fillId="5" borderId="0" xfId="0" applyFill="1" applyAlignment="1">
      <alignment horizontal="center" vertical="center" wrapText="1"/>
    </xf>
    <xf numFmtId="10" fontId="0" fillId="7" borderId="15" xfId="0" applyNumberFormat="1" applyFill="1" applyBorder="1" applyAlignment="1">
      <alignment horizontal="center" vertical="center" wrapText="1"/>
    </xf>
    <xf numFmtId="10" fontId="0" fillId="0" borderId="15" xfId="0" applyNumberFormat="1" applyBorder="1" applyAlignment="1">
      <alignment horizontal="center" vertical="center" wrapText="1"/>
    </xf>
    <xf numFmtId="166" fontId="0" fillId="28" borderId="15" xfId="0" applyNumberFormat="1" applyFill="1" applyBorder="1" applyAlignment="1">
      <alignment horizontal="center" vertical="center" wrapText="1"/>
    </xf>
    <xf numFmtId="166" fontId="0" fillId="0" borderId="15" xfId="0" applyNumberFormat="1" applyBorder="1" applyAlignment="1">
      <alignment horizontal="center" vertical="center" wrapText="1"/>
    </xf>
    <xf numFmtId="1" fontId="0" fillId="7" borderId="15" xfId="0" applyNumberFormat="1" applyFill="1" applyBorder="1" applyAlignment="1">
      <alignment horizontal="center" vertical="center" wrapText="1"/>
    </xf>
    <xf numFmtId="187" fontId="0" fillId="28" borderId="15" xfId="0" applyNumberFormat="1" applyFill="1" applyBorder="1" applyAlignment="1">
      <alignment horizontal="center" vertical="center" wrapText="1"/>
    </xf>
    <xf numFmtId="166" fontId="0" fillId="8" borderId="15" xfId="0" applyNumberFormat="1" applyFill="1" applyBorder="1" applyAlignment="1">
      <alignment horizontal="center" vertical="center" wrapText="1"/>
    </xf>
    <xf numFmtId="0" fontId="0" fillId="0" borderId="47" xfId="0" applyBorder="1"/>
    <xf numFmtId="0" fontId="0" fillId="0" borderId="52" xfId="0" applyBorder="1"/>
    <xf numFmtId="0" fontId="0" fillId="4" borderId="50" xfId="0" applyFill="1" applyBorder="1"/>
    <xf numFmtId="0" fontId="0" fillId="4" borderId="0" xfId="0" applyFill="1"/>
    <xf numFmtId="0" fontId="0" fillId="4" borderId="13" xfId="0" applyFill="1" applyBorder="1"/>
    <xf numFmtId="0" fontId="0" fillId="13" borderId="1" xfId="0" applyFill="1" applyBorder="1"/>
    <xf numFmtId="0" fontId="0" fillId="6" borderId="2" xfId="0" applyFill="1" applyBorder="1"/>
    <xf numFmtId="0" fontId="0" fillId="7" borderId="3" xfId="0" applyFill="1" applyBorder="1"/>
    <xf numFmtId="0" fontId="0" fillId="6" borderId="4" xfId="0" applyFill="1" applyBorder="1"/>
    <xf numFmtId="0" fontId="0" fillId="7" borderId="0" xfId="0" applyFill="1"/>
    <xf numFmtId="0" fontId="0" fillId="6" borderId="50" xfId="0" applyFill="1" applyBorder="1"/>
    <xf numFmtId="0" fontId="0" fillId="13" borderId="15" xfId="0" applyFill="1" applyBorder="1" applyAlignment="1">
      <alignment horizontal="center" vertical="center" wrapText="1"/>
    </xf>
    <xf numFmtId="165" fontId="0" fillId="9" borderId="15" xfId="0" applyNumberFormat="1" applyFill="1" applyBorder="1" applyAlignment="1">
      <alignment horizontal="center" vertical="center" wrapText="1"/>
    </xf>
    <xf numFmtId="10" fontId="0" fillId="5" borderId="15" xfId="0" applyNumberFormat="1" applyFill="1" applyBorder="1"/>
    <xf numFmtId="2" fontId="0" fillId="5" borderId="15" xfId="0" applyNumberFormat="1" applyFill="1" applyBorder="1" applyAlignment="1">
      <alignment horizontal="center" vertical="center" wrapText="1"/>
    </xf>
    <xf numFmtId="0" fontId="0" fillId="9" borderId="15" xfId="0" applyFill="1" applyBorder="1" applyAlignment="1">
      <alignment horizontal="center" vertical="center"/>
    </xf>
    <xf numFmtId="0" fontId="0" fillId="10" borderId="15" xfId="0" applyFill="1" applyBorder="1" applyAlignment="1">
      <alignment horizontal="center" vertical="center" wrapText="1"/>
    </xf>
    <xf numFmtId="2" fontId="0" fillId="10" borderId="15" xfId="0" applyNumberFormat="1" applyFill="1" applyBorder="1" applyAlignment="1">
      <alignment horizontal="center" vertical="center" wrapText="1"/>
    </xf>
    <xf numFmtId="0" fontId="0" fillId="13" borderId="9" xfId="0" applyFill="1" applyBorder="1" applyAlignment="1">
      <alignment horizontal="center" vertical="center" wrapText="1"/>
    </xf>
    <xf numFmtId="0" fontId="0" fillId="13" borderId="49" xfId="0" applyFill="1" applyBorder="1" applyAlignment="1">
      <alignment horizontal="center" vertical="center" wrapText="1"/>
    </xf>
    <xf numFmtId="2" fontId="0" fillId="13" borderId="15" xfId="0" applyNumberFormat="1" applyFill="1" applyBorder="1" applyAlignment="1">
      <alignment horizontal="center" vertical="center" wrapText="1"/>
    </xf>
    <xf numFmtId="0" fontId="0" fillId="0" borderId="15" xfId="0" applyBorder="1" applyAlignment="1">
      <alignment horizontal="left" vertical="center"/>
    </xf>
    <xf numFmtId="0" fontId="101" fillId="0" borderId="0" xfId="0" applyFont="1" applyAlignment="1">
      <alignment horizontal="justify" vertical="center"/>
    </xf>
    <xf numFmtId="0" fontId="102" fillId="0" borderId="54" xfId="0" applyFont="1" applyBorder="1" applyAlignment="1">
      <alignment horizontal="left" vertical="center" wrapText="1" indent="1"/>
    </xf>
    <xf numFmtId="0" fontId="103" fillId="52" borderId="56" xfId="0" applyFont="1" applyFill="1" applyBorder="1" applyAlignment="1">
      <alignment vertical="center" wrapText="1"/>
    </xf>
    <xf numFmtId="0" fontId="103" fillId="58" borderId="56" xfId="0" applyFont="1" applyFill="1" applyBorder="1" applyAlignment="1">
      <alignment vertical="center" wrapText="1"/>
    </xf>
    <xf numFmtId="0" fontId="103" fillId="54" borderId="56" xfId="0" applyFont="1" applyFill="1" applyBorder="1" applyAlignment="1">
      <alignment vertical="center" wrapText="1"/>
    </xf>
    <xf numFmtId="0" fontId="103" fillId="59" borderId="56" xfId="0" applyFont="1" applyFill="1" applyBorder="1" applyAlignment="1">
      <alignment vertical="center" wrapText="1"/>
    </xf>
    <xf numFmtId="0" fontId="103" fillId="60" borderId="56" xfId="0" applyFont="1" applyFill="1" applyBorder="1" applyAlignment="1">
      <alignment vertical="center" wrapText="1"/>
    </xf>
    <xf numFmtId="0" fontId="103" fillId="61" borderId="56" xfId="0" applyFont="1" applyFill="1" applyBorder="1" applyAlignment="1">
      <alignment horizontal="justify" vertical="center" wrapText="1"/>
    </xf>
    <xf numFmtId="0" fontId="102" fillId="0" borderId="55" xfId="0" applyFont="1" applyBorder="1" applyAlignment="1">
      <alignment horizontal="left" vertical="center" wrapText="1"/>
    </xf>
    <xf numFmtId="0" fontId="104" fillId="0" borderId="57" xfId="0" applyFont="1" applyBorder="1" applyAlignment="1">
      <alignment horizontal="left" vertical="center" wrapText="1"/>
    </xf>
    <xf numFmtId="0" fontId="4" fillId="0" borderId="0" xfId="0" applyFont="1" applyAlignment="1">
      <alignment horizontal="center" vertical="center" wrapText="1"/>
    </xf>
    <xf numFmtId="0" fontId="11" fillId="0" borderId="46" xfId="0" applyFont="1" applyBorder="1" applyAlignment="1">
      <alignment horizontal="left" vertical="center" wrapText="1"/>
    </xf>
    <xf numFmtId="0" fontId="11" fillId="0" borderId="46" xfId="0" applyFont="1" applyBorder="1" applyAlignment="1">
      <alignment horizontal="center" vertical="center" wrapText="1"/>
    </xf>
    <xf numFmtId="0" fontId="13" fillId="4" borderId="46" xfId="0" applyFont="1" applyFill="1" applyBorder="1" applyAlignment="1">
      <alignment horizontal="center" vertical="center" wrapText="1"/>
    </xf>
    <xf numFmtId="0" fontId="13" fillId="0" borderId="46" xfId="0" applyFont="1" applyBorder="1" applyAlignment="1">
      <alignment horizontal="center" vertical="center" wrapText="1"/>
    </xf>
    <xf numFmtId="0" fontId="105" fillId="0" borderId="0" xfId="0" applyFont="1" applyAlignment="1">
      <alignment horizontal="center" vertical="center" wrapText="1"/>
    </xf>
    <xf numFmtId="0" fontId="13" fillId="0" borderId="46" xfId="0" applyFont="1" applyBorder="1" applyAlignment="1">
      <alignment horizontal="left" vertical="center" wrapText="1"/>
    </xf>
    <xf numFmtId="0" fontId="1" fillId="0" borderId="46"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46" xfId="0" applyFont="1" applyBorder="1" applyAlignment="1">
      <alignment vertical="center"/>
    </xf>
    <xf numFmtId="0" fontId="106" fillId="0" borderId="0" xfId="0" applyFont="1" applyAlignment="1">
      <alignment horizontal="center" vertical="center" wrapText="1"/>
    </xf>
    <xf numFmtId="0" fontId="18" fillId="11" borderId="46" xfId="0" applyFont="1" applyFill="1" applyBorder="1" applyAlignment="1">
      <alignment horizontal="left" vertical="center" wrapText="1"/>
    </xf>
    <xf numFmtId="0" fontId="18" fillId="11" borderId="46" xfId="0" applyFont="1" applyFill="1" applyBorder="1" applyAlignment="1">
      <alignment horizontal="center" vertical="center" wrapText="1"/>
    </xf>
    <xf numFmtId="165" fontId="18" fillId="11" borderId="46" xfId="0" applyNumberFormat="1" applyFont="1" applyFill="1" applyBorder="1" applyAlignment="1">
      <alignment horizontal="center" vertical="center" wrapText="1"/>
    </xf>
    <xf numFmtId="0" fontId="107" fillId="0" borderId="0" xfId="0" applyFont="1" applyAlignment="1">
      <alignment horizontal="center" vertical="center" wrapText="1"/>
    </xf>
    <xf numFmtId="2" fontId="18" fillId="11" borderId="46" xfId="0" applyNumberFormat="1" applyFont="1" applyFill="1" applyBorder="1" applyAlignment="1">
      <alignment horizontal="center" vertical="center" wrapText="1"/>
    </xf>
    <xf numFmtId="2" fontId="18" fillId="29" borderId="46" xfId="0" applyNumberFormat="1" applyFont="1" applyFill="1" applyBorder="1" applyAlignment="1">
      <alignment horizontal="center" vertical="center" wrapText="1"/>
    </xf>
    <xf numFmtId="9" fontId="18" fillId="11" borderId="46" xfId="0" applyNumberFormat="1" applyFont="1" applyFill="1" applyBorder="1" applyAlignment="1">
      <alignment horizontal="center" vertical="center" wrapText="1"/>
    </xf>
    <xf numFmtId="10" fontId="18" fillId="29" borderId="46" xfId="0" applyNumberFormat="1" applyFont="1" applyFill="1" applyBorder="1" applyAlignment="1">
      <alignment horizontal="center" vertical="center" wrapText="1"/>
    </xf>
    <xf numFmtId="0" fontId="18" fillId="29" borderId="46" xfId="0" applyFont="1" applyFill="1" applyBorder="1" applyAlignment="1">
      <alignment horizontal="center" vertical="center" wrapText="1"/>
    </xf>
    <xf numFmtId="1" fontId="18" fillId="11" borderId="46" xfId="0" applyNumberFormat="1" applyFont="1" applyFill="1" applyBorder="1" applyAlignment="1">
      <alignment horizontal="center" vertical="center" wrapText="1"/>
    </xf>
    <xf numFmtId="0" fontId="1" fillId="29" borderId="46" xfId="0" applyFont="1" applyFill="1" applyBorder="1" applyAlignment="1">
      <alignment horizontal="center" vertical="center" wrapText="1"/>
    </xf>
    <xf numFmtId="0" fontId="13" fillId="13" borderId="46" xfId="0" applyFont="1" applyFill="1" applyBorder="1" applyAlignment="1">
      <alignment horizontal="left" vertical="center" wrapText="1"/>
    </xf>
    <xf numFmtId="0" fontId="18" fillId="13" borderId="46" xfId="0" applyFont="1" applyFill="1" applyBorder="1" applyAlignment="1">
      <alignment horizontal="center" vertical="center" wrapText="1"/>
    </xf>
    <xf numFmtId="1" fontId="18" fillId="13" borderId="46" xfId="0" applyNumberFormat="1" applyFont="1" applyFill="1" applyBorder="1" applyAlignment="1">
      <alignment horizontal="center" vertical="center" wrapText="1"/>
    </xf>
    <xf numFmtId="2" fontId="18" fillId="13" borderId="46" xfId="0" applyNumberFormat="1" applyFont="1" applyFill="1" applyBorder="1" applyAlignment="1">
      <alignment horizontal="center" vertical="center" wrapText="1"/>
    </xf>
    <xf numFmtId="2" fontId="1" fillId="13" borderId="46" xfId="0" applyNumberFormat="1" applyFont="1" applyFill="1" applyBorder="1" applyAlignment="1">
      <alignment horizontal="center" vertical="center" wrapText="1"/>
    </xf>
    <xf numFmtId="0" fontId="1" fillId="13" borderId="46" xfId="0" applyFont="1" applyFill="1" applyBorder="1" applyAlignment="1">
      <alignment horizontal="center" vertical="center" wrapText="1"/>
    </xf>
    <xf numFmtId="0" fontId="18" fillId="13" borderId="46" xfId="0" applyFont="1" applyFill="1" applyBorder="1" applyAlignment="1">
      <alignment horizontal="left" vertical="center" wrapText="1"/>
    </xf>
    <xf numFmtId="10" fontId="1" fillId="13" borderId="46" xfId="0" applyNumberFormat="1" applyFont="1" applyFill="1" applyBorder="1" applyAlignment="1">
      <alignment horizontal="center" vertical="center"/>
    </xf>
    <xf numFmtId="167" fontId="18" fillId="13" borderId="46" xfId="2" applyNumberFormat="1" applyFont="1" applyFill="1" applyBorder="1"/>
    <xf numFmtId="10" fontId="1" fillId="13" borderId="46" xfId="0" applyNumberFormat="1" applyFont="1" applyFill="1" applyBorder="1" applyAlignment="1">
      <alignment horizontal="center" vertical="center" wrapText="1"/>
    </xf>
    <xf numFmtId="10" fontId="18" fillId="13" borderId="46" xfId="0" applyNumberFormat="1" applyFont="1" applyFill="1" applyBorder="1" applyAlignment="1">
      <alignment horizontal="center" vertical="center" wrapText="1"/>
    </xf>
    <xf numFmtId="10" fontId="1" fillId="13" borderId="46" xfId="0" applyNumberFormat="1" applyFont="1" applyFill="1" applyBorder="1"/>
    <xf numFmtId="0" fontId="18" fillId="0" borderId="46" xfId="0" applyFont="1" applyBorder="1" applyAlignment="1">
      <alignment horizontal="left" vertical="center" wrapText="1"/>
    </xf>
    <xf numFmtId="10" fontId="0" fillId="0" borderId="46" xfId="0" applyNumberFormat="1" applyBorder="1"/>
    <xf numFmtId="0" fontId="8" fillId="0" borderId="46" xfId="0" applyFont="1" applyBorder="1" applyAlignment="1">
      <alignment horizontal="left" vertical="center" wrapText="1"/>
    </xf>
    <xf numFmtId="0" fontId="12" fillId="0" borderId="46" xfId="0" applyFont="1" applyBorder="1" applyAlignment="1">
      <alignment horizontal="center" vertical="center" wrapText="1"/>
    </xf>
    <xf numFmtId="1" fontId="5" fillId="11" borderId="46" xfId="0" applyNumberFormat="1" applyFont="1" applyFill="1" applyBorder="1" applyAlignment="1">
      <alignment horizontal="center" vertical="center" wrapText="1"/>
    </xf>
    <xf numFmtId="2" fontId="5" fillId="11" borderId="46" xfId="0" applyNumberFormat="1" applyFont="1" applyFill="1" applyBorder="1" applyAlignment="1">
      <alignment horizontal="center" vertical="center" wrapText="1"/>
    </xf>
    <xf numFmtId="0" fontId="12" fillId="29" borderId="46" xfId="0" applyFont="1" applyFill="1" applyBorder="1" applyAlignment="1">
      <alignment horizontal="center" vertical="center" wrapText="1"/>
    </xf>
    <xf numFmtId="2" fontId="0" fillId="8" borderId="46" xfId="0" applyNumberFormat="1" applyFill="1" applyBorder="1" applyAlignment="1">
      <alignment horizontal="center" vertical="center" wrapText="1"/>
    </xf>
    <xf numFmtId="0" fontId="108" fillId="0" borderId="46" xfId="0" applyFont="1" applyBorder="1" applyAlignment="1">
      <alignment horizontal="left" vertical="center" wrapText="1"/>
    </xf>
    <xf numFmtId="0" fontId="107" fillId="0" borderId="46" xfId="0" applyFont="1" applyBorder="1" applyAlignment="1">
      <alignment horizontal="left" vertical="center" wrapText="1"/>
    </xf>
    <xf numFmtId="0" fontId="9" fillId="29" borderId="46" xfId="0" applyFont="1" applyFill="1" applyBorder="1"/>
    <xf numFmtId="0" fontId="0" fillId="29" borderId="46" xfId="0" applyFill="1" applyBorder="1" applyAlignment="1">
      <alignment horizontal="center" vertical="center"/>
    </xf>
    <xf numFmtId="165" fontId="5" fillId="0" borderId="46" xfId="0" applyNumberFormat="1" applyFont="1" applyBorder="1" applyAlignment="1">
      <alignment horizontal="center" vertical="center" wrapText="1"/>
    </xf>
    <xf numFmtId="0" fontId="5" fillId="29" borderId="46" xfId="0" applyFont="1" applyFill="1" applyBorder="1" applyAlignment="1">
      <alignment horizontal="left" vertical="center" wrapText="1"/>
    </xf>
    <xf numFmtId="0" fontId="0" fillId="29" borderId="46" xfId="0" applyFill="1" applyBorder="1" applyAlignment="1">
      <alignment horizontal="center" vertical="center" wrapText="1"/>
    </xf>
    <xf numFmtId="2" fontId="0" fillId="29" borderId="46" xfId="0" applyNumberFormat="1" applyFill="1" applyBorder="1" applyAlignment="1">
      <alignment horizontal="center" vertical="center" wrapText="1"/>
    </xf>
    <xf numFmtId="2" fontId="0" fillId="0" borderId="46" xfId="0" applyNumberFormat="1" applyBorder="1" applyAlignment="1">
      <alignment horizontal="center" vertical="center" wrapText="1"/>
    </xf>
    <xf numFmtId="1" fontId="5" fillId="0" borderId="46" xfId="0" applyNumberFormat="1" applyFont="1" applyBorder="1" applyAlignment="1">
      <alignment horizontal="center" vertical="center" wrapText="1"/>
    </xf>
    <xf numFmtId="0" fontId="12" fillId="11" borderId="46" xfId="0" applyFont="1" applyFill="1" applyBorder="1" applyAlignment="1">
      <alignment horizontal="center" vertical="center" wrapText="1"/>
    </xf>
    <xf numFmtId="0" fontId="4" fillId="0" borderId="0" xfId="0" applyFont="1" applyAlignment="1">
      <alignment horizontal="left" vertical="center" wrapText="1"/>
    </xf>
    <xf numFmtId="0" fontId="14" fillId="0" borderId="0" xfId="4" applyFill="1"/>
    <xf numFmtId="0" fontId="0" fillId="0" borderId="0" xfId="0" applyAlignment="1">
      <alignment horizontal="left" vertical="center"/>
    </xf>
    <xf numFmtId="0" fontId="3" fillId="0" borderId="15" xfId="0" applyFont="1" applyBorder="1" applyAlignment="1">
      <alignment horizontal="center" vertical="center"/>
    </xf>
    <xf numFmtId="0" fontId="74" fillId="0" borderId="47" xfId="0" applyFont="1" applyBorder="1" applyAlignment="1">
      <alignment horizontal="left" vertical="center" wrapText="1"/>
    </xf>
    <xf numFmtId="0" fontId="74" fillId="0" borderId="48" xfId="0" applyFont="1" applyBorder="1" applyAlignment="1">
      <alignment horizontal="left" vertical="center" wrapText="1"/>
    </xf>
    <xf numFmtId="0" fontId="74" fillId="0" borderId="52" xfId="0" applyFont="1" applyBorder="1" applyAlignment="1">
      <alignment horizontal="left" vertical="center" wrapText="1"/>
    </xf>
    <xf numFmtId="0" fontId="74" fillId="0" borderId="0" xfId="0" applyFont="1" applyAlignment="1">
      <alignment horizontal="left"/>
    </xf>
    <xf numFmtId="0" fontId="72" fillId="5" borderId="47" xfId="0" applyFont="1" applyFill="1" applyBorder="1" applyAlignment="1">
      <alignment horizontal="left" vertical="center" wrapText="1"/>
    </xf>
    <xf numFmtId="0" fontId="72" fillId="5" borderId="48" xfId="0" applyFont="1" applyFill="1" applyBorder="1" applyAlignment="1">
      <alignment horizontal="left" vertical="center" wrapText="1"/>
    </xf>
    <xf numFmtId="0" fontId="72" fillId="5" borderId="52" xfId="0" applyFont="1" applyFill="1" applyBorder="1" applyAlignment="1">
      <alignment horizontal="left" vertical="center" wrapText="1"/>
    </xf>
    <xf numFmtId="0" fontId="72" fillId="9" borderId="47" xfId="0" applyFont="1" applyFill="1" applyBorder="1" applyAlignment="1">
      <alignment horizontal="left" wrapText="1"/>
    </xf>
    <xf numFmtId="0" fontId="72" fillId="9" borderId="48" xfId="0" applyFont="1" applyFill="1" applyBorder="1" applyAlignment="1">
      <alignment horizontal="left" wrapText="1"/>
    </xf>
    <xf numFmtId="0" fontId="72" fillId="9" borderId="52" xfId="0" applyFont="1" applyFill="1" applyBorder="1" applyAlignment="1">
      <alignment horizontal="left" wrapText="1"/>
    </xf>
    <xf numFmtId="0" fontId="72" fillId="13" borderId="47" xfId="0" applyFont="1" applyFill="1" applyBorder="1" applyAlignment="1">
      <alignment horizontal="left"/>
    </xf>
    <xf numFmtId="0" fontId="72" fillId="13" borderId="48" xfId="0" applyFont="1" applyFill="1" applyBorder="1" applyAlignment="1">
      <alignment horizontal="left"/>
    </xf>
    <xf numFmtId="0" fontId="72" fillId="13" borderId="52" xfId="0" applyFont="1" applyFill="1" applyBorder="1" applyAlignment="1">
      <alignment horizontal="left"/>
    </xf>
    <xf numFmtId="0" fontId="72" fillId="10" borderId="47" xfId="0" applyFont="1" applyFill="1" applyBorder="1" applyAlignment="1">
      <alignment horizontal="left" wrapText="1"/>
    </xf>
    <xf numFmtId="0" fontId="72" fillId="10" borderId="48" xfId="0" applyFont="1" applyFill="1" applyBorder="1" applyAlignment="1">
      <alignment horizontal="left" wrapText="1"/>
    </xf>
    <xf numFmtId="0" fontId="72" fillId="10" borderId="52" xfId="0" applyFont="1" applyFill="1" applyBorder="1" applyAlignment="1">
      <alignment horizontal="left" wrapText="1"/>
    </xf>
    <xf numFmtId="0" fontId="74" fillId="15" borderId="47" xfId="0" applyFont="1" applyFill="1" applyBorder="1" applyAlignment="1">
      <alignment horizontal="left"/>
    </xf>
    <xf numFmtId="0" fontId="0" fillId="15" borderId="48" xfId="0" applyFill="1" applyBorder="1" applyAlignment="1">
      <alignment horizontal="left"/>
    </xf>
    <xf numFmtId="0" fontId="0" fillId="15" borderId="52" xfId="0" applyFill="1" applyBorder="1" applyAlignment="1">
      <alignment horizontal="left"/>
    </xf>
    <xf numFmtId="0" fontId="74" fillId="0" borderId="13" xfId="0" applyFont="1" applyBorder="1" applyAlignment="1">
      <alignment horizontal="left"/>
    </xf>
    <xf numFmtId="0" fontId="83" fillId="0" borderId="47" xfId="0" applyFont="1" applyBorder="1" applyAlignment="1">
      <alignment horizontal="left" vertical="center" wrapText="1"/>
    </xf>
    <xf numFmtId="0" fontId="83" fillId="0" borderId="48" xfId="0" applyFont="1" applyBorder="1" applyAlignment="1">
      <alignment horizontal="left" vertical="center" wrapText="1"/>
    </xf>
    <xf numFmtId="0" fontId="83" fillId="0" borderId="52" xfId="0" applyFont="1" applyBorder="1" applyAlignment="1">
      <alignment horizontal="left" vertical="center" wrapText="1"/>
    </xf>
    <xf numFmtId="0" fontId="72" fillId="0" borderId="47" xfId="0" applyFont="1" applyBorder="1" applyAlignment="1">
      <alignment horizontal="left" vertical="center" wrapText="1"/>
    </xf>
    <xf numFmtId="0" fontId="72" fillId="0" borderId="48" xfId="0" applyFont="1" applyBorder="1" applyAlignment="1">
      <alignment horizontal="left" vertical="center" wrapText="1"/>
    </xf>
    <xf numFmtId="0" fontId="72" fillId="0" borderId="52" xfId="0" applyFont="1" applyBorder="1" applyAlignment="1">
      <alignment horizontal="left" vertical="center" wrapText="1"/>
    </xf>
    <xf numFmtId="0" fontId="5" fillId="0" borderId="15" xfId="0" applyFont="1" applyBorder="1" applyAlignment="1">
      <alignment horizontal="center" vertical="center" wrapText="1"/>
    </xf>
    <xf numFmtId="0" fontId="5" fillId="0" borderId="46" xfId="0" applyFont="1" applyBorder="1" applyAlignment="1">
      <alignment horizontal="center" vertical="center" wrapText="1"/>
    </xf>
    <xf numFmtId="0" fontId="99" fillId="0" borderId="15" xfId="4" applyFont="1" applyFill="1" applyBorder="1" applyAlignment="1">
      <alignment horizontal="center" vertical="center" wrapText="1"/>
    </xf>
    <xf numFmtId="0" fontId="99" fillId="0" borderId="46" xfId="4" applyFont="1" applyFill="1" applyBorder="1" applyAlignment="1">
      <alignment horizontal="center" vertical="center" wrapText="1"/>
    </xf>
    <xf numFmtId="0" fontId="83" fillId="6" borderId="0" xfId="3" applyFont="1" applyFill="1" applyAlignment="1">
      <alignment horizontal="left"/>
    </xf>
    <xf numFmtId="0" fontId="83" fillId="6" borderId="0" xfId="0" applyFont="1" applyFill="1" applyAlignment="1">
      <alignment horizontal="left"/>
    </xf>
    <xf numFmtId="0" fontId="82" fillId="6" borderId="0" xfId="3" applyFont="1" applyFill="1" applyAlignment="1">
      <alignment horizontal="center"/>
    </xf>
    <xf numFmtId="0" fontId="82" fillId="6" borderId="5" xfId="3" applyFont="1" applyFill="1" applyBorder="1" applyAlignment="1">
      <alignment horizontal="center"/>
    </xf>
    <xf numFmtId="0" fontId="83" fillId="6" borderId="13" xfId="3" applyFont="1" applyFill="1" applyBorder="1" applyAlignment="1">
      <alignment horizontal="left"/>
    </xf>
    <xf numFmtId="0" fontId="81" fillId="6" borderId="0" xfId="7" applyFont="1" applyFill="1" applyAlignment="1">
      <alignment horizontal="left"/>
    </xf>
    <xf numFmtId="0" fontId="18" fillId="0" borderId="6" xfId="8" applyBorder="1" applyAlignment="1">
      <alignment horizontal="center"/>
    </xf>
    <xf numFmtId="0" fontId="18" fillId="0" borderId="7" xfId="8" applyBorder="1" applyAlignment="1">
      <alignment horizontal="center"/>
    </xf>
    <xf numFmtId="0" fontId="18" fillId="0" borderId="8" xfId="8" applyBorder="1" applyAlignment="1">
      <alignment horizontal="center"/>
    </xf>
    <xf numFmtId="0" fontId="18" fillId="0" borderId="1" xfId="8" applyBorder="1" applyAlignment="1">
      <alignment horizontal="center"/>
    </xf>
    <xf numFmtId="0" fontId="18" fillId="0" borderId="2" xfId="8" applyBorder="1" applyAlignment="1">
      <alignment horizontal="center"/>
    </xf>
    <xf numFmtId="0" fontId="13" fillId="0" borderId="6" xfId="8" applyFont="1" applyBorder="1" applyAlignment="1">
      <alignment horizontal="center" wrapText="1"/>
    </xf>
    <xf numFmtId="0" fontId="13" fillId="0" borderId="8" xfId="8" applyFont="1" applyBorder="1" applyAlignment="1">
      <alignment horizontal="center" wrapText="1"/>
    </xf>
    <xf numFmtId="0" fontId="13" fillId="0" borderId="6" xfId="8" applyFont="1" applyBorder="1" applyAlignment="1">
      <alignment horizontal="center"/>
    </xf>
    <xf numFmtId="0" fontId="13" fillId="0" borderId="7" xfId="8" applyFont="1" applyBorder="1" applyAlignment="1">
      <alignment horizontal="center"/>
    </xf>
    <xf numFmtId="0" fontId="13" fillId="0" borderId="8" xfId="8" applyFont="1" applyBorder="1" applyAlignment="1">
      <alignment horizontal="center"/>
    </xf>
    <xf numFmtId="0" fontId="13" fillId="0" borderId="7" xfId="8" applyFont="1" applyBorder="1" applyAlignment="1">
      <alignment horizontal="center" wrapText="1"/>
    </xf>
    <xf numFmtId="170" fontId="13" fillId="0" borderId="6" xfId="8" applyNumberFormat="1" applyFont="1" applyBorder="1" applyAlignment="1">
      <alignment horizontal="center" wrapText="1"/>
    </xf>
    <xf numFmtId="170" fontId="13" fillId="0" borderId="8" xfId="8" applyNumberFormat="1" applyFont="1" applyBorder="1" applyAlignment="1">
      <alignment horizontal="center" wrapText="1"/>
    </xf>
    <xf numFmtId="170" fontId="13" fillId="0" borderId="7" xfId="8" applyNumberFormat="1" applyFont="1" applyBorder="1" applyAlignment="1">
      <alignment horizontal="center" wrapText="1"/>
    </xf>
    <xf numFmtId="170" fontId="13" fillId="0" borderId="6" xfId="8" applyNumberFormat="1" applyFont="1" applyBorder="1" applyAlignment="1">
      <alignment horizontal="center"/>
    </xf>
    <xf numFmtId="170" fontId="13" fillId="0" borderId="8" xfId="8" applyNumberFormat="1" applyFont="1" applyBorder="1" applyAlignment="1">
      <alignment horizontal="center"/>
    </xf>
    <xf numFmtId="0" fontId="13" fillId="0" borderId="10" xfId="8" applyFont="1" applyBorder="1" applyAlignment="1">
      <alignment horizontal="center" wrapText="1"/>
    </xf>
    <xf numFmtId="0" fontId="13" fillId="0" borderId="1" xfId="8" applyFont="1" applyBorder="1" applyAlignment="1">
      <alignment horizontal="center" wrapText="1"/>
    </xf>
    <xf numFmtId="0" fontId="13" fillId="0" borderId="2" xfId="8" applyFont="1" applyBorder="1" applyAlignment="1">
      <alignment horizontal="center" wrapText="1"/>
    </xf>
    <xf numFmtId="170" fontId="13" fillId="0" borderId="15" xfId="8" applyNumberFormat="1" applyFont="1" applyBorder="1" applyAlignment="1">
      <alignment horizontal="center" wrapText="1"/>
    </xf>
    <xf numFmtId="0" fontId="13" fillId="19" borderId="6" xfId="8" applyFont="1" applyFill="1" applyBorder="1" applyAlignment="1">
      <alignment horizontal="center" wrapText="1"/>
    </xf>
    <xf numFmtId="0" fontId="13" fillId="19" borderId="8" xfId="8" applyFont="1" applyFill="1" applyBorder="1" applyAlignment="1">
      <alignment horizontal="center" wrapText="1"/>
    </xf>
    <xf numFmtId="0" fontId="13" fillId="0" borderId="9" xfId="8" applyFont="1" applyBorder="1" applyAlignment="1">
      <alignment horizontal="center" wrapText="1"/>
    </xf>
    <xf numFmtId="0" fontId="13" fillId="0" borderId="11" xfId="8" applyFont="1" applyBorder="1" applyAlignment="1">
      <alignment horizontal="center" wrapText="1"/>
    </xf>
    <xf numFmtId="0" fontId="13" fillId="0" borderId="14" xfId="8" applyFont="1" applyBorder="1" applyAlignment="1">
      <alignment horizontal="center" wrapText="1"/>
    </xf>
    <xf numFmtId="0" fontId="13" fillId="0" borderId="4" xfId="8" applyFont="1" applyBorder="1" applyAlignment="1">
      <alignment horizontal="center" wrapText="1"/>
    </xf>
    <xf numFmtId="0" fontId="13" fillId="0" borderId="12" xfId="8" applyFont="1" applyBorder="1" applyAlignment="1">
      <alignment horizontal="center" wrapText="1"/>
    </xf>
    <xf numFmtId="0" fontId="13" fillId="0" borderId="5" xfId="8" applyFont="1" applyBorder="1" applyAlignment="1">
      <alignment horizontal="center" wrapText="1"/>
    </xf>
    <xf numFmtId="0" fontId="13" fillId="0" borderId="3" xfId="8" applyFont="1" applyBorder="1" applyAlignment="1">
      <alignment horizontal="center" wrapText="1"/>
    </xf>
    <xf numFmtId="0" fontId="18" fillId="0" borderId="5" xfId="8" applyBorder="1" applyAlignment="1">
      <alignment horizontal="center" wrapText="1"/>
    </xf>
    <xf numFmtId="0" fontId="18" fillId="0" borderId="3" xfId="8" applyBorder="1" applyAlignment="1">
      <alignment horizontal="center" wrapText="1"/>
    </xf>
    <xf numFmtId="0" fontId="18" fillId="0" borderId="4" xfId="8" applyBorder="1" applyAlignment="1">
      <alignment horizontal="center" wrapText="1"/>
    </xf>
    <xf numFmtId="0" fontId="18" fillId="0" borderId="0" xfId="8" applyAlignment="1">
      <alignment wrapText="1"/>
    </xf>
    <xf numFmtId="0" fontId="18" fillId="0" borderId="3" xfId="8" applyBorder="1" applyAlignment="1">
      <alignment wrapText="1"/>
    </xf>
    <xf numFmtId="0" fontId="18" fillId="0" borderId="13" xfId="8" applyBorder="1" applyAlignment="1">
      <alignment wrapText="1"/>
    </xf>
    <xf numFmtId="0" fontId="18" fillId="0" borderId="2" xfId="8" applyBorder="1" applyAlignment="1">
      <alignment wrapText="1"/>
    </xf>
    <xf numFmtId="0" fontId="18" fillId="0" borderId="4" xfId="8" applyBorder="1" applyAlignment="1">
      <alignment wrapText="1"/>
    </xf>
    <xf numFmtId="0" fontId="18" fillId="0" borderId="10" xfId="8" applyBorder="1" applyAlignment="1">
      <alignment horizontal="center" wrapText="1"/>
    </xf>
    <xf numFmtId="0" fontId="18" fillId="0" borderId="2" xfId="8" applyBorder="1" applyAlignment="1">
      <alignment horizontal="center" wrapText="1"/>
    </xf>
    <xf numFmtId="0" fontId="18" fillId="0" borderId="12" xfId="8" applyBorder="1" applyAlignment="1">
      <alignment horizontal="center" wrapText="1"/>
    </xf>
    <xf numFmtId="0" fontId="18" fillId="0" borderId="0" xfId="8" applyAlignment="1">
      <alignment horizontal="center" wrapText="1"/>
    </xf>
    <xf numFmtId="0" fontId="18" fillId="0" borderId="13" xfId="8" applyBorder="1" applyAlignment="1">
      <alignment horizontal="center" wrapText="1"/>
    </xf>
    <xf numFmtId="0" fontId="13" fillId="0" borderId="0" xfId="8" applyFont="1" applyAlignment="1">
      <alignment horizontal="center" wrapText="1"/>
    </xf>
    <xf numFmtId="0" fontId="18" fillId="0" borderId="5" xfId="8" applyBorder="1" applyAlignment="1">
      <alignment wrapText="1"/>
    </xf>
    <xf numFmtId="0" fontId="13" fillId="19" borderId="12" xfId="8" applyFont="1" applyFill="1" applyBorder="1" applyAlignment="1">
      <alignment horizontal="center" wrapText="1"/>
    </xf>
    <xf numFmtId="0" fontId="18" fillId="19" borderId="5" xfId="8" applyFill="1" applyBorder="1" applyAlignment="1">
      <alignment wrapText="1"/>
    </xf>
    <xf numFmtId="0" fontId="18" fillId="19" borderId="3" xfId="8" applyFill="1" applyBorder="1" applyAlignment="1">
      <alignment wrapText="1"/>
    </xf>
    <xf numFmtId="0" fontId="18" fillId="19" borderId="4" xfId="8" applyFill="1" applyBorder="1" applyAlignment="1">
      <alignment wrapText="1"/>
    </xf>
    <xf numFmtId="0" fontId="13" fillId="19" borderId="0" xfId="8" applyFont="1" applyFill="1" applyAlignment="1">
      <alignment horizontal="center" wrapText="1"/>
    </xf>
    <xf numFmtId="0" fontId="18" fillId="19" borderId="13" xfId="8" applyFill="1" applyBorder="1" applyAlignment="1">
      <alignment wrapText="1"/>
    </xf>
    <xf numFmtId="0" fontId="13" fillId="20" borderId="8" xfId="8" applyFont="1" applyFill="1" applyBorder="1" applyAlignment="1">
      <alignment horizontal="center" wrapText="1"/>
    </xf>
    <xf numFmtId="0" fontId="13" fillId="20" borderId="7" xfId="8" applyFont="1" applyFill="1" applyBorder="1" applyAlignment="1">
      <alignment horizontal="center" wrapText="1"/>
    </xf>
    <xf numFmtId="0" fontId="13" fillId="20" borderId="2" xfId="8" applyFont="1" applyFill="1" applyBorder="1" applyAlignment="1">
      <alignment horizontal="center" wrapText="1"/>
    </xf>
    <xf numFmtId="170" fontId="13" fillId="0" borderId="8" xfId="8" quotePrefix="1" applyNumberFormat="1" applyFont="1" applyBorder="1" applyAlignment="1">
      <alignment horizontal="center" wrapText="1"/>
    </xf>
    <xf numFmtId="170" fontId="13" fillId="0" borderId="7" xfId="8" quotePrefix="1" applyNumberFormat="1" applyFont="1" applyBorder="1" applyAlignment="1">
      <alignment horizontal="center" wrapText="1"/>
    </xf>
    <xf numFmtId="170" fontId="13" fillId="0" borderId="9" xfId="8" applyNumberFormat="1" applyFont="1" applyBorder="1" applyAlignment="1">
      <alignment horizontal="center" wrapText="1"/>
    </xf>
    <xf numFmtId="0" fontId="13" fillId="0" borderId="15" xfId="8" applyFont="1" applyBorder="1" applyAlignment="1">
      <alignment wrapText="1"/>
    </xf>
    <xf numFmtId="0" fontId="13" fillId="0" borderId="15" xfId="8" applyFont="1" applyBorder="1" applyAlignment="1">
      <alignment horizontal="center" wrapText="1"/>
    </xf>
    <xf numFmtId="0" fontId="13" fillId="0" borderId="10" xfId="8" applyFont="1" applyBorder="1" applyAlignment="1">
      <alignment horizontal="center"/>
    </xf>
    <xf numFmtId="0" fontId="13" fillId="0" borderId="1" xfId="8" applyFont="1" applyBorder="1" applyAlignment="1">
      <alignment horizontal="center"/>
    </xf>
    <xf numFmtId="0" fontId="13" fillId="0" borderId="2" xfId="8" applyFont="1" applyBorder="1" applyAlignment="1">
      <alignment horizontal="center"/>
    </xf>
    <xf numFmtId="0" fontId="13" fillId="0" borderId="15" xfId="8" applyFont="1" applyBorder="1" applyAlignment="1">
      <alignment horizontal="center"/>
    </xf>
    <xf numFmtId="170" fontId="13" fillId="0" borderId="10" xfId="8" applyNumberFormat="1" applyFont="1" applyBorder="1" applyAlignment="1">
      <alignment horizontal="center" wrapText="1"/>
    </xf>
    <xf numFmtId="170" fontId="13" fillId="0" borderId="2" xfId="8" applyNumberFormat="1" applyFont="1" applyBorder="1" applyAlignment="1">
      <alignment horizontal="center" wrapText="1"/>
    </xf>
    <xf numFmtId="170" fontId="13" fillId="0" borderId="1" xfId="8" applyNumberFormat="1" applyFont="1" applyBorder="1" applyAlignment="1">
      <alignment horizontal="center" wrapText="1"/>
    </xf>
    <xf numFmtId="0" fontId="13" fillId="0" borderId="6" xfId="0" applyFont="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0" fillId="0" borderId="10" xfId="9" applyNumberFormat="1" applyFont="1" applyFill="1" applyBorder="1" applyAlignment="1">
      <alignment horizontal="center" wrapText="1"/>
    </xf>
    <xf numFmtId="0" fontId="0" fillId="0" borderId="13" xfId="9" applyNumberFormat="1" applyFont="1" applyFill="1" applyBorder="1" applyAlignment="1">
      <alignment horizontal="center" wrapText="1"/>
    </xf>
    <xf numFmtId="0" fontId="0" fillId="0" borderId="1" xfId="0" applyBorder="1" applyAlignment="1">
      <alignment horizontal="center"/>
    </xf>
    <xf numFmtId="0" fontId="0" fillId="0" borderId="2" xfId="0" applyBorder="1" applyAlignment="1">
      <alignment horizontal="center"/>
    </xf>
    <xf numFmtId="0" fontId="0" fillId="0" borderId="10" xfId="0" applyBorder="1" applyAlignment="1">
      <alignment horizontal="center"/>
    </xf>
    <xf numFmtId="0" fontId="13" fillId="0" borderId="9" xfId="0" applyFont="1" applyBorder="1" applyAlignment="1">
      <alignment horizontal="center" wrapText="1"/>
    </xf>
    <xf numFmtId="0" fontId="13" fillId="0" borderId="14" xfId="0" applyFont="1" applyBorder="1" applyAlignment="1">
      <alignment horizontal="center" wrapText="1"/>
    </xf>
    <xf numFmtId="0" fontId="13" fillId="0" borderId="6"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0" fillId="27" borderId="1" xfId="0" applyFill="1" applyBorder="1" applyAlignment="1">
      <alignment horizontal="center" wrapText="1"/>
    </xf>
    <xf numFmtId="0" fontId="0" fillId="27" borderId="10" xfId="0" applyFill="1" applyBorder="1" applyAlignment="1">
      <alignment horizontal="center" wrapText="1"/>
    </xf>
    <xf numFmtId="0" fontId="0" fillId="27" borderId="2" xfId="0" applyFill="1" applyBorder="1" applyAlignment="1">
      <alignment horizontal="center" wrapText="1"/>
    </xf>
    <xf numFmtId="0" fontId="0" fillId="27" borderId="7" xfId="0" applyFill="1" applyBorder="1" applyAlignment="1">
      <alignment horizontal="center"/>
    </xf>
    <xf numFmtId="0" fontId="0" fillId="27" borderId="8" xfId="0" applyFill="1" applyBorder="1" applyAlignment="1">
      <alignment horizontal="center"/>
    </xf>
    <xf numFmtId="0" fontId="13" fillId="0" borderId="47" xfId="0" applyFont="1" applyBorder="1" applyAlignment="1">
      <alignment horizontal="center" wrapText="1"/>
    </xf>
    <xf numFmtId="0" fontId="13" fillId="0" borderId="48" xfId="0" applyFont="1" applyBorder="1" applyAlignment="1">
      <alignment horizontal="center" wrapText="1"/>
    </xf>
    <xf numFmtId="0" fontId="13" fillId="0" borderId="52" xfId="0" applyFont="1" applyBorder="1" applyAlignment="1">
      <alignment horizontal="center" wrapText="1"/>
    </xf>
    <xf numFmtId="0" fontId="13" fillId="0" borderId="49" xfId="0" applyFont="1" applyBorder="1" applyAlignment="1">
      <alignment horizont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left"/>
    </xf>
    <xf numFmtId="0" fontId="13" fillId="27" borderId="6" xfId="0" applyFont="1" applyFill="1" applyBorder="1" applyAlignment="1">
      <alignment horizontal="center" wrapText="1"/>
    </xf>
    <xf numFmtId="0" fontId="13" fillId="27" borderId="8" xfId="0" applyFont="1" applyFill="1" applyBorder="1" applyAlignment="1">
      <alignment horizontal="center" wrapText="1"/>
    </xf>
    <xf numFmtId="0" fontId="13" fillId="27" borderId="7" xfId="0" applyFont="1" applyFill="1" applyBorder="1" applyAlignment="1">
      <alignment horizontal="center" wrapText="1"/>
    </xf>
    <xf numFmtId="0" fontId="13" fillId="0" borderId="9" xfId="0" applyFont="1" applyBorder="1" applyAlignment="1">
      <alignment horizontal="center" textRotation="90" wrapText="1"/>
    </xf>
    <xf numFmtId="0" fontId="13" fillId="0" borderId="11" xfId="0" applyFont="1" applyBorder="1" applyAlignment="1">
      <alignment horizontal="center" textRotation="90" wrapText="1"/>
    </xf>
  </cellXfs>
  <cellStyles count="68">
    <cellStyle name="20% - Accent1 2" xfId="15" xr:uid="{00000000-0005-0000-0000-000000000000}"/>
    <cellStyle name="20% - Accent2 2" xfId="16" xr:uid="{00000000-0005-0000-0000-000001000000}"/>
    <cellStyle name="20% - Accent3 2" xfId="17" xr:uid="{00000000-0005-0000-0000-000002000000}"/>
    <cellStyle name="20% - Accent4 2" xfId="18" xr:uid="{00000000-0005-0000-0000-000003000000}"/>
    <cellStyle name="20% - Accent5 2" xfId="19" xr:uid="{00000000-0005-0000-0000-000004000000}"/>
    <cellStyle name="20% - Accent6 2" xfId="20" xr:uid="{00000000-0005-0000-0000-000005000000}"/>
    <cellStyle name="40% - Accent1 2" xfId="21" xr:uid="{00000000-0005-0000-0000-000006000000}"/>
    <cellStyle name="40% - Accent2 2" xfId="22" xr:uid="{00000000-0005-0000-0000-000007000000}"/>
    <cellStyle name="40% - Accent3 2" xfId="23" xr:uid="{00000000-0005-0000-0000-000008000000}"/>
    <cellStyle name="40% - Accent4 2" xfId="24" xr:uid="{00000000-0005-0000-0000-000009000000}"/>
    <cellStyle name="40% - Accent5 2" xfId="25" xr:uid="{00000000-0005-0000-0000-00000A000000}"/>
    <cellStyle name="40% - Accent6 2" xfId="26" xr:uid="{00000000-0005-0000-0000-00000B000000}"/>
    <cellStyle name="60% - Accent1 2" xfId="27" xr:uid="{00000000-0005-0000-0000-00000C000000}"/>
    <cellStyle name="60% - Accent2 2" xfId="28" xr:uid="{00000000-0005-0000-0000-00000D000000}"/>
    <cellStyle name="60% - Accent3 2" xfId="29" xr:uid="{00000000-0005-0000-0000-00000E000000}"/>
    <cellStyle name="60% - Accent4 2" xfId="30" xr:uid="{00000000-0005-0000-0000-00000F000000}"/>
    <cellStyle name="60% - Accent5 2" xfId="31" xr:uid="{00000000-0005-0000-0000-000010000000}"/>
    <cellStyle name="60% - Accent6 2" xfId="32" xr:uid="{00000000-0005-0000-0000-000011000000}"/>
    <cellStyle name="Accent1 2" xfId="33" xr:uid="{00000000-0005-0000-0000-000012000000}"/>
    <cellStyle name="Accent2 2" xfId="34" xr:uid="{00000000-0005-0000-0000-000013000000}"/>
    <cellStyle name="Accent3 2" xfId="35" xr:uid="{00000000-0005-0000-0000-000014000000}"/>
    <cellStyle name="Accent4 2" xfId="36" xr:uid="{00000000-0005-0000-0000-000015000000}"/>
    <cellStyle name="Accent5 2" xfId="37" xr:uid="{00000000-0005-0000-0000-000016000000}"/>
    <cellStyle name="Accent6 2" xfId="38" xr:uid="{00000000-0005-0000-0000-000017000000}"/>
    <cellStyle name="Bad 2" xfId="39" xr:uid="{00000000-0005-0000-0000-000018000000}"/>
    <cellStyle name="Calculation 2" xfId="40" xr:uid="{00000000-0005-0000-0000-000019000000}"/>
    <cellStyle name="Check Cell 2" xfId="41" xr:uid="{00000000-0005-0000-0000-00001A000000}"/>
    <cellStyle name="Comma" xfId="1" builtinId="3"/>
    <cellStyle name="Comma [0] 2" xfId="65" xr:uid="{00000000-0005-0000-0000-00001C000000}"/>
    <cellStyle name="Comma [0] 3" xfId="59" xr:uid="{00000000-0005-0000-0000-00001D000000}"/>
    <cellStyle name="Comma 2" xfId="10" xr:uid="{00000000-0005-0000-0000-00001E000000}"/>
    <cellStyle name="Comma 3" xfId="42" xr:uid="{00000000-0005-0000-0000-00001F000000}"/>
    <cellStyle name="Comma 3 11" xfId="62" xr:uid="{00000000-0005-0000-0000-000020000000}"/>
    <cellStyle name="Currency 2" xfId="43" xr:uid="{00000000-0005-0000-0000-000021000000}"/>
    <cellStyle name="Explanatory Text 2" xfId="44" xr:uid="{00000000-0005-0000-0000-000022000000}"/>
    <cellStyle name="Good 2" xfId="45" xr:uid="{00000000-0005-0000-0000-000023000000}"/>
    <cellStyle name="Heading 1 2" xfId="46" xr:uid="{00000000-0005-0000-0000-000024000000}"/>
    <cellStyle name="Heading 2 2" xfId="47" xr:uid="{00000000-0005-0000-0000-000025000000}"/>
    <cellStyle name="Heading 3 2" xfId="48" xr:uid="{00000000-0005-0000-0000-000026000000}"/>
    <cellStyle name="Heading 4 2" xfId="49" xr:uid="{00000000-0005-0000-0000-000027000000}"/>
    <cellStyle name="Hyperlink" xfId="4" builtinId="8"/>
    <cellStyle name="Hyperlink 2" xfId="6" xr:uid="{00000000-0005-0000-0000-000029000000}"/>
    <cellStyle name="Hyperlink 3" xfId="50" xr:uid="{00000000-0005-0000-0000-00002A000000}"/>
    <cellStyle name="Input 2" xfId="51" xr:uid="{00000000-0005-0000-0000-00002B000000}"/>
    <cellStyle name="Linked Cell 2" xfId="52" xr:uid="{00000000-0005-0000-0000-00002C000000}"/>
    <cellStyle name="Neutral 2" xfId="53" xr:uid="{00000000-0005-0000-0000-00002D000000}"/>
    <cellStyle name="Normal" xfId="0" builtinId="0"/>
    <cellStyle name="Normal 102" xfId="63" xr:uid="{00000000-0005-0000-0000-00002F000000}"/>
    <cellStyle name="Normal 104" xfId="64" xr:uid="{00000000-0005-0000-0000-000030000000}"/>
    <cellStyle name="Normal 19" xfId="60" xr:uid="{00000000-0005-0000-0000-000031000000}"/>
    <cellStyle name="Normal 2" xfId="8" xr:uid="{00000000-0005-0000-0000-000032000000}"/>
    <cellStyle name="Normal 2 6" xfId="3" xr:uid="{00000000-0005-0000-0000-000033000000}"/>
    <cellStyle name="Normal 3" xfId="14" xr:uid="{00000000-0005-0000-0000-000034000000}"/>
    <cellStyle name="Normal 4" xfId="66" xr:uid="{00000000-0005-0000-0000-000035000000}"/>
    <cellStyle name="Normal_Fuel trans V1" xfId="67" xr:uid="{00000000-0005-0000-0000-000036000000}"/>
    <cellStyle name="Normal_greet2_6-format" xfId="11" xr:uid="{00000000-0005-0000-0000-000037000000}"/>
    <cellStyle name="Normal_MoMo - ETP 2008 3.0" xfId="7" xr:uid="{00000000-0005-0000-0000-000038000000}"/>
    <cellStyle name="Normal_Steel" xfId="13" xr:uid="{00000000-0005-0000-0000-000039000000}"/>
    <cellStyle name="Normal_Veh_lbs" xfId="12" xr:uid="{00000000-0005-0000-0000-00003A000000}"/>
    <cellStyle name="Note 2" xfId="54" xr:uid="{00000000-0005-0000-0000-00003B000000}"/>
    <cellStyle name="Output 2" xfId="55" xr:uid="{00000000-0005-0000-0000-00003C000000}"/>
    <cellStyle name="Percent" xfId="2" builtinId="5"/>
    <cellStyle name="Percent 2" xfId="5" xr:uid="{00000000-0005-0000-0000-00003E000000}"/>
    <cellStyle name="Percent 3" xfId="9" xr:uid="{00000000-0005-0000-0000-00003F000000}"/>
    <cellStyle name="Percent 3 3" xfId="61" xr:uid="{00000000-0005-0000-0000-000040000000}"/>
    <cellStyle name="Title 2" xfId="56" xr:uid="{00000000-0005-0000-0000-000041000000}"/>
    <cellStyle name="Total 2" xfId="57" xr:uid="{00000000-0005-0000-0000-000042000000}"/>
    <cellStyle name="Warning Text 2" xfId="58" xr:uid="{00000000-0005-0000-0000-000043000000}"/>
  </cellStyles>
  <dxfs count="19">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fgColor auto="1"/>
          <bgColor theme="1"/>
        </patternFill>
      </fill>
    </dxf>
    <dxf>
      <fill>
        <patternFill>
          <bgColor theme="1"/>
        </patternFill>
      </fill>
    </dxf>
    <dxf>
      <font>
        <color auto="1"/>
      </font>
      <fill>
        <patternFill patternType="solid">
          <bgColor theme="1"/>
        </patternFill>
      </fill>
    </dxf>
    <dxf>
      <font>
        <color theme="1" tint="4.9989318521683403E-2"/>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8"/>
      <tableStyleElement type="headerRow" dxfId="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1.4683579188448013E-2</c:v>
              </c:pt>
              <c:pt idx="2">
                <c:v>1.3512684391336009E-2</c:v>
              </c:pt>
              <c:pt idx="3">
                <c:v>1.2341789594224006E-2</c:v>
              </c:pt>
              <c:pt idx="4">
                <c:v>1.1170894797112004E-2</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numLit>
          </c:val>
          <c:extLst>
            <c:ext xmlns:c16="http://schemas.microsoft.com/office/drawing/2014/chart" uri="{C3380CC4-5D6E-409C-BE32-E72D297353CC}">
              <c16:uniqueId val="{00000000-C34D-4ADE-BF61-722449445A9A}"/>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6.8571053436602414E-2</c:v>
              </c:pt>
              <c:pt idx="2">
                <c:v>8.8928290077451802E-2</c:v>
              </c:pt>
              <c:pt idx="3">
                <c:v>0.1092855267183012</c:v>
              </c:pt>
              <c:pt idx="4">
                <c:v>0.12964276335915059</c:v>
              </c:pt>
              <c:pt idx="5">
                <c:v>0.15</c:v>
              </c:pt>
              <c:pt idx="6">
                <c:v>0.16</c:v>
              </c:pt>
              <c:pt idx="7">
                <c:v>0.17</c:v>
              </c:pt>
              <c:pt idx="8">
                <c:v>0.18</c:v>
              </c:pt>
              <c:pt idx="9">
                <c:v>0.19</c:v>
              </c:pt>
              <c:pt idx="10">
                <c:v>0.2</c:v>
              </c:pt>
              <c:pt idx="11">
                <c:v>0.21000000000000002</c:v>
              </c:pt>
              <c:pt idx="12">
                <c:v>0.22</c:v>
              </c:pt>
              <c:pt idx="13">
                <c:v>0.23</c:v>
              </c:pt>
              <c:pt idx="14">
                <c:v>0.24</c:v>
              </c:pt>
              <c:pt idx="15">
                <c:v>0.25</c:v>
              </c:pt>
              <c:pt idx="16">
                <c:v>0.25</c:v>
              </c:pt>
              <c:pt idx="17">
                <c:v>0.25</c:v>
              </c:pt>
              <c:pt idx="18">
                <c:v>0.25</c:v>
              </c:pt>
              <c:pt idx="19">
                <c:v>0.25</c:v>
              </c:pt>
              <c:pt idx="20">
                <c:v>0.25</c:v>
              </c:pt>
              <c:pt idx="21">
                <c:v>0.25</c:v>
              </c:pt>
              <c:pt idx="22">
                <c:v>0.25</c:v>
              </c:pt>
              <c:pt idx="23">
                <c:v>0.25</c:v>
              </c:pt>
              <c:pt idx="24">
                <c:v>0.25</c:v>
              </c:pt>
              <c:pt idx="25">
                <c:v>0.25</c:v>
              </c:pt>
              <c:pt idx="26">
                <c:v>0.24</c:v>
              </c:pt>
              <c:pt idx="27">
                <c:v>0.23</c:v>
              </c:pt>
              <c:pt idx="28">
                <c:v>0.22</c:v>
              </c:pt>
              <c:pt idx="29">
                <c:v>0.21000000000000002</c:v>
              </c:pt>
              <c:pt idx="30">
                <c:v>0.2</c:v>
              </c:pt>
            </c:numLit>
          </c:val>
          <c:extLst>
            <c:ext xmlns:c16="http://schemas.microsoft.com/office/drawing/2014/chart" uri="{C3380CC4-5D6E-409C-BE32-E72D297353CC}">
              <c16:uniqueId val="{00000001-C34D-4ADE-BF61-722449445A9A}"/>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0.71818891093719117</c:v>
              </c:pt>
              <c:pt idx="2">
                <c:v>0.68864168320289343</c:v>
              </c:pt>
              <c:pt idx="3">
                <c:v>0.65909445546859557</c:v>
              </c:pt>
              <c:pt idx="4">
                <c:v>0.62954722773429783</c:v>
              </c:pt>
              <c:pt idx="5">
                <c:v>0.6</c:v>
              </c:pt>
              <c:pt idx="6">
                <c:v>0.57999999999999996</c:v>
              </c:pt>
              <c:pt idx="7">
                <c:v>0.55999999999999994</c:v>
              </c:pt>
              <c:pt idx="8">
                <c:v>0.54</c:v>
              </c:pt>
              <c:pt idx="9">
                <c:v>0.52</c:v>
              </c:pt>
              <c:pt idx="10">
                <c:v>0.5</c:v>
              </c:pt>
              <c:pt idx="11">
                <c:v>0.48</c:v>
              </c:pt>
              <c:pt idx="12">
                <c:v>0.46</c:v>
              </c:pt>
              <c:pt idx="13">
                <c:v>0.44</c:v>
              </c:pt>
              <c:pt idx="14">
                <c:v>0.42000000000000004</c:v>
              </c:pt>
              <c:pt idx="15">
                <c:v>0.4</c:v>
              </c:pt>
              <c:pt idx="16">
                <c:v>0.38</c:v>
              </c:pt>
              <c:pt idx="17">
                <c:v>0.36</c:v>
              </c:pt>
              <c:pt idx="18">
                <c:v>0.34</c:v>
              </c:pt>
              <c:pt idx="19">
                <c:v>0.32</c:v>
              </c:pt>
              <c:pt idx="20">
                <c:v>0.3</c:v>
              </c:pt>
              <c:pt idx="21">
                <c:v>0.27</c:v>
              </c:pt>
              <c:pt idx="22">
                <c:v>0.24</c:v>
              </c:pt>
              <c:pt idx="23">
                <c:v>0.21</c:v>
              </c:pt>
              <c:pt idx="24">
                <c:v>0.18</c:v>
              </c:pt>
              <c:pt idx="25">
                <c:v>0.15</c:v>
              </c:pt>
              <c:pt idx="26">
                <c:v>0.13</c:v>
              </c:pt>
              <c:pt idx="27">
                <c:v>0.11</c:v>
              </c:pt>
              <c:pt idx="28">
                <c:v>0.09</c:v>
              </c:pt>
              <c:pt idx="29">
                <c:v>7.0000000000000007E-2</c:v>
              </c:pt>
              <c:pt idx="30">
                <c:v>0.05</c:v>
              </c:pt>
            </c:numLit>
          </c:val>
          <c:extLst>
            <c:ext xmlns:c16="http://schemas.microsoft.com/office/drawing/2014/chart" uri="{C3380CC4-5D6E-409C-BE32-E72D297353CC}">
              <c16:uniqueId val="{00000002-C34D-4ADE-BF61-722449445A9A}"/>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2.6528924635413422E-2</c:v>
              </c:pt>
              <c:pt idx="2">
                <c:v>2.7396693476560065E-2</c:v>
              </c:pt>
              <c:pt idx="3">
                <c:v>2.8264462317706712E-2</c:v>
              </c:pt>
              <c:pt idx="4">
                <c:v>2.9132231158853356E-2</c:v>
              </c:pt>
              <c:pt idx="5">
                <c:v>0.03</c:v>
              </c:pt>
              <c:pt idx="6">
                <c:v>0.03</c:v>
              </c:pt>
              <c:pt idx="7">
                <c:v>0.03</c:v>
              </c:pt>
              <c:pt idx="8">
                <c:v>0.03</c:v>
              </c:pt>
              <c:pt idx="9">
                <c:v>0.03</c:v>
              </c:pt>
              <c:pt idx="10">
                <c:v>0.03</c:v>
              </c:pt>
              <c:pt idx="11">
                <c:v>0.03</c:v>
              </c:pt>
              <c:pt idx="12">
                <c:v>0.03</c:v>
              </c:pt>
              <c:pt idx="13">
                <c:v>0.03</c:v>
              </c:pt>
              <c:pt idx="14">
                <c:v>0.03</c:v>
              </c:pt>
              <c:pt idx="15">
                <c:v>0.03</c:v>
              </c:pt>
              <c:pt idx="16">
                <c:v>0.03</c:v>
              </c:pt>
              <c:pt idx="17">
                <c:v>0.03</c:v>
              </c:pt>
              <c:pt idx="18">
                <c:v>0.03</c:v>
              </c:pt>
              <c:pt idx="19">
                <c:v>0.03</c:v>
              </c:pt>
              <c:pt idx="20">
                <c:v>0.03</c:v>
              </c:pt>
              <c:pt idx="21">
                <c:v>0.03</c:v>
              </c:pt>
              <c:pt idx="22">
                <c:v>0.03</c:v>
              </c:pt>
              <c:pt idx="23">
                <c:v>0.03</c:v>
              </c:pt>
              <c:pt idx="24">
                <c:v>0.03</c:v>
              </c:pt>
              <c:pt idx="25">
                <c:v>0.03</c:v>
              </c:pt>
              <c:pt idx="26">
                <c:v>0.03</c:v>
              </c:pt>
              <c:pt idx="27">
                <c:v>0.03</c:v>
              </c:pt>
              <c:pt idx="28">
                <c:v>0.03</c:v>
              </c:pt>
              <c:pt idx="29">
                <c:v>0.03</c:v>
              </c:pt>
              <c:pt idx="30">
                <c:v>0.03</c:v>
              </c:pt>
            </c:numLit>
          </c:val>
          <c:extLst>
            <c:ext xmlns:c16="http://schemas.microsoft.com/office/drawing/2014/chart" uri="{C3380CC4-5D6E-409C-BE32-E72D297353CC}">
              <c16:uniqueId val="{00000003-C34D-4ADE-BF61-722449445A9A}"/>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2.8724971642514301E-2</c:v>
              </c:pt>
              <c:pt idx="2">
                <c:v>2.9043728731885723E-2</c:v>
              </c:pt>
              <c:pt idx="3">
                <c:v>2.936248582125715E-2</c:v>
              </c:pt>
              <c:pt idx="4">
                <c:v>2.9681242910628573E-2</c:v>
              </c:pt>
              <c:pt idx="5">
                <c:v>0.03</c:v>
              </c:pt>
              <c:pt idx="6">
                <c:v>0.03</c:v>
              </c:pt>
              <c:pt idx="7">
                <c:v>0.03</c:v>
              </c:pt>
              <c:pt idx="8">
                <c:v>0.03</c:v>
              </c:pt>
              <c:pt idx="9">
                <c:v>0.03</c:v>
              </c:pt>
              <c:pt idx="10">
                <c:v>0.03</c:v>
              </c:pt>
              <c:pt idx="11">
                <c:v>0.03</c:v>
              </c:pt>
              <c:pt idx="12">
                <c:v>0.03</c:v>
              </c:pt>
              <c:pt idx="13">
                <c:v>0.03</c:v>
              </c:pt>
              <c:pt idx="14">
                <c:v>0.03</c:v>
              </c:pt>
              <c:pt idx="15">
                <c:v>0.03</c:v>
              </c:pt>
              <c:pt idx="16">
                <c:v>0.03</c:v>
              </c:pt>
              <c:pt idx="17">
                <c:v>0.03</c:v>
              </c:pt>
              <c:pt idx="18">
                <c:v>0.03</c:v>
              </c:pt>
              <c:pt idx="19">
                <c:v>0.03</c:v>
              </c:pt>
              <c:pt idx="20">
                <c:v>0.03</c:v>
              </c:pt>
              <c:pt idx="21">
                <c:v>0.03</c:v>
              </c:pt>
              <c:pt idx="22">
                <c:v>0.03</c:v>
              </c:pt>
              <c:pt idx="23">
                <c:v>0.03</c:v>
              </c:pt>
              <c:pt idx="24">
                <c:v>0.03</c:v>
              </c:pt>
              <c:pt idx="25">
                <c:v>0.03</c:v>
              </c:pt>
              <c:pt idx="26">
                <c:v>0.03</c:v>
              </c:pt>
              <c:pt idx="27">
                <c:v>0.03</c:v>
              </c:pt>
              <c:pt idx="28">
                <c:v>0.03</c:v>
              </c:pt>
              <c:pt idx="29">
                <c:v>0.03</c:v>
              </c:pt>
              <c:pt idx="30">
                <c:v>0.03</c:v>
              </c:pt>
            </c:numLit>
          </c:val>
          <c:extLst>
            <c:ext xmlns:c16="http://schemas.microsoft.com/office/drawing/2014/chart" uri="{C3380CC4-5D6E-409C-BE32-E72D297353CC}">
              <c16:uniqueId val="{00000004-C34D-4ADE-BF61-722449445A9A}"/>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0.14330256015983064</c:v>
              </c:pt>
              <c:pt idx="2">
                <c:v>0.15247692011987299</c:v>
              </c:pt>
              <c:pt idx="3">
                <c:v>0.1616512800799153</c:v>
              </c:pt>
              <c:pt idx="4">
                <c:v>0.17082564003995765</c:v>
              </c:pt>
              <c:pt idx="5">
                <c:v>0.18</c:v>
              </c:pt>
              <c:pt idx="6">
                <c:v>0.19</c:v>
              </c:pt>
              <c:pt idx="7">
                <c:v>0.2</c:v>
              </c:pt>
              <c:pt idx="8">
                <c:v>0.21</c:v>
              </c:pt>
              <c:pt idx="9">
                <c:v>0.22</c:v>
              </c:pt>
              <c:pt idx="10">
                <c:v>0.23</c:v>
              </c:pt>
              <c:pt idx="11">
                <c:v>0.24000000000000002</c:v>
              </c:pt>
              <c:pt idx="12">
                <c:v>0.25</c:v>
              </c:pt>
              <c:pt idx="13">
                <c:v>0.26</c:v>
              </c:pt>
              <c:pt idx="14">
                <c:v>0.27</c:v>
              </c:pt>
              <c:pt idx="15">
                <c:v>0.28000000000000003</c:v>
              </c:pt>
              <c:pt idx="16">
                <c:v>0.30000000000000004</c:v>
              </c:pt>
              <c:pt idx="17">
                <c:v>0.32</c:v>
              </c:pt>
              <c:pt idx="18">
                <c:v>0.34</c:v>
              </c:pt>
              <c:pt idx="19">
                <c:v>0.36</c:v>
              </c:pt>
              <c:pt idx="20">
                <c:v>0.38</c:v>
              </c:pt>
              <c:pt idx="21">
                <c:v>0.41000000000000003</c:v>
              </c:pt>
              <c:pt idx="22">
                <c:v>0.44</c:v>
              </c:pt>
              <c:pt idx="23">
                <c:v>0.47000000000000003</c:v>
              </c:pt>
              <c:pt idx="24">
                <c:v>0.5</c:v>
              </c:pt>
              <c:pt idx="25">
                <c:v>0.53</c:v>
              </c:pt>
              <c:pt idx="26">
                <c:v>0.56000000000000005</c:v>
              </c:pt>
              <c:pt idx="27">
                <c:v>0.59000000000000008</c:v>
              </c:pt>
              <c:pt idx="28">
                <c:v>0.62</c:v>
              </c:pt>
              <c:pt idx="29">
                <c:v>0.65</c:v>
              </c:pt>
              <c:pt idx="30">
                <c:v>0.68</c:v>
              </c:pt>
            </c:numLit>
          </c:val>
          <c:extLst>
            <c:ext xmlns:c16="http://schemas.microsoft.com/office/drawing/2014/chart" uri="{C3380CC4-5D6E-409C-BE32-E72D297353CC}">
              <c16:uniqueId val="{00000005-C34D-4ADE-BF61-722449445A9A}"/>
            </c:ext>
          </c:extLst>
        </c:ser>
        <c:dLbls>
          <c:showLegendKey val="0"/>
          <c:showVal val="0"/>
          <c:showCatName val="0"/>
          <c:showSerName val="0"/>
          <c:showPercent val="0"/>
          <c:showBubbleSize val="0"/>
        </c:dLbls>
        <c:axId val="-381506672"/>
        <c:axId val="-381507760"/>
      </c:areaChart>
      <c:catAx>
        <c:axId val="-381506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7760"/>
        <c:crosses val="autoZero"/>
        <c:auto val="1"/>
        <c:lblAlgn val="ctr"/>
        <c:lblOffset val="100"/>
        <c:noMultiLvlLbl val="0"/>
      </c:catAx>
      <c:valAx>
        <c:axId val="-3815077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66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consumption per vkm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Summary!$A$13</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Summary!$C$13:$AB$13</c:f>
              <c:numCache>
                <c:formatCode>0.000</c:formatCode>
                <c:ptCount val="26"/>
                <c:pt idx="0">
                  <c:v>9.1839669892400819E-2</c:v>
                </c:pt>
                <c:pt idx="1">
                  <c:v>0.21854570076817501</c:v>
                </c:pt>
                <c:pt idx="2">
                  <c:v>9.1293281154217129E-2</c:v>
                </c:pt>
                <c:pt idx="3">
                  <c:v>0.23024469844356268</c:v>
                </c:pt>
                <c:pt idx="4">
                  <c:v>5.5275727117814887E-2</c:v>
                </c:pt>
                <c:pt idx="5">
                  <c:v>0.13153248629114697</c:v>
                </c:pt>
                <c:pt idx="6">
                  <c:v>5.4946983046795891E-2</c:v>
                </c:pt>
                <c:pt idx="7">
                  <c:v>0.13150535005571179</c:v>
                </c:pt>
                <c:pt idx="8">
                  <c:v>6.2646626058150204E-2</c:v>
                </c:pt>
                <c:pt idx="9">
                  <c:v>0.14430431985324527</c:v>
                </c:pt>
                <c:pt idx="10">
                  <c:v>0.65467602253691215</c:v>
                </c:pt>
                <c:pt idx="11">
                  <c:v>0.82055924047455209</c:v>
                </c:pt>
                <c:pt idx="12">
                  <c:v>0.65467602253691215</c:v>
                </c:pt>
                <c:pt idx="13">
                  <c:v>0.82055924047455209</c:v>
                </c:pt>
                <c:pt idx="14">
                  <c:v>1.2978351828097929</c:v>
                </c:pt>
                <c:pt idx="15">
                  <c:v>1.6202734799358121</c:v>
                </c:pt>
                <c:pt idx="16">
                  <c:v>1.2978351828097929</c:v>
                </c:pt>
                <c:pt idx="17">
                  <c:v>1.6202734799358121</c:v>
                </c:pt>
                <c:pt idx="18">
                  <c:v>0.46909132254376351</c:v>
                </c:pt>
                <c:pt idx="19">
                  <c:v>1.2030974454775691</c:v>
                </c:pt>
                <c:pt idx="20">
                  <c:v>0.51336048106085863</c:v>
                </c:pt>
                <c:pt idx="21">
                  <c:v>0.32175053778197621</c:v>
                </c:pt>
                <c:pt idx="22">
                  <c:v>0.8673855119787901</c:v>
                </c:pt>
                <c:pt idx="23">
                  <c:v>0.12169990094632177</c:v>
                </c:pt>
                <c:pt idx="24">
                  <c:v>0.38099980882511286</c:v>
                </c:pt>
                <c:pt idx="25" formatCode="0.00">
                  <c:v>1.7258059927415856</c:v>
                </c:pt>
              </c:numCache>
            </c:numRef>
          </c:val>
          <c:extLst>
            <c:ext xmlns:c16="http://schemas.microsoft.com/office/drawing/2014/chart" uri="{C3380CC4-5D6E-409C-BE32-E72D297353CC}">
              <c16:uniqueId val="{00000000-5136-4E37-8DEF-8CD091658085}"/>
            </c:ext>
          </c:extLst>
        </c:ser>
        <c:ser>
          <c:idx val="1"/>
          <c:order val="1"/>
          <c:tx>
            <c:strRef>
              <c:f>Summary!$A$14</c:f>
              <c:strCache>
                <c:ptCount val="1"/>
                <c:pt idx="0">
                  <c:v>Vehicle delivery at point of purchase</c:v>
                </c:pt>
              </c:strCache>
            </c:strRef>
          </c:tx>
          <c:spPr>
            <a:solidFill>
              <a:schemeClr val="accent4">
                <a:lumMod val="60000"/>
                <a:lumOff val="40000"/>
              </a:schemeClr>
            </a:solidFill>
            <a:ln>
              <a:solidFill>
                <a:schemeClr val="accent4">
                  <a:lumMod val="60000"/>
                  <a:lumOff val="40000"/>
                </a:schemeClr>
              </a:solid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Summary!$C$14:$AB$14</c:f>
              <c:numCache>
                <c:formatCode>0.000</c:formatCode>
                <c:ptCount val="26"/>
                <c:pt idx="0">
                  <c:v>7.6673559511927607E-3</c:v>
                </c:pt>
                <c:pt idx="1">
                  <c:v>8.4606185337772928E-3</c:v>
                </c:pt>
                <c:pt idx="2">
                  <c:v>8.0855753667123664E-3</c:v>
                </c:pt>
                <c:pt idx="3">
                  <c:v>8.6002919711975871E-3</c:v>
                </c:pt>
                <c:pt idx="4">
                  <c:v>4.6146123780326795E-3</c:v>
                </c:pt>
                <c:pt idx="5">
                  <c:v>5.0920389323659632E-3</c:v>
                </c:pt>
                <c:pt idx="6">
                  <c:v>4.8663185077435544E-3</c:v>
                </c:pt>
                <c:pt idx="7">
                  <c:v>5.0780552584931355E-3</c:v>
                </c:pt>
                <c:pt idx="8">
                  <c:v>6.2926532427718361E-3</c:v>
                </c:pt>
                <c:pt idx="9">
                  <c:v>6.6542992331597274E-3</c:v>
                </c:pt>
                <c:pt idx="10">
                  <c:v>7.6957505521211807E-3</c:v>
                </c:pt>
                <c:pt idx="11">
                  <c:v>9.6449314151702426E-3</c:v>
                </c:pt>
                <c:pt idx="12">
                  <c:v>7.6957505521211807E-3</c:v>
                </c:pt>
                <c:pt idx="13">
                  <c:v>9.6449314151702426E-3</c:v>
                </c:pt>
                <c:pt idx="14">
                  <c:v>1.1368770816731093E-2</c:v>
                </c:pt>
                <c:pt idx="15">
                  <c:v>1.3178359976856577E-2</c:v>
                </c:pt>
                <c:pt idx="16">
                  <c:v>1.1368770816731093E-2</c:v>
                </c:pt>
                <c:pt idx="17">
                  <c:v>1.3178359976856577E-2</c:v>
                </c:pt>
                <c:pt idx="18">
                  <c:v>5.5113893800972811E-3</c:v>
                </c:pt>
                <c:pt idx="19">
                  <c:v>7.7264157144295523E-3</c:v>
                </c:pt>
                <c:pt idx="20">
                  <c:v>5.6260767746824144E-3</c:v>
                </c:pt>
                <c:pt idx="21">
                  <c:v>5.8320611904513773E-3</c:v>
                </c:pt>
                <c:pt idx="22">
                  <c:v>6.821087266743144E-3</c:v>
                </c:pt>
                <c:pt idx="23">
                  <c:v>2.2052481376394267E-3</c:v>
                </c:pt>
                <c:pt idx="24">
                  <c:v>2.6981626648306238E-3</c:v>
                </c:pt>
                <c:pt idx="25" formatCode="0.00">
                  <c:v>2.1128579340707426E-2</c:v>
                </c:pt>
              </c:numCache>
            </c:numRef>
          </c:val>
          <c:extLst>
            <c:ext xmlns:c16="http://schemas.microsoft.com/office/drawing/2014/chart" uri="{C3380CC4-5D6E-409C-BE32-E72D297353CC}">
              <c16:uniqueId val="{00000001-5136-4E37-8DEF-8CD091658085}"/>
            </c:ext>
          </c:extLst>
        </c:ser>
        <c:ser>
          <c:idx val="2"/>
          <c:order val="2"/>
          <c:tx>
            <c:strRef>
              <c:f>Summary!$A$15</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Summary!$C$15:$AB$15</c:f>
              <c:numCache>
                <c:formatCode>0.000</c:formatCode>
                <c:ptCount val="26"/>
                <c:pt idx="0">
                  <c:v>0.81825983096737553</c:v>
                </c:pt>
                <c:pt idx="1">
                  <c:v>0.26569664661206421</c:v>
                </c:pt>
                <c:pt idx="2">
                  <c:v>0.68188319247281293</c:v>
                </c:pt>
                <c:pt idx="3">
                  <c:v>0.26569664661206421</c:v>
                </c:pt>
                <c:pt idx="4">
                  <c:v>0.81825983096737553</c:v>
                </c:pt>
                <c:pt idx="5">
                  <c:v>0.26569664661206421</c:v>
                </c:pt>
                <c:pt idx="6">
                  <c:v>0.68188319247281293</c:v>
                </c:pt>
                <c:pt idx="7">
                  <c:v>0.26569664661206421</c:v>
                </c:pt>
                <c:pt idx="8">
                  <c:v>1.5987390673801323</c:v>
                </c:pt>
                <c:pt idx="9">
                  <c:v>0.7401549441336075</c:v>
                </c:pt>
                <c:pt idx="10">
                  <c:v>12.601116860323478</c:v>
                </c:pt>
                <c:pt idx="11">
                  <c:v>18.784265753825771</c:v>
                </c:pt>
                <c:pt idx="12">
                  <c:v>9.0007940070415149</c:v>
                </c:pt>
                <c:pt idx="13">
                  <c:v>10.800952808449816</c:v>
                </c:pt>
                <c:pt idx="14">
                  <c:v>10.438082545473954</c:v>
                </c:pt>
                <c:pt idx="15">
                  <c:v>12.335915735560125</c:v>
                </c:pt>
                <c:pt idx="16">
                  <c:v>8.540249355387779</c:v>
                </c:pt>
                <c:pt idx="17">
                  <c:v>10.438082545473954</c:v>
                </c:pt>
                <c:pt idx="18">
                  <c:v>18.784265753825771</c:v>
                </c:pt>
                <c:pt idx="19">
                  <c:v>10.438082545473954</c:v>
                </c:pt>
                <c:pt idx="20">
                  <c:v>26.838250660071939</c:v>
                </c:pt>
                <c:pt idx="21">
                  <c:v>2.7275327698912517</c:v>
                </c:pt>
                <c:pt idx="22">
                  <c:v>1.3095049011594597</c:v>
                </c:pt>
                <c:pt idx="23">
                  <c:v>3.0859865166999478</c:v>
                </c:pt>
                <c:pt idx="24">
                  <c:v>1.3095049011594597</c:v>
                </c:pt>
                <c:pt idx="25" formatCode="0.00">
                  <c:v>168.15856415935767</c:v>
                </c:pt>
              </c:numCache>
            </c:numRef>
          </c:val>
          <c:extLst>
            <c:ext xmlns:c16="http://schemas.microsoft.com/office/drawing/2014/chart" uri="{C3380CC4-5D6E-409C-BE32-E72D297353CC}">
              <c16:uniqueId val="{00000002-5136-4E37-8DEF-8CD091658085}"/>
            </c:ext>
          </c:extLst>
        </c:ser>
        <c:ser>
          <c:idx val="4"/>
          <c:order val="3"/>
          <c:tx>
            <c:strRef>
              <c:f>Summary!$A$16</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Summary!$C$16:$AB$16</c:f>
              <c:numCache>
                <c:formatCode>0.000</c:formatCode>
                <c:ptCount val="26"/>
                <c:pt idx="0">
                  <c:v>0</c:v>
                </c:pt>
                <c:pt idx="1">
                  <c:v>0</c:v>
                </c:pt>
                <c:pt idx="2">
                  <c:v>0</c:v>
                </c:pt>
                <c:pt idx="3">
                  <c:v>0</c:v>
                </c:pt>
                <c:pt idx="4">
                  <c:v>0</c:v>
                </c:pt>
                <c:pt idx="5">
                  <c:v>5.7429117210486602E-2</c:v>
                </c:pt>
                <c:pt idx="6">
                  <c:v>0</c:v>
                </c:pt>
                <c:pt idx="7">
                  <c:v>5.7429117210486602E-2</c:v>
                </c:pt>
                <c:pt idx="8">
                  <c:v>0</c:v>
                </c:pt>
                <c:pt idx="9">
                  <c:v>0</c:v>
                </c:pt>
                <c:pt idx="10">
                  <c:v>3.6028693289808213E-2</c:v>
                </c:pt>
                <c:pt idx="11">
                  <c:v>4.6034868429554447E-2</c:v>
                </c:pt>
                <c:pt idx="12">
                  <c:v>2.5734770198466199E-2</c:v>
                </c:pt>
                <c:pt idx="13">
                  <c:v>2.6470049346993801E-2</c:v>
                </c:pt>
                <c:pt idx="14">
                  <c:v>2.9844217677934281E-2</c:v>
                </c:pt>
                <c:pt idx="15">
                  <c:v>3.023180492050485E-2</c:v>
                </c:pt>
                <c:pt idx="16">
                  <c:v>2.4417996281946231E-2</c:v>
                </c:pt>
                <c:pt idx="17">
                  <c:v>2.5580758009657954E-2</c:v>
                </c:pt>
                <c:pt idx="18">
                  <c:v>2.630563910260254E-2</c:v>
                </c:pt>
                <c:pt idx="19">
                  <c:v>1.461757600551883E-2</c:v>
                </c:pt>
                <c:pt idx="20">
                  <c:v>3.7584505312125233E-2</c:v>
                </c:pt>
                <c:pt idx="21">
                  <c:v>0</c:v>
                </c:pt>
                <c:pt idx="22">
                  <c:v>0</c:v>
                </c:pt>
                <c:pt idx="23">
                  <c:v>0.54959604576239784</c:v>
                </c:pt>
                <c:pt idx="24">
                  <c:v>0.23321511992649296</c:v>
                </c:pt>
                <c:pt idx="25" formatCode="0.00">
                  <c:v>0</c:v>
                </c:pt>
              </c:numCache>
            </c:numRef>
          </c:val>
          <c:extLst>
            <c:ext xmlns:c16="http://schemas.microsoft.com/office/drawing/2014/chart" uri="{C3380CC4-5D6E-409C-BE32-E72D297353CC}">
              <c16:uniqueId val="{00000004-5136-4E37-8DEF-8CD091658085}"/>
            </c:ext>
          </c:extLst>
        </c:ser>
        <c:ser>
          <c:idx val="5"/>
          <c:order val="4"/>
          <c:tx>
            <c:strRef>
              <c:f>Summary!$A$17</c:f>
              <c:strCache>
                <c:ptCount val="1"/>
                <c:pt idx="0">
                  <c:v>Infrastructure network (from the vehicle perspective)</c:v>
                </c:pt>
              </c:strCache>
            </c:strRef>
          </c:tx>
          <c:spPr>
            <a:solidFill>
              <a:schemeClr val="accent4">
                <a:lumMod val="75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Summary!$C$17:$AB$17</c:f>
              <c:numCache>
                <c:formatCode>0.000</c:formatCode>
                <c:ptCount val="26"/>
                <c:pt idx="0">
                  <c:v>3.3406892781122424E-2</c:v>
                </c:pt>
                <c:pt idx="1">
                  <c:v>3.3215740749813975E-2</c:v>
                </c:pt>
                <c:pt idx="2">
                  <c:v>3.3472639339661645E-2</c:v>
                </c:pt>
                <c:pt idx="3">
                  <c:v>3.3212088163228466E-2</c:v>
                </c:pt>
                <c:pt idx="4">
                  <c:v>3.3406892781122424E-2</c:v>
                </c:pt>
                <c:pt idx="5">
                  <c:v>3.3215740749813975E-2</c:v>
                </c:pt>
                <c:pt idx="6">
                  <c:v>3.3472639339661645E-2</c:v>
                </c:pt>
                <c:pt idx="7">
                  <c:v>3.3212088163228466E-2</c:v>
                </c:pt>
                <c:pt idx="8">
                  <c:v>3.6462890224334021E-2</c:v>
                </c:pt>
                <c:pt idx="9">
                  <c:v>3.5854125793415383E-2</c:v>
                </c:pt>
                <c:pt idx="10">
                  <c:v>0.11505437825593114</c:v>
                </c:pt>
                <c:pt idx="11">
                  <c:v>0.15334566096071392</c:v>
                </c:pt>
                <c:pt idx="12">
                  <c:v>0.11505437825593114</c:v>
                </c:pt>
                <c:pt idx="13">
                  <c:v>0.15334566096071392</c:v>
                </c:pt>
                <c:pt idx="14">
                  <c:v>0.13569149246407322</c:v>
                </c:pt>
                <c:pt idx="15">
                  <c:v>0.1636946562863309</c:v>
                </c:pt>
                <c:pt idx="16">
                  <c:v>0.13569149246407322</c:v>
                </c:pt>
                <c:pt idx="17">
                  <c:v>0.1636946562863309</c:v>
                </c:pt>
                <c:pt idx="18">
                  <c:v>0.15334566096071392</c:v>
                </c:pt>
                <c:pt idx="19">
                  <c:v>0.1636946562863309</c:v>
                </c:pt>
                <c:pt idx="20">
                  <c:v>0.15334566096071392</c:v>
                </c:pt>
                <c:pt idx="21">
                  <c:v>8.8989587518980506E-2</c:v>
                </c:pt>
                <c:pt idx="22">
                  <c:v>8.693354379893789E-2</c:v>
                </c:pt>
                <c:pt idx="23">
                  <c:v>4.802941441178829E-2</c:v>
                </c:pt>
                <c:pt idx="24">
                  <c:v>4.7298897094685911E-2</c:v>
                </c:pt>
                <c:pt idx="25" formatCode="0.00">
                  <c:v>11.484770345320273</c:v>
                </c:pt>
              </c:numCache>
            </c:numRef>
          </c:val>
          <c:extLst>
            <c:ext xmlns:c16="http://schemas.microsoft.com/office/drawing/2014/chart" uri="{C3380CC4-5D6E-409C-BE32-E72D297353CC}">
              <c16:uniqueId val="{00000005-5136-4E37-8DEF-8CD091658085}"/>
            </c:ext>
          </c:extLst>
        </c:ser>
        <c:dLbls>
          <c:showLegendKey val="0"/>
          <c:showVal val="0"/>
          <c:showCatName val="0"/>
          <c:showSerName val="0"/>
          <c:showPercent val="0"/>
          <c:showBubbleSize val="0"/>
        </c:dLbls>
        <c:gapWidth val="182"/>
        <c:overlap val="100"/>
        <c:axId val="-378670016"/>
        <c:axId val="-378669472"/>
      </c:barChart>
      <c:catAx>
        <c:axId val="-378670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9472"/>
        <c:crosses val="autoZero"/>
        <c:auto val="1"/>
        <c:lblAlgn val="ctr"/>
        <c:lblOffset val="100"/>
        <c:noMultiLvlLbl val="0"/>
      </c:catAx>
      <c:valAx>
        <c:axId val="-3786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consumption per vkm (MJ/vkm)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70016"/>
        <c:crosses val="autoZero"/>
        <c:crossBetween val="between"/>
      </c:valAx>
      <c:spPr>
        <a:noFill/>
        <a:ln>
          <a:noFill/>
        </a:ln>
        <a:effectLst/>
      </c:spPr>
    </c:plotArea>
    <c:legend>
      <c:legendPos val="r"/>
      <c:layout>
        <c:manualLayout>
          <c:xMode val="edge"/>
          <c:yMode val="edge"/>
          <c:x val="0.71134634797869201"/>
          <c:y val="0.31410262188199489"/>
          <c:w val="0.27484694590690956"/>
          <c:h val="0.557376444052424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per pkm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Summary!$A$28</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Summary!$C$28:$AB$28</c:f>
              <c:numCache>
                <c:formatCode>0.00</c:formatCode>
                <c:ptCount val="26"/>
                <c:pt idx="0">
                  <c:v>6.8734825300530229</c:v>
                </c:pt>
                <c:pt idx="1">
                  <c:v>15.93412982527124</c:v>
                </c:pt>
                <c:pt idx="2">
                  <c:v>6.9668322090707964</c:v>
                </c:pt>
                <c:pt idx="3">
                  <c:v>16.962153912108548</c:v>
                </c:pt>
                <c:pt idx="4">
                  <c:v>4.2575011039063817</c:v>
                </c:pt>
                <c:pt idx="5">
                  <c:v>9.616641601627439</c:v>
                </c:pt>
                <c:pt idx="6">
                  <c:v>4.3202664855215103</c:v>
                </c:pt>
                <c:pt idx="7">
                  <c:v>9.7183401893568888</c:v>
                </c:pt>
                <c:pt idx="8">
                  <c:v>3.2835022667411851</c:v>
                </c:pt>
                <c:pt idx="9">
                  <c:v>6.3430870294074131</c:v>
                </c:pt>
                <c:pt idx="10">
                  <c:v>2.9674197844647505</c:v>
                </c:pt>
                <c:pt idx="11">
                  <c:v>2.862565542227351</c:v>
                </c:pt>
                <c:pt idx="12">
                  <c:v>2.9674197844647505</c:v>
                </c:pt>
                <c:pt idx="13">
                  <c:v>2.862565542227351</c:v>
                </c:pt>
                <c:pt idx="14">
                  <c:v>4.4072021229597578</c:v>
                </c:pt>
                <c:pt idx="15">
                  <c:v>4.0207595490120198</c:v>
                </c:pt>
                <c:pt idx="16">
                  <c:v>4.4072021229597578</c:v>
                </c:pt>
                <c:pt idx="17">
                  <c:v>4.0207595490120198</c:v>
                </c:pt>
                <c:pt idx="18">
                  <c:v>2.7468648285400512</c:v>
                </c:pt>
                <c:pt idx="19">
                  <c:v>4.1029052707128821</c:v>
                </c:pt>
                <c:pt idx="20">
                  <c:v>1.936357766965263</c:v>
                </c:pt>
                <c:pt idx="21">
                  <c:v>18.015144808509238</c:v>
                </c:pt>
                <c:pt idx="22">
                  <c:v>43.206760303779724</c:v>
                </c:pt>
                <c:pt idx="23">
                  <c:v>13.334816625801311</c:v>
                </c:pt>
                <c:pt idx="24">
                  <c:v>30.469135213465918</c:v>
                </c:pt>
                <c:pt idx="25">
                  <c:v>0.72100862005456501</c:v>
                </c:pt>
              </c:numCache>
            </c:numRef>
          </c:val>
          <c:extLst>
            <c:ext xmlns:c16="http://schemas.microsoft.com/office/drawing/2014/chart" uri="{C3380CC4-5D6E-409C-BE32-E72D297353CC}">
              <c16:uniqueId val="{00000000-B235-4FAE-880E-13F840EE0511}"/>
            </c:ext>
          </c:extLst>
        </c:ser>
        <c:ser>
          <c:idx val="1"/>
          <c:order val="1"/>
          <c:tx>
            <c:strRef>
              <c:f>Summary!$A$29</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Summary!$C$29:$AB$29</c:f>
              <c:numCache>
                <c:formatCode>0.00</c:formatCode>
                <c:ptCount val="26"/>
                <c:pt idx="0">
                  <c:v>0.68308994667738843</c:v>
                </c:pt>
                <c:pt idx="1">
                  <c:v>0.75376224866625607</c:v>
                </c:pt>
                <c:pt idx="2">
                  <c:v>0.72034939831433697</c:v>
                </c:pt>
                <c:pt idx="3">
                  <c:v>0.76620585002336206</c:v>
                </c:pt>
                <c:pt idx="4">
                  <c:v>0.41111894938916899</c:v>
                </c:pt>
                <c:pt idx="5">
                  <c:v>0.45365320521580227</c:v>
                </c:pt>
                <c:pt idx="6">
                  <c:v>0.43354361935585095</c:v>
                </c:pt>
                <c:pt idx="7">
                  <c:v>0.45240739021765308</c:v>
                </c:pt>
                <c:pt idx="8">
                  <c:v>0.32977455833355801</c:v>
                </c:pt>
                <c:pt idx="9">
                  <c:v>0.34872707997302083</c:v>
                </c:pt>
                <c:pt idx="10">
                  <c:v>3.5323331001119639E-2</c:v>
                </c:pt>
                <c:pt idx="11">
                  <c:v>3.2551492364839903E-2</c:v>
                </c:pt>
                <c:pt idx="12">
                  <c:v>3.5323331001119639E-2</c:v>
                </c:pt>
                <c:pt idx="13">
                  <c:v>3.2551492364839903E-2</c:v>
                </c:pt>
                <c:pt idx="14">
                  <c:v>5.2182415726114373E-2</c:v>
                </c:pt>
                <c:pt idx="15">
                  <c:v>4.447675838244277E-2</c:v>
                </c:pt>
                <c:pt idx="16">
                  <c:v>5.2182415726114373E-2</c:v>
                </c:pt>
                <c:pt idx="17">
                  <c:v>4.447675838244277E-2</c:v>
                </c:pt>
                <c:pt idx="18">
                  <c:v>2.5297159780675583E-2</c:v>
                </c:pt>
                <c:pt idx="19">
                  <c:v>3.546408344249434E-2</c:v>
                </c:pt>
                <c:pt idx="20">
                  <c:v>2.5823572477286453E-2</c:v>
                </c:pt>
                <c:pt idx="21">
                  <c:v>0.44615060925260869</c:v>
                </c:pt>
                <c:pt idx="22">
                  <c:v>0.52181075274128441</c:v>
                </c:pt>
                <c:pt idx="23">
                  <c:v>0.26584277763273312</c:v>
                </c:pt>
                <c:pt idx="24">
                  <c:v>0.32526364950989994</c:v>
                </c:pt>
                <c:pt idx="25">
                  <c:v>6.0612330514461243E-3</c:v>
                </c:pt>
              </c:numCache>
            </c:numRef>
          </c:val>
          <c:extLst>
            <c:ext xmlns:c16="http://schemas.microsoft.com/office/drawing/2014/chart" uri="{C3380CC4-5D6E-409C-BE32-E72D297353CC}">
              <c16:uniqueId val="{00000001-B235-4FAE-880E-13F840EE0511}"/>
            </c:ext>
          </c:extLst>
        </c:ser>
        <c:ser>
          <c:idx val="2"/>
          <c:order val="2"/>
          <c:tx>
            <c:strRef>
              <c:f>Summary!$A$30</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Summary!$C$30:$AB$30</c:f>
              <c:numCache>
                <c:formatCode>0.00</c:formatCode>
                <c:ptCount val="26"/>
                <c:pt idx="0">
                  <c:v>55.4259384</c:v>
                </c:pt>
                <c:pt idx="1">
                  <c:v>22.153324073709094</c:v>
                </c:pt>
                <c:pt idx="2">
                  <c:v>46.188282000000001</c:v>
                </c:pt>
                <c:pt idx="3">
                  <c:v>22.153324073709094</c:v>
                </c:pt>
                <c:pt idx="4">
                  <c:v>55.4259384</c:v>
                </c:pt>
                <c:pt idx="5">
                  <c:v>22.153324073709094</c:v>
                </c:pt>
                <c:pt idx="6">
                  <c:v>46.188282000000001</c:v>
                </c:pt>
                <c:pt idx="7">
                  <c:v>22.153324073709094</c:v>
                </c:pt>
                <c:pt idx="8">
                  <c:v>64.813032875513471</c:v>
                </c:pt>
                <c:pt idx="9">
                  <c:v>36.301665498935073</c:v>
                </c:pt>
                <c:pt idx="10">
                  <c:v>37.493170772477434</c:v>
                </c:pt>
                <c:pt idx="11">
                  <c:v>41.095895305432542</c:v>
                </c:pt>
                <c:pt idx="12">
                  <c:v>26.780825107373538</c:v>
                </c:pt>
                <c:pt idx="13">
                  <c:v>23.630139800623709</c:v>
                </c:pt>
                <c:pt idx="14">
                  <c:v>34.81236640154286</c:v>
                </c:pt>
                <c:pt idx="15">
                  <c:v>30.251387915779226</c:v>
                </c:pt>
                <c:pt idx="16">
                  <c:v>28.48284523762598</c:v>
                </c:pt>
                <c:pt idx="17">
                  <c:v>25.597328236428577</c:v>
                </c:pt>
                <c:pt idx="18">
                  <c:v>55.890417615388259</c:v>
                </c:pt>
                <c:pt idx="19">
                  <c:v>34.81236640154286</c:v>
                </c:pt>
                <c:pt idx="20">
                  <c:v>4.4395877858131083</c:v>
                </c:pt>
                <c:pt idx="21">
                  <c:v>123.168752</c:v>
                </c:pt>
                <c:pt idx="22">
                  <c:v>72.789493385044167</c:v>
                </c:pt>
                <c:pt idx="23">
                  <c:v>241.1536770090313</c:v>
                </c:pt>
                <c:pt idx="24">
                  <c:v>114.70350273876076</c:v>
                </c:pt>
                <c:pt idx="25">
                  <c:v>35.051921195593884</c:v>
                </c:pt>
              </c:numCache>
            </c:numRef>
          </c:val>
          <c:extLst>
            <c:ext xmlns:c16="http://schemas.microsoft.com/office/drawing/2014/chart" uri="{C3380CC4-5D6E-409C-BE32-E72D297353CC}">
              <c16:uniqueId val="{00000002-B235-4FAE-880E-13F840EE0511}"/>
            </c:ext>
          </c:extLst>
        </c:ser>
        <c:ser>
          <c:idx val="4"/>
          <c:order val="3"/>
          <c:tx>
            <c:strRef>
              <c:f>Summary!$A$31</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Summary!$C$31:$AB$31</c:f>
              <c:numCache>
                <c:formatCode>0.00</c:formatCode>
                <c:ptCount val="26"/>
                <c:pt idx="0">
                  <c:v>0</c:v>
                </c:pt>
                <c:pt idx="1">
                  <c:v>0</c:v>
                </c:pt>
                <c:pt idx="2">
                  <c:v>0</c:v>
                </c:pt>
                <c:pt idx="3">
                  <c:v>0</c:v>
                </c:pt>
                <c:pt idx="4">
                  <c:v>0</c:v>
                </c:pt>
                <c:pt idx="5">
                  <c:v>3.9798378226867213</c:v>
                </c:pt>
                <c:pt idx="6">
                  <c:v>0</c:v>
                </c:pt>
                <c:pt idx="7">
                  <c:v>3.9798378226867213</c:v>
                </c:pt>
                <c:pt idx="8">
                  <c:v>0</c:v>
                </c:pt>
                <c:pt idx="9">
                  <c:v>0</c:v>
                </c:pt>
                <c:pt idx="10">
                  <c:v>0.10719922410030841</c:v>
                </c:pt>
                <c:pt idx="11">
                  <c:v>0.10071429770924219</c:v>
                </c:pt>
                <c:pt idx="12">
                  <c:v>7.6570842452832188E-2</c:v>
                </c:pt>
                <c:pt idx="13">
                  <c:v>5.7910721182814234E-2</c:v>
                </c:pt>
                <c:pt idx="14">
                  <c:v>9.953435760307798E-2</c:v>
                </c:pt>
                <c:pt idx="15">
                  <c:v>7.4137508527884657E-2</c:v>
                </c:pt>
                <c:pt idx="16">
                  <c:v>8.143720167524561E-2</c:v>
                </c:pt>
                <c:pt idx="17">
                  <c:v>6.2731737985133179E-2</c:v>
                </c:pt>
                <c:pt idx="18">
                  <c:v>7.8269397076896785E-2</c:v>
                </c:pt>
                <c:pt idx="19">
                  <c:v>4.8751522091303491E-2</c:v>
                </c:pt>
                <c:pt idx="20">
                  <c:v>6.2172349767856232E-3</c:v>
                </c:pt>
                <c:pt idx="21">
                  <c:v>0</c:v>
                </c:pt>
                <c:pt idx="22">
                  <c:v>0</c:v>
                </c:pt>
                <c:pt idx="23">
                  <c:v>42.948051324267247</c:v>
                </c:pt>
                <c:pt idx="24">
                  <c:v>20.428019111286599</c:v>
                </c:pt>
                <c:pt idx="25">
                  <c:v>0</c:v>
                </c:pt>
              </c:numCache>
            </c:numRef>
          </c:val>
          <c:extLst>
            <c:ext xmlns:c16="http://schemas.microsoft.com/office/drawing/2014/chart" uri="{C3380CC4-5D6E-409C-BE32-E72D297353CC}">
              <c16:uniqueId val="{00000004-B235-4FAE-880E-13F840EE0511}"/>
            </c:ext>
          </c:extLst>
        </c:ser>
        <c:ser>
          <c:idx val="5"/>
          <c:order val="4"/>
          <c:tx>
            <c:strRef>
              <c:f>Summary!$A$32</c:f>
              <c:strCache>
                <c:ptCount val="1"/>
                <c:pt idx="0">
                  <c:v>Infrastructure network (from the vehicle perspective)</c:v>
                </c:pt>
              </c:strCache>
            </c:strRef>
          </c:tx>
          <c:spPr>
            <a:solidFill>
              <a:schemeClr val="accent4">
                <a:lumMod val="75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Summary!$C$32:$AB$32</c:f>
              <c:numCache>
                <c:formatCode>0.00</c:formatCode>
                <c:ptCount val="26"/>
                <c:pt idx="0">
                  <c:v>11.414727236068604</c:v>
                </c:pt>
                <c:pt idx="1">
                  <c:v>11.349412921675397</c:v>
                </c:pt>
                <c:pt idx="2">
                  <c:v>11.437192032101938</c:v>
                </c:pt>
                <c:pt idx="3">
                  <c:v>11.348164877451323</c:v>
                </c:pt>
                <c:pt idx="4">
                  <c:v>11.414727236068604</c:v>
                </c:pt>
                <c:pt idx="5">
                  <c:v>11.349412921675397</c:v>
                </c:pt>
                <c:pt idx="6">
                  <c:v>11.437192032101938</c:v>
                </c:pt>
                <c:pt idx="7">
                  <c:v>11.348164877451323</c:v>
                </c:pt>
                <c:pt idx="8">
                  <c:v>7.3287789628689604</c:v>
                </c:pt>
                <c:pt idx="9">
                  <c:v>7.2064216859989561</c:v>
                </c:pt>
                <c:pt idx="10">
                  <c:v>1.5725070316614955</c:v>
                </c:pt>
                <c:pt idx="11">
                  <c:v>1.5410688060955027</c:v>
                </c:pt>
                <c:pt idx="12">
                  <c:v>1.5725070316614955</c:v>
                </c:pt>
                <c:pt idx="13">
                  <c:v>1.5410688060955027</c:v>
                </c:pt>
                <c:pt idx="14">
                  <c:v>1.8545650263022324</c:v>
                </c:pt>
                <c:pt idx="15">
                  <c:v>1.6450724914350077</c:v>
                </c:pt>
                <c:pt idx="16">
                  <c:v>1.8545650263022324</c:v>
                </c:pt>
                <c:pt idx="17">
                  <c:v>1.6450724914350077</c:v>
                </c:pt>
                <c:pt idx="18">
                  <c:v>2.0958535762898838</c:v>
                </c:pt>
                <c:pt idx="19">
                  <c:v>2.2372985883516106</c:v>
                </c:pt>
                <c:pt idx="20">
                  <c:v>2.0958535762898838</c:v>
                </c:pt>
                <c:pt idx="21">
                  <c:v>20.27247773864886</c:v>
                </c:pt>
                <c:pt idx="22">
                  <c:v>19.804106817804762</c:v>
                </c:pt>
                <c:pt idx="23">
                  <c:v>17.240643477705671</c:v>
                </c:pt>
                <c:pt idx="24">
                  <c:v>16.978416907327972</c:v>
                </c:pt>
                <c:pt idx="25">
                  <c:v>5.2266170204707167</c:v>
                </c:pt>
              </c:numCache>
            </c:numRef>
          </c:val>
          <c:extLst>
            <c:ext xmlns:c16="http://schemas.microsoft.com/office/drawing/2014/chart" uri="{C3380CC4-5D6E-409C-BE32-E72D297353CC}">
              <c16:uniqueId val="{00000005-B235-4FAE-880E-13F840EE0511}"/>
            </c:ext>
          </c:extLst>
        </c:ser>
        <c:dLbls>
          <c:showLegendKey val="0"/>
          <c:showVal val="0"/>
          <c:showCatName val="0"/>
          <c:showSerName val="0"/>
          <c:showPercent val="0"/>
          <c:showBubbleSize val="0"/>
        </c:dLbls>
        <c:gapWidth val="182"/>
        <c:overlap val="100"/>
        <c:axId val="-378667840"/>
        <c:axId val="-333773568"/>
      </c:barChart>
      <c:catAx>
        <c:axId val="-378667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3568"/>
        <c:crosses val="autoZero"/>
        <c:auto val="1"/>
        <c:lblAlgn val="ctr"/>
        <c:lblOffset val="100"/>
        <c:noMultiLvlLbl val="0"/>
      </c:catAx>
      <c:valAx>
        <c:axId val="-3337735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per pkm ([g CO₂/pkm] or [g CO₂/tkm])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7840"/>
        <c:crosses val="autoZero"/>
        <c:crossBetween val="between"/>
      </c:valAx>
      <c:spPr>
        <a:noFill/>
        <a:ln>
          <a:noFill/>
        </a:ln>
        <a:effectLst/>
      </c:spPr>
    </c:plotArea>
    <c:legend>
      <c:legendPos val="r"/>
      <c:layout>
        <c:manualLayout>
          <c:xMode val="edge"/>
          <c:yMode val="edge"/>
          <c:x val="0.76427077080611561"/>
          <c:y val="0.31191617807550592"/>
          <c:w val="0.22451846686204582"/>
          <c:h val="0.517428617512196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per vkm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Summary!$A$35</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Summary!$C$35:$AB$35</c:f>
              <c:numCache>
                <c:formatCode>0.00</c:formatCode>
                <c:ptCount val="26"/>
                <c:pt idx="0">
                  <c:v>6.8734825300530229</c:v>
                </c:pt>
                <c:pt idx="1">
                  <c:v>15.93412982527124</c:v>
                </c:pt>
                <c:pt idx="2">
                  <c:v>6.9668322090707964</c:v>
                </c:pt>
                <c:pt idx="3">
                  <c:v>16.962153912108548</c:v>
                </c:pt>
                <c:pt idx="4">
                  <c:v>4.2575011039063817</c:v>
                </c:pt>
                <c:pt idx="5">
                  <c:v>9.616641601627439</c:v>
                </c:pt>
                <c:pt idx="6">
                  <c:v>4.3202664855215103</c:v>
                </c:pt>
                <c:pt idx="7">
                  <c:v>9.7183401893568888</c:v>
                </c:pt>
                <c:pt idx="8">
                  <c:v>5.5819538534600142</c:v>
                </c:pt>
                <c:pt idx="9">
                  <c:v>10.783247949992601</c:v>
                </c:pt>
                <c:pt idx="10">
                  <c:v>74.185494611618765</c:v>
                </c:pt>
                <c:pt idx="11">
                  <c:v>97.327228435729936</c:v>
                </c:pt>
                <c:pt idx="12">
                  <c:v>74.185494611618765</c:v>
                </c:pt>
                <c:pt idx="13">
                  <c:v>97.327228435729936</c:v>
                </c:pt>
                <c:pt idx="14">
                  <c:v>110.18005307399395</c:v>
                </c:pt>
                <c:pt idx="15">
                  <c:v>136.70582466640869</c:v>
                </c:pt>
                <c:pt idx="16">
                  <c:v>110.18005307399395</c:v>
                </c:pt>
                <c:pt idx="17">
                  <c:v>136.70582466640869</c:v>
                </c:pt>
                <c:pt idx="18">
                  <c:v>68.671620713501284</c:v>
                </c:pt>
                <c:pt idx="19">
                  <c:v>102.57263176782205</c:v>
                </c:pt>
                <c:pt idx="20">
                  <c:v>48.408944174131577</c:v>
                </c:pt>
                <c:pt idx="21">
                  <c:v>27.022717212763855</c:v>
                </c:pt>
                <c:pt idx="22">
                  <c:v>64.810140455669583</c:v>
                </c:pt>
                <c:pt idx="23">
                  <c:v>12.693176625806871</c:v>
                </c:pt>
                <c:pt idx="24">
                  <c:v>29.003032119076792</c:v>
                </c:pt>
                <c:pt idx="25">
                  <c:v>288.40344802182602</c:v>
                </c:pt>
              </c:numCache>
            </c:numRef>
          </c:val>
          <c:extLst>
            <c:ext xmlns:c16="http://schemas.microsoft.com/office/drawing/2014/chart" uri="{C3380CC4-5D6E-409C-BE32-E72D297353CC}">
              <c16:uniqueId val="{00000000-5785-4A19-8E00-D4A915CFE55A}"/>
            </c:ext>
          </c:extLst>
        </c:ser>
        <c:ser>
          <c:idx val="1"/>
          <c:order val="1"/>
          <c:tx>
            <c:strRef>
              <c:f>Summary!$A$36</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Summary!$C$36:$AB$36</c:f>
              <c:numCache>
                <c:formatCode>0.00</c:formatCode>
                <c:ptCount val="26"/>
                <c:pt idx="0">
                  <c:v>0.68308994667738843</c:v>
                </c:pt>
                <c:pt idx="1">
                  <c:v>0.75376224866625607</c:v>
                </c:pt>
                <c:pt idx="2">
                  <c:v>0.72034939831433697</c:v>
                </c:pt>
                <c:pt idx="3">
                  <c:v>0.76620585002336206</c:v>
                </c:pt>
                <c:pt idx="4">
                  <c:v>0.41111894938916899</c:v>
                </c:pt>
                <c:pt idx="5">
                  <c:v>0.45365320521580227</c:v>
                </c:pt>
                <c:pt idx="6">
                  <c:v>0.43354361935585095</c:v>
                </c:pt>
                <c:pt idx="7">
                  <c:v>0.45240739021765308</c:v>
                </c:pt>
                <c:pt idx="8">
                  <c:v>0.56061674916704862</c:v>
                </c:pt>
                <c:pt idx="9">
                  <c:v>0.59283603595413537</c:v>
                </c:pt>
                <c:pt idx="10">
                  <c:v>0.88308327502799089</c:v>
                </c:pt>
                <c:pt idx="11">
                  <c:v>1.1067507404045567</c:v>
                </c:pt>
                <c:pt idx="12">
                  <c:v>0.88308327502799089</c:v>
                </c:pt>
                <c:pt idx="13">
                  <c:v>1.1067507404045567</c:v>
                </c:pt>
                <c:pt idx="14">
                  <c:v>1.3045603931528593</c:v>
                </c:pt>
                <c:pt idx="15">
                  <c:v>1.5122097850030543</c:v>
                </c:pt>
                <c:pt idx="16">
                  <c:v>1.3045603931528593</c:v>
                </c:pt>
                <c:pt idx="17">
                  <c:v>1.5122097850030543</c:v>
                </c:pt>
                <c:pt idx="18">
                  <c:v>0.63242899451688961</c:v>
                </c:pt>
                <c:pt idx="19">
                  <c:v>0.88660208606235846</c:v>
                </c:pt>
                <c:pt idx="20">
                  <c:v>0.64558931193216129</c:v>
                </c:pt>
                <c:pt idx="21">
                  <c:v>0.66922591387891306</c:v>
                </c:pt>
                <c:pt idx="22">
                  <c:v>0.78271612911192656</c:v>
                </c:pt>
                <c:pt idx="23">
                  <c:v>0.25305104868546396</c:v>
                </c:pt>
                <c:pt idx="24">
                  <c:v>0.30961272802171769</c:v>
                </c:pt>
                <c:pt idx="25">
                  <c:v>2.4244932205784497</c:v>
                </c:pt>
              </c:numCache>
            </c:numRef>
          </c:val>
          <c:extLst>
            <c:ext xmlns:c16="http://schemas.microsoft.com/office/drawing/2014/chart" uri="{C3380CC4-5D6E-409C-BE32-E72D297353CC}">
              <c16:uniqueId val="{00000001-5785-4A19-8E00-D4A915CFE55A}"/>
            </c:ext>
          </c:extLst>
        </c:ser>
        <c:ser>
          <c:idx val="2"/>
          <c:order val="2"/>
          <c:tx>
            <c:strRef>
              <c:f>Summary!$A$37</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Summary!$C$37:$AB$37</c:f>
              <c:numCache>
                <c:formatCode>0.00</c:formatCode>
                <c:ptCount val="26"/>
                <c:pt idx="0">
                  <c:v>55.4259384</c:v>
                </c:pt>
                <c:pt idx="1">
                  <c:v>22.153324073709094</c:v>
                </c:pt>
                <c:pt idx="2">
                  <c:v>46.188282000000001</c:v>
                </c:pt>
                <c:pt idx="3">
                  <c:v>22.153324073709094</c:v>
                </c:pt>
                <c:pt idx="4">
                  <c:v>55.4259384</c:v>
                </c:pt>
                <c:pt idx="5">
                  <c:v>22.153324073709094</c:v>
                </c:pt>
                <c:pt idx="6">
                  <c:v>46.188282000000001</c:v>
                </c:pt>
                <c:pt idx="7">
                  <c:v>22.153324073709094</c:v>
                </c:pt>
                <c:pt idx="8">
                  <c:v>110.1821558883729</c:v>
                </c:pt>
                <c:pt idx="9">
                  <c:v>61.712831348189617</c:v>
                </c:pt>
                <c:pt idx="10">
                  <c:v>937.32926931193583</c:v>
                </c:pt>
                <c:pt idx="11">
                  <c:v>1397.2604403847065</c:v>
                </c:pt>
                <c:pt idx="12">
                  <c:v>669.52062768433848</c:v>
                </c:pt>
                <c:pt idx="13">
                  <c:v>803.42475322120606</c:v>
                </c:pt>
                <c:pt idx="14">
                  <c:v>870.30916003857158</c:v>
                </c:pt>
                <c:pt idx="15">
                  <c:v>1028.5471891364937</c:v>
                </c:pt>
                <c:pt idx="16">
                  <c:v>712.07113094064948</c:v>
                </c:pt>
                <c:pt idx="17">
                  <c:v>870.30916003857158</c:v>
                </c:pt>
                <c:pt idx="18">
                  <c:v>1397.2604403847065</c:v>
                </c:pt>
                <c:pt idx="19">
                  <c:v>870.30916003857158</c:v>
                </c:pt>
                <c:pt idx="20">
                  <c:v>110.98969464532772</c:v>
                </c:pt>
                <c:pt idx="21">
                  <c:v>184.753128</c:v>
                </c:pt>
                <c:pt idx="22">
                  <c:v>109.18424007756626</c:v>
                </c:pt>
                <c:pt idx="23">
                  <c:v>229.54992949177318</c:v>
                </c:pt>
                <c:pt idx="24">
                  <c:v>109.18424007756626</c:v>
                </c:pt>
                <c:pt idx="25">
                  <c:v>14020.768478237553</c:v>
                </c:pt>
              </c:numCache>
            </c:numRef>
          </c:val>
          <c:extLst>
            <c:ext xmlns:c16="http://schemas.microsoft.com/office/drawing/2014/chart" uri="{C3380CC4-5D6E-409C-BE32-E72D297353CC}">
              <c16:uniqueId val="{00000002-5785-4A19-8E00-D4A915CFE55A}"/>
            </c:ext>
          </c:extLst>
        </c:ser>
        <c:ser>
          <c:idx val="4"/>
          <c:order val="3"/>
          <c:tx>
            <c:strRef>
              <c:f>Summary!$A$38</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Summary!$C$38:$AB$38</c:f>
              <c:numCache>
                <c:formatCode>0.00</c:formatCode>
                <c:ptCount val="26"/>
                <c:pt idx="0">
                  <c:v>0</c:v>
                </c:pt>
                <c:pt idx="1">
                  <c:v>0</c:v>
                </c:pt>
                <c:pt idx="2">
                  <c:v>0</c:v>
                </c:pt>
                <c:pt idx="3">
                  <c:v>0</c:v>
                </c:pt>
                <c:pt idx="4">
                  <c:v>0</c:v>
                </c:pt>
                <c:pt idx="5">
                  <c:v>3.9798378226867213</c:v>
                </c:pt>
                <c:pt idx="6">
                  <c:v>0</c:v>
                </c:pt>
                <c:pt idx="7">
                  <c:v>3.9798378226867213</c:v>
                </c:pt>
                <c:pt idx="8">
                  <c:v>0</c:v>
                </c:pt>
                <c:pt idx="9">
                  <c:v>0</c:v>
                </c:pt>
                <c:pt idx="10">
                  <c:v>2.6799806025077104</c:v>
                </c:pt>
                <c:pt idx="11">
                  <c:v>3.4242861221142342</c:v>
                </c:pt>
                <c:pt idx="12">
                  <c:v>1.9142710613208047</c:v>
                </c:pt>
                <c:pt idx="13">
                  <c:v>1.968964520215684</c:v>
                </c:pt>
                <c:pt idx="14">
                  <c:v>2.4883589400769495</c:v>
                </c:pt>
                <c:pt idx="15">
                  <c:v>2.5206752899480782</c:v>
                </c:pt>
                <c:pt idx="16">
                  <c:v>2.0359300418811404</c:v>
                </c:pt>
                <c:pt idx="17">
                  <c:v>2.1328790914945279</c:v>
                </c:pt>
                <c:pt idx="18">
                  <c:v>1.9567349269224195</c:v>
                </c:pt>
                <c:pt idx="19">
                  <c:v>1.2187880522825874</c:v>
                </c:pt>
                <c:pt idx="20">
                  <c:v>0.15543087441964057</c:v>
                </c:pt>
                <c:pt idx="21">
                  <c:v>0</c:v>
                </c:pt>
                <c:pt idx="22">
                  <c:v>0</c:v>
                </c:pt>
                <c:pt idx="23">
                  <c:v>40.881492148781916</c:v>
                </c:pt>
                <c:pt idx="24">
                  <c:v>19.445070897578805</c:v>
                </c:pt>
                <c:pt idx="25">
                  <c:v>0</c:v>
                </c:pt>
              </c:numCache>
            </c:numRef>
          </c:val>
          <c:extLst>
            <c:ext xmlns:c16="http://schemas.microsoft.com/office/drawing/2014/chart" uri="{C3380CC4-5D6E-409C-BE32-E72D297353CC}">
              <c16:uniqueId val="{00000004-5785-4A19-8E00-D4A915CFE55A}"/>
            </c:ext>
          </c:extLst>
        </c:ser>
        <c:ser>
          <c:idx val="5"/>
          <c:order val="4"/>
          <c:tx>
            <c:strRef>
              <c:f>Summary!$A$39</c:f>
              <c:strCache>
                <c:ptCount val="1"/>
                <c:pt idx="0">
                  <c:v>Infrastructure network (from the vehicle perspective)</c:v>
                </c:pt>
              </c:strCache>
            </c:strRef>
          </c:tx>
          <c:spPr>
            <a:solidFill>
              <a:schemeClr val="accent4">
                <a:lumMod val="75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Summary!$C$39:$AB$39</c:f>
              <c:numCache>
                <c:formatCode>0.00</c:formatCode>
                <c:ptCount val="26"/>
                <c:pt idx="0">
                  <c:v>11.414727236068604</c:v>
                </c:pt>
                <c:pt idx="1">
                  <c:v>11.349412921675397</c:v>
                </c:pt>
                <c:pt idx="2">
                  <c:v>11.437192032101938</c:v>
                </c:pt>
                <c:pt idx="3">
                  <c:v>11.348164877451323</c:v>
                </c:pt>
                <c:pt idx="4">
                  <c:v>11.414727236068604</c:v>
                </c:pt>
                <c:pt idx="5">
                  <c:v>11.349412921675397</c:v>
                </c:pt>
                <c:pt idx="6">
                  <c:v>11.437192032101938</c:v>
                </c:pt>
                <c:pt idx="7">
                  <c:v>11.348164877451323</c:v>
                </c:pt>
                <c:pt idx="8">
                  <c:v>12.458924236877232</c:v>
                </c:pt>
                <c:pt idx="9">
                  <c:v>12.250916866198224</c:v>
                </c:pt>
                <c:pt idx="10">
                  <c:v>39.312675791537387</c:v>
                </c:pt>
                <c:pt idx="11">
                  <c:v>52.39633940724709</c:v>
                </c:pt>
                <c:pt idx="12">
                  <c:v>39.312675791537387</c:v>
                </c:pt>
                <c:pt idx="13">
                  <c:v>52.39633940724709</c:v>
                </c:pt>
                <c:pt idx="14">
                  <c:v>46.36412565755581</c:v>
                </c:pt>
                <c:pt idx="15">
                  <c:v>55.932464708790263</c:v>
                </c:pt>
                <c:pt idx="16">
                  <c:v>46.36412565755581</c:v>
                </c:pt>
                <c:pt idx="17">
                  <c:v>55.932464708790263</c:v>
                </c:pt>
                <c:pt idx="18">
                  <c:v>52.39633940724709</c:v>
                </c:pt>
                <c:pt idx="19">
                  <c:v>55.932464708790263</c:v>
                </c:pt>
                <c:pt idx="20">
                  <c:v>52.39633940724709</c:v>
                </c:pt>
                <c:pt idx="21">
                  <c:v>30.40871660797329</c:v>
                </c:pt>
                <c:pt idx="22">
                  <c:v>29.706160226707141</c:v>
                </c:pt>
                <c:pt idx="23">
                  <c:v>16.411064279778419</c:v>
                </c:pt>
                <c:pt idx="24">
                  <c:v>16.161455434963603</c:v>
                </c:pt>
                <c:pt idx="25">
                  <c:v>2090.6468081882867</c:v>
                </c:pt>
              </c:numCache>
            </c:numRef>
          </c:val>
          <c:extLst>
            <c:ext xmlns:c16="http://schemas.microsoft.com/office/drawing/2014/chart" uri="{C3380CC4-5D6E-409C-BE32-E72D297353CC}">
              <c16:uniqueId val="{00000005-5785-4A19-8E00-D4A915CFE55A}"/>
            </c:ext>
          </c:extLst>
        </c:ser>
        <c:dLbls>
          <c:showLegendKey val="0"/>
          <c:showVal val="0"/>
          <c:showCatName val="0"/>
          <c:showSerName val="0"/>
          <c:showPercent val="0"/>
          <c:showBubbleSize val="0"/>
        </c:dLbls>
        <c:gapWidth val="150"/>
        <c:overlap val="100"/>
        <c:axId val="-333771392"/>
        <c:axId val="-333770848"/>
      </c:barChart>
      <c:catAx>
        <c:axId val="-3337713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0848"/>
        <c:crosses val="autoZero"/>
        <c:auto val="1"/>
        <c:lblAlgn val="ctr"/>
        <c:lblOffset val="100"/>
        <c:noMultiLvlLbl val="0"/>
      </c:catAx>
      <c:valAx>
        <c:axId val="-3337708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per vkm ([g CO₂/vkm])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1392"/>
        <c:crosses val="autoZero"/>
        <c:crossBetween val="between"/>
      </c:valAx>
      <c:spPr>
        <a:noFill/>
        <a:ln>
          <a:noFill/>
        </a:ln>
        <a:effectLst/>
      </c:spPr>
    </c:plotArea>
    <c:legend>
      <c:legendPos val="r"/>
      <c:layout>
        <c:manualLayout>
          <c:xMode val="edge"/>
          <c:yMode val="edge"/>
          <c:x val="0.74396793037449893"/>
          <c:y val="0.31946477690288716"/>
          <c:w val="0.25009382734521607"/>
          <c:h val="0.545337112860892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consumption per vehicle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55683424187364"/>
          <c:y val="6.774628879892039E-2"/>
          <c:w val="0.30912984835228929"/>
          <c:h val="0.83995069442230652"/>
        </c:manualLayout>
      </c:layout>
      <c:barChart>
        <c:barDir val="bar"/>
        <c:grouping val="stacked"/>
        <c:varyColors val="0"/>
        <c:ser>
          <c:idx val="0"/>
          <c:order val="0"/>
          <c:tx>
            <c:strRef>
              <c:f>Summary!$A$20</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Summary!$C$20:$AB$20</c:f>
              <c:numCache>
                <c:formatCode>0.00</c:formatCode>
                <c:ptCount val="26"/>
                <c:pt idx="0">
                  <c:v>5969.5785430060532</c:v>
                </c:pt>
                <c:pt idx="1">
                  <c:v>14205.470549931375</c:v>
                </c:pt>
                <c:pt idx="2">
                  <c:v>5934.063275024113</c:v>
                </c:pt>
                <c:pt idx="3">
                  <c:v>14965.905398831574</c:v>
                </c:pt>
                <c:pt idx="4">
                  <c:v>5969.7785287240076</c:v>
                </c:pt>
                <c:pt idx="5">
                  <c:v>14205.508519443873</c:v>
                </c:pt>
                <c:pt idx="6">
                  <c:v>5934.274169053956</c:v>
                </c:pt>
                <c:pt idx="7">
                  <c:v>14202.577806016874</c:v>
                </c:pt>
                <c:pt idx="8">
                  <c:v>17541.055296282058</c:v>
                </c:pt>
                <c:pt idx="9">
                  <c:v>40405.209558908675</c:v>
                </c:pt>
                <c:pt idx="10">
                  <c:v>471366.73622657673</c:v>
                </c:pt>
                <c:pt idx="11">
                  <c:v>689269.76199862373</c:v>
                </c:pt>
                <c:pt idx="12">
                  <c:v>471366.73622657673</c:v>
                </c:pt>
                <c:pt idx="13">
                  <c:v>689269.76199862373</c:v>
                </c:pt>
                <c:pt idx="14">
                  <c:v>934441.33162305085</c:v>
                </c:pt>
                <c:pt idx="15">
                  <c:v>1361029.7231460821</c:v>
                </c:pt>
                <c:pt idx="16">
                  <c:v>934441.33162305085</c:v>
                </c:pt>
                <c:pt idx="17">
                  <c:v>1361029.7231460821</c:v>
                </c:pt>
                <c:pt idx="18">
                  <c:v>689564.24413933232</c:v>
                </c:pt>
                <c:pt idx="19">
                  <c:v>1768553.2448520267</c:v>
                </c:pt>
                <c:pt idx="20">
                  <c:v>754639.90715946222</c:v>
                </c:pt>
                <c:pt idx="21">
                  <c:v>58397.722607428681</c:v>
                </c:pt>
                <c:pt idx="22">
                  <c:v>157430.47042415041</c:v>
                </c:pt>
                <c:pt idx="23">
                  <c:v>58415.952454234452</c:v>
                </c:pt>
                <c:pt idx="24">
                  <c:v>182879.90823605418</c:v>
                </c:pt>
                <c:pt idx="25">
                  <c:v>12370577.355971687</c:v>
                </c:pt>
              </c:numCache>
            </c:numRef>
          </c:val>
          <c:extLst>
            <c:ext xmlns:c16="http://schemas.microsoft.com/office/drawing/2014/chart" uri="{C3380CC4-5D6E-409C-BE32-E72D297353CC}">
              <c16:uniqueId val="{00000000-2D74-4154-B72F-FA38DD47E22F}"/>
            </c:ext>
          </c:extLst>
        </c:ser>
        <c:ser>
          <c:idx val="1"/>
          <c:order val="1"/>
          <c:tx>
            <c:strRef>
              <c:f>Summary!$A$21</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Summary!$C$21:$AB$21</c:f>
              <c:numCache>
                <c:formatCode>0.00</c:formatCode>
                <c:ptCount val="26"/>
                <c:pt idx="0">
                  <c:v>498.37813682752943</c:v>
                </c:pt>
                <c:pt idx="1">
                  <c:v>549.94020469552402</c:v>
                </c:pt>
                <c:pt idx="2">
                  <c:v>525.56239883630383</c:v>
                </c:pt>
                <c:pt idx="3">
                  <c:v>559.01897812784318</c:v>
                </c:pt>
                <c:pt idx="4">
                  <c:v>498.37813682752943</c:v>
                </c:pt>
                <c:pt idx="5">
                  <c:v>549.94020469552402</c:v>
                </c:pt>
                <c:pt idx="6">
                  <c:v>525.56239883630383</c:v>
                </c:pt>
                <c:pt idx="7">
                  <c:v>548.42996791725864</c:v>
                </c:pt>
                <c:pt idx="8">
                  <c:v>1761.9429079761142</c:v>
                </c:pt>
                <c:pt idx="9">
                  <c:v>1863.2037852847236</c:v>
                </c:pt>
                <c:pt idx="10">
                  <c:v>5540.9403975272498</c:v>
                </c:pt>
                <c:pt idx="11">
                  <c:v>8101.7423887430032</c:v>
                </c:pt>
                <c:pt idx="12">
                  <c:v>5540.9403975272498</c:v>
                </c:pt>
                <c:pt idx="13">
                  <c:v>8101.7423887430032</c:v>
                </c:pt>
                <c:pt idx="14">
                  <c:v>8185.5149880463869</c:v>
                </c:pt>
                <c:pt idx="15">
                  <c:v>11069.822380559524</c:v>
                </c:pt>
                <c:pt idx="16">
                  <c:v>8185.5149880463869</c:v>
                </c:pt>
                <c:pt idx="17">
                  <c:v>11069.822380559524</c:v>
                </c:pt>
                <c:pt idx="18">
                  <c:v>8101.7423887430032</c:v>
                </c:pt>
                <c:pt idx="19">
                  <c:v>11357.831100211442</c:v>
                </c:pt>
                <c:pt idx="20">
                  <c:v>8270.3328587831493</c:v>
                </c:pt>
                <c:pt idx="21">
                  <c:v>1058.5191060669249</c:v>
                </c:pt>
                <c:pt idx="22">
                  <c:v>1238.0273389138806</c:v>
                </c:pt>
                <c:pt idx="23">
                  <c:v>1058.5191060669249</c:v>
                </c:pt>
                <c:pt idx="24">
                  <c:v>1295.1180791186994</c:v>
                </c:pt>
                <c:pt idx="25">
                  <c:v>151449.65671419082</c:v>
                </c:pt>
              </c:numCache>
            </c:numRef>
          </c:val>
          <c:extLst>
            <c:ext xmlns:c16="http://schemas.microsoft.com/office/drawing/2014/chart" uri="{C3380CC4-5D6E-409C-BE32-E72D297353CC}">
              <c16:uniqueId val="{00000001-2D74-4154-B72F-FA38DD47E22F}"/>
            </c:ext>
          </c:extLst>
        </c:ser>
        <c:ser>
          <c:idx val="2"/>
          <c:order val="2"/>
          <c:tx>
            <c:strRef>
              <c:f>Summary!$A$22</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Summary!$C$22:$AB$22</c:f>
              <c:numCache>
                <c:formatCode>0.00</c:formatCode>
                <c:ptCount val="26"/>
                <c:pt idx="0">
                  <c:v>53186.889012879408</c:v>
                </c:pt>
                <c:pt idx="1">
                  <c:v>17270.282029784175</c:v>
                </c:pt>
                <c:pt idx="2">
                  <c:v>44322.407510732839</c:v>
                </c:pt>
                <c:pt idx="3">
                  <c:v>17270.282029784175</c:v>
                </c:pt>
                <c:pt idx="4">
                  <c:v>88372.061744476552</c:v>
                </c:pt>
                <c:pt idx="5">
                  <c:v>28695.237834102936</c:v>
                </c:pt>
                <c:pt idx="6">
                  <c:v>73643.384787063798</c:v>
                </c:pt>
                <c:pt idx="7">
                  <c:v>28695.237834102936</c:v>
                </c:pt>
                <c:pt idx="8">
                  <c:v>447646.93886643706</c:v>
                </c:pt>
                <c:pt idx="9">
                  <c:v>207243.3843574101</c:v>
                </c:pt>
                <c:pt idx="10">
                  <c:v>9072804.1394329034</c:v>
                </c:pt>
                <c:pt idx="11">
                  <c:v>15778783.233213648</c:v>
                </c:pt>
                <c:pt idx="12">
                  <c:v>6480571.6850698907</c:v>
                </c:pt>
                <c:pt idx="13">
                  <c:v>9072800.3590978459</c:v>
                </c:pt>
                <c:pt idx="14">
                  <c:v>7515419.4327412462</c:v>
                </c:pt>
                <c:pt idx="15">
                  <c:v>10362169.217870506</c:v>
                </c:pt>
                <c:pt idx="16">
                  <c:v>6148979.5358792013</c:v>
                </c:pt>
                <c:pt idx="17">
                  <c:v>8767989.3381981216</c:v>
                </c:pt>
                <c:pt idx="18">
                  <c:v>27612870.658123884</c:v>
                </c:pt>
                <c:pt idx="19">
                  <c:v>15343981.341846712</c:v>
                </c:pt>
                <c:pt idx="20">
                  <c:v>39452228.470305748</c:v>
                </c:pt>
                <c:pt idx="21">
                  <c:v>495047.19773526216</c:v>
                </c:pt>
                <c:pt idx="22">
                  <c:v>237675.13956044195</c:v>
                </c:pt>
                <c:pt idx="23">
                  <c:v>1481273.5280159749</c:v>
                </c:pt>
                <c:pt idx="24">
                  <c:v>628562.35255654063</c:v>
                </c:pt>
                <c:pt idx="25">
                  <c:v>1205360587.8942757</c:v>
                </c:pt>
              </c:numCache>
            </c:numRef>
          </c:val>
          <c:extLst>
            <c:ext xmlns:c16="http://schemas.microsoft.com/office/drawing/2014/chart" uri="{C3380CC4-5D6E-409C-BE32-E72D297353CC}">
              <c16:uniqueId val="{00000002-2D74-4154-B72F-FA38DD47E22F}"/>
            </c:ext>
          </c:extLst>
        </c:ser>
        <c:ser>
          <c:idx val="4"/>
          <c:order val="3"/>
          <c:tx>
            <c:strRef>
              <c:f>Summary!$A$23</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Summary!$C$23:$AB$23</c:f>
              <c:numCache>
                <c:formatCode>0.00</c:formatCode>
                <c:ptCount val="26"/>
                <c:pt idx="0">
                  <c:v>0</c:v>
                </c:pt>
                <c:pt idx="1">
                  <c:v>0</c:v>
                </c:pt>
                <c:pt idx="2">
                  <c:v>0</c:v>
                </c:pt>
                <c:pt idx="3">
                  <c:v>0</c:v>
                </c:pt>
                <c:pt idx="4">
                  <c:v>0</c:v>
                </c:pt>
                <c:pt idx="5">
                  <c:v>6202.3446587325534</c:v>
                </c:pt>
                <c:pt idx="6">
                  <c:v>0</c:v>
                </c:pt>
                <c:pt idx="7">
                  <c:v>6202.3446587325534</c:v>
                </c:pt>
                <c:pt idx="8">
                  <c:v>0</c:v>
                </c:pt>
                <c:pt idx="9">
                  <c:v>0</c:v>
                </c:pt>
                <c:pt idx="10">
                  <c:v>25940.659168661914</c:v>
                </c:pt>
                <c:pt idx="11">
                  <c:v>38669.289480825733</c:v>
                </c:pt>
                <c:pt idx="12">
                  <c:v>18529.034542895664</c:v>
                </c:pt>
                <c:pt idx="13">
                  <c:v>22234.841451474793</c:v>
                </c:pt>
                <c:pt idx="14">
                  <c:v>21487.836728112681</c:v>
                </c:pt>
                <c:pt idx="15">
                  <c:v>25394.716133224076</c:v>
                </c:pt>
                <c:pt idx="16">
                  <c:v>17580.957323001287</c:v>
                </c:pt>
                <c:pt idx="17">
                  <c:v>21487.836728112681</c:v>
                </c:pt>
                <c:pt idx="18">
                  <c:v>38669.289480825733</c:v>
                </c:pt>
                <c:pt idx="19">
                  <c:v>21487.836728112681</c:v>
                </c:pt>
                <c:pt idx="20">
                  <c:v>55249.222808824088</c:v>
                </c:pt>
                <c:pt idx="21">
                  <c:v>0</c:v>
                </c:pt>
                <c:pt idx="22">
                  <c:v>0</c:v>
                </c:pt>
                <c:pt idx="23">
                  <c:v>263806.10196595098</c:v>
                </c:pt>
                <c:pt idx="24">
                  <c:v>111943.25756471662</c:v>
                </c:pt>
                <c:pt idx="25">
                  <c:v>0</c:v>
                </c:pt>
              </c:numCache>
            </c:numRef>
          </c:val>
          <c:extLst>
            <c:ext xmlns:c16="http://schemas.microsoft.com/office/drawing/2014/chart" uri="{C3380CC4-5D6E-409C-BE32-E72D297353CC}">
              <c16:uniqueId val="{00000004-2D74-4154-B72F-FA38DD47E22F}"/>
            </c:ext>
          </c:extLst>
        </c:ser>
        <c:ser>
          <c:idx val="3"/>
          <c:order val="4"/>
          <c:tx>
            <c:strRef>
              <c:f>Summary!$A$24</c:f>
              <c:strCache>
                <c:ptCount val="1"/>
                <c:pt idx="0">
                  <c:v>Infrastructure network (from the vehicle perspective) Results not available at the vehicle level</c:v>
                </c:pt>
              </c:strCache>
            </c:strRef>
          </c:tx>
          <c:spPr>
            <a:solidFill>
              <a:schemeClr val="accent4">
                <a:lumMod val="75000"/>
              </a:schemeClr>
            </a:solidFill>
            <a:ln>
              <a:noFill/>
            </a:ln>
            <a:effectLst/>
          </c:spPr>
          <c:invertIfNegative val="0"/>
          <c:val>
            <c:numRef>
              <c:f>Summary!$C$24:$AB$24</c:f>
              <c:numCache>
                <c:formatCode>0.00</c:formatCode>
                <c:ptCount val="26"/>
                <c:pt idx="0">
                  <c:v>2171.4480307729577</c:v>
                </c:pt>
                <c:pt idx="1">
                  <c:v>2159.0231487379083</c:v>
                </c:pt>
                <c:pt idx="2">
                  <c:v>2175.7215570780068</c:v>
                </c:pt>
                <c:pt idx="3">
                  <c:v>2158.7857306098504</c:v>
                </c:pt>
                <c:pt idx="4">
                  <c:v>3607.944420361222</c:v>
                </c:pt>
                <c:pt idx="5">
                  <c:v>3587.3000009799093</c:v>
                </c:pt>
                <c:pt idx="6">
                  <c:v>3615.0450486834575</c:v>
                </c:pt>
                <c:pt idx="7">
                  <c:v>3586.9055216286743</c:v>
                </c:pt>
                <c:pt idx="8">
                  <c:v>10209.609262813527</c:v>
                </c:pt>
                <c:pt idx="9">
                  <c:v>10039.155222156307</c:v>
                </c:pt>
                <c:pt idx="10">
                  <c:v>82839.15234427042</c:v>
                </c:pt>
                <c:pt idx="11">
                  <c:v>128810.35520699969</c:v>
                </c:pt>
                <c:pt idx="12">
                  <c:v>82839.15234427042</c:v>
                </c:pt>
                <c:pt idx="13">
                  <c:v>128810.35520699969</c:v>
                </c:pt>
                <c:pt idx="14">
                  <c:v>97697.874574132715</c:v>
                </c:pt>
                <c:pt idx="15">
                  <c:v>137503.51128051797</c:v>
                </c:pt>
                <c:pt idx="16">
                  <c:v>97697.874574132715</c:v>
                </c:pt>
                <c:pt idx="17">
                  <c:v>137503.51128051797</c:v>
                </c:pt>
                <c:pt idx="18">
                  <c:v>225418.12161224947</c:v>
                </c:pt>
                <c:pt idx="19">
                  <c:v>240631.14474090643</c:v>
                </c:pt>
                <c:pt idx="20">
                  <c:v>225418.12161224947</c:v>
                </c:pt>
                <c:pt idx="21">
                  <c:v>16151.610134694962</c:v>
                </c:pt>
                <c:pt idx="22">
                  <c:v>15778.438199507227</c:v>
                </c:pt>
                <c:pt idx="23">
                  <c:v>23054.118917658379</c:v>
                </c:pt>
                <c:pt idx="24">
                  <c:v>22703.470605449238</c:v>
                </c:pt>
                <c:pt idx="25">
                  <c:v>82322833.835255712</c:v>
                </c:pt>
              </c:numCache>
            </c:numRef>
          </c:val>
          <c:extLst>
            <c:ext xmlns:c16="http://schemas.microsoft.com/office/drawing/2014/chart" uri="{C3380CC4-5D6E-409C-BE32-E72D297353CC}">
              <c16:uniqueId val="{00000003-7FF6-4028-992C-A40156EF4E7A}"/>
            </c:ext>
          </c:extLst>
        </c:ser>
        <c:dLbls>
          <c:showLegendKey val="0"/>
          <c:showVal val="0"/>
          <c:showCatName val="0"/>
          <c:showSerName val="0"/>
          <c:showPercent val="0"/>
          <c:showBubbleSize val="0"/>
        </c:dLbls>
        <c:gapWidth val="150"/>
        <c:overlap val="100"/>
        <c:axId val="-333773024"/>
        <c:axId val="-333772480"/>
      </c:barChart>
      <c:catAx>
        <c:axId val="-33377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2480"/>
        <c:crosses val="autoZero"/>
        <c:auto val="1"/>
        <c:lblAlgn val="ctr"/>
        <c:lblOffset val="100"/>
        <c:noMultiLvlLbl val="0"/>
      </c:catAx>
      <c:valAx>
        <c:axId val="-3337724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consumption per vehicle ([MJ/vehicle])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3024"/>
        <c:crosses val="autoZero"/>
        <c:crossBetween val="between"/>
      </c:valAx>
      <c:spPr>
        <a:noFill/>
        <a:ln>
          <a:noFill/>
        </a:ln>
        <a:effectLst/>
      </c:spPr>
    </c:plotArea>
    <c:legend>
      <c:legendPos val="r"/>
      <c:layout>
        <c:manualLayout>
          <c:xMode val="edge"/>
          <c:yMode val="edge"/>
          <c:x val="0.7504939486730825"/>
          <c:y val="0.3230770887027144"/>
          <c:w val="0.24950605132691747"/>
          <c:h val="0.521259842519685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per vehicle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Summary!$A$42</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Summary!$C$42:$AB$42</c:f>
              <c:numCache>
                <c:formatCode>0.00</c:formatCode>
                <c:ptCount val="26"/>
                <c:pt idx="0">
                  <c:v>446776.36445344647</c:v>
                </c:pt>
                <c:pt idx="1">
                  <c:v>1035718.4386426306</c:v>
                </c:pt>
                <c:pt idx="2">
                  <c:v>452844.09358960175</c:v>
                </c:pt>
                <c:pt idx="3">
                  <c:v>1102540.0042870557</c:v>
                </c:pt>
                <c:pt idx="4">
                  <c:v>459810.11922188918</c:v>
                </c:pt>
                <c:pt idx="5">
                  <c:v>1038597.2929757634</c:v>
                </c:pt>
                <c:pt idx="6">
                  <c:v>466588.78043632314</c:v>
                </c:pt>
                <c:pt idx="7">
                  <c:v>1049580.740450544</c:v>
                </c:pt>
                <c:pt idx="8">
                  <c:v>1562947.0789688039</c:v>
                </c:pt>
                <c:pt idx="9">
                  <c:v>3019309.4259979283</c:v>
                </c:pt>
                <c:pt idx="10">
                  <c:v>53413556.120365515</c:v>
                </c:pt>
                <c:pt idx="11">
                  <c:v>81754871.88601315</c:v>
                </c:pt>
                <c:pt idx="12">
                  <c:v>53413556.120365515</c:v>
                </c:pt>
                <c:pt idx="13">
                  <c:v>81754871.88601315</c:v>
                </c:pt>
                <c:pt idx="14">
                  <c:v>79329638.213275641</c:v>
                </c:pt>
                <c:pt idx="15">
                  <c:v>114832892.71978331</c:v>
                </c:pt>
                <c:pt idx="16">
                  <c:v>79329638.213275641</c:v>
                </c:pt>
                <c:pt idx="17">
                  <c:v>114832892.71978331</c:v>
                </c:pt>
                <c:pt idx="18">
                  <c:v>100947282.44884688</c:v>
                </c:pt>
                <c:pt idx="19">
                  <c:v>150781768.6986984</c:v>
                </c:pt>
                <c:pt idx="20">
                  <c:v>71161147.935973421</c:v>
                </c:pt>
                <c:pt idx="21">
                  <c:v>4904623.1741166394</c:v>
                </c:pt>
                <c:pt idx="22">
                  <c:v>11763040.492704028</c:v>
                </c:pt>
                <c:pt idx="23">
                  <c:v>6092724.7803872982</c:v>
                </c:pt>
                <c:pt idx="24">
                  <c:v>13921455.41715686</c:v>
                </c:pt>
                <c:pt idx="25">
                  <c:v>2067275915.4204488</c:v>
                </c:pt>
              </c:numCache>
            </c:numRef>
          </c:val>
          <c:extLst>
            <c:ext xmlns:c16="http://schemas.microsoft.com/office/drawing/2014/chart" uri="{C3380CC4-5D6E-409C-BE32-E72D297353CC}">
              <c16:uniqueId val="{00000000-E4F1-42ED-9B1A-A37957E75284}"/>
            </c:ext>
          </c:extLst>
        </c:ser>
        <c:ser>
          <c:idx val="1"/>
          <c:order val="1"/>
          <c:tx>
            <c:strRef>
              <c:f>Summary!$A$43</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Summary!$C$43:$AB$43</c:f>
              <c:numCache>
                <c:formatCode>0.00</c:formatCode>
                <c:ptCount val="26"/>
                <c:pt idx="0">
                  <c:v>44400.84653403025</c:v>
                </c:pt>
                <c:pt idx="1">
                  <c:v>48994.546163306644</c:v>
                </c:pt>
                <c:pt idx="2">
                  <c:v>46822.710890431903</c:v>
                </c:pt>
                <c:pt idx="3">
                  <c:v>49803.380251518531</c:v>
                </c:pt>
                <c:pt idx="4">
                  <c:v>44400.84653403025</c:v>
                </c:pt>
                <c:pt idx="5">
                  <c:v>48994.546163306644</c:v>
                </c:pt>
                <c:pt idx="6">
                  <c:v>46822.710890431903</c:v>
                </c:pt>
                <c:pt idx="7">
                  <c:v>48859.998143506535</c:v>
                </c:pt>
                <c:pt idx="8">
                  <c:v>156972.6897667736</c:v>
                </c:pt>
                <c:pt idx="9">
                  <c:v>165994.0900671579</c:v>
                </c:pt>
                <c:pt idx="10">
                  <c:v>635819.95802015346</c:v>
                </c:pt>
                <c:pt idx="11">
                  <c:v>929670.62193982769</c:v>
                </c:pt>
                <c:pt idx="12">
                  <c:v>635819.95802015346</c:v>
                </c:pt>
                <c:pt idx="13">
                  <c:v>929670.62193982769</c:v>
                </c:pt>
                <c:pt idx="14">
                  <c:v>939283.48307005875</c:v>
                </c:pt>
                <c:pt idx="15">
                  <c:v>1270256.2194025656</c:v>
                </c:pt>
                <c:pt idx="16">
                  <c:v>939283.48307005875</c:v>
                </c:pt>
                <c:pt idx="17">
                  <c:v>1270256.2194025656</c:v>
                </c:pt>
                <c:pt idx="18">
                  <c:v>929670.62193982769</c:v>
                </c:pt>
                <c:pt idx="19">
                  <c:v>1303305.0665116669</c:v>
                </c:pt>
                <c:pt idx="20">
                  <c:v>949016.28854027716</c:v>
                </c:pt>
                <c:pt idx="21">
                  <c:v>121464.50336902271</c:v>
                </c:pt>
                <c:pt idx="22">
                  <c:v>142062.97743381467</c:v>
                </c:pt>
                <c:pt idx="23">
                  <c:v>121464.50336902271</c:v>
                </c:pt>
                <c:pt idx="24">
                  <c:v>148614.1094504245</c:v>
                </c:pt>
                <c:pt idx="25">
                  <c:v>17378767.405106328</c:v>
                </c:pt>
              </c:numCache>
            </c:numRef>
          </c:val>
          <c:extLst>
            <c:ext xmlns:c16="http://schemas.microsoft.com/office/drawing/2014/chart" uri="{C3380CC4-5D6E-409C-BE32-E72D297353CC}">
              <c16:uniqueId val="{00000001-E4F1-42ED-9B1A-A37957E75284}"/>
            </c:ext>
          </c:extLst>
        </c:ser>
        <c:ser>
          <c:idx val="2"/>
          <c:order val="2"/>
          <c:tx>
            <c:strRef>
              <c:f>Summary!$A$44</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Summary!$C$44:$AB$44</c:f>
              <c:numCache>
                <c:formatCode>0.0</c:formatCode>
                <c:ptCount val="26"/>
                <c:pt idx="0">
                  <c:v>3602685.9959999998</c:v>
                </c:pt>
                <c:pt idx="1">
                  <c:v>1439966.064791091</c:v>
                </c:pt>
                <c:pt idx="2">
                  <c:v>3002238.33</c:v>
                </c:pt>
                <c:pt idx="3">
                  <c:v>1439966.064791091</c:v>
                </c:pt>
                <c:pt idx="4">
                  <c:v>5986001.3471999997</c:v>
                </c:pt>
                <c:pt idx="5">
                  <c:v>2392558.9999605822</c:v>
                </c:pt>
                <c:pt idx="6">
                  <c:v>4988334.4560000002</c:v>
                </c:pt>
                <c:pt idx="7">
                  <c:v>2392558.9999605822</c:v>
                </c:pt>
                <c:pt idx="8">
                  <c:v>30851003.648744412</c:v>
                </c:pt>
                <c:pt idx="9">
                  <c:v>17279592.777493093</c:v>
                </c:pt>
                <c:pt idx="10">
                  <c:v>674877073.90459383</c:v>
                </c:pt>
                <c:pt idx="11">
                  <c:v>1173698769.9231534</c:v>
                </c:pt>
                <c:pt idx="12">
                  <c:v>482054851.9327237</c:v>
                </c:pt>
                <c:pt idx="13">
                  <c:v>674876792.70581305</c:v>
                </c:pt>
                <c:pt idx="14">
                  <c:v>626622595.22777152</c:v>
                </c:pt>
                <c:pt idx="15">
                  <c:v>863979638.87465465</c:v>
                </c:pt>
                <c:pt idx="16">
                  <c:v>512691214.27726763</c:v>
                </c:pt>
                <c:pt idx="17">
                  <c:v>731059694.43240011</c:v>
                </c:pt>
                <c:pt idx="18">
                  <c:v>2053972847.3655186</c:v>
                </c:pt>
                <c:pt idx="19">
                  <c:v>1279354465.2567003</c:v>
                </c:pt>
                <c:pt idx="20">
                  <c:v>163154851.12863174</c:v>
                </c:pt>
                <c:pt idx="21">
                  <c:v>33532692.732000001</c:v>
                </c:pt>
                <c:pt idx="22">
                  <c:v>19816939.574078277</c:v>
                </c:pt>
                <c:pt idx="23">
                  <c:v>110183966.15605113</c:v>
                </c:pt>
                <c:pt idx="24">
                  <c:v>52408435.237231806</c:v>
                </c:pt>
                <c:pt idx="25" formatCode="0.00">
                  <c:v>100500868452.00677</c:v>
                </c:pt>
              </c:numCache>
            </c:numRef>
          </c:val>
          <c:extLst>
            <c:ext xmlns:c16="http://schemas.microsoft.com/office/drawing/2014/chart" uri="{C3380CC4-5D6E-409C-BE32-E72D297353CC}">
              <c16:uniqueId val="{00000002-E4F1-42ED-9B1A-A37957E75284}"/>
            </c:ext>
          </c:extLst>
        </c:ser>
        <c:ser>
          <c:idx val="4"/>
          <c:order val="3"/>
          <c:tx>
            <c:strRef>
              <c:f>Summary!$A$45</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Summary!$C$45:$AB$45</c:f>
              <c:numCache>
                <c:formatCode>0.0</c:formatCode>
                <c:ptCount val="26"/>
                <c:pt idx="0">
                  <c:v>0</c:v>
                </c:pt>
                <c:pt idx="1">
                  <c:v>0</c:v>
                </c:pt>
                <c:pt idx="2">
                  <c:v>0</c:v>
                </c:pt>
                <c:pt idx="3">
                  <c:v>0</c:v>
                </c:pt>
                <c:pt idx="4">
                  <c:v>0</c:v>
                </c:pt>
                <c:pt idx="5">
                  <c:v>429822.4848501659</c:v>
                </c:pt>
                <c:pt idx="6">
                  <c:v>0</c:v>
                </c:pt>
                <c:pt idx="7">
                  <c:v>429822.4848501659</c:v>
                </c:pt>
                <c:pt idx="8">
                  <c:v>0</c:v>
                </c:pt>
                <c:pt idx="9">
                  <c:v>0</c:v>
                </c:pt>
                <c:pt idx="10">
                  <c:v>1929586.0338055515</c:v>
                </c:pt>
                <c:pt idx="11">
                  <c:v>2876400.3425759566</c:v>
                </c:pt>
                <c:pt idx="12">
                  <c:v>1378275.1641509794</c:v>
                </c:pt>
                <c:pt idx="13">
                  <c:v>1653930.1969811746</c:v>
                </c:pt>
                <c:pt idx="14">
                  <c:v>1791618.4368554037</c:v>
                </c:pt>
                <c:pt idx="15">
                  <c:v>2117367.2435563859</c:v>
                </c:pt>
                <c:pt idx="16">
                  <c:v>1465869.6301544211</c:v>
                </c:pt>
                <c:pt idx="17">
                  <c:v>1791618.4368554035</c:v>
                </c:pt>
                <c:pt idx="18">
                  <c:v>2876400.3425759566</c:v>
                </c:pt>
                <c:pt idx="19">
                  <c:v>1791618.4368554035</c:v>
                </c:pt>
                <c:pt idx="20">
                  <c:v>228483.38539687163</c:v>
                </c:pt>
                <c:pt idx="21">
                  <c:v>0</c:v>
                </c:pt>
                <c:pt idx="22">
                  <c:v>0</c:v>
                </c:pt>
                <c:pt idx="23">
                  <c:v>19623116.23141532</c:v>
                </c:pt>
                <c:pt idx="24">
                  <c:v>9333634.0308378264</c:v>
                </c:pt>
                <c:pt idx="25" formatCode="0.00">
                  <c:v>0</c:v>
                </c:pt>
              </c:numCache>
            </c:numRef>
          </c:val>
          <c:extLst>
            <c:ext xmlns:c16="http://schemas.microsoft.com/office/drawing/2014/chart" uri="{C3380CC4-5D6E-409C-BE32-E72D297353CC}">
              <c16:uniqueId val="{00000004-E4F1-42ED-9B1A-A37957E75284}"/>
            </c:ext>
          </c:extLst>
        </c:ser>
        <c:ser>
          <c:idx val="3"/>
          <c:order val="4"/>
          <c:tx>
            <c:strRef>
              <c:f>Summary!$A$46</c:f>
              <c:strCache>
                <c:ptCount val="1"/>
                <c:pt idx="0">
                  <c:v>Infrastructure network (from the vehicle perspective) Results not available at the vehicle level</c:v>
                </c:pt>
              </c:strCache>
            </c:strRef>
          </c:tx>
          <c:spPr>
            <a:solidFill>
              <a:schemeClr val="accent4">
                <a:lumMod val="75000"/>
              </a:schemeClr>
            </a:solidFill>
            <a:ln>
              <a:noFill/>
            </a:ln>
            <a:effectLst/>
          </c:spPr>
          <c:invertIfNegative val="0"/>
          <c:val>
            <c:numRef>
              <c:f>Summary!$C$46:$AB$46</c:f>
              <c:numCache>
                <c:formatCode>0.0</c:formatCode>
                <c:ptCount val="26"/>
                <c:pt idx="0">
                  <c:v>741957.27034445922</c:v>
                </c:pt>
                <c:pt idx="1">
                  <c:v>737711.83990890079</c:v>
                </c:pt>
                <c:pt idx="2">
                  <c:v>743417.482086626</c:v>
                </c:pt>
                <c:pt idx="3">
                  <c:v>737630.71703433595</c:v>
                </c:pt>
                <c:pt idx="4">
                  <c:v>1232790.5414954093</c:v>
                </c:pt>
                <c:pt idx="5">
                  <c:v>1225736.5955409429</c:v>
                </c:pt>
                <c:pt idx="6">
                  <c:v>1235216.7394670094</c:v>
                </c:pt>
                <c:pt idx="7">
                  <c:v>1225601.8067647428</c:v>
                </c:pt>
                <c:pt idx="8">
                  <c:v>3488498.7863256251</c:v>
                </c:pt>
                <c:pt idx="9">
                  <c:v>3430256.7225355026</c:v>
                </c:pt>
                <c:pt idx="10">
                  <c:v>28305126.56990692</c:v>
                </c:pt>
                <c:pt idx="11">
                  <c:v>44012925.102087557</c:v>
                </c:pt>
                <c:pt idx="12">
                  <c:v>28305126.56990692</c:v>
                </c:pt>
                <c:pt idx="13">
                  <c:v>44012925.102087557</c:v>
                </c:pt>
                <c:pt idx="14">
                  <c:v>33382170.473440185</c:v>
                </c:pt>
                <c:pt idx="15">
                  <c:v>46983270.355383821</c:v>
                </c:pt>
                <c:pt idx="16">
                  <c:v>33382170.473440185</c:v>
                </c:pt>
                <c:pt idx="17">
                  <c:v>46983270.355383821</c:v>
                </c:pt>
                <c:pt idx="18">
                  <c:v>77022618.928653225</c:v>
                </c:pt>
                <c:pt idx="19">
                  <c:v>82220723.121921688</c:v>
                </c:pt>
                <c:pt idx="20">
                  <c:v>77022618.928653225</c:v>
                </c:pt>
                <c:pt idx="21">
                  <c:v>5519182.0643471517</c:v>
                </c:pt>
                <c:pt idx="22">
                  <c:v>5391668.0811473457</c:v>
                </c:pt>
                <c:pt idx="23">
                  <c:v>7877310.8542936407</c:v>
                </c:pt>
                <c:pt idx="24">
                  <c:v>7757498.6087825298</c:v>
                </c:pt>
                <c:pt idx="25">
                  <c:v>14985756321.093639</c:v>
                </c:pt>
              </c:numCache>
            </c:numRef>
          </c:val>
          <c:extLst>
            <c:ext xmlns:c16="http://schemas.microsoft.com/office/drawing/2014/chart" uri="{C3380CC4-5D6E-409C-BE32-E72D297353CC}">
              <c16:uniqueId val="{00000000-7E61-4F98-A765-A2E346296013}"/>
            </c:ext>
          </c:extLst>
        </c:ser>
        <c:dLbls>
          <c:showLegendKey val="0"/>
          <c:showVal val="0"/>
          <c:showCatName val="0"/>
          <c:showSerName val="0"/>
          <c:showPercent val="0"/>
          <c:showBubbleSize val="0"/>
        </c:dLbls>
        <c:gapWidth val="150"/>
        <c:overlap val="100"/>
        <c:axId val="-333776288"/>
        <c:axId val="-333775200"/>
      </c:barChart>
      <c:catAx>
        <c:axId val="-33377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5200"/>
        <c:crosses val="autoZero"/>
        <c:auto val="1"/>
        <c:lblAlgn val="ctr"/>
        <c:lblOffset val="100"/>
        <c:noMultiLvlLbl val="0"/>
      </c:catAx>
      <c:valAx>
        <c:axId val="-333775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per vehicle ( [g CO₂ eq/vehicle])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6288"/>
        <c:crosses val="autoZero"/>
        <c:crossBetween val="between"/>
      </c:valAx>
      <c:spPr>
        <a:noFill/>
        <a:ln>
          <a:noFill/>
        </a:ln>
        <a:effectLst/>
      </c:spPr>
    </c:plotArea>
    <c:legend>
      <c:legendPos val="r"/>
      <c:layout>
        <c:manualLayout>
          <c:xMode val="edge"/>
          <c:yMode val="edge"/>
          <c:x val="0.74419134109833718"/>
          <c:y val="0.3104030338926862"/>
          <c:w val="0.25580865890166288"/>
          <c:h val="0.51790499236670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1.5854473985560016E-2</c:v>
              </c:pt>
              <c:pt idx="2">
                <c:v>1.5854473985560016E-2</c:v>
              </c:pt>
              <c:pt idx="3">
                <c:v>1.5854473985560016E-2</c:v>
              </c:pt>
              <c:pt idx="4">
                <c:v>1.5854473985560016E-2</c:v>
              </c:pt>
              <c:pt idx="5">
                <c:v>1.5854473985560016E-2</c:v>
              </c:pt>
              <c:pt idx="6">
                <c:v>1.5854473985560016E-2</c:v>
              </c:pt>
              <c:pt idx="7">
                <c:v>1.5854473985560016E-2</c:v>
              </c:pt>
              <c:pt idx="8">
                <c:v>1.5854473985560016E-2</c:v>
              </c:pt>
              <c:pt idx="9">
                <c:v>1.5854473985560016E-2</c:v>
              </c:pt>
              <c:pt idx="10">
                <c:v>1.5854473985560016E-2</c:v>
              </c:pt>
              <c:pt idx="11">
                <c:v>1.5854473985560016E-2</c:v>
              </c:pt>
              <c:pt idx="12">
                <c:v>1.5854473985560016E-2</c:v>
              </c:pt>
              <c:pt idx="13">
                <c:v>1.5854473985560016E-2</c:v>
              </c:pt>
              <c:pt idx="14">
                <c:v>1.5854473985560016E-2</c:v>
              </c:pt>
              <c:pt idx="15">
                <c:v>1.5854473985560016E-2</c:v>
              </c:pt>
              <c:pt idx="16">
                <c:v>1.5854473985560016E-2</c:v>
              </c:pt>
              <c:pt idx="17">
                <c:v>1.5854473985560016E-2</c:v>
              </c:pt>
              <c:pt idx="18">
                <c:v>1.5854473985560016E-2</c:v>
              </c:pt>
              <c:pt idx="19">
                <c:v>1.5854473985560016E-2</c:v>
              </c:pt>
              <c:pt idx="20">
                <c:v>1.5854473985560016E-2</c:v>
              </c:pt>
              <c:pt idx="21">
                <c:v>1.5854473985560016E-2</c:v>
              </c:pt>
              <c:pt idx="22">
                <c:v>1.5854473985560016E-2</c:v>
              </c:pt>
              <c:pt idx="23">
                <c:v>1.5854473985560016E-2</c:v>
              </c:pt>
              <c:pt idx="24">
                <c:v>1.5854473985560016E-2</c:v>
              </c:pt>
              <c:pt idx="25">
                <c:v>1.5854473985560016E-2</c:v>
              </c:pt>
              <c:pt idx="26">
                <c:v>1.5854473985560016E-2</c:v>
              </c:pt>
              <c:pt idx="27">
                <c:v>1.5854473985560016E-2</c:v>
              </c:pt>
              <c:pt idx="28">
                <c:v>1.5854473985560016E-2</c:v>
              </c:pt>
              <c:pt idx="29">
                <c:v>1.5854473985560016E-2</c:v>
              </c:pt>
              <c:pt idx="30">
                <c:v>1.5854473985560016E-2</c:v>
              </c:pt>
            </c:numLit>
          </c:val>
          <c:extLst>
            <c:ext xmlns:c16="http://schemas.microsoft.com/office/drawing/2014/chart" uri="{C3380CC4-5D6E-409C-BE32-E72D297353CC}">
              <c16:uniqueId val="{00000000-39B4-4FAF-93E4-95A24C4250AB}"/>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4.8213816795753012E-2</c:v>
              </c:pt>
              <c:pt idx="2">
                <c:v>4.8213816795753012E-2</c:v>
              </c:pt>
              <c:pt idx="3">
                <c:v>4.8213816795753012E-2</c:v>
              </c:pt>
              <c:pt idx="4">
                <c:v>4.8213816795753012E-2</c:v>
              </c:pt>
              <c:pt idx="5">
                <c:v>4.8213816795753012E-2</c:v>
              </c:pt>
              <c:pt idx="6">
                <c:v>4.8213816795753012E-2</c:v>
              </c:pt>
              <c:pt idx="7">
                <c:v>4.8213816795753012E-2</c:v>
              </c:pt>
              <c:pt idx="8">
                <c:v>4.8213816795753012E-2</c:v>
              </c:pt>
              <c:pt idx="9">
                <c:v>4.8213816795753012E-2</c:v>
              </c:pt>
              <c:pt idx="10">
                <c:v>4.8213816795753012E-2</c:v>
              </c:pt>
              <c:pt idx="11">
                <c:v>4.8213816795753012E-2</c:v>
              </c:pt>
              <c:pt idx="12">
                <c:v>4.8213816795753012E-2</c:v>
              </c:pt>
              <c:pt idx="13">
                <c:v>4.8213816795753012E-2</c:v>
              </c:pt>
              <c:pt idx="14">
                <c:v>4.8213816795753012E-2</c:v>
              </c:pt>
              <c:pt idx="15">
                <c:v>4.8213816795753012E-2</c:v>
              </c:pt>
              <c:pt idx="16">
                <c:v>4.8213816795753012E-2</c:v>
              </c:pt>
              <c:pt idx="17">
                <c:v>4.8213816795753012E-2</c:v>
              </c:pt>
              <c:pt idx="18">
                <c:v>4.8213816795753012E-2</c:v>
              </c:pt>
              <c:pt idx="19">
                <c:v>4.8213816795753012E-2</c:v>
              </c:pt>
              <c:pt idx="20">
                <c:v>4.8213816795753012E-2</c:v>
              </c:pt>
              <c:pt idx="21">
                <c:v>4.8213816795753012E-2</c:v>
              </c:pt>
              <c:pt idx="22">
                <c:v>4.8213816795753012E-2</c:v>
              </c:pt>
              <c:pt idx="23">
                <c:v>4.8213816795753012E-2</c:v>
              </c:pt>
              <c:pt idx="24">
                <c:v>4.8213816795753012E-2</c:v>
              </c:pt>
              <c:pt idx="25">
                <c:v>4.8213816795753012E-2</c:v>
              </c:pt>
              <c:pt idx="26">
                <c:v>4.8213816795753012E-2</c:v>
              </c:pt>
              <c:pt idx="27">
                <c:v>4.8213816795753012E-2</c:v>
              </c:pt>
              <c:pt idx="28">
                <c:v>4.8213816795753012E-2</c:v>
              </c:pt>
              <c:pt idx="29">
                <c:v>4.8213816795753012E-2</c:v>
              </c:pt>
              <c:pt idx="30">
                <c:v>4.8213816795753012E-2</c:v>
              </c:pt>
            </c:numLit>
          </c:val>
          <c:extLst>
            <c:ext xmlns:c16="http://schemas.microsoft.com/office/drawing/2014/chart" uri="{C3380CC4-5D6E-409C-BE32-E72D297353CC}">
              <c16:uniqueId val="{00000001-39B4-4FAF-93E4-95A24C4250AB}"/>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0.74773613867148903</c:v>
              </c:pt>
              <c:pt idx="2">
                <c:v>0.74773613867148903</c:v>
              </c:pt>
              <c:pt idx="3">
                <c:v>0.74773613867148903</c:v>
              </c:pt>
              <c:pt idx="4">
                <c:v>0.74773613867148903</c:v>
              </c:pt>
              <c:pt idx="5">
                <c:v>0.74773613867148903</c:v>
              </c:pt>
              <c:pt idx="6">
                <c:v>0.74773613867148903</c:v>
              </c:pt>
              <c:pt idx="7">
                <c:v>0.74773613867148903</c:v>
              </c:pt>
              <c:pt idx="8">
                <c:v>0.74773613867148903</c:v>
              </c:pt>
              <c:pt idx="9">
                <c:v>0.74773613867148903</c:v>
              </c:pt>
              <c:pt idx="10">
                <c:v>0.74773613867148903</c:v>
              </c:pt>
              <c:pt idx="11">
                <c:v>0.74773613867148903</c:v>
              </c:pt>
              <c:pt idx="12">
                <c:v>0.74773613867148903</c:v>
              </c:pt>
              <c:pt idx="13">
                <c:v>0.74773613867148903</c:v>
              </c:pt>
              <c:pt idx="14">
                <c:v>0.74773613867148903</c:v>
              </c:pt>
              <c:pt idx="15">
                <c:v>0.74773613867148903</c:v>
              </c:pt>
              <c:pt idx="16">
                <c:v>0.74773613867148903</c:v>
              </c:pt>
              <c:pt idx="17">
                <c:v>0.74773613867148903</c:v>
              </c:pt>
              <c:pt idx="18">
                <c:v>0.74773613867148903</c:v>
              </c:pt>
              <c:pt idx="19">
                <c:v>0.74773613867148903</c:v>
              </c:pt>
              <c:pt idx="20">
                <c:v>0.74773613867148903</c:v>
              </c:pt>
              <c:pt idx="21">
                <c:v>0.74773613867148903</c:v>
              </c:pt>
              <c:pt idx="22">
                <c:v>0.74773613867148903</c:v>
              </c:pt>
              <c:pt idx="23">
                <c:v>0.74773613867148903</c:v>
              </c:pt>
              <c:pt idx="24">
                <c:v>0.74773613867148903</c:v>
              </c:pt>
              <c:pt idx="25">
                <c:v>0.74773613867148903</c:v>
              </c:pt>
              <c:pt idx="26">
                <c:v>0.74773613867148903</c:v>
              </c:pt>
              <c:pt idx="27">
                <c:v>0.74773613867148903</c:v>
              </c:pt>
              <c:pt idx="28">
                <c:v>0.74773613867148903</c:v>
              </c:pt>
              <c:pt idx="29">
                <c:v>0.74773613867148903</c:v>
              </c:pt>
              <c:pt idx="30">
                <c:v>0.74773613867148903</c:v>
              </c:pt>
            </c:numLit>
          </c:val>
          <c:extLst>
            <c:ext xmlns:c16="http://schemas.microsoft.com/office/drawing/2014/chart" uri="{C3380CC4-5D6E-409C-BE32-E72D297353CC}">
              <c16:uniqueId val="{00000002-39B4-4FAF-93E4-95A24C4250AB}"/>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2.5661155794266779E-2</c:v>
              </c:pt>
              <c:pt idx="2">
                <c:v>2.5661155794266779E-2</c:v>
              </c:pt>
              <c:pt idx="3">
                <c:v>2.5661155794266779E-2</c:v>
              </c:pt>
              <c:pt idx="4">
                <c:v>2.5661155794266779E-2</c:v>
              </c:pt>
              <c:pt idx="5">
                <c:v>2.5661155794266779E-2</c:v>
              </c:pt>
              <c:pt idx="6">
                <c:v>2.5661155794266779E-2</c:v>
              </c:pt>
              <c:pt idx="7">
                <c:v>2.5661155794266779E-2</c:v>
              </c:pt>
              <c:pt idx="8">
                <c:v>2.5661155794266779E-2</c:v>
              </c:pt>
              <c:pt idx="9">
                <c:v>2.5661155794266779E-2</c:v>
              </c:pt>
              <c:pt idx="10">
                <c:v>2.5661155794266779E-2</c:v>
              </c:pt>
              <c:pt idx="11">
                <c:v>2.5661155794266779E-2</c:v>
              </c:pt>
              <c:pt idx="12">
                <c:v>2.5661155794266779E-2</c:v>
              </c:pt>
              <c:pt idx="13">
                <c:v>2.5661155794266779E-2</c:v>
              </c:pt>
              <c:pt idx="14">
                <c:v>2.5661155794266779E-2</c:v>
              </c:pt>
              <c:pt idx="15">
                <c:v>2.5661155794266779E-2</c:v>
              </c:pt>
              <c:pt idx="16">
                <c:v>2.5661155794266779E-2</c:v>
              </c:pt>
              <c:pt idx="17">
                <c:v>2.5661155794266779E-2</c:v>
              </c:pt>
              <c:pt idx="18">
                <c:v>2.5661155794266779E-2</c:v>
              </c:pt>
              <c:pt idx="19">
                <c:v>2.5661155794266779E-2</c:v>
              </c:pt>
              <c:pt idx="20">
                <c:v>2.5661155794266779E-2</c:v>
              </c:pt>
              <c:pt idx="21">
                <c:v>2.5661155794266779E-2</c:v>
              </c:pt>
              <c:pt idx="22">
                <c:v>2.5661155794266779E-2</c:v>
              </c:pt>
              <c:pt idx="23">
                <c:v>2.5661155794266779E-2</c:v>
              </c:pt>
              <c:pt idx="24">
                <c:v>2.5661155794266779E-2</c:v>
              </c:pt>
              <c:pt idx="25">
                <c:v>2.5661155794266779E-2</c:v>
              </c:pt>
              <c:pt idx="26">
                <c:v>2.5661155794266779E-2</c:v>
              </c:pt>
              <c:pt idx="27">
                <c:v>2.5661155794266779E-2</c:v>
              </c:pt>
              <c:pt idx="28">
                <c:v>2.5661155794266779E-2</c:v>
              </c:pt>
              <c:pt idx="29">
                <c:v>2.5661155794266779E-2</c:v>
              </c:pt>
              <c:pt idx="30">
                <c:v>2.5661155794266779E-2</c:v>
              </c:pt>
            </c:numLit>
          </c:val>
          <c:extLst>
            <c:ext xmlns:c16="http://schemas.microsoft.com/office/drawing/2014/chart" uri="{C3380CC4-5D6E-409C-BE32-E72D297353CC}">
              <c16:uniqueId val="{00000003-39B4-4FAF-93E4-95A24C4250AB}"/>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2.8406214553142874E-2</c:v>
              </c:pt>
              <c:pt idx="2">
                <c:v>2.8406214553142874E-2</c:v>
              </c:pt>
              <c:pt idx="3">
                <c:v>2.8406214553142874E-2</c:v>
              </c:pt>
              <c:pt idx="4">
                <c:v>2.8406214553142874E-2</c:v>
              </c:pt>
              <c:pt idx="5">
                <c:v>2.8406214553142874E-2</c:v>
              </c:pt>
              <c:pt idx="6">
                <c:v>2.8406214553142874E-2</c:v>
              </c:pt>
              <c:pt idx="7">
                <c:v>2.8406214553142874E-2</c:v>
              </c:pt>
              <c:pt idx="8">
                <c:v>2.8406214553142874E-2</c:v>
              </c:pt>
              <c:pt idx="9">
                <c:v>2.8406214553142874E-2</c:v>
              </c:pt>
              <c:pt idx="10">
                <c:v>2.8406214553142874E-2</c:v>
              </c:pt>
              <c:pt idx="11">
                <c:v>2.8406214553142874E-2</c:v>
              </c:pt>
              <c:pt idx="12">
                <c:v>2.8406214553142874E-2</c:v>
              </c:pt>
              <c:pt idx="13">
                <c:v>2.8406214553142874E-2</c:v>
              </c:pt>
              <c:pt idx="14">
                <c:v>2.8406214553142874E-2</c:v>
              </c:pt>
              <c:pt idx="15">
                <c:v>2.8406214553142874E-2</c:v>
              </c:pt>
              <c:pt idx="16">
                <c:v>2.8406214553142874E-2</c:v>
              </c:pt>
              <c:pt idx="17">
                <c:v>2.8406214553142874E-2</c:v>
              </c:pt>
              <c:pt idx="18">
                <c:v>2.8406214553142874E-2</c:v>
              </c:pt>
              <c:pt idx="19">
                <c:v>2.8406214553142874E-2</c:v>
              </c:pt>
              <c:pt idx="20">
                <c:v>2.8406214553142874E-2</c:v>
              </c:pt>
              <c:pt idx="21">
                <c:v>2.8406214553142874E-2</c:v>
              </c:pt>
              <c:pt idx="22">
                <c:v>2.8406214553142874E-2</c:v>
              </c:pt>
              <c:pt idx="23">
                <c:v>2.8406214553142874E-2</c:v>
              </c:pt>
              <c:pt idx="24">
                <c:v>2.8406214553142874E-2</c:v>
              </c:pt>
              <c:pt idx="25">
                <c:v>2.8406214553142874E-2</c:v>
              </c:pt>
              <c:pt idx="26">
                <c:v>2.8406214553142874E-2</c:v>
              </c:pt>
              <c:pt idx="27">
                <c:v>2.8406214553142874E-2</c:v>
              </c:pt>
              <c:pt idx="28">
                <c:v>2.8406214553142874E-2</c:v>
              </c:pt>
              <c:pt idx="29">
                <c:v>2.8406214553142874E-2</c:v>
              </c:pt>
              <c:pt idx="30">
                <c:v>2.8406214553142874E-2</c:v>
              </c:pt>
            </c:numLit>
          </c:val>
          <c:extLst>
            <c:ext xmlns:c16="http://schemas.microsoft.com/office/drawing/2014/chart" uri="{C3380CC4-5D6E-409C-BE32-E72D297353CC}">
              <c16:uniqueId val="{00000004-39B4-4FAF-93E4-95A24C4250AB}"/>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0.1341282001997883</c:v>
              </c:pt>
              <c:pt idx="2">
                <c:v>0.1341282001997883</c:v>
              </c:pt>
              <c:pt idx="3">
                <c:v>0.1341282001997883</c:v>
              </c:pt>
              <c:pt idx="4">
                <c:v>0.1341282001997883</c:v>
              </c:pt>
              <c:pt idx="5">
                <c:v>0.1341282001997883</c:v>
              </c:pt>
              <c:pt idx="6">
                <c:v>0.1341282001997883</c:v>
              </c:pt>
              <c:pt idx="7">
                <c:v>0.1341282001997883</c:v>
              </c:pt>
              <c:pt idx="8">
                <c:v>0.1341282001997883</c:v>
              </c:pt>
              <c:pt idx="9">
                <c:v>0.1341282001997883</c:v>
              </c:pt>
              <c:pt idx="10">
                <c:v>0.1341282001997883</c:v>
              </c:pt>
              <c:pt idx="11">
                <c:v>0.1341282001997883</c:v>
              </c:pt>
              <c:pt idx="12">
                <c:v>0.1341282001997883</c:v>
              </c:pt>
              <c:pt idx="13">
                <c:v>0.1341282001997883</c:v>
              </c:pt>
              <c:pt idx="14">
                <c:v>0.1341282001997883</c:v>
              </c:pt>
              <c:pt idx="15">
                <c:v>0.1341282001997883</c:v>
              </c:pt>
              <c:pt idx="16">
                <c:v>0.1341282001997883</c:v>
              </c:pt>
              <c:pt idx="17">
                <c:v>0.1341282001997883</c:v>
              </c:pt>
              <c:pt idx="18">
                <c:v>0.1341282001997883</c:v>
              </c:pt>
              <c:pt idx="19">
                <c:v>0.1341282001997883</c:v>
              </c:pt>
              <c:pt idx="20">
                <c:v>0.1341282001997883</c:v>
              </c:pt>
              <c:pt idx="21">
                <c:v>0.1341282001997883</c:v>
              </c:pt>
              <c:pt idx="22">
                <c:v>0.1341282001997883</c:v>
              </c:pt>
              <c:pt idx="23">
                <c:v>0.1341282001997883</c:v>
              </c:pt>
              <c:pt idx="24">
                <c:v>0.1341282001997883</c:v>
              </c:pt>
              <c:pt idx="25">
                <c:v>0.1341282001997883</c:v>
              </c:pt>
              <c:pt idx="26">
                <c:v>0.1341282001997883</c:v>
              </c:pt>
              <c:pt idx="27">
                <c:v>0.1341282001997883</c:v>
              </c:pt>
              <c:pt idx="28">
                <c:v>0.1341282001997883</c:v>
              </c:pt>
              <c:pt idx="29">
                <c:v>0.1341282001997883</c:v>
              </c:pt>
              <c:pt idx="30">
                <c:v>0.1341282001997883</c:v>
              </c:pt>
            </c:numLit>
          </c:val>
          <c:extLst>
            <c:ext xmlns:c16="http://schemas.microsoft.com/office/drawing/2014/chart" uri="{C3380CC4-5D6E-409C-BE32-E72D297353CC}">
              <c16:uniqueId val="{00000005-39B4-4FAF-93E4-95A24C4250AB}"/>
            </c:ext>
          </c:extLst>
        </c:ser>
        <c:dLbls>
          <c:showLegendKey val="0"/>
          <c:showVal val="0"/>
          <c:showCatName val="0"/>
          <c:showSerName val="0"/>
          <c:showPercent val="0"/>
          <c:showBubbleSize val="0"/>
        </c:dLbls>
        <c:axId val="-381505040"/>
        <c:axId val="-381512112"/>
      </c:areaChart>
      <c:catAx>
        <c:axId val="-3815050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12112"/>
        <c:crosses val="autoZero"/>
        <c:auto val="1"/>
        <c:lblAlgn val="ctr"/>
        <c:lblOffset val="100"/>
        <c:noMultiLvlLbl val="0"/>
      </c:catAx>
      <c:valAx>
        <c:axId val="-381512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50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1.2683579188448013E-2</c:v>
              </c:pt>
              <c:pt idx="2">
                <c:v>9.5126843913360092E-3</c:v>
              </c:pt>
              <c:pt idx="3">
                <c:v>6.3417895942240073E-3</c:v>
              </c:pt>
              <c:pt idx="4">
                <c:v>3.1708947971120036E-3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0-D634-4071-BEE1-6DDF44E277ED}"/>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3.8571053436602408E-2</c:v>
              </c:pt>
              <c:pt idx="2">
                <c:v>2.8928290077451808E-2</c:v>
              </c:pt>
              <c:pt idx="3">
                <c:v>1.9285526718301204E-2</c:v>
              </c:pt>
              <c:pt idx="4">
                <c:v>9.6427633591506037E-3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1-D634-4071-BEE1-6DDF44E277ED}"/>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0.59818891093719118</c:v>
              </c:pt>
              <c:pt idx="2">
                <c:v>0.44864168320289344</c:v>
              </c:pt>
              <c:pt idx="3">
                <c:v>0.29909445546859564</c:v>
              </c:pt>
              <c:pt idx="4">
                <c:v>0.14954722773429785</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2-D634-4071-BEE1-6DDF44E277ED}"/>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2.0528924635413424E-2</c:v>
              </c:pt>
              <c:pt idx="2">
                <c:v>1.5396693476560067E-2</c:v>
              </c:pt>
              <c:pt idx="3">
                <c:v>1.0264462317706712E-2</c:v>
              </c:pt>
              <c:pt idx="4">
                <c:v>5.1322311588533551E-3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3-D634-4071-BEE1-6DDF44E277ED}"/>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2.2724971642514299E-2</c:v>
              </c:pt>
              <c:pt idx="2">
                <c:v>1.7043728731885727E-2</c:v>
              </c:pt>
              <c:pt idx="3">
                <c:v>1.1362485821257151E-2</c:v>
              </c:pt>
              <c:pt idx="4">
                <c:v>5.6812429106285756E-3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4-D634-4071-BEE1-6DDF44E277ED}"/>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0.10730256015983064</c:v>
              </c:pt>
              <c:pt idx="2">
                <c:v>8.047692011987298E-2</c:v>
              </c:pt>
              <c:pt idx="3">
                <c:v>5.365128007991532E-2</c:v>
              </c:pt>
              <c:pt idx="4">
                <c:v>2.682564003995766E-2</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5-D634-4071-BEE1-6DDF44E277ED}"/>
            </c:ext>
          </c:extLst>
        </c:ser>
        <c:dLbls>
          <c:showLegendKey val="0"/>
          <c:showVal val="0"/>
          <c:showCatName val="0"/>
          <c:showSerName val="0"/>
          <c:showPercent val="0"/>
          <c:showBubbleSize val="0"/>
        </c:dLbls>
        <c:axId val="-381509392"/>
        <c:axId val="-381507216"/>
      </c:areaChart>
      <c:catAx>
        <c:axId val="-3815093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7216"/>
        <c:crosses val="autoZero"/>
        <c:auto val="1"/>
        <c:lblAlgn val="ctr"/>
        <c:lblOffset val="100"/>
        <c:noMultiLvlLbl val="0"/>
      </c:catAx>
      <c:valAx>
        <c:axId val="-3815072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93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1.2683579188448013E-2</c:v>
              </c:pt>
              <c:pt idx="2">
                <c:v>9.5126843913360092E-3</c:v>
              </c:pt>
              <c:pt idx="3">
                <c:v>6.3417895942240073E-3</c:v>
              </c:pt>
              <c:pt idx="4">
                <c:v>3.1708947971120036E-3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0-6F35-4DD8-8819-B526E3910653}"/>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3.8571053436602408E-2</c:v>
              </c:pt>
              <c:pt idx="2">
                <c:v>2.8928290077451808E-2</c:v>
              </c:pt>
              <c:pt idx="3">
                <c:v>1.9285526718301204E-2</c:v>
              </c:pt>
              <c:pt idx="4">
                <c:v>9.6427633591506037E-3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1-6F35-4DD8-8819-B526E3910653}"/>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0.59818891093719118</c:v>
              </c:pt>
              <c:pt idx="2">
                <c:v>0.44864168320289344</c:v>
              </c:pt>
              <c:pt idx="3">
                <c:v>0.29909445546859564</c:v>
              </c:pt>
              <c:pt idx="4">
                <c:v>0.14954722773429785</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2-6F35-4DD8-8819-B526E3910653}"/>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2.0528924635413424E-2</c:v>
              </c:pt>
              <c:pt idx="2">
                <c:v>1.5396693476560067E-2</c:v>
              </c:pt>
              <c:pt idx="3">
                <c:v>1.0264462317706712E-2</c:v>
              </c:pt>
              <c:pt idx="4">
                <c:v>5.1322311588533551E-3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3-6F35-4DD8-8819-B526E3910653}"/>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2.2724971642514299E-2</c:v>
              </c:pt>
              <c:pt idx="2">
                <c:v>1.7043728731885727E-2</c:v>
              </c:pt>
              <c:pt idx="3">
                <c:v>1.1362485821257151E-2</c:v>
              </c:pt>
              <c:pt idx="4">
                <c:v>5.6812429106285756E-3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4-6F35-4DD8-8819-B526E3910653}"/>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0.10730256015983064</c:v>
              </c:pt>
              <c:pt idx="2">
                <c:v>8.047692011987298E-2</c:v>
              </c:pt>
              <c:pt idx="3">
                <c:v>5.365128007991532E-2</c:v>
              </c:pt>
              <c:pt idx="4">
                <c:v>2.682564003995766E-2</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5-6F35-4DD8-8819-B526E3910653}"/>
            </c:ext>
          </c:extLst>
        </c:ser>
        <c:dLbls>
          <c:showLegendKey val="0"/>
          <c:showVal val="0"/>
          <c:showCatName val="0"/>
          <c:showSerName val="0"/>
          <c:showPercent val="0"/>
          <c:showBubbleSize val="0"/>
        </c:dLbls>
        <c:axId val="-378659136"/>
        <c:axId val="-378661856"/>
      </c:areaChart>
      <c:catAx>
        <c:axId val="-378659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1856"/>
        <c:crosses val="autoZero"/>
        <c:auto val="1"/>
        <c:lblAlgn val="ctr"/>
        <c:lblOffset val="100"/>
        <c:noMultiLvlLbl val="0"/>
      </c:catAx>
      <c:valAx>
        <c:axId val="-378661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9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5.0412668060949815E-3</c:v>
              </c:pt>
              <c:pt idx="1">
                <c:v>5.0412668060949815E-3</c:v>
              </c:pt>
              <c:pt idx="2">
                <c:v>5.0412668060949815E-3</c:v>
              </c:pt>
              <c:pt idx="3">
                <c:v>5.0412668060949815E-3</c:v>
              </c:pt>
              <c:pt idx="4">
                <c:v>5.0412668060949815E-3</c:v>
              </c:pt>
              <c:pt idx="5">
                <c:v>5.0412668060949815E-3</c:v>
              </c:pt>
              <c:pt idx="6">
                <c:v>5.0412668060949815E-3</c:v>
              </c:pt>
              <c:pt idx="7">
                <c:v>5.0412668060949815E-3</c:v>
              </c:pt>
              <c:pt idx="8">
                <c:v>5.0412668060949815E-3</c:v>
              </c:pt>
              <c:pt idx="9">
                <c:v>5.0412668060949815E-3</c:v>
              </c:pt>
              <c:pt idx="10">
                <c:v>5.0412668060949815E-3</c:v>
              </c:pt>
              <c:pt idx="11">
                <c:v>5.0412668060949815E-3</c:v>
              </c:pt>
              <c:pt idx="12">
                <c:v>5.0412668060949815E-3</c:v>
              </c:pt>
              <c:pt idx="13">
                <c:v>5.0412668060949815E-3</c:v>
              </c:pt>
              <c:pt idx="14">
                <c:v>5.0412668060949815E-3</c:v>
              </c:pt>
              <c:pt idx="15">
                <c:v>5.0412668060949815E-3</c:v>
              </c:pt>
              <c:pt idx="16">
                <c:v>5.0412668060949815E-3</c:v>
              </c:pt>
              <c:pt idx="17">
                <c:v>5.0412668060949815E-3</c:v>
              </c:pt>
              <c:pt idx="18">
                <c:v>5.0412668060949815E-3</c:v>
              </c:pt>
              <c:pt idx="19">
                <c:v>5.0412668060949815E-3</c:v>
              </c:pt>
              <c:pt idx="20">
                <c:v>5.0412668060949815E-3</c:v>
              </c:pt>
              <c:pt idx="21">
                <c:v>5.0412668060949815E-3</c:v>
              </c:pt>
              <c:pt idx="22">
                <c:v>5.0412668060949815E-3</c:v>
              </c:pt>
              <c:pt idx="23">
                <c:v>5.0412668060949815E-3</c:v>
              </c:pt>
              <c:pt idx="24">
                <c:v>5.0412668060949815E-3</c:v>
              </c:pt>
              <c:pt idx="25">
                <c:v>5.0412668060949815E-3</c:v>
              </c:pt>
              <c:pt idx="26">
                <c:v>5.0412668060949815E-3</c:v>
              </c:pt>
              <c:pt idx="27">
                <c:v>5.0412668060949815E-3</c:v>
              </c:pt>
              <c:pt idx="28">
                <c:v>5.0412668060949815E-3</c:v>
              </c:pt>
              <c:pt idx="29">
                <c:v>5.0412668060949815E-3</c:v>
              </c:pt>
              <c:pt idx="30">
                <c:v>5.0412668060949815E-3</c:v>
              </c:pt>
            </c:numLit>
          </c:val>
          <c:extLst>
            <c:ext xmlns:c16="http://schemas.microsoft.com/office/drawing/2014/chart" uri="{C3380CC4-5D6E-409C-BE32-E72D297353CC}">
              <c16:uniqueId val="{00000000-2134-4A6E-909F-FEFEF4F032A8}"/>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2.4786228463300326E-2</c:v>
              </c:pt>
              <c:pt idx="1">
                <c:v>2.4786228463300326E-2</c:v>
              </c:pt>
              <c:pt idx="2">
                <c:v>2.4786228463300326E-2</c:v>
              </c:pt>
              <c:pt idx="3">
                <c:v>2.4786228463300326E-2</c:v>
              </c:pt>
              <c:pt idx="4">
                <c:v>2.4786228463300326E-2</c:v>
              </c:pt>
              <c:pt idx="5">
                <c:v>2.4786228463300326E-2</c:v>
              </c:pt>
              <c:pt idx="6">
                <c:v>2.4786228463300326E-2</c:v>
              </c:pt>
              <c:pt idx="7">
                <c:v>2.4786228463300326E-2</c:v>
              </c:pt>
              <c:pt idx="8">
                <c:v>2.4786228463300326E-2</c:v>
              </c:pt>
              <c:pt idx="9">
                <c:v>2.4786228463300326E-2</c:v>
              </c:pt>
              <c:pt idx="10">
                <c:v>2.4786228463300326E-2</c:v>
              </c:pt>
              <c:pt idx="11">
                <c:v>2.4786228463300326E-2</c:v>
              </c:pt>
              <c:pt idx="12">
                <c:v>2.4786228463300326E-2</c:v>
              </c:pt>
              <c:pt idx="13">
                <c:v>2.4786228463300326E-2</c:v>
              </c:pt>
              <c:pt idx="14">
                <c:v>2.4786228463300326E-2</c:v>
              </c:pt>
              <c:pt idx="15">
                <c:v>2.4786228463300326E-2</c:v>
              </c:pt>
              <c:pt idx="16">
                <c:v>2.4786228463300326E-2</c:v>
              </c:pt>
              <c:pt idx="17">
                <c:v>2.4786228463300326E-2</c:v>
              </c:pt>
              <c:pt idx="18">
                <c:v>2.4786228463300326E-2</c:v>
              </c:pt>
              <c:pt idx="19">
                <c:v>2.4786228463300326E-2</c:v>
              </c:pt>
              <c:pt idx="20">
                <c:v>2.4786228463300326E-2</c:v>
              </c:pt>
              <c:pt idx="21">
                <c:v>2.4786228463300326E-2</c:v>
              </c:pt>
              <c:pt idx="22">
                <c:v>2.4786228463300326E-2</c:v>
              </c:pt>
              <c:pt idx="23">
                <c:v>2.4786228463300326E-2</c:v>
              </c:pt>
              <c:pt idx="24">
                <c:v>2.4786228463300326E-2</c:v>
              </c:pt>
              <c:pt idx="25">
                <c:v>2.4786228463300326E-2</c:v>
              </c:pt>
              <c:pt idx="26">
                <c:v>2.4786228463300326E-2</c:v>
              </c:pt>
              <c:pt idx="27">
                <c:v>2.4786228463300326E-2</c:v>
              </c:pt>
              <c:pt idx="28">
                <c:v>2.4786228463300326E-2</c:v>
              </c:pt>
              <c:pt idx="29">
                <c:v>2.4786228463300326E-2</c:v>
              </c:pt>
              <c:pt idx="30">
                <c:v>2.4786228463300326E-2</c:v>
              </c:pt>
            </c:numLit>
          </c:val>
          <c:extLst>
            <c:ext xmlns:c16="http://schemas.microsoft.com/office/drawing/2014/chart" uri="{C3380CC4-5D6E-409C-BE32-E72D297353CC}">
              <c16:uniqueId val="{00000001-2134-4A6E-909F-FEFEF4F032A8}"/>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0.72705457895591841</c:v>
              </c:pt>
              <c:pt idx="1">
                <c:v>0.72705457895591841</c:v>
              </c:pt>
              <c:pt idx="2">
                <c:v>0.72705457895591841</c:v>
              </c:pt>
              <c:pt idx="3">
                <c:v>0.72705457895591841</c:v>
              </c:pt>
              <c:pt idx="4">
                <c:v>0.72705457895591841</c:v>
              </c:pt>
              <c:pt idx="5">
                <c:v>0.72705457895591841</c:v>
              </c:pt>
              <c:pt idx="6">
                <c:v>0.72705457895591841</c:v>
              </c:pt>
              <c:pt idx="7">
                <c:v>0.72705457895591841</c:v>
              </c:pt>
              <c:pt idx="8">
                <c:v>0.72705457895591841</c:v>
              </c:pt>
              <c:pt idx="9">
                <c:v>0.72705457895591841</c:v>
              </c:pt>
              <c:pt idx="10">
                <c:v>0.72705457895591841</c:v>
              </c:pt>
              <c:pt idx="11">
                <c:v>0.72705457895591841</c:v>
              </c:pt>
              <c:pt idx="12">
                <c:v>0.72705457895591841</c:v>
              </c:pt>
              <c:pt idx="13">
                <c:v>0.72705457895591841</c:v>
              </c:pt>
              <c:pt idx="14">
                <c:v>0.72705457895591841</c:v>
              </c:pt>
              <c:pt idx="15">
                <c:v>0.72705457895591841</c:v>
              </c:pt>
              <c:pt idx="16">
                <c:v>0.72705457895591841</c:v>
              </c:pt>
              <c:pt idx="17">
                <c:v>0.72705457895591841</c:v>
              </c:pt>
              <c:pt idx="18">
                <c:v>0.72705457895591841</c:v>
              </c:pt>
              <c:pt idx="19">
                <c:v>0.72705457895591841</c:v>
              </c:pt>
              <c:pt idx="20">
                <c:v>0.72705457895591841</c:v>
              </c:pt>
              <c:pt idx="21">
                <c:v>0.72705457895591841</c:v>
              </c:pt>
              <c:pt idx="22">
                <c:v>0.72705457895591841</c:v>
              </c:pt>
              <c:pt idx="23">
                <c:v>0.72705457895591841</c:v>
              </c:pt>
              <c:pt idx="24">
                <c:v>0.72705457895591841</c:v>
              </c:pt>
              <c:pt idx="25">
                <c:v>0.72705457895591841</c:v>
              </c:pt>
              <c:pt idx="26">
                <c:v>0.72705457895591841</c:v>
              </c:pt>
              <c:pt idx="27">
                <c:v>0.72705457895591841</c:v>
              </c:pt>
              <c:pt idx="28">
                <c:v>0.72705457895591841</c:v>
              </c:pt>
              <c:pt idx="29">
                <c:v>0.72705457895591841</c:v>
              </c:pt>
              <c:pt idx="30">
                <c:v>0.72705457895591841</c:v>
              </c:pt>
            </c:numLit>
          </c:val>
          <c:extLst>
            <c:ext xmlns:c16="http://schemas.microsoft.com/office/drawing/2014/chart" uri="{C3380CC4-5D6E-409C-BE32-E72D297353CC}">
              <c16:uniqueId val="{00000002-2134-4A6E-909F-FEFEF4F032A8}"/>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3.4347831172193803E-2</c:v>
              </c:pt>
              <c:pt idx="1">
                <c:v>3.4347831172193803E-2</c:v>
              </c:pt>
              <c:pt idx="2">
                <c:v>3.4347831172193803E-2</c:v>
              </c:pt>
              <c:pt idx="3">
                <c:v>3.4347831172193803E-2</c:v>
              </c:pt>
              <c:pt idx="4">
                <c:v>3.4347831172193803E-2</c:v>
              </c:pt>
              <c:pt idx="5">
                <c:v>3.4347831172193803E-2</c:v>
              </c:pt>
              <c:pt idx="6">
                <c:v>3.4347831172193803E-2</c:v>
              </c:pt>
              <c:pt idx="7">
                <c:v>3.4347831172193803E-2</c:v>
              </c:pt>
              <c:pt idx="8">
                <c:v>3.4347831172193803E-2</c:v>
              </c:pt>
              <c:pt idx="9">
                <c:v>3.4347831172193803E-2</c:v>
              </c:pt>
              <c:pt idx="10">
                <c:v>3.4347831172193803E-2</c:v>
              </c:pt>
              <c:pt idx="11">
                <c:v>3.4347831172193803E-2</c:v>
              </c:pt>
              <c:pt idx="12">
                <c:v>3.4347831172193803E-2</c:v>
              </c:pt>
              <c:pt idx="13">
                <c:v>3.4347831172193803E-2</c:v>
              </c:pt>
              <c:pt idx="14">
                <c:v>3.4347831172193803E-2</c:v>
              </c:pt>
              <c:pt idx="15">
                <c:v>3.4347831172193803E-2</c:v>
              </c:pt>
              <c:pt idx="16">
                <c:v>3.4347831172193803E-2</c:v>
              </c:pt>
              <c:pt idx="17">
                <c:v>3.4347831172193803E-2</c:v>
              </c:pt>
              <c:pt idx="18">
                <c:v>3.4347831172193803E-2</c:v>
              </c:pt>
              <c:pt idx="19">
                <c:v>3.4347831172193803E-2</c:v>
              </c:pt>
              <c:pt idx="20">
                <c:v>3.4347831172193803E-2</c:v>
              </c:pt>
              <c:pt idx="21">
                <c:v>3.4347831172193803E-2</c:v>
              </c:pt>
              <c:pt idx="22">
                <c:v>3.4347831172193803E-2</c:v>
              </c:pt>
              <c:pt idx="23">
                <c:v>3.4347831172193803E-2</c:v>
              </c:pt>
              <c:pt idx="24">
                <c:v>3.4347831172193803E-2</c:v>
              </c:pt>
              <c:pt idx="25">
                <c:v>3.4347831172193803E-2</c:v>
              </c:pt>
              <c:pt idx="26">
                <c:v>3.4347831172193803E-2</c:v>
              </c:pt>
              <c:pt idx="27">
                <c:v>3.4347831172193803E-2</c:v>
              </c:pt>
              <c:pt idx="28">
                <c:v>3.4347831172193803E-2</c:v>
              </c:pt>
              <c:pt idx="29">
                <c:v>3.4347831172193803E-2</c:v>
              </c:pt>
              <c:pt idx="30">
                <c:v>3.4347831172193803E-2</c:v>
              </c:pt>
            </c:numLit>
          </c:val>
          <c:extLst>
            <c:ext xmlns:c16="http://schemas.microsoft.com/office/drawing/2014/chart" uri="{C3380CC4-5D6E-409C-BE32-E72D297353CC}">
              <c16:uniqueId val="{00000003-2134-4A6E-909F-FEFEF4F032A8}"/>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1.7504398632274241E-2</c:v>
              </c:pt>
              <c:pt idx="1">
                <c:v>1.7504398632274241E-2</c:v>
              </c:pt>
              <c:pt idx="2">
                <c:v>1.7504398632274241E-2</c:v>
              </c:pt>
              <c:pt idx="3">
                <c:v>1.7504398632274241E-2</c:v>
              </c:pt>
              <c:pt idx="4">
                <c:v>1.7504398632274241E-2</c:v>
              </c:pt>
              <c:pt idx="5">
                <c:v>1.7504398632274241E-2</c:v>
              </c:pt>
              <c:pt idx="6">
                <c:v>1.7504398632274241E-2</c:v>
              </c:pt>
              <c:pt idx="7">
                <c:v>1.7504398632274241E-2</c:v>
              </c:pt>
              <c:pt idx="8">
                <c:v>1.7504398632274241E-2</c:v>
              </c:pt>
              <c:pt idx="9">
                <c:v>1.7504398632274241E-2</c:v>
              </c:pt>
              <c:pt idx="10">
                <c:v>1.7504398632274241E-2</c:v>
              </c:pt>
              <c:pt idx="11">
                <c:v>1.7504398632274241E-2</c:v>
              </c:pt>
              <c:pt idx="12">
                <c:v>1.7504398632274241E-2</c:v>
              </c:pt>
              <c:pt idx="13">
                <c:v>1.7504398632274241E-2</c:v>
              </c:pt>
              <c:pt idx="14">
                <c:v>1.7504398632274241E-2</c:v>
              </c:pt>
              <c:pt idx="15">
                <c:v>1.7504398632274241E-2</c:v>
              </c:pt>
              <c:pt idx="16">
                <c:v>1.7504398632274241E-2</c:v>
              </c:pt>
              <c:pt idx="17">
                <c:v>1.7504398632274241E-2</c:v>
              </c:pt>
              <c:pt idx="18">
                <c:v>1.7504398632274241E-2</c:v>
              </c:pt>
              <c:pt idx="19">
                <c:v>1.7504398632274241E-2</c:v>
              </c:pt>
              <c:pt idx="20">
                <c:v>1.7504398632274241E-2</c:v>
              </c:pt>
              <c:pt idx="21">
                <c:v>1.7504398632274241E-2</c:v>
              </c:pt>
              <c:pt idx="22">
                <c:v>1.7504398632274241E-2</c:v>
              </c:pt>
              <c:pt idx="23">
                <c:v>1.7504398632274241E-2</c:v>
              </c:pt>
              <c:pt idx="24">
                <c:v>1.7504398632274241E-2</c:v>
              </c:pt>
              <c:pt idx="25">
                <c:v>1.7504398632274241E-2</c:v>
              </c:pt>
              <c:pt idx="26">
                <c:v>1.7504398632274241E-2</c:v>
              </c:pt>
              <c:pt idx="27">
                <c:v>1.7504398632274241E-2</c:v>
              </c:pt>
              <c:pt idx="28">
                <c:v>1.7504398632274241E-2</c:v>
              </c:pt>
              <c:pt idx="29">
                <c:v>1.7504398632274241E-2</c:v>
              </c:pt>
              <c:pt idx="30">
                <c:v>1.7504398632274241E-2</c:v>
              </c:pt>
            </c:numLit>
          </c:val>
          <c:extLst>
            <c:ext xmlns:c16="http://schemas.microsoft.com/office/drawing/2014/chart" uri="{C3380CC4-5D6E-409C-BE32-E72D297353CC}">
              <c16:uniqueId val="{00000004-2134-4A6E-909F-FEFEF4F032A8}"/>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0.19126569597021809</c:v>
              </c:pt>
              <c:pt idx="1">
                <c:v>0.19126569597021809</c:v>
              </c:pt>
              <c:pt idx="2">
                <c:v>0.19126569597021809</c:v>
              </c:pt>
              <c:pt idx="3">
                <c:v>0.19126569597021809</c:v>
              </c:pt>
              <c:pt idx="4">
                <c:v>0.19126569597021809</c:v>
              </c:pt>
              <c:pt idx="5">
                <c:v>0.19126569597021809</c:v>
              </c:pt>
              <c:pt idx="6">
                <c:v>0.19126569597021809</c:v>
              </c:pt>
              <c:pt idx="7">
                <c:v>0.19126569597021809</c:v>
              </c:pt>
              <c:pt idx="8">
                <c:v>0.19126569597021809</c:v>
              </c:pt>
              <c:pt idx="9">
                <c:v>0.19126569597021809</c:v>
              </c:pt>
              <c:pt idx="10">
                <c:v>0.19126569597021809</c:v>
              </c:pt>
              <c:pt idx="11">
                <c:v>0.19126569597021809</c:v>
              </c:pt>
              <c:pt idx="12">
                <c:v>0.19126569597021809</c:v>
              </c:pt>
              <c:pt idx="13">
                <c:v>0.19126569597021809</c:v>
              </c:pt>
              <c:pt idx="14">
                <c:v>0.19126569597021809</c:v>
              </c:pt>
              <c:pt idx="15">
                <c:v>0.19126569597021809</c:v>
              </c:pt>
              <c:pt idx="16">
                <c:v>0.19126569597021809</c:v>
              </c:pt>
              <c:pt idx="17">
                <c:v>0.19126569597021809</c:v>
              </c:pt>
              <c:pt idx="18">
                <c:v>0.19126569597021809</c:v>
              </c:pt>
              <c:pt idx="19">
                <c:v>0.19126569597021809</c:v>
              </c:pt>
              <c:pt idx="20">
                <c:v>0.19126569597021809</c:v>
              </c:pt>
              <c:pt idx="21">
                <c:v>0.19126569597021809</c:v>
              </c:pt>
              <c:pt idx="22">
                <c:v>0.19126569597021809</c:v>
              </c:pt>
              <c:pt idx="23">
                <c:v>0.19126569597021809</c:v>
              </c:pt>
              <c:pt idx="24">
                <c:v>0.19126569597021809</c:v>
              </c:pt>
              <c:pt idx="25">
                <c:v>0.19126569597021809</c:v>
              </c:pt>
              <c:pt idx="26">
                <c:v>0.19126569597021809</c:v>
              </c:pt>
              <c:pt idx="27">
                <c:v>0.19126569597021809</c:v>
              </c:pt>
              <c:pt idx="28">
                <c:v>0.19126569597021809</c:v>
              </c:pt>
              <c:pt idx="29">
                <c:v>0.19126569597021809</c:v>
              </c:pt>
              <c:pt idx="30">
                <c:v>0.19126569597021809</c:v>
              </c:pt>
            </c:numLit>
          </c:val>
          <c:extLst>
            <c:ext xmlns:c16="http://schemas.microsoft.com/office/drawing/2014/chart" uri="{C3380CC4-5D6E-409C-BE32-E72D297353CC}">
              <c16:uniqueId val="{00000005-2134-4A6E-909F-FEFEF4F032A8}"/>
            </c:ext>
          </c:extLst>
        </c:ser>
        <c:dLbls>
          <c:showLegendKey val="0"/>
          <c:showVal val="0"/>
          <c:showCatName val="0"/>
          <c:showSerName val="0"/>
          <c:showPercent val="0"/>
          <c:showBubbleSize val="0"/>
        </c:dLbls>
        <c:axId val="-378664576"/>
        <c:axId val="-378658592"/>
      </c:areaChart>
      <c:catAx>
        <c:axId val="-3786645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8592"/>
        <c:crosses val="autoZero"/>
        <c:auto val="1"/>
        <c:lblAlgn val="ctr"/>
        <c:lblOffset val="100"/>
        <c:noMultiLvlLbl val="0"/>
      </c:catAx>
      <c:valAx>
        <c:axId val="-378658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45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5.0412668060949815E-3</c:v>
              </c:pt>
              <c:pt idx="1">
                <c:v>5.1427705126533933E-3</c:v>
              </c:pt>
              <c:pt idx="2">
                <c:v>3.0754887322349809E-3</c:v>
              </c:pt>
              <c:pt idx="3">
                <c:v>5.345777925770216E-3</c:v>
              </c:pt>
              <c:pt idx="4">
                <c:v>5.447281632328627E-3</c:v>
              </c:pt>
              <c:pt idx="5">
                <c:v>5.5487853388870387E-3</c:v>
              </c:pt>
              <c:pt idx="6">
                <c:v>6.5153555510767151E-3</c:v>
              </c:pt>
              <c:pt idx="7">
                <c:v>7.4819257632663914E-3</c:v>
              </c:pt>
              <c:pt idx="8">
                <c:v>8.4484959754560669E-3</c:v>
              </c:pt>
              <c:pt idx="9">
                <c:v>9.4150661876457424E-3</c:v>
              </c:pt>
              <c:pt idx="10">
                <c:v>1.038163639983542E-2</c:v>
              </c:pt>
              <c:pt idx="11">
                <c:v>1.1426474696972683E-2</c:v>
              </c:pt>
              <c:pt idx="12">
                <c:v>1.2471312994109945E-2</c:v>
              </c:pt>
              <c:pt idx="13">
                <c:v>1.3516151291247209E-2</c:v>
              </c:pt>
              <c:pt idx="14">
                <c:v>1.4560989588384473E-2</c:v>
              </c:pt>
              <c:pt idx="15">
                <c:v>1.5605827885521735E-2</c:v>
              </c:pt>
              <c:pt idx="16">
                <c:v>1.6223746971221819E-2</c:v>
              </c:pt>
              <c:pt idx="17">
                <c:v>1.6841666056921906E-2</c:v>
              </c:pt>
              <c:pt idx="18">
                <c:v>1.745958514262199E-2</c:v>
              </c:pt>
              <c:pt idx="19">
                <c:v>1.8077504228322078E-2</c:v>
              </c:pt>
              <c:pt idx="20">
                <c:v>1.8695423314022162E-2</c:v>
              </c:pt>
              <c:pt idx="21">
                <c:v>1.8994323177420114E-2</c:v>
              </c:pt>
              <c:pt idx="22">
                <c:v>1.9293223040818062E-2</c:v>
              </c:pt>
              <c:pt idx="23">
                <c:v>1.9592122904216015E-2</c:v>
              </c:pt>
              <c:pt idx="24">
                <c:v>1.9891022767613963E-2</c:v>
              </c:pt>
              <c:pt idx="25">
                <c:v>2.0189922631011915E-2</c:v>
              </c:pt>
              <c:pt idx="26">
                <c:v>2.0302426826349258E-2</c:v>
              </c:pt>
              <c:pt idx="27">
                <c:v>2.0414931021686598E-2</c:v>
              </c:pt>
              <c:pt idx="28">
                <c:v>2.0527435217023941E-2</c:v>
              </c:pt>
              <c:pt idx="29">
                <c:v>2.063993941236128E-2</c:v>
              </c:pt>
              <c:pt idx="30">
                <c:v>2.0752443607698623E-2</c:v>
              </c:pt>
            </c:numLit>
          </c:val>
          <c:extLst>
            <c:ext xmlns:c16="http://schemas.microsoft.com/office/drawing/2014/chart" uri="{C3380CC4-5D6E-409C-BE32-E72D297353CC}">
              <c16:uniqueId val="{00000000-63F6-4576-9FCD-C7F246D49708}"/>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2.4786228463300326E-2</c:v>
              </c:pt>
              <c:pt idx="1">
                <c:v>2.3585788230133072E-2</c:v>
              </c:pt>
              <c:pt idx="2">
                <c:v>2.1784935584884736E-2</c:v>
              </c:pt>
              <c:pt idx="3">
                <c:v>2.1184907763798562E-2</c:v>
              </c:pt>
              <c:pt idx="4">
                <c:v>1.9984467530631309E-2</c:v>
              </c:pt>
              <c:pt idx="5">
                <c:v>1.8784027297464052E-2</c:v>
              </c:pt>
              <c:pt idx="6">
                <c:v>1.7324924658225986E-2</c:v>
              </c:pt>
              <c:pt idx="7">
                <c:v>1.5865822018987921E-2</c:v>
              </c:pt>
              <c:pt idx="8">
                <c:v>1.4406719379749855E-2</c:v>
              </c:pt>
              <c:pt idx="9">
                <c:v>1.2947616740511789E-2</c:v>
              </c:pt>
              <c:pt idx="10">
                <c:v>1.1488514101273724E-2</c:v>
              </c:pt>
              <c:pt idx="11">
                <c:v>9.968346269234216E-3</c:v>
              </c:pt>
              <c:pt idx="12">
                <c:v>8.4481784371947082E-3</c:v>
              </c:pt>
              <c:pt idx="13">
                <c:v>6.9280106051552003E-3</c:v>
              </c:pt>
              <c:pt idx="14">
                <c:v>5.4078427731156925E-3</c:v>
              </c:pt>
              <c:pt idx="15">
                <c:v>3.8876749410761847E-3</c:v>
              </c:pt>
              <c:pt idx="16">
                <c:v>3.4077409728216698E-3</c:v>
              </c:pt>
              <c:pt idx="17">
                <c:v>2.9278070045671545E-3</c:v>
              </c:pt>
              <c:pt idx="18">
                <c:v>2.4478730363126397E-3</c:v>
              </c:pt>
              <c:pt idx="19">
                <c:v>1.9679390680581244E-3</c:v>
              </c:pt>
              <c:pt idx="20">
                <c:v>1.4880050998036097E-3</c:v>
              </c:pt>
              <c:pt idx="21">
                <c:v>1.3068714130134568E-3</c:v>
              </c:pt>
              <c:pt idx="22">
                <c:v>1.1257377262233039E-3</c:v>
              </c:pt>
              <c:pt idx="23">
                <c:v>9.446040394331509E-4</c:v>
              </c:pt>
              <c:pt idx="24">
                <c:v>7.6347035264299795E-4</c:v>
              </c:pt>
              <c:pt idx="25">
                <c:v>5.82336665852845E-4</c:v>
              </c:pt>
              <c:pt idx="26">
                <c:v>4.6586933268227598E-4</c:v>
              </c:pt>
              <c:pt idx="27">
                <c:v>3.4940199951170701E-4</c:v>
              </c:pt>
              <c:pt idx="28">
                <c:v>2.3293466634113799E-4</c:v>
              </c:pt>
              <c:pt idx="29">
                <c:v>1.1646733317056902E-4</c:v>
              </c:pt>
              <c:pt idx="30">
                <c:v>0</c:v>
              </c:pt>
            </c:numLit>
          </c:val>
          <c:extLst>
            <c:ext xmlns:c16="http://schemas.microsoft.com/office/drawing/2014/chart" uri="{C3380CC4-5D6E-409C-BE32-E72D297353CC}">
              <c16:uniqueId val="{00000001-63F6-4576-9FCD-C7F246D49708}"/>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0.72705457895591841</c:v>
              </c:pt>
              <c:pt idx="1">
                <c:v>0.70515264337354699</c:v>
              </c:pt>
              <c:pt idx="2">
                <c:v>0.67655568667552957</c:v>
              </c:pt>
              <c:pt idx="3">
                <c:v>0.66134877220880417</c:v>
              </c:pt>
              <c:pt idx="4">
                <c:v>0.63944683662643276</c:v>
              </c:pt>
              <c:pt idx="5">
                <c:v>0.61754490104406135</c:v>
              </c:pt>
              <c:pt idx="6">
                <c:v>0.59665790254343587</c:v>
              </c:pt>
              <c:pt idx="7">
                <c:v>0.57577090404281039</c:v>
              </c:pt>
              <c:pt idx="8">
                <c:v>0.55488390554218503</c:v>
              </c:pt>
              <c:pt idx="9">
                <c:v>0.53399690704155955</c:v>
              </c:pt>
              <c:pt idx="10">
                <c:v>0.51310990854093408</c:v>
              </c:pt>
              <c:pt idx="11">
                <c:v>0.494469016097425</c:v>
              </c:pt>
              <c:pt idx="12">
                <c:v>0.47582812365391591</c:v>
              </c:pt>
              <c:pt idx="13">
                <c:v>0.45718723121040689</c:v>
              </c:pt>
              <c:pt idx="14">
                <c:v>0.4385463387668978</c:v>
              </c:pt>
              <c:pt idx="15">
                <c:v>0.41990544632338872</c:v>
              </c:pt>
              <c:pt idx="16">
                <c:v>0.40476348198075623</c:v>
              </c:pt>
              <c:pt idx="17">
                <c:v>0.38962151763812375</c:v>
              </c:pt>
              <c:pt idx="18">
                <c:v>0.37447955329549121</c:v>
              </c:pt>
              <c:pt idx="19">
                <c:v>0.35933758895285872</c:v>
              </c:pt>
              <c:pt idx="20">
                <c:v>0.34419562461022624</c:v>
              </c:pt>
              <c:pt idx="21">
                <c:v>0.33149110432546347</c:v>
              </c:pt>
              <c:pt idx="22">
                <c:v>0.31878658404070076</c:v>
              </c:pt>
              <c:pt idx="23">
                <c:v>0.30608206375593799</c:v>
              </c:pt>
              <c:pt idx="24">
                <c:v>0.29337754347117528</c:v>
              </c:pt>
              <c:pt idx="25">
                <c:v>0.28067302318641252</c:v>
              </c:pt>
              <c:pt idx="26">
                <c:v>0.2666996891779751</c:v>
              </c:pt>
              <c:pt idx="27">
                <c:v>0.25272635516953768</c:v>
              </c:pt>
              <c:pt idx="28">
                <c:v>0.23875302116110025</c:v>
              </c:pt>
              <c:pt idx="29">
                <c:v>0.22477968715266283</c:v>
              </c:pt>
              <c:pt idx="30">
                <c:v>0.21080635314422541</c:v>
              </c:pt>
            </c:numLit>
          </c:val>
          <c:extLst>
            <c:ext xmlns:c16="http://schemas.microsoft.com/office/drawing/2014/chart" uri="{C3380CC4-5D6E-409C-BE32-E72D297353CC}">
              <c16:uniqueId val="{00000002-63F6-4576-9FCD-C7F246D49708}"/>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3.4347831172193803E-2</c:v>
              </c:pt>
              <c:pt idx="1">
                <c:v>3.7944809096538287E-2</c:v>
              </c:pt>
              <c:pt idx="2">
                <c:v>4.3106050071005493E-2</c:v>
              </c:pt>
              <c:pt idx="3">
                <c:v>4.5138764945227262E-2</c:v>
              </c:pt>
              <c:pt idx="4">
                <c:v>4.8735742869571747E-2</c:v>
              </c:pt>
              <c:pt idx="5">
                <c:v>5.2332720793916238E-2</c:v>
              </c:pt>
              <c:pt idx="6">
                <c:v>5.3201612497131644E-2</c:v>
              </c:pt>
              <c:pt idx="7">
                <c:v>5.407050420034705E-2</c:v>
              </c:pt>
              <c:pt idx="8">
                <c:v>5.4939395903562463E-2</c:v>
              </c:pt>
              <c:pt idx="9">
                <c:v>5.5808287606777869E-2</c:v>
              </c:pt>
              <c:pt idx="10">
                <c:v>5.6677179309993275E-2</c:v>
              </c:pt>
              <c:pt idx="11">
                <c:v>5.7326653561920682E-2</c:v>
              </c:pt>
              <c:pt idx="12">
                <c:v>5.7976127813848088E-2</c:v>
              </c:pt>
              <c:pt idx="13">
                <c:v>5.8625602065775495E-2</c:v>
              </c:pt>
              <c:pt idx="14">
                <c:v>5.9275076317702902E-2</c:v>
              </c:pt>
              <c:pt idx="15">
                <c:v>5.9924550569630308E-2</c:v>
              </c:pt>
              <c:pt idx="16">
                <c:v>6.0900328914954518E-2</c:v>
              </c:pt>
              <c:pt idx="17">
                <c:v>6.1876107260278729E-2</c:v>
              </c:pt>
              <c:pt idx="18">
                <c:v>6.2851885605602939E-2</c:v>
              </c:pt>
              <c:pt idx="19">
                <c:v>6.3827663950927149E-2</c:v>
              </c:pt>
              <c:pt idx="20">
                <c:v>6.480344229625136E-2</c:v>
              </c:pt>
              <c:pt idx="21">
                <c:v>6.5133491477530073E-2</c:v>
              </c:pt>
              <c:pt idx="22">
                <c:v>6.5463540658808786E-2</c:v>
              </c:pt>
              <c:pt idx="23">
                <c:v>6.5793589840087485E-2</c:v>
              </c:pt>
              <c:pt idx="24">
                <c:v>6.6123639021366198E-2</c:v>
              </c:pt>
              <c:pt idx="25">
                <c:v>6.6453688202644912E-2</c:v>
              </c:pt>
              <c:pt idx="26">
                <c:v>6.6128286758925722E-2</c:v>
              </c:pt>
              <c:pt idx="27">
                <c:v>6.5802885315206547E-2</c:v>
              </c:pt>
              <c:pt idx="28">
                <c:v>6.5477483871487357E-2</c:v>
              </c:pt>
              <c:pt idx="29">
                <c:v>6.5152082427768182E-2</c:v>
              </c:pt>
              <c:pt idx="30">
                <c:v>6.4826680984048993E-2</c:v>
              </c:pt>
            </c:numLit>
          </c:val>
          <c:extLst>
            <c:ext xmlns:c16="http://schemas.microsoft.com/office/drawing/2014/chart" uri="{C3380CC4-5D6E-409C-BE32-E72D297353CC}">
              <c16:uniqueId val="{00000003-63F6-4576-9FCD-C7F246D49708}"/>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1.7504398632274241E-2</c:v>
              </c:pt>
              <c:pt idx="1">
                <c:v>1.7327408026237813E-2</c:v>
              </c:pt>
              <c:pt idx="2">
                <c:v>1.6078556676485049E-2</c:v>
              </c:pt>
              <c:pt idx="3">
                <c:v>1.6973426814164961E-2</c:v>
              </c:pt>
              <c:pt idx="4">
                <c:v>1.6796436208128537E-2</c:v>
              </c:pt>
              <c:pt idx="5">
                <c:v>1.6619445602092109E-2</c:v>
              </c:pt>
              <c:pt idx="6">
                <c:v>1.6470588916556349E-2</c:v>
              </c:pt>
              <c:pt idx="7">
                <c:v>1.632173223102059E-2</c:v>
              </c:pt>
              <c:pt idx="8">
                <c:v>1.6172875545484827E-2</c:v>
              </c:pt>
              <c:pt idx="9">
                <c:v>1.6024018859949068E-2</c:v>
              </c:pt>
              <c:pt idx="10">
                <c:v>1.5875162174413308E-2</c:v>
              </c:pt>
              <c:pt idx="11">
                <c:v>1.5643648679925577E-2</c:v>
              </c:pt>
              <c:pt idx="12">
                <c:v>1.5412135185437848E-2</c:v>
              </c:pt>
              <c:pt idx="13">
                <c:v>1.5180621690950118E-2</c:v>
              </c:pt>
              <c:pt idx="14">
                <c:v>1.4949108196462387E-2</c:v>
              </c:pt>
              <c:pt idx="15">
                <c:v>1.4717594701974658E-2</c:v>
              </c:pt>
              <c:pt idx="16">
                <c:v>1.4584516073876607E-2</c:v>
              </c:pt>
              <c:pt idx="17">
                <c:v>1.4451437445778557E-2</c:v>
              </c:pt>
              <c:pt idx="18">
                <c:v>1.4318358817680506E-2</c:v>
              </c:pt>
              <c:pt idx="19">
                <c:v>1.4185280189582457E-2</c:v>
              </c:pt>
              <c:pt idx="20">
                <c:v>1.4052201561484406E-2</c:v>
              </c:pt>
              <c:pt idx="21">
                <c:v>1.3957192453136355E-2</c:v>
              </c:pt>
              <c:pt idx="22">
                <c:v>1.3862183344788304E-2</c:v>
              </c:pt>
              <c:pt idx="23">
                <c:v>1.3767174236440251E-2</c:v>
              </c:pt>
              <c:pt idx="24">
                <c:v>1.36721651280922E-2</c:v>
              </c:pt>
              <c:pt idx="25">
                <c:v>1.3577156019744149E-2</c:v>
              </c:pt>
              <c:pt idx="26">
                <c:v>1.3433758357530424E-2</c:v>
              </c:pt>
              <c:pt idx="27">
                <c:v>1.3290360695316701E-2</c:v>
              </c:pt>
              <c:pt idx="28">
                <c:v>1.3146963033102976E-2</c:v>
              </c:pt>
              <c:pt idx="29">
                <c:v>1.3003565370889253E-2</c:v>
              </c:pt>
              <c:pt idx="30">
                <c:v>1.2860167708675528E-2</c:v>
              </c:pt>
            </c:numLit>
          </c:val>
          <c:extLst>
            <c:ext xmlns:c16="http://schemas.microsoft.com/office/drawing/2014/chart" uri="{C3380CC4-5D6E-409C-BE32-E72D297353CC}">
              <c16:uniqueId val="{00000004-63F6-4576-9FCD-C7F246D49708}"/>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0.19126569597021809</c:v>
              </c:pt>
              <c:pt idx="1">
                <c:v>0.21084658076089033</c:v>
              </c:pt>
              <c:pt idx="2">
                <c:v>0.23939928225986015</c:v>
              </c:pt>
              <c:pt idx="3">
                <c:v>0.25000835034223484</c:v>
              </c:pt>
              <c:pt idx="4">
                <c:v>0.26958923513290711</c:v>
              </c:pt>
              <c:pt idx="5">
                <c:v>0.28917011992357933</c:v>
              </c:pt>
              <c:pt idx="6">
                <c:v>0.30982961583357349</c:v>
              </c:pt>
              <c:pt idx="7">
                <c:v>0.33048911174356765</c:v>
              </c:pt>
              <c:pt idx="8">
                <c:v>0.35114860765356187</c:v>
              </c:pt>
              <c:pt idx="9">
                <c:v>0.37180810356355604</c:v>
              </c:pt>
              <c:pt idx="10">
                <c:v>0.3924675994735502</c:v>
              </c:pt>
              <c:pt idx="11">
                <c:v>0.41116586069452188</c:v>
              </c:pt>
              <c:pt idx="12">
                <c:v>0.4298641219154935</c:v>
              </c:pt>
              <c:pt idx="13">
                <c:v>0.44856238313646518</c:v>
              </c:pt>
              <c:pt idx="14">
                <c:v>0.46726064435743686</c:v>
              </c:pt>
              <c:pt idx="15">
                <c:v>0.48595890557840848</c:v>
              </c:pt>
              <c:pt idx="16">
                <c:v>0.50012018508636924</c:v>
              </c:pt>
              <c:pt idx="17">
                <c:v>0.51428146459433</c:v>
              </c:pt>
              <c:pt idx="18">
                <c:v>0.52844274410229075</c:v>
              </c:pt>
              <c:pt idx="19">
                <c:v>0.54260402361025151</c:v>
              </c:pt>
              <c:pt idx="20">
                <c:v>0.55676530311821226</c:v>
              </c:pt>
              <c:pt idx="21">
                <c:v>0.56911701715343654</c:v>
              </c:pt>
              <c:pt idx="22">
                <c:v>0.58146873118866083</c:v>
              </c:pt>
              <c:pt idx="23">
                <c:v>0.59382044522388522</c:v>
              </c:pt>
              <c:pt idx="24">
                <c:v>0.6061721592591095</c:v>
              </c:pt>
              <c:pt idx="25">
                <c:v>0.61852387329433378</c:v>
              </c:pt>
              <c:pt idx="26">
                <c:v>0.63296996954653728</c:v>
              </c:pt>
              <c:pt idx="27">
                <c:v>0.64741606579874078</c:v>
              </c:pt>
              <c:pt idx="28">
                <c:v>0.66186216205094417</c:v>
              </c:pt>
              <c:pt idx="29">
                <c:v>0.67630825830314767</c:v>
              </c:pt>
              <c:pt idx="30">
                <c:v>0.69075435455535117</c:v>
              </c:pt>
            </c:numLit>
          </c:val>
          <c:extLst>
            <c:ext xmlns:c16="http://schemas.microsoft.com/office/drawing/2014/chart" uri="{C3380CC4-5D6E-409C-BE32-E72D297353CC}">
              <c16:uniqueId val="{00000005-63F6-4576-9FCD-C7F246D49708}"/>
            </c:ext>
          </c:extLst>
        </c:ser>
        <c:dLbls>
          <c:showLegendKey val="0"/>
          <c:showVal val="0"/>
          <c:showCatName val="0"/>
          <c:showSerName val="0"/>
          <c:showPercent val="0"/>
          <c:showBubbleSize val="0"/>
        </c:dLbls>
        <c:axId val="-378663488"/>
        <c:axId val="-378662944"/>
      </c:areaChart>
      <c:catAx>
        <c:axId val="-378663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2944"/>
        <c:crosses val="autoZero"/>
        <c:auto val="1"/>
        <c:lblAlgn val="ctr"/>
        <c:lblOffset val="100"/>
        <c:noMultiLvlLbl val="0"/>
      </c:catAx>
      <c:valAx>
        <c:axId val="-378662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34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5.0412668060949815E-3</c:v>
              </c:pt>
              <c:pt idx="1">
                <c:v>5.2938223478417373E-3</c:v>
              </c:pt>
              <c:pt idx="2">
                <c:v>4.9639705447100989E-3</c:v>
              </c:pt>
              <c:pt idx="3">
                <c:v>5.7989334313352488E-3</c:v>
              </c:pt>
              <c:pt idx="4">
                <c:v>6.0514889730820046E-3</c:v>
              </c:pt>
              <c:pt idx="5">
                <c:v>6.3040445148287603E-3</c:v>
              </c:pt>
              <c:pt idx="6">
                <c:v>7.1580533004162563E-3</c:v>
              </c:pt>
              <c:pt idx="7">
                <c:v>8.0120620860037513E-3</c:v>
              </c:pt>
              <c:pt idx="8">
                <c:v>8.8660708715912473E-3</c:v>
              </c:pt>
              <c:pt idx="9">
                <c:v>9.7200796571787432E-3</c:v>
              </c:pt>
              <c:pt idx="10">
                <c:v>1.0574088442766239E-2</c:v>
              </c:pt>
              <c:pt idx="11">
                <c:v>1.1581420648852793E-2</c:v>
              </c:pt>
              <c:pt idx="12">
                <c:v>1.2588752854939347E-2</c:v>
              </c:pt>
              <c:pt idx="13">
                <c:v>1.35960850610259E-2</c:v>
              </c:pt>
              <c:pt idx="14">
                <c:v>1.4603417267112454E-2</c:v>
              </c:pt>
              <c:pt idx="15">
                <c:v>1.5610749473199008E-2</c:v>
              </c:pt>
              <c:pt idx="16">
                <c:v>1.6408979114353732E-2</c:v>
              </c:pt>
              <c:pt idx="17">
                <c:v>1.7207208755508456E-2</c:v>
              </c:pt>
              <c:pt idx="18">
                <c:v>1.8005438396663177E-2</c:v>
              </c:pt>
              <c:pt idx="19">
                <c:v>1.8803668037817901E-2</c:v>
              </c:pt>
              <c:pt idx="20">
                <c:v>1.9601897678972625E-2</c:v>
              </c:pt>
              <c:pt idx="21">
                <c:v>1.9951441715816066E-2</c:v>
              </c:pt>
              <c:pt idx="22">
                <c:v>2.0300985752659508E-2</c:v>
              </c:pt>
              <c:pt idx="23">
                <c:v>2.065052978950295E-2</c:v>
              </c:pt>
              <c:pt idx="24">
                <c:v>2.1000073826346392E-2</c:v>
              </c:pt>
              <c:pt idx="25">
                <c:v>2.1349617863189833E-2</c:v>
              </c:pt>
              <c:pt idx="26">
                <c:v>2.1008712054910849E-2</c:v>
              </c:pt>
              <c:pt idx="27">
                <c:v>2.0667806246631861E-2</c:v>
              </c:pt>
              <c:pt idx="28">
                <c:v>2.0326900438352877E-2</c:v>
              </c:pt>
              <c:pt idx="29">
                <c:v>1.9985994630073889E-2</c:v>
              </c:pt>
              <c:pt idx="30">
                <c:v>1.9645088821794904E-2</c:v>
              </c:pt>
            </c:numLit>
          </c:val>
          <c:extLst>
            <c:ext xmlns:c16="http://schemas.microsoft.com/office/drawing/2014/chart" uri="{C3380CC4-5D6E-409C-BE32-E72D297353CC}">
              <c16:uniqueId val="{00000000-CEB1-4BBB-9732-7AB9FFCFCF54}"/>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2.4786228463300326E-2</c:v>
              </c:pt>
              <c:pt idx="1">
                <c:v>2.2795782545190702E-2</c:v>
              </c:pt>
              <c:pt idx="2">
                <c:v>2.1967766436985885E-2</c:v>
              </c:pt>
              <c:pt idx="3">
                <c:v>1.8814890708971452E-2</c:v>
              </c:pt>
              <c:pt idx="4">
                <c:v>1.6824444790861828E-2</c:v>
              </c:pt>
              <c:pt idx="5">
                <c:v>1.4833998872752205E-2</c:v>
              </c:pt>
              <c:pt idx="6">
                <c:v>1.378533722354462E-2</c:v>
              </c:pt>
              <c:pt idx="7">
                <c:v>1.2736675574337037E-2</c:v>
              </c:pt>
              <c:pt idx="8">
                <c:v>1.1688013925129453E-2</c:v>
              </c:pt>
              <c:pt idx="9">
                <c:v>1.063935227592187E-2</c:v>
              </c:pt>
              <c:pt idx="10">
                <c:v>9.5906906267142853E-3</c:v>
              </c:pt>
              <c:pt idx="11">
                <c:v>8.8722151728923629E-3</c:v>
              </c:pt>
              <c:pt idx="12">
                <c:v>8.1537397190704422E-3</c:v>
              </c:pt>
              <c:pt idx="13">
                <c:v>7.4352642652485207E-3</c:v>
              </c:pt>
              <c:pt idx="14">
                <c:v>6.7167888114265991E-3</c:v>
              </c:pt>
              <c:pt idx="15">
                <c:v>5.9983133576046775E-3</c:v>
              </c:pt>
              <c:pt idx="16">
                <c:v>5.1120063773469164E-3</c:v>
              </c:pt>
              <c:pt idx="17">
                <c:v>4.2256993970891561E-3</c:v>
              </c:pt>
              <c:pt idx="18">
                <c:v>3.3393924168313954E-3</c:v>
              </c:pt>
              <c:pt idx="19">
                <c:v>2.4530854365736343E-3</c:v>
              </c:pt>
              <c:pt idx="20">
                <c:v>1.5667784563158733E-3</c:v>
              </c:pt>
              <c:pt idx="21">
                <c:v>1.2534227650526986E-3</c:v>
              </c:pt>
              <c:pt idx="22">
                <c:v>9.4006707378952402E-4</c:v>
              </c:pt>
              <c:pt idx="23">
                <c:v>6.2671138252634942E-4</c:v>
              </c:pt>
              <c:pt idx="24">
                <c:v>3.1335569126317471E-4</c:v>
              </c:pt>
              <c:pt idx="25">
                <c:v>0</c:v>
              </c:pt>
              <c:pt idx="26">
                <c:v>0</c:v>
              </c:pt>
              <c:pt idx="27">
                <c:v>0</c:v>
              </c:pt>
              <c:pt idx="28">
                <c:v>0</c:v>
              </c:pt>
              <c:pt idx="29">
                <c:v>0</c:v>
              </c:pt>
              <c:pt idx="30">
                <c:v>0</c:v>
              </c:pt>
            </c:numLit>
          </c:val>
          <c:extLst>
            <c:ext xmlns:c16="http://schemas.microsoft.com/office/drawing/2014/chart" uri="{C3380CC4-5D6E-409C-BE32-E72D297353CC}">
              <c16:uniqueId val="{00000001-CEB1-4BBB-9732-7AB9FFCFCF54}"/>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0.72705457895591841</c:v>
              </c:pt>
              <c:pt idx="1">
                <c:v>0.69261856085702533</c:v>
              </c:pt>
              <c:pt idx="2">
                <c:v>0.633240929668068</c:v>
              </c:pt>
              <c:pt idx="3">
                <c:v>0.6237465246592393</c:v>
              </c:pt>
              <c:pt idx="4">
                <c:v>0.58931050656034634</c:v>
              </c:pt>
              <c:pt idx="5">
                <c:v>0.55487448846145326</c:v>
              </c:pt>
              <c:pt idx="6">
                <c:v>0.5325885110878984</c:v>
              </c:pt>
              <c:pt idx="7">
                <c:v>0.51030253371434364</c:v>
              </c:pt>
              <c:pt idx="8">
                <c:v>0.48801655634078878</c:v>
              </c:pt>
              <c:pt idx="9">
                <c:v>0.46573057896723391</c:v>
              </c:pt>
              <c:pt idx="10">
                <c:v>0.4434446015936791</c:v>
              </c:pt>
              <c:pt idx="11">
                <c:v>0.42575244896801356</c:v>
              </c:pt>
              <c:pt idx="12">
                <c:v>0.40806029634234803</c:v>
              </c:pt>
              <c:pt idx="13">
                <c:v>0.39036814371668249</c:v>
              </c:pt>
              <c:pt idx="14">
                <c:v>0.37267599109101696</c:v>
              </c:pt>
              <c:pt idx="15">
                <c:v>0.35498383846535142</c:v>
              </c:pt>
              <c:pt idx="16">
                <c:v>0.33897084015075551</c:v>
              </c:pt>
              <c:pt idx="17">
                <c:v>0.32295784183615955</c:v>
              </c:pt>
              <c:pt idx="18">
                <c:v>0.30694484352156365</c:v>
              </c:pt>
              <c:pt idx="19">
                <c:v>0.29093184520696769</c:v>
              </c:pt>
              <c:pt idx="20">
                <c:v>0.27491884689237178</c:v>
              </c:pt>
              <c:pt idx="21">
                <c:v>0.25812905816764925</c:v>
              </c:pt>
              <c:pt idx="22">
                <c:v>0.24133926944292669</c:v>
              </c:pt>
              <c:pt idx="23">
                <c:v>0.22454948071820413</c:v>
              </c:pt>
              <c:pt idx="24">
                <c:v>0.2077596919934816</c:v>
              </c:pt>
              <c:pt idx="25">
                <c:v>0.19096990326875904</c:v>
              </c:pt>
              <c:pt idx="26">
                <c:v>0.17499763518981579</c:v>
              </c:pt>
              <c:pt idx="27">
                <c:v>0.15902536711087256</c:v>
              </c:pt>
              <c:pt idx="28">
                <c:v>0.14305309903192931</c:v>
              </c:pt>
              <c:pt idx="29">
                <c:v>0.12708083095298606</c:v>
              </c:pt>
              <c:pt idx="30">
                <c:v>0.11110856287404282</c:v>
              </c:pt>
            </c:numLit>
          </c:val>
          <c:extLst>
            <c:ext xmlns:c16="http://schemas.microsoft.com/office/drawing/2014/chart" uri="{C3380CC4-5D6E-409C-BE32-E72D297353CC}">
              <c16:uniqueId val="{00000002-CEB1-4BBB-9732-7AB9FFCFCF54}"/>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3.4347831172193803E-2</c:v>
              </c:pt>
              <c:pt idx="1">
                <c:v>3.6951795313082389E-2</c:v>
              </c:pt>
              <c:pt idx="2">
                <c:v>3.8395919221993695E-2</c:v>
              </c:pt>
              <c:pt idx="3">
                <c:v>4.2159723594859554E-2</c:v>
              </c:pt>
              <c:pt idx="4">
                <c:v>4.4763687735748139E-2</c:v>
              </c:pt>
              <c:pt idx="5">
                <c:v>4.7367651876636725E-2</c:v>
              </c:pt>
              <c:pt idx="6">
                <c:v>4.9524973063974596E-2</c:v>
              </c:pt>
              <c:pt idx="7">
                <c:v>5.1682294251312468E-2</c:v>
              </c:pt>
              <c:pt idx="8">
                <c:v>5.3839615438650332E-2</c:v>
              </c:pt>
              <c:pt idx="9">
                <c:v>5.5996936625988203E-2</c:v>
              </c:pt>
              <c:pt idx="10">
                <c:v>5.8154257813326074E-2</c:v>
              </c:pt>
              <c:pt idx="11">
                <c:v>5.9624781484541985E-2</c:v>
              </c:pt>
              <c:pt idx="12">
                <c:v>6.1095305155757895E-2</c:v>
              </c:pt>
              <c:pt idx="13">
                <c:v>6.2565828826973799E-2</c:v>
              </c:pt>
              <c:pt idx="14">
                <c:v>6.4036352498189716E-2</c:v>
              </c:pt>
              <c:pt idx="15">
                <c:v>6.550687616940562E-2</c:v>
              </c:pt>
              <c:pt idx="16">
                <c:v>6.703120834364959E-2</c:v>
              </c:pt>
              <c:pt idx="17">
                <c:v>6.855554051789356E-2</c:v>
              </c:pt>
              <c:pt idx="18">
                <c:v>7.0079872692137529E-2</c:v>
              </c:pt>
              <c:pt idx="19">
                <c:v>7.1604204866381499E-2</c:v>
              </c:pt>
              <c:pt idx="20">
                <c:v>7.3128537040625469E-2</c:v>
              </c:pt>
              <c:pt idx="21">
                <c:v>7.4384377492172415E-2</c:v>
              </c:pt>
              <c:pt idx="22">
                <c:v>7.5640217943719348E-2</c:v>
              </c:pt>
              <c:pt idx="23">
                <c:v>7.6896058395266295E-2</c:v>
              </c:pt>
              <c:pt idx="24">
                <c:v>7.8151898846813228E-2</c:v>
              </c:pt>
              <c:pt idx="25">
                <c:v>7.9407739298360175E-2</c:v>
              </c:pt>
              <c:pt idx="26">
                <c:v>7.9966596522081504E-2</c:v>
              </c:pt>
              <c:pt idx="27">
                <c:v>8.0525453745802833E-2</c:v>
              </c:pt>
              <c:pt idx="28">
                <c:v>8.1084310969524148E-2</c:v>
              </c:pt>
              <c:pt idx="29">
                <c:v>8.1643168193245477E-2</c:v>
              </c:pt>
              <c:pt idx="30">
                <c:v>8.2202025416966806E-2</c:v>
              </c:pt>
            </c:numLit>
          </c:val>
          <c:extLst>
            <c:ext xmlns:c16="http://schemas.microsoft.com/office/drawing/2014/chart" uri="{C3380CC4-5D6E-409C-BE32-E72D297353CC}">
              <c16:uniqueId val="{00000003-CEB1-4BBB-9732-7AB9FFCFCF54}"/>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1.7504398632274241E-2</c:v>
              </c:pt>
              <c:pt idx="1">
                <c:v>1.7475723063596536E-2</c:v>
              </c:pt>
              <c:pt idx="2">
                <c:v>1.7431972912727734E-2</c:v>
              </c:pt>
              <c:pt idx="3">
                <c:v>1.7418371926241124E-2</c:v>
              </c:pt>
              <c:pt idx="4">
                <c:v>1.7389696357563419E-2</c:v>
              </c:pt>
              <c:pt idx="5">
                <c:v>1.7361020788885715E-2</c:v>
              </c:pt>
              <c:pt idx="6">
                <c:v>1.7122706981538581E-2</c:v>
              </c:pt>
              <c:pt idx="7">
                <c:v>1.6884393174191447E-2</c:v>
              </c:pt>
              <c:pt idx="8">
                <c:v>1.6646079366844316E-2</c:v>
              </c:pt>
              <c:pt idx="9">
                <c:v>1.6407765559497182E-2</c:v>
              </c:pt>
              <c:pt idx="10">
                <c:v>1.6169451752150048E-2</c:v>
              </c:pt>
              <c:pt idx="11">
                <c:v>1.5880008635484034E-2</c:v>
              </c:pt>
              <c:pt idx="12">
                <c:v>1.5590565518818017E-2</c:v>
              </c:pt>
              <c:pt idx="13">
                <c:v>1.5301122402152003E-2</c:v>
              </c:pt>
              <c:pt idx="14">
                <c:v>1.5011679285485987E-2</c:v>
              </c:pt>
              <c:pt idx="15">
                <c:v>1.4722236168819972E-2</c:v>
              </c:pt>
              <c:pt idx="16">
                <c:v>1.4496389464813297E-2</c:v>
              </c:pt>
              <c:pt idx="17">
                <c:v>1.4270542760806623E-2</c:v>
              </c:pt>
              <c:pt idx="18">
                <c:v>1.4044696056799951E-2</c:v>
              </c:pt>
              <c:pt idx="19">
                <c:v>1.3818849352793277E-2</c:v>
              </c:pt>
              <c:pt idx="20">
                <c:v>1.3593002648786602E-2</c:v>
              </c:pt>
              <c:pt idx="21">
                <c:v>1.3381219831897842E-2</c:v>
              </c:pt>
              <c:pt idx="22">
                <c:v>1.3169437015009082E-2</c:v>
              </c:pt>
              <c:pt idx="23">
                <c:v>1.295765419812032E-2</c:v>
              </c:pt>
              <c:pt idx="24">
                <c:v>1.2745871381231559E-2</c:v>
              </c:pt>
              <c:pt idx="25">
                <c:v>1.2534088564342799E-2</c:v>
              </c:pt>
              <c:pt idx="26">
                <c:v>1.2333078765929588E-2</c:v>
              </c:pt>
              <c:pt idx="27">
                <c:v>1.2132068967516377E-2</c:v>
              </c:pt>
              <c:pt idx="28">
                <c:v>1.1931059169103165E-2</c:v>
              </c:pt>
              <c:pt idx="29">
                <c:v>1.1730049370689954E-2</c:v>
              </c:pt>
              <c:pt idx="30">
                <c:v>1.1529039572276743E-2</c:v>
              </c:pt>
            </c:numLit>
          </c:val>
          <c:extLst>
            <c:ext xmlns:c16="http://schemas.microsoft.com/office/drawing/2014/chart" uri="{C3380CC4-5D6E-409C-BE32-E72D297353CC}">
              <c16:uniqueId val="{00000004-CEB1-4BBB-9732-7AB9FFCFCF54}"/>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0.19126569597021809</c:v>
              </c:pt>
              <c:pt idx="1">
                <c:v>0.22486431587326314</c:v>
              </c:pt>
              <c:pt idx="2">
                <c:v>0.2839994412155144</c:v>
              </c:pt>
              <c:pt idx="3">
                <c:v>0.29206155567935321</c:v>
              </c:pt>
              <c:pt idx="4">
                <c:v>0.32566017558239824</c:v>
              </c:pt>
              <c:pt idx="5">
                <c:v>0.35925879548544332</c:v>
              </c:pt>
              <c:pt idx="6">
                <c:v>0.37982041834262753</c:v>
              </c:pt>
              <c:pt idx="7">
                <c:v>0.40038204119981174</c:v>
              </c:pt>
              <c:pt idx="8">
                <c:v>0.42094366405699596</c:v>
              </c:pt>
              <c:pt idx="9">
                <c:v>0.44150528691418017</c:v>
              </c:pt>
              <c:pt idx="10">
                <c:v>0.46206690977136439</c:v>
              </c:pt>
              <c:pt idx="11">
                <c:v>0.47828912509021537</c:v>
              </c:pt>
              <c:pt idx="12">
                <c:v>0.49451134040906636</c:v>
              </c:pt>
              <c:pt idx="13">
                <c:v>0.51073355572791734</c:v>
              </c:pt>
              <c:pt idx="14">
                <c:v>0.52695577104676827</c:v>
              </c:pt>
              <c:pt idx="15">
                <c:v>0.54317798636561931</c:v>
              </c:pt>
              <c:pt idx="16">
                <c:v>0.55798057654908095</c:v>
              </c:pt>
              <c:pt idx="17">
                <c:v>0.57278316673254248</c:v>
              </c:pt>
              <c:pt idx="18">
                <c:v>0.58758575691600412</c:v>
              </c:pt>
              <c:pt idx="19">
                <c:v>0.60238834709946565</c:v>
              </c:pt>
              <c:pt idx="20">
                <c:v>0.61719093728292729</c:v>
              </c:pt>
              <c:pt idx="21">
                <c:v>0.63290048002741151</c:v>
              </c:pt>
              <c:pt idx="22">
                <c:v>0.64861002277189561</c:v>
              </c:pt>
              <c:pt idx="23">
                <c:v>0.66431956551637983</c:v>
              </c:pt>
              <c:pt idx="24">
                <c:v>0.68002910826086393</c:v>
              </c:pt>
              <c:pt idx="25">
                <c:v>0.69573865100534815</c:v>
              </c:pt>
              <c:pt idx="26">
                <c:v>0.71169397746726226</c:v>
              </c:pt>
              <c:pt idx="27">
                <c:v>0.72764930392917637</c:v>
              </c:pt>
              <c:pt idx="28">
                <c:v>0.74360463039109048</c:v>
              </c:pt>
              <c:pt idx="29">
                <c:v>0.75955995685300459</c:v>
              </c:pt>
              <c:pt idx="30">
                <c:v>0.7755152833149187</c:v>
              </c:pt>
            </c:numLit>
          </c:val>
          <c:extLst>
            <c:ext xmlns:c16="http://schemas.microsoft.com/office/drawing/2014/chart" uri="{C3380CC4-5D6E-409C-BE32-E72D297353CC}">
              <c16:uniqueId val="{00000005-CEB1-4BBB-9732-7AB9FFCFCF54}"/>
            </c:ext>
          </c:extLst>
        </c:ser>
        <c:dLbls>
          <c:showLegendKey val="0"/>
          <c:showVal val="0"/>
          <c:showCatName val="0"/>
          <c:showSerName val="0"/>
          <c:showPercent val="0"/>
          <c:showBubbleSize val="0"/>
        </c:dLbls>
        <c:axId val="-378656960"/>
        <c:axId val="-378657504"/>
      </c:areaChart>
      <c:catAx>
        <c:axId val="-378656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7504"/>
        <c:crosses val="autoZero"/>
        <c:auto val="1"/>
        <c:lblAlgn val="ctr"/>
        <c:lblOffset val="100"/>
        <c:noMultiLvlLbl val="0"/>
      </c:catAx>
      <c:valAx>
        <c:axId val="-3786575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6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EM!$A$113</c:f>
              <c:strCache>
                <c:ptCount val="1"/>
                <c:pt idx="0">
                  <c:v>Residual oil</c:v>
                </c:pt>
              </c:strCache>
            </c:strRef>
          </c:tx>
          <c:spPr>
            <a:solidFill>
              <a:schemeClr val="accent1"/>
            </a:solidFill>
            <a:ln>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EM!$B$113:$AF$113</c:f>
              <c:numCache>
                <c:formatCode>0%</c:formatCode>
                <c:ptCount val="31"/>
                <c:pt idx="0">
                  <c:v>5.0412668060949815E-3</c:v>
                </c:pt>
                <c:pt idx="1">
                  <c:v>4.0330134448759852E-3</c:v>
                </c:pt>
                <c:pt idx="2">
                  <c:v>3.0247600836569889E-3</c:v>
                </c:pt>
                <c:pt idx="3">
                  <c:v>2.0165067224379926E-3</c:v>
                </c:pt>
                <c:pt idx="4">
                  <c:v>1.0082533612189963E-3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0-7B94-4FB9-B7AE-EA4852483B3A}"/>
            </c:ext>
          </c:extLst>
        </c:ser>
        <c:ser>
          <c:idx val="1"/>
          <c:order val="1"/>
          <c:tx>
            <c:strRef>
              <c:f>EM!$A$114</c:f>
              <c:strCache>
                <c:ptCount val="1"/>
                <c:pt idx="0">
                  <c:v>Natural gas</c:v>
                </c:pt>
              </c:strCache>
            </c:strRef>
          </c:tx>
          <c:spPr>
            <a:solidFill>
              <a:schemeClr val="accent2"/>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EM!$B$114:$AF$114</c:f>
              <c:numCache>
                <c:formatCode>0%</c:formatCode>
                <c:ptCount val="31"/>
                <c:pt idx="0">
                  <c:v>2.4786228463300326E-2</c:v>
                </c:pt>
                <c:pt idx="1">
                  <c:v>1.9828982770640262E-2</c:v>
                </c:pt>
                <c:pt idx="2">
                  <c:v>1.4871737077980195E-2</c:v>
                </c:pt>
                <c:pt idx="3">
                  <c:v>9.9144913853201292E-3</c:v>
                </c:pt>
                <c:pt idx="4">
                  <c:v>4.9572456926600637E-3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1-7B94-4FB9-B7AE-EA4852483B3A}"/>
            </c:ext>
          </c:extLst>
        </c:ser>
        <c:ser>
          <c:idx val="2"/>
          <c:order val="2"/>
          <c:tx>
            <c:strRef>
              <c:f>EM!$A$115</c:f>
              <c:strCache>
                <c:ptCount val="1"/>
                <c:pt idx="0">
                  <c:v>Coal</c:v>
                </c:pt>
              </c:strCache>
            </c:strRef>
          </c:tx>
          <c:spPr>
            <a:solidFill>
              <a:schemeClr val="accent3"/>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EM!$B$115:$AF$115</c:f>
              <c:numCache>
                <c:formatCode>0%</c:formatCode>
                <c:ptCount val="31"/>
                <c:pt idx="0">
                  <c:v>0.72705457895591841</c:v>
                </c:pt>
                <c:pt idx="1">
                  <c:v>0.5816436631647347</c:v>
                </c:pt>
                <c:pt idx="2">
                  <c:v>0.43623274737355106</c:v>
                </c:pt>
                <c:pt idx="3">
                  <c:v>0.29082183158236741</c:v>
                </c:pt>
                <c:pt idx="4">
                  <c:v>0.1454109157911837</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2-7B94-4FB9-B7AE-EA4852483B3A}"/>
            </c:ext>
          </c:extLst>
        </c:ser>
        <c:ser>
          <c:idx val="3"/>
          <c:order val="3"/>
          <c:tx>
            <c:strRef>
              <c:f>EM!$A$116</c:f>
              <c:strCache>
                <c:ptCount val="1"/>
                <c:pt idx="0">
                  <c:v>Nuclear</c:v>
                </c:pt>
              </c:strCache>
            </c:strRef>
          </c:tx>
          <c:spPr>
            <a:solidFill>
              <a:schemeClr val="accent4"/>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EM!$B$116:$AF$116</c:f>
              <c:numCache>
                <c:formatCode>0%</c:formatCode>
                <c:ptCount val="31"/>
                <c:pt idx="0">
                  <c:v>3.4347831172193803E-2</c:v>
                </c:pt>
                <c:pt idx="1">
                  <c:v>2.7478264937755043E-2</c:v>
                </c:pt>
                <c:pt idx="2">
                  <c:v>2.0608698703316282E-2</c:v>
                </c:pt>
                <c:pt idx="3">
                  <c:v>1.3739132468877521E-2</c:v>
                </c:pt>
                <c:pt idx="4">
                  <c:v>6.8695662344387606E-3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3-7B94-4FB9-B7AE-EA4852483B3A}"/>
            </c:ext>
          </c:extLst>
        </c:ser>
        <c:ser>
          <c:idx val="4"/>
          <c:order val="4"/>
          <c:tx>
            <c:strRef>
              <c:f>EM!$A$117</c:f>
              <c:strCache>
                <c:ptCount val="1"/>
                <c:pt idx="0">
                  <c:v>Biomass</c:v>
                </c:pt>
              </c:strCache>
            </c:strRef>
          </c:tx>
          <c:spPr>
            <a:solidFill>
              <a:schemeClr val="accent5"/>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EM!$B$117:$AF$117</c:f>
              <c:numCache>
                <c:formatCode>0%</c:formatCode>
                <c:ptCount val="31"/>
                <c:pt idx="0">
                  <c:v>1.7504398632274241E-2</c:v>
                </c:pt>
                <c:pt idx="1">
                  <c:v>1.4003518905819393E-2</c:v>
                </c:pt>
                <c:pt idx="2">
                  <c:v>1.0502639179364545E-2</c:v>
                </c:pt>
                <c:pt idx="3">
                  <c:v>7.0017594529096956E-3</c:v>
                </c:pt>
                <c:pt idx="4">
                  <c:v>3.5008797264548478E-3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4-7B94-4FB9-B7AE-EA4852483B3A}"/>
            </c:ext>
          </c:extLst>
        </c:ser>
        <c:ser>
          <c:idx val="5"/>
          <c:order val="5"/>
          <c:tx>
            <c:strRef>
              <c:f>EM!$A$118</c:f>
              <c:strCache>
                <c:ptCount val="1"/>
                <c:pt idx="0">
                  <c:v>Other renewables (hydro, solar, wind)</c:v>
                </c:pt>
              </c:strCache>
            </c:strRef>
          </c:tx>
          <c:spPr>
            <a:solidFill>
              <a:schemeClr val="accent6"/>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EM!$B$118:$AF$118</c:f>
              <c:numCache>
                <c:formatCode>0%</c:formatCode>
                <c:ptCount val="31"/>
                <c:pt idx="0">
                  <c:v>0.19126569597021809</c:v>
                </c:pt>
                <c:pt idx="1">
                  <c:v>0.15301255677617448</c:v>
                </c:pt>
                <c:pt idx="2">
                  <c:v>0.11475941758213085</c:v>
                </c:pt>
                <c:pt idx="3">
                  <c:v>7.650627838808724E-2</c:v>
                </c:pt>
                <c:pt idx="4">
                  <c:v>3.8253139194043606E-2</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5-7B94-4FB9-B7AE-EA4852483B3A}"/>
            </c:ext>
          </c:extLst>
        </c:ser>
        <c:dLbls>
          <c:showLegendKey val="0"/>
          <c:showVal val="0"/>
          <c:showCatName val="0"/>
          <c:showSerName val="0"/>
          <c:showPercent val="0"/>
          <c:showBubbleSize val="0"/>
        </c:dLbls>
        <c:axId val="-378660768"/>
        <c:axId val="-378666208"/>
      </c:areaChart>
      <c:catAx>
        <c:axId val="-378660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6208"/>
        <c:crosses val="autoZero"/>
        <c:auto val="1"/>
        <c:lblAlgn val="ctr"/>
        <c:lblOffset val="100"/>
        <c:noMultiLvlLbl val="0"/>
      </c:catAx>
      <c:valAx>
        <c:axId val="-378666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07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consumption per pkm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Summary!$A$6</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Summary!$C$6:$AB$6</c:f>
              <c:numCache>
                <c:formatCode>0.000</c:formatCode>
                <c:ptCount val="26"/>
                <c:pt idx="0">
                  <c:v>9.1839669892400819E-2</c:v>
                </c:pt>
                <c:pt idx="1">
                  <c:v>0.21854570076817501</c:v>
                </c:pt>
                <c:pt idx="2">
                  <c:v>9.1293281154217129E-2</c:v>
                </c:pt>
                <c:pt idx="3">
                  <c:v>0.23024469844356268</c:v>
                </c:pt>
                <c:pt idx="4">
                  <c:v>5.5275727117814887E-2</c:v>
                </c:pt>
                <c:pt idx="5">
                  <c:v>0.13153248629114697</c:v>
                </c:pt>
                <c:pt idx="6">
                  <c:v>5.4946983046795891E-2</c:v>
                </c:pt>
                <c:pt idx="7">
                  <c:v>0.13150535005571179</c:v>
                </c:pt>
                <c:pt idx="8">
                  <c:v>3.6850956504794238E-2</c:v>
                </c:pt>
                <c:pt idx="9">
                  <c:v>8.4884894031320754E-2</c:v>
                </c:pt>
                <c:pt idx="10">
                  <c:v>2.6187040901476485E-2</c:v>
                </c:pt>
                <c:pt idx="11">
                  <c:v>2.413409530807506E-2</c:v>
                </c:pt>
                <c:pt idx="12">
                  <c:v>2.6187040901476485E-2</c:v>
                </c:pt>
                <c:pt idx="13">
                  <c:v>2.413409530807506E-2</c:v>
                </c:pt>
                <c:pt idx="14">
                  <c:v>5.1913407312391718E-2</c:v>
                </c:pt>
                <c:pt idx="15">
                  <c:v>4.7655102351053295E-2</c:v>
                </c:pt>
                <c:pt idx="16">
                  <c:v>5.1913407312391718E-2</c:v>
                </c:pt>
                <c:pt idx="17">
                  <c:v>4.7655102351053295E-2</c:v>
                </c:pt>
                <c:pt idx="18">
                  <c:v>1.8763652901750541E-2</c:v>
                </c:pt>
                <c:pt idx="19">
                  <c:v>4.8123897819102764E-2</c:v>
                </c:pt>
                <c:pt idx="20">
                  <c:v>2.0534419242434345E-2</c:v>
                </c:pt>
                <c:pt idx="21">
                  <c:v>0.21450035852131746</c:v>
                </c:pt>
                <c:pt idx="22">
                  <c:v>0.57825700798586011</c:v>
                </c:pt>
                <c:pt idx="23">
                  <c:v>0.12785183018708876</c:v>
                </c:pt>
                <c:pt idx="24">
                  <c:v>0.40025934680675562</c:v>
                </c:pt>
                <c:pt idx="25" formatCode="0.00">
                  <c:v>4.3145149818539638E-3</c:v>
                </c:pt>
              </c:numCache>
            </c:numRef>
          </c:val>
          <c:extLst>
            <c:ext xmlns:c16="http://schemas.microsoft.com/office/drawing/2014/chart" uri="{C3380CC4-5D6E-409C-BE32-E72D297353CC}">
              <c16:uniqueId val="{00000000-C7D8-4944-80AB-8B1C63039B08}"/>
            </c:ext>
          </c:extLst>
        </c:ser>
        <c:ser>
          <c:idx val="1"/>
          <c:order val="1"/>
          <c:tx>
            <c:strRef>
              <c:f>Summary!$A$7</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Summary!$C$7:$AB$7</c:f>
              <c:numCache>
                <c:formatCode>0.000</c:formatCode>
                <c:ptCount val="26"/>
                <c:pt idx="0">
                  <c:v>7.6673559511927607E-3</c:v>
                </c:pt>
                <c:pt idx="1">
                  <c:v>8.4606185337772928E-3</c:v>
                </c:pt>
                <c:pt idx="2">
                  <c:v>8.0855753667123664E-3</c:v>
                </c:pt>
                <c:pt idx="3">
                  <c:v>8.6002919711975871E-3</c:v>
                </c:pt>
                <c:pt idx="4" formatCode="0.0000">
                  <c:v>4.6146123780326795E-3</c:v>
                </c:pt>
                <c:pt idx="5" formatCode="0.0000">
                  <c:v>5.0920389323659632E-3</c:v>
                </c:pt>
                <c:pt idx="6">
                  <c:v>4.8663185077435544E-3</c:v>
                </c:pt>
                <c:pt idx="7">
                  <c:v>5.0780552584931355E-3</c:v>
                </c:pt>
                <c:pt idx="8">
                  <c:v>3.7015607310422567E-3</c:v>
                </c:pt>
                <c:pt idx="9">
                  <c:v>3.9142936665645459E-3</c:v>
                </c:pt>
                <c:pt idx="10" formatCode="0.0000">
                  <c:v>3.0783002208484723E-4</c:v>
                </c:pt>
                <c:pt idx="11" formatCode="0.0000">
                  <c:v>2.8367445338736008E-4</c:v>
                </c:pt>
                <c:pt idx="12" formatCode="0.0000">
                  <c:v>3.0783002208484723E-4</c:v>
                </c:pt>
                <c:pt idx="13">
                  <c:v>2.8367445338736008E-4</c:v>
                </c:pt>
                <c:pt idx="14">
                  <c:v>4.5475083266924369E-4</c:v>
                </c:pt>
                <c:pt idx="15" formatCode="0.00000">
                  <c:v>3.8759882284872287E-4</c:v>
                </c:pt>
                <c:pt idx="16" formatCode="0.0000">
                  <c:v>4.5475083266924369E-4</c:v>
                </c:pt>
                <c:pt idx="17">
                  <c:v>3.8759882284872287E-4</c:v>
                </c:pt>
                <c:pt idx="18">
                  <c:v>2.2045557520389123E-4</c:v>
                </c:pt>
                <c:pt idx="19">
                  <c:v>3.090566285771821E-4</c:v>
                </c:pt>
                <c:pt idx="20">
                  <c:v>2.2504307098729657E-4</c:v>
                </c:pt>
                <c:pt idx="21">
                  <c:v>3.8880407936342514E-3</c:v>
                </c:pt>
                <c:pt idx="22">
                  <c:v>4.5473915111620957E-3</c:v>
                </c:pt>
                <c:pt idx="23">
                  <c:v>2.316723417369315E-3</c:v>
                </c:pt>
                <c:pt idx="24">
                  <c:v>2.8345547708639603E-3</c:v>
                </c:pt>
                <c:pt idx="25" formatCode="0.00">
                  <c:v>5.2821448351768562E-5</c:v>
                </c:pt>
              </c:numCache>
            </c:numRef>
          </c:val>
          <c:extLst>
            <c:ext xmlns:c16="http://schemas.microsoft.com/office/drawing/2014/chart" uri="{C3380CC4-5D6E-409C-BE32-E72D297353CC}">
              <c16:uniqueId val="{00000004-C7D8-4944-80AB-8B1C63039B08}"/>
            </c:ext>
          </c:extLst>
        </c:ser>
        <c:ser>
          <c:idx val="2"/>
          <c:order val="2"/>
          <c:tx>
            <c:strRef>
              <c:f>Summary!$A$8</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Summary!$C$8:$AB$8</c:f>
              <c:numCache>
                <c:formatCode>0.000</c:formatCode>
                <c:ptCount val="26"/>
                <c:pt idx="0">
                  <c:v>0.81825983096737553</c:v>
                </c:pt>
                <c:pt idx="1">
                  <c:v>0.26569664661206421</c:v>
                </c:pt>
                <c:pt idx="2">
                  <c:v>0.68188319247281293</c:v>
                </c:pt>
                <c:pt idx="3">
                  <c:v>0.26569664661206421</c:v>
                </c:pt>
                <c:pt idx="4">
                  <c:v>0.81825983096737553</c:v>
                </c:pt>
                <c:pt idx="5">
                  <c:v>0.26569664661206421</c:v>
                </c:pt>
                <c:pt idx="6">
                  <c:v>0.68188319247281293</c:v>
                </c:pt>
                <c:pt idx="7">
                  <c:v>0.26569664661206421</c:v>
                </c:pt>
                <c:pt idx="8">
                  <c:v>0.94043474551772488</c:v>
                </c:pt>
                <c:pt idx="9">
                  <c:v>0.43538526125506322</c:v>
                </c:pt>
                <c:pt idx="10">
                  <c:v>0.5040446744129391</c:v>
                </c:pt>
                <c:pt idx="11">
                  <c:v>0.55247840452428743</c:v>
                </c:pt>
                <c:pt idx="12">
                  <c:v>0.36003176028166062</c:v>
                </c:pt>
                <c:pt idx="13">
                  <c:v>0.31767508260146515</c:v>
                </c:pt>
                <c:pt idx="14">
                  <c:v>0.41752330181895814</c:v>
                </c:pt>
                <c:pt idx="15">
                  <c:v>0.36282105104588602</c:v>
                </c:pt>
                <c:pt idx="16">
                  <c:v>0.34160997421551115</c:v>
                </c:pt>
                <c:pt idx="17">
                  <c:v>0.30700242780805748</c:v>
                </c:pt>
                <c:pt idx="18">
                  <c:v>0.75137063015303085</c:v>
                </c:pt>
                <c:pt idx="19">
                  <c:v>0.41752330181895814</c:v>
                </c:pt>
                <c:pt idx="20">
                  <c:v>1.0735300264028775</c:v>
                </c:pt>
                <c:pt idx="21">
                  <c:v>1.8183551799275011</c:v>
                </c:pt>
                <c:pt idx="22">
                  <c:v>0.87300326743963985</c:v>
                </c:pt>
                <c:pt idx="23">
                  <c:v>3.2419831160486416</c:v>
                </c:pt>
                <c:pt idx="24">
                  <c:v>1.3757003658207154</c:v>
                </c:pt>
                <c:pt idx="25" formatCode="0.00">
                  <c:v>0.42039641039839415</c:v>
                </c:pt>
              </c:numCache>
            </c:numRef>
          </c:val>
          <c:extLst>
            <c:ext xmlns:c16="http://schemas.microsoft.com/office/drawing/2014/chart" uri="{C3380CC4-5D6E-409C-BE32-E72D297353CC}">
              <c16:uniqueId val="{00000005-C7D8-4944-80AB-8B1C63039B08}"/>
            </c:ext>
          </c:extLst>
        </c:ser>
        <c:ser>
          <c:idx val="4"/>
          <c:order val="3"/>
          <c:tx>
            <c:strRef>
              <c:f>Summary!$A$9</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Summary!$C$9:$AB$9</c:f>
              <c:numCache>
                <c:formatCode>0.000</c:formatCode>
                <c:ptCount val="26"/>
                <c:pt idx="0">
                  <c:v>0</c:v>
                </c:pt>
                <c:pt idx="1">
                  <c:v>0</c:v>
                </c:pt>
                <c:pt idx="2">
                  <c:v>0</c:v>
                </c:pt>
                <c:pt idx="3">
                  <c:v>0</c:v>
                </c:pt>
                <c:pt idx="4">
                  <c:v>0</c:v>
                </c:pt>
                <c:pt idx="5">
                  <c:v>5.7429117210486602E-2</c:v>
                </c:pt>
                <c:pt idx="6">
                  <c:v>0</c:v>
                </c:pt>
                <c:pt idx="7">
                  <c:v>5.7429117210486602E-2</c:v>
                </c:pt>
                <c:pt idx="8">
                  <c:v>0</c:v>
                </c:pt>
                <c:pt idx="9">
                  <c:v>0</c:v>
                </c:pt>
                <c:pt idx="10">
                  <c:v>1.4411477315923284E-3</c:v>
                </c:pt>
                <c:pt idx="11">
                  <c:v>1.3539667185163073E-3</c:v>
                </c:pt>
                <c:pt idx="12">
                  <c:v>1.0293908079386479E-3</c:v>
                </c:pt>
                <c:pt idx="13">
                  <c:v>7.785308631468765E-4</c:v>
                </c:pt>
                <c:pt idx="14">
                  <c:v>1.1937687071173712E-3</c:v>
                </c:pt>
                <c:pt idx="15">
                  <c:v>8.8917073295602497E-4</c:v>
                </c:pt>
                <c:pt idx="16">
                  <c:v>9.7671985127784923E-4</c:v>
                </c:pt>
                <c:pt idx="17">
                  <c:v>7.5237523557817514E-4</c:v>
                </c:pt>
                <c:pt idx="18">
                  <c:v>1.0522255641041015E-3</c:v>
                </c:pt>
                <c:pt idx="19">
                  <c:v>5.8470304022075316E-4</c:v>
                </c:pt>
                <c:pt idx="20">
                  <c:v>1.5033802124850093E-3</c:v>
                </c:pt>
                <c:pt idx="21">
                  <c:v>0</c:v>
                </c:pt>
                <c:pt idx="22">
                  <c:v>0</c:v>
                </c:pt>
                <c:pt idx="23">
                  <c:v>0.57737812247934517</c:v>
                </c:pt>
                <c:pt idx="24">
                  <c:v>0.24500414279757637</c:v>
                </c:pt>
                <c:pt idx="25" formatCode="0.00">
                  <c:v>0</c:v>
                </c:pt>
              </c:numCache>
            </c:numRef>
          </c:val>
          <c:extLst>
            <c:ext xmlns:c16="http://schemas.microsoft.com/office/drawing/2014/chart" uri="{C3380CC4-5D6E-409C-BE32-E72D297353CC}">
              <c16:uniqueId val="{00000007-C7D8-4944-80AB-8B1C63039B08}"/>
            </c:ext>
          </c:extLst>
        </c:ser>
        <c:ser>
          <c:idx val="5"/>
          <c:order val="4"/>
          <c:tx>
            <c:strRef>
              <c:f>Summary!$A$10</c:f>
              <c:strCache>
                <c:ptCount val="1"/>
                <c:pt idx="0">
                  <c:v>Infrastructure network (from the vehicle perspective)</c:v>
                </c:pt>
              </c:strCache>
            </c:strRef>
          </c:tx>
          <c:spPr>
            <a:solidFill>
              <a:schemeClr val="accent4">
                <a:lumMod val="75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Summary!$C$10:$AB$10</c:f>
              <c:numCache>
                <c:formatCode>0.000</c:formatCode>
                <c:ptCount val="26"/>
                <c:pt idx="0">
                  <c:v>3.3406892781122424E-2</c:v>
                </c:pt>
                <c:pt idx="1">
                  <c:v>3.3215740749813975E-2</c:v>
                </c:pt>
                <c:pt idx="2">
                  <c:v>3.3472639339661645E-2</c:v>
                </c:pt>
                <c:pt idx="3">
                  <c:v>3.3212088163228466E-2</c:v>
                </c:pt>
                <c:pt idx="4">
                  <c:v>3.3406892781122424E-2</c:v>
                </c:pt>
                <c:pt idx="5">
                  <c:v>3.3215740749813975E-2</c:v>
                </c:pt>
                <c:pt idx="6">
                  <c:v>3.3472639339661645E-2</c:v>
                </c:pt>
                <c:pt idx="7">
                  <c:v>3.3212088163228466E-2</c:v>
                </c:pt>
                <c:pt idx="8">
                  <c:v>2.1448758955490602E-2</c:v>
                </c:pt>
                <c:pt idx="9">
                  <c:v>2.1090662231420813E-2</c:v>
                </c:pt>
                <c:pt idx="10">
                  <c:v>4.6021751302372455E-3</c:v>
                </c:pt>
                <c:pt idx="11">
                  <c:v>4.5101664988445268E-3</c:v>
                </c:pt>
                <c:pt idx="12">
                  <c:v>4.6021751302372455E-3</c:v>
                </c:pt>
                <c:pt idx="13">
                  <c:v>4.5101664988445268E-3</c:v>
                </c:pt>
                <c:pt idx="14">
                  <c:v>5.4276596985629285E-3</c:v>
                </c:pt>
                <c:pt idx="15">
                  <c:v>4.8145487143038497E-3</c:v>
                </c:pt>
                <c:pt idx="16">
                  <c:v>5.4276596985629285E-3</c:v>
                </c:pt>
                <c:pt idx="17">
                  <c:v>4.8145487143038497E-3</c:v>
                </c:pt>
                <c:pt idx="18">
                  <c:v>6.1338264384285567E-3</c:v>
                </c:pt>
                <c:pt idx="19">
                  <c:v>6.5477862514532357E-3</c:v>
                </c:pt>
                <c:pt idx="20">
                  <c:v>6.1338264384285567E-3</c:v>
                </c:pt>
                <c:pt idx="21">
                  <c:v>5.9326391679320335E-2</c:v>
                </c:pt>
                <c:pt idx="22">
                  <c:v>5.7955695865958591E-2</c:v>
                </c:pt>
                <c:pt idx="23">
                  <c:v>5.045730101349654E-2</c:v>
                </c:pt>
                <c:pt idx="24">
                  <c:v>4.9689856050529016E-2</c:v>
                </c:pt>
                <c:pt idx="25" formatCode="0.00">
                  <c:v>2.8711925863300684E-2</c:v>
                </c:pt>
              </c:numCache>
            </c:numRef>
          </c:val>
          <c:extLst>
            <c:ext xmlns:c16="http://schemas.microsoft.com/office/drawing/2014/chart" uri="{C3380CC4-5D6E-409C-BE32-E72D297353CC}">
              <c16:uniqueId val="{00000008-C7D8-4944-80AB-8B1C63039B08}"/>
            </c:ext>
          </c:extLst>
        </c:ser>
        <c:dLbls>
          <c:showLegendKey val="0"/>
          <c:showVal val="0"/>
          <c:showCatName val="0"/>
          <c:showSerName val="0"/>
          <c:showPercent val="0"/>
          <c:showBubbleSize val="0"/>
        </c:dLbls>
        <c:gapWidth val="182"/>
        <c:overlap val="100"/>
        <c:axId val="-378656416"/>
        <c:axId val="-378667296"/>
      </c:barChart>
      <c:catAx>
        <c:axId val="-37865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7296"/>
        <c:crosses val="autoZero"/>
        <c:auto val="1"/>
        <c:lblAlgn val="ctr"/>
        <c:lblOffset val="100"/>
        <c:noMultiLvlLbl val="0"/>
      </c:catAx>
      <c:valAx>
        <c:axId val="-378667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consumption per pkm ([MJ/pkm] or [MJ/tkm])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6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xdr:col>
      <xdr:colOff>280989</xdr:colOff>
      <xdr:row>1</xdr:row>
      <xdr:rowOff>88764</xdr:rowOff>
    </xdr:from>
    <xdr:to>
      <xdr:col>3</xdr:col>
      <xdr:colOff>2438401</xdr:colOff>
      <xdr:row>4</xdr:row>
      <xdr:rowOff>153709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714" y="269739"/>
          <a:ext cx="2728912" cy="607870"/>
        </a:xfrm>
        <a:prstGeom prst="rect">
          <a:avLst/>
        </a:prstGeom>
      </xdr:spPr>
    </xdr:pic>
    <xdr:clientData/>
  </xdr:twoCellAnchor>
  <xdr:twoCellAnchor editAs="oneCell">
    <xdr:from>
      <xdr:col>3</xdr:col>
      <xdr:colOff>5919788</xdr:colOff>
      <xdr:row>0</xdr:row>
      <xdr:rowOff>119062</xdr:rowOff>
    </xdr:from>
    <xdr:to>
      <xdr:col>3</xdr:col>
      <xdr:colOff>9458326</xdr:colOff>
      <xdr:row>8</xdr:row>
      <xdr:rowOff>76399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48463" y="119062"/>
          <a:ext cx="3533776" cy="15194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26</xdr:row>
      <xdr:rowOff>0</xdr:rowOff>
    </xdr:from>
    <xdr:to>
      <xdr:col>11</xdr:col>
      <xdr:colOff>0</xdr:colOff>
      <xdr:row>44</xdr:row>
      <xdr:rowOff>85725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58</xdr:row>
      <xdr:rowOff>0</xdr:rowOff>
    </xdr:from>
    <xdr:to>
      <xdr:col>11</xdr:col>
      <xdr:colOff>0</xdr:colOff>
      <xdr:row>76</xdr:row>
      <xdr:rowOff>85725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90</xdr:row>
      <xdr:rowOff>0</xdr:rowOff>
    </xdr:from>
    <xdr:to>
      <xdr:col>11</xdr:col>
      <xdr:colOff>0</xdr:colOff>
      <xdr:row>108</xdr:row>
      <xdr:rowOff>85725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11</xdr:col>
      <xdr:colOff>0</xdr:colOff>
      <xdr:row>140</xdr:row>
      <xdr:rowOff>85725</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11</xdr:col>
      <xdr:colOff>0</xdr:colOff>
      <xdr:row>44</xdr:row>
      <xdr:rowOff>85725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58</xdr:row>
      <xdr:rowOff>0</xdr:rowOff>
    </xdr:from>
    <xdr:to>
      <xdr:col>11</xdr:col>
      <xdr:colOff>0</xdr:colOff>
      <xdr:row>76</xdr:row>
      <xdr:rowOff>85725</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90</xdr:row>
      <xdr:rowOff>0</xdr:rowOff>
    </xdr:from>
    <xdr:to>
      <xdr:col>11</xdr:col>
      <xdr:colOff>0</xdr:colOff>
      <xdr:row>108</xdr:row>
      <xdr:rowOff>85725</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122</xdr:row>
      <xdr:rowOff>0</xdr:rowOff>
    </xdr:from>
    <xdr:to>
      <xdr:col>11</xdr:col>
      <xdr:colOff>0</xdr:colOff>
      <xdr:row>140</xdr:row>
      <xdr:rowOff>85725</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297180</xdr:colOff>
      <xdr:row>1</xdr:row>
      <xdr:rowOff>57150</xdr:rowOff>
    </xdr:from>
    <xdr:to>
      <xdr:col>11</xdr:col>
      <xdr:colOff>401002</xdr:colOff>
      <xdr:row>27</xdr:row>
      <xdr:rowOff>38100</xdr:rowOff>
    </xdr:to>
    <xdr:graphicFrame macro="">
      <xdr:nvGraphicFramePr>
        <xdr:cNvPr id="8" name="Chart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598170</xdr:colOff>
      <xdr:row>1</xdr:row>
      <xdr:rowOff>47625</xdr:rowOff>
    </xdr:from>
    <xdr:to>
      <xdr:col>22</xdr:col>
      <xdr:colOff>331470</xdr:colOff>
      <xdr:row>27</xdr:row>
      <xdr:rowOff>10476</xdr:rowOff>
    </xdr:to>
    <xdr:graphicFrame macro="">
      <xdr:nvGraphicFramePr>
        <xdr:cNvPr id="9" name="Chart 8">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285750</xdr:colOff>
      <xdr:row>27</xdr:row>
      <xdr:rowOff>95250</xdr:rowOff>
    </xdr:from>
    <xdr:to>
      <xdr:col>11</xdr:col>
      <xdr:colOff>400050</xdr:colOff>
      <xdr:row>53</xdr:row>
      <xdr:rowOff>114300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599121</xdr:colOff>
      <xdr:row>27</xdr:row>
      <xdr:rowOff>103822</xdr:rowOff>
    </xdr:from>
    <xdr:to>
      <xdr:col>22</xdr:col>
      <xdr:colOff>333374</xdr:colOff>
      <xdr:row>53</xdr:row>
      <xdr:rowOff>106680</xdr:rowOff>
    </xdr:to>
    <xdr:graphicFrame macro="">
      <xdr:nvGraphicFramePr>
        <xdr:cNvPr id="12" name="Chart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533400</xdr:colOff>
      <xdr:row>1</xdr:row>
      <xdr:rowOff>58102</xdr:rowOff>
    </xdr:from>
    <xdr:to>
      <xdr:col>34</xdr:col>
      <xdr:colOff>350520</xdr:colOff>
      <xdr:row>27</xdr:row>
      <xdr:rowOff>8572</xdr:rowOff>
    </xdr:to>
    <xdr:graphicFrame macro="">
      <xdr:nvGraphicFramePr>
        <xdr:cNvPr id="13" name="Chart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518160</xdr:colOff>
      <xdr:row>27</xdr:row>
      <xdr:rowOff>102870</xdr:rowOff>
    </xdr:from>
    <xdr:to>
      <xdr:col>34</xdr:col>
      <xdr:colOff>358140</xdr:colOff>
      <xdr:row>53</xdr:row>
      <xdr:rowOff>83820</xdr:rowOff>
    </xdr:to>
    <xdr:graphicFrame macro="">
      <xdr:nvGraphicFramePr>
        <xdr:cNvPr id="14" name="Chart 13">
          <a:extLst>
            <a:ext uri="{FF2B5EF4-FFF2-40B4-BE49-F238E27FC236}">
              <a16:creationId xmlns:a16="http://schemas.microsoft.com/office/drawing/2014/main" id="{00000000-0008-0000-0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Decarbonising%20Transport\DTEE_IKI\India\DT%20India%20-%20TEMP\2.%20Work\9.%20LCA%20tool\ITF_Transport_LCA_Tool_for_India_v0.5_EW%204.xlsb" TargetMode="External"/><Relationship Id="rId1" Type="http://schemas.openxmlformats.org/officeDocument/2006/relationships/externalLinkPath" Target="ITF_Transport_LCA_Tool_for_India_v0.5_EW%20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INPUTS&gt;&gt;"/>
      <sheetName val="Base inputs"/>
      <sheetName val="EM"/>
      <sheetName val="PHASES&gt;&gt;"/>
      <sheetName val="Vehicle manufacturing"/>
      <sheetName val="Transport"/>
      <sheetName val="Use"/>
      <sheetName val="Operational services"/>
      <sheetName val="Infrastructure"/>
      <sheetName val="RESULTS&gt;&gt;"/>
      <sheetName val="Summary"/>
      <sheetName val="Graphs"/>
      <sheetName val="DATA_SHEETS&gt;&gt;"/>
      <sheetName val="Defaultvalues"/>
      <sheetName val="Default_data_source"/>
      <sheetName val="Base variables computation"/>
      <sheetName val="WTW_Fuel_properties"/>
      <sheetName val="GPG"/>
      <sheetName val="MFG_inputs"/>
      <sheetName val="TRA_inputs"/>
      <sheetName val="OPE_inputs"/>
      <sheetName val="Tech_Spec_Escoot"/>
      <sheetName val="Tech_Spec_New_Escoot"/>
      <sheetName val="Tech_Spec_Rail"/>
      <sheetName val="Tech_Specs_Car"/>
      <sheetName val="Tech_Specs_Infra"/>
      <sheetName val="Convert"/>
      <sheetName val="GREET1_2_DATASHEETS&gt;&gt;"/>
      <sheetName val="Battery_Sum"/>
      <sheetName val="Mat_Inputs"/>
      <sheetName val="Vehi_ADR"/>
      <sheetName val="Vehi_Comp_Sum"/>
      <sheetName val="Vehi_Fluids"/>
      <sheetName val="Vehi_Inputs"/>
      <sheetName val="Battery Assembly"/>
      <sheetName val="LiMn2O4"/>
      <sheetName val="Mat_Sum"/>
      <sheetName val="Car"/>
      <sheetName val="SUV"/>
      <sheetName val="Steel"/>
      <sheetName val="C.Iron"/>
      <sheetName val="W.Al"/>
      <sheetName val="C.Al"/>
      <sheetName val="Copper"/>
      <sheetName val="Glass"/>
      <sheetName val="Plastic"/>
      <sheetName val="Rubber"/>
      <sheetName val="Cement_Concrete"/>
      <sheetName val="Battery Assembly_AlSmeltingCoal"/>
      <sheetName val="C.Al_AlSmeltingCoal"/>
      <sheetName val="C.Iron_AlSmeltingCoal"/>
      <sheetName val="W.Al_AlSmeltingCoal"/>
      <sheetName val="Steel_AlSmeltingCoal"/>
      <sheetName val="Copper_AlSmeltingCoal"/>
      <sheetName val="Glass_AlSmeltingCoal"/>
      <sheetName val="Plastic_AlSmeltingCoal"/>
      <sheetName val="Rubber_AlSmeltingCoal"/>
      <sheetName val="Vehi_ADR_AlSmeltingCoal"/>
      <sheetName val="Vehi_Inputs_AlSmeltingCoal"/>
      <sheetName val="Battery_Sum_AlSmeltingCoal"/>
      <sheetName val="LiMn2O4_AlSmeltingCoal"/>
      <sheetName val="Mat_Inputs_AlSmeltingCoal"/>
      <sheetName val="Mat_Sum_AlSmeltingCoal"/>
      <sheetName val="Vehi_Comp_Sum_SUV"/>
      <sheetName val="Petroleum"/>
      <sheetName val="Electric"/>
      <sheetName val="NG"/>
      <sheetName val="Hydrogen"/>
      <sheetName val="Vehicles"/>
      <sheetName val="Hydrogen_ElectrolysisCoal"/>
      <sheetName val="Hydrogen_ElectrolysisOil"/>
      <sheetName val="Hydrogen_ElectrolysisNG"/>
      <sheetName val="Hydrogen_ElectrolysisNuclear"/>
      <sheetName val="Hydrogen_ElectrolysisRe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4000</v>
          </cell>
        </row>
      </sheetData>
      <sheetData sheetId="21"/>
      <sheetData sheetId="22"/>
      <sheetData sheetId="23">
        <row r="51">
          <cell r="B51">
            <v>11.25</v>
          </cell>
        </row>
        <row r="52">
          <cell r="B52">
            <v>14.058333333333334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f-oecd.org/repository/user-manuals-itf-transport-life-cycle-assessment-tool-indi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heromotocorp.com/en-in/uploads/bike/bike_e_brochure/20210308125602-pdf-438.pdf" TargetMode="External"/><Relationship Id="rId13" Type="http://schemas.openxmlformats.org/officeDocument/2006/relationships/hyperlink" Target="https://www.bikedekho.com/revolt-motors/rv-400/specifications" TargetMode="External"/><Relationship Id="rId18" Type="http://schemas.openxmlformats.org/officeDocument/2006/relationships/hyperlink" Target="https://pib.gov.in/PressReleaseIframePage.aspx?PRID=1820225" TargetMode="External"/><Relationship Id="rId3" Type="http://schemas.openxmlformats.org/officeDocument/2006/relationships/hyperlink" Target="https://www.uitp.org/publications/performance-evaluation-of-electric-bus-from-six-indian-cities/" TargetMode="External"/><Relationship Id="rId7" Type="http://schemas.openxmlformats.org/officeDocument/2006/relationships/hyperlink" Target="https://www.honda2wheelersindia.com/assets/pdf/Activa_6G_Final_Brochure.pdf" TargetMode="External"/><Relationship Id="rId12" Type="http://schemas.openxmlformats.org/officeDocument/2006/relationships/hyperlink" Target="https://www.heromotocorp.com/en-in/uploads/bike/bike_e_brochure/20210308125602-pdf-438.pdf" TargetMode="External"/><Relationship Id="rId17" Type="http://schemas.openxmlformats.org/officeDocument/2006/relationships/hyperlink" Target="https://www.uitp.org/publications/performance-evaluation-of-electric-bus-from-six-indian-cities/" TargetMode="External"/><Relationship Id="rId2" Type="http://schemas.openxmlformats.org/officeDocument/2006/relationships/hyperlink" Target="https://www.uitp.org/publications/performance-evaluation-of-electric-bus-from-six-indian-cities/" TargetMode="External"/><Relationship Id="rId16" Type="http://schemas.openxmlformats.org/officeDocument/2006/relationships/hyperlink" Target="https://autos.maxabout.com/bikes/okinawa/electric-scooter/praise-pro" TargetMode="External"/><Relationship Id="rId1" Type="http://schemas.openxmlformats.org/officeDocument/2006/relationships/hyperlink" Target="https://trucks.cardekho.com/en/trucks/tvs/deluxe" TargetMode="External"/><Relationship Id="rId6" Type="http://schemas.openxmlformats.org/officeDocument/2006/relationships/hyperlink" Target="https://pib.gov.in/PressReleaseIframePage.aspx?PRID=1820225" TargetMode="External"/><Relationship Id="rId11" Type="http://schemas.openxmlformats.org/officeDocument/2006/relationships/hyperlink" Target="https://autos.maxabout.com/bikes/okinawa/electric-scooter/praise-pro" TargetMode="External"/><Relationship Id="rId5" Type="http://schemas.openxmlformats.org/officeDocument/2006/relationships/hyperlink" Target="https://pib.gov.in/PressReleaseIframePage.aspx?PRID=1820225" TargetMode="External"/><Relationship Id="rId15" Type="http://schemas.openxmlformats.org/officeDocument/2006/relationships/hyperlink" Target="https://www.mahindraelectric.com/pdfs/Mahindra-Treo.pdf" TargetMode="External"/><Relationship Id="rId10" Type="http://schemas.openxmlformats.org/officeDocument/2006/relationships/hyperlink" Target="https://www.honda2wheelersindia.com/assets/pdf/Activa_6G_Final_Brochure.pdf" TargetMode="External"/><Relationship Id="rId19" Type="http://schemas.openxmlformats.org/officeDocument/2006/relationships/printerSettings" Target="../printerSettings/printerSettings9.bin"/><Relationship Id="rId4" Type="http://schemas.openxmlformats.org/officeDocument/2006/relationships/hyperlink" Target="https://www.uitp.org/publications/performance-evaluation-of-electric-bus-from-six-indian-cities/" TargetMode="External"/><Relationship Id="rId9" Type="http://schemas.openxmlformats.org/officeDocument/2006/relationships/hyperlink" Target="https://www.bikedekho.com/revolt-motors/rv-400/specifications" TargetMode="External"/><Relationship Id="rId14" Type="http://schemas.openxmlformats.org/officeDocument/2006/relationships/hyperlink" Target="https://www.tvsmotor.com/api/DownloadPDF/King-Deluxe?ItemId=51cf9c3a-8038-4b20-b472-df319b430fd2"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hyperlink" Target="https://webstore.iea.org/global-ev-outlook-2019" TargetMode="External"/><Relationship Id="rId2" Type="http://schemas.openxmlformats.org/officeDocument/2006/relationships/hyperlink" Target="https://www.iea.org/geco/emissions/" TargetMode="External"/><Relationship Id="rId1" Type="http://schemas.openxmlformats.org/officeDocument/2006/relationships/hyperlink" Target="https://www.ipcc-nggip.iges.or.jp/public/gp/bgp/2_1_CO2_Stationary_Combustion.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hyperlink" Target="https://www.iea.org/statistics/?country=WORLD&amp;year=2016&amp;category=Electricity&amp;indicator=ElecGenByFuel&amp;mode=chart&amp;dataTable=ELECTRICITYANDHEAT"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iea.org/tcep/transport/aviation/" TargetMode="External"/><Relationship Id="rId2" Type="http://schemas.openxmlformats.org/officeDocument/2006/relationships/hyperlink" Target="https://itspubs.ucdavis.edu/wp-content/themes/ucdavis/pubs/download_pdf.php?id=1289" TargetMode="External"/><Relationship Id="rId1" Type="http://schemas.openxmlformats.org/officeDocument/2006/relationships/hyperlink" Target="https://iopscience.iop.org/article/10.1088/1748-9326/ab2da8"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theverge.com/2020/1/21/21072785/skip-electric-scooter-life-cycle-maintenance-costs" TargetMode="External"/><Relationship Id="rId13" Type="http://schemas.openxmlformats.org/officeDocument/2006/relationships/hyperlink" Target="https://www.theverge.com/2020/1/21/21072785/skip-electric-scooter-life-cycle-maintenance-costs" TargetMode="External"/><Relationship Id="rId18" Type="http://schemas.openxmlformats.org/officeDocument/2006/relationships/hyperlink" Target="https://www.npr.org/2019/03/13/701130673/who-charges-all-those-electric-scooters-follow-a-nocturnal-juicer?t=1583502215112" TargetMode="External"/><Relationship Id="rId3" Type="http://schemas.openxmlformats.org/officeDocument/2006/relationships/hyperlink" Target="http://chesterenergyandpolicy.com/2018/06/11/the-electric-scooter-fallacy-just-because-theyre-electric-doesnt-mean-theyre-green/" TargetMode="External"/><Relationship Id="rId21" Type="http://schemas.openxmlformats.org/officeDocument/2006/relationships/hyperlink" Target="https://ieeexplore.ieee.org/abstract/document/9111817" TargetMode="External"/><Relationship Id="rId7" Type="http://schemas.openxmlformats.org/officeDocument/2006/relationships/hyperlink" Target="https://www.theverge.com/2020/1/21/21072785/skip-electric-scooter-life-cycle-maintenance-costs" TargetMode="External"/><Relationship Id="rId12" Type="http://schemas.openxmlformats.org/officeDocument/2006/relationships/hyperlink" Target="http://www.carbone4.com/wp-content/uploads/2019/09/Carbone-4-for-Bird-E-Scooter-and-Cities-decarbonization.pdf" TargetMode="External"/><Relationship Id="rId17" Type="http://schemas.openxmlformats.org/officeDocument/2006/relationships/hyperlink" Target="https://www.perchmobility.com/" TargetMode="External"/><Relationship Id="rId2" Type="http://schemas.openxmlformats.org/officeDocument/2006/relationships/hyperlink" Target="https://www.mi.com/global/mi-electric-scooter-pro/specs/" TargetMode="External"/><Relationship Id="rId16" Type="http://schemas.openxmlformats.org/officeDocument/2006/relationships/hyperlink" Target="https://techcrunch.com/2020/01/17/how-scooter-charging-startups-want-to-make-the-industry-more-profitable/" TargetMode="External"/><Relationship Id="rId20" Type="http://schemas.openxmlformats.org/officeDocument/2006/relationships/hyperlink" Target="https://www.itf-oecd.org/emerging-mobility-solutions-and-their-impact-practicesmarion-lagadic-6t-consultancy-france" TargetMode="External"/><Relationship Id="rId1" Type="http://schemas.openxmlformats.org/officeDocument/2006/relationships/hyperlink" Target="http://chesterenergyandpolicy.com/2018/06/11/the-electric-scooter-fallacy-just-because-theyre-electric-doesnt-mean-theyre-green/" TargetMode="External"/><Relationship Id="rId6" Type="http://schemas.openxmlformats.org/officeDocument/2006/relationships/hyperlink" Target="https://www.theverge.com/2020/1/21/21072785/skip-electric-scooter-life-cycle-maintenance-costs" TargetMode="External"/><Relationship Id="rId11" Type="http://schemas.openxmlformats.org/officeDocument/2006/relationships/hyperlink" Target="https://www.smartcitiesdive.com/news/reduce-reuse-rescoot-a-look-at-e-scooters-long-term-sustainability/558691/" TargetMode="External"/><Relationship Id="rId5" Type="http://schemas.openxmlformats.org/officeDocument/2006/relationships/hyperlink" Target="https://go.redirectingat.com/?id=66960X1514734&amp;xs=1&amp;url=https%3A%2F%2Fstore.segway.com%2Fsegway-ninebot-kickscooter-es4%3Fgclid%3DEAIaIQobChMIn6Tc8PWP5wIVjJOzCh3tzQFaEAAYASAAEgKBiPD_BwE&amp;referrer=theverge.com&amp;sref=https%3A%2F%2Fwww.theverge.com%2F2020%2F1%25" TargetMode="External"/><Relationship Id="rId15" Type="http://schemas.openxmlformats.org/officeDocument/2006/relationships/hyperlink" Target="https://6-t.co/etudes/usages-usagers-trottinettes-ff/" TargetMode="External"/><Relationship Id="rId23" Type="http://schemas.openxmlformats.org/officeDocument/2006/relationships/comments" Target="../comments3.xml"/><Relationship Id="rId10" Type="http://schemas.openxmlformats.org/officeDocument/2006/relationships/hyperlink" Target="https://www.smartcitiesdive.com/news/reduce-reuse-rescoot-a-look-at-e-scooters-long-term-sustainability/558691/" TargetMode="External"/><Relationship Id="rId19" Type="http://schemas.openxmlformats.org/officeDocument/2006/relationships/hyperlink" Target="https://www.sae.org/binaries/content/assets/cm/content/topics/micromobility/sae-micromobility-trend-or-fad-report.pdf" TargetMode="External"/><Relationship Id="rId4" Type="http://schemas.openxmlformats.org/officeDocument/2006/relationships/hyperlink" Target="https://iopscience.iop.org/article/10.1088/1748-9326/ab2da8" TargetMode="External"/><Relationship Id="rId9" Type="http://schemas.openxmlformats.org/officeDocument/2006/relationships/hyperlink" Target="https://www.bcg.com/publications/2019/promise-pitfalls-e-scooter-sharing.aspx" TargetMode="External"/><Relationship Id="rId14" Type="http://schemas.openxmlformats.org/officeDocument/2006/relationships/hyperlink" Target="https://www.mi.com/global/mi-electric-scooter/specs/" TargetMode="External"/><Relationship Id="rId22"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ecodesign-company.com/download/Siemens-EPD_metro_oslo.pdf?m=1473168020" TargetMode="External"/><Relationship Id="rId13" Type="http://schemas.openxmlformats.org/officeDocument/2006/relationships/comments" Target="../comments5.xml"/><Relationship Id="rId3" Type="http://schemas.openxmlformats.org/officeDocument/2006/relationships/hyperlink" Target="http://www.avnir.org/documentation/bdd/epd/epd276en.pdf" TargetMode="External"/><Relationship Id="rId7" Type="http://schemas.openxmlformats.org/officeDocument/2006/relationships/hyperlink" Target="https://www.environdec.com/" TargetMode="External"/><Relationship Id="rId12" Type="http://schemas.openxmlformats.org/officeDocument/2006/relationships/vmlDrawing" Target="../drawings/vmlDrawing5.vml"/><Relationship Id="rId2" Type="http://schemas.openxmlformats.org/officeDocument/2006/relationships/hyperlink" Target="https://www.bombardier.com/content/dam/Websites/bombardiercom/supporting-documents/Sustainability/Reports/BT/Bombardier-Transportation-EPD-REGINA-Intercity-X55-en.pdf" TargetMode="External"/><Relationship Id="rId1" Type="http://schemas.openxmlformats.org/officeDocument/2006/relationships/hyperlink" Target="https://gryphon4.environdec.com/system/data/files/6/9710/epd193_Bombardier_Innovia_APM_300.pdf" TargetMode="External"/><Relationship Id="rId6" Type="http://schemas.openxmlformats.org/officeDocument/2006/relationships/hyperlink" Target="https://www.alstom.com/sites/alstom.com/files/2018/07/12/alstom_dt5_metro_hamburg_-_environmental_product_declaration_-_aug_2013.pdf" TargetMode="External"/><Relationship Id="rId11" Type="http://schemas.openxmlformats.org/officeDocument/2006/relationships/hyperlink" Target="https://escholarship.org/content/qt7n29n303/qt7n29n303.pdf" TargetMode="External"/><Relationship Id="rId5" Type="http://schemas.openxmlformats.org/officeDocument/2006/relationships/hyperlink" Target="https://www.bombardier.com/content/dam/Websites/bombardiercom/supporting-documents/Sustainability/Reports/BT/Bombardier-Transportation-EPD-SPACIUM-en.pdf" TargetMode="External"/><Relationship Id="rId10" Type="http://schemas.openxmlformats.org/officeDocument/2006/relationships/hyperlink" Target="https://gryphon4.environdec.com/system/data/files/6/11151/epd724%20CAF%20Metro%20Units%20M300%20for%20Helsinki%20Metro%20Transport%20v1.1.pdf" TargetMode="External"/><Relationship Id="rId4" Type="http://schemas.openxmlformats.org/officeDocument/2006/relationships/hyperlink" Target="https://www.bombardier.com/content/dam/Websites/bombardiercom/supporting-documents/Sustainability/Reports/BT/Bombardier-Transportation-EPD-AZUR-2015-en.pdf" TargetMode="External"/><Relationship Id="rId9" Type="http://schemas.openxmlformats.org/officeDocument/2006/relationships/hyperlink" Target="https://gryphon4.environdec.com/system/data/files/6/13532/epd1175en%20Caravaggio%20Train%20Hitachi%20Rail%20Italy%202018.pdf" TargetMode="External"/></Relationships>
</file>

<file path=xl/worksheets/_rels/sheet2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26"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21" Type="http://schemas.openxmlformats.org/officeDocument/2006/relationships/hyperlink" Target="http://dx.doi.org/10.3141/2170-03" TargetMode="External"/><Relationship Id="rId42" Type="http://schemas.openxmlformats.org/officeDocument/2006/relationships/hyperlink" Target="https://www.sciencedirect.com/science/article/pii/S135223100901036X" TargetMode="External"/><Relationship Id="rId47" Type="http://schemas.openxmlformats.org/officeDocument/2006/relationships/hyperlink" Target="https://iopscience.iop.org/article/10.1088/1748-9326/8/1/015041/meta" TargetMode="External"/><Relationship Id="rId63" Type="http://schemas.openxmlformats.org/officeDocument/2006/relationships/hyperlink" Target="http://content.tfl.gov.uk/travel-in-london-report-11.pdf" TargetMode="External"/><Relationship Id="rId68" Type="http://schemas.openxmlformats.org/officeDocument/2006/relationships/hyperlink" Target="http://content.tfl.gov.uk/travel-in-london-report-11.pdf" TargetMode="External"/><Relationship Id="rId84" Type="http://schemas.openxmlformats.org/officeDocument/2006/relationships/hyperlink" Target="https://www.gov.uk/government/statistics/road-lengths-in-great-britain-2018" TargetMode="External"/><Relationship Id="rId89" Type="http://schemas.openxmlformats.org/officeDocument/2006/relationships/hyperlink" Target="https://www.gov.uk/government/statistics/road-lengths-in-great-britain-2018" TargetMode="External"/><Relationship Id="rId16" Type="http://schemas.openxmlformats.org/officeDocument/2006/relationships/hyperlink" Target="https://doi.org/10.1016/j.resconrec.2012.12.014" TargetMode="External"/><Relationship Id="rId11" Type="http://schemas.openxmlformats.org/officeDocument/2006/relationships/hyperlink" Target="https://doi.org/10.1016/j.resconrec.2016.03.007" TargetMode="External"/><Relationship Id="rId32" Type="http://schemas.openxmlformats.org/officeDocument/2006/relationships/hyperlink" Target="https://eapa.org/asphalt/" TargetMode="External"/><Relationship Id="rId37" Type="http://schemas.openxmlformats.org/officeDocument/2006/relationships/hyperlink" Target="https://iopscience.iop.org/article/10.1088/1748-9326/5/3/034001/meta" TargetMode="External"/><Relationship Id="rId53" Type="http://schemas.openxmlformats.org/officeDocument/2006/relationships/hyperlink" Target="https://pubs.usgs.gov/fs/2006/3127/2006-3127.pdf" TargetMode="External"/><Relationship Id="rId58" Type="http://schemas.openxmlformats.org/officeDocument/2006/relationships/hyperlink" Target="https://madeby.tfl.gov.uk/2019/07/29/tube-trivia-and-facts/" TargetMode="External"/><Relationship Id="rId74" Type="http://schemas.openxmlformats.org/officeDocument/2006/relationships/hyperlink" Target="https://roadtraffic.dft.gov.uk/regions/6" TargetMode="External"/><Relationship Id="rId79" Type="http://schemas.openxmlformats.org/officeDocument/2006/relationships/hyperlink" Target="http://documents.worldbank.org/curated/en/660861468234281955/pdf/696590ESW0P1010UBLIC00GHG0Web0final.pdf" TargetMode="External"/><Relationship Id="rId5" Type="http://schemas.openxmlformats.org/officeDocument/2006/relationships/hyperlink" Target="https://doi.org/10.1111/jiec.12053" TargetMode="External"/><Relationship Id="rId90" Type="http://schemas.openxmlformats.org/officeDocument/2006/relationships/vmlDrawing" Target="../drawings/vmlDrawing7.vml"/><Relationship Id="rId14" Type="http://schemas.openxmlformats.org/officeDocument/2006/relationships/hyperlink" Target="http://www.athenasmi.org/wp-content/uploads/2012/01/Athena_Update_Report_LCA_PCCP_vs_HMA_Final_Document_Sept_2006.pdf" TargetMode="External"/><Relationship Id="rId22" Type="http://schemas.openxmlformats.org/officeDocument/2006/relationships/hyperlink" Target="https://escholarship.org/uc/item/7n29n303" TargetMode="External"/><Relationship Id="rId27" Type="http://schemas.openxmlformats.org/officeDocument/2006/relationships/hyperlink" Target="https://doi.org/10.1016/j.resconrec.2017.08.024" TargetMode="External"/><Relationship Id="rId30" Type="http://schemas.openxmlformats.org/officeDocument/2006/relationships/hyperlink" Target="https://doi.org/10.1016/j.resconrec.2017.08.024" TargetMode="External"/><Relationship Id="rId35" Type="http://schemas.openxmlformats.org/officeDocument/2006/relationships/hyperlink" Target="https://iopscience.iop.org/article/10.1088/1748-9326/5/3/034001/meta" TargetMode="External"/><Relationship Id="rId43" Type="http://schemas.openxmlformats.org/officeDocument/2006/relationships/hyperlink" Target="https://iopscience.iop.org/article/10.1088/1748-9326/4/2/024008/meta" TargetMode="External"/><Relationship Id="rId48" Type="http://schemas.openxmlformats.org/officeDocument/2006/relationships/hyperlink" Target="https://escholarship.org/content/qt7n29n303/qt7n29n303.pdf" TargetMode="External"/><Relationship Id="rId56" Type="http://schemas.openxmlformats.org/officeDocument/2006/relationships/hyperlink" Target="http://content.tfl.gov.uk/travel-in-london-report-11.pdf" TargetMode="External"/><Relationship Id="rId64" Type="http://schemas.openxmlformats.org/officeDocument/2006/relationships/hyperlink" Target="http://content.tfl.gov.uk/travel-in-london-report-11.pdf" TargetMode="External"/><Relationship Id="rId69" Type="http://schemas.openxmlformats.org/officeDocument/2006/relationships/hyperlink" Target="https://www.gov.uk/government/statistics/road-lengths-in-great-britain-2018" TargetMode="External"/><Relationship Id="rId77" Type="http://schemas.openxmlformats.org/officeDocument/2006/relationships/hyperlink" Target="https://www.mdpi.com/2071-1050/11/2/377/pdf" TargetMode="External"/><Relationship Id="rId8" Type="http://schemas.openxmlformats.org/officeDocument/2006/relationships/hyperlink" Target="https://escholarship.org/uc/item/7n29n303" TargetMode="External"/><Relationship Id="rId51" Type="http://schemas.openxmlformats.org/officeDocument/2006/relationships/hyperlink" Target="http://tunnel.ita-aites.org/media/k2/attachments/public/Tust_Vol_19_1_3-28.pdf" TargetMode="External"/><Relationship Id="rId72" Type="http://schemas.openxmlformats.org/officeDocument/2006/relationships/hyperlink" Target="ttps://www.london.gov.uk/sites/default/files/bus_network_report_final.pdf" TargetMode="External"/><Relationship Id="rId80" Type="http://schemas.openxmlformats.org/officeDocument/2006/relationships/hyperlink" Target="http://content.tfl.gov.uk/understanding-and-managing-congestion-in-london.pdf" TargetMode="External"/><Relationship Id="rId85" Type="http://schemas.openxmlformats.org/officeDocument/2006/relationships/hyperlink" Target="https://roadtraffic.dft.gov.uk/" TargetMode="External"/><Relationship Id="rId3" Type="http://schemas.openxmlformats.org/officeDocument/2006/relationships/hyperlink" Target="http://www.athenasmi.org/wp-content/uploads/2012/01/Athena_Update_Report_LCA_PCCP_vs_HMA_Final_Document_Sept_2006.pdf" TargetMode="External"/><Relationship Id="rId12"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17" Type="http://schemas.openxmlformats.org/officeDocument/2006/relationships/hyperlink" Target="http://www.athenasmi.org/wp-content/uploads/2012/01/Athena_Update_Report_LCA_PCCP_vs_HMA_Final_Document_Sept_2006.pdf" TargetMode="External"/><Relationship Id="rId25" Type="http://schemas.openxmlformats.org/officeDocument/2006/relationships/hyperlink" Target="https://doi.org/10.1016/j.resconrec.2016.03.007" TargetMode="External"/><Relationship Id="rId33" Type="http://schemas.openxmlformats.org/officeDocument/2006/relationships/hyperlink" Target="https://doi.org/10.1016/j.landusepol.2009.03.002" TargetMode="External"/><Relationship Id="rId38" Type="http://schemas.openxmlformats.org/officeDocument/2006/relationships/hyperlink" Target="https://www.sciencedirect.com/science/article/pii/S135223100901036X" TargetMode="External"/><Relationship Id="rId46" Type="http://schemas.openxmlformats.org/officeDocument/2006/relationships/hyperlink" Target="https://iopscience.iop.org/article/10.1088/1748-9326/5/1/014003/meta" TargetMode="External"/><Relationship Id="rId59" Type="http://schemas.openxmlformats.org/officeDocument/2006/relationships/hyperlink" Target="https://madeby.tfl.gov.uk/2019/07/29/tube-trivia-and-facts/" TargetMode="External"/><Relationship Id="rId67" Type="http://schemas.openxmlformats.org/officeDocument/2006/relationships/hyperlink" Target="https://madeby.tfl.gov.uk/2019/07/29/tube-trivia-and-facts/" TargetMode="External"/><Relationship Id="rId20" Type="http://schemas.openxmlformats.org/officeDocument/2006/relationships/hyperlink" Target="http://www.athenasmi.org/wp-content/uploads/2012/01/Athena_Update_Report_LCA_PCCP_vs_HMA_Final_Document_Sept_2006.pdf" TargetMode="External"/><Relationship Id="rId41" Type="http://schemas.openxmlformats.org/officeDocument/2006/relationships/hyperlink" Target="https://www.sciencedirect.com/science/article/pii/S135223100901036X" TargetMode="External"/><Relationship Id="rId54" Type="http://schemas.openxmlformats.org/officeDocument/2006/relationships/hyperlink" Target="http://content.tfl.gov.uk/travel-in-london-report-11.pdf" TargetMode="External"/><Relationship Id="rId62" Type="http://schemas.openxmlformats.org/officeDocument/2006/relationships/hyperlink" Target="http://content.tfl.gov.uk/travel-in-london-report-11.pdf" TargetMode="External"/><Relationship Id="rId70" Type="http://schemas.openxmlformats.org/officeDocument/2006/relationships/hyperlink" Target="https://www.gov.uk/government/statistics/road-lengths-in-great-britain-2018" TargetMode="External"/><Relationship Id="rId75" Type="http://schemas.openxmlformats.org/officeDocument/2006/relationships/hyperlink" Target="http://content.tfl.gov.uk/travel-in-london-report-11.pdf" TargetMode="External"/><Relationship Id="rId83" Type="http://schemas.openxmlformats.org/officeDocument/2006/relationships/hyperlink" Target="https://www.gov.uk/government/statistics/road-lengths-in-great-britain-2018" TargetMode="External"/><Relationship Id="rId88" Type="http://schemas.openxmlformats.org/officeDocument/2006/relationships/hyperlink" Target="https://www.gov.uk/government/statistics/road-lengths-in-great-britain-2018" TargetMode="External"/><Relationship Id="rId91" Type="http://schemas.openxmlformats.org/officeDocument/2006/relationships/comments" Target="../comments7.xml"/><Relationship Id="rId1" Type="http://schemas.openxmlformats.org/officeDocument/2006/relationships/hyperlink" Target="https://doi.org/10.1016/j.resconrec.2012.12.014" TargetMode="External"/><Relationship Id="rId6" Type="http://schemas.openxmlformats.org/officeDocument/2006/relationships/hyperlink" Target="https://doi.org/10.1111/jiec.12053" TargetMode="External"/><Relationship Id="rId15" Type="http://schemas.openxmlformats.org/officeDocument/2006/relationships/hyperlink" Target="https://doi.org/10.1016/j.resconrec.2012.12.014" TargetMode="External"/><Relationship Id="rId23" Type="http://schemas.openxmlformats.org/officeDocument/2006/relationships/hyperlink" Target="https://escholarship.org/uc/item/7n29n303" TargetMode="External"/><Relationship Id="rId28" Type="http://schemas.openxmlformats.org/officeDocument/2006/relationships/hyperlink" Target="https://doi.org/10.1016/j.resconrec.2017.08.024" TargetMode="External"/><Relationship Id="rId36" Type="http://schemas.openxmlformats.org/officeDocument/2006/relationships/hyperlink" Target="https://iopscience.iop.org/article/10.1088/1748-9326/5/3/034001/meta" TargetMode="External"/><Relationship Id="rId49" Type="http://schemas.openxmlformats.org/officeDocument/2006/relationships/hyperlink" Target="https://iopscience.iop.org/article/10.1088/1748-9326/5/3/034001/meta" TargetMode="External"/><Relationship Id="rId57" Type="http://schemas.openxmlformats.org/officeDocument/2006/relationships/hyperlink" Target="https://madeby.tfl.gov.uk/2019/07/29/tube-trivia-and-facts/" TargetMode="External"/><Relationship Id="rId10" Type="http://schemas.openxmlformats.org/officeDocument/2006/relationships/hyperlink" Target="https://doi.org/10.1016/j.trd.2017.01.007" TargetMode="External"/><Relationship Id="rId31" Type="http://schemas.openxmlformats.org/officeDocument/2006/relationships/hyperlink" Target="http://www.asphaltpavement.org/index.php?option=com_content&amp;view=article&amp;id=891&amp;Itemid=1068" TargetMode="External"/><Relationship Id="rId44" Type="http://schemas.openxmlformats.org/officeDocument/2006/relationships/hyperlink" Target="https://iopscience.iop.org/article/10.1088/1748-9326/4/2/024008/meta" TargetMode="External"/><Relationship Id="rId52" Type="http://schemas.openxmlformats.org/officeDocument/2006/relationships/hyperlink" Target="https://www.sciencedirect.com/science/article/pii/S0886779803001044" TargetMode="External"/><Relationship Id="rId60" Type="http://schemas.openxmlformats.org/officeDocument/2006/relationships/hyperlink" Target="https://madeby.tfl.gov.uk/2019/07/29/tube-trivia-and-facts/" TargetMode="External"/><Relationship Id="rId65" Type="http://schemas.openxmlformats.org/officeDocument/2006/relationships/hyperlink" Target="https://madeby.tfl.gov.uk/2019/07/29/tube-trivia-and-facts/" TargetMode="External"/><Relationship Id="rId73" Type="http://schemas.openxmlformats.org/officeDocument/2006/relationships/hyperlink" Target="https://roadtraffic.dft.gov.uk/regions/6" TargetMode="External"/><Relationship Id="rId78" Type="http://schemas.openxmlformats.org/officeDocument/2006/relationships/hyperlink" Target="https://orbit.dtu.dk/fedora/objects/orbit:86909/datastreams/file_5771535/content" TargetMode="External"/><Relationship Id="rId81" Type="http://schemas.openxmlformats.org/officeDocument/2006/relationships/hyperlink" Target="https://www.itf-oecd.org/sites/default/files/docs/gwp-assessment-road-construction-maintenance-lessons.pdf" TargetMode="External"/><Relationship Id="rId86" Type="http://schemas.openxmlformats.org/officeDocument/2006/relationships/hyperlink" Target="https://roadtraffic.dft.gov.uk/" TargetMode="External"/><Relationship Id="rId4" Type="http://schemas.openxmlformats.org/officeDocument/2006/relationships/hyperlink" Target="http://www.athenasmi.org/wp-content/uploads/2012/01/Athena_Update_Report_LCA_PCCP_vs_HMA_Final_Document_Sept_2006.pdf" TargetMode="External"/><Relationship Id="rId9" Type="http://schemas.openxmlformats.org/officeDocument/2006/relationships/hyperlink" Target="https://escholarship.org/uc/item/7n29n303" TargetMode="External"/><Relationship Id="rId13"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18"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39" Type="http://schemas.openxmlformats.org/officeDocument/2006/relationships/hyperlink" Target="https://www.sciencedirect.com/science/article/pii/S135223100901036X" TargetMode="External"/><Relationship Id="rId34" Type="http://schemas.openxmlformats.org/officeDocument/2006/relationships/hyperlink" Target="https://doi.org/10.1016/S0965-8564(99)00007-5" TargetMode="External"/><Relationship Id="rId50" Type="http://schemas.openxmlformats.org/officeDocument/2006/relationships/hyperlink" Target="https://iopscience.iop.org/article/10.1088/1748-9326/5/3/034001/meta" TargetMode="External"/><Relationship Id="rId55" Type="http://schemas.openxmlformats.org/officeDocument/2006/relationships/hyperlink" Target="http://content.tfl.gov.uk/travel-in-london-report-11.pdf" TargetMode="External"/><Relationship Id="rId76" Type="http://schemas.openxmlformats.org/officeDocument/2006/relationships/hyperlink" Target="https://doi.org/10.1016/j.trd.2017.01.007" TargetMode="External"/><Relationship Id="rId7" Type="http://schemas.openxmlformats.org/officeDocument/2006/relationships/hyperlink" Target="http://www.athenasmi.org/wp-content/uploads/2012/01/Athena_Update_Report_LCA_PCCP_vs_HMA_Final_Document_Sept_2006.pdf" TargetMode="External"/><Relationship Id="rId71" Type="http://schemas.openxmlformats.org/officeDocument/2006/relationships/hyperlink" Target="https://www.gov.uk/government/statistics/road-lengths-in-great-britain-2018" TargetMode="External"/><Relationship Id="rId2" Type="http://schemas.openxmlformats.org/officeDocument/2006/relationships/hyperlink" Target="https://doi.org/10.1111/jiec.12053" TargetMode="External"/><Relationship Id="rId29" Type="http://schemas.openxmlformats.org/officeDocument/2006/relationships/hyperlink" Target="https://doi.org/10.1016/j.resconrec.2017.08.024" TargetMode="External"/><Relationship Id="rId24" Type="http://schemas.openxmlformats.org/officeDocument/2006/relationships/hyperlink" Target="https://doi.org/10.1016/j.trd.2017.01.007" TargetMode="External"/><Relationship Id="rId40" Type="http://schemas.openxmlformats.org/officeDocument/2006/relationships/hyperlink" Target="https://www.sciencedirect.com/science/article/pii/S135223100901036X" TargetMode="External"/><Relationship Id="rId45" Type="http://schemas.openxmlformats.org/officeDocument/2006/relationships/hyperlink" Target="https://iopscience.iop.org/article/10.1088/1748-9326/4/2/024008/meta" TargetMode="External"/><Relationship Id="rId66" Type="http://schemas.openxmlformats.org/officeDocument/2006/relationships/hyperlink" Target="http://content.tfl.gov.uk/travel-in-london-report-11.pdf" TargetMode="External"/><Relationship Id="rId87" Type="http://schemas.openxmlformats.org/officeDocument/2006/relationships/hyperlink" Target="https://www.gov.uk/government/statistics/road-lengths-in-great-britain-2018" TargetMode="External"/><Relationship Id="rId61" Type="http://schemas.openxmlformats.org/officeDocument/2006/relationships/hyperlink" Target="http://content.tfl.gov.uk/understanding-and-managing-congestion-in-london.pdf" TargetMode="External"/><Relationship Id="rId82" Type="http://schemas.openxmlformats.org/officeDocument/2006/relationships/hyperlink" Target="https://www.gov.uk/government/statistics/road-lengths-in-great-britain-2018" TargetMode="External"/><Relationship Id="rId19" Type="http://schemas.openxmlformats.org/officeDocument/2006/relationships/hyperlink" Target="https://doi.org/10.1016/j.resconrec.2012.12.01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8:D55"/>
  <sheetViews>
    <sheetView showGridLines="0" tabSelected="1" zoomScaleNormal="100" workbookViewId="0">
      <selection activeCell="B22" sqref="B22"/>
    </sheetView>
  </sheetViews>
  <sheetFormatPr defaultRowHeight="14.25" x14ac:dyDescent="0.45"/>
  <cols>
    <col min="1" max="1" width="3" customWidth="1"/>
    <col min="2" max="2" width="7.1328125" customWidth="1"/>
    <col min="3" max="3" width="8" customWidth="1"/>
    <col min="4" max="4" width="134.46484375" style="19" customWidth="1"/>
    <col min="5" max="5" width="14.53125" customWidth="1"/>
    <col min="6" max="6" width="18.86328125" customWidth="1"/>
  </cols>
  <sheetData>
    <row r="8" spans="4:4" ht="23.25" x14ac:dyDescent="0.7">
      <c r="D8" s="1405" t="s">
        <v>3610</v>
      </c>
    </row>
    <row r="9" spans="4:4" ht="21" x14ac:dyDescent="0.65">
      <c r="D9" s="1583" t="s">
        <v>3613</v>
      </c>
    </row>
    <row r="11" spans="4:4" x14ac:dyDescent="0.45">
      <c r="D11" s="1404" t="s">
        <v>3430</v>
      </c>
    </row>
    <row r="12" spans="4:4" ht="28.5" x14ac:dyDescent="0.45">
      <c r="D12" s="1423" t="s">
        <v>3602</v>
      </c>
    </row>
    <row r="13" spans="4:4" x14ac:dyDescent="0.45">
      <c r="D13" s="1"/>
    </row>
    <row r="14" spans="4:4" x14ac:dyDescent="0.45">
      <c r="D14" s="22" t="s">
        <v>3427</v>
      </c>
    </row>
    <row r="15" spans="4:4" ht="171" x14ac:dyDescent="0.45">
      <c r="D15" s="1" t="s">
        <v>3609</v>
      </c>
    </row>
    <row r="16" spans="4:4" x14ac:dyDescent="0.45">
      <c r="D16" s="1"/>
    </row>
    <row r="17" spans="3:4" ht="42.75" x14ac:dyDescent="0.45">
      <c r="D17" s="1" t="s">
        <v>3603</v>
      </c>
    </row>
    <row r="18" spans="3:4" x14ac:dyDescent="0.45">
      <c r="D18"/>
    </row>
    <row r="19" spans="3:4" x14ac:dyDescent="0.45">
      <c r="D19" s="22" t="s">
        <v>3428</v>
      </c>
    </row>
    <row r="20" spans="3:4" ht="228" x14ac:dyDescent="0.45">
      <c r="D20" s="1" t="s">
        <v>3599</v>
      </c>
    </row>
    <row r="21" spans="3:4" x14ac:dyDescent="0.45">
      <c r="D21" s="22" t="s">
        <v>3429</v>
      </c>
    </row>
    <row r="22" spans="3:4" ht="228" x14ac:dyDescent="0.45">
      <c r="D22" s="1" t="s">
        <v>3600</v>
      </c>
    </row>
    <row r="23" spans="3:4" x14ac:dyDescent="0.45">
      <c r="C23" s="22" t="s">
        <v>3611</v>
      </c>
    </row>
    <row r="24" spans="3:4" x14ac:dyDescent="0.45">
      <c r="C24" s="2147" t="s">
        <v>3612</v>
      </c>
    </row>
    <row r="25" spans="3:4" x14ac:dyDescent="0.45">
      <c r="C25" s="2147"/>
    </row>
    <row r="26" spans="3:4" x14ac:dyDescent="0.45">
      <c r="C26" s="22" t="s">
        <v>3614</v>
      </c>
    </row>
    <row r="28" spans="3:4" x14ac:dyDescent="0.45">
      <c r="C28" s="2148" t="s">
        <v>3601</v>
      </c>
      <c r="D28" s="2148"/>
    </row>
    <row r="30" spans="3:4" x14ac:dyDescent="0.45">
      <c r="C30" s="2149" t="s">
        <v>3435</v>
      </c>
      <c r="D30" s="2082" t="s">
        <v>1175</v>
      </c>
    </row>
    <row r="31" spans="3:4" x14ac:dyDescent="0.45">
      <c r="C31" s="2149"/>
      <c r="D31" s="2082" t="s">
        <v>3393</v>
      </c>
    </row>
    <row r="32" spans="3:4" x14ac:dyDescent="0.45">
      <c r="C32" s="2149" t="s">
        <v>3436</v>
      </c>
      <c r="D32" s="1406" t="s">
        <v>15</v>
      </c>
    </row>
    <row r="33" spans="3:4" x14ac:dyDescent="0.45">
      <c r="C33" s="2149"/>
      <c r="D33" s="1407" t="s">
        <v>1072</v>
      </c>
    </row>
    <row r="34" spans="3:4" x14ac:dyDescent="0.45">
      <c r="C34" s="2149"/>
      <c r="D34" s="1408" t="s">
        <v>19</v>
      </c>
    </row>
    <row r="35" spans="3:4" x14ac:dyDescent="0.45">
      <c r="C35" s="2149"/>
      <c r="D35" s="1409" t="s">
        <v>1131</v>
      </c>
    </row>
    <row r="36" spans="3:4" x14ac:dyDescent="0.45">
      <c r="C36" s="2149"/>
      <c r="D36" s="1410" t="s">
        <v>1098</v>
      </c>
    </row>
    <row r="37" spans="3:4" x14ac:dyDescent="0.45">
      <c r="C37" s="2149" t="s">
        <v>3437</v>
      </c>
      <c r="D37" s="1940" t="s">
        <v>3392</v>
      </c>
    </row>
    <row r="38" spans="3:4" x14ac:dyDescent="0.45">
      <c r="C38" s="2149"/>
      <c r="D38" s="1940" t="s">
        <v>1176</v>
      </c>
    </row>
    <row r="40" spans="3:4" x14ac:dyDescent="0.45">
      <c r="C40" s="22" t="s">
        <v>3608</v>
      </c>
      <c r="D40"/>
    </row>
    <row r="41" spans="3:4" ht="14.65" thickBot="1" x14ac:dyDescent="0.5">
      <c r="C41" s="2083"/>
      <c r="D41"/>
    </row>
    <row r="42" spans="3:4" ht="14.65" thickBot="1" x14ac:dyDescent="0.5">
      <c r="C42" s="2084" t="s">
        <v>1144</v>
      </c>
      <c r="D42" s="2091" t="s">
        <v>1145</v>
      </c>
    </row>
    <row r="43" spans="3:4" ht="14.65" thickBot="1" x14ac:dyDescent="0.5">
      <c r="C43" s="2085"/>
      <c r="D43" s="2092" t="s">
        <v>15</v>
      </c>
    </row>
    <row r="44" spans="3:4" ht="14.65" thickBot="1" x14ac:dyDescent="0.5">
      <c r="C44" s="2086"/>
      <c r="D44" s="2092" t="s">
        <v>1072</v>
      </c>
    </row>
    <row r="45" spans="3:4" ht="14.65" thickBot="1" x14ac:dyDescent="0.5">
      <c r="C45" s="2087"/>
      <c r="D45" s="2092" t="s">
        <v>19</v>
      </c>
    </row>
    <row r="46" spans="3:4" ht="14.65" thickBot="1" x14ac:dyDescent="0.5">
      <c r="C46" s="2088"/>
      <c r="D46" s="2092" t="s">
        <v>1131</v>
      </c>
    </row>
    <row r="47" spans="3:4" ht="14.65" thickBot="1" x14ac:dyDescent="0.5">
      <c r="C47" s="2089"/>
      <c r="D47" s="2092" t="s">
        <v>1098</v>
      </c>
    </row>
    <row r="48" spans="3:4" ht="14.65" thickBot="1" x14ac:dyDescent="0.5">
      <c r="C48" s="2090"/>
      <c r="D48" s="2092" t="s">
        <v>3607</v>
      </c>
    </row>
    <row r="50" spans="3:4" x14ac:dyDescent="0.45">
      <c r="C50" s="22" t="s">
        <v>3606</v>
      </c>
    </row>
    <row r="52" spans="3:4" x14ac:dyDescent="0.45">
      <c r="C52" s="1411" t="s">
        <v>1144</v>
      </c>
      <c r="D52" s="35" t="s">
        <v>1145</v>
      </c>
    </row>
    <row r="53" spans="3:4" x14ac:dyDescent="0.45">
      <c r="C53" s="2017"/>
      <c r="D53" s="2082" t="s">
        <v>3604</v>
      </c>
    </row>
    <row r="54" spans="3:4" x14ac:dyDescent="0.45">
      <c r="C54" s="1947"/>
      <c r="D54" s="2082" t="s">
        <v>1173</v>
      </c>
    </row>
    <row r="55" spans="3:4" x14ac:dyDescent="0.45">
      <c r="C55" s="2020"/>
      <c r="D55" s="2082" t="s">
        <v>1174</v>
      </c>
    </row>
  </sheetData>
  <mergeCells count="4">
    <mergeCell ref="C28:D28"/>
    <mergeCell ref="C30:C31"/>
    <mergeCell ref="C32:C36"/>
    <mergeCell ref="C37:C38"/>
  </mergeCells>
  <hyperlinks>
    <hyperlink ref="C24" r:id="rId1" xr:uid="{59FC8581-F329-4514-85B9-4535ED859A1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AE81"/>
  <sheetViews>
    <sheetView showGridLines="0" zoomScale="85" zoomScaleNormal="85" workbookViewId="0">
      <pane xSplit="2" ySplit="3" topLeftCell="C4" activePane="bottomRight" state="frozen"/>
      <selection sqref="A1:AB1"/>
      <selection pane="topRight" sqref="A1:AB1"/>
      <selection pane="bottomLeft" sqref="A1:AB1"/>
      <selection pane="bottomRight" sqref="A1:AB1"/>
    </sheetView>
  </sheetViews>
  <sheetFormatPr defaultColWidth="0" defaultRowHeight="14.25" zeroHeight="1" x14ac:dyDescent="0.45"/>
  <cols>
    <col min="1" max="1" width="55.53125" customWidth="1"/>
    <col min="2" max="2" width="12.1328125" style="20" customWidth="1"/>
    <col min="3" max="3" width="12.1328125" customWidth="1"/>
    <col min="4" max="4" width="10.53125" customWidth="1"/>
    <col min="5" max="5" width="11.53125" customWidth="1"/>
    <col min="6" max="7" width="10.53125" customWidth="1"/>
    <col min="8" max="10" width="11" customWidth="1"/>
    <col min="11" max="11" width="12.19921875" customWidth="1"/>
    <col min="12" max="12" width="10.46484375" customWidth="1"/>
    <col min="13" max="16" width="10.796875" customWidth="1"/>
    <col min="17" max="27" width="11" customWidth="1"/>
    <col min="28" max="28" width="14" customWidth="1"/>
    <col min="29" max="31" width="0" hidden="1" customWidth="1"/>
    <col min="32" max="16384" width="8.86328125" hidden="1"/>
  </cols>
  <sheetData>
    <row r="1" spans="1:31" s="2014" customFormat="1" ht="18" x14ac:dyDescent="0.55000000000000004">
      <c r="A1" s="2166" t="s">
        <v>3578</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8"/>
    </row>
    <row r="2" spans="1:31" s="1414" customFormat="1" ht="65.650000000000006"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55000000000000004">
      <c r="A3" s="1430" t="s">
        <v>1098</v>
      </c>
      <c r="B3" s="1070"/>
      <c r="C3" s="1968"/>
      <c r="D3" s="1968"/>
      <c r="E3" s="1968"/>
      <c r="F3" s="1968"/>
      <c r="G3" s="1968"/>
      <c r="H3" s="1968"/>
      <c r="I3" s="1968"/>
      <c r="J3" s="1968"/>
      <c r="K3" s="1968"/>
      <c r="L3" s="1968"/>
      <c r="M3" s="1968"/>
      <c r="N3" s="1968"/>
      <c r="O3" s="1968"/>
      <c r="P3" s="1968"/>
      <c r="Q3" s="1968"/>
      <c r="R3" s="1968"/>
      <c r="S3" s="1968"/>
      <c r="T3" s="1968"/>
      <c r="U3" s="1968"/>
      <c r="V3" s="1968"/>
      <c r="W3" s="1969"/>
      <c r="X3" s="1968"/>
      <c r="Y3" s="1968"/>
      <c r="Z3" s="1968"/>
      <c r="AA3" s="1968"/>
      <c r="AB3" s="1968"/>
    </row>
    <row r="4" spans="1:31" x14ac:dyDescent="0.45">
      <c r="A4" s="734"/>
      <c r="B4" s="1070"/>
      <c r="C4" s="1968"/>
      <c r="D4" s="1968"/>
      <c r="E4" s="1968"/>
      <c r="F4" s="1968"/>
      <c r="G4" s="1968"/>
      <c r="H4" s="1968"/>
      <c r="I4" s="1968"/>
      <c r="J4" s="1968"/>
      <c r="K4" s="1968"/>
      <c r="L4" s="1968"/>
      <c r="M4" s="1968"/>
      <c r="N4" s="1968"/>
      <c r="O4" s="1968"/>
      <c r="P4" s="1968"/>
      <c r="Q4" s="1968"/>
      <c r="R4" s="1968"/>
      <c r="S4" s="1968"/>
      <c r="T4" s="1968"/>
      <c r="U4" s="1968"/>
      <c r="V4" s="1968"/>
      <c r="W4" s="1969"/>
      <c r="X4" s="1968"/>
      <c r="Y4" s="1968"/>
      <c r="Z4" s="1968"/>
      <c r="AA4" s="1968"/>
      <c r="AB4" s="1968"/>
    </row>
    <row r="5" spans="1:31" x14ac:dyDescent="0.45">
      <c r="A5" s="2015" t="s">
        <v>1099</v>
      </c>
      <c r="B5" s="2016"/>
      <c r="C5" s="2017" t="s">
        <v>872</v>
      </c>
      <c r="D5" s="2017" t="s">
        <v>872</v>
      </c>
      <c r="E5" s="2017" t="s">
        <v>872</v>
      </c>
      <c r="F5" s="2017" t="s">
        <v>872</v>
      </c>
      <c r="G5" s="2017" t="s">
        <v>872</v>
      </c>
      <c r="H5" s="2017" t="s">
        <v>872</v>
      </c>
      <c r="I5" s="2017" t="s">
        <v>872</v>
      </c>
      <c r="J5" s="2017" t="s">
        <v>872</v>
      </c>
      <c r="K5" s="2017" t="s">
        <v>872</v>
      </c>
      <c r="L5" s="2017" t="s">
        <v>872</v>
      </c>
      <c r="M5" s="2017" t="s">
        <v>875</v>
      </c>
      <c r="N5" s="2017" t="s">
        <v>875</v>
      </c>
      <c r="O5" s="2017" t="s">
        <v>875</v>
      </c>
      <c r="P5" s="2017" t="s">
        <v>875</v>
      </c>
      <c r="Q5" s="2017" t="s">
        <v>875</v>
      </c>
      <c r="R5" s="2017" t="s">
        <v>875</v>
      </c>
      <c r="S5" s="2017" t="s">
        <v>875</v>
      </c>
      <c r="T5" s="2017" t="s">
        <v>875</v>
      </c>
      <c r="U5" s="2017" t="s">
        <v>875</v>
      </c>
      <c r="V5" s="2017" t="s">
        <v>875</v>
      </c>
      <c r="W5" s="2017" t="s">
        <v>875</v>
      </c>
      <c r="X5" s="2017" t="s">
        <v>873</v>
      </c>
      <c r="Y5" s="2017" t="s">
        <v>873</v>
      </c>
      <c r="Z5" s="2017" t="s">
        <v>874</v>
      </c>
      <c r="AA5" s="2017" t="s">
        <v>874</v>
      </c>
      <c r="AB5" s="2017" t="s">
        <v>675</v>
      </c>
    </row>
    <row r="6" spans="1:31" x14ac:dyDescent="0.45">
      <c r="A6" s="2000"/>
      <c r="B6" s="1953"/>
      <c r="C6" s="1968"/>
      <c r="D6" s="1968"/>
      <c r="E6" s="1968"/>
      <c r="F6" s="1968"/>
      <c r="G6" s="1968"/>
      <c r="H6" s="1968"/>
      <c r="I6" s="1968"/>
      <c r="J6" s="1968"/>
      <c r="K6" s="1968"/>
      <c r="L6" s="1968"/>
      <c r="M6" s="1968"/>
      <c r="N6" s="1968"/>
      <c r="O6" s="1968"/>
      <c r="P6" s="1968"/>
      <c r="Q6" s="1968"/>
      <c r="R6" s="1968"/>
      <c r="S6" s="1968"/>
      <c r="T6" s="1968"/>
      <c r="U6" s="1968"/>
      <c r="V6" s="1968"/>
      <c r="W6" s="1969"/>
      <c r="X6" s="1968"/>
      <c r="Y6" s="1968"/>
      <c r="Z6" s="1968"/>
      <c r="AA6" s="1968"/>
      <c r="AB6" s="1968"/>
    </row>
    <row r="7" spans="1:31" ht="42.75" x14ac:dyDescent="0.45">
      <c r="A7" s="2018" t="s">
        <v>1100</v>
      </c>
      <c r="B7" s="2019"/>
      <c r="C7" s="2020" t="str">
        <f>IF(VLOOKUP(C$5,Tech_Specs_Infra!$A$219:$C$226,COLUMN(Tech_Specs_Infra!$B$218)-COLUMN(Tech_Specs_Infra!$A$218)+1,FALSE)=0,"",VLOOKUP(C$5,Tech_Specs_Infra!$A$219:$C$226,COLUMN(Tech_Specs_Infra!$B$218)-COLUMN(Tech_Specs_Infra!$A$218)+1,FALSE))</f>
        <v>Urban road</v>
      </c>
      <c r="D7" s="2020" t="str">
        <f>IF(VLOOKUP(D$5,Tech_Specs_Infra!$A$219:$C$226,COLUMN(Tech_Specs_Infra!$B$218)-COLUMN(Tech_Specs_Infra!$A$218)+1,FALSE)=0,"",VLOOKUP(D$5,Tech_Specs_Infra!$A$219:$C$226,COLUMN(Tech_Specs_Infra!$B$218)-COLUMN(Tech_Specs_Infra!$A$218)+1,FALSE))</f>
        <v>Urban road</v>
      </c>
      <c r="E7" s="2020" t="str">
        <f>IF(VLOOKUP(E$5,Tech_Specs_Infra!$A$219:$C$226,COLUMN(Tech_Specs_Infra!$B$218)-COLUMN(Tech_Specs_Infra!$A$218)+1,FALSE)=0,"",VLOOKUP(E$5,Tech_Specs_Infra!$A$219:$C$226,COLUMN(Tech_Specs_Infra!$B$218)-COLUMN(Tech_Specs_Infra!$A$218)+1,FALSE))</f>
        <v>Urban road</v>
      </c>
      <c r="F7" s="2020" t="str">
        <f>IF(VLOOKUP(F$5,Tech_Specs_Infra!$A$219:$C$226,COLUMN(Tech_Specs_Infra!$B$218)-COLUMN(Tech_Specs_Infra!$A$218)+1,FALSE)=0,"",VLOOKUP(F$5,Tech_Specs_Infra!$A$219:$C$226,COLUMN(Tech_Specs_Infra!$B$218)-COLUMN(Tech_Specs_Infra!$A$218)+1,FALSE))</f>
        <v>Urban road</v>
      </c>
      <c r="G7" s="2020" t="str">
        <f>IF(VLOOKUP(G$5,Tech_Specs_Infra!$A$219:$C$226,COLUMN(Tech_Specs_Infra!$B$218)-COLUMN(Tech_Specs_Infra!$A$218)+1,FALSE)=0,"",VLOOKUP(G$5,Tech_Specs_Infra!$A$219:$C$226,COLUMN(Tech_Specs_Infra!$B$218)-COLUMN(Tech_Specs_Infra!$A$218)+1,FALSE))</f>
        <v>Urban road</v>
      </c>
      <c r="H7" s="2020" t="str">
        <f>IF(VLOOKUP(H$5,Tech_Specs_Infra!$A$219:$C$226,COLUMN(Tech_Specs_Infra!$B$218)-COLUMN(Tech_Specs_Infra!$A$218)+1,FALSE)=0,"",VLOOKUP(H$5,Tech_Specs_Infra!$A$219:$C$226,COLUMN(Tech_Specs_Infra!$B$218)-COLUMN(Tech_Specs_Infra!$A$218)+1,FALSE))</f>
        <v>Urban road</v>
      </c>
      <c r="I7" s="2020" t="str">
        <f>IF(VLOOKUP(I$5,Tech_Specs_Infra!$A$219:$C$226,COLUMN(Tech_Specs_Infra!$B$218)-COLUMN(Tech_Specs_Infra!$A$218)+1,FALSE)=0,"",VLOOKUP(I$5,Tech_Specs_Infra!$A$219:$C$226,COLUMN(Tech_Specs_Infra!$B$218)-COLUMN(Tech_Specs_Infra!$A$218)+1,FALSE))</f>
        <v>Urban road</v>
      </c>
      <c r="J7" s="2020" t="str">
        <f>IF(VLOOKUP(J$5,Tech_Specs_Infra!$A$219:$C$226,COLUMN(Tech_Specs_Infra!$B$218)-COLUMN(Tech_Specs_Infra!$A$218)+1,FALSE)=0,"",VLOOKUP(J$5,Tech_Specs_Infra!$A$219:$C$226,COLUMN(Tech_Specs_Infra!$B$218)-COLUMN(Tech_Specs_Infra!$A$218)+1,FALSE))</f>
        <v>Urban road</v>
      </c>
      <c r="K7" s="2020" t="str">
        <f>IF(VLOOKUP(K$5,Tech_Specs_Infra!$A$219:$C$226,COLUMN(Tech_Specs_Infra!$B$218)-COLUMN(Tech_Specs_Infra!$A$218)+1,FALSE)=0,"",VLOOKUP(K$5,Tech_Specs_Infra!$A$219:$C$226,COLUMN(Tech_Specs_Infra!$B$218)-COLUMN(Tech_Specs_Infra!$A$218)+1,FALSE))</f>
        <v>Urban road</v>
      </c>
      <c r="L7" s="2020" t="str">
        <f>IF(VLOOKUP(L$5,Tech_Specs_Infra!$A$219:$C$226,COLUMN(Tech_Specs_Infra!$B$218)-COLUMN(Tech_Specs_Infra!$A$218)+1,FALSE)=0,"",VLOOKUP(L$5,Tech_Specs_Infra!$A$219:$C$226,COLUMN(Tech_Specs_Infra!$B$218)-COLUMN(Tech_Specs_Infra!$A$218)+1,FALSE))</f>
        <v>Urban road</v>
      </c>
      <c r="M7" s="2020" t="str">
        <f>IF(VLOOKUP(M$5,Tech_Specs_Infra!$A$219:$C$226,COLUMN(Tech_Specs_Infra!$B$218)-COLUMN(Tech_Specs_Infra!$A$218)+1,FALSE)=0,"",VLOOKUP(M$5,Tech_Specs_Infra!$A$219:$C$226,COLUMN(Tech_Specs_Infra!$B$218)-COLUMN(Tech_Specs_Infra!$A$218)+1,FALSE))</f>
        <v>Bus lane</v>
      </c>
      <c r="N7" s="2020" t="str">
        <f>IF(VLOOKUP(N$5,Tech_Specs_Infra!$A$219:$C$226,COLUMN(Tech_Specs_Infra!$B$218)-COLUMN(Tech_Specs_Infra!$A$218)+1,FALSE)=0,"",VLOOKUP(N$5,Tech_Specs_Infra!$A$219:$C$226,COLUMN(Tech_Specs_Infra!$B$218)-COLUMN(Tech_Specs_Infra!$A$218)+1,FALSE))</f>
        <v>Bus lane</v>
      </c>
      <c r="O7" s="2020" t="str">
        <f>IF(VLOOKUP(O$5,Tech_Specs_Infra!$A$219:$C$226,COLUMN(Tech_Specs_Infra!$B$218)-COLUMN(Tech_Specs_Infra!$A$218)+1,FALSE)=0,"",VLOOKUP(O$5,Tech_Specs_Infra!$A$219:$C$226,COLUMN(Tech_Specs_Infra!$B$218)-COLUMN(Tech_Specs_Infra!$A$218)+1,FALSE))</f>
        <v>Bus lane</v>
      </c>
      <c r="P7" s="2020" t="str">
        <f>IF(VLOOKUP(P$5,Tech_Specs_Infra!$A$219:$C$226,COLUMN(Tech_Specs_Infra!$B$218)-COLUMN(Tech_Specs_Infra!$A$218)+1,FALSE)=0,"",VLOOKUP(P$5,Tech_Specs_Infra!$A$219:$C$226,COLUMN(Tech_Specs_Infra!$B$218)-COLUMN(Tech_Specs_Infra!$A$218)+1,FALSE))</f>
        <v>Bus lane</v>
      </c>
      <c r="Q7" s="2020" t="str">
        <f>IF(VLOOKUP(Q$5,Tech_Specs_Infra!$A$219:$C$226,COLUMN(Tech_Specs_Infra!$B$218)-COLUMN(Tech_Specs_Infra!$A$218)+1,FALSE)=0,"",VLOOKUP(Q$5,Tech_Specs_Infra!$A$219:$C$226,COLUMN(Tech_Specs_Infra!$B$218)-COLUMN(Tech_Specs_Infra!$A$218)+1,FALSE))</f>
        <v>Bus lane</v>
      </c>
      <c r="R7" s="2020" t="str">
        <f>IF(VLOOKUP(R$5,Tech_Specs_Infra!$A$219:$C$226,COLUMN(Tech_Specs_Infra!$B$218)-COLUMN(Tech_Specs_Infra!$A$218)+1,FALSE)=0,"",VLOOKUP(R$5,Tech_Specs_Infra!$A$219:$C$226,COLUMN(Tech_Specs_Infra!$B$218)-COLUMN(Tech_Specs_Infra!$A$218)+1,FALSE))</f>
        <v>Bus lane</v>
      </c>
      <c r="S7" s="2020" t="str">
        <f>IF(VLOOKUP(S$5,Tech_Specs_Infra!$A$219:$C$226,COLUMN(Tech_Specs_Infra!$B$218)-COLUMN(Tech_Specs_Infra!$A$218)+1,FALSE)=0,"",VLOOKUP(S$5,Tech_Specs_Infra!$A$219:$C$226,COLUMN(Tech_Specs_Infra!$B$218)-COLUMN(Tech_Specs_Infra!$A$218)+1,FALSE))</f>
        <v>Bus lane</v>
      </c>
      <c r="T7" s="2020" t="str">
        <f>IF(VLOOKUP(T$5,Tech_Specs_Infra!$A$219:$C$226,COLUMN(Tech_Specs_Infra!$B$218)-COLUMN(Tech_Specs_Infra!$A$218)+1,FALSE)=0,"",VLOOKUP(T$5,Tech_Specs_Infra!$A$219:$C$226,COLUMN(Tech_Specs_Infra!$B$218)-COLUMN(Tech_Specs_Infra!$A$218)+1,FALSE))</f>
        <v>Bus lane</v>
      </c>
      <c r="U7" s="2020" t="str">
        <f>IF(VLOOKUP(U$5,Tech_Specs_Infra!$A$219:$C$226,COLUMN(Tech_Specs_Infra!$B$218)-COLUMN(Tech_Specs_Infra!$A$218)+1,FALSE)=0,"",VLOOKUP(U$5,Tech_Specs_Infra!$A$219:$C$226,COLUMN(Tech_Specs_Infra!$B$218)-COLUMN(Tech_Specs_Infra!$A$218)+1,FALSE))</f>
        <v>Bus lane</v>
      </c>
      <c r="V7" s="2020" t="str">
        <f>IF(VLOOKUP(V$5,Tech_Specs_Infra!$A$219:$C$226,COLUMN(Tech_Specs_Infra!$B$218)-COLUMN(Tech_Specs_Infra!$A$218)+1,FALSE)=0,"",VLOOKUP(V$5,Tech_Specs_Infra!$A$219:$C$226,COLUMN(Tech_Specs_Infra!$B$218)-COLUMN(Tech_Specs_Infra!$A$218)+1,FALSE))</f>
        <v>Bus lane</v>
      </c>
      <c r="W7" s="2020" t="str">
        <f>IF(VLOOKUP(W$5,Tech_Specs_Infra!$A$219:$C$226,COLUMN(Tech_Specs_Infra!$B$218)-COLUMN(Tech_Specs_Infra!$A$218)+1,FALSE)=0,"",VLOOKUP(W$5,Tech_Specs_Infra!$A$219:$C$226,COLUMN(Tech_Specs_Infra!$B$218)-COLUMN(Tech_Specs_Infra!$A$218)+1,FALSE))</f>
        <v>Bus lane</v>
      </c>
      <c r="X7" s="2019" t="str">
        <f>IF(VLOOKUP(X$5,Tech_Specs_Infra!$A$219:$C$226,COLUMN(Tech_Specs_Infra!$B$218)-COLUMN(Tech_Specs_Infra!$A$218)+1,FALSE)=0,"",VLOOKUP(X$5,Tech_Specs_Infra!$A$219:$C$226,COLUMN(Tech_Specs_Infra!$B$218)-COLUMN(Tech_Specs_Infra!$A$218)+1,FALSE))</f>
        <v>Urban road including parking</v>
      </c>
      <c r="Y7" s="2019" t="str">
        <f>IF(VLOOKUP(Y$5,Tech_Specs_Infra!$A$219:$C$226,COLUMN(Tech_Specs_Infra!$B$218)-COLUMN(Tech_Specs_Infra!$A$218)+1,FALSE)=0,"",VLOOKUP(Y$5,Tech_Specs_Infra!$A$219:$C$226,COLUMN(Tech_Specs_Infra!$B$218)-COLUMN(Tech_Specs_Infra!$A$218)+1,FALSE))</f>
        <v>Urban road including parking</v>
      </c>
      <c r="Z7" s="2019" t="str">
        <f>IF(VLOOKUP(Z$5,Tech_Specs_Infra!$A$219:$C$226,COLUMN(Tech_Specs_Infra!$B$218)-COLUMN(Tech_Specs_Infra!$A$218)+1,FALSE)=0,"",VLOOKUP(Z$5,Tech_Specs_Infra!$A$219:$C$226,COLUMN(Tech_Specs_Infra!$B$218)-COLUMN(Tech_Specs_Infra!$A$218)+1,FALSE))</f>
        <v>Urban road</v>
      </c>
      <c r="AA7" s="2019" t="str">
        <f>IF(VLOOKUP(AA$5,Tech_Specs_Infra!$A$219:$C$226,COLUMN(Tech_Specs_Infra!$B$218)-COLUMN(Tech_Specs_Infra!$A$218)+1,FALSE)=0,"",VLOOKUP(AA$5,Tech_Specs_Infra!$A$219:$C$226,COLUMN(Tech_Specs_Infra!$B$218)-COLUMN(Tech_Specs_Infra!$A$218)+1,FALSE))</f>
        <v>Urban road</v>
      </c>
      <c r="AB7" s="2020" t="str">
        <f>IF(VLOOKUP(AB$5,Tech_Specs_Infra!$A$219:$C$226,COLUMN(Tech_Specs_Infra!$B$218)-COLUMN(Tech_Specs_Infra!$A$218)+1,FALSE)=0,"",VLOOKUP(AB$5,Tech_Specs_Infra!$A$219:$C$226,COLUMN(Tech_Specs_Infra!$B$218)-COLUMN(Tech_Specs_Infra!$A$218)+1,FALSE))</f>
        <v>Metro track</v>
      </c>
    </row>
    <row r="8" spans="1:31" ht="28.5" x14ac:dyDescent="0.45">
      <c r="A8" s="2018" t="s">
        <v>1101</v>
      </c>
      <c r="B8" s="2019"/>
      <c r="C8" s="2020"/>
      <c r="D8" s="2020"/>
      <c r="E8" s="2020"/>
      <c r="F8" s="2020"/>
      <c r="G8" s="2020"/>
      <c r="H8" s="2020"/>
      <c r="I8" s="2020"/>
      <c r="J8" s="2020"/>
      <c r="K8" s="2020"/>
      <c r="L8" s="2020"/>
      <c r="M8" s="2020" t="str">
        <f>IF(VLOOKUP(M5,Tech_Specs_Infra!$A$219:$C$226,COLUMN(Tech_Specs_Infra!$C$218)-COLUMN(Tech_Specs_Infra!$A$218)+1,FALSE)=0,"",VLOOKUP(M5,Tech_Specs_Infra!$A$219:$C$226,COLUMN(Tech_Specs_Infra!$C$218)-COLUMN(Tech_Specs_Infra!$A$218)+1,FALSE))</f>
        <v>Urban road</v>
      </c>
      <c r="N8" s="2020" t="str">
        <f>IF(VLOOKUP(N5,Tech_Specs_Infra!$A$219:$C$226,COLUMN(Tech_Specs_Infra!$C$218)-COLUMN(Tech_Specs_Infra!$A$218)+1,FALSE)=0,"",VLOOKUP(N5,Tech_Specs_Infra!$A$219:$C$226,COLUMN(Tech_Specs_Infra!$C$218)-COLUMN(Tech_Specs_Infra!$A$218)+1,FALSE))</f>
        <v>Urban road</v>
      </c>
      <c r="O8" s="2020" t="str">
        <f>IF(VLOOKUP(O5,Tech_Specs_Infra!$A$219:$C$226,COLUMN(Tech_Specs_Infra!$C$218)-COLUMN(Tech_Specs_Infra!$A$218)+1,FALSE)=0,"",VLOOKUP(O5,Tech_Specs_Infra!$A$219:$C$226,COLUMN(Tech_Specs_Infra!$C$218)-COLUMN(Tech_Specs_Infra!$A$218)+1,FALSE))</f>
        <v>Urban road</v>
      </c>
      <c r="P8" s="2020" t="str">
        <f>IF(VLOOKUP(P5,Tech_Specs_Infra!$A$219:$C$226,COLUMN(Tech_Specs_Infra!$C$218)-COLUMN(Tech_Specs_Infra!$A$218)+1,FALSE)=0,"",VLOOKUP(P5,Tech_Specs_Infra!$A$219:$C$226,COLUMN(Tech_Specs_Infra!$C$218)-COLUMN(Tech_Specs_Infra!$A$218)+1,FALSE))</f>
        <v>Urban road</v>
      </c>
      <c r="Q8" s="2020" t="str">
        <f>IF(VLOOKUP(Q5,Tech_Specs_Infra!$A$219:$C$226,COLUMN(Tech_Specs_Infra!$C$218)-COLUMN(Tech_Specs_Infra!$A$218)+1,FALSE)=0,"",VLOOKUP(Q5,Tech_Specs_Infra!$A$219:$C$226,COLUMN(Tech_Specs_Infra!$C$218)-COLUMN(Tech_Specs_Infra!$A$218)+1,FALSE))</f>
        <v>Urban road</v>
      </c>
      <c r="R8" s="2020" t="str">
        <f>IF(VLOOKUP(R5,Tech_Specs_Infra!$A$219:$C$226,COLUMN(Tech_Specs_Infra!$C$218)-COLUMN(Tech_Specs_Infra!$A$218)+1,FALSE)=0,"",VLOOKUP(R5,Tech_Specs_Infra!$A$219:$C$226,COLUMN(Tech_Specs_Infra!$C$218)-COLUMN(Tech_Specs_Infra!$A$218)+1,FALSE))</f>
        <v>Urban road</v>
      </c>
      <c r="S8" s="2020" t="str">
        <f>IF(VLOOKUP(S5,Tech_Specs_Infra!$A$219:$C$226,COLUMN(Tech_Specs_Infra!$C$218)-COLUMN(Tech_Specs_Infra!$A$218)+1,FALSE)=0,"",VLOOKUP(S5,Tech_Specs_Infra!$A$219:$C$226,COLUMN(Tech_Specs_Infra!$C$218)-COLUMN(Tech_Specs_Infra!$A$218)+1,FALSE))</f>
        <v>Urban road</v>
      </c>
      <c r="T8" s="2020" t="str">
        <f>IF(VLOOKUP(T5,Tech_Specs_Infra!$A$219:$C$226,COLUMN(Tech_Specs_Infra!$C$218)-COLUMN(Tech_Specs_Infra!$A$218)+1,FALSE)=0,"",VLOOKUP(T5,Tech_Specs_Infra!$A$219:$C$226,COLUMN(Tech_Specs_Infra!$C$218)-COLUMN(Tech_Specs_Infra!$A$218)+1,FALSE))</f>
        <v>Urban road</v>
      </c>
      <c r="U8" s="2020" t="str">
        <f>IF(VLOOKUP(U5,Tech_Specs_Infra!$A$219:$C$226,COLUMN(Tech_Specs_Infra!$C$218)-COLUMN(Tech_Specs_Infra!$A$218)+1,FALSE)=0,"",VLOOKUP(U5,Tech_Specs_Infra!$A$219:$C$226,COLUMN(Tech_Specs_Infra!$C$218)-COLUMN(Tech_Specs_Infra!$A$218)+1,FALSE))</f>
        <v>Urban road</v>
      </c>
      <c r="V8" s="2020" t="str">
        <f>IF(VLOOKUP(V5,Tech_Specs_Infra!$A$219:$C$226,COLUMN(Tech_Specs_Infra!$C$218)-COLUMN(Tech_Specs_Infra!$A$218)+1,FALSE)=0,"",VLOOKUP(V5,Tech_Specs_Infra!$A$219:$C$226,COLUMN(Tech_Specs_Infra!$C$218)-COLUMN(Tech_Specs_Infra!$A$218)+1,FALSE))</f>
        <v>Urban road</v>
      </c>
      <c r="W8" s="2020" t="str">
        <f>IF(VLOOKUP(W5,Tech_Specs_Infra!$A$219:$C$226,COLUMN(Tech_Specs_Infra!$C$218)-COLUMN(Tech_Specs_Infra!$A$218)+1,FALSE)=0,"",VLOOKUP(W5,Tech_Specs_Infra!$A$219:$C$226,COLUMN(Tech_Specs_Infra!$C$218)-COLUMN(Tech_Specs_Infra!$A$218)+1,FALSE))</f>
        <v>Urban road</v>
      </c>
      <c r="X8" s="2019" t="str">
        <f>IF(VLOOKUP(X5,Tech_Specs_Infra!$A$219:$C$226,COLUMN(Tech_Specs_Infra!$C$218)-COLUMN(Tech_Specs_Infra!$A$218)+1,FALSE)=0,"",VLOOKUP(X5,Tech_Specs_Infra!$A$219:$C$226,COLUMN(Tech_Specs_Infra!$C$218)-COLUMN(Tech_Specs_Infra!$A$218)+1,FALSE))</f>
        <v>Non-urban road</v>
      </c>
      <c r="Y8" s="2019" t="str">
        <f>IF(VLOOKUP(Y5,Tech_Specs_Infra!$A$219:$C$226,COLUMN(Tech_Specs_Infra!$C$218)-COLUMN(Tech_Specs_Infra!$A$218)+1,FALSE)=0,"",VLOOKUP(Y5,Tech_Specs_Infra!$A$219:$C$226,COLUMN(Tech_Specs_Infra!$C$218)-COLUMN(Tech_Specs_Infra!$A$218)+1,FALSE))</f>
        <v>Non-urban road</v>
      </c>
      <c r="Z8" s="2019" t="str">
        <f>IF(VLOOKUP(Z5,Tech_Specs_Infra!$A$219:$C$226,COLUMN(Tech_Specs_Infra!$C$218)-COLUMN(Tech_Specs_Infra!$A$218)+1,FALSE)=0,"",VLOOKUP(Z5,Tech_Specs_Infra!$A$219:$C$226,COLUMN(Tech_Specs_Infra!$C$218)-COLUMN(Tech_Specs_Infra!$A$218)+1,FALSE))</f>
        <v/>
      </c>
      <c r="AA8" s="2019" t="str">
        <f>IF(VLOOKUP(AA5,Tech_Specs_Infra!$A$219:$C$226,COLUMN(Tech_Specs_Infra!$C$218)-COLUMN(Tech_Specs_Infra!$A$218)+1,FALSE)=0,"",VLOOKUP(AA5,Tech_Specs_Infra!$A$219:$C$226,COLUMN(Tech_Specs_Infra!$C$218)-COLUMN(Tech_Specs_Infra!$A$218)+1,FALSE))</f>
        <v/>
      </c>
      <c r="AB8" s="2020"/>
    </row>
    <row r="9" spans="1:31" x14ac:dyDescent="0.45">
      <c r="A9" s="2018" t="s">
        <v>1102</v>
      </c>
      <c r="B9" s="2019" t="s">
        <v>26</v>
      </c>
      <c r="C9" s="2021">
        <f>VLOOKUP(C$5,Tech_Specs_Infra!$A$219:$E$226,COLUMN(Tech_Specs_Infra!$D$218)-COLUMN(Tech_Specs_Infra!$A$218)+1,FALSE)</f>
        <v>1</v>
      </c>
      <c r="D9" s="2021">
        <f>VLOOKUP(D$5,Tech_Specs_Infra!$A$219:$E$226,COLUMN(Tech_Specs_Infra!$D$218)-COLUMN(Tech_Specs_Infra!$A$218)+1,FALSE)</f>
        <v>1</v>
      </c>
      <c r="E9" s="2021">
        <f>VLOOKUP(E$5,Tech_Specs_Infra!$A$219:$E$226,COLUMN(Tech_Specs_Infra!$D$218)-COLUMN(Tech_Specs_Infra!$A$218)+1,FALSE)</f>
        <v>1</v>
      </c>
      <c r="F9" s="2021">
        <f>VLOOKUP(F$5,Tech_Specs_Infra!$A$219:$E$226,COLUMN(Tech_Specs_Infra!$D$218)-COLUMN(Tech_Specs_Infra!$A$218)+1,FALSE)</f>
        <v>1</v>
      </c>
      <c r="G9" s="2021">
        <f>VLOOKUP(G$5,Tech_Specs_Infra!$A$219:$E$226,COLUMN(Tech_Specs_Infra!$D$218)-COLUMN(Tech_Specs_Infra!$A$218)+1,FALSE)</f>
        <v>1</v>
      </c>
      <c r="H9" s="2021">
        <f>VLOOKUP(H$5,Tech_Specs_Infra!$A$219:$E$226,COLUMN(Tech_Specs_Infra!$D$218)-COLUMN(Tech_Specs_Infra!$A$218)+1,FALSE)</f>
        <v>1</v>
      </c>
      <c r="I9" s="2021">
        <f>VLOOKUP(I$5,Tech_Specs_Infra!$A$219:$E$226,COLUMN(Tech_Specs_Infra!$D$218)-COLUMN(Tech_Specs_Infra!$A$218)+1,FALSE)</f>
        <v>1</v>
      </c>
      <c r="J9" s="2021">
        <f>VLOOKUP(J$5,Tech_Specs_Infra!$A$219:$E$226,COLUMN(Tech_Specs_Infra!$D$218)-COLUMN(Tech_Specs_Infra!$A$218)+1,FALSE)</f>
        <v>1</v>
      </c>
      <c r="K9" s="2021">
        <f>VLOOKUP(K$5,Tech_Specs_Infra!$A$219:$E$226,COLUMN(Tech_Specs_Infra!$D$218)-COLUMN(Tech_Specs_Infra!$A$218)+1,FALSE)</f>
        <v>1</v>
      </c>
      <c r="L9" s="2021">
        <f>VLOOKUP(L$5,Tech_Specs_Infra!$A$219:$E$226,COLUMN(Tech_Specs_Infra!$D$218)-COLUMN(Tech_Specs_Infra!$A$218)+1,FALSE)</f>
        <v>1</v>
      </c>
      <c r="M9" s="2021">
        <v>0</v>
      </c>
      <c r="N9" s="2021">
        <v>0</v>
      </c>
      <c r="O9" s="2021">
        <v>0</v>
      </c>
      <c r="P9" s="2021">
        <v>0</v>
      </c>
      <c r="Q9" s="2021">
        <v>0</v>
      </c>
      <c r="R9" s="2021">
        <v>0</v>
      </c>
      <c r="S9" s="2021">
        <v>0</v>
      </c>
      <c r="T9" s="2021">
        <v>0</v>
      </c>
      <c r="U9" s="2021">
        <v>0</v>
      </c>
      <c r="V9" s="2021">
        <v>0</v>
      </c>
      <c r="W9" s="2021">
        <v>0</v>
      </c>
      <c r="X9" s="2021">
        <f>VLOOKUP(X$5,Tech_Specs_Infra!$A$219:$E$226,COLUMN(Tech_Specs_Infra!$D$218)-COLUMN(Tech_Specs_Infra!$A$218)+1,FALSE)</f>
        <v>0.6</v>
      </c>
      <c r="Y9" s="2021">
        <f>VLOOKUP(Y$5,Tech_Specs_Infra!$A$219:$E$226,COLUMN(Tech_Specs_Infra!$D$218)-COLUMN(Tech_Specs_Infra!$A$218)+1,FALSE)</f>
        <v>0.6</v>
      </c>
      <c r="Z9" s="2021">
        <f>VLOOKUP(Z$5,Tech_Specs_Infra!$A$219:$E$226,COLUMN(Tech_Specs_Infra!$D$218)-COLUMN(Tech_Specs_Infra!$A$218)+1,FALSE)</f>
        <v>1</v>
      </c>
      <c r="AA9" s="2021">
        <f>VLOOKUP(AA$5,Tech_Specs_Infra!$A$219:$E$226,COLUMN(Tech_Specs_Infra!$D$218)-COLUMN(Tech_Specs_Infra!$A$218)+1,FALSE)</f>
        <v>1</v>
      </c>
      <c r="AB9" s="2021">
        <f>VLOOKUP(AB$5,Tech_Specs_Infra!$A$219:$E$226,COLUMN(Tech_Specs_Infra!$D$218)-COLUMN(Tech_Specs_Infra!$A$218)+1,FALSE)</f>
        <v>1</v>
      </c>
    </row>
    <row r="10" spans="1:31" x14ac:dyDescent="0.45">
      <c r="A10" s="2018" t="s">
        <v>1103</v>
      </c>
      <c r="B10" s="2019" t="s">
        <v>26</v>
      </c>
      <c r="C10" s="2021">
        <f t="shared" ref="C10:L10" si="0">1-C9</f>
        <v>0</v>
      </c>
      <c r="D10" s="2021">
        <f t="shared" si="0"/>
        <v>0</v>
      </c>
      <c r="E10" s="2021">
        <f t="shared" si="0"/>
        <v>0</v>
      </c>
      <c r="F10" s="2021">
        <f t="shared" si="0"/>
        <v>0</v>
      </c>
      <c r="G10" s="2021">
        <f t="shared" si="0"/>
        <v>0</v>
      </c>
      <c r="H10" s="2021">
        <f t="shared" si="0"/>
        <v>0</v>
      </c>
      <c r="I10" s="2021">
        <f t="shared" si="0"/>
        <v>0</v>
      </c>
      <c r="J10" s="2021">
        <f t="shared" si="0"/>
        <v>0</v>
      </c>
      <c r="K10" s="2021">
        <f t="shared" si="0"/>
        <v>0</v>
      </c>
      <c r="L10" s="2021">
        <f t="shared" si="0"/>
        <v>0</v>
      </c>
      <c r="M10" s="2021">
        <f t="shared" ref="M10:T10" si="1">1-M9</f>
        <v>1</v>
      </c>
      <c r="N10" s="2021">
        <f t="shared" si="1"/>
        <v>1</v>
      </c>
      <c r="O10" s="2021">
        <f t="shared" si="1"/>
        <v>1</v>
      </c>
      <c r="P10" s="2021">
        <f t="shared" si="1"/>
        <v>1</v>
      </c>
      <c r="Q10" s="2021">
        <f t="shared" si="1"/>
        <v>1</v>
      </c>
      <c r="R10" s="2021">
        <f t="shared" si="1"/>
        <v>1</v>
      </c>
      <c r="S10" s="2021">
        <f t="shared" si="1"/>
        <v>1</v>
      </c>
      <c r="T10" s="2021">
        <f t="shared" si="1"/>
        <v>1</v>
      </c>
      <c r="U10" s="2021">
        <f t="shared" ref="U10:AB10" si="2">1-U9</f>
        <v>1</v>
      </c>
      <c r="V10" s="2021">
        <f t="shared" si="2"/>
        <v>1</v>
      </c>
      <c r="W10" s="2021">
        <f>1-W9</f>
        <v>1</v>
      </c>
      <c r="X10" s="2021">
        <f t="shared" si="2"/>
        <v>0.4</v>
      </c>
      <c r="Y10" s="2021">
        <f t="shared" si="2"/>
        <v>0.4</v>
      </c>
      <c r="Z10" s="2021">
        <f t="shared" si="2"/>
        <v>0</v>
      </c>
      <c r="AA10" s="2021">
        <f t="shared" si="2"/>
        <v>0</v>
      </c>
      <c r="AB10" s="2021">
        <f t="shared" si="2"/>
        <v>0</v>
      </c>
    </row>
    <row r="11" spans="1:31" x14ac:dyDescent="0.45">
      <c r="A11" s="2000"/>
      <c r="B11" s="1953"/>
      <c r="C11" s="1968"/>
      <c r="D11" s="1968"/>
      <c r="E11" s="1968"/>
      <c r="F11" s="1968"/>
      <c r="G11" s="1968"/>
      <c r="H11" s="1968"/>
      <c r="I11" s="1968"/>
      <c r="J11" s="1968"/>
      <c r="K11" s="1968"/>
      <c r="L11" s="1968"/>
      <c r="M11" s="1968"/>
      <c r="N11" s="1968"/>
      <c r="O11" s="1968"/>
      <c r="P11" s="1968"/>
      <c r="Q11" s="1968"/>
      <c r="R11" s="1968"/>
      <c r="S11" s="1968"/>
      <c r="T11" s="1968"/>
      <c r="U11" s="1968"/>
      <c r="V11" s="1968"/>
      <c r="W11" s="1969"/>
      <c r="X11" s="1968"/>
      <c r="Y11" s="1968"/>
      <c r="Z11" s="1968"/>
      <c r="AA11" s="1968"/>
      <c r="AB11" s="1968"/>
    </row>
    <row r="12" spans="1:31" ht="42.75" x14ac:dyDescent="0.45">
      <c r="A12" s="1427" t="s">
        <v>1104</v>
      </c>
      <c r="B12" s="1953" t="s">
        <v>1105</v>
      </c>
      <c r="C12" s="1968"/>
      <c r="D12" s="1968"/>
      <c r="E12" s="1968"/>
      <c r="F12" s="1968"/>
      <c r="G12" s="1968"/>
      <c r="H12" s="1968"/>
      <c r="I12" s="1968"/>
      <c r="J12" s="1968"/>
      <c r="K12" s="1968"/>
      <c r="L12" s="1968"/>
      <c r="M12" s="1968"/>
      <c r="N12" s="1968"/>
      <c r="O12" s="1968"/>
      <c r="P12" s="1968"/>
      <c r="Q12" s="1968"/>
      <c r="R12" s="1968"/>
      <c r="S12" s="1968"/>
      <c r="T12" s="1968"/>
      <c r="U12" s="1968"/>
      <c r="V12" s="1968"/>
      <c r="W12" s="1969"/>
      <c r="X12" s="1968"/>
      <c r="Y12" s="1968"/>
      <c r="Z12" s="1968"/>
      <c r="AA12" s="1968"/>
      <c r="AB12" s="1968"/>
    </row>
    <row r="13" spans="1:31" x14ac:dyDescent="0.45">
      <c r="A13" s="2018" t="s">
        <v>768</v>
      </c>
      <c r="B13" s="2019"/>
      <c r="C13" s="2020">
        <f>VLOOKUP(C$7,Tech_Specs_Infra!$A$5:$F$11,COLUMN(Tech_Specs_Infra!$C$4)-COLUMN(Tech_Specs_Infra!$A$4)+1,FALSE)</f>
        <v>1</v>
      </c>
      <c r="D13" s="2020">
        <f>VLOOKUP(D$7,Tech_Specs_Infra!$A$5:$F$11,COLUMN(Tech_Specs_Infra!$C$4)-COLUMN(Tech_Specs_Infra!$A$4)+1,FALSE)</f>
        <v>1</v>
      </c>
      <c r="E13" s="2020">
        <f>VLOOKUP(E$7,Tech_Specs_Infra!$A$5:$F$11,COLUMN(Tech_Specs_Infra!$C$4)-COLUMN(Tech_Specs_Infra!$A$4)+1,FALSE)</f>
        <v>1</v>
      </c>
      <c r="F13" s="2020">
        <f>VLOOKUP(F$7,Tech_Specs_Infra!$A$5:$F$11,COLUMN(Tech_Specs_Infra!$C$4)-COLUMN(Tech_Specs_Infra!$A$4)+1,FALSE)</f>
        <v>1</v>
      </c>
      <c r="G13" s="2020">
        <f>VLOOKUP(G$7,Tech_Specs_Infra!$A$5:$F$11,COLUMN(Tech_Specs_Infra!$C$4)-COLUMN(Tech_Specs_Infra!$A$4)+1,FALSE)</f>
        <v>1</v>
      </c>
      <c r="H13" s="2020">
        <f>VLOOKUP(H$7,Tech_Specs_Infra!$A$5:$F$11,COLUMN(Tech_Specs_Infra!$C$4)-COLUMN(Tech_Specs_Infra!$A$4)+1,FALSE)</f>
        <v>1</v>
      </c>
      <c r="I13" s="2020">
        <f>VLOOKUP(I$7,Tech_Specs_Infra!$A$5:$F$11,COLUMN(Tech_Specs_Infra!$C$4)-COLUMN(Tech_Specs_Infra!$A$4)+1,FALSE)</f>
        <v>1</v>
      </c>
      <c r="J13" s="2020">
        <f>VLOOKUP(J$7,Tech_Specs_Infra!$A$5:$F$11,COLUMN(Tech_Specs_Infra!$C$4)-COLUMN(Tech_Specs_Infra!$A$4)+1,FALSE)</f>
        <v>1</v>
      </c>
      <c r="K13" s="2020">
        <f>VLOOKUP(K$7,Tech_Specs_Infra!$A$5:$F$11,COLUMN(Tech_Specs_Infra!$C$4)-COLUMN(Tech_Specs_Infra!$A$4)+1,FALSE)</f>
        <v>1</v>
      </c>
      <c r="L13" s="2020">
        <f>VLOOKUP(L$7,Tech_Specs_Infra!$A$5:$F$11,COLUMN(Tech_Specs_Infra!$C$4)-COLUMN(Tech_Specs_Infra!$A$4)+1,FALSE)</f>
        <v>1</v>
      </c>
      <c r="M13" s="2020">
        <f>VLOOKUP(M$7,Tech_Specs_Infra!$A$5:$F$11,COLUMN(Tech_Specs_Infra!$C$4)-COLUMN(Tech_Specs_Infra!$A$4)+1,FALSE)</f>
        <v>1</v>
      </c>
      <c r="N13" s="2020">
        <f>VLOOKUP(N$7,Tech_Specs_Infra!$A$5:$F$11,COLUMN(Tech_Specs_Infra!$C$4)-COLUMN(Tech_Specs_Infra!$A$4)+1,FALSE)</f>
        <v>1</v>
      </c>
      <c r="O13" s="2020">
        <f>VLOOKUP(O$7,Tech_Specs_Infra!$A$5:$F$11,COLUMN(Tech_Specs_Infra!$C$4)-COLUMN(Tech_Specs_Infra!$A$4)+1,FALSE)</f>
        <v>1</v>
      </c>
      <c r="P13" s="2020">
        <f>VLOOKUP(P$7,Tech_Specs_Infra!$A$5:$F$11,COLUMN(Tech_Specs_Infra!$C$4)-COLUMN(Tech_Specs_Infra!$A$4)+1,FALSE)</f>
        <v>1</v>
      </c>
      <c r="Q13" s="2020">
        <f>VLOOKUP(Q$7,Tech_Specs_Infra!$A$5:$F$11,COLUMN(Tech_Specs_Infra!$C$4)-COLUMN(Tech_Specs_Infra!$A$4)+1,FALSE)</f>
        <v>1</v>
      </c>
      <c r="R13" s="2020">
        <f>VLOOKUP(R$7,Tech_Specs_Infra!$A$5:$F$11,COLUMN(Tech_Specs_Infra!$C$4)-COLUMN(Tech_Specs_Infra!$A$4)+1,FALSE)</f>
        <v>1</v>
      </c>
      <c r="S13" s="2020">
        <f>VLOOKUP(S$7,Tech_Specs_Infra!$A$5:$F$11,COLUMN(Tech_Specs_Infra!$C$4)-COLUMN(Tech_Specs_Infra!$A$4)+1,FALSE)</f>
        <v>1</v>
      </c>
      <c r="T13" s="2020">
        <f>VLOOKUP(T$7,Tech_Specs_Infra!$A$5:$F$11,COLUMN(Tech_Specs_Infra!$C$4)-COLUMN(Tech_Specs_Infra!$A$4)+1,FALSE)</f>
        <v>1</v>
      </c>
      <c r="U13" s="2020">
        <f>VLOOKUP(U$7,Tech_Specs_Infra!$A$5:$F$11,COLUMN(Tech_Specs_Infra!$C$4)-COLUMN(Tech_Specs_Infra!$A$4)+1,FALSE)</f>
        <v>1</v>
      </c>
      <c r="V13" s="2020">
        <f>VLOOKUP(V$7,Tech_Specs_Infra!$A$5:$F$11,COLUMN(Tech_Specs_Infra!$C$4)-COLUMN(Tech_Specs_Infra!$A$4)+1,FALSE)</f>
        <v>1</v>
      </c>
      <c r="W13" s="2020">
        <f>VLOOKUP(W$7,Tech_Specs_Infra!$A$5:$F$11,COLUMN(Tech_Specs_Infra!$C$4)-COLUMN(Tech_Specs_Infra!$A$4)+1,FALSE)</f>
        <v>1</v>
      </c>
      <c r="X13" s="2020">
        <f>VLOOKUP(X$7,Tech_Specs_Infra!$A$5:$F$11,COLUMN(Tech_Specs_Infra!$C$4)-COLUMN(Tech_Specs_Infra!$A$4)+1,FALSE)</f>
        <v>1.1599999999999999</v>
      </c>
      <c r="Y13" s="2020">
        <f>VLOOKUP(Y$7,Tech_Specs_Infra!$A$5:$F$11,COLUMN(Tech_Specs_Infra!$C$4)-COLUMN(Tech_Specs_Infra!$A$4)+1,FALSE)</f>
        <v>1.1599999999999999</v>
      </c>
      <c r="Z13" s="2020">
        <f>VLOOKUP(Z$7,Tech_Specs_Infra!$A$5:$F$11,COLUMN(Tech_Specs_Infra!$C$4)-COLUMN(Tech_Specs_Infra!$A$4)+1,FALSE)</f>
        <v>1</v>
      </c>
      <c r="AA13" s="2020">
        <f>VLOOKUP(AA$7,Tech_Specs_Infra!$A$5:$F$11,COLUMN(Tech_Specs_Infra!$C$4)-COLUMN(Tech_Specs_Infra!$A$4)+1,FALSE)</f>
        <v>1</v>
      </c>
      <c r="AB13" s="2020">
        <f>VLOOKUP(AB$7,Tech_Specs_Infra!$A$5:$F$11,COLUMN(Tech_Specs_Infra!$C$4)-COLUMN(Tech_Specs_Infra!$A$4)+1,FALSE)</f>
        <v>0</v>
      </c>
    </row>
    <row r="14" spans="1:31" x14ac:dyDescent="0.45">
      <c r="A14" s="2018" t="s">
        <v>769</v>
      </c>
      <c r="B14" s="2019"/>
      <c r="C14" s="2020">
        <f>VLOOKUP(C$7,Tech_Specs_Infra!$A$5:$F$11,COLUMN(Tech_Specs_Infra!$E$4)-COLUMN(Tech_Specs_Infra!$A$4)+1,FALSE)</f>
        <v>212.5</v>
      </c>
      <c r="D14" s="2020">
        <f>VLOOKUP(D$7,Tech_Specs_Infra!$A$5:$F$11,COLUMN(Tech_Specs_Infra!$E$4)-COLUMN(Tech_Specs_Infra!$A$4)+1,FALSE)</f>
        <v>212.5</v>
      </c>
      <c r="E14" s="2020">
        <f>VLOOKUP(E$7,Tech_Specs_Infra!$A$5:$F$11,COLUMN(Tech_Specs_Infra!$E$4)-COLUMN(Tech_Specs_Infra!$A$4)+1,FALSE)</f>
        <v>212.5</v>
      </c>
      <c r="F14" s="2020">
        <f>VLOOKUP(F$7,Tech_Specs_Infra!$A$5:$F$11,COLUMN(Tech_Specs_Infra!$E$4)-COLUMN(Tech_Specs_Infra!$A$4)+1,FALSE)</f>
        <v>212.5</v>
      </c>
      <c r="G14" s="2020">
        <f>VLOOKUP(G$7,Tech_Specs_Infra!$A$5:$F$11,COLUMN(Tech_Specs_Infra!$E$4)-COLUMN(Tech_Specs_Infra!$A$4)+1,FALSE)</f>
        <v>212.5</v>
      </c>
      <c r="H14" s="2020">
        <f>VLOOKUP(H$7,Tech_Specs_Infra!$A$5:$F$11,COLUMN(Tech_Specs_Infra!$E$4)-COLUMN(Tech_Specs_Infra!$A$4)+1,FALSE)</f>
        <v>212.5</v>
      </c>
      <c r="I14" s="2020">
        <f>VLOOKUP(I$7,Tech_Specs_Infra!$A$5:$F$11,COLUMN(Tech_Specs_Infra!$E$4)-COLUMN(Tech_Specs_Infra!$A$4)+1,FALSE)</f>
        <v>212.5</v>
      </c>
      <c r="J14" s="2020">
        <f>VLOOKUP(J$7,Tech_Specs_Infra!$A$5:$F$11,COLUMN(Tech_Specs_Infra!$E$4)-COLUMN(Tech_Specs_Infra!$A$4)+1,FALSE)</f>
        <v>212.5</v>
      </c>
      <c r="K14" s="2020">
        <f>VLOOKUP(K$7,Tech_Specs_Infra!$A$5:$F$11,COLUMN(Tech_Specs_Infra!$E$4)-COLUMN(Tech_Specs_Infra!$A$4)+1,FALSE)</f>
        <v>212.5</v>
      </c>
      <c r="L14" s="2020">
        <f>VLOOKUP(L$7,Tech_Specs_Infra!$A$5:$F$11,COLUMN(Tech_Specs_Infra!$E$4)-COLUMN(Tech_Specs_Infra!$A$4)+1,FALSE)</f>
        <v>212.5</v>
      </c>
      <c r="M14" s="2020">
        <f>VLOOKUP(M$7,Tech_Specs_Infra!$A$5:$F$11,COLUMN(Tech_Specs_Infra!$E$4)-COLUMN(Tech_Specs_Infra!$A$4)+1,FALSE)</f>
        <v>212.5</v>
      </c>
      <c r="N14" s="2020">
        <f>VLOOKUP(N$7,Tech_Specs_Infra!$A$5:$F$11,COLUMN(Tech_Specs_Infra!$E$4)-COLUMN(Tech_Specs_Infra!$A$4)+1,FALSE)</f>
        <v>212.5</v>
      </c>
      <c r="O14" s="2020">
        <f>VLOOKUP(O$7,Tech_Specs_Infra!$A$5:$F$11,COLUMN(Tech_Specs_Infra!$E$4)-COLUMN(Tech_Specs_Infra!$A$4)+1,FALSE)</f>
        <v>212.5</v>
      </c>
      <c r="P14" s="2020">
        <f>VLOOKUP(P$7,Tech_Specs_Infra!$A$5:$F$11,COLUMN(Tech_Specs_Infra!$E$4)-COLUMN(Tech_Specs_Infra!$A$4)+1,FALSE)</f>
        <v>212.5</v>
      </c>
      <c r="Q14" s="2020">
        <f>VLOOKUP(Q$7,Tech_Specs_Infra!$A$5:$F$11,COLUMN(Tech_Specs_Infra!$E$4)-COLUMN(Tech_Specs_Infra!$A$4)+1,FALSE)</f>
        <v>212.5</v>
      </c>
      <c r="R14" s="2020">
        <f>VLOOKUP(R$7,Tech_Specs_Infra!$A$5:$F$11,COLUMN(Tech_Specs_Infra!$E$4)-COLUMN(Tech_Specs_Infra!$A$4)+1,FALSE)</f>
        <v>212.5</v>
      </c>
      <c r="S14" s="2020">
        <f>VLOOKUP(S$7,Tech_Specs_Infra!$A$5:$F$11,COLUMN(Tech_Specs_Infra!$E$4)-COLUMN(Tech_Specs_Infra!$A$4)+1,FALSE)</f>
        <v>212.5</v>
      </c>
      <c r="T14" s="2020">
        <f>VLOOKUP(T$7,Tech_Specs_Infra!$A$5:$F$11,COLUMN(Tech_Specs_Infra!$E$4)-COLUMN(Tech_Specs_Infra!$A$4)+1,FALSE)</f>
        <v>212.5</v>
      </c>
      <c r="U14" s="2020">
        <f>VLOOKUP(U$7,Tech_Specs_Infra!$A$5:$F$11,COLUMN(Tech_Specs_Infra!$E$4)-COLUMN(Tech_Specs_Infra!$A$4)+1,FALSE)</f>
        <v>212.5</v>
      </c>
      <c r="V14" s="2020">
        <f>VLOOKUP(V$7,Tech_Specs_Infra!$A$5:$F$11,COLUMN(Tech_Specs_Infra!$E$4)-COLUMN(Tech_Specs_Infra!$A$4)+1,FALSE)</f>
        <v>212.5</v>
      </c>
      <c r="W14" s="2020">
        <f>VLOOKUP(W$7,Tech_Specs_Infra!$A$5:$F$11,COLUMN(Tech_Specs_Infra!$E$4)-COLUMN(Tech_Specs_Infra!$A$4)+1,FALSE)</f>
        <v>212.5</v>
      </c>
      <c r="X14" s="2020">
        <f>VLOOKUP(X$7,Tech_Specs_Infra!$A$5:$F$11,COLUMN(Tech_Specs_Infra!$E$4)-COLUMN(Tech_Specs_Infra!$A$4)+1,FALSE)</f>
        <v>241.25</v>
      </c>
      <c r="Y14" s="2020">
        <f>VLOOKUP(Y$7,Tech_Specs_Infra!$A$5:$F$11,COLUMN(Tech_Specs_Infra!$E$4)-COLUMN(Tech_Specs_Infra!$A$4)+1,FALSE)</f>
        <v>241.25</v>
      </c>
      <c r="Z14" s="2020">
        <f>VLOOKUP(Z$7,Tech_Specs_Infra!$A$5:$F$11,COLUMN(Tech_Specs_Infra!$E$4)-COLUMN(Tech_Specs_Infra!$A$4)+1,FALSE)</f>
        <v>212.5</v>
      </c>
      <c r="AA14" s="2020">
        <f>VLOOKUP(AA$7,Tech_Specs_Infra!$A$5:$F$11,COLUMN(Tech_Specs_Infra!$E$4)-COLUMN(Tech_Specs_Infra!$A$4)+1,FALSE)</f>
        <v>212.5</v>
      </c>
      <c r="AB14" s="2020">
        <f>VLOOKUP(AB$7,Tech_Specs_Infra!$A$5:$F$11,COLUMN(Tech_Specs_Infra!$E$4)-COLUMN(Tech_Specs_Infra!$A$4)+1,FALSE)</f>
        <v>2512.5</v>
      </c>
    </row>
    <row r="15" spans="1:31" x14ac:dyDescent="0.45">
      <c r="A15" s="2018" t="s">
        <v>51</v>
      </c>
      <c r="B15" s="2019"/>
      <c r="C15" s="2020">
        <f>VLOOKUP(C$7,Tech_Specs_Infra!$A$5:$F$11,COLUMN(Tech_Specs_Infra!$F$4)-COLUMN(Tech_Specs_Infra!$A$4)+1,FALSE)</f>
        <v>0.1</v>
      </c>
      <c r="D15" s="2020">
        <f>VLOOKUP(D$7,Tech_Specs_Infra!$A$5:$F$11,COLUMN(Tech_Specs_Infra!$F$4)-COLUMN(Tech_Specs_Infra!$A$4)+1,FALSE)</f>
        <v>0.1</v>
      </c>
      <c r="E15" s="2020">
        <f>VLOOKUP(E$7,Tech_Specs_Infra!$A$5:$F$11,COLUMN(Tech_Specs_Infra!$F$4)-COLUMN(Tech_Specs_Infra!$A$4)+1,FALSE)</f>
        <v>0.1</v>
      </c>
      <c r="F15" s="2020">
        <f>VLOOKUP(F$7,Tech_Specs_Infra!$A$5:$F$11,COLUMN(Tech_Specs_Infra!$F$4)-COLUMN(Tech_Specs_Infra!$A$4)+1,FALSE)</f>
        <v>0.1</v>
      </c>
      <c r="G15" s="2020">
        <f>VLOOKUP(G$7,Tech_Specs_Infra!$A$5:$F$11,COLUMN(Tech_Specs_Infra!$F$4)-COLUMN(Tech_Specs_Infra!$A$4)+1,FALSE)</f>
        <v>0.1</v>
      </c>
      <c r="H15" s="2020">
        <f>VLOOKUP(H$7,Tech_Specs_Infra!$A$5:$F$11,COLUMN(Tech_Specs_Infra!$F$4)-COLUMN(Tech_Specs_Infra!$A$4)+1,FALSE)</f>
        <v>0.1</v>
      </c>
      <c r="I15" s="2020">
        <f>VLOOKUP(I$7,Tech_Specs_Infra!$A$5:$F$11,COLUMN(Tech_Specs_Infra!$F$4)-COLUMN(Tech_Specs_Infra!$A$4)+1,FALSE)</f>
        <v>0.1</v>
      </c>
      <c r="J15" s="2020">
        <f>VLOOKUP(J$7,Tech_Specs_Infra!$A$5:$F$11,COLUMN(Tech_Specs_Infra!$F$4)-COLUMN(Tech_Specs_Infra!$A$4)+1,FALSE)</f>
        <v>0.1</v>
      </c>
      <c r="K15" s="2020">
        <f>VLOOKUP(K$7,Tech_Specs_Infra!$A$5:$F$11,COLUMN(Tech_Specs_Infra!$F$4)-COLUMN(Tech_Specs_Infra!$A$4)+1,FALSE)</f>
        <v>0.1</v>
      </c>
      <c r="L15" s="2020">
        <f>VLOOKUP(L$7,Tech_Specs_Infra!$A$5:$F$11,COLUMN(Tech_Specs_Infra!$F$4)-COLUMN(Tech_Specs_Infra!$A$4)+1,FALSE)</f>
        <v>0.1</v>
      </c>
      <c r="M15" s="2020">
        <f>VLOOKUP(M$7,Tech_Specs_Infra!$A$5:$F$11,COLUMN(Tech_Specs_Infra!$F$4)-COLUMN(Tech_Specs_Infra!$A$4)+1,FALSE)</f>
        <v>0.1</v>
      </c>
      <c r="N15" s="2020">
        <f>VLOOKUP(N$7,Tech_Specs_Infra!$A$5:$F$11,COLUMN(Tech_Specs_Infra!$F$4)-COLUMN(Tech_Specs_Infra!$A$4)+1,FALSE)</f>
        <v>0.1</v>
      </c>
      <c r="O15" s="2020">
        <f>VLOOKUP(O$7,Tech_Specs_Infra!$A$5:$F$11,COLUMN(Tech_Specs_Infra!$F$4)-COLUMN(Tech_Specs_Infra!$A$4)+1,FALSE)</f>
        <v>0.1</v>
      </c>
      <c r="P15" s="2020">
        <f>VLOOKUP(P$7,Tech_Specs_Infra!$A$5:$F$11,COLUMN(Tech_Specs_Infra!$F$4)-COLUMN(Tech_Specs_Infra!$A$4)+1,FALSE)</f>
        <v>0.1</v>
      </c>
      <c r="Q15" s="2020">
        <f>VLOOKUP(Q$7,Tech_Specs_Infra!$A$5:$F$11,COLUMN(Tech_Specs_Infra!$F$4)-COLUMN(Tech_Specs_Infra!$A$4)+1,FALSE)</f>
        <v>0.1</v>
      </c>
      <c r="R15" s="2020">
        <f>VLOOKUP(R$7,Tech_Specs_Infra!$A$5:$F$11,COLUMN(Tech_Specs_Infra!$F$4)-COLUMN(Tech_Specs_Infra!$A$4)+1,FALSE)</f>
        <v>0.1</v>
      </c>
      <c r="S15" s="2020">
        <f>VLOOKUP(S$7,Tech_Specs_Infra!$A$5:$F$11,COLUMN(Tech_Specs_Infra!$F$4)-COLUMN(Tech_Specs_Infra!$A$4)+1,FALSE)</f>
        <v>0.1</v>
      </c>
      <c r="T15" s="2020">
        <f>VLOOKUP(T$7,Tech_Specs_Infra!$A$5:$F$11,COLUMN(Tech_Specs_Infra!$F$4)-COLUMN(Tech_Specs_Infra!$A$4)+1,FALSE)</f>
        <v>0.1</v>
      </c>
      <c r="U15" s="2020">
        <f>VLOOKUP(U$7,Tech_Specs_Infra!$A$5:$F$11,COLUMN(Tech_Specs_Infra!$F$4)-COLUMN(Tech_Specs_Infra!$A$4)+1,FALSE)</f>
        <v>0.1</v>
      </c>
      <c r="V15" s="2020">
        <f>VLOOKUP(V$7,Tech_Specs_Infra!$A$5:$F$11,COLUMN(Tech_Specs_Infra!$F$4)-COLUMN(Tech_Specs_Infra!$A$4)+1,FALSE)</f>
        <v>0.1</v>
      </c>
      <c r="W15" s="2020">
        <f>VLOOKUP(W$7,Tech_Specs_Infra!$A$5:$F$11,COLUMN(Tech_Specs_Infra!$F$4)-COLUMN(Tech_Specs_Infra!$A$4)+1,FALSE)</f>
        <v>0.1</v>
      </c>
      <c r="X15" s="2020">
        <f>VLOOKUP(X$7,Tech_Specs_Infra!$A$5:$F$11,COLUMN(Tech_Specs_Infra!$F$4)-COLUMN(Tech_Specs_Infra!$A$4)+1,FALSE)</f>
        <v>0.1</v>
      </c>
      <c r="Y15" s="2020">
        <f>VLOOKUP(Y$7,Tech_Specs_Infra!$A$5:$F$11,COLUMN(Tech_Specs_Infra!$F$4)-COLUMN(Tech_Specs_Infra!$A$4)+1,FALSE)</f>
        <v>0.1</v>
      </c>
      <c r="Z15" s="2020">
        <f>VLOOKUP(Z$7,Tech_Specs_Infra!$A$5:$F$11,COLUMN(Tech_Specs_Infra!$F$4)-COLUMN(Tech_Specs_Infra!$A$4)+1,FALSE)</f>
        <v>0.1</v>
      </c>
      <c r="AA15" s="2020">
        <f>VLOOKUP(AA$7,Tech_Specs_Infra!$A$5:$F$11,COLUMN(Tech_Specs_Infra!$F$4)-COLUMN(Tech_Specs_Infra!$A$4)+1,FALSE)</f>
        <v>0.1</v>
      </c>
      <c r="AB15" s="2020">
        <f>VLOOKUP(AB$7,Tech_Specs_Infra!$A$5:$F$11,COLUMN(Tech_Specs_Infra!$F$4)-COLUMN(Tech_Specs_Infra!$A$4)+1,FALSE)</f>
        <v>960</v>
      </c>
    </row>
    <row r="16" spans="1:31" x14ac:dyDescent="0.45">
      <c r="A16" s="2000"/>
      <c r="B16" s="1953"/>
      <c r="C16" s="1968"/>
      <c r="D16" s="1968"/>
      <c r="E16" s="1968"/>
      <c r="F16" s="1968"/>
      <c r="G16" s="1968"/>
      <c r="H16" s="1968"/>
      <c r="I16" s="1968"/>
      <c r="J16" s="1968"/>
      <c r="K16" s="1968"/>
      <c r="L16" s="1968"/>
      <c r="M16" s="1968"/>
      <c r="N16" s="1968"/>
      <c r="O16" s="1968"/>
      <c r="P16" s="1968"/>
      <c r="Q16" s="1968"/>
      <c r="R16" s="1968"/>
      <c r="S16" s="1968"/>
      <c r="T16" s="1968"/>
      <c r="U16" s="1968"/>
      <c r="V16" s="1968"/>
      <c r="W16" s="1969"/>
      <c r="X16" s="1968"/>
      <c r="Y16" s="1968"/>
      <c r="Z16" s="1968"/>
      <c r="AA16" s="1968"/>
      <c r="AB16" s="1968"/>
    </row>
    <row r="17" spans="1:28" ht="42.75" x14ac:dyDescent="0.45">
      <c r="A17" s="1427" t="s">
        <v>1106</v>
      </c>
      <c r="B17" s="1953" t="s">
        <v>1105</v>
      </c>
      <c r="C17" s="1968"/>
      <c r="D17" s="1968"/>
      <c r="E17" s="1968"/>
      <c r="F17" s="1968"/>
      <c r="G17" s="1968"/>
      <c r="H17" s="1968"/>
      <c r="I17" s="1968"/>
      <c r="J17" s="1968"/>
      <c r="K17" s="1968"/>
      <c r="L17" s="1968"/>
      <c r="M17" s="1968"/>
      <c r="N17" s="1968"/>
      <c r="O17" s="1968"/>
      <c r="P17" s="1968"/>
      <c r="Q17" s="1968"/>
      <c r="R17" s="1968"/>
      <c r="S17" s="1968"/>
      <c r="T17" s="1968"/>
      <c r="U17" s="1968"/>
      <c r="V17" s="1968"/>
      <c r="W17" s="1969"/>
      <c r="X17" s="1968"/>
      <c r="Y17" s="1968"/>
      <c r="Z17" s="1968"/>
      <c r="AA17" s="1968"/>
      <c r="AB17" s="1968"/>
    </row>
    <row r="18" spans="1:28" x14ac:dyDescent="0.45">
      <c r="A18" s="2018" t="s">
        <v>768</v>
      </c>
      <c r="B18" s="2019"/>
      <c r="C18" s="2020">
        <f>IFERROR(VLOOKUP(C$8,Tech_Specs_Infra!$A$5:$F$11,COLUMN(Tech_Specs_Infra!$C$4)-COLUMN(Tech_Specs_Infra!$A$4)+1,FALSE),0)</f>
        <v>0</v>
      </c>
      <c r="D18" s="2020">
        <f>IFERROR(VLOOKUP(D$8,Tech_Specs_Infra!$A$5:$F$11,COLUMN(Tech_Specs_Infra!$C$4)-COLUMN(Tech_Specs_Infra!$A$4)+1,FALSE),0)</f>
        <v>0</v>
      </c>
      <c r="E18" s="2020">
        <f>IFERROR(VLOOKUP(E$8,Tech_Specs_Infra!$A$5:$F$11,COLUMN(Tech_Specs_Infra!$C$4)-COLUMN(Tech_Specs_Infra!$A$4)+1,FALSE),0)</f>
        <v>0</v>
      </c>
      <c r="F18" s="2020">
        <f>IFERROR(VLOOKUP(F$8,Tech_Specs_Infra!$A$5:$F$11,COLUMN(Tech_Specs_Infra!$C$4)-COLUMN(Tech_Specs_Infra!$A$4)+1,FALSE),0)</f>
        <v>0</v>
      </c>
      <c r="G18" s="2020">
        <f>IFERROR(VLOOKUP(G$8,Tech_Specs_Infra!$A$5:$F$11,COLUMN(Tech_Specs_Infra!$C$4)-COLUMN(Tech_Specs_Infra!$A$4)+1,FALSE),0)</f>
        <v>0</v>
      </c>
      <c r="H18" s="2020">
        <f>IFERROR(VLOOKUP(H$8,Tech_Specs_Infra!$A$5:$F$11,COLUMN(Tech_Specs_Infra!$C$4)-COLUMN(Tech_Specs_Infra!$A$4)+1,FALSE),0)</f>
        <v>0</v>
      </c>
      <c r="I18" s="2020">
        <f>IFERROR(VLOOKUP(I$8,Tech_Specs_Infra!$A$5:$F$11,COLUMN(Tech_Specs_Infra!$C$4)-COLUMN(Tech_Specs_Infra!$A$4)+1,FALSE),0)</f>
        <v>0</v>
      </c>
      <c r="J18" s="2020">
        <f>IFERROR(VLOOKUP(J$8,Tech_Specs_Infra!$A$5:$F$11,COLUMN(Tech_Specs_Infra!$C$4)-COLUMN(Tech_Specs_Infra!$A$4)+1,FALSE),0)</f>
        <v>0</v>
      </c>
      <c r="K18" s="2020">
        <f>IFERROR(VLOOKUP(K$8,Tech_Specs_Infra!$A$5:$F$11,COLUMN(Tech_Specs_Infra!$C$4)-COLUMN(Tech_Specs_Infra!$A$4)+1,FALSE),0)</f>
        <v>0</v>
      </c>
      <c r="L18" s="2020">
        <f>IFERROR(VLOOKUP(L$8,Tech_Specs_Infra!$A$5:$F$11,COLUMN(Tech_Specs_Infra!$C$4)-COLUMN(Tech_Specs_Infra!$A$4)+1,FALSE),0)</f>
        <v>0</v>
      </c>
      <c r="M18" s="2020">
        <f>IFERROR(VLOOKUP(M$8,Tech_Specs_Infra!$A$5:$F$11,COLUMN(Tech_Specs_Infra!$C$4)-COLUMN(Tech_Specs_Infra!$A$4)+1,FALSE),0)</f>
        <v>1</v>
      </c>
      <c r="N18" s="2020">
        <f>IFERROR(VLOOKUP(N$8,Tech_Specs_Infra!$A$5:$F$11,COLUMN(Tech_Specs_Infra!$C$4)-COLUMN(Tech_Specs_Infra!$A$4)+1,FALSE),0)</f>
        <v>1</v>
      </c>
      <c r="O18" s="2020">
        <f>IFERROR(VLOOKUP(O$8,Tech_Specs_Infra!$A$5:$F$11,COLUMN(Tech_Specs_Infra!$C$4)-COLUMN(Tech_Specs_Infra!$A$4)+1,FALSE),0)</f>
        <v>1</v>
      </c>
      <c r="P18" s="2020">
        <f>IFERROR(VLOOKUP(P$8,Tech_Specs_Infra!$A$5:$F$11,COLUMN(Tech_Specs_Infra!$C$4)-COLUMN(Tech_Specs_Infra!$A$4)+1,FALSE),0)</f>
        <v>1</v>
      </c>
      <c r="Q18" s="2020">
        <f>IFERROR(VLOOKUP(Q$8,Tech_Specs_Infra!$A$5:$F$11,COLUMN(Tech_Specs_Infra!$C$4)-COLUMN(Tech_Specs_Infra!$A$4)+1,FALSE),0)</f>
        <v>1</v>
      </c>
      <c r="R18" s="2020">
        <f>IFERROR(VLOOKUP(R$8,Tech_Specs_Infra!$A$5:$F$11,COLUMN(Tech_Specs_Infra!$C$4)-COLUMN(Tech_Specs_Infra!$A$4)+1,FALSE),0)</f>
        <v>1</v>
      </c>
      <c r="S18" s="2020">
        <f>IFERROR(VLOOKUP(S$8,Tech_Specs_Infra!$A$5:$F$11,COLUMN(Tech_Specs_Infra!$C$4)-COLUMN(Tech_Specs_Infra!$A$4)+1,FALSE),0)</f>
        <v>1</v>
      </c>
      <c r="T18" s="2020">
        <f>IFERROR(VLOOKUP(T$8,Tech_Specs_Infra!$A$5:$F$11,COLUMN(Tech_Specs_Infra!$C$4)-COLUMN(Tech_Specs_Infra!$A$4)+1,FALSE),0)</f>
        <v>1</v>
      </c>
      <c r="U18" s="2020">
        <f>IFERROR(VLOOKUP(U$8,Tech_Specs_Infra!$A$5:$F$11,COLUMN(Tech_Specs_Infra!$C$4)-COLUMN(Tech_Specs_Infra!$A$4)+1,FALSE),0)</f>
        <v>1</v>
      </c>
      <c r="V18" s="2020">
        <f>IFERROR(VLOOKUP(V$8,Tech_Specs_Infra!$A$5:$F$11,COLUMN(Tech_Specs_Infra!$C$4)-COLUMN(Tech_Specs_Infra!$A$4)+1,FALSE),0)</f>
        <v>1</v>
      </c>
      <c r="W18" s="2020">
        <f>IFERROR(VLOOKUP(W$8,Tech_Specs_Infra!$A$5:$F$11,COLUMN(Tech_Specs_Infra!$C$4)-COLUMN(Tech_Specs_Infra!$A$4)+1,FALSE),0)</f>
        <v>1</v>
      </c>
      <c r="X18" s="2020">
        <f>IFERROR(VLOOKUP(X$8,Tech_Specs_Infra!$A$5:$F$11,COLUMN(Tech_Specs_Infra!$C$4)-COLUMN(Tech_Specs_Infra!$A$4)+1,FALSE),0)</f>
        <v>1</v>
      </c>
      <c r="Y18" s="2020">
        <f>IFERROR(VLOOKUP(Y$8,Tech_Specs_Infra!$A$5:$F$11,COLUMN(Tech_Specs_Infra!$C$4)-COLUMN(Tech_Specs_Infra!$A$4)+1,FALSE),0)</f>
        <v>1</v>
      </c>
      <c r="Z18" s="2020">
        <f>IFERROR(VLOOKUP(Z$8,Tech_Specs_Infra!$A$5:$F$11,COLUMN(Tech_Specs_Infra!$C$4)-COLUMN(Tech_Specs_Infra!$A$4)+1,FALSE),0)</f>
        <v>0</v>
      </c>
      <c r="AA18" s="2020">
        <f>IFERROR(VLOOKUP(AA$8,Tech_Specs_Infra!$A$5:$F$11,COLUMN(Tech_Specs_Infra!$C$4)-COLUMN(Tech_Specs_Infra!$A$4)+1,FALSE),0)</f>
        <v>0</v>
      </c>
      <c r="AB18" s="2020">
        <f>IFERROR(VLOOKUP(AB$8,Tech_Specs_Infra!$A$5:$F$11,COLUMN(Tech_Specs_Infra!$C$4)-COLUMN(Tech_Specs_Infra!$A$4)+1,FALSE),0)</f>
        <v>0</v>
      </c>
    </row>
    <row r="19" spans="1:28" x14ac:dyDescent="0.45">
      <c r="A19" s="2018" t="s">
        <v>769</v>
      </c>
      <c r="B19" s="2019"/>
      <c r="C19" s="2020">
        <f>IFERROR(VLOOKUP(C$8,Tech_Specs_Infra!$A$5:$F$11,COLUMN(Tech_Specs_Infra!$E$4)-COLUMN(Tech_Specs_Infra!$A$4)+1,FALSE),0)</f>
        <v>0</v>
      </c>
      <c r="D19" s="2020">
        <f>IFERROR(VLOOKUP(D$8,Tech_Specs_Infra!$A$5:$F$11,COLUMN(Tech_Specs_Infra!$E$4)-COLUMN(Tech_Specs_Infra!$A$4)+1,FALSE),0)</f>
        <v>0</v>
      </c>
      <c r="E19" s="2020">
        <f>IFERROR(VLOOKUP(E$8,Tech_Specs_Infra!$A$5:$F$11,COLUMN(Tech_Specs_Infra!$E$4)-COLUMN(Tech_Specs_Infra!$A$4)+1,FALSE),0)</f>
        <v>0</v>
      </c>
      <c r="F19" s="2020">
        <f>IFERROR(VLOOKUP(F$8,Tech_Specs_Infra!$A$5:$F$11,COLUMN(Tech_Specs_Infra!$E$4)-COLUMN(Tech_Specs_Infra!$A$4)+1,FALSE),0)</f>
        <v>0</v>
      </c>
      <c r="G19" s="2020">
        <f>IFERROR(VLOOKUP(G$8,Tech_Specs_Infra!$A$5:$F$11,COLUMN(Tech_Specs_Infra!$E$4)-COLUMN(Tech_Specs_Infra!$A$4)+1,FALSE),0)</f>
        <v>0</v>
      </c>
      <c r="H19" s="2020">
        <f>IFERROR(VLOOKUP(H$8,Tech_Specs_Infra!$A$5:$F$11,COLUMN(Tech_Specs_Infra!$E$4)-COLUMN(Tech_Specs_Infra!$A$4)+1,FALSE),0)</f>
        <v>0</v>
      </c>
      <c r="I19" s="2020">
        <f>IFERROR(VLOOKUP(I$8,Tech_Specs_Infra!$A$5:$F$11,COLUMN(Tech_Specs_Infra!$E$4)-COLUMN(Tech_Specs_Infra!$A$4)+1,FALSE),0)</f>
        <v>0</v>
      </c>
      <c r="J19" s="2020">
        <f>IFERROR(VLOOKUP(J$8,Tech_Specs_Infra!$A$5:$F$11,COLUMN(Tech_Specs_Infra!$E$4)-COLUMN(Tech_Specs_Infra!$A$4)+1,FALSE),0)</f>
        <v>0</v>
      </c>
      <c r="K19" s="2020">
        <f>IFERROR(VLOOKUP(K$8,Tech_Specs_Infra!$A$5:$F$11,COLUMN(Tech_Specs_Infra!$E$4)-COLUMN(Tech_Specs_Infra!$A$4)+1,FALSE),0)</f>
        <v>0</v>
      </c>
      <c r="L19" s="2020">
        <f>IFERROR(VLOOKUP(L$8,Tech_Specs_Infra!$A$5:$F$11,COLUMN(Tech_Specs_Infra!$E$4)-COLUMN(Tech_Specs_Infra!$A$4)+1,FALSE),0)</f>
        <v>0</v>
      </c>
      <c r="M19" s="2020">
        <f>IFERROR(VLOOKUP(M$8,Tech_Specs_Infra!$A$5:$F$11,COLUMN(Tech_Specs_Infra!$E$4)-COLUMN(Tech_Specs_Infra!$A$4)+1,FALSE),0)</f>
        <v>212.5</v>
      </c>
      <c r="N19" s="2020">
        <f>IFERROR(VLOOKUP(N$8,Tech_Specs_Infra!$A$5:$F$11,COLUMN(Tech_Specs_Infra!$E$4)-COLUMN(Tech_Specs_Infra!$A$4)+1,FALSE),0)</f>
        <v>212.5</v>
      </c>
      <c r="O19" s="2020">
        <f>IFERROR(VLOOKUP(O$8,Tech_Specs_Infra!$A$5:$F$11,COLUMN(Tech_Specs_Infra!$E$4)-COLUMN(Tech_Specs_Infra!$A$4)+1,FALSE),0)</f>
        <v>212.5</v>
      </c>
      <c r="P19" s="2020">
        <f>IFERROR(VLOOKUP(P$8,Tech_Specs_Infra!$A$5:$F$11,COLUMN(Tech_Specs_Infra!$E$4)-COLUMN(Tech_Specs_Infra!$A$4)+1,FALSE),0)</f>
        <v>212.5</v>
      </c>
      <c r="Q19" s="2020">
        <f>IFERROR(VLOOKUP(Q$8,Tech_Specs_Infra!$A$5:$F$11,COLUMN(Tech_Specs_Infra!$E$4)-COLUMN(Tech_Specs_Infra!$A$4)+1,FALSE),0)</f>
        <v>212.5</v>
      </c>
      <c r="R19" s="2020">
        <f>IFERROR(VLOOKUP(R$8,Tech_Specs_Infra!$A$5:$F$11,COLUMN(Tech_Specs_Infra!$E$4)-COLUMN(Tech_Specs_Infra!$A$4)+1,FALSE),0)</f>
        <v>212.5</v>
      </c>
      <c r="S19" s="2020">
        <f>IFERROR(VLOOKUP(S$8,Tech_Specs_Infra!$A$5:$F$11,COLUMN(Tech_Specs_Infra!$E$4)-COLUMN(Tech_Specs_Infra!$A$4)+1,FALSE),0)</f>
        <v>212.5</v>
      </c>
      <c r="T19" s="2020">
        <f>IFERROR(VLOOKUP(T$8,Tech_Specs_Infra!$A$5:$F$11,COLUMN(Tech_Specs_Infra!$E$4)-COLUMN(Tech_Specs_Infra!$A$4)+1,FALSE),0)</f>
        <v>212.5</v>
      </c>
      <c r="U19" s="2020">
        <f>IFERROR(VLOOKUP(U$8,Tech_Specs_Infra!$A$5:$F$11,COLUMN(Tech_Specs_Infra!$E$4)-COLUMN(Tech_Specs_Infra!$A$4)+1,FALSE),0)</f>
        <v>212.5</v>
      </c>
      <c r="V19" s="2020">
        <f>IFERROR(VLOOKUP(V$8,Tech_Specs_Infra!$A$5:$F$11,COLUMN(Tech_Specs_Infra!$E$4)-COLUMN(Tech_Specs_Infra!$A$4)+1,FALSE),0)</f>
        <v>212.5</v>
      </c>
      <c r="W19" s="2020">
        <f>IFERROR(VLOOKUP(W$8,Tech_Specs_Infra!$A$5:$F$11,COLUMN(Tech_Specs_Infra!$E$4)-COLUMN(Tech_Specs_Infra!$A$4)+1,FALSE),0)</f>
        <v>212.5</v>
      </c>
      <c r="X19" s="2020">
        <f>IFERROR(VLOOKUP(X$8,Tech_Specs_Infra!$A$5:$F$11,COLUMN(Tech_Specs_Infra!$E$4)-COLUMN(Tech_Specs_Infra!$A$4)+1,FALSE),0)</f>
        <v>212.5</v>
      </c>
      <c r="Y19" s="2020">
        <f>IFERROR(VLOOKUP(Y$8,Tech_Specs_Infra!$A$5:$F$11,COLUMN(Tech_Specs_Infra!$E$4)-COLUMN(Tech_Specs_Infra!$A$4)+1,FALSE),0)</f>
        <v>212.5</v>
      </c>
      <c r="Z19" s="2020">
        <f>IFERROR(VLOOKUP(Z$8,Tech_Specs_Infra!$A$5:$F$11,COLUMN(Tech_Specs_Infra!$E$4)-COLUMN(Tech_Specs_Infra!$A$4)+1,FALSE),0)</f>
        <v>0</v>
      </c>
      <c r="AA19" s="2020">
        <f>IFERROR(VLOOKUP(AA$8,Tech_Specs_Infra!$A$5:$F$11,COLUMN(Tech_Specs_Infra!$E$4)-COLUMN(Tech_Specs_Infra!$A$4)+1,FALSE),0)</f>
        <v>0</v>
      </c>
      <c r="AB19" s="2020">
        <f>IFERROR(VLOOKUP(AB$8,Tech_Specs_Infra!$A$5:$F$11,COLUMN(Tech_Specs_Infra!$E$4)-COLUMN(Tech_Specs_Infra!$A$4)+1,FALSE),0)</f>
        <v>0</v>
      </c>
    </row>
    <row r="20" spans="1:28" x14ac:dyDescent="0.45">
      <c r="A20" s="2018" t="s">
        <v>51</v>
      </c>
      <c r="B20" s="2019"/>
      <c r="C20" s="2020">
        <f>IFERROR(VLOOKUP(C$8,Tech_Specs_Infra!$A$5:$F$11,COLUMN(Tech_Specs_Infra!$F$4)-COLUMN(Tech_Specs_Infra!$A$4)+1,FALSE),0)</f>
        <v>0</v>
      </c>
      <c r="D20" s="2020">
        <f>IFERROR(VLOOKUP(D$8,Tech_Specs_Infra!$A$5:$F$11,COLUMN(Tech_Specs_Infra!$F$4)-COLUMN(Tech_Specs_Infra!$A$4)+1,FALSE),0)</f>
        <v>0</v>
      </c>
      <c r="E20" s="2020">
        <f>IFERROR(VLOOKUP(E$8,Tech_Specs_Infra!$A$5:$F$11,COLUMN(Tech_Specs_Infra!$F$4)-COLUMN(Tech_Specs_Infra!$A$4)+1,FALSE),0)</f>
        <v>0</v>
      </c>
      <c r="F20" s="2020">
        <f>IFERROR(VLOOKUP(F$8,Tech_Specs_Infra!$A$5:$F$11,COLUMN(Tech_Specs_Infra!$F$4)-COLUMN(Tech_Specs_Infra!$A$4)+1,FALSE),0)</f>
        <v>0</v>
      </c>
      <c r="G20" s="2020">
        <f>IFERROR(VLOOKUP(G$8,Tech_Specs_Infra!$A$5:$F$11,COLUMN(Tech_Specs_Infra!$F$4)-COLUMN(Tech_Specs_Infra!$A$4)+1,FALSE),0)</f>
        <v>0</v>
      </c>
      <c r="H20" s="2020">
        <f>IFERROR(VLOOKUP(H$8,Tech_Specs_Infra!$A$5:$F$11,COLUMN(Tech_Specs_Infra!$F$4)-COLUMN(Tech_Specs_Infra!$A$4)+1,FALSE),0)</f>
        <v>0</v>
      </c>
      <c r="I20" s="2020">
        <f>IFERROR(VLOOKUP(I$8,Tech_Specs_Infra!$A$5:$F$11,COLUMN(Tech_Specs_Infra!$F$4)-COLUMN(Tech_Specs_Infra!$A$4)+1,FALSE),0)</f>
        <v>0</v>
      </c>
      <c r="J20" s="2020">
        <f>IFERROR(VLOOKUP(J$8,Tech_Specs_Infra!$A$5:$F$11,COLUMN(Tech_Specs_Infra!$F$4)-COLUMN(Tech_Specs_Infra!$A$4)+1,FALSE),0)</f>
        <v>0</v>
      </c>
      <c r="K20" s="2020">
        <f>IFERROR(VLOOKUP(K$8,Tech_Specs_Infra!$A$5:$F$11,COLUMN(Tech_Specs_Infra!$F$4)-COLUMN(Tech_Specs_Infra!$A$4)+1,FALSE),0)</f>
        <v>0</v>
      </c>
      <c r="L20" s="2020">
        <f>IFERROR(VLOOKUP(L$8,Tech_Specs_Infra!$A$5:$F$11,COLUMN(Tech_Specs_Infra!$F$4)-COLUMN(Tech_Specs_Infra!$A$4)+1,FALSE),0)</f>
        <v>0</v>
      </c>
      <c r="M20" s="2020">
        <f>IFERROR(VLOOKUP(M$8,Tech_Specs_Infra!$A$5:$F$11,COLUMN(Tech_Specs_Infra!$F$4)-COLUMN(Tech_Specs_Infra!$A$4)+1,FALSE),0)</f>
        <v>0.1</v>
      </c>
      <c r="N20" s="2020">
        <f>IFERROR(VLOOKUP(N$8,Tech_Specs_Infra!$A$5:$F$11,COLUMN(Tech_Specs_Infra!$F$4)-COLUMN(Tech_Specs_Infra!$A$4)+1,FALSE),0)</f>
        <v>0.1</v>
      </c>
      <c r="O20" s="2020">
        <f>IFERROR(VLOOKUP(O$8,Tech_Specs_Infra!$A$5:$F$11,COLUMN(Tech_Specs_Infra!$F$4)-COLUMN(Tech_Specs_Infra!$A$4)+1,FALSE),0)</f>
        <v>0.1</v>
      </c>
      <c r="P20" s="2020">
        <f>IFERROR(VLOOKUP(P$8,Tech_Specs_Infra!$A$5:$F$11,COLUMN(Tech_Specs_Infra!$F$4)-COLUMN(Tech_Specs_Infra!$A$4)+1,FALSE),0)</f>
        <v>0.1</v>
      </c>
      <c r="Q20" s="2020">
        <f>IFERROR(VLOOKUP(Q$8,Tech_Specs_Infra!$A$5:$F$11,COLUMN(Tech_Specs_Infra!$F$4)-COLUMN(Tech_Specs_Infra!$A$4)+1,FALSE),0)</f>
        <v>0.1</v>
      </c>
      <c r="R20" s="2020">
        <f>IFERROR(VLOOKUP(R$8,Tech_Specs_Infra!$A$5:$F$11,COLUMN(Tech_Specs_Infra!$F$4)-COLUMN(Tech_Specs_Infra!$A$4)+1,FALSE),0)</f>
        <v>0.1</v>
      </c>
      <c r="S20" s="2020">
        <f>IFERROR(VLOOKUP(S$8,Tech_Specs_Infra!$A$5:$F$11,COLUMN(Tech_Specs_Infra!$F$4)-COLUMN(Tech_Specs_Infra!$A$4)+1,FALSE),0)</f>
        <v>0.1</v>
      </c>
      <c r="T20" s="2020">
        <f>IFERROR(VLOOKUP(T$8,Tech_Specs_Infra!$A$5:$F$11,COLUMN(Tech_Specs_Infra!$F$4)-COLUMN(Tech_Specs_Infra!$A$4)+1,FALSE),0)</f>
        <v>0.1</v>
      </c>
      <c r="U20" s="2020">
        <f>IFERROR(VLOOKUP(U$8,Tech_Specs_Infra!$A$5:$F$11,COLUMN(Tech_Specs_Infra!$F$4)-COLUMN(Tech_Specs_Infra!$A$4)+1,FALSE),0)</f>
        <v>0.1</v>
      </c>
      <c r="V20" s="2020">
        <f>IFERROR(VLOOKUP(V$8,Tech_Specs_Infra!$A$5:$F$11,COLUMN(Tech_Specs_Infra!$F$4)-COLUMN(Tech_Specs_Infra!$A$4)+1,FALSE),0)</f>
        <v>0.1</v>
      </c>
      <c r="W20" s="2020">
        <f>IFERROR(VLOOKUP(W$8,Tech_Specs_Infra!$A$5:$F$11,COLUMN(Tech_Specs_Infra!$F$4)-COLUMN(Tech_Specs_Infra!$A$4)+1,FALSE),0)</f>
        <v>0.1</v>
      </c>
      <c r="X20" s="2020">
        <f>IFERROR(VLOOKUP(X$8,Tech_Specs_Infra!$A$5:$F$11,COLUMN(Tech_Specs_Infra!$F$4)-COLUMN(Tech_Specs_Infra!$A$4)+1,FALSE),0)</f>
        <v>0.1</v>
      </c>
      <c r="Y20" s="2020">
        <f>IFERROR(VLOOKUP(Y$8,Tech_Specs_Infra!$A$5:$F$11,COLUMN(Tech_Specs_Infra!$F$4)-COLUMN(Tech_Specs_Infra!$A$4)+1,FALSE),0)</f>
        <v>0.1</v>
      </c>
      <c r="Z20" s="2020">
        <f>IFERROR(VLOOKUP(Z$8,Tech_Specs_Infra!$A$5:$F$11,COLUMN(Tech_Specs_Infra!$F$4)-COLUMN(Tech_Specs_Infra!$A$4)+1,FALSE),0)</f>
        <v>0</v>
      </c>
      <c r="AA20" s="2020">
        <f>IFERROR(VLOOKUP(AA$8,Tech_Specs_Infra!$A$5:$F$11,COLUMN(Tech_Specs_Infra!$F$4)-COLUMN(Tech_Specs_Infra!$A$4)+1,FALSE),0)</f>
        <v>0</v>
      </c>
      <c r="AB20" s="2020">
        <f>IFERROR(VLOOKUP(AB$8,Tech_Specs_Infra!$A$5:$F$11,COLUMN(Tech_Specs_Infra!$F$4)-COLUMN(Tech_Specs_Infra!$A$4)+1,FALSE),0)</f>
        <v>0</v>
      </c>
    </row>
    <row r="21" spans="1:28" x14ac:dyDescent="0.45">
      <c r="A21" s="2000"/>
      <c r="B21" s="1953"/>
      <c r="C21" s="1968"/>
      <c r="D21" s="1968"/>
      <c r="E21" s="1968"/>
      <c r="F21" s="1968"/>
      <c r="G21" s="1968"/>
      <c r="H21" s="1968"/>
      <c r="I21" s="1968"/>
      <c r="J21" s="1968"/>
      <c r="K21" s="1968"/>
      <c r="L21" s="1968"/>
      <c r="M21" s="1968"/>
      <c r="N21" s="1968"/>
      <c r="O21" s="1968"/>
      <c r="P21" s="1968"/>
      <c r="Q21" s="1968"/>
      <c r="R21" s="1968"/>
      <c r="S21" s="1968"/>
      <c r="T21" s="1968"/>
      <c r="U21" s="1968"/>
      <c r="V21" s="1968"/>
      <c r="W21" s="1969"/>
      <c r="X21" s="1968"/>
      <c r="Y21" s="1968"/>
      <c r="Z21" s="1968"/>
      <c r="AA21" s="1968"/>
      <c r="AB21" s="1968"/>
    </row>
    <row r="22" spans="1:28" x14ac:dyDescent="0.45">
      <c r="A22" s="1427" t="s">
        <v>1107</v>
      </c>
      <c r="B22" s="1953" t="s">
        <v>1</v>
      </c>
      <c r="C22" s="1968"/>
      <c r="D22" s="1968"/>
      <c r="E22" s="1968"/>
      <c r="F22" s="1968"/>
      <c r="G22" s="1968"/>
      <c r="H22" s="1968"/>
      <c r="I22" s="1968"/>
      <c r="J22" s="1968"/>
      <c r="K22" s="1968"/>
      <c r="L22" s="1968"/>
      <c r="M22" s="1968"/>
      <c r="N22" s="1968"/>
      <c r="O22" s="1968"/>
      <c r="P22" s="1968"/>
      <c r="Q22" s="1968"/>
      <c r="R22" s="1968"/>
      <c r="S22" s="1968"/>
      <c r="T22" s="1968"/>
      <c r="U22" s="1968"/>
      <c r="V22" s="1968"/>
      <c r="W22" s="1969"/>
      <c r="X22" s="1968"/>
      <c r="Y22" s="1968"/>
      <c r="Z22" s="1968"/>
      <c r="AA22" s="1968"/>
      <c r="AB22" s="1968"/>
    </row>
    <row r="23" spans="1:28" x14ac:dyDescent="0.45">
      <c r="A23" s="2018" t="s">
        <v>1108</v>
      </c>
      <c r="B23" s="2019"/>
      <c r="C23" s="2020">
        <f>IFERROR(VLOOKUP(C$7,Tech_Specs_Infra!$A$230:$D$236,COLUMN(Tech_Specs_Infra!$C$229)-COLUMN(Tech_Specs_Infra!$A$229)+1,FALSE),0)</f>
        <v>30</v>
      </c>
      <c r="D23" s="2020">
        <f>IFERROR(VLOOKUP(D$7,Tech_Specs_Infra!$A$230:$D$236,COLUMN(Tech_Specs_Infra!$C$229)-COLUMN(Tech_Specs_Infra!$A$229)+1,FALSE),0)</f>
        <v>30</v>
      </c>
      <c r="E23" s="2020">
        <f>IFERROR(VLOOKUP(E$7,Tech_Specs_Infra!$A$230:$D$236,COLUMN(Tech_Specs_Infra!$C$229)-COLUMN(Tech_Specs_Infra!$A$229)+1,FALSE),0)</f>
        <v>30</v>
      </c>
      <c r="F23" s="2020">
        <f>IFERROR(VLOOKUP(F$7,Tech_Specs_Infra!$A$230:$D$236,COLUMN(Tech_Specs_Infra!$C$229)-COLUMN(Tech_Specs_Infra!$A$229)+1,FALSE),0)</f>
        <v>30</v>
      </c>
      <c r="G23" s="2020">
        <f>IFERROR(VLOOKUP(G$7,Tech_Specs_Infra!$A$230:$D$236,COLUMN(Tech_Specs_Infra!$C$229)-COLUMN(Tech_Specs_Infra!$A$229)+1,FALSE),0)</f>
        <v>30</v>
      </c>
      <c r="H23" s="2020">
        <f>IFERROR(VLOOKUP(H$7,Tech_Specs_Infra!$A$230:$D$236,COLUMN(Tech_Specs_Infra!$C$229)-COLUMN(Tech_Specs_Infra!$A$229)+1,FALSE),0)</f>
        <v>30</v>
      </c>
      <c r="I23" s="2020">
        <f>IFERROR(VLOOKUP(I$7,Tech_Specs_Infra!$A$230:$D$236,COLUMN(Tech_Specs_Infra!$C$229)-COLUMN(Tech_Specs_Infra!$A$229)+1,FALSE),0)</f>
        <v>30</v>
      </c>
      <c r="J23" s="2020">
        <f>IFERROR(VLOOKUP(J$7,Tech_Specs_Infra!$A$230:$D$236,COLUMN(Tech_Specs_Infra!$C$229)-COLUMN(Tech_Specs_Infra!$A$229)+1,FALSE),0)</f>
        <v>30</v>
      </c>
      <c r="K23" s="2020">
        <f>IFERROR(VLOOKUP(K$7,Tech_Specs_Infra!$A$230:$D$236,COLUMN(Tech_Specs_Infra!$C$229)-COLUMN(Tech_Specs_Infra!$A$229)+1,FALSE),0)</f>
        <v>30</v>
      </c>
      <c r="L23" s="2020">
        <f>IFERROR(VLOOKUP(L$7,Tech_Specs_Infra!$A$230:$D$236,COLUMN(Tech_Specs_Infra!$C$229)-COLUMN(Tech_Specs_Infra!$A$229)+1,FALSE),0)</f>
        <v>30</v>
      </c>
      <c r="M23" s="2020">
        <f>IFERROR(VLOOKUP(M$7,Tech_Specs_Infra!$A$230:$D$236,COLUMN(Tech_Specs_Infra!$C$229)-COLUMN(Tech_Specs_Infra!$A$229)+1,FALSE),0)</f>
        <v>30</v>
      </c>
      <c r="N23" s="2020">
        <f>IFERROR(VLOOKUP(N$7,Tech_Specs_Infra!$A$230:$D$236,COLUMN(Tech_Specs_Infra!$C$229)-COLUMN(Tech_Specs_Infra!$A$229)+1,FALSE),0)</f>
        <v>30</v>
      </c>
      <c r="O23" s="2020">
        <f>IFERROR(VLOOKUP(O$7,Tech_Specs_Infra!$A$230:$D$236,COLUMN(Tech_Specs_Infra!$C$229)-COLUMN(Tech_Specs_Infra!$A$229)+1,FALSE),0)</f>
        <v>30</v>
      </c>
      <c r="P23" s="2020">
        <f>IFERROR(VLOOKUP(P$7,Tech_Specs_Infra!$A$230:$D$236,COLUMN(Tech_Specs_Infra!$C$229)-COLUMN(Tech_Specs_Infra!$A$229)+1,FALSE),0)</f>
        <v>30</v>
      </c>
      <c r="Q23" s="2020">
        <f>IFERROR(VLOOKUP(Q$7,Tech_Specs_Infra!$A$230:$D$236,COLUMN(Tech_Specs_Infra!$C$229)-COLUMN(Tech_Specs_Infra!$A$229)+1,FALSE),0)</f>
        <v>30</v>
      </c>
      <c r="R23" s="2020">
        <f>IFERROR(VLOOKUP(R$7,Tech_Specs_Infra!$A$230:$D$236,COLUMN(Tech_Specs_Infra!$C$229)-COLUMN(Tech_Specs_Infra!$A$229)+1,FALSE),0)</f>
        <v>30</v>
      </c>
      <c r="S23" s="2020">
        <f>IFERROR(VLOOKUP(S$7,Tech_Specs_Infra!$A$230:$D$236,COLUMN(Tech_Specs_Infra!$C$229)-COLUMN(Tech_Specs_Infra!$A$229)+1,FALSE),0)</f>
        <v>30</v>
      </c>
      <c r="T23" s="2020">
        <f>IFERROR(VLOOKUP(T$7,Tech_Specs_Infra!$A$230:$D$236,COLUMN(Tech_Specs_Infra!$C$229)-COLUMN(Tech_Specs_Infra!$A$229)+1,FALSE),0)</f>
        <v>30</v>
      </c>
      <c r="U23" s="2020">
        <f>IFERROR(VLOOKUP(U$7,Tech_Specs_Infra!$A$230:$D$236,COLUMN(Tech_Specs_Infra!$C$229)-COLUMN(Tech_Specs_Infra!$A$229)+1,FALSE),0)</f>
        <v>30</v>
      </c>
      <c r="V23" s="2020">
        <f>IFERROR(VLOOKUP(V$7,Tech_Specs_Infra!$A$230:$D$236,COLUMN(Tech_Specs_Infra!$C$229)-COLUMN(Tech_Specs_Infra!$A$229)+1,FALSE),0)</f>
        <v>30</v>
      </c>
      <c r="W23" s="2020">
        <f>IFERROR(VLOOKUP(W$7,Tech_Specs_Infra!$A$230:$D$236,COLUMN(Tech_Specs_Infra!$C$229)-COLUMN(Tech_Specs_Infra!$A$229)+1,FALSE),0)</f>
        <v>30</v>
      </c>
      <c r="X23" s="2020">
        <f>IFERROR(VLOOKUP(X$7,Tech_Specs_Infra!$A$230:$D$236,COLUMN(Tech_Specs_Infra!$C$229)-COLUMN(Tech_Specs_Infra!$A$229)+1,FALSE),0)</f>
        <v>30</v>
      </c>
      <c r="Y23" s="2020">
        <f>IFERROR(VLOOKUP(Y$7,Tech_Specs_Infra!$A$230:$D$236,COLUMN(Tech_Specs_Infra!$C$229)-COLUMN(Tech_Specs_Infra!$A$229)+1,FALSE),0)</f>
        <v>30</v>
      </c>
      <c r="Z23" s="2020">
        <f>IFERROR(VLOOKUP(Z$7,Tech_Specs_Infra!$A$230:$D$236,COLUMN(Tech_Specs_Infra!$C$229)-COLUMN(Tech_Specs_Infra!$A$229)+1,FALSE),0)</f>
        <v>30</v>
      </c>
      <c r="AA23" s="2020">
        <f>IFERROR(VLOOKUP(AA$7,Tech_Specs_Infra!$A$230:$D$236,COLUMN(Tech_Specs_Infra!$C$229)-COLUMN(Tech_Specs_Infra!$A$229)+1,FALSE),0)</f>
        <v>30</v>
      </c>
      <c r="AB23" s="2020">
        <f>IFERROR(VLOOKUP(AB$7,Tech_Specs_Infra!$A$230:$D$236,COLUMN(Tech_Specs_Infra!$C$229)-COLUMN(Tech_Specs_Infra!$A$229)+1,FALSE),0)</f>
        <v>50</v>
      </c>
    </row>
    <row r="24" spans="1:28" x14ac:dyDescent="0.45">
      <c r="A24" s="2018" t="s">
        <v>1109</v>
      </c>
      <c r="B24" s="2019"/>
      <c r="C24" s="2020">
        <f>IFERROR(VLOOKUP(C$7,Tech_Specs_Infra!$A$230:$D$236,COLUMN(Tech_Specs_Infra!$C$229)-COLUMN(Tech_Specs_Infra!$A$229)+1,FALSE),0)</f>
        <v>30</v>
      </c>
      <c r="D24" s="2020">
        <f>IFERROR(VLOOKUP(D$7,Tech_Specs_Infra!$A$230:$D$236,COLUMN(Tech_Specs_Infra!$C$229)-COLUMN(Tech_Specs_Infra!$A$229)+1,FALSE),0)</f>
        <v>30</v>
      </c>
      <c r="E24" s="2020">
        <f>IFERROR(VLOOKUP(E$7,Tech_Specs_Infra!$A$230:$D$236,COLUMN(Tech_Specs_Infra!$C$229)-COLUMN(Tech_Specs_Infra!$A$229)+1,FALSE),0)</f>
        <v>30</v>
      </c>
      <c r="F24" s="2020">
        <f>IFERROR(VLOOKUP(F$7,Tech_Specs_Infra!$A$230:$D$236,COLUMN(Tech_Specs_Infra!$C$229)-COLUMN(Tech_Specs_Infra!$A$229)+1,FALSE),0)</f>
        <v>30</v>
      </c>
      <c r="G24" s="2020">
        <f>IFERROR(VLOOKUP(G$7,Tech_Specs_Infra!$A$230:$D$236,COLUMN(Tech_Specs_Infra!$C$229)-COLUMN(Tech_Specs_Infra!$A$229)+1,FALSE),0)</f>
        <v>30</v>
      </c>
      <c r="H24" s="2020">
        <f>IFERROR(VLOOKUP(H$7,Tech_Specs_Infra!$A$230:$D$236,COLUMN(Tech_Specs_Infra!$C$229)-COLUMN(Tech_Specs_Infra!$A$229)+1,FALSE),0)</f>
        <v>30</v>
      </c>
      <c r="I24" s="2020">
        <f>IFERROR(VLOOKUP(I$7,Tech_Specs_Infra!$A$230:$D$236,COLUMN(Tech_Specs_Infra!$C$229)-COLUMN(Tech_Specs_Infra!$A$229)+1,FALSE),0)</f>
        <v>30</v>
      </c>
      <c r="J24" s="2020">
        <f>IFERROR(VLOOKUP(J$7,Tech_Specs_Infra!$A$230:$D$236,COLUMN(Tech_Specs_Infra!$C$229)-COLUMN(Tech_Specs_Infra!$A$229)+1,FALSE),0)</f>
        <v>30</v>
      </c>
      <c r="K24" s="2020">
        <f>IFERROR(VLOOKUP(K$7,Tech_Specs_Infra!$A$230:$D$236,COLUMN(Tech_Specs_Infra!$C$229)-COLUMN(Tech_Specs_Infra!$A$229)+1,FALSE),0)</f>
        <v>30</v>
      </c>
      <c r="L24" s="2020">
        <f>IFERROR(VLOOKUP(L$7,Tech_Specs_Infra!$A$230:$D$236,COLUMN(Tech_Specs_Infra!$C$229)-COLUMN(Tech_Specs_Infra!$A$229)+1,FALSE),0)</f>
        <v>30</v>
      </c>
      <c r="M24" s="2020">
        <f>IFERROR(VLOOKUP(M$7,Tech_Specs_Infra!$A$230:$D$236,COLUMN(Tech_Specs_Infra!$C$229)-COLUMN(Tech_Specs_Infra!$A$229)+1,FALSE),0)</f>
        <v>30</v>
      </c>
      <c r="N24" s="2020">
        <f>IFERROR(VLOOKUP(N$7,Tech_Specs_Infra!$A$230:$D$236,COLUMN(Tech_Specs_Infra!$C$229)-COLUMN(Tech_Specs_Infra!$A$229)+1,FALSE),0)</f>
        <v>30</v>
      </c>
      <c r="O24" s="2020">
        <f>IFERROR(VLOOKUP(O$7,Tech_Specs_Infra!$A$230:$D$236,COLUMN(Tech_Specs_Infra!$C$229)-COLUMN(Tech_Specs_Infra!$A$229)+1,FALSE),0)</f>
        <v>30</v>
      </c>
      <c r="P24" s="2020">
        <f>IFERROR(VLOOKUP(P$7,Tech_Specs_Infra!$A$230:$D$236,COLUMN(Tech_Specs_Infra!$C$229)-COLUMN(Tech_Specs_Infra!$A$229)+1,FALSE),0)</f>
        <v>30</v>
      </c>
      <c r="Q24" s="2020">
        <f>IFERROR(VLOOKUP(Q$7,Tech_Specs_Infra!$A$230:$D$236,COLUMN(Tech_Specs_Infra!$C$229)-COLUMN(Tech_Specs_Infra!$A$229)+1,FALSE),0)</f>
        <v>30</v>
      </c>
      <c r="R24" s="2020">
        <f>IFERROR(VLOOKUP(R$7,Tech_Specs_Infra!$A$230:$D$236,COLUMN(Tech_Specs_Infra!$C$229)-COLUMN(Tech_Specs_Infra!$A$229)+1,FALSE),0)</f>
        <v>30</v>
      </c>
      <c r="S24" s="2020">
        <f>IFERROR(VLOOKUP(S$7,Tech_Specs_Infra!$A$230:$D$236,COLUMN(Tech_Specs_Infra!$C$229)-COLUMN(Tech_Specs_Infra!$A$229)+1,FALSE),0)</f>
        <v>30</v>
      </c>
      <c r="T24" s="2020">
        <f>IFERROR(VLOOKUP(T$7,Tech_Specs_Infra!$A$230:$D$236,COLUMN(Tech_Specs_Infra!$C$229)-COLUMN(Tech_Specs_Infra!$A$229)+1,FALSE),0)</f>
        <v>30</v>
      </c>
      <c r="U24" s="2020">
        <f>IFERROR(VLOOKUP(U$7,Tech_Specs_Infra!$A$230:$D$236,COLUMN(Tech_Specs_Infra!$C$229)-COLUMN(Tech_Specs_Infra!$A$229)+1,FALSE),0)</f>
        <v>30</v>
      </c>
      <c r="V24" s="2020">
        <f>IFERROR(VLOOKUP(V$7,Tech_Specs_Infra!$A$230:$D$236,COLUMN(Tech_Specs_Infra!$C$229)-COLUMN(Tech_Specs_Infra!$A$229)+1,FALSE),0)</f>
        <v>30</v>
      </c>
      <c r="W24" s="2020">
        <f>IFERROR(VLOOKUP(W$7,Tech_Specs_Infra!$A$230:$D$236,COLUMN(Tech_Specs_Infra!$C$229)-COLUMN(Tech_Specs_Infra!$A$229)+1,FALSE),0)</f>
        <v>30</v>
      </c>
      <c r="X24" s="2020">
        <f>IFERROR(VLOOKUP(X$7,Tech_Specs_Infra!$A$230:$D$236,COLUMN(Tech_Specs_Infra!$C$229)-COLUMN(Tech_Specs_Infra!$A$229)+1,FALSE),0)</f>
        <v>30</v>
      </c>
      <c r="Y24" s="2020">
        <f>IFERROR(VLOOKUP(Y$7,Tech_Specs_Infra!$A$230:$D$236,COLUMN(Tech_Specs_Infra!$C$229)-COLUMN(Tech_Specs_Infra!$A$229)+1,FALSE),0)</f>
        <v>30</v>
      </c>
      <c r="Z24" s="2020">
        <f>IFERROR(VLOOKUP(Z$7,Tech_Specs_Infra!$A$230:$D$236,COLUMN(Tech_Specs_Infra!$C$229)-COLUMN(Tech_Specs_Infra!$A$229)+1,FALSE),0)</f>
        <v>30</v>
      </c>
      <c r="AA24" s="2020">
        <f>IFERROR(VLOOKUP(AA$7,Tech_Specs_Infra!$A$230:$D$236,COLUMN(Tech_Specs_Infra!$C$229)-COLUMN(Tech_Specs_Infra!$A$229)+1,FALSE),0)</f>
        <v>30</v>
      </c>
      <c r="AB24" s="2020">
        <f>IFERROR(VLOOKUP(AB$7,Tech_Specs_Infra!$A$230:$D$236,COLUMN(Tech_Specs_Infra!$C$229)-COLUMN(Tech_Specs_Infra!$A$229)+1,FALSE),0)</f>
        <v>50</v>
      </c>
    </row>
    <row r="25" spans="1:28" x14ac:dyDescent="0.45">
      <c r="A25" s="2000"/>
      <c r="B25" s="1953"/>
      <c r="C25" s="1968"/>
      <c r="D25" s="1968"/>
      <c r="E25" s="1968"/>
      <c r="F25" s="1968"/>
      <c r="G25" s="1968"/>
      <c r="H25" s="1968"/>
      <c r="I25" s="1968"/>
      <c r="J25" s="1968"/>
      <c r="K25" s="1968"/>
      <c r="L25" s="1968"/>
      <c r="M25" s="1968"/>
      <c r="N25" s="1968"/>
      <c r="O25" s="1968"/>
      <c r="P25" s="1968"/>
      <c r="Q25" s="1968"/>
      <c r="R25" s="1968"/>
      <c r="S25" s="1968"/>
      <c r="T25" s="1968"/>
      <c r="U25" s="1968"/>
      <c r="V25" s="1968"/>
      <c r="W25" s="1969"/>
      <c r="X25" s="1968"/>
      <c r="Y25" s="1968"/>
      <c r="Z25" s="1968"/>
      <c r="AA25" s="1968"/>
      <c r="AB25" s="1968"/>
    </row>
    <row r="26" spans="1:28" ht="57" x14ac:dyDescent="0.45">
      <c r="A26" s="1427" t="s">
        <v>1110</v>
      </c>
      <c r="B26" s="1953" t="s">
        <v>1111</v>
      </c>
      <c r="C26" s="1968"/>
      <c r="D26" s="1968"/>
      <c r="E26" s="1968"/>
      <c r="F26" s="1968"/>
      <c r="G26" s="1968"/>
      <c r="H26" s="1968"/>
      <c r="I26" s="1968"/>
      <c r="J26" s="1968"/>
      <c r="K26" s="1968"/>
      <c r="L26" s="1968"/>
      <c r="M26" s="1968"/>
      <c r="N26" s="1968"/>
      <c r="O26" s="1968"/>
      <c r="P26" s="1968"/>
      <c r="Q26" s="1968"/>
      <c r="R26" s="1968"/>
      <c r="S26" s="1968"/>
      <c r="T26" s="1968"/>
      <c r="U26" s="1968"/>
      <c r="V26" s="1968"/>
      <c r="W26" s="1969"/>
      <c r="X26" s="1968"/>
      <c r="Y26" s="1968"/>
      <c r="Z26" s="1968"/>
      <c r="AA26" s="1968"/>
      <c r="AB26" s="1968"/>
    </row>
    <row r="27" spans="1:28" x14ac:dyDescent="0.45">
      <c r="A27" s="2018" t="s">
        <v>1108</v>
      </c>
      <c r="B27" s="2019"/>
      <c r="C27" s="2022">
        <f>IFERROR(VLOOKUP(C$7,Tech_Specs_Infra!$A$230:$D$236,COLUMN(Tech_Specs_Infra!$B$229)-COLUMN(Tech_Specs_Infra!$A$229)+1,FALSE),0)</f>
        <v>1115.6852216454868</v>
      </c>
      <c r="D27" s="2022">
        <f>IFERROR(VLOOKUP(D$7,Tech_Specs_Infra!$A$230:$D$236,COLUMN(Tech_Specs_Infra!$B$229)-COLUMN(Tech_Specs_Infra!$A$229)+1,FALSE),0)</f>
        <v>1115.6852216454868</v>
      </c>
      <c r="E27" s="2022">
        <f>IFERROR(VLOOKUP(E$7,Tech_Specs_Infra!$A$230:$D$236,COLUMN(Tech_Specs_Infra!$B$229)-COLUMN(Tech_Specs_Infra!$A$229)+1,FALSE),0)</f>
        <v>1115.6852216454868</v>
      </c>
      <c r="F27" s="2022">
        <f>IFERROR(VLOOKUP(F$7,Tech_Specs_Infra!$A$230:$D$236,COLUMN(Tech_Specs_Infra!$B$229)-COLUMN(Tech_Specs_Infra!$A$229)+1,FALSE),0)</f>
        <v>1115.6852216454868</v>
      </c>
      <c r="G27" s="2022">
        <f>IFERROR(VLOOKUP(G$7,Tech_Specs_Infra!$A$230:$D$236,COLUMN(Tech_Specs_Infra!$B$229)-COLUMN(Tech_Specs_Infra!$A$229)+1,FALSE),0)</f>
        <v>1115.6852216454868</v>
      </c>
      <c r="H27" s="2022">
        <f>IFERROR(VLOOKUP(H$7,Tech_Specs_Infra!$A$230:$D$236,COLUMN(Tech_Specs_Infra!$B$229)-COLUMN(Tech_Specs_Infra!$A$229)+1,FALSE),0)</f>
        <v>1115.6852216454868</v>
      </c>
      <c r="I27" s="2022">
        <f>IFERROR(VLOOKUP(I$7,Tech_Specs_Infra!$A$230:$D$236,COLUMN(Tech_Specs_Infra!$B$229)-COLUMN(Tech_Specs_Infra!$A$229)+1,FALSE),0)</f>
        <v>1115.6852216454868</v>
      </c>
      <c r="J27" s="2022">
        <f>IFERROR(VLOOKUP(J$7,Tech_Specs_Infra!$A$230:$D$236,COLUMN(Tech_Specs_Infra!$B$229)-COLUMN(Tech_Specs_Infra!$A$229)+1,FALSE),0)</f>
        <v>1115.6852216454868</v>
      </c>
      <c r="K27" s="2022">
        <f>IFERROR(VLOOKUP(K$7,Tech_Specs_Infra!$A$230:$D$236,COLUMN(Tech_Specs_Infra!$B$229)-COLUMN(Tech_Specs_Infra!$A$229)+1,FALSE),0)</f>
        <v>1115.6852216454868</v>
      </c>
      <c r="L27" s="2022">
        <f>IFERROR(VLOOKUP(L$7,Tech_Specs_Infra!$A$230:$D$236,COLUMN(Tech_Specs_Infra!$B$229)-COLUMN(Tech_Specs_Infra!$A$229)+1,FALSE),0)</f>
        <v>1115.6852216454868</v>
      </c>
      <c r="M27" s="2022">
        <f>IFERROR(VLOOKUP(M$7,Tech_Specs_Infra!$A$230:$D$236,COLUMN(Tech_Specs_Infra!$B$229)-COLUMN(Tech_Specs_Infra!$A$229)+1,FALSE),0)</f>
        <v>230.64687168610814</v>
      </c>
      <c r="N27" s="2022">
        <f>IFERROR(VLOOKUP(N$7,Tech_Specs_Infra!$A$230:$D$236,COLUMN(Tech_Specs_Infra!$B$229)-COLUMN(Tech_Specs_Infra!$A$229)+1,FALSE),0)</f>
        <v>230.64687168610814</v>
      </c>
      <c r="O27" s="2022">
        <f>IFERROR(VLOOKUP(O$7,Tech_Specs_Infra!$A$230:$D$236,COLUMN(Tech_Specs_Infra!$B$229)-COLUMN(Tech_Specs_Infra!$A$229)+1,FALSE),0)</f>
        <v>230.64687168610814</v>
      </c>
      <c r="P27" s="2022">
        <f>IFERROR(VLOOKUP(P$7,Tech_Specs_Infra!$A$230:$D$236,COLUMN(Tech_Specs_Infra!$B$229)-COLUMN(Tech_Specs_Infra!$A$229)+1,FALSE),0)</f>
        <v>230.64687168610814</v>
      </c>
      <c r="Q27" s="2022">
        <f>IFERROR(VLOOKUP(Q$7,Tech_Specs_Infra!$A$230:$D$236,COLUMN(Tech_Specs_Infra!$B$229)-COLUMN(Tech_Specs_Infra!$A$229)+1,FALSE),0)</f>
        <v>230.64687168610814</v>
      </c>
      <c r="R27" s="2022">
        <f>IFERROR(VLOOKUP(R$7,Tech_Specs_Infra!$A$230:$D$236,COLUMN(Tech_Specs_Infra!$B$229)-COLUMN(Tech_Specs_Infra!$A$229)+1,FALSE),0)</f>
        <v>230.64687168610814</v>
      </c>
      <c r="S27" s="2022">
        <f>IFERROR(VLOOKUP(S$7,Tech_Specs_Infra!$A$230:$D$236,COLUMN(Tech_Specs_Infra!$B$229)-COLUMN(Tech_Specs_Infra!$A$229)+1,FALSE),0)</f>
        <v>230.64687168610814</v>
      </c>
      <c r="T27" s="2022">
        <f>IFERROR(VLOOKUP(T$7,Tech_Specs_Infra!$A$230:$D$236,COLUMN(Tech_Specs_Infra!$B$229)-COLUMN(Tech_Specs_Infra!$A$229)+1,FALSE),0)</f>
        <v>230.64687168610814</v>
      </c>
      <c r="U27" s="2022">
        <f>IFERROR(VLOOKUP(U$7,Tech_Specs_Infra!$A$230:$D$236,COLUMN(Tech_Specs_Infra!$B$229)-COLUMN(Tech_Specs_Infra!$A$229)+1,FALSE),0)</f>
        <v>230.64687168610814</v>
      </c>
      <c r="V27" s="2022">
        <f>IFERROR(VLOOKUP(V$7,Tech_Specs_Infra!$A$230:$D$236,COLUMN(Tech_Specs_Infra!$B$229)-COLUMN(Tech_Specs_Infra!$A$229)+1,FALSE),0)</f>
        <v>230.64687168610814</v>
      </c>
      <c r="W27" s="2022">
        <f>IFERROR(VLOOKUP(W$7,Tech_Specs_Infra!$A$230:$D$236,COLUMN(Tech_Specs_Infra!$B$229)-COLUMN(Tech_Specs_Infra!$A$229)+1,FALSE),0)</f>
        <v>230.64687168610814</v>
      </c>
      <c r="X27" s="2022">
        <f>IFERROR(VLOOKUP(X$7,Tech_Specs_Infra!$A$230:$D$236,COLUMN(Tech_Specs_Infra!$B$229)-COLUMN(Tech_Specs_Infra!$A$229)+1,FALSE),0)</f>
        <v>1115.6852216454868</v>
      </c>
      <c r="Y27" s="2022">
        <f>IFERROR(VLOOKUP(Y$7,Tech_Specs_Infra!$A$230:$D$236,COLUMN(Tech_Specs_Infra!$B$229)-COLUMN(Tech_Specs_Infra!$A$229)+1,FALSE),0)</f>
        <v>1115.6852216454868</v>
      </c>
      <c r="Z27" s="2022">
        <f>IFERROR(VLOOKUP(Z$7,Tech_Specs_Infra!$A$230:$D$236,COLUMN(Tech_Specs_Infra!$B$229)-COLUMN(Tech_Specs_Infra!$A$229)+1,FALSE),0)</f>
        <v>1115.6852216454868</v>
      </c>
      <c r="AA27" s="2022">
        <f>IFERROR(VLOOKUP(AA$7,Tech_Specs_Infra!$A$230:$D$236,COLUMN(Tech_Specs_Infra!$B$229)-COLUMN(Tech_Specs_Infra!$A$229)+1,FALSE),0)</f>
        <v>1115.6852216454868</v>
      </c>
      <c r="AB27" s="2022">
        <f>IFERROR(VLOOKUP(AB$7,Tech_Specs_Infra!$A$230:$D$236,COLUMN(Tech_Specs_Infra!$B$229)-COLUMN(Tech_Specs_Infra!$A$229)+1,FALSE),0)</f>
        <v>103.98009950248756</v>
      </c>
    </row>
    <row r="28" spans="1:28" x14ac:dyDescent="0.45">
      <c r="A28" s="2018" t="s">
        <v>1109</v>
      </c>
      <c r="B28" s="2019"/>
      <c r="C28" s="2022">
        <f>IFERROR(VLOOKUP(C$8,Tech_Specs_Infra!$A$230:$D$236,COLUMN(Tech_Specs_Infra!$B$229)-COLUMN(Tech_Specs_Infra!$A$229)+1,FALSE),0)</f>
        <v>0</v>
      </c>
      <c r="D28" s="2022">
        <f>IFERROR(VLOOKUP(D$8,Tech_Specs_Infra!$A$230:$D$236,COLUMN(Tech_Specs_Infra!$B$229)-COLUMN(Tech_Specs_Infra!$A$229)+1,FALSE),0)</f>
        <v>0</v>
      </c>
      <c r="E28" s="2022">
        <f>IFERROR(VLOOKUP(E$8,Tech_Specs_Infra!$A$230:$D$236,COLUMN(Tech_Specs_Infra!$B$229)-COLUMN(Tech_Specs_Infra!$A$229)+1,FALSE),0)</f>
        <v>0</v>
      </c>
      <c r="F28" s="2022">
        <f>IFERROR(VLOOKUP(F$8,Tech_Specs_Infra!$A$230:$D$236,COLUMN(Tech_Specs_Infra!$B$229)-COLUMN(Tech_Specs_Infra!$A$229)+1,FALSE),0)</f>
        <v>0</v>
      </c>
      <c r="G28" s="2022">
        <f>IFERROR(VLOOKUP(G$8,Tech_Specs_Infra!$A$230:$D$236,COLUMN(Tech_Specs_Infra!$B$229)-COLUMN(Tech_Specs_Infra!$A$229)+1,FALSE),0)</f>
        <v>0</v>
      </c>
      <c r="H28" s="2022">
        <f>IFERROR(VLOOKUP(H$8,Tech_Specs_Infra!$A$230:$D$236,COLUMN(Tech_Specs_Infra!$B$229)-COLUMN(Tech_Specs_Infra!$A$229)+1,FALSE),0)</f>
        <v>0</v>
      </c>
      <c r="I28" s="2022">
        <f>IFERROR(VLOOKUP(I$8,Tech_Specs_Infra!$A$230:$D$236,COLUMN(Tech_Specs_Infra!$B$229)-COLUMN(Tech_Specs_Infra!$A$229)+1,FALSE),0)</f>
        <v>0</v>
      </c>
      <c r="J28" s="2022">
        <f>IFERROR(VLOOKUP(J$8,Tech_Specs_Infra!$A$230:$D$236,COLUMN(Tech_Specs_Infra!$B$229)-COLUMN(Tech_Specs_Infra!$A$229)+1,FALSE),0)</f>
        <v>0</v>
      </c>
      <c r="K28" s="2022">
        <f>IFERROR(VLOOKUP(K$8,Tech_Specs_Infra!$A$230:$D$236,COLUMN(Tech_Specs_Infra!$B$229)-COLUMN(Tech_Specs_Infra!$A$229)+1,FALSE),0)</f>
        <v>0</v>
      </c>
      <c r="L28" s="2022">
        <f>IFERROR(VLOOKUP(L$8,Tech_Specs_Infra!$A$230:$D$236,COLUMN(Tech_Specs_Infra!$B$229)-COLUMN(Tech_Specs_Infra!$A$229)+1,FALSE),0)</f>
        <v>0</v>
      </c>
      <c r="M28" s="2022">
        <f>IFERROR(VLOOKUP(M$8,Tech_Specs_Infra!$A$230:$D$236,COLUMN(Tech_Specs_Infra!$B$229)-COLUMN(Tech_Specs_Infra!$A$229)+1,FALSE),0)</f>
        <v>1115.6852216454868</v>
      </c>
      <c r="N28" s="2022">
        <f>IFERROR(VLOOKUP(N$8,Tech_Specs_Infra!$A$230:$D$236,COLUMN(Tech_Specs_Infra!$B$229)-COLUMN(Tech_Specs_Infra!$A$229)+1,FALSE),0)</f>
        <v>1115.6852216454868</v>
      </c>
      <c r="O28" s="2022">
        <f>IFERROR(VLOOKUP(O$8,Tech_Specs_Infra!$A$230:$D$236,COLUMN(Tech_Specs_Infra!$B$229)-COLUMN(Tech_Specs_Infra!$A$229)+1,FALSE),0)</f>
        <v>1115.6852216454868</v>
      </c>
      <c r="P28" s="2022">
        <f>IFERROR(VLOOKUP(P$8,Tech_Specs_Infra!$A$230:$D$236,COLUMN(Tech_Specs_Infra!$B$229)-COLUMN(Tech_Specs_Infra!$A$229)+1,FALSE),0)</f>
        <v>1115.6852216454868</v>
      </c>
      <c r="Q28" s="2022">
        <f>IFERROR(VLOOKUP(Q$8,Tech_Specs_Infra!$A$230:$D$236,COLUMN(Tech_Specs_Infra!$B$229)-COLUMN(Tech_Specs_Infra!$A$229)+1,FALSE),0)</f>
        <v>1115.6852216454868</v>
      </c>
      <c r="R28" s="2022">
        <f>IFERROR(VLOOKUP(R$8,Tech_Specs_Infra!$A$230:$D$236,COLUMN(Tech_Specs_Infra!$B$229)-COLUMN(Tech_Specs_Infra!$A$229)+1,FALSE),0)</f>
        <v>1115.6852216454868</v>
      </c>
      <c r="S28" s="2022">
        <f>IFERROR(VLOOKUP(S$8,Tech_Specs_Infra!$A$230:$D$236,COLUMN(Tech_Specs_Infra!$B$229)-COLUMN(Tech_Specs_Infra!$A$229)+1,FALSE),0)</f>
        <v>1115.6852216454868</v>
      </c>
      <c r="T28" s="2022">
        <f>IFERROR(VLOOKUP(T$8,Tech_Specs_Infra!$A$230:$D$236,COLUMN(Tech_Specs_Infra!$B$229)-COLUMN(Tech_Specs_Infra!$A$229)+1,FALSE),0)</f>
        <v>1115.6852216454868</v>
      </c>
      <c r="U28" s="2022">
        <f>IFERROR(VLOOKUP(U$8,Tech_Specs_Infra!$A$230:$D$236,COLUMN(Tech_Specs_Infra!$B$229)-COLUMN(Tech_Specs_Infra!$A$229)+1,FALSE),0)</f>
        <v>1115.6852216454868</v>
      </c>
      <c r="V28" s="2022">
        <f>IFERROR(VLOOKUP(V$8,Tech_Specs_Infra!$A$230:$D$236,COLUMN(Tech_Specs_Infra!$B$229)-COLUMN(Tech_Specs_Infra!$A$229)+1,FALSE),0)</f>
        <v>1115.6852216454868</v>
      </c>
      <c r="W28" s="2022">
        <f>IFERROR(VLOOKUP(W$8,Tech_Specs_Infra!$A$230:$D$236,COLUMN(Tech_Specs_Infra!$B$229)-COLUMN(Tech_Specs_Infra!$A$229)+1,FALSE),0)</f>
        <v>1115.6852216454868</v>
      </c>
      <c r="X28" s="2022">
        <f>IFERROR(VLOOKUP(X$8,Tech_Specs_Infra!$A$230:$D$236,COLUMN(Tech_Specs_Infra!$B$229)-COLUMN(Tech_Specs_Infra!$A$229)+1,FALSE),0)</f>
        <v>638.34454037615444</v>
      </c>
      <c r="Y28" s="2022">
        <f>IFERROR(VLOOKUP(Y$8,Tech_Specs_Infra!$A$230:$D$236,COLUMN(Tech_Specs_Infra!$B$229)-COLUMN(Tech_Specs_Infra!$A$229)+1,FALSE),0)</f>
        <v>638.34454037615444</v>
      </c>
      <c r="Z28" s="2022">
        <f>IFERROR(VLOOKUP(Z$8,Tech_Specs_Infra!$A$230:$D$236,COLUMN(Tech_Specs_Infra!$B$229)-COLUMN(Tech_Specs_Infra!$A$229)+1,FALSE),0)</f>
        <v>0</v>
      </c>
      <c r="AA28" s="2022">
        <f>IFERROR(VLOOKUP(AA$8,Tech_Specs_Infra!$A$230:$D$236,COLUMN(Tech_Specs_Infra!$B$229)-COLUMN(Tech_Specs_Infra!$A$229)+1,FALSE),0)</f>
        <v>0</v>
      </c>
      <c r="AB28" s="2022">
        <f>IFERROR(VLOOKUP(AB$8,Tech_Specs_Infra!$A$230:$D$236,COLUMN(Tech_Specs_Infra!$B$229)-COLUMN(Tech_Specs_Infra!$A$229)+1,FALSE),0)</f>
        <v>0</v>
      </c>
    </row>
    <row r="29" spans="1:28" x14ac:dyDescent="0.45">
      <c r="A29" s="2000"/>
      <c r="B29" s="1953"/>
      <c r="C29" s="1968"/>
      <c r="D29" s="1968"/>
      <c r="E29" s="1968"/>
      <c r="F29" s="1968"/>
      <c r="G29" s="1968"/>
      <c r="H29" s="1968"/>
      <c r="I29" s="1968"/>
      <c r="J29" s="1968"/>
      <c r="K29" s="1968"/>
      <c r="L29" s="1968"/>
      <c r="M29" s="1968"/>
      <c r="N29" s="1968"/>
      <c r="O29" s="1968"/>
      <c r="P29" s="1968"/>
      <c r="Q29" s="1968"/>
      <c r="R29" s="1968"/>
      <c r="S29" s="1968"/>
      <c r="T29" s="1968"/>
      <c r="U29" s="1968"/>
      <c r="V29" s="1968"/>
      <c r="W29" s="1969"/>
      <c r="X29" s="1968"/>
      <c r="Y29" s="1968"/>
      <c r="Z29" s="1968"/>
      <c r="AA29" s="1968"/>
      <c r="AB29" s="1968"/>
    </row>
    <row r="30" spans="1:28" ht="57" x14ac:dyDescent="0.45">
      <c r="A30" s="1427" t="s">
        <v>1112</v>
      </c>
      <c r="B30" s="1953" t="s">
        <v>1113</v>
      </c>
      <c r="C30" s="1968"/>
      <c r="D30" s="1968"/>
      <c r="E30" s="1968"/>
      <c r="F30" s="1968"/>
      <c r="G30" s="1968"/>
      <c r="H30" s="1968"/>
      <c r="I30" s="1968"/>
      <c r="J30" s="1968"/>
      <c r="K30" s="1968"/>
      <c r="L30" s="1968"/>
      <c r="M30" s="1968"/>
      <c r="N30" s="1968"/>
      <c r="O30" s="1968"/>
      <c r="P30" s="1968"/>
      <c r="Q30" s="1968"/>
      <c r="R30" s="1968"/>
      <c r="S30" s="1968"/>
      <c r="T30" s="1968"/>
      <c r="U30" s="1968"/>
      <c r="V30" s="1968"/>
      <c r="W30" s="1969"/>
      <c r="X30" s="1968"/>
      <c r="Y30" s="1968"/>
      <c r="Z30" s="1968"/>
      <c r="AA30" s="1968"/>
      <c r="AB30" s="1968"/>
    </row>
    <row r="31" spans="1:28" x14ac:dyDescent="0.45">
      <c r="A31" s="2023" t="s">
        <v>1108</v>
      </c>
      <c r="B31" s="1947"/>
      <c r="C31" s="2024">
        <f t="shared" ref="C31:G32" si="3">C23*C27/10^3</f>
        <v>33.470556649364603</v>
      </c>
      <c r="D31" s="2024">
        <f t="shared" si="3"/>
        <v>33.470556649364603</v>
      </c>
      <c r="E31" s="2024">
        <f>E23*E27/10^3</f>
        <v>33.470556649364603</v>
      </c>
      <c r="F31" s="2024">
        <f>F23*F27/10^3</f>
        <v>33.470556649364603</v>
      </c>
      <c r="G31" s="2024">
        <f t="shared" si="3"/>
        <v>33.470556649364603</v>
      </c>
      <c r="H31" s="2024">
        <f t="shared" ref="H31:AB31" si="4">H23*H27/10^3</f>
        <v>33.470556649364603</v>
      </c>
      <c r="I31" s="2024">
        <f t="shared" si="4"/>
        <v>33.470556649364603</v>
      </c>
      <c r="J31" s="2024">
        <f t="shared" si="4"/>
        <v>33.470556649364603</v>
      </c>
      <c r="K31" s="2024">
        <f t="shared" si="4"/>
        <v>33.470556649364603</v>
      </c>
      <c r="L31" s="2024">
        <f t="shared" si="4"/>
        <v>33.470556649364603</v>
      </c>
      <c r="M31" s="2024">
        <f t="shared" si="4"/>
        <v>6.919406150583244</v>
      </c>
      <c r="N31" s="2024">
        <f t="shared" si="4"/>
        <v>6.919406150583244</v>
      </c>
      <c r="O31" s="2024">
        <f t="shared" si="4"/>
        <v>6.919406150583244</v>
      </c>
      <c r="P31" s="2024">
        <f t="shared" si="4"/>
        <v>6.919406150583244</v>
      </c>
      <c r="Q31" s="2024">
        <f t="shared" si="4"/>
        <v>6.919406150583244</v>
      </c>
      <c r="R31" s="2024">
        <f t="shared" si="4"/>
        <v>6.919406150583244</v>
      </c>
      <c r="S31" s="2024">
        <f t="shared" si="4"/>
        <v>6.919406150583244</v>
      </c>
      <c r="T31" s="2024">
        <f t="shared" si="4"/>
        <v>6.919406150583244</v>
      </c>
      <c r="U31" s="2024">
        <f t="shared" ref="U31:W32" si="5">U23*U27/10^3</f>
        <v>6.919406150583244</v>
      </c>
      <c r="V31" s="2024">
        <f t="shared" si="5"/>
        <v>6.919406150583244</v>
      </c>
      <c r="W31" s="2024">
        <f t="shared" si="5"/>
        <v>6.919406150583244</v>
      </c>
      <c r="X31" s="2024">
        <f t="shared" si="4"/>
        <v>33.470556649364603</v>
      </c>
      <c r="Y31" s="2024">
        <f t="shared" si="4"/>
        <v>33.470556649364603</v>
      </c>
      <c r="Z31" s="2024">
        <f t="shared" si="4"/>
        <v>33.470556649364603</v>
      </c>
      <c r="AA31" s="2024">
        <f t="shared" si="4"/>
        <v>33.470556649364603</v>
      </c>
      <c r="AB31" s="2024">
        <f t="shared" si="4"/>
        <v>5.1990049751243781</v>
      </c>
    </row>
    <row r="32" spans="1:28" x14ac:dyDescent="0.45">
      <c r="A32" s="2023" t="s">
        <v>1109</v>
      </c>
      <c r="B32" s="1947"/>
      <c r="C32" s="2024">
        <f t="shared" si="3"/>
        <v>0</v>
      </c>
      <c r="D32" s="2024">
        <f t="shared" si="3"/>
        <v>0</v>
      </c>
      <c r="E32" s="2024">
        <f>E24*E28/10^3</f>
        <v>0</v>
      </c>
      <c r="F32" s="2024">
        <f>F24*F28/10^3</f>
        <v>0</v>
      </c>
      <c r="G32" s="2024">
        <f t="shared" si="3"/>
        <v>0</v>
      </c>
      <c r="H32" s="2024">
        <f t="shared" ref="H32:AB32" si="6">H24*H28/10^3</f>
        <v>0</v>
      </c>
      <c r="I32" s="2024">
        <f t="shared" si="6"/>
        <v>0</v>
      </c>
      <c r="J32" s="2024">
        <f t="shared" si="6"/>
        <v>0</v>
      </c>
      <c r="K32" s="2024">
        <f t="shared" si="6"/>
        <v>0</v>
      </c>
      <c r="L32" s="2024">
        <f t="shared" si="6"/>
        <v>0</v>
      </c>
      <c r="M32" s="2024">
        <f t="shared" si="6"/>
        <v>33.470556649364603</v>
      </c>
      <c r="N32" s="2024">
        <f t="shared" si="6"/>
        <v>33.470556649364603</v>
      </c>
      <c r="O32" s="2024">
        <f t="shared" si="6"/>
        <v>33.470556649364603</v>
      </c>
      <c r="P32" s="2024">
        <f t="shared" si="6"/>
        <v>33.470556649364603</v>
      </c>
      <c r="Q32" s="2024">
        <f t="shared" si="6"/>
        <v>33.470556649364603</v>
      </c>
      <c r="R32" s="2024">
        <f t="shared" si="6"/>
        <v>33.470556649364603</v>
      </c>
      <c r="S32" s="2024">
        <f t="shared" si="6"/>
        <v>33.470556649364603</v>
      </c>
      <c r="T32" s="2024">
        <f t="shared" si="6"/>
        <v>33.470556649364603</v>
      </c>
      <c r="U32" s="2024">
        <f t="shared" si="5"/>
        <v>33.470556649364603</v>
      </c>
      <c r="V32" s="2024">
        <f t="shared" si="5"/>
        <v>33.470556649364603</v>
      </c>
      <c r="W32" s="2024">
        <f t="shared" si="5"/>
        <v>33.470556649364603</v>
      </c>
      <c r="X32" s="2024">
        <f t="shared" si="6"/>
        <v>19.150336211284632</v>
      </c>
      <c r="Y32" s="2024">
        <f t="shared" si="6"/>
        <v>19.150336211284632</v>
      </c>
      <c r="Z32" s="2024">
        <f t="shared" si="6"/>
        <v>0</v>
      </c>
      <c r="AA32" s="2024">
        <f t="shared" si="6"/>
        <v>0</v>
      </c>
      <c r="AB32" s="2024">
        <f t="shared" si="6"/>
        <v>0</v>
      </c>
    </row>
    <row r="33" spans="1:28" x14ac:dyDescent="0.45">
      <c r="A33" s="2000"/>
      <c r="B33" s="1953"/>
      <c r="C33" s="1968"/>
      <c r="D33" s="1968"/>
      <c r="E33" s="1968"/>
      <c r="F33" s="1968"/>
      <c r="G33" s="1968"/>
      <c r="H33" s="1968"/>
      <c r="I33" s="1968"/>
      <c r="J33" s="1968"/>
      <c r="K33" s="1968"/>
      <c r="L33" s="1968"/>
      <c r="M33" s="1968"/>
      <c r="N33" s="1968"/>
      <c r="O33" s="1968"/>
      <c r="P33" s="1968"/>
      <c r="Q33" s="1968"/>
      <c r="R33" s="1968"/>
      <c r="S33" s="1968"/>
      <c r="T33" s="1968"/>
      <c r="U33" s="1968"/>
      <c r="V33" s="1968"/>
      <c r="W33" s="1969"/>
      <c r="X33" s="1968"/>
      <c r="Y33" s="1968"/>
      <c r="Z33" s="1968"/>
      <c r="AA33" s="1968"/>
      <c r="AB33" s="1968"/>
    </row>
    <row r="34" spans="1:28" x14ac:dyDescent="0.45">
      <c r="A34" s="1427" t="s">
        <v>63</v>
      </c>
      <c r="B34" s="1953" t="s">
        <v>26</v>
      </c>
      <c r="C34" s="1968"/>
      <c r="D34" s="1968"/>
      <c r="E34" s="1968"/>
      <c r="F34" s="1968"/>
      <c r="G34" s="1968"/>
      <c r="H34" s="1968"/>
      <c r="I34" s="1968"/>
      <c r="J34" s="1968"/>
      <c r="K34" s="1968"/>
      <c r="L34" s="1968"/>
      <c r="M34" s="1968"/>
      <c r="N34" s="1968"/>
      <c r="O34" s="1968"/>
      <c r="P34" s="1968"/>
      <c r="Q34" s="1968"/>
      <c r="R34" s="1968"/>
      <c r="S34" s="1968"/>
      <c r="T34" s="1968"/>
      <c r="U34" s="1968"/>
      <c r="V34" s="1968"/>
      <c r="W34" s="1969"/>
      <c r="X34" s="1968"/>
      <c r="Y34" s="1968"/>
      <c r="Z34" s="1968"/>
      <c r="AA34" s="1968"/>
      <c r="AB34" s="1968"/>
    </row>
    <row r="35" spans="1:28" x14ac:dyDescent="0.45">
      <c r="A35" s="2018" t="s">
        <v>51</v>
      </c>
      <c r="B35" s="2019"/>
      <c r="C35" s="2025">
        <f>Tech_Specs_Infra!$I111</f>
        <v>0.26400000000000001</v>
      </c>
      <c r="D35" s="2025">
        <f>Tech_Specs_Infra!$I111</f>
        <v>0.26400000000000001</v>
      </c>
      <c r="E35" s="2025">
        <f>Tech_Specs_Infra!$I111</f>
        <v>0.26400000000000001</v>
      </c>
      <c r="F35" s="2025">
        <f>Tech_Specs_Infra!$I111</f>
        <v>0.26400000000000001</v>
      </c>
      <c r="G35" s="2025">
        <f>Tech_Specs_Infra!$I111</f>
        <v>0.26400000000000001</v>
      </c>
      <c r="H35" s="2025">
        <f>Tech_Specs_Infra!$I111</f>
        <v>0.26400000000000001</v>
      </c>
      <c r="I35" s="2025">
        <f>Tech_Specs_Infra!$I111</f>
        <v>0.26400000000000001</v>
      </c>
      <c r="J35" s="2025">
        <f>Tech_Specs_Infra!$I111</f>
        <v>0.26400000000000001</v>
      </c>
      <c r="K35" s="2025">
        <f>Tech_Specs_Infra!$I111</f>
        <v>0.26400000000000001</v>
      </c>
      <c r="L35" s="2025">
        <f>Tech_Specs_Infra!$I111</f>
        <v>0.26400000000000001</v>
      </c>
      <c r="M35" s="2025">
        <f>Tech_Specs_Infra!$I111</f>
        <v>0.26400000000000001</v>
      </c>
      <c r="N35" s="2025">
        <f>Tech_Specs_Infra!$I111</f>
        <v>0.26400000000000001</v>
      </c>
      <c r="O35" s="2025">
        <f>Tech_Specs_Infra!$I111</f>
        <v>0.26400000000000001</v>
      </c>
      <c r="P35" s="2025">
        <f>Tech_Specs_Infra!$I111</f>
        <v>0.26400000000000001</v>
      </c>
      <c r="Q35" s="2025">
        <f>Tech_Specs_Infra!$I111</f>
        <v>0.26400000000000001</v>
      </c>
      <c r="R35" s="2025">
        <f>Tech_Specs_Infra!$I111</f>
        <v>0.26400000000000001</v>
      </c>
      <c r="S35" s="2025">
        <f>Tech_Specs_Infra!$I111</f>
        <v>0.26400000000000001</v>
      </c>
      <c r="T35" s="2025">
        <f>Tech_Specs_Infra!$I111</f>
        <v>0.26400000000000001</v>
      </c>
      <c r="U35" s="2025">
        <f>Tech_Specs_Infra!$I111</f>
        <v>0.26400000000000001</v>
      </c>
      <c r="V35" s="2025">
        <f>Tech_Specs_Infra!$I111</f>
        <v>0.26400000000000001</v>
      </c>
      <c r="W35" s="2025">
        <f>Tech_Specs_Infra!$I111</f>
        <v>0.26400000000000001</v>
      </c>
      <c r="X35" s="2025">
        <f>Tech_Specs_Infra!$I111</f>
        <v>0.26400000000000001</v>
      </c>
      <c r="Y35" s="2025">
        <f>Tech_Specs_Infra!$I111</f>
        <v>0.26400000000000001</v>
      </c>
      <c r="Z35" s="2025">
        <f>Tech_Specs_Infra!$I111</f>
        <v>0.26400000000000001</v>
      </c>
      <c r="AA35" s="2025">
        <f>Tech_Specs_Infra!$I111</f>
        <v>0.26400000000000001</v>
      </c>
      <c r="AB35" s="2025">
        <f>Tech_Specs_Infra!$I111</f>
        <v>0.26400000000000001</v>
      </c>
    </row>
    <row r="36" spans="1:28" x14ac:dyDescent="0.45">
      <c r="A36" s="2000"/>
      <c r="B36" s="1953"/>
      <c r="C36" s="1968"/>
      <c r="D36" s="1968"/>
      <c r="E36" s="1968"/>
      <c r="F36" s="1968"/>
      <c r="G36" s="1968"/>
      <c r="H36" s="1968"/>
      <c r="I36" s="1968"/>
      <c r="J36" s="1968"/>
      <c r="K36" s="1968"/>
      <c r="L36" s="1968"/>
      <c r="M36" s="1968"/>
      <c r="N36" s="1968"/>
      <c r="O36" s="1968"/>
      <c r="P36" s="1968"/>
      <c r="Q36" s="1968"/>
      <c r="R36" s="1968"/>
      <c r="S36" s="1968"/>
      <c r="T36" s="1968"/>
      <c r="U36" s="1968"/>
      <c r="V36" s="1968"/>
      <c r="W36" s="1968"/>
      <c r="X36" s="1968"/>
      <c r="Y36" s="1968"/>
      <c r="Z36" s="1968"/>
      <c r="AA36" s="1968"/>
      <c r="AB36" s="1968"/>
    </row>
    <row r="37" spans="1:28" x14ac:dyDescent="0.45">
      <c r="A37" s="1427" t="s">
        <v>67</v>
      </c>
      <c r="B37" s="1953" t="s">
        <v>98</v>
      </c>
      <c r="C37" s="1968"/>
      <c r="D37" s="1968"/>
      <c r="E37" s="1968"/>
      <c r="F37" s="1968"/>
      <c r="G37" s="1968"/>
      <c r="H37" s="1968"/>
      <c r="I37" s="1968"/>
      <c r="J37" s="1968"/>
      <c r="K37" s="1968"/>
      <c r="L37" s="1968"/>
      <c r="M37" s="1968"/>
      <c r="N37" s="1968"/>
      <c r="O37" s="1968"/>
      <c r="P37" s="1968"/>
      <c r="Q37" s="1968"/>
      <c r="R37" s="1968"/>
      <c r="S37" s="1968"/>
      <c r="T37" s="1968"/>
      <c r="U37" s="1968"/>
      <c r="V37" s="1968"/>
      <c r="W37" s="1968"/>
      <c r="X37" s="1968"/>
      <c r="Y37" s="1968"/>
      <c r="Z37" s="1968"/>
      <c r="AA37" s="1968"/>
      <c r="AB37" s="1968"/>
    </row>
    <row r="38" spans="1:28" x14ac:dyDescent="0.45">
      <c r="A38" s="2018" t="s">
        <v>768</v>
      </c>
      <c r="B38" s="2019"/>
      <c r="C38" s="2022">
        <f>Tech_Specs_Infra!$I114</f>
        <v>0.24754999999999994</v>
      </c>
      <c r="D38" s="2022">
        <f>Tech_Specs_Infra!$I114</f>
        <v>0.24754999999999994</v>
      </c>
      <c r="E38" s="2022">
        <f>Tech_Specs_Infra!$I114</f>
        <v>0.24754999999999994</v>
      </c>
      <c r="F38" s="2022">
        <f>Tech_Specs_Infra!$I114</f>
        <v>0.24754999999999994</v>
      </c>
      <c r="G38" s="2022">
        <f>Tech_Specs_Infra!$I114</f>
        <v>0.24754999999999994</v>
      </c>
      <c r="H38" s="2022">
        <f>Tech_Specs_Infra!$I114</f>
        <v>0.24754999999999994</v>
      </c>
      <c r="I38" s="2022">
        <f>Tech_Specs_Infra!$I114</f>
        <v>0.24754999999999994</v>
      </c>
      <c r="J38" s="2022">
        <f>Tech_Specs_Infra!$I114</f>
        <v>0.24754999999999994</v>
      </c>
      <c r="K38" s="2022">
        <f>Tech_Specs_Infra!$I114</f>
        <v>0.24754999999999994</v>
      </c>
      <c r="L38" s="2022">
        <f>Tech_Specs_Infra!$I114</f>
        <v>0.24754999999999994</v>
      </c>
      <c r="M38" s="2022">
        <f>Tech_Specs_Infra!$I114</f>
        <v>0.24754999999999994</v>
      </c>
      <c r="N38" s="2022">
        <f>Tech_Specs_Infra!$I114</f>
        <v>0.24754999999999994</v>
      </c>
      <c r="O38" s="2022">
        <f>Tech_Specs_Infra!$I114</f>
        <v>0.24754999999999994</v>
      </c>
      <c r="P38" s="2022">
        <f>Tech_Specs_Infra!$I114</f>
        <v>0.24754999999999994</v>
      </c>
      <c r="Q38" s="2022">
        <f>Tech_Specs_Infra!$I114</f>
        <v>0.24754999999999994</v>
      </c>
      <c r="R38" s="2022">
        <f>Tech_Specs_Infra!$I114</f>
        <v>0.24754999999999994</v>
      </c>
      <c r="S38" s="2022">
        <f>Tech_Specs_Infra!$I114</f>
        <v>0.24754999999999994</v>
      </c>
      <c r="T38" s="2022">
        <f>Tech_Specs_Infra!$I114</f>
        <v>0.24754999999999994</v>
      </c>
      <c r="U38" s="2022">
        <f>Tech_Specs_Infra!$I114</f>
        <v>0.24754999999999994</v>
      </c>
      <c r="V38" s="2022">
        <f>Tech_Specs_Infra!$I114</f>
        <v>0.24754999999999994</v>
      </c>
      <c r="W38" s="2022">
        <f>Tech_Specs_Infra!$I114</f>
        <v>0.24754999999999994</v>
      </c>
      <c r="X38" s="2022">
        <f>Tech_Specs_Infra!$I114</f>
        <v>0.24754999999999994</v>
      </c>
      <c r="Y38" s="2022">
        <f>Tech_Specs_Infra!$I114</f>
        <v>0.24754999999999994</v>
      </c>
      <c r="Z38" s="2022">
        <f>Tech_Specs_Infra!$I114</f>
        <v>0.24754999999999994</v>
      </c>
      <c r="AA38" s="2022">
        <f>Tech_Specs_Infra!$I114</f>
        <v>0.24754999999999994</v>
      </c>
      <c r="AB38" s="2022">
        <f>Tech_Specs_Infra!$I114</f>
        <v>0.24754999999999994</v>
      </c>
    </row>
    <row r="39" spans="1:28" x14ac:dyDescent="0.45">
      <c r="A39" s="2018" t="s">
        <v>769</v>
      </c>
      <c r="B39" s="2019"/>
      <c r="C39" s="2022">
        <f>Tech_Specs_Infra!$I115</f>
        <v>5.0601071792155432</v>
      </c>
      <c r="D39" s="2022">
        <f>Tech_Specs_Infra!$I115</f>
        <v>5.0601071792155432</v>
      </c>
      <c r="E39" s="2022">
        <f>Tech_Specs_Infra!$I115</f>
        <v>5.0601071792155432</v>
      </c>
      <c r="F39" s="2022">
        <f>Tech_Specs_Infra!$I115</f>
        <v>5.0601071792155432</v>
      </c>
      <c r="G39" s="2022">
        <f>Tech_Specs_Infra!$I115</f>
        <v>5.0601071792155432</v>
      </c>
      <c r="H39" s="2022">
        <f>Tech_Specs_Infra!$I115</f>
        <v>5.0601071792155432</v>
      </c>
      <c r="I39" s="2022">
        <f>Tech_Specs_Infra!$I115</f>
        <v>5.0601071792155432</v>
      </c>
      <c r="J39" s="2022">
        <f>Tech_Specs_Infra!$I115</f>
        <v>5.0601071792155432</v>
      </c>
      <c r="K39" s="2022">
        <f>Tech_Specs_Infra!$I115</f>
        <v>5.0601071792155432</v>
      </c>
      <c r="L39" s="2022">
        <f>Tech_Specs_Infra!$I115</f>
        <v>5.0601071792155432</v>
      </c>
      <c r="M39" s="2022">
        <f>Tech_Specs_Infra!$I115</f>
        <v>5.0601071792155432</v>
      </c>
      <c r="N39" s="2022">
        <f>Tech_Specs_Infra!$I115</f>
        <v>5.0601071792155432</v>
      </c>
      <c r="O39" s="2022">
        <f>Tech_Specs_Infra!$I115</f>
        <v>5.0601071792155432</v>
      </c>
      <c r="P39" s="2022">
        <f>Tech_Specs_Infra!$I115</f>
        <v>5.0601071792155432</v>
      </c>
      <c r="Q39" s="2022">
        <f>Tech_Specs_Infra!$I115</f>
        <v>5.0601071792155432</v>
      </c>
      <c r="R39" s="2022">
        <f>Tech_Specs_Infra!$I115</f>
        <v>5.0601071792155432</v>
      </c>
      <c r="S39" s="2022">
        <f>Tech_Specs_Infra!$I115</f>
        <v>5.0601071792155432</v>
      </c>
      <c r="T39" s="2022">
        <f>Tech_Specs_Infra!$I115</f>
        <v>5.0601071792155432</v>
      </c>
      <c r="U39" s="2022">
        <f>Tech_Specs_Infra!$I115</f>
        <v>5.0601071792155432</v>
      </c>
      <c r="V39" s="2022">
        <f>Tech_Specs_Infra!$I115</f>
        <v>5.0601071792155432</v>
      </c>
      <c r="W39" s="2022">
        <f>Tech_Specs_Infra!$I115</f>
        <v>5.0601071792155432</v>
      </c>
      <c r="X39" s="2022">
        <f>Tech_Specs_Infra!$I115</f>
        <v>5.0601071792155432</v>
      </c>
      <c r="Y39" s="2022">
        <f>Tech_Specs_Infra!$I115</f>
        <v>5.0601071792155432</v>
      </c>
      <c r="Z39" s="2022">
        <f>Tech_Specs_Infra!$I115</f>
        <v>5.0601071792155432</v>
      </c>
      <c r="AA39" s="2022">
        <f>Tech_Specs_Infra!$I115</f>
        <v>5.0601071792155432</v>
      </c>
      <c r="AB39" s="2022">
        <f>Tech_Specs_Infra!$I115</f>
        <v>5.0601071792155432</v>
      </c>
    </row>
    <row r="40" spans="1:28" x14ac:dyDescent="0.45">
      <c r="A40" s="2018" t="s">
        <v>68</v>
      </c>
      <c r="B40" s="2019"/>
      <c r="C40" s="2022">
        <f>Tech_Specs_Infra!$I116</f>
        <v>24.183271295973196</v>
      </c>
      <c r="D40" s="2022">
        <f>Tech_Specs_Infra!$I116</f>
        <v>24.183271295973196</v>
      </c>
      <c r="E40" s="2022">
        <f>Tech_Specs_Infra!$I116</f>
        <v>24.183271295973196</v>
      </c>
      <c r="F40" s="2022">
        <f>Tech_Specs_Infra!$I116</f>
        <v>24.183271295973196</v>
      </c>
      <c r="G40" s="2022">
        <f>Tech_Specs_Infra!$I116</f>
        <v>24.183271295973196</v>
      </c>
      <c r="H40" s="2022">
        <f>Tech_Specs_Infra!$I116</f>
        <v>24.183271295973196</v>
      </c>
      <c r="I40" s="2022">
        <f>Tech_Specs_Infra!$I116</f>
        <v>24.183271295973196</v>
      </c>
      <c r="J40" s="2022">
        <f>Tech_Specs_Infra!$I116</f>
        <v>24.183271295973196</v>
      </c>
      <c r="K40" s="2022">
        <f>Tech_Specs_Infra!$I116</f>
        <v>24.183271295973196</v>
      </c>
      <c r="L40" s="2022">
        <f>Tech_Specs_Infra!$I116</f>
        <v>24.183271295973196</v>
      </c>
      <c r="M40" s="2022">
        <f>Tech_Specs_Infra!$I116</f>
        <v>24.183271295973196</v>
      </c>
      <c r="N40" s="2022">
        <f>Tech_Specs_Infra!$I116</f>
        <v>24.183271295973196</v>
      </c>
      <c r="O40" s="2022">
        <f>Tech_Specs_Infra!$I116</f>
        <v>24.183271295973196</v>
      </c>
      <c r="P40" s="2022">
        <f>Tech_Specs_Infra!$I116</f>
        <v>24.183271295973196</v>
      </c>
      <c r="Q40" s="2022">
        <f>Tech_Specs_Infra!$I116</f>
        <v>24.183271295973196</v>
      </c>
      <c r="R40" s="2022">
        <f>Tech_Specs_Infra!$I116</f>
        <v>24.183271295973196</v>
      </c>
      <c r="S40" s="2022">
        <f>Tech_Specs_Infra!$I116</f>
        <v>24.183271295973196</v>
      </c>
      <c r="T40" s="2022">
        <f>Tech_Specs_Infra!$I116</f>
        <v>24.183271295973196</v>
      </c>
      <c r="U40" s="2022">
        <f>Tech_Specs_Infra!$I116</f>
        <v>24.183271295973196</v>
      </c>
      <c r="V40" s="2022">
        <f>Tech_Specs_Infra!$I116</f>
        <v>24.183271295973196</v>
      </c>
      <c r="W40" s="2022">
        <f>Tech_Specs_Infra!$I116</f>
        <v>24.183271295973196</v>
      </c>
      <c r="X40" s="2022">
        <f>Tech_Specs_Infra!$I116</f>
        <v>24.183271295973196</v>
      </c>
      <c r="Y40" s="2022">
        <f>Tech_Specs_Infra!$I116</f>
        <v>24.183271295973196</v>
      </c>
      <c r="Z40" s="2022">
        <f>Tech_Specs_Infra!$I116</f>
        <v>24.183271295973196</v>
      </c>
      <c r="AA40" s="2022">
        <f>Tech_Specs_Infra!$I116</f>
        <v>24.183271295973196</v>
      </c>
      <c r="AB40" s="2022">
        <f>Tech_Specs_Infra!$I116</f>
        <v>24.183271295973196</v>
      </c>
    </row>
    <row r="41" spans="1:28" x14ac:dyDescent="0.45">
      <c r="A41" s="2018" t="s">
        <v>69</v>
      </c>
      <c r="B41" s="2019"/>
      <c r="C41" s="2022">
        <f>Tech_Specs_Infra!$I117</f>
        <v>19.061663037236091</v>
      </c>
      <c r="D41" s="2022">
        <f>Tech_Specs_Infra!$I117</f>
        <v>19.061663037236091</v>
      </c>
      <c r="E41" s="2022">
        <f>Tech_Specs_Infra!$I117</f>
        <v>19.061663037236091</v>
      </c>
      <c r="F41" s="2022">
        <f>Tech_Specs_Infra!$I117</f>
        <v>19.061663037236091</v>
      </c>
      <c r="G41" s="2022">
        <f>Tech_Specs_Infra!$I117</f>
        <v>19.061663037236091</v>
      </c>
      <c r="H41" s="2022">
        <f>Tech_Specs_Infra!$I117</f>
        <v>19.061663037236091</v>
      </c>
      <c r="I41" s="2022">
        <f>Tech_Specs_Infra!$I117</f>
        <v>19.061663037236091</v>
      </c>
      <c r="J41" s="2022">
        <f>Tech_Specs_Infra!$I117</f>
        <v>19.061663037236091</v>
      </c>
      <c r="K41" s="2022">
        <f>Tech_Specs_Infra!$I117</f>
        <v>19.061663037236091</v>
      </c>
      <c r="L41" s="2022">
        <f>Tech_Specs_Infra!$I117</f>
        <v>19.061663037236091</v>
      </c>
      <c r="M41" s="2022">
        <f>Tech_Specs_Infra!$I117</f>
        <v>19.061663037236091</v>
      </c>
      <c r="N41" s="2022">
        <f>Tech_Specs_Infra!$I117</f>
        <v>19.061663037236091</v>
      </c>
      <c r="O41" s="2022">
        <f>Tech_Specs_Infra!$I117</f>
        <v>19.061663037236091</v>
      </c>
      <c r="P41" s="2022">
        <f>Tech_Specs_Infra!$I117</f>
        <v>19.061663037236091</v>
      </c>
      <c r="Q41" s="2022">
        <f>Tech_Specs_Infra!$I117</f>
        <v>19.061663037236091</v>
      </c>
      <c r="R41" s="2022">
        <f>Tech_Specs_Infra!$I117</f>
        <v>19.061663037236091</v>
      </c>
      <c r="S41" s="2022">
        <f>Tech_Specs_Infra!$I117</f>
        <v>19.061663037236091</v>
      </c>
      <c r="T41" s="2022">
        <f>Tech_Specs_Infra!$I117</f>
        <v>19.061663037236091</v>
      </c>
      <c r="U41" s="2022">
        <f>Tech_Specs_Infra!$I117</f>
        <v>19.061663037236091</v>
      </c>
      <c r="V41" s="2022">
        <f>Tech_Specs_Infra!$I117</f>
        <v>19.061663037236091</v>
      </c>
      <c r="W41" s="2022">
        <f>Tech_Specs_Infra!$I117</f>
        <v>19.061663037236091</v>
      </c>
      <c r="X41" s="2022">
        <f>Tech_Specs_Infra!$I117</f>
        <v>19.061663037236091</v>
      </c>
      <c r="Y41" s="2022">
        <f>Tech_Specs_Infra!$I117</f>
        <v>19.061663037236091</v>
      </c>
      <c r="Z41" s="2022">
        <f>Tech_Specs_Infra!$I117</f>
        <v>19.061663037236091</v>
      </c>
      <c r="AA41" s="2022">
        <f>Tech_Specs_Infra!$I117</f>
        <v>19.061663037236091</v>
      </c>
      <c r="AB41" s="2022">
        <f>Tech_Specs_Infra!$I117</f>
        <v>19.061663037236091</v>
      </c>
    </row>
    <row r="42" spans="1:28" x14ac:dyDescent="0.45">
      <c r="A42" s="2000"/>
      <c r="B42" s="1953"/>
      <c r="C42" s="1968"/>
      <c r="D42" s="1968"/>
      <c r="E42" s="1968"/>
      <c r="F42" s="1968"/>
      <c r="G42" s="1968"/>
      <c r="H42" s="1968"/>
      <c r="I42" s="1968"/>
      <c r="J42" s="1968"/>
      <c r="K42" s="1968"/>
      <c r="L42" s="1968"/>
      <c r="M42" s="1968"/>
      <c r="N42" s="1968"/>
      <c r="O42" s="1968"/>
      <c r="P42" s="1968"/>
      <c r="Q42" s="1968"/>
      <c r="R42" s="1968"/>
      <c r="S42" s="1968"/>
      <c r="T42" s="1968"/>
      <c r="U42" s="1968"/>
      <c r="V42" s="1968"/>
      <c r="W42" s="1969"/>
      <c r="X42" s="1968"/>
      <c r="Y42" s="1968"/>
      <c r="Z42" s="1968"/>
      <c r="AA42" s="1968"/>
      <c r="AB42" s="1968"/>
    </row>
    <row r="43" spans="1:28" ht="42.75" x14ac:dyDescent="0.45">
      <c r="A43" s="1427" t="s">
        <v>1114</v>
      </c>
      <c r="B43" s="1953" t="s">
        <v>1115</v>
      </c>
      <c r="C43" s="1968"/>
      <c r="D43" s="1968"/>
      <c r="E43" s="1968"/>
      <c r="F43" s="1968"/>
      <c r="G43" s="1968"/>
      <c r="H43" s="1968"/>
      <c r="I43" s="1968"/>
      <c r="J43" s="1968"/>
      <c r="K43" s="1968"/>
      <c r="L43" s="1968"/>
      <c r="M43" s="1968"/>
      <c r="N43" s="1968"/>
      <c r="O43" s="1968"/>
      <c r="P43" s="1968"/>
      <c r="Q43" s="1968"/>
      <c r="R43" s="1968"/>
      <c r="S43" s="1968"/>
      <c r="T43" s="1968"/>
      <c r="U43" s="1968"/>
      <c r="V43" s="1968"/>
      <c r="W43" s="1969"/>
      <c r="X43" s="1968"/>
      <c r="Y43" s="1968"/>
      <c r="Z43" s="1968"/>
      <c r="AA43" s="1968"/>
      <c r="AB43" s="1968"/>
    </row>
    <row r="44" spans="1:28" x14ac:dyDescent="0.45">
      <c r="A44" s="2023" t="s">
        <v>1108</v>
      </c>
      <c r="B44" s="1947"/>
      <c r="C44" s="2024">
        <f t="shared" ref="C44:AB44" si="7">(C38*C13+C39*C14+C40*(1-C35)*C15+C41*C35*C15)*1000</f>
        <v>1077803.4422548697</v>
      </c>
      <c r="D44" s="2024">
        <f t="shared" si="7"/>
        <v>1077803.4422548697</v>
      </c>
      <c r="E44" s="2024">
        <f t="shared" si="7"/>
        <v>1077803.4422548697</v>
      </c>
      <c r="F44" s="2024">
        <f t="shared" si="7"/>
        <v>1077803.4422548697</v>
      </c>
      <c r="G44" s="2024">
        <f t="shared" si="7"/>
        <v>1077803.4422548697</v>
      </c>
      <c r="H44" s="2024">
        <f t="shared" si="7"/>
        <v>1077803.4422548697</v>
      </c>
      <c r="I44" s="2024">
        <f t="shared" si="7"/>
        <v>1077803.4422548697</v>
      </c>
      <c r="J44" s="2024">
        <f t="shared" si="7"/>
        <v>1077803.4422548697</v>
      </c>
      <c r="K44" s="2024">
        <f t="shared" si="7"/>
        <v>1077803.4422548697</v>
      </c>
      <c r="L44" s="2024">
        <f t="shared" si="7"/>
        <v>1077803.4422548697</v>
      </c>
      <c r="M44" s="2024">
        <f t="shared" si="7"/>
        <v>1077803.4422548697</v>
      </c>
      <c r="N44" s="2024">
        <f t="shared" si="7"/>
        <v>1077803.4422548697</v>
      </c>
      <c r="O44" s="2024">
        <f t="shared" si="7"/>
        <v>1077803.4422548697</v>
      </c>
      <c r="P44" s="2024">
        <f t="shared" si="7"/>
        <v>1077803.4422548697</v>
      </c>
      <c r="Q44" s="2024">
        <f t="shared" si="7"/>
        <v>1077803.4422548697</v>
      </c>
      <c r="R44" s="2024">
        <f t="shared" si="7"/>
        <v>1077803.4422548697</v>
      </c>
      <c r="S44" s="2024">
        <f t="shared" si="7"/>
        <v>1077803.4422548697</v>
      </c>
      <c r="T44" s="2024">
        <f t="shared" si="7"/>
        <v>1077803.4422548697</v>
      </c>
      <c r="U44" s="2024">
        <f>(U38*U13+U39*U14+U40*(1-U35)*U15+U41*U35*U15)*1000</f>
        <v>1077803.4422548697</v>
      </c>
      <c r="V44" s="2024">
        <f>(V38*V13+V39*V14+V40*(1-V35)*V15+V41*V35*V15)*1000</f>
        <v>1077803.4422548697</v>
      </c>
      <c r="W44" s="2024">
        <f>(W38*W13+W39*W14+W40*(1-W35)*W15+W41*W35*W15)*1000</f>
        <v>1077803.4422548697</v>
      </c>
      <c r="X44" s="2024">
        <f t="shared" si="7"/>
        <v>1223321.1316573166</v>
      </c>
      <c r="Y44" s="2024">
        <f t="shared" si="7"/>
        <v>1223321.1316573166</v>
      </c>
      <c r="Z44" s="2024">
        <f t="shared" si="7"/>
        <v>1077803.4422548697</v>
      </c>
      <c r="AA44" s="2024">
        <f t="shared" si="7"/>
        <v>1077803.4422548697</v>
      </c>
      <c r="AB44" s="2024">
        <f t="shared" si="7"/>
        <v>34631439.334818989</v>
      </c>
    </row>
    <row r="45" spans="1:28" x14ac:dyDescent="0.45">
      <c r="A45" s="2023" t="s">
        <v>1109</v>
      </c>
      <c r="B45" s="1947"/>
      <c r="C45" s="2026">
        <f t="shared" ref="C45:AB45" si="8">(C38*C18+C39*C19+C40*(1-C35)*C20+C41*C35*C20)*1000</f>
        <v>0</v>
      </c>
      <c r="D45" s="2026">
        <f t="shared" si="8"/>
        <v>0</v>
      </c>
      <c r="E45" s="2026">
        <f t="shared" si="8"/>
        <v>0</v>
      </c>
      <c r="F45" s="2026">
        <f t="shared" si="8"/>
        <v>0</v>
      </c>
      <c r="G45" s="2026">
        <f t="shared" si="8"/>
        <v>0</v>
      </c>
      <c r="H45" s="2026">
        <f t="shared" si="8"/>
        <v>0</v>
      </c>
      <c r="I45" s="2026">
        <f t="shared" si="8"/>
        <v>0</v>
      </c>
      <c r="J45" s="2026">
        <f t="shared" si="8"/>
        <v>0</v>
      </c>
      <c r="K45" s="2024">
        <f t="shared" si="8"/>
        <v>0</v>
      </c>
      <c r="L45" s="2024">
        <f t="shared" si="8"/>
        <v>0</v>
      </c>
      <c r="M45" s="2024">
        <f t="shared" si="8"/>
        <v>1077803.4422548697</v>
      </c>
      <c r="N45" s="2024">
        <f t="shared" si="8"/>
        <v>1077803.4422548697</v>
      </c>
      <c r="O45" s="2024">
        <f t="shared" si="8"/>
        <v>1077803.4422548697</v>
      </c>
      <c r="P45" s="2024">
        <f t="shared" si="8"/>
        <v>1077803.4422548697</v>
      </c>
      <c r="Q45" s="2024">
        <f t="shared" si="8"/>
        <v>1077803.4422548697</v>
      </c>
      <c r="R45" s="2024">
        <f t="shared" si="8"/>
        <v>1077803.4422548697</v>
      </c>
      <c r="S45" s="2024">
        <f t="shared" si="8"/>
        <v>1077803.4422548697</v>
      </c>
      <c r="T45" s="2024">
        <f t="shared" si="8"/>
        <v>1077803.4422548697</v>
      </c>
      <c r="U45" s="2024">
        <f>(U38*U18+U39*U19+U40*(1-U35)*U20+U41*U35*U20)*1000</f>
        <v>1077803.4422548697</v>
      </c>
      <c r="V45" s="2024">
        <f>(V38*V18+V39*V19+V40*(1-V35)*V20+V41*V35*V20)*1000</f>
        <v>1077803.4422548697</v>
      </c>
      <c r="W45" s="2024">
        <f>(W38*W18+W39*W19+W40*(1-W35)*W20+W41*W35*W20)*1000</f>
        <v>1077803.4422548697</v>
      </c>
      <c r="X45" s="2024">
        <f t="shared" si="8"/>
        <v>1077803.4422548697</v>
      </c>
      <c r="Y45" s="2024">
        <f t="shared" si="8"/>
        <v>1077803.4422548697</v>
      </c>
      <c r="Z45" s="2024">
        <f t="shared" si="8"/>
        <v>0</v>
      </c>
      <c r="AA45" s="2024">
        <f t="shared" si="8"/>
        <v>0</v>
      </c>
      <c r="AB45" s="2024">
        <f t="shared" si="8"/>
        <v>0</v>
      </c>
    </row>
    <row r="46" spans="1:28" x14ac:dyDescent="0.45">
      <c r="A46" s="2000"/>
      <c r="B46" s="1953"/>
      <c r="C46" s="1968"/>
      <c r="D46" s="1968"/>
      <c r="E46" s="1968"/>
      <c r="F46" s="1968"/>
      <c r="G46" s="1968"/>
      <c r="H46" s="1968"/>
      <c r="I46" s="1968"/>
      <c r="J46" s="1968"/>
      <c r="K46" s="1968"/>
      <c r="L46" s="1968"/>
      <c r="M46" s="1968"/>
      <c r="N46" s="1968"/>
      <c r="O46" s="1968"/>
      <c r="P46" s="1968"/>
      <c r="Q46" s="1968"/>
      <c r="R46" s="1968"/>
      <c r="S46" s="1968"/>
      <c r="T46" s="1968"/>
      <c r="U46" s="1968"/>
      <c r="V46" s="1968"/>
      <c r="W46" s="1968"/>
      <c r="X46" s="1968"/>
      <c r="Y46" s="1968"/>
      <c r="Z46" s="1968"/>
      <c r="AA46" s="1968"/>
      <c r="AB46" s="1968"/>
    </row>
    <row r="47" spans="1:28" x14ac:dyDescent="0.45">
      <c r="A47" s="1427" t="s">
        <v>1116</v>
      </c>
      <c r="B47" s="1953"/>
      <c r="C47" s="1968"/>
      <c r="D47" s="1968"/>
      <c r="E47" s="1968"/>
      <c r="F47" s="1968"/>
      <c r="G47" s="1968"/>
      <c r="H47" s="1968"/>
      <c r="I47" s="1968"/>
      <c r="J47" s="1968"/>
      <c r="K47" s="1968"/>
      <c r="L47" s="1968"/>
      <c r="M47" s="1968"/>
      <c r="N47" s="1968"/>
      <c r="O47" s="1968"/>
      <c r="P47" s="1968"/>
      <c r="Q47" s="1968"/>
      <c r="R47" s="1968"/>
      <c r="S47" s="1968"/>
      <c r="T47" s="1968"/>
      <c r="U47" s="1968"/>
      <c r="V47" s="1968"/>
      <c r="W47" s="1968"/>
      <c r="X47" s="1968"/>
      <c r="Y47" s="1968"/>
      <c r="Z47" s="1968"/>
      <c r="AA47" s="1968"/>
      <c r="AB47" s="1968"/>
    </row>
    <row r="48" spans="1:28" x14ac:dyDescent="0.45">
      <c r="A48" s="2023" t="s">
        <v>1108</v>
      </c>
      <c r="B48" s="1947"/>
      <c r="C48" s="2024">
        <f t="shared" ref="C48:G49" si="9">C71</f>
        <v>0.96391901572180827</v>
      </c>
      <c r="D48" s="2024">
        <f t="shared" si="9"/>
        <v>0.9694662374219023</v>
      </c>
      <c r="E48" s="2024">
        <f>E71</f>
        <v>0.96202569749998745</v>
      </c>
      <c r="F48" s="2024">
        <f>F71</f>
        <v>0.96957285701644602</v>
      </c>
      <c r="G48" s="1431">
        <f t="shared" si="9"/>
        <v>0.96391901572180827</v>
      </c>
      <c r="H48" s="1431">
        <f t="shared" ref="H48:AB48" si="10">H71</f>
        <v>0.9694662374219023</v>
      </c>
      <c r="I48" s="1431">
        <f t="shared" si="10"/>
        <v>0.96202569749998745</v>
      </c>
      <c r="J48" s="1431">
        <f t="shared" si="10"/>
        <v>0.96957285701644602</v>
      </c>
      <c r="K48" s="1431">
        <f t="shared" si="10"/>
        <v>0.88313183649971216</v>
      </c>
      <c r="L48" s="1431">
        <f t="shared" si="10"/>
        <v>0.89812646370023419</v>
      </c>
      <c r="M48" s="1431">
        <f t="shared" si="10"/>
        <v>0.2798810414348008</v>
      </c>
      <c r="N48" s="1431">
        <f t="shared" si="10"/>
        <v>0.20999315537303215</v>
      </c>
      <c r="O48" s="1431">
        <f t="shared" si="10"/>
        <v>0.2798810414348008</v>
      </c>
      <c r="P48" s="1431">
        <f t="shared" si="10"/>
        <v>0.20999315537303215</v>
      </c>
      <c r="Q48" s="1431">
        <f t="shared" si="10"/>
        <v>0.23731435643564353</v>
      </c>
      <c r="R48" s="1431">
        <f t="shared" si="10"/>
        <v>0.1967171069505001</v>
      </c>
      <c r="S48" s="1431">
        <f t="shared" si="10"/>
        <v>0.23731435643564353</v>
      </c>
      <c r="T48" s="1431">
        <f t="shared" si="10"/>
        <v>0.1967171069505001</v>
      </c>
      <c r="U48" s="1431">
        <f t="shared" ref="U48:W49" si="11">U71</f>
        <v>0.20999315537303215</v>
      </c>
      <c r="V48" s="1431">
        <f t="shared" si="11"/>
        <v>0.1967171069505001</v>
      </c>
      <c r="W48" s="1431">
        <f t="shared" si="11"/>
        <v>0.20999315537303215</v>
      </c>
      <c r="X48" s="1431">
        <f t="shared" si="10"/>
        <v>0.67045454545454541</v>
      </c>
      <c r="Y48" s="1431">
        <f t="shared" si="10"/>
        <v>0.68080951535593826</v>
      </c>
      <c r="Z48" s="1431">
        <f t="shared" si="10"/>
        <v>0.67045454545454541</v>
      </c>
      <c r="AA48" s="1431">
        <f t="shared" si="10"/>
        <v>0.68080951535593826</v>
      </c>
      <c r="AB48" s="1431">
        <f t="shared" si="10"/>
        <v>0.57999999999999996</v>
      </c>
    </row>
    <row r="49" spans="1:28" x14ac:dyDescent="0.45">
      <c r="A49" s="2023" t="s">
        <v>1109</v>
      </c>
      <c r="B49" s="1947"/>
      <c r="C49" s="2024">
        <f t="shared" si="9"/>
        <v>0</v>
      </c>
      <c r="D49" s="2024">
        <f t="shared" si="9"/>
        <v>0</v>
      </c>
      <c r="E49" s="2024">
        <f>E72</f>
        <v>0</v>
      </c>
      <c r="F49" s="2024">
        <f>F72</f>
        <v>0</v>
      </c>
      <c r="G49" s="2024">
        <f t="shared" si="9"/>
        <v>0</v>
      </c>
      <c r="H49" s="2024">
        <f t="shared" ref="H49:AB49" si="12">H72</f>
        <v>0</v>
      </c>
      <c r="I49" s="2024">
        <f t="shared" si="12"/>
        <v>0</v>
      </c>
      <c r="J49" s="2024">
        <f t="shared" si="12"/>
        <v>0</v>
      </c>
      <c r="K49" s="2024">
        <f t="shared" si="12"/>
        <v>0</v>
      </c>
      <c r="L49" s="2024">
        <f t="shared" si="12"/>
        <v>0</v>
      </c>
      <c r="M49" s="2024">
        <f t="shared" si="12"/>
        <v>0.2798810414348008</v>
      </c>
      <c r="N49" s="2024">
        <f t="shared" si="12"/>
        <v>0.20999315537303215</v>
      </c>
      <c r="O49" s="2024">
        <f t="shared" si="12"/>
        <v>0.2798810414348008</v>
      </c>
      <c r="P49" s="2024">
        <f t="shared" si="12"/>
        <v>0.20999315537303215</v>
      </c>
      <c r="Q49" s="2024">
        <f t="shared" si="12"/>
        <v>0.23731435643564353</v>
      </c>
      <c r="R49" s="2024">
        <f t="shared" si="12"/>
        <v>0.1967171069505001</v>
      </c>
      <c r="S49" s="2024">
        <f t="shared" si="12"/>
        <v>0.23731435643564353</v>
      </c>
      <c r="T49" s="2024">
        <f t="shared" si="12"/>
        <v>0.1967171069505001</v>
      </c>
      <c r="U49" s="2024">
        <f t="shared" si="11"/>
        <v>0.20999315537303215</v>
      </c>
      <c r="V49" s="2024">
        <f t="shared" si="11"/>
        <v>0.1967171069505001</v>
      </c>
      <c r="W49" s="2024">
        <f t="shared" si="11"/>
        <v>0.20999315537303215</v>
      </c>
      <c r="X49" s="2024">
        <f t="shared" si="12"/>
        <v>0.4</v>
      </c>
      <c r="Y49" s="2024">
        <f t="shared" si="12"/>
        <v>0.41139240506329117</v>
      </c>
      <c r="Z49" s="2024">
        <f t="shared" si="12"/>
        <v>0</v>
      </c>
      <c r="AA49" s="2024">
        <f t="shared" si="12"/>
        <v>0</v>
      </c>
      <c r="AB49" s="2024">
        <f t="shared" si="12"/>
        <v>0</v>
      </c>
    </row>
    <row r="50" spans="1:28" x14ac:dyDescent="0.45">
      <c r="A50" s="2000"/>
      <c r="B50" s="1953"/>
      <c r="C50" s="1968"/>
      <c r="D50" s="1968"/>
      <c r="E50" s="1968"/>
      <c r="F50" s="1968"/>
      <c r="G50" s="1968"/>
      <c r="H50" s="1968"/>
      <c r="I50" s="1968"/>
      <c r="J50" s="1968"/>
      <c r="K50" s="1968"/>
      <c r="L50" s="1968"/>
      <c r="M50" s="1968"/>
      <c r="N50" s="1968"/>
      <c r="O50" s="1968"/>
      <c r="P50" s="1968"/>
      <c r="Q50" s="1968"/>
      <c r="R50" s="1968"/>
      <c r="S50" s="1968"/>
      <c r="T50" s="1968"/>
      <c r="U50" s="1968"/>
      <c r="V50" s="1968"/>
      <c r="W50" s="1969"/>
      <c r="X50" s="1968"/>
      <c r="Y50" s="1968"/>
      <c r="Z50" s="1968"/>
      <c r="AA50" s="1968"/>
      <c r="AB50" s="1968"/>
    </row>
    <row r="51" spans="1:28" ht="42.75" x14ac:dyDescent="0.45">
      <c r="A51" s="1427" t="s">
        <v>1117</v>
      </c>
      <c r="B51" s="1953" t="s">
        <v>1115</v>
      </c>
      <c r="C51" s="1968"/>
      <c r="D51" s="1968"/>
      <c r="E51" s="1968"/>
      <c r="F51" s="1968"/>
      <c r="G51" s="1968"/>
      <c r="H51" s="1968"/>
      <c r="I51" s="1968"/>
      <c r="J51" s="1968"/>
      <c r="K51" s="1968"/>
      <c r="L51" s="1968"/>
      <c r="M51" s="1968"/>
      <c r="N51" s="1968"/>
      <c r="O51" s="1968"/>
      <c r="P51" s="1968"/>
      <c r="Q51" s="1968"/>
      <c r="R51" s="1968"/>
      <c r="S51" s="1968"/>
      <c r="T51" s="1968"/>
      <c r="U51" s="1968"/>
      <c r="V51" s="1968"/>
      <c r="W51" s="1969"/>
      <c r="X51" s="1968"/>
      <c r="Y51" s="1968"/>
      <c r="Z51" s="1968"/>
      <c r="AA51" s="1968"/>
      <c r="AB51" s="1968"/>
    </row>
    <row r="52" spans="1:28" x14ac:dyDescent="0.45">
      <c r="A52" s="2023" t="s">
        <v>1108</v>
      </c>
      <c r="B52" s="1947"/>
      <c r="C52" s="2024">
        <f t="shared" ref="C52:G53" si="13">IFERROR(C44/C48,0)</f>
        <v>1118147.2973098075</v>
      </c>
      <c r="D52" s="2024">
        <f t="shared" si="13"/>
        <v>1111749.3324172569</v>
      </c>
      <c r="E52" s="2024">
        <f>IFERROR(E44/E48,0)</f>
        <v>1120347.8712218951</v>
      </c>
      <c r="F52" s="2024">
        <f>IFERROR(F44/F48,0)</f>
        <v>1111627.0783110298</v>
      </c>
      <c r="G52" s="2024">
        <f t="shared" si="13"/>
        <v>1118147.2973098075</v>
      </c>
      <c r="H52" s="2024">
        <f t="shared" ref="H52:AB52" si="14">IFERROR(H44/H48,0)</f>
        <v>1111749.3324172569</v>
      </c>
      <c r="I52" s="2024">
        <f t="shared" si="14"/>
        <v>1120347.8712218951</v>
      </c>
      <c r="J52" s="2024">
        <f t="shared" si="14"/>
        <v>1111627.0783110298</v>
      </c>
      <c r="K52" s="2024">
        <f t="shared" si="14"/>
        <v>1220433.2328531346</v>
      </c>
      <c r="L52" s="2024">
        <f t="shared" si="14"/>
        <v>1200057.548481954</v>
      </c>
      <c r="M52" s="2024">
        <f t="shared" si="14"/>
        <v>3850934.0851725661</v>
      </c>
      <c r="N52" s="2024">
        <f t="shared" si="14"/>
        <v>5132564.6321198335</v>
      </c>
      <c r="O52" s="2024">
        <f t="shared" si="14"/>
        <v>3850934.0851725661</v>
      </c>
      <c r="P52" s="2024">
        <f t="shared" si="14"/>
        <v>5132564.6321198335</v>
      </c>
      <c r="Q52" s="2024">
        <f t="shared" si="14"/>
        <v>4541669.7853555931</v>
      </c>
      <c r="R52" s="2024">
        <f t="shared" si="14"/>
        <v>5478951.2664299058</v>
      </c>
      <c r="S52" s="2024">
        <f t="shared" si="14"/>
        <v>4541669.7853555931</v>
      </c>
      <c r="T52" s="2024">
        <f t="shared" si="14"/>
        <v>5478951.2664299058</v>
      </c>
      <c r="U52" s="2024">
        <f t="shared" ref="U52:W53" si="15">IFERROR(U44/U48,0)</f>
        <v>5132564.6321198335</v>
      </c>
      <c r="V52" s="2024">
        <f t="shared" si="15"/>
        <v>5478951.2664299058</v>
      </c>
      <c r="W52" s="2024">
        <f t="shared" si="15"/>
        <v>5132564.6321198335</v>
      </c>
      <c r="X52" s="2024">
        <f t="shared" si="14"/>
        <v>1824614.5692515909</v>
      </c>
      <c r="Y52" s="2024">
        <f t="shared" si="14"/>
        <v>1796862.5644395472</v>
      </c>
      <c r="Z52" s="2024">
        <f t="shared" si="14"/>
        <v>1607571.2359055686</v>
      </c>
      <c r="AA52" s="2024">
        <f t="shared" si="14"/>
        <v>1583120.4146601516</v>
      </c>
      <c r="AB52" s="2024">
        <f t="shared" si="14"/>
        <v>59709378.163481019</v>
      </c>
    </row>
    <row r="53" spans="1:28" x14ac:dyDescent="0.45">
      <c r="A53" s="2023" t="s">
        <v>1109</v>
      </c>
      <c r="B53" s="1947"/>
      <c r="C53" s="2024">
        <f t="shared" si="13"/>
        <v>0</v>
      </c>
      <c r="D53" s="2024">
        <f t="shared" si="13"/>
        <v>0</v>
      </c>
      <c r="E53" s="2024">
        <f>IFERROR(E45/E49,0)</f>
        <v>0</v>
      </c>
      <c r="F53" s="2024">
        <f>IFERROR(F45/F49,0)</f>
        <v>0</v>
      </c>
      <c r="G53" s="2024">
        <f t="shared" si="13"/>
        <v>0</v>
      </c>
      <c r="H53" s="2024">
        <f t="shared" ref="H53:AB53" si="16">IFERROR(H45/H49,0)</f>
        <v>0</v>
      </c>
      <c r="I53" s="2024">
        <f t="shared" si="16"/>
        <v>0</v>
      </c>
      <c r="J53" s="2024">
        <f t="shared" si="16"/>
        <v>0</v>
      </c>
      <c r="K53" s="2024">
        <f t="shared" si="16"/>
        <v>0</v>
      </c>
      <c r="L53" s="2024">
        <f t="shared" si="16"/>
        <v>0</v>
      </c>
      <c r="M53" s="2024">
        <f t="shared" si="16"/>
        <v>3850934.0851725661</v>
      </c>
      <c r="N53" s="2024">
        <f t="shared" si="16"/>
        <v>5132564.6321198335</v>
      </c>
      <c r="O53" s="2024">
        <f t="shared" si="16"/>
        <v>3850934.0851725661</v>
      </c>
      <c r="P53" s="2024">
        <f t="shared" si="16"/>
        <v>5132564.6321198335</v>
      </c>
      <c r="Q53" s="2024">
        <f t="shared" si="16"/>
        <v>4541669.7853555931</v>
      </c>
      <c r="R53" s="2024">
        <f t="shared" si="16"/>
        <v>5478951.2664299058</v>
      </c>
      <c r="S53" s="2024">
        <f t="shared" si="16"/>
        <v>4541669.7853555931</v>
      </c>
      <c r="T53" s="2024">
        <f t="shared" si="16"/>
        <v>5478951.2664299058</v>
      </c>
      <c r="U53" s="2024">
        <f t="shared" si="15"/>
        <v>5132564.6321198335</v>
      </c>
      <c r="V53" s="2024">
        <f t="shared" si="15"/>
        <v>5478951.2664299058</v>
      </c>
      <c r="W53" s="2024">
        <f t="shared" si="15"/>
        <v>5132564.6321198335</v>
      </c>
      <c r="X53" s="2024">
        <f t="shared" si="16"/>
        <v>2694508.6056371741</v>
      </c>
      <c r="Y53" s="2024">
        <f t="shared" si="16"/>
        <v>2619891.4442502987</v>
      </c>
      <c r="Z53" s="2024">
        <f t="shared" si="16"/>
        <v>0</v>
      </c>
      <c r="AA53" s="2024">
        <f t="shared" si="16"/>
        <v>0</v>
      </c>
      <c r="AB53" s="2024">
        <f t="shared" si="16"/>
        <v>0</v>
      </c>
    </row>
    <row r="54" spans="1:28" x14ac:dyDescent="0.45">
      <c r="A54" s="2000"/>
      <c r="B54" s="1953"/>
      <c r="C54" s="1968"/>
      <c r="D54" s="1968"/>
      <c r="E54" s="1968"/>
      <c r="F54" s="1968"/>
      <c r="G54" s="1968"/>
      <c r="H54" s="1968"/>
      <c r="I54" s="1968"/>
      <c r="J54" s="1968"/>
      <c r="K54" s="1968"/>
      <c r="L54" s="1968"/>
      <c r="M54" s="1968"/>
      <c r="N54" s="1968"/>
      <c r="O54" s="1968"/>
      <c r="P54" s="1968"/>
      <c r="Q54" s="1968"/>
      <c r="R54" s="1968"/>
      <c r="S54" s="1968"/>
      <c r="T54" s="1968"/>
      <c r="U54" s="1968"/>
      <c r="V54" s="1968"/>
      <c r="W54" s="1968"/>
      <c r="X54" s="1968"/>
      <c r="Y54" s="1968"/>
      <c r="Z54" s="1968"/>
      <c r="AA54" s="1968"/>
      <c r="AB54" s="1968"/>
    </row>
    <row r="55" spans="1:28" x14ac:dyDescent="0.45">
      <c r="A55" s="1427" t="s">
        <v>1118</v>
      </c>
      <c r="B55" s="1953" t="s">
        <v>1066</v>
      </c>
      <c r="C55" s="1968"/>
      <c r="D55" s="1968"/>
      <c r="E55" s="1968"/>
      <c r="F55" s="1968"/>
      <c r="G55" s="1968"/>
      <c r="H55" s="1968"/>
      <c r="I55" s="1968"/>
      <c r="J55" s="1968"/>
      <c r="K55" s="1968"/>
      <c r="L55" s="1968"/>
      <c r="M55" s="1968"/>
      <c r="N55" s="1968"/>
      <c r="O55" s="1968"/>
      <c r="P55" s="1968"/>
      <c r="Q55" s="1968"/>
      <c r="R55" s="1968"/>
      <c r="S55" s="1968"/>
      <c r="T55" s="1968"/>
      <c r="U55" s="1968"/>
      <c r="V55" s="1968"/>
      <c r="W55" s="1968"/>
      <c r="X55" s="1968"/>
      <c r="Y55" s="1968"/>
      <c r="Z55" s="1968"/>
      <c r="AA55" s="1968"/>
      <c r="AB55" s="1968"/>
    </row>
    <row r="56" spans="1:28" x14ac:dyDescent="0.45">
      <c r="A56" s="2023" t="s">
        <v>1108</v>
      </c>
      <c r="B56" s="1947"/>
      <c r="C56" s="2027">
        <f t="shared" ref="C56:G57" si="17">IFERROR(C52/(C31*10^6),0)</f>
        <v>3.3406892781122424E-2</v>
      </c>
      <c r="D56" s="2027">
        <f t="shared" si="17"/>
        <v>3.3215740749813975E-2</v>
      </c>
      <c r="E56" s="2027">
        <f>IFERROR(E52/(E31*10^6),0)</f>
        <v>3.3472639339661645E-2</v>
      </c>
      <c r="F56" s="2027">
        <f>IFERROR(F52/(F31*10^6),0)</f>
        <v>3.3212088163228466E-2</v>
      </c>
      <c r="G56" s="2027">
        <f t="shared" si="17"/>
        <v>3.3406892781122424E-2</v>
      </c>
      <c r="H56" s="2027">
        <f t="shared" ref="H56:AB56" si="18">IFERROR(H52/(H31*10^6),0)</f>
        <v>3.3215740749813975E-2</v>
      </c>
      <c r="I56" s="2027">
        <f t="shared" si="18"/>
        <v>3.3472639339661645E-2</v>
      </c>
      <c r="J56" s="2027">
        <f t="shared" si="18"/>
        <v>3.3212088163228466E-2</v>
      </c>
      <c r="K56" s="2027">
        <f t="shared" si="18"/>
        <v>3.6462890224334021E-2</v>
      </c>
      <c r="L56" s="2027">
        <f t="shared" si="18"/>
        <v>3.5854125793415383E-2</v>
      </c>
      <c r="M56" s="2027">
        <f t="shared" si="18"/>
        <v>0.55654112525942223</v>
      </c>
      <c r="N56" s="2027">
        <f t="shared" si="18"/>
        <v>0.74176374683356383</v>
      </c>
      <c r="O56" s="2027">
        <f t="shared" si="18"/>
        <v>0.55654112525942223</v>
      </c>
      <c r="P56" s="2027">
        <f t="shared" si="18"/>
        <v>0.74176374683356383</v>
      </c>
      <c r="Q56" s="2027">
        <f t="shared" si="18"/>
        <v>0.6563669896690153</v>
      </c>
      <c r="R56" s="2027">
        <f t="shared" si="18"/>
        <v>0.79182391482657499</v>
      </c>
      <c r="S56" s="2027">
        <f t="shared" si="18"/>
        <v>0.6563669896690153</v>
      </c>
      <c r="T56" s="2027">
        <f t="shared" si="18"/>
        <v>0.79182391482657499</v>
      </c>
      <c r="U56" s="2027">
        <f t="shared" ref="U56:W57" si="19">IFERROR(U52/(U31*10^6),0)</f>
        <v>0.74176374683356383</v>
      </c>
      <c r="V56" s="2027">
        <f t="shared" si="19"/>
        <v>0.79182391482657499</v>
      </c>
      <c r="W56" s="2027">
        <f t="shared" si="19"/>
        <v>0.74176374683356383</v>
      </c>
      <c r="X56" s="2027">
        <f t="shared" si="18"/>
        <v>5.4514019242826936E-2</v>
      </c>
      <c r="Y56" s="2027">
        <f t="shared" si="18"/>
        <v>5.3684872446651065E-2</v>
      </c>
      <c r="Z56" s="2027">
        <f t="shared" si="18"/>
        <v>4.802941441178829E-2</v>
      </c>
      <c r="AA56" s="2027">
        <f t="shared" si="18"/>
        <v>4.7298897094685911E-2</v>
      </c>
      <c r="AB56" s="2027">
        <f t="shared" si="18"/>
        <v>11.484770345320273</v>
      </c>
    </row>
    <row r="57" spans="1:28" x14ac:dyDescent="0.45">
      <c r="A57" s="2023" t="s">
        <v>1109</v>
      </c>
      <c r="B57" s="1947"/>
      <c r="C57" s="2027">
        <f t="shared" si="17"/>
        <v>0</v>
      </c>
      <c r="D57" s="2027">
        <f t="shared" si="17"/>
        <v>0</v>
      </c>
      <c r="E57" s="2027">
        <f>IFERROR(E53/(E32*10^6),0)</f>
        <v>0</v>
      </c>
      <c r="F57" s="2027">
        <f>IFERROR(F53/(F32*10^6),0)</f>
        <v>0</v>
      </c>
      <c r="G57" s="2027">
        <f t="shared" si="17"/>
        <v>0</v>
      </c>
      <c r="H57" s="2027">
        <f t="shared" ref="H57:AB57" si="20">IFERROR(H53/(H32*10^6),0)</f>
        <v>0</v>
      </c>
      <c r="I57" s="2027">
        <f t="shared" si="20"/>
        <v>0</v>
      </c>
      <c r="J57" s="2027">
        <f t="shared" si="20"/>
        <v>0</v>
      </c>
      <c r="K57" s="2027">
        <f t="shared" si="20"/>
        <v>0</v>
      </c>
      <c r="L57" s="2027">
        <f t="shared" si="20"/>
        <v>0</v>
      </c>
      <c r="M57" s="2027">
        <f t="shared" si="20"/>
        <v>0.11505437825593114</v>
      </c>
      <c r="N57" s="2027">
        <f t="shared" si="20"/>
        <v>0.15334566096071392</v>
      </c>
      <c r="O57" s="2027">
        <f t="shared" si="20"/>
        <v>0.11505437825593114</v>
      </c>
      <c r="P57" s="2027">
        <f t="shared" si="20"/>
        <v>0.15334566096071392</v>
      </c>
      <c r="Q57" s="2027">
        <f t="shared" si="20"/>
        <v>0.13569149246407322</v>
      </c>
      <c r="R57" s="2027">
        <f t="shared" si="20"/>
        <v>0.1636946562863309</v>
      </c>
      <c r="S57" s="2027">
        <f t="shared" si="20"/>
        <v>0.13569149246407322</v>
      </c>
      <c r="T57" s="2027">
        <f t="shared" si="20"/>
        <v>0.1636946562863309</v>
      </c>
      <c r="U57" s="2027">
        <f t="shared" si="19"/>
        <v>0.15334566096071392</v>
      </c>
      <c r="V57" s="2027">
        <f t="shared" si="19"/>
        <v>0.1636946562863309</v>
      </c>
      <c r="W57" s="2027">
        <f t="shared" si="19"/>
        <v>0.15334566096071392</v>
      </c>
      <c r="X57" s="2027">
        <f t="shared" si="20"/>
        <v>0.14070293993321087</v>
      </c>
      <c r="Y57" s="2027">
        <f t="shared" si="20"/>
        <v>0.13680655082736812</v>
      </c>
      <c r="Z57" s="2027">
        <f t="shared" si="20"/>
        <v>0</v>
      </c>
      <c r="AA57" s="2027">
        <f t="shared" si="20"/>
        <v>0</v>
      </c>
      <c r="AB57" s="2027">
        <f t="shared" si="20"/>
        <v>0</v>
      </c>
    </row>
    <row r="58" spans="1:28" x14ac:dyDescent="0.45">
      <c r="A58" s="2023" t="s">
        <v>79</v>
      </c>
      <c r="B58" s="1947"/>
      <c r="C58" s="1432">
        <f>C56*C9+C10*C57</f>
        <v>3.3406892781122424E-2</v>
      </c>
      <c r="D58" s="1432">
        <f t="shared" ref="D58:AB58" si="21">D56*D9+D10*D57</f>
        <v>3.3215740749813975E-2</v>
      </c>
      <c r="E58" s="1432">
        <f t="shared" si="21"/>
        <v>3.3472639339661645E-2</v>
      </c>
      <c r="F58" s="1432">
        <f t="shared" si="21"/>
        <v>3.3212088163228466E-2</v>
      </c>
      <c r="G58" s="1432">
        <f t="shared" si="21"/>
        <v>3.3406892781122424E-2</v>
      </c>
      <c r="H58" s="1432">
        <f t="shared" si="21"/>
        <v>3.3215740749813975E-2</v>
      </c>
      <c r="I58" s="1432">
        <f t="shared" si="21"/>
        <v>3.3472639339661645E-2</v>
      </c>
      <c r="J58" s="1432">
        <f t="shared" si="21"/>
        <v>3.3212088163228466E-2</v>
      </c>
      <c r="K58" s="1432">
        <f t="shared" si="21"/>
        <v>3.6462890224334021E-2</v>
      </c>
      <c r="L58" s="1432">
        <f t="shared" si="21"/>
        <v>3.5854125793415383E-2</v>
      </c>
      <c r="M58" s="1432">
        <f t="shared" si="21"/>
        <v>0.11505437825593114</v>
      </c>
      <c r="N58" s="1432">
        <f t="shared" si="21"/>
        <v>0.15334566096071392</v>
      </c>
      <c r="O58" s="1432">
        <f t="shared" si="21"/>
        <v>0.11505437825593114</v>
      </c>
      <c r="P58" s="1432">
        <f t="shared" si="21"/>
        <v>0.15334566096071392</v>
      </c>
      <c r="Q58" s="1432">
        <f t="shared" si="21"/>
        <v>0.13569149246407322</v>
      </c>
      <c r="R58" s="1432">
        <f t="shared" si="21"/>
        <v>0.1636946562863309</v>
      </c>
      <c r="S58" s="1432">
        <f t="shared" si="21"/>
        <v>0.13569149246407322</v>
      </c>
      <c r="T58" s="1432">
        <f t="shared" si="21"/>
        <v>0.1636946562863309</v>
      </c>
      <c r="U58" s="1432">
        <f>U56*U9+U10*U57</f>
        <v>0.15334566096071392</v>
      </c>
      <c r="V58" s="1432">
        <f>V56*V9+V10*V57</f>
        <v>0.1636946562863309</v>
      </c>
      <c r="W58" s="1432">
        <f>W56*W9+W10*W57</f>
        <v>0.15334566096071392</v>
      </c>
      <c r="X58" s="1432">
        <f t="shared" si="21"/>
        <v>8.8989587518980506E-2</v>
      </c>
      <c r="Y58" s="1432">
        <f t="shared" si="21"/>
        <v>8.693354379893789E-2</v>
      </c>
      <c r="Z58" s="1432">
        <f t="shared" si="21"/>
        <v>4.802941441178829E-2</v>
      </c>
      <c r="AA58" s="1432">
        <f t="shared" si="21"/>
        <v>4.7298897094685911E-2</v>
      </c>
      <c r="AB58" s="1432">
        <f t="shared" si="21"/>
        <v>11.484770345320273</v>
      </c>
    </row>
    <row r="59" spans="1:28" x14ac:dyDescent="0.45">
      <c r="A59" s="2000"/>
      <c r="B59" s="1953"/>
      <c r="C59" s="1968"/>
      <c r="D59" s="1968"/>
      <c r="E59" s="1968"/>
      <c r="F59" s="1968"/>
      <c r="G59" s="1968"/>
      <c r="H59" s="1968"/>
      <c r="I59" s="1968"/>
      <c r="J59" s="1968"/>
      <c r="K59" s="1968"/>
      <c r="L59" s="1968"/>
      <c r="M59" s="1968"/>
      <c r="N59" s="1968"/>
      <c r="O59" s="1968"/>
      <c r="P59" s="1968"/>
      <c r="Q59" s="1968"/>
      <c r="R59" s="1968"/>
      <c r="S59" s="1968"/>
      <c r="T59" s="1968"/>
      <c r="U59" s="1968"/>
      <c r="V59" s="1968"/>
      <c r="W59" s="1969"/>
      <c r="X59" s="1968"/>
      <c r="Y59" s="1968"/>
      <c r="Z59" s="1968"/>
      <c r="AA59" s="1968"/>
      <c r="AB59" s="1968"/>
    </row>
    <row r="60" spans="1:28" x14ac:dyDescent="0.45">
      <c r="A60" s="1427" t="s">
        <v>83</v>
      </c>
      <c r="B60" s="1953" t="s">
        <v>101</v>
      </c>
      <c r="C60" s="1968"/>
      <c r="D60" s="1968"/>
      <c r="E60" s="1968"/>
      <c r="F60" s="1968"/>
      <c r="G60" s="1968"/>
      <c r="H60" s="1968"/>
      <c r="I60" s="1968"/>
      <c r="J60" s="1968"/>
      <c r="K60" s="1968"/>
      <c r="L60" s="1968"/>
      <c r="M60" s="1968"/>
      <c r="N60" s="1968"/>
      <c r="O60" s="1968"/>
      <c r="P60" s="1968"/>
      <c r="Q60" s="1968"/>
      <c r="R60" s="1968"/>
      <c r="S60" s="1968"/>
      <c r="T60" s="1968"/>
      <c r="U60" s="1968"/>
      <c r="V60" s="1968"/>
      <c r="W60" s="1969"/>
      <c r="X60" s="1968"/>
      <c r="Y60" s="1968"/>
      <c r="Z60" s="1968"/>
      <c r="AA60" s="1968"/>
      <c r="AB60" s="1968"/>
    </row>
    <row r="61" spans="1:28" x14ac:dyDescent="0.45">
      <c r="A61" s="2018" t="s">
        <v>768</v>
      </c>
      <c r="B61" s="2019"/>
      <c r="C61" s="2022">
        <f>Tech_Specs_Infra!$I120</f>
        <v>47.25</v>
      </c>
      <c r="D61" s="2022">
        <f>Tech_Specs_Infra!$I120</f>
        <v>47.25</v>
      </c>
      <c r="E61" s="2022">
        <f>Tech_Specs_Infra!$I120</f>
        <v>47.25</v>
      </c>
      <c r="F61" s="2022">
        <f>Tech_Specs_Infra!$I120</f>
        <v>47.25</v>
      </c>
      <c r="G61" s="2022">
        <f>Tech_Specs_Infra!$I120</f>
        <v>47.25</v>
      </c>
      <c r="H61" s="2022">
        <f>Tech_Specs_Infra!$I120</f>
        <v>47.25</v>
      </c>
      <c r="I61" s="2022">
        <f>Tech_Specs_Infra!$I120</f>
        <v>47.25</v>
      </c>
      <c r="J61" s="2022">
        <f>Tech_Specs_Infra!$I120</f>
        <v>47.25</v>
      </c>
      <c r="K61" s="2022">
        <f>Tech_Specs_Infra!$I120</f>
        <v>47.25</v>
      </c>
      <c r="L61" s="2022">
        <f>Tech_Specs_Infra!$I120</f>
        <v>47.25</v>
      </c>
      <c r="M61" s="2022">
        <f>Tech_Specs_Infra!$I120</f>
        <v>47.25</v>
      </c>
      <c r="N61" s="2022">
        <f>Tech_Specs_Infra!$I120</f>
        <v>47.25</v>
      </c>
      <c r="O61" s="2022">
        <f>Tech_Specs_Infra!$I120</f>
        <v>47.25</v>
      </c>
      <c r="P61" s="2022">
        <f>Tech_Specs_Infra!$I120</f>
        <v>47.25</v>
      </c>
      <c r="Q61" s="2022">
        <f>Tech_Specs_Infra!$I120</f>
        <v>47.25</v>
      </c>
      <c r="R61" s="2022">
        <f>Tech_Specs_Infra!$I120</f>
        <v>47.25</v>
      </c>
      <c r="S61" s="2022">
        <f>Tech_Specs_Infra!$I120</f>
        <v>47.25</v>
      </c>
      <c r="T61" s="2022">
        <f>Tech_Specs_Infra!$I120</f>
        <v>47.25</v>
      </c>
      <c r="U61" s="2022">
        <f>Tech_Specs_Infra!$I120</f>
        <v>47.25</v>
      </c>
      <c r="V61" s="2022">
        <f>Tech_Specs_Infra!$I120</f>
        <v>47.25</v>
      </c>
      <c r="W61" s="2022">
        <f>Tech_Specs_Infra!$I120</f>
        <v>47.25</v>
      </c>
      <c r="X61" s="2022">
        <f>Tech_Specs_Infra!$I120</f>
        <v>47.25</v>
      </c>
      <c r="Y61" s="2022">
        <f>Tech_Specs_Infra!$I120</f>
        <v>47.25</v>
      </c>
      <c r="Z61" s="2022">
        <f>Tech_Specs_Infra!$I120</f>
        <v>47.25</v>
      </c>
      <c r="AA61" s="2022">
        <f>Tech_Specs_Infra!$I120</f>
        <v>47.25</v>
      </c>
      <c r="AB61" s="2022">
        <f>Tech_Specs_Infra!$I120</f>
        <v>47.25</v>
      </c>
    </row>
    <row r="62" spans="1:28" x14ac:dyDescent="0.45">
      <c r="A62" s="2018" t="s">
        <v>769</v>
      </c>
      <c r="B62" s="2019"/>
      <c r="C62" s="2022">
        <f>Tech_Specs_Infra!$I121</f>
        <v>1731.8663440531363</v>
      </c>
      <c r="D62" s="2022">
        <f>Tech_Specs_Infra!$I121</f>
        <v>1731.8663440531363</v>
      </c>
      <c r="E62" s="2022">
        <f>Tech_Specs_Infra!$I121</f>
        <v>1731.8663440531363</v>
      </c>
      <c r="F62" s="2022">
        <f>Tech_Specs_Infra!$I121</f>
        <v>1731.8663440531363</v>
      </c>
      <c r="G62" s="2022">
        <f>Tech_Specs_Infra!$I121</f>
        <v>1731.8663440531363</v>
      </c>
      <c r="H62" s="2022">
        <f>Tech_Specs_Infra!$I121</f>
        <v>1731.8663440531363</v>
      </c>
      <c r="I62" s="2022">
        <f>Tech_Specs_Infra!$I121</f>
        <v>1731.8663440531363</v>
      </c>
      <c r="J62" s="2022">
        <f>Tech_Specs_Infra!$I121</f>
        <v>1731.8663440531363</v>
      </c>
      <c r="K62" s="2022">
        <f>Tech_Specs_Infra!$I121</f>
        <v>1731.8663440531363</v>
      </c>
      <c r="L62" s="2022">
        <f>Tech_Specs_Infra!$I121</f>
        <v>1731.8663440531363</v>
      </c>
      <c r="M62" s="2022">
        <f>Tech_Specs_Infra!$I121</f>
        <v>1731.8663440531363</v>
      </c>
      <c r="N62" s="2022">
        <f>Tech_Specs_Infra!$I121</f>
        <v>1731.8663440531363</v>
      </c>
      <c r="O62" s="2022">
        <f>Tech_Specs_Infra!$I121</f>
        <v>1731.8663440531363</v>
      </c>
      <c r="P62" s="2022">
        <f>Tech_Specs_Infra!$I121</f>
        <v>1731.8663440531363</v>
      </c>
      <c r="Q62" s="2022">
        <f>Tech_Specs_Infra!$I121</f>
        <v>1731.8663440531363</v>
      </c>
      <c r="R62" s="2022">
        <f>Tech_Specs_Infra!$I121</f>
        <v>1731.8663440531363</v>
      </c>
      <c r="S62" s="2022">
        <f>Tech_Specs_Infra!$I121</f>
        <v>1731.8663440531363</v>
      </c>
      <c r="T62" s="2022">
        <f>Tech_Specs_Infra!$I121</f>
        <v>1731.8663440531363</v>
      </c>
      <c r="U62" s="2022">
        <f>Tech_Specs_Infra!$I121</f>
        <v>1731.8663440531363</v>
      </c>
      <c r="V62" s="2022">
        <f>Tech_Specs_Infra!$I121</f>
        <v>1731.8663440531363</v>
      </c>
      <c r="W62" s="2022">
        <f>Tech_Specs_Infra!$I121</f>
        <v>1731.8663440531363</v>
      </c>
      <c r="X62" s="2022">
        <f>Tech_Specs_Infra!$I121</f>
        <v>1731.8663440531363</v>
      </c>
      <c r="Y62" s="2022">
        <f>Tech_Specs_Infra!$I121</f>
        <v>1731.8663440531363</v>
      </c>
      <c r="Z62" s="2022">
        <f>Tech_Specs_Infra!$I121</f>
        <v>1731.8663440531363</v>
      </c>
      <c r="AA62" s="2022">
        <f>Tech_Specs_Infra!$I121</f>
        <v>1731.8663440531363</v>
      </c>
      <c r="AB62" s="2022">
        <f>Tech_Specs_Infra!$I121</f>
        <v>1731.8663440531363</v>
      </c>
    </row>
    <row r="63" spans="1:28" x14ac:dyDescent="0.45">
      <c r="A63" s="2018" t="s">
        <v>68</v>
      </c>
      <c r="B63" s="2019"/>
      <c r="C63" s="2022">
        <f>Tech_Specs_Infra!$I122</f>
        <v>2302.1493157612831</v>
      </c>
      <c r="D63" s="2022">
        <f>Tech_Specs_Infra!$I122</f>
        <v>2302.1493157612831</v>
      </c>
      <c r="E63" s="2022">
        <f>Tech_Specs_Infra!$I122</f>
        <v>2302.1493157612831</v>
      </c>
      <c r="F63" s="2022">
        <f>Tech_Specs_Infra!$I122</f>
        <v>2302.1493157612831</v>
      </c>
      <c r="G63" s="2022">
        <f>Tech_Specs_Infra!$I122</f>
        <v>2302.1493157612831</v>
      </c>
      <c r="H63" s="2022">
        <f>Tech_Specs_Infra!$I122</f>
        <v>2302.1493157612831</v>
      </c>
      <c r="I63" s="2022">
        <f>Tech_Specs_Infra!$I122</f>
        <v>2302.1493157612831</v>
      </c>
      <c r="J63" s="2022">
        <f>Tech_Specs_Infra!$I122</f>
        <v>2302.1493157612831</v>
      </c>
      <c r="K63" s="2022">
        <f>Tech_Specs_Infra!$I122</f>
        <v>2302.1493157612831</v>
      </c>
      <c r="L63" s="2022">
        <f>Tech_Specs_Infra!$I122</f>
        <v>2302.1493157612831</v>
      </c>
      <c r="M63" s="2022">
        <f>Tech_Specs_Infra!$I122</f>
        <v>2302.1493157612831</v>
      </c>
      <c r="N63" s="2022">
        <f>Tech_Specs_Infra!$I122</f>
        <v>2302.1493157612831</v>
      </c>
      <c r="O63" s="2022">
        <f>Tech_Specs_Infra!$I122</f>
        <v>2302.1493157612831</v>
      </c>
      <c r="P63" s="2022">
        <f>Tech_Specs_Infra!$I122</f>
        <v>2302.1493157612831</v>
      </c>
      <c r="Q63" s="2022">
        <f>Tech_Specs_Infra!$I122</f>
        <v>2302.1493157612831</v>
      </c>
      <c r="R63" s="2022">
        <f>Tech_Specs_Infra!$I122</f>
        <v>2302.1493157612831</v>
      </c>
      <c r="S63" s="2022">
        <f>Tech_Specs_Infra!$I122</f>
        <v>2302.1493157612831</v>
      </c>
      <c r="T63" s="2022">
        <f>Tech_Specs_Infra!$I122</f>
        <v>2302.1493157612831</v>
      </c>
      <c r="U63" s="2022">
        <f>Tech_Specs_Infra!$I122</f>
        <v>2302.1493157612831</v>
      </c>
      <c r="V63" s="2022">
        <f>Tech_Specs_Infra!$I122</f>
        <v>2302.1493157612831</v>
      </c>
      <c r="W63" s="2022">
        <f>Tech_Specs_Infra!$I122</f>
        <v>2302.1493157612831</v>
      </c>
      <c r="X63" s="2022">
        <f>Tech_Specs_Infra!$I122</f>
        <v>2302.1493157612831</v>
      </c>
      <c r="Y63" s="2022">
        <f>Tech_Specs_Infra!$I122</f>
        <v>2302.1493157612831</v>
      </c>
      <c r="Z63" s="2022">
        <f>Tech_Specs_Infra!$I122</f>
        <v>2302.1493157612831</v>
      </c>
      <c r="AA63" s="2022">
        <f>Tech_Specs_Infra!$I122</f>
        <v>2302.1493157612831</v>
      </c>
      <c r="AB63" s="2022">
        <f>Tech_Specs_Infra!$I122</f>
        <v>2302.1493157612831</v>
      </c>
    </row>
    <row r="64" spans="1:28" x14ac:dyDescent="0.45">
      <c r="A64" s="2018" t="s">
        <v>69</v>
      </c>
      <c r="B64" s="2019"/>
      <c r="C64" s="2022">
        <f>Tech_Specs_Infra!$I123</f>
        <v>1287.3398874743875</v>
      </c>
      <c r="D64" s="2022">
        <f>Tech_Specs_Infra!$I123</f>
        <v>1287.3398874743875</v>
      </c>
      <c r="E64" s="2022">
        <f>Tech_Specs_Infra!$I123</f>
        <v>1287.3398874743875</v>
      </c>
      <c r="F64" s="2022">
        <f>Tech_Specs_Infra!$I123</f>
        <v>1287.3398874743875</v>
      </c>
      <c r="G64" s="2022">
        <f>Tech_Specs_Infra!$I123</f>
        <v>1287.3398874743875</v>
      </c>
      <c r="H64" s="2022">
        <f>Tech_Specs_Infra!$I123</f>
        <v>1287.3398874743875</v>
      </c>
      <c r="I64" s="2022">
        <f>Tech_Specs_Infra!$I123</f>
        <v>1287.3398874743875</v>
      </c>
      <c r="J64" s="2022">
        <f>Tech_Specs_Infra!$I123</f>
        <v>1287.3398874743875</v>
      </c>
      <c r="K64" s="2022">
        <f>Tech_Specs_Infra!$I123</f>
        <v>1287.3398874743875</v>
      </c>
      <c r="L64" s="2022">
        <f>Tech_Specs_Infra!$I123</f>
        <v>1287.3398874743875</v>
      </c>
      <c r="M64" s="2022">
        <f>Tech_Specs_Infra!$I123</f>
        <v>1287.3398874743875</v>
      </c>
      <c r="N64" s="2022">
        <f>Tech_Specs_Infra!$I123</f>
        <v>1287.3398874743875</v>
      </c>
      <c r="O64" s="2022">
        <f>Tech_Specs_Infra!$I123</f>
        <v>1287.3398874743875</v>
      </c>
      <c r="P64" s="2022">
        <f>Tech_Specs_Infra!$I123</f>
        <v>1287.3398874743875</v>
      </c>
      <c r="Q64" s="2022">
        <f>Tech_Specs_Infra!$I123</f>
        <v>1287.3398874743875</v>
      </c>
      <c r="R64" s="2022">
        <f>Tech_Specs_Infra!$I123</f>
        <v>1287.3398874743875</v>
      </c>
      <c r="S64" s="2022">
        <f>Tech_Specs_Infra!$I123</f>
        <v>1287.3398874743875</v>
      </c>
      <c r="T64" s="2022">
        <f>Tech_Specs_Infra!$I123</f>
        <v>1287.3398874743875</v>
      </c>
      <c r="U64" s="2022">
        <f>Tech_Specs_Infra!$I123</f>
        <v>1287.3398874743875</v>
      </c>
      <c r="V64" s="2022">
        <f>Tech_Specs_Infra!$I123</f>
        <v>1287.3398874743875</v>
      </c>
      <c r="W64" s="2022">
        <f>Tech_Specs_Infra!$I123</f>
        <v>1287.3398874743875</v>
      </c>
      <c r="X64" s="2022">
        <f>Tech_Specs_Infra!$I123</f>
        <v>1287.3398874743875</v>
      </c>
      <c r="Y64" s="2022">
        <f>Tech_Specs_Infra!$I123</f>
        <v>1287.3398874743875</v>
      </c>
      <c r="Z64" s="2022">
        <f>Tech_Specs_Infra!$I123</f>
        <v>1287.3398874743875</v>
      </c>
      <c r="AA64" s="2022">
        <f>Tech_Specs_Infra!$I123</f>
        <v>1287.3398874743875</v>
      </c>
      <c r="AB64" s="2022">
        <f>Tech_Specs_Infra!$I123</f>
        <v>1287.3398874743875</v>
      </c>
    </row>
    <row r="65" spans="1:28" x14ac:dyDescent="0.45">
      <c r="A65" s="2000"/>
      <c r="B65" s="1953"/>
      <c r="C65" s="1968"/>
      <c r="D65" s="1968"/>
      <c r="E65" s="1968"/>
      <c r="F65" s="1968"/>
      <c r="G65" s="1968"/>
      <c r="H65" s="1968"/>
      <c r="I65" s="1968"/>
      <c r="J65" s="1968"/>
      <c r="K65" s="1968"/>
      <c r="L65" s="1968"/>
      <c r="M65" s="1968"/>
      <c r="N65" s="1968"/>
      <c r="O65" s="1968"/>
      <c r="P65" s="1968"/>
      <c r="Q65" s="1968"/>
      <c r="R65" s="1968"/>
      <c r="S65" s="1968"/>
      <c r="T65" s="1968"/>
      <c r="U65" s="1968"/>
      <c r="V65" s="1968"/>
      <c r="W65" s="1969"/>
      <c r="X65" s="1968"/>
      <c r="Y65" s="1968"/>
      <c r="Z65" s="1968"/>
      <c r="AA65" s="1968"/>
      <c r="AB65" s="1968"/>
    </row>
    <row r="66" spans="1:28" ht="42.75" x14ac:dyDescent="0.45">
      <c r="A66" s="1427" t="s">
        <v>1119</v>
      </c>
      <c r="B66" s="1953" t="s">
        <v>1120</v>
      </c>
      <c r="C66" s="1968"/>
      <c r="D66" s="1968"/>
      <c r="E66" s="1968"/>
      <c r="F66" s="1968"/>
      <c r="G66" s="1968"/>
      <c r="H66" s="1968"/>
      <c r="I66" s="1968"/>
      <c r="J66" s="1968"/>
      <c r="K66" s="1968"/>
      <c r="L66" s="1968"/>
      <c r="M66" s="1968"/>
      <c r="N66" s="1968"/>
      <c r="O66" s="1968"/>
      <c r="P66" s="1968"/>
      <c r="Q66" s="1968"/>
      <c r="R66" s="1968"/>
      <c r="S66" s="1968"/>
      <c r="T66" s="1968"/>
      <c r="U66" s="1968"/>
      <c r="V66" s="1968"/>
      <c r="W66" s="1969"/>
      <c r="X66" s="1968"/>
      <c r="Y66" s="1968"/>
      <c r="Z66" s="1968"/>
      <c r="AA66" s="1968"/>
      <c r="AB66" s="1968"/>
    </row>
    <row r="67" spans="1:28" x14ac:dyDescent="0.45">
      <c r="A67" s="2023" t="s">
        <v>1108</v>
      </c>
      <c r="B67" s="1947"/>
      <c r="C67" s="2024">
        <f t="shared" ref="C67:AB67" si="22">(C61*C13+C62*C14+C63*(1-C35)*C15+C64*C35*C15)*1000/10^3</f>
        <v>368272.27207396086</v>
      </c>
      <c r="D67" s="2024">
        <f t="shared" si="22"/>
        <v>368272.27207396086</v>
      </c>
      <c r="E67" s="2024">
        <f t="shared" si="22"/>
        <v>368272.27207396086</v>
      </c>
      <c r="F67" s="2024">
        <f t="shared" si="22"/>
        <v>368272.27207396086</v>
      </c>
      <c r="G67" s="2024">
        <f t="shared" si="22"/>
        <v>368272.27207396086</v>
      </c>
      <c r="H67" s="2024">
        <f t="shared" si="22"/>
        <v>368272.27207396086</v>
      </c>
      <c r="I67" s="2024">
        <f t="shared" si="22"/>
        <v>368272.27207396086</v>
      </c>
      <c r="J67" s="2024">
        <f t="shared" si="22"/>
        <v>368272.27207396086</v>
      </c>
      <c r="K67" s="2024">
        <f t="shared" si="22"/>
        <v>368272.27207396086</v>
      </c>
      <c r="L67" s="2024">
        <f t="shared" si="22"/>
        <v>368272.27207396086</v>
      </c>
      <c r="M67" s="2024">
        <f t="shared" si="22"/>
        <v>368272.27207396086</v>
      </c>
      <c r="N67" s="2024">
        <f t="shared" si="22"/>
        <v>368272.27207396086</v>
      </c>
      <c r="O67" s="2024">
        <f t="shared" si="22"/>
        <v>368272.27207396086</v>
      </c>
      <c r="P67" s="2024">
        <f t="shared" si="22"/>
        <v>368272.27207396086</v>
      </c>
      <c r="Q67" s="2024">
        <f t="shared" si="22"/>
        <v>368272.27207396086</v>
      </c>
      <c r="R67" s="2024">
        <f t="shared" si="22"/>
        <v>368272.27207396086</v>
      </c>
      <c r="S67" s="2024">
        <f t="shared" si="22"/>
        <v>368272.27207396086</v>
      </c>
      <c r="T67" s="2024">
        <f t="shared" si="22"/>
        <v>368272.27207396086</v>
      </c>
      <c r="U67" s="2024">
        <f>(U61*U13+U62*U14+U63*(1-U35)*U15+U64*U35*U15)*1000/10^3</f>
        <v>368272.27207396086</v>
      </c>
      <c r="V67" s="2024">
        <f>(V61*V13+V62*V14+V63*(1-V35)*V15+V64*V35*V15)*1000/10^3</f>
        <v>368272.27207396086</v>
      </c>
      <c r="W67" s="2024">
        <f>(W61*W13+W62*W14+W63*(1-W35)*W15+W64*W35*W15)*1000/10^3</f>
        <v>368272.27207396086</v>
      </c>
      <c r="X67" s="2024">
        <f t="shared" si="22"/>
        <v>418070.98946548853</v>
      </c>
      <c r="Y67" s="2024">
        <f t="shared" si="22"/>
        <v>418070.98946548853</v>
      </c>
      <c r="Z67" s="2024">
        <f t="shared" si="22"/>
        <v>368272.27207396086</v>
      </c>
      <c r="AA67" s="2024">
        <f t="shared" si="22"/>
        <v>368272.27207396086</v>
      </c>
      <c r="AB67" s="2024">
        <f t="shared" si="22"/>
        <v>6304184.2310593054</v>
      </c>
    </row>
    <row r="68" spans="1:28" x14ac:dyDescent="0.45">
      <c r="A68" s="2023" t="s">
        <v>1109</v>
      </c>
      <c r="B68" s="1947"/>
      <c r="C68" s="2024">
        <f t="shared" ref="C68:AB68" si="23">(C61*C18+C62*C19+C63*(1-C35)*C20+C64*C35*C20)*1000/10^3</f>
        <v>0</v>
      </c>
      <c r="D68" s="2024">
        <f t="shared" si="23"/>
        <v>0</v>
      </c>
      <c r="E68" s="2024">
        <f t="shared" si="23"/>
        <v>0</v>
      </c>
      <c r="F68" s="2024">
        <f t="shared" si="23"/>
        <v>0</v>
      </c>
      <c r="G68" s="2024">
        <f t="shared" si="23"/>
        <v>0</v>
      </c>
      <c r="H68" s="2024">
        <f t="shared" si="23"/>
        <v>0</v>
      </c>
      <c r="I68" s="2024">
        <f t="shared" si="23"/>
        <v>0</v>
      </c>
      <c r="J68" s="2024">
        <f t="shared" si="23"/>
        <v>0</v>
      </c>
      <c r="K68" s="2024">
        <f t="shared" si="23"/>
        <v>0</v>
      </c>
      <c r="L68" s="2024">
        <f t="shared" si="23"/>
        <v>0</v>
      </c>
      <c r="M68" s="2024">
        <f t="shared" si="23"/>
        <v>368272.27207396086</v>
      </c>
      <c r="N68" s="2024">
        <f t="shared" si="23"/>
        <v>368272.27207396086</v>
      </c>
      <c r="O68" s="2024">
        <f t="shared" si="23"/>
        <v>368272.27207396086</v>
      </c>
      <c r="P68" s="2024">
        <f t="shared" si="23"/>
        <v>368272.27207396086</v>
      </c>
      <c r="Q68" s="2024">
        <f t="shared" si="23"/>
        <v>368272.27207396086</v>
      </c>
      <c r="R68" s="2024">
        <f t="shared" si="23"/>
        <v>368272.27207396086</v>
      </c>
      <c r="S68" s="2024">
        <f t="shared" si="23"/>
        <v>368272.27207396086</v>
      </c>
      <c r="T68" s="2024">
        <f t="shared" si="23"/>
        <v>368272.27207396086</v>
      </c>
      <c r="U68" s="2024">
        <f>(U61*U18+U62*U19+U63*(1-U35)*U20+U64*U35*U20)*1000/10^3</f>
        <v>368272.27207396086</v>
      </c>
      <c r="V68" s="2024">
        <f>(V61*V18+V62*V19+V63*(1-V35)*V20+V64*V35*V20)*1000/10^3</f>
        <v>368272.27207396086</v>
      </c>
      <c r="W68" s="2024">
        <f>(W61*W18+W62*W19+W63*(1-W35)*W20+W64*W35*W20)*1000/10^3</f>
        <v>368272.27207396086</v>
      </c>
      <c r="X68" s="2024">
        <f t="shared" si="23"/>
        <v>368272.27207396086</v>
      </c>
      <c r="Y68" s="2024">
        <f t="shared" si="23"/>
        <v>368272.27207396086</v>
      </c>
      <c r="Z68" s="2024">
        <f t="shared" si="23"/>
        <v>0</v>
      </c>
      <c r="AA68" s="2024">
        <f t="shared" si="23"/>
        <v>0</v>
      </c>
      <c r="AB68" s="2024">
        <f t="shared" si="23"/>
        <v>0</v>
      </c>
    </row>
    <row r="69" spans="1:28" x14ac:dyDescent="0.45">
      <c r="A69" s="2000"/>
      <c r="B69" s="1953"/>
      <c r="C69" s="1968"/>
      <c r="D69" s="1968"/>
      <c r="E69" s="1968"/>
      <c r="F69" s="1968"/>
      <c r="G69" s="1968"/>
      <c r="H69" s="1968"/>
      <c r="I69" s="1968"/>
      <c r="J69" s="1968"/>
      <c r="K69" s="1968"/>
      <c r="L69" s="1968"/>
      <c r="M69" s="1968"/>
      <c r="N69" s="1968"/>
      <c r="O69" s="1968"/>
      <c r="P69" s="1968"/>
      <c r="Q69" s="1968"/>
      <c r="R69" s="1968"/>
      <c r="S69" s="1968"/>
      <c r="T69" s="1968"/>
      <c r="U69" s="1968"/>
      <c r="V69" s="1968"/>
      <c r="W69" s="1968"/>
      <c r="X69" s="1968"/>
      <c r="Y69" s="1968"/>
      <c r="Z69" s="1968"/>
      <c r="AA69" s="1968"/>
      <c r="AB69" s="1968"/>
    </row>
    <row r="70" spans="1:28" x14ac:dyDescent="0.45">
      <c r="A70" s="1427" t="s">
        <v>1121</v>
      </c>
      <c r="B70" s="1953"/>
      <c r="C70" s="1968"/>
      <c r="D70" s="1968"/>
      <c r="E70" s="1968"/>
      <c r="F70" s="1968"/>
      <c r="G70" s="1968"/>
      <c r="H70" s="1968"/>
      <c r="I70" s="1968"/>
      <c r="J70" s="1968"/>
      <c r="K70" s="1968"/>
      <c r="L70" s="1968"/>
      <c r="M70" s="1968"/>
      <c r="N70" s="1968"/>
      <c r="O70" s="1968"/>
      <c r="P70" s="1968"/>
      <c r="Q70" s="1968"/>
      <c r="R70" s="1968"/>
      <c r="S70" s="1968"/>
      <c r="T70" s="1968"/>
      <c r="U70" s="1968"/>
      <c r="V70" s="1968"/>
      <c r="W70" s="1968"/>
      <c r="X70" s="1968"/>
      <c r="Y70" s="1968"/>
      <c r="Z70" s="1968"/>
      <c r="AA70" s="1968"/>
      <c r="AB70" s="1968"/>
    </row>
    <row r="71" spans="1:28" x14ac:dyDescent="0.45">
      <c r="A71" s="2018" t="s">
        <v>1108</v>
      </c>
      <c r="B71" s="2019"/>
      <c r="C71" s="2022">
        <f>IFERROR(VLOOKUP(C$7,Tech_Specs_Infra!$A$22:$B$28,COLUMN(Tech_Specs_Infra!$B$21)-COLUMN(Tech_Specs_Infra!$A$21)+1,FALSE),0)/SUM(IFERROR(VLOOKUP(C$7,Tech_Specs_Infra!$A$22:$B$28,COLUMN(Tech_Specs_Infra!$B$21)-COLUMN(Tech_Specs_Infra!$A$21)+1,FALSE),0),(1-IFERROR(VLOOKUP(C$7,Tech_Specs_Infra!$A$22:$B$28,COLUMN(Tech_Specs_Infra!$B$21)-COLUMN(Tech_Specs_Infra!$A$21)+1,FALSE),0))*'Base variables computation'!C$14/'Base variables computation'!$X$14)</f>
        <v>0.96391901572180827</v>
      </c>
      <c r="D71" s="2022">
        <f>IFERROR(VLOOKUP(D$7,Tech_Specs_Infra!$A$22:$B$28,COLUMN(Tech_Specs_Infra!$B$21)-COLUMN(Tech_Specs_Infra!$A$21)+1,FALSE),0)/SUM(IFERROR(VLOOKUP(D$7,Tech_Specs_Infra!$A$22:$B$28,COLUMN(Tech_Specs_Infra!$B$21)-COLUMN(Tech_Specs_Infra!$A$21)+1,FALSE),0),(1-IFERROR(VLOOKUP(D$7,Tech_Specs_Infra!$A$22:$B$28,COLUMN(Tech_Specs_Infra!$B$21)-COLUMN(Tech_Specs_Infra!$A$21)+1,FALSE),0))*'Base variables computation'!D$14/'Base variables computation'!$X$14)</f>
        <v>0.9694662374219023</v>
      </c>
      <c r="E71" s="2022">
        <f>IFERROR(VLOOKUP(E$7,Tech_Specs_Infra!$A$22:$B$28,COLUMN(Tech_Specs_Infra!$B$21)-COLUMN(Tech_Specs_Infra!$A$21)+1,FALSE),0)/SUM(IFERROR(VLOOKUP(E$7,Tech_Specs_Infra!$A$22:$B$28,COLUMN(Tech_Specs_Infra!$B$21)-COLUMN(Tech_Specs_Infra!$A$21)+1,FALSE),0),(1-IFERROR(VLOOKUP(E$7,Tech_Specs_Infra!$A$22:$B$28,COLUMN(Tech_Specs_Infra!$B$21)-COLUMN(Tech_Specs_Infra!$A$21)+1,FALSE),0))*'Base variables computation'!E$14/'Base variables computation'!$X$14)</f>
        <v>0.96202569749998745</v>
      </c>
      <c r="F71" s="2022">
        <f>IFERROR(VLOOKUP(F$7,Tech_Specs_Infra!$A$22:$B$28,COLUMN(Tech_Specs_Infra!$B$21)-COLUMN(Tech_Specs_Infra!$A$21)+1,FALSE),0)/SUM(IFERROR(VLOOKUP(F$7,Tech_Specs_Infra!$A$22:$B$28,COLUMN(Tech_Specs_Infra!$B$21)-COLUMN(Tech_Specs_Infra!$A$21)+1,FALSE),0),(1-IFERROR(VLOOKUP(F$7,Tech_Specs_Infra!$A$22:$B$28,COLUMN(Tech_Specs_Infra!$B$21)-COLUMN(Tech_Specs_Infra!$A$21)+1,FALSE),0))*'Base variables computation'!F$14/'Base variables computation'!$X$14)</f>
        <v>0.96957285701644602</v>
      </c>
      <c r="G71" s="2022">
        <f>IFERROR(VLOOKUP(G$7,Tech_Specs_Infra!$A$22:$B$28,COLUMN(Tech_Specs_Infra!$B$21)-COLUMN(Tech_Specs_Infra!$A$21)+1,FALSE),0)/SUM(IFERROR(VLOOKUP(G$7,Tech_Specs_Infra!$A$22:$B$28,COLUMN(Tech_Specs_Infra!$B$21)-COLUMN(Tech_Specs_Infra!$A$21)+1,FALSE),0),(1-IFERROR(VLOOKUP(G$7,Tech_Specs_Infra!$A$22:$B$28,COLUMN(Tech_Specs_Infra!$B$21)-COLUMN(Tech_Specs_Infra!$A$21)+1,FALSE),0))*'Base variables computation'!G$14/'Base variables computation'!$X$14)</f>
        <v>0.96391901572180827</v>
      </c>
      <c r="H71" s="2022">
        <f>IFERROR(VLOOKUP(H$7,Tech_Specs_Infra!$A$22:$B$28,COLUMN(Tech_Specs_Infra!$B$21)-COLUMN(Tech_Specs_Infra!$A$21)+1,FALSE),0)/SUM(IFERROR(VLOOKUP(H$7,Tech_Specs_Infra!$A$22:$B$28,COLUMN(Tech_Specs_Infra!$B$21)-COLUMN(Tech_Specs_Infra!$A$21)+1,FALSE),0),(1-IFERROR(VLOOKUP(H$7,Tech_Specs_Infra!$A$22:$B$28,COLUMN(Tech_Specs_Infra!$B$21)-COLUMN(Tech_Specs_Infra!$A$21)+1,FALSE),0))*'Base variables computation'!H$14/'Base variables computation'!$X$14)</f>
        <v>0.9694662374219023</v>
      </c>
      <c r="I71" s="2022">
        <f>IFERROR(VLOOKUP(I$7,Tech_Specs_Infra!$A$22:$B$28,COLUMN(Tech_Specs_Infra!$B$21)-COLUMN(Tech_Specs_Infra!$A$21)+1,FALSE),0)/SUM(IFERROR(VLOOKUP(I$7,Tech_Specs_Infra!$A$22:$B$28,COLUMN(Tech_Specs_Infra!$B$21)-COLUMN(Tech_Specs_Infra!$A$21)+1,FALSE),0),(1-IFERROR(VLOOKUP(I$7,Tech_Specs_Infra!$A$22:$B$28,COLUMN(Tech_Specs_Infra!$B$21)-COLUMN(Tech_Specs_Infra!$A$21)+1,FALSE),0))*'Base variables computation'!I$14/'Base variables computation'!$X$14)</f>
        <v>0.96202569749998745</v>
      </c>
      <c r="J71" s="2022">
        <f>IFERROR(VLOOKUP(J$7,Tech_Specs_Infra!$A$22:$B$28,COLUMN(Tech_Specs_Infra!$B$21)-COLUMN(Tech_Specs_Infra!$A$21)+1,FALSE),0)/SUM(IFERROR(VLOOKUP(J$7,Tech_Specs_Infra!$A$22:$B$28,COLUMN(Tech_Specs_Infra!$B$21)-COLUMN(Tech_Specs_Infra!$A$21)+1,FALSE),0),(1-IFERROR(VLOOKUP(J$7,Tech_Specs_Infra!$A$22:$B$28,COLUMN(Tech_Specs_Infra!$B$21)-COLUMN(Tech_Specs_Infra!$A$21)+1,FALSE),0))*'Base variables computation'!J$14/'Base variables computation'!$X$14)</f>
        <v>0.96957285701644602</v>
      </c>
      <c r="K71" s="2022">
        <f>IFERROR(VLOOKUP(K$7,Tech_Specs_Infra!$A$22:$B$28,COLUMN(Tech_Specs_Infra!$B$21)-COLUMN(Tech_Specs_Infra!$A$21)+1,FALSE),0)/SUM(IFERROR(VLOOKUP(K$7,Tech_Specs_Infra!$A$22:$B$28,COLUMN(Tech_Specs_Infra!$B$21)-COLUMN(Tech_Specs_Infra!$A$21)+1,FALSE),0),(1-IFERROR(VLOOKUP(K$7,Tech_Specs_Infra!$A$22:$B$28,COLUMN(Tech_Specs_Infra!$B$21)-COLUMN(Tech_Specs_Infra!$A$21)+1,FALSE),0))*'Base variables computation'!K$14/'Base variables computation'!$X$14)</f>
        <v>0.88313183649971216</v>
      </c>
      <c r="L71" s="2022">
        <f>IFERROR(VLOOKUP(L$7,Tech_Specs_Infra!$A$22:$B$28,COLUMN(Tech_Specs_Infra!$B$21)-COLUMN(Tech_Specs_Infra!$A$21)+1,FALSE),0)/SUM(IFERROR(VLOOKUP(L$7,Tech_Specs_Infra!$A$22:$B$28,COLUMN(Tech_Specs_Infra!$B$21)-COLUMN(Tech_Specs_Infra!$A$21)+1,FALSE),0),(1-IFERROR(VLOOKUP(L$7,Tech_Specs_Infra!$A$22:$B$28,COLUMN(Tech_Specs_Infra!$B$21)-COLUMN(Tech_Specs_Infra!$A$21)+1,FALSE),0))*'Base variables computation'!L$14/'Base variables computation'!$X$14)</f>
        <v>0.89812646370023419</v>
      </c>
      <c r="M71" s="2022">
        <f>IFERROR(VLOOKUP(M$7,Tech_Specs_Infra!$A$22:$B$28,COLUMN(Tech_Specs_Infra!$B$21)-COLUMN(Tech_Specs_Infra!$A$21)+1,FALSE),0)/SUM(IFERROR(VLOOKUP(M$7,Tech_Specs_Infra!$A$22:$B$28,COLUMN(Tech_Specs_Infra!$B$21)-COLUMN(Tech_Specs_Infra!$A$21)+1,FALSE),0),(1-IFERROR(VLOOKUP(M$7,Tech_Specs_Infra!$A$22:$B$28,COLUMN(Tech_Specs_Infra!$B$21)-COLUMN(Tech_Specs_Infra!$A$21)+1,FALSE),0))*'Base variables computation'!M$14/'Base variables computation'!$X$14)</f>
        <v>0.2798810414348008</v>
      </c>
      <c r="N71" s="2022">
        <f>IFERROR(VLOOKUP(N$7,Tech_Specs_Infra!$A$22:$B$28,COLUMN(Tech_Specs_Infra!$B$21)-COLUMN(Tech_Specs_Infra!$A$21)+1,FALSE),0)/SUM(IFERROR(VLOOKUP(N$7,Tech_Specs_Infra!$A$22:$B$28,COLUMN(Tech_Specs_Infra!$B$21)-COLUMN(Tech_Specs_Infra!$A$21)+1,FALSE),0),(1-IFERROR(VLOOKUP(N$7,Tech_Specs_Infra!$A$22:$B$28,COLUMN(Tech_Specs_Infra!$B$21)-COLUMN(Tech_Specs_Infra!$A$21)+1,FALSE),0))*'Base variables computation'!N$14/'Base variables computation'!$X$14)</f>
        <v>0.20999315537303215</v>
      </c>
      <c r="O71" s="2022">
        <f>IFERROR(VLOOKUP(O$7,Tech_Specs_Infra!$A$22:$B$28,COLUMN(Tech_Specs_Infra!$B$21)-COLUMN(Tech_Specs_Infra!$A$21)+1,FALSE),0)/SUM(IFERROR(VLOOKUP(O$7,Tech_Specs_Infra!$A$22:$B$28,COLUMN(Tech_Specs_Infra!$B$21)-COLUMN(Tech_Specs_Infra!$A$21)+1,FALSE),0),(1-IFERROR(VLOOKUP(O$7,Tech_Specs_Infra!$A$22:$B$28,COLUMN(Tech_Specs_Infra!$B$21)-COLUMN(Tech_Specs_Infra!$A$21)+1,FALSE),0))*'Base variables computation'!O$14/'Base variables computation'!$X$14)</f>
        <v>0.2798810414348008</v>
      </c>
      <c r="P71" s="2022">
        <f>IFERROR(VLOOKUP(P$7,Tech_Specs_Infra!$A$22:$B$28,COLUMN(Tech_Specs_Infra!$B$21)-COLUMN(Tech_Specs_Infra!$A$21)+1,FALSE),0)/SUM(IFERROR(VLOOKUP(P$7,Tech_Specs_Infra!$A$22:$B$28,COLUMN(Tech_Specs_Infra!$B$21)-COLUMN(Tech_Specs_Infra!$A$21)+1,FALSE),0),(1-IFERROR(VLOOKUP(P$7,Tech_Specs_Infra!$A$22:$B$28,COLUMN(Tech_Specs_Infra!$B$21)-COLUMN(Tech_Specs_Infra!$A$21)+1,FALSE),0))*'Base variables computation'!P$14/'Base variables computation'!$X$14)</f>
        <v>0.20999315537303215</v>
      </c>
      <c r="Q71" s="2022">
        <f>IFERROR(VLOOKUP(Q$7,Tech_Specs_Infra!$A$22:$B$28,COLUMN(Tech_Specs_Infra!$B$21)-COLUMN(Tech_Specs_Infra!$A$21)+1,FALSE),0)/SUM(IFERROR(VLOOKUP(Q$7,Tech_Specs_Infra!$A$22:$B$28,COLUMN(Tech_Specs_Infra!$B$21)-COLUMN(Tech_Specs_Infra!$A$21)+1,FALSE),0),(1-IFERROR(VLOOKUP(Q$7,Tech_Specs_Infra!$A$22:$B$28,COLUMN(Tech_Specs_Infra!$B$21)-COLUMN(Tech_Specs_Infra!$A$21)+1,FALSE),0))*'Base variables computation'!Q$14/'Base variables computation'!$X$14)</f>
        <v>0.23731435643564353</v>
      </c>
      <c r="R71" s="2022">
        <f>IFERROR(VLOOKUP(R$7,Tech_Specs_Infra!$A$22:$B$28,COLUMN(Tech_Specs_Infra!$B$21)-COLUMN(Tech_Specs_Infra!$A$21)+1,FALSE),0)/SUM(IFERROR(VLOOKUP(R$7,Tech_Specs_Infra!$A$22:$B$28,COLUMN(Tech_Specs_Infra!$B$21)-COLUMN(Tech_Specs_Infra!$A$21)+1,FALSE),0),(1-IFERROR(VLOOKUP(R$7,Tech_Specs_Infra!$A$22:$B$28,COLUMN(Tech_Specs_Infra!$B$21)-COLUMN(Tech_Specs_Infra!$A$21)+1,FALSE),0))*'Base variables computation'!R$14/'Base variables computation'!$X$14)</f>
        <v>0.1967171069505001</v>
      </c>
      <c r="S71" s="2022">
        <f>IFERROR(VLOOKUP(S$7,Tech_Specs_Infra!$A$22:$B$28,COLUMN(Tech_Specs_Infra!$B$21)-COLUMN(Tech_Specs_Infra!$A$21)+1,FALSE),0)/SUM(IFERROR(VLOOKUP(S$7,Tech_Specs_Infra!$A$22:$B$28,COLUMN(Tech_Specs_Infra!$B$21)-COLUMN(Tech_Specs_Infra!$A$21)+1,FALSE),0),(1-IFERROR(VLOOKUP(S$7,Tech_Specs_Infra!$A$22:$B$28,COLUMN(Tech_Specs_Infra!$B$21)-COLUMN(Tech_Specs_Infra!$A$21)+1,FALSE),0))*'Base variables computation'!S$14/'Base variables computation'!$X$14)</f>
        <v>0.23731435643564353</v>
      </c>
      <c r="T71" s="2022">
        <f>IFERROR(VLOOKUP(T$7,Tech_Specs_Infra!$A$22:$B$28,COLUMN(Tech_Specs_Infra!$B$21)-COLUMN(Tech_Specs_Infra!$A$21)+1,FALSE),0)/SUM(IFERROR(VLOOKUP(T$7,Tech_Specs_Infra!$A$22:$B$28,COLUMN(Tech_Specs_Infra!$B$21)-COLUMN(Tech_Specs_Infra!$A$21)+1,FALSE),0),(1-IFERROR(VLOOKUP(T$7,Tech_Specs_Infra!$A$22:$B$28,COLUMN(Tech_Specs_Infra!$B$21)-COLUMN(Tech_Specs_Infra!$A$21)+1,FALSE),0))*'Base variables computation'!T$14/'Base variables computation'!$X$14)</f>
        <v>0.1967171069505001</v>
      </c>
      <c r="U71" s="2022">
        <f>IFERROR(VLOOKUP(U$7,Tech_Specs_Infra!$A$22:$B$28,COLUMN(Tech_Specs_Infra!$B$21)-COLUMN(Tech_Specs_Infra!$A$21)+1,FALSE),0)/SUM(IFERROR(VLOOKUP(U$7,Tech_Specs_Infra!$A$22:$B$28,COLUMN(Tech_Specs_Infra!$B$21)-COLUMN(Tech_Specs_Infra!$A$21)+1,FALSE),0),(1-IFERROR(VLOOKUP(U$7,Tech_Specs_Infra!$A$22:$B$28,COLUMN(Tech_Specs_Infra!$B$21)-COLUMN(Tech_Specs_Infra!$A$21)+1,FALSE),0))*'Base variables computation'!U$14/'Base variables computation'!$X$14)</f>
        <v>0.20999315537303215</v>
      </c>
      <c r="V71" s="2022">
        <f>IFERROR(VLOOKUP(V$7,Tech_Specs_Infra!$A$22:$B$28,COLUMN(Tech_Specs_Infra!$B$21)-COLUMN(Tech_Specs_Infra!$A$21)+1,FALSE),0)/SUM(IFERROR(VLOOKUP(V$7,Tech_Specs_Infra!$A$22:$B$28,COLUMN(Tech_Specs_Infra!$B$21)-COLUMN(Tech_Specs_Infra!$A$21)+1,FALSE),0),(1-IFERROR(VLOOKUP(V$7,Tech_Specs_Infra!$A$22:$B$28,COLUMN(Tech_Specs_Infra!$B$21)-COLUMN(Tech_Specs_Infra!$A$21)+1,FALSE),0))*'Base variables computation'!V$14/'Base variables computation'!$X$14)</f>
        <v>0.1967171069505001</v>
      </c>
      <c r="W71" s="2022">
        <f>IFERROR(VLOOKUP(W$7,Tech_Specs_Infra!$A$22:$B$28,COLUMN(Tech_Specs_Infra!$B$21)-COLUMN(Tech_Specs_Infra!$A$21)+1,FALSE),0)/SUM(IFERROR(VLOOKUP(W$7,Tech_Specs_Infra!$A$22:$B$28,COLUMN(Tech_Specs_Infra!$B$21)-COLUMN(Tech_Specs_Infra!$A$21)+1,FALSE),0),(1-IFERROR(VLOOKUP(W$7,Tech_Specs_Infra!$A$22:$B$28,COLUMN(Tech_Specs_Infra!$B$21)-COLUMN(Tech_Specs_Infra!$A$21)+1,FALSE),0))*'Base variables computation'!W$14/'Base variables computation'!$X$14)</f>
        <v>0.20999315537303215</v>
      </c>
      <c r="X71" s="2022">
        <f>IFERROR(VLOOKUP(X$7,Tech_Specs_Infra!$A$22:$B$28,COLUMN(Tech_Specs_Infra!$B$21)-COLUMN(Tech_Specs_Infra!$A$21)+1,FALSE),0)/SUM(IFERROR(VLOOKUP(X$7,Tech_Specs_Infra!$A$22:$B$28,COLUMN(Tech_Specs_Infra!$B$21)-COLUMN(Tech_Specs_Infra!$A$21)+1,FALSE),0),(1-IFERROR(VLOOKUP(X$7,Tech_Specs_Infra!$A$22:$B$28,COLUMN(Tech_Specs_Infra!$B$21)-COLUMN(Tech_Specs_Infra!$A$21)+1,FALSE),0))*'Base variables computation'!X$14/'Base variables computation'!$X$14)</f>
        <v>0.67045454545454541</v>
      </c>
      <c r="Y71" s="2022">
        <f>IFERROR(VLOOKUP(Y$7,Tech_Specs_Infra!$A$22:$B$28,COLUMN(Tech_Specs_Infra!$B$21)-COLUMN(Tech_Specs_Infra!$A$21)+1,FALSE),0)/SUM(IFERROR(VLOOKUP(Y$7,Tech_Specs_Infra!$A$22:$B$28,COLUMN(Tech_Specs_Infra!$B$21)-COLUMN(Tech_Specs_Infra!$A$21)+1,FALSE),0),(1-IFERROR(VLOOKUP(Y$7,Tech_Specs_Infra!$A$22:$B$28,COLUMN(Tech_Specs_Infra!$B$21)-COLUMN(Tech_Specs_Infra!$A$21)+1,FALSE),0))*'Base variables computation'!Y$14/'Base variables computation'!$X$14)</f>
        <v>0.68080951535593826</v>
      </c>
      <c r="Z71" s="2022">
        <f>IFERROR(VLOOKUP(Z$7,Tech_Specs_Infra!$A$22:$B$28,COLUMN(Tech_Specs_Infra!$B$21)-COLUMN(Tech_Specs_Infra!$A$21)+1,FALSE),0)/SUM(IFERROR(VLOOKUP(Z$7,Tech_Specs_Infra!$A$22:$B$28,COLUMN(Tech_Specs_Infra!$B$21)-COLUMN(Tech_Specs_Infra!$A$21)+1,FALSE),0),(1-IFERROR(VLOOKUP(Z$7,Tech_Specs_Infra!$A$22:$B$28,COLUMN(Tech_Specs_Infra!$B$21)-COLUMN(Tech_Specs_Infra!$A$21)+1,FALSE),0))*'Base variables computation'!Z$14/'Base variables computation'!$X$14)</f>
        <v>0.67045454545454541</v>
      </c>
      <c r="AA71" s="2022">
        <f>IFERROR(VLOOKUP(AA$7,Tech_Specs_Infra!$A$22:$B$28,COLUMN(Tech_Specs_Infra!$B$21)-COLUMN(Tech_Specs_Infra!$A$21)+1,FALSE),0)/SUM(IFERROR(VLOOKUP(AA$7,Tech_Specs_Infra!$A$22:$B$28,COLUMN(Tech_Specs_Infra!$B$21)-COLUMN(Tech_Specs_Infra!$A$21)+1,FALSE),0),(1-IFERROR(VLOOKUP(AA$7,Tech_Specs_Infra!$A$22:$B$28,COLUMN(Tech_Specs_Infra!$B$21)-COLUMN(Tech_Specs_Infra!$A$21)+1,FALSE),0))*'Base variables computation'!AA$14/'Base variables computation'!$X$14)</f>
        <v>0.68080951535593826</v>
      </c>
      <c r="AB71" s="2022">
        <f>IFERROR(VLOOKUP(AB7,Tech_Specs_Infra!$A$22:$B$28,COLUMN(Tech_Specs_Infra!$B$21)-COLUMN(Tech_Specs_Infra!$A$21)+1,FALSE),0)</f>
        <v>0.57999999999999996</v>
      </c>
    </row>
    <row r="72" spans="1:28" x14ac:dyDescent="0.45">
      <c r="A72" s="2018" t="s">
        <v>1109</v>
      </c>
      <c r="B72" s="2019"/>
      <c r="C72" s="2022">
        <f>IFERROR(VLOOKUP(C$8,Tech_Specs_Infra!$A$22:$B$28,COLUMN(Tech_Specs_Infra!$B$21)-COLUMN(Tech_Specs_Infra!$A$21)+1,FALSE),0)/SUM(IFERROR(VLOOKUP(C$8,Tech_Specs_Infra!$A$22:$B$28,COLUMN(Tech_Specs_Infra!$B$21)-COLUMN(Tech_Specs_Infra!$A$21)+1,FALSE),0),(1-IFERROR(VLOOKUP(C$8,Tech_Specs_Infra!$A$22:$B$28,COLUMN(Tech_Specs_Infra!$B$21)-COLUMN(Tech_Specs_Infra!$A$21)+1,FALSE),0))*'Base variables computation'!C$14/'Base variables computation'!$X$14)</f>
        <v>0</v>
      </c>
      <c r="D72" s="2022">
        <f>IFERROR(VLOOKUP(D$8,Tech_Specs_Infra!$A$22:$B$28,COLUMN(Tech_Specs_Infra!$B$21)-COLUMN(Tech_Specs_Infra!$A$21)+1,FALSE),0)/SUM(IFERROR(VLOOKUP(D$8,Tech_Specs_Infra!$A$22:$B$28,COLUMN(Tech_Specs_Infra!$B$21)-COLUMN(Tech_Specs_Infra!$A$21)+1,FALSE),0),(1-IFERROR(VLOOKUP(D$8,Tech_Specs_Infra!$A$22:$B$28,COLUMN(Tech_Specs_Infra!$B$21)-COLUMN(Tech_Specs_Infra!$A$21)+1,FALSE),0))*'Base variables computation'!D$14/'Base variables computation'!$X$14)</f>
        <v>0</v>
      </c>
      <c r="E72" s="2022">
        <f>IFERROR(VLOOKUP(E$8,Tech_Specs_Infra!$A$22:$B$28,COLUMN(Tech_Specs_Infra!$B$21)-COLUMN(Tech_Specs_Infra!$A$21)+1,FALSE),0)/SUM(IFERROR(VLOOKUP(E$8,Tech_Specs_Infra!$A$22:$B$28,COLUMN(Tech_Specs_Infra!$B$21)-COLUMN(Tech_Specs_Infra!$A$21)+1,FALSE),0),(1-IFERROR(VLOOKUP(E$8,Tech_Specs_Infra!$A$22:$B$28,COLUMN(Tech_Specs_Infra!$B$21)-COLUMN(Tech_Specs_Infra!$A$21)+1,FALSE),0))*'Base variables computation'!E$14/'Base variables computation'!$X$14)</f>
        <v>0</v>
      </c>
      <c r="F72" s="2022">
        <f>IFERROR(VLOOKUP(F$8,Tech_Specs_Infra!$A$22:$B$28,COLUMN(Tech_Specs_Infra!$B$21)-COLUMN(Tech_Specs_Infra!$A$21)+1,FALSE),0)/SUM(IFERROR(VLOOKUP(F$8,Tech_Specs_Infra!$A$22:$B$28,COLUMN(Tech_Specs_Infra!$B$21)-COLUMN(Tech_Specs_Infra!$A$21)+1,FALSE),0),(1-IFERROR(VLOOKUP(F$8,Tech_Specs_Infra!$A$22:$B$28,COLUMN(Tech_Specs_Infra!$B$21)-COLUMN(Tech_Specs_Infra!$A$21)+1,FALSE),0))*'Base variables computation'!F$14/'Base variables computation'!$X$14)</f>
        <v>0</v>
      </c>
      <c r="G72" s="2022">
        <f>IFERROR(VLOOKUP(G$8,Tech_Specs_Infra!$A$22:$B$28,COLUMN(Tech_Specs_Infra!$B$21)-COLUMN(Tech_Specs_Infra!$A$21)+1,FALSE),0)/SUM(IFERROR(VLOOKUP(G$8,Tech_Specs_Infra!$A$22:$B$28,COLUMN(Tech_Specs_Infra!$B$21)-COLUMN(Tech_Specs_Infra!$A$21)+1,FALSE),0),(1-IFERROR(VLOOKUP(G$8,Tech_Specs_Infra!$A$22:$B$28,COLUMN(Tech_Specs_Infra!$B$21)-COLUMN(Tech_Specs_Infra!$A$21)+1,FALSE),0))*'Base variables computation'!G$14/'Base variables computation'!$X$14)</f>
        <v>0</v>
      </c>
      <c r="H72" s="2022">
        <f>IFERROR(VLOOKUP(H$8,Tech_Specs_Infra!$A$22:$B$28,COLUMN(Tech_Specs_Infra!$B$21)-COLUMN(Tech_Specs_Infra!$A$21)+1,FALSE),0)/SUM(IFERROR(VLOOKUP(H$8,Tech_Specs_Infra!$A$22:$B$28,COLUMN(Tech_Specs_Infra!$B$21)-COLUMN(Tech_Specs_Infra!$A$21)+1,FALSE),0),(1-IFERROR(VLOOKUP(H$8,Tech_Specs_Infra!$A$22:$B$28,COLUMN(Tech_Specs_Infra!$B$21)-COLUMN(Tech_Specs_Infra!$A$21)+1,FALSE),0))*'Base variables computation'!H$14/'Base variables computation'!$X$14)</f>
        <v>0</v>
      </c>
      <c r="I72" s="2022">
        <f>IFERROR(VLOOKUP(I$8,Tech_Specs_Infra!$A$22:$B$28,COLUMN(Tech_Specs_Infra!$B$21)-COLUMN(Tech_Specs_Infra!$A$21)+1,FALSE),0)/SUM(IFERROR(VLOOKUP(I$8,Tech_Specs_Infra!$A$22:$B$28,COLUMN(Tech_Specs_Infra!$B$21)-COLUMN(Tech_Specs_Infra!$A$21)+1,FALSE),0),(1-IFERROR(VLOOKUP(I$8,Tech_Specs_Infra!$A$22:$B$28,COLUMN(Tech_Specs_Infra!$B$21)-COLUMN(Tech_Specs_Infra!$A$21)+1,FALSE),0))*'Base variables computation'!I$14/'Base variables computation'!$X$14)</f>
        <v>0</v>
      </c>
      <c r="J72" s="2022">
        <f>IFERROR(VLOOKUP(J$8,Tech_Specs_Infra!$A$22:$B$28,COLUMN(Tech_Specs_Infra!$B$21)-COLUMN(Tech_Specs_Infra!$A$21)+1,FALSE),0)/SUM(IFERROR(VLOOKUP(J$8,Tech_Specs_Infra!$A$22:$B$28,COLUMN(Tech_Specs_Infra!$B$21)-COLUMN(Tech_Specs_Infra!$A$21)+1,FALSE),0),(1-IFERROR(VLOOKUP(J$8,Tech_Specs_Infra!$A$22:$B$28,COLUMN(Tech_Specs_Infra!$B$21)-COLUMN(Tech_Specs_Infra!$A$21)+1,FALSE),0))*'Base variables computation'!J$14/'Base variables computation'!$X$14)</f>
        <v>0</v>
      </c>
      <c r="K72" s="2022">
        <f>IFERROR(VLOOKUP(K$8,Tech_Specs_Infra!$A$22:$B$28,COLUMN(Tech_Specs_Infra!$B$21)-COLUMN(Tech_Specs_Infra!$A$21)+1,FALSE),0)/SUM(IFERROR(VLOOKUP(K$8,Tech_Specs_Infra!$A$22:$B$28,COLUMN(Tech_Specs_Infra!$B$21)-COLUMN(Tech_Specs_Infra!$A$21)+1,FALSE),0),(1-IFERROR(VLOOKUP(K$8,Tech_Specs_Infra!$A$22:$B$28,COLUMN(Tech_Specs_Infra!$B$21)-COLUMN(Tech_Specs_Infra!$A$21)+1,FALSE),0))*'Base variables computation'!K$14/'Base variables computation'!$X$14)</f>
        <v>0</v>
      </c>
      <c r="L72" s="2022">
        <f>IFERROR(VLOOKUP(L$8,Tech_Specs_Infra!$A$22:$B$28,COLUMN(Tech_Specs_Infra!$B$21)-COLUMN(Tech_Specs_Infra!$A$21)+1,FALSE),0)/SUM(IFERROR(VLOOKUP(L$8,Tech_Specs_Infra!$A$22:$B$28,COLUMN(Tech_Specs_Infra!$B$21)-COLUMN(Tech_Specs_Infra!$A$21)+1,FALSE),0),(1-IFERROR(VLOOKUP(L$8,Tech_Specs_Infra!$A$22:$B$28,COLUMN(Tech_Specs_Infra!$B$21)-COLUMN(Tech_Specs_Infra!$A$21)+1,FALSE),0))*'Base variables computation'!L$14/'Base variables computation'!$X$14)</f>
        <v>0</v>
      </c>
      <c r="M72" s="2022">
        <f>IFERROR(VLOOKUP(M$8,Tech_Specs_Infra!$A$22:$B$28,COLUMN(Tech_Specs_Infra!$B$21)-COLUMN(Tech_Specs_Infra!$A$21)+1,FALSE),0)/SUM(IFERROR(VLOOKUP(M$8,Tech_Specs_Infra!$A$22:$B$28,COLUMN(Tech_Specs_Infra!$B$21)-COLUMN(Tech_Specs_Infra!$A$21)+1,FALSE),0),(1-IFERROR(VLOOKUP(M$8,Tech_Specs_Infra!$A$22:$B$28,COLUMN(Tech_Specs_Infra!$B$21)-COLUMN(Tech_Specs_Infra!$A$21)+1,FALSE),0))*'Base variables computation'!M$14/'Base variables computation'!$X$14)</f>
        <v>0.2798810414348008</v>
      </c>
      <c r="N72" s="2022">
        <f>IFERROR(VLOOKUP(N$8,Tech_Specs_Infra!$A$22:$B$28,COLUMN(Tech_Specs_Infra!$B$21)-COLUMN(Tech_Specs_Infra!$A$21)+1,FALSE),0)/SUM(IFERROR(VLOOKUP(N$8,Tech_Specs_Infra!$A$22:$B$28,COLUMN(Tech_Specs_Infra!$B$21)-COLUMN(Tech_Specs_Infra!$A$21)+1,FALSE),0),(1-IFERROR(VLOOKUP(N$8,Tech_Specs_Infra!$A$22:$B$28,COLUMN(Tech_Specs_Infra!$B$21)-COLUMN(Tech_Specs_Infra!$A$21)+1,FALSE),0))*'Base variables computation'!N$14/'Base variables computation'!$X$14)</f>
        <v>0.20999315537303215</v>
      </c>
      <c r="O72" s="2022">
        <f>IFERROR(VLOOKUP(O$8,Tech_Specs_Infra!$A$22:$B$28,COLUMN(Tech_Specs_Infra!$B$21)-COLUMN(Tech_Specs_Infra!$A$21)+1,FALSE),0)/SUM(IFERROR(VLOOKUP(O$8,Tech_Specs_Infra!$A$22:$B$28,COLUMN(Tech_Specs_Infra!$B$21)-COLUMN(Tech_Specs_Infra!$A$21)+1,FALSE),0),(1-IFERROR(VLOOKUP(O$8,Tech_Specs_Infra!$A$22:$B$28,COLUMN(Tech_Specs_Infra!$B$21)-COLUMN(Tech_Specs_Infra!$A$21)+1,FALSE),0))*'Base variables computation'!O$14/'Base variables computation'!$X$14)</f>
        <v>0.2798810414348008</v>
      </c>
      <c r="P72" s="2022">
        <f>IFERROR(VLOOKUP(P$8,Tech_Specs_Infra!$A$22:$B$28,COLUMN(Tech_Specs_Infra!$B$21)-COLUMN(Tech_Specs_Infra!$A$21)+1,FALSE),0)/SUM(IFERROR(VLOOKUP(P$8,Tech_Specs_Infra!$A$22:$B$28,COLUMN(Tech_Specs_Infra!$B$21)-COLUMN(Tech_Specs_Infra!$A$21)+1,FALSE),0),(1-IFERROR(VLOOKUP(P$8,Tech_Specs_Infra!$A$22:$B$28,COLUMN(Tech_Specs_Infra!$B$21)-COLUMN(Tech_Specs_Infra!$A$21)+1,FALSE),0))*'Base variables computation'!P$14/'Base variables computation'!$X$14)</f>
        <v>0.20999315537303215</v>
      </c>
      <c r="Q72" s="2022">
        <f>IFERROR(VLOOKUP(Q$8,Tech_Specs_Infra!$A$22:$B$28,COLUMN(Tech_Specs_Infra!$B$21)-COLUMN(Tech_Specs_Infra!$A$21)+1,FALSE),0)/SUM(IFERROR(VLOOKUP(Q$8,Tech_Specs_Infra!$A$22:$B$28,COLUMN(Tech_Specs_Infra!$B$21)-COLUMN(Tech_Specs_Infra!$A$21)+1,FALSE),0),(1-IFERROR(VLOOKUP(Q$8,Tech_Specs_Infra!$A$22:$B$28,COLUMN(Tech_Specs_Infra!$B$21)-COLUMN(Tech_Specs_Infra!$A$21)+1,FALSE),0))*'Base variables computation'!Q$14/'Base variables computation'!$X$14)</f>
        <v>0.23731435643564353</v>
      </c>
      <c r="R72" s="2022">
        <f>IFERROR(VLOOKUP(R$8,Tech_Specs_Infra!$A$22:$B$28,COLUMN(Tech_Specs_Infra!$B$21)-COLUMN(Tech_Specs_Infra!$A$21)+1,FALSE),0)/SUM(IFERROR(VLOOKUP(R$8,Tech_Specs_Infra!$A$22:$B$28,COLUMN(Tech_Specs_Infra!$B$21)-COLUMN(Tech_Specs_Infra!$A$21)+1,FALSE),0),(1-IFERROR(VLOOKUP(R$8,Tech_Specs_Infra!$A$22:$B$28,COLUMN(Tech_Specs_Infra!$B$21)-COLUMN(Tech_Specs_Infra!$A$21)+1,FALSE),0))*'Base variables computation'!R$14/'Base variables computation'!$X$14)</f>
        <v>0.1967171069505001</v>
      </c>
      <c r="S72" s="2022">
        <f>IFERROR(VLOOKUP(S$8,Tech_Specs_Infra!$A$22:$B$28,COLUMN(Tech_Specs_Infra!$B$21)-COLUMN(Tech_Specs_Infra!$A$21)+1,FALSE),0)/SUM(IFERROR(VLOOKUP(S$8,Tech_Specs_Infra!$A$22:$B$28,COLUMN(Tech_Specs_Infra!$B$21)-COLUMN(Tech_Specs_Infra!$A$21)+1,FALSE),0),(1-IFERROR(VLOOKUP(S$8,Tech_Specs_Infra!$A$22:$B$28,COLUMN(Tech_Specs_Infra!$B$21)-COLUMN(Tech_Specs_Infra!$A$21)+1,FALSE),0))*'Base variables computation'!S$14/'Base variables computation'!$X$14)</f>
        <v>0.23731435643564353</v>
      </c>
      <c r="T72" s="2022">
        <f>IFERROR(VLOOKUP(T$8,Tech_Specs_Infra!$A$22:$B$28,COLUMN(Tech_Specs_Infra!$B$21)-COLUMN(Tech_Specs_Infra!$A$21)+1,FALSE),0)/SUM(IFERROR(VLOOKUP(T$8,Tech_Specs_Infra!$A$22:$B$28,COLUMN(Tech_Specs_Infra!$B$21)-COLUMN(Tech_Specs_Infra!$A$21)+1,FALSE),0),(1-IFERROR(VLOOKUP(T$8,Tech_Specs_Infra!$A$22:$B$28,COLUMN(Tech_Specs_Infra!$B$21)-COLUMN(Tech_Specs_Infra!$A$21)+1,FALSE),0))*'Base variables computation'!T$14/'Base variables computation'!$X$14)</f>
        <v>0.1967171069505001</v>
      </c>
      <c r="U72" s="2022">
        <f>IFERROR(VLOOKUP(U$8,Tech_Specs_Infra!$A$22:$B$28,COLUMN(Tech_Specs_Infra!$B$21)-COLUMN(Tech_Specs_Infra!$A$21)+1,FALSE),0)/SUM(IFERROR(VLOOKUP(U$8,Tech_Specs_Infra!$A$22:$B$28,COLUMN(Tech_Specs_Infra!$B$21)-COLUMN(Tech_Specs_Infra!$A$21)+1,FALSE),0),(1-IFERROR(VLOOKUP(U$8,Tech_Specs_Infra!$A$22:$B$28,COLUMN(Tech_Specs_Infra!$B$21)-COLUMN(Tech_Specs_Infra!$A$21)+1,FALSE),0))*'Base variables computation'!U$14/'Base variables computation'!$X$14)</f>
        <v>0.20999315537303215</v>
      </c>
      <c r="V72" s="2022">
        <f>IFERROR(VLOOKUP(V$8,Tech_Specs_Infra!$A$22:$B$28,COLUMN(Tech_Specs_Infra!$B$21)-COLUMN(Tech_Specs_Infra!$A$21)+1,FALSE),0)/SUM(IFERROR(VLOOKUP(V$8,Tech_Specs_Infra!$A$22:$B$28,COLUMN(Tech_Specs_Infra!$B$21)-COLUMN(Tech_Specs_Infra!$A$21)+1,FALSE),0),(1-IFERROR(VLOOKUP(V$8,Tech_Specs_Infra!$A$22:$B$28,COLUMN(Tech_Specs_Infra!$B$21)-COLUMN(Tech_Specs_Infra!$A$21)+1,FALSE),0))*'Base variables computation'!V$14/'Base variables computation'!$X$14)</f>
        <v>0.1967171069505001</v>
      </c>
      <c r="W72" s="2022">
        <f>IFERROR(VLOOKUP(W$8,Tech_Specs_Infra!$A$22:$B$28,COLUMN(Tech_Specs_Infra!$B$21)-COLUMN(Tech_Specs_Infra!$A$21)+1,FALSE),0)/SUM(IFERROR(VLOOKUP(W$8,Tech_Specs_Infra!$A$22:$B$28,COLUMN(Tech_Specs_Infra!$B$21)-COLUMN(Tech_Specs_Infra!$A$21)+1,FALSE),0),(1-IFERROR(VLOOKUP(W$8,Tech_Specs_Infra!$A$22:$B$28,COLUMN(Tech_Specs_Infra!$B$21)-COLUMN(Tech_Specs_Infra!$A$21)+1,FALSE),0))*'Base variables computation'!W$14/'Base variables computation'!$X$14)</f>
        <v>0.20999315537303215</v>
      </c>
      <c r="X72" s="2022">
        <f>IFERROR(VLOOKUP(X$8,Tech_Specs_Infra!$A$22:$B$28,COLUMN(Tech_Specs_Infra!$B$21)-COLUMN(Tech_Specs_Infra!$A$21)+1,FALSE),0)/SUM(IFERROR(VLOOKUP(X$8,Tech_Specs_Infra!$A$22:$B$28,COLUMN(Tech_Specs_Infra!$B$21)-COLUMN(Tech_Specs_Infra!$A$21)+1,FALSE),0),(1-IFERROR(VLOOKUP(X$8,Tech_Specs_Infra!$A$22:$B$28,COLUMN(Tech_Specs_Infra!$B$21)-COLUMN(Tech_Specs_Infra!$A$21)+1,FALSE),0))*'Base variables computation'!X$14/'Base variables computation'!$X$14)</f>
        <v>0.4</v>
      </c>
      <c r="Y72" s="2022">
        <f>IFERROR(VLOOKUP(Y$8,Tech_Specs_Infra!$A$22:$B$28,COLUMN(Tech_Specs_Infra!$B$21)-COLUMN(Tech_Specs_Infra!$A$21)+1,FALSE),0)/SUM(IFERROR(VLOOKUP(Y$8,Tech_Specs_Infra!$A$22:$B$28,COLUMN(Tech_Specs_Infra!$B$21)-COLUMN(Tech_Specs_Infra!$A$21)+1,FALSE),0),(1-IFERROR(VLOOKUP(Y$8,Tech_Specs_Infra!$A$22:$B$28,COLUMN(Tech_Specs_Infra!$B$21)-COLUMN(Tech_Specs_Infra!$A$21)+1,FALSE),0))*'Base variables computation'!Y$14/'Base variables computation'!$X$14)</f>
        <v>0.41139240506329117</v>
      </c>
      <c r="Z72" s="2022">
        <f>IFERROR(VLOOKUP(Z$8,Tech_Specs_Infra!$A$22:$B$28,COLUMN(Tech_Specs_Infra!$B$21)-COLUMN(Tech_Specs_Infra!$A$21)+1,FALSE),0)/SUM(IFERROR(VLOOKUP(Z$8,Tech_Specs_Infra!$A$22:$B$28,COLUMN(Tech_Specs_Infra!$B$21)-COLUMN(Tech_Specs_Infra!$A$21)+1,FALSE),0),(1-IFERROR(VLOOKUP(Z$8,Tech_Specs_Infra!$A$22:$B$28,COLUMN(Tech_Specs_Infra!$B$21)-COLUMN(Tech_Specs_Infra!$A$21)+1,FALSE),0))*'Base variables computation'!Z$14/'Base variables computation'!$X$14)</f>
        <v>0</v>
      </c>
      <c r="AA72" s="2022">
        <f>IFERROR(VLOOKUP(AA$8,Tech_Specs_Infra!$A$22:$B$28,COLUMN(Tech_Specs_Infra!$B$21)-COLUMN(Tech_Specs_Infra!$A$21)+1,FALSE),0)/SUM(IFERROR(VLOOKUP(AA$8,Tech_Specs_Infra!$A$22:$B$28,COLUMN(Tech_Specs_Infra!$B$21)-COLUMN(Tech_Specs_Infra!$A$21)+1,FALSE),0),(1-IFERROR(VLOOKUP(AA$8,Tech_Specs_Infra!$A$22:$B$28,COLUMN(Tech_Specs_Infra!$B$21)-COLUMN(Tech_Specs_Infra!$A$21)+1,FALSE),0))*'Base variables computation'!AA$14/'Base variables computation'!$X$14)</f>
        <v>0</v>
      </c>
      <c r="AB72" s="2022">
        <f>IFERROR(VLOOKUP(AB8,Tech_Specs_Infra!$A$22:$B$28,COLUMN(Tech_Specs_Infra!$B$21)-COLUMN(Tech_Specs_Infra!$A$21)+1,FALSE),0)</f>
        <v>0</v>
      </c>
    </row>
    <row r="73" spans="1:28" x14ac:dyDescent="0.45">
      <c r="A73" s="2000"/>
      <c r="B73" s="1953"/>
      <c r="C73" s="1968"/>
      <c r="D73" s="1968"/>
      <c r="E73" s="1968"/>
      <c r="F73" s="1968"/>
      <c r="G73" s="1968"/>
      <c r="H73" s="1968"/>
      <c r="I73" s="1968"/>
      <c r="J73" s="1968"/>
      <c r="K73" s="1968"/>
      <c r="L73" s="1968"/>
      <c r="M73" s="1968"/>
      <c r="N73" s="1968"/>
      <c r="O73" s="1968"/>
      <c r="P73" s="1968"/>
      <c r="Q73" s="1968"/>
      <c r="R73" s="1968"/>
      <c r="S73" s="1968"/>
      <c r="T73" s="1968"/>
      <c r="U73" s="1968"/>
      <c r="V73" s="1968"/>
      <c r="W73" s="1969"/>
      <c r="X73" s="1968"/>
      <c r="Y73" s="1968"/>
      <c r="Z73" s="1968"/>
      <c r="AA73" s="1968"/>
      <c r="AB73" s="1968"/>
    </row>
    <row r="74" spans="1:28" ht="42.75" x14ac:dyDescent="0.45">
      <c r="A74" s="1427" t="s">
        <v>1122</v>
      </c>
      <c r="B74" s="1953" t="s">
        <v>1120</v>
      </c>
      <c r="C74" s="1968"/>
      <c r="D74" s="1968"/>
      <c r="E74" s="1968"/>
      <c r="F74" s="1968"/>
      <c r="G74" s="1968"/>
      <c r="H74" s="1968"/>
      <c r="I74" s="1968"/>
      <c r="J74" s="1968"/>
      <c r="K74" s="1968"/>
      <c r="L74" s="1968"/>
      <c r="M74" s="1968"/>
      <c r="N74" s="1968"/>
      <c r="O74" s="1968"/>
      <c r="P74" s="1968"/>
      <c r="Q74" s="1968"/>
      <c r="R74" s="1968"/>
      <c r="S74" s="1968"/>
      <c r="T74" s="1968"/>
      <c r="U74" s="1968"/>
      <c r="V74" s="1968"/>
      <c r="W74" s="1969"/>
      <c r="X74" s="1968"/>
      <c r="Y74" s="1968"/>
      <c r="Z74" s="1968"/>
      <c r="AA74" s="1968"/>
      <c r="AB74" s="1968"/>
    </row>
    <row r="75" spans="1:28" x14ac:dyDescent="0.45">
      <c r="A75" s="2023" t="s">
        <v>1108</v>
      </c>
      <c r="B75" s="1947"/>
      <c r="C75" s="2024">
        <f t="shared" ref="C75:G76" si="24">IFERROR(C67/C71,0)</f>
        <v>382057.27459187922</v>
      </c>
      <c r="D75" s="2024">
        <f t="shared" si="24"/>
        <v>379871.16813196696</v>
      </c>
      <c r="E75" s="2024">
        <f>IFERROR(E67/E71,0)</f>
        <v>382809.18382012937</v>
      </c>
      <c r="F75" s="2024">
        <f>IFERROR(F67/F71,0)</f>
        <v>379829.39539706422</v>
      </c>
      <c r="G75" s="2024">
        <f t="shared" si="24"/>
        <v>382057.27459187922</v>
      </c>
      <c r="H75" s="2024">
        <f t="shared" ref="H75:AB75" si="25">IFERROR(H67/H71,0)</f>
        <v>379871.16813196696</v>
      </c>
      <c r="I75" s="2024">
        <f t="shared" si="25"/>
        <v>382809.18382012937</v>
      </c>
      <c r="J75" s="2024">
        <f t="shared" si="25"/>
        <v>379829.39539706422</v>
      </c>
      <c r="K75" s="2024">
        <f t="shared" si="25"/>
        <v>417007.12946054107</v>
      </c>
      <c r="L75" s="2024">
        <f t="shared" si="25"/>
        <v>410045.00697674393</v>
      </c>
      <c r="M75" s="2024">
        <f t="shared" si="25"/>
        <v>1315817.1421187564</v>
      </c>
      <c r="N75" s="2024">
        <f t="shared" si="25"/>
        <v>1753734.6463495987</v>
      </c>
      <c r="O75" s="2024">
        <f t="shared" si="25"/>
        <v>1315817.1421187564</v>
      </c>
      <c r="P75" s="2024">
        <f t="shared" si="25"/>
        <v>1753734.6463495987</v>
      </c>
      <c r="Q75" s="2024">
        <f t="shared" si="25"/>
        <v>1551833.0943194807</v>
      </c>
      <c r="R75" s="2024">
        <f t="shared" si="25"/>
        <v>1872090.7285741507</v>
      </c>
      <c r="S75" s="2024">
        <f t="shared" si="25"/>
        <v>1551833.0943194807</v>
      </c>
      <c r="T75" s="2024">
        <f t="shared" si="25"/>
        <v>1872090.7285741507</v>
      </c>
      <c r="U75" s="2024">
        <f t="shared" ref="U75:W76" si="26">IFERROR(U67/U71,0)</f>
        <v>1753734.6463495987</v>
      </c>
      <c r="V75" s="2024">
        <f t="shared" si="26"/>
        <v>1872090.7285741507</v>
      </c>
      <c r="W75" s="2024">
        <f t="shared" si="26"/>
        <v>1753734.6463495987</v>
      </c>
      <c r="X75" s="2024">
        <f t="shared" si="25"/>
        <v>623563.50971123716</v>
      </c>
      <c r="Y75" s="2024">
        <f t="shared" si="25"/>
        <v>614079.23954604869</v>
      </c>
      <c r="Z75" s="2024">
        <f t="shared" si="25"/>
        <v>549287.4566526874</v>
      </c>
      <c r="AA75" s="2024">
        <f t="shared" si="25"/>
        <v>540932.90967213071</v>
      </c>
      <c r="AB75" s="2024">
        <f t="shared" si="25"/>
        <v>10869283.156998804</v>
      </c>
    </row>
    <row r="76" spans="1:28" x14ac:dyDescent="0.45">
      <c r="A76" s="2023" t="s">
        <v>1109</v>
      </c>
      <c r="B76" s="1947"/>
      <c r="C76" s="2026">
        <f t="shared" si="24"/>
        <v>0</v>
      </c>
      <c r="D76" s="2026">
        <f t="shared" si="24"/>
        <v>0</v>
      </c>
      <c r="E76" s="2026">
        <f>IFERROR(E68/E72,0)</f>
        <v>0</v>
      </c>
      <c r="F76" s="2026">
        <f>IFERROR(F68/F72,0)</f>
        <v>0</v>
      </c>
      <c r="G76" s="2026">
        <f t="shared" si="24"/>
        <v>0</v>
      </c>
      <c r="H76" s="2026">
        <f t="shared" ref="H76:AB76" si="27">IFERROR(H68/H72,0)</f>
        <v>0</v>
      </c>
      <c r="I76" s="2026">
        <f t="shared" si="27"/>
        <v>0</v>
      </c>
      <c r="J76" s="2026">
        <f t="shared" si="27"/>
        <v>0</v>
      </c>
      <c r="K76" s="2026">
        <f t="shared" si="27"/>
        <v>0</v>
      </c>
      <c r="L76" s="2026">
        <f t="shared" si="27"/>
        <v>0</v>
      </c>
      <c r="M76" s="2026">
        <f t="shared" si="27"/>
        <v>1315817.1421187564</v>
      </c>
      <c r="N76" s="2026">
        <f t="shared" si="27"/>
        <v>1753734.6463495987</v>
      </c>
      <c r="O76" s="2024">
        <f t="shared" si="27"/>
        <v>1315817.1421187564</v>
      </c>
      <c r="P76" s="2026">
        <f t="shared" si="27"/>
        <v>1753734.6463495987</v>
      </c>
      <c r="Q76" s="2026">
        <f t="shared" si="27"/>
        <v>1551833.0943194807</v>
      </c>
      <c r="R76" s="2026">
        <f t="shared" si="27"/>
        <v>1872090.7285741507</v>
      </c>
      <c r="S76" s="2026">
        <f t="shared" si="27"/>
        <v>1551833.0943194807</v>
      </c>
      <c r="T76" s="2026">
        <f t="shared" si="27"/>
        <v>1872090.7285741507</v>
      </c>
      <c r="U76" s="2026">
        <f t="shared" si="26"/>
        <v>1753734.6463495987</v>
      </c>
      <c r="V76" s="2026">
        <f t="shared" si="26"/>
        <v>1872090.7285741507</v>
      </c>
      <c r="W76" s="2026">
        <f t="shared" si="26"/>
        <v>1753734.6463495987</v>
      </c>
      <c r="X76" s="2026">
        <f t="shared" si="27"/>
        <v>920680.68018490216</v>
      </c>
      <c r="Y76" s="2024">
        <f t="shared" si="27"/>
        <v>895184.90750285867</v>
      </c>
      <c r="Z76" s="2026">
        <f t="shared" si="27"/>
        <v>0</v>
      </c>
      <c r="AA76" s="2026">
        <f t="shared" si="27"/>
        <v>0</v>
      </c>
      <c r="AB76" s="2024">
        <f t="shared" si="27"/>
        <v>0</v>
      </c>
    </row>
    <row r="77" spans="1:28" x14ac:dyDescent="0.45">
      <c r="A77" s="2000"/>
      <c r="B77" s="1953"/>
      <c r="C77" s="1968"/>
      <c r="D77" s="1968"/>
      <c r="E77" s="1968"/>
      <c r="F77" s="1968"/>
      <c r="G77" s="1968"/>
      <c r="H77" s="1968"/>
      <c r="I77" s="1968"/>
      <c r="J77" s="1968"/>
      <c r="K77" s="1968"/>
      <c r="L77" s="1968"/>
      <c r="M77" s="1968"/>
      <c r="N77" s="1968"/>
      <c r="O77" s="1968"/>
      <c r="P77" s="1968"/>
      <c r="Q77" s="1968"/>
      <c r="R77" s="1968"/>
      <c r="S77" s="1968"/>
      <c r="T77" s="1968"/>
      <c r="U77" s="1968"/>
      <c r="V77" s="1968"/>
      <c r="W77" s="1968"/>
      <c r="X77" s="1968"/>
      <c r="Y77" s="1968"/>
      <c r="Z77" s="1968"/>
      <c r="AA77" s="1968"/>
      <c r="AB77" s="1968"/>
    </row>
    <row r="78" spans="1:28" x14ac:dyDescent="0.45">
      <c r="A78" s="1427" t="s">
        <v>1123</v>
      </c>
      <c r="B78" s="1953" t="s">
        <v>1124</v>
      </c>
      <c r="C78" s="1968"/>
      <c r="D78" s="1968"/>
      <c r="E78" s="1968"/>
      <c r="F78" s="1968"/>
      <c r="G78" s="1968"/>
      <c r="H78" s="1968"/>
      <c r="I78" s="1968"/>
      <c r="J78" s="1968"/>
      <c r="K78" s="1968"/>
      <c r="L78" s="1968"/>
      <c r="M78" s="1968"/>
      <c r="N78" s="1968"/>
      <c r="O78" s="1968"/>
      <c r="P78" s="1968"/>
      <c r="Q78" s="1968"/>
      <c r="R78" s="1968"/>
      <c r="S78" s="1968"/>
      <c r="T78" s="1968"/>
      <c r="U78" s="1968"/>
      <c r="V78" s="1968"/>
      <c r="W78" s="1968"/>
      <c r="X78" s="1968"/>
      <c r="Y78" s="1968"/>
      <c r="Z78" s="1968"/>
      <c r="AA78" s="1968"/>
      <c r="AB78" s="1968"/>
    </row>
    <row r="79" spans="1:28" x14ac:dyDescent="0.45">
      <c r="A79" s="2023" t="s">
        <v>1108</v>
      </c>
      <c r="B79" s="1947"/>
      <c r="C79" s="2024">
        <f t="shared" ref="C79:G80" si="28">IFERROR(C75*1000/(C31*10^6),0)</f>
        <v>11.414727236068604</v>
      </c>
      <c r="D79" s="2024">
        <f t="shared" si="28"/>
        <v>11.349412921675397</v>
      </c>
      <c r="E79" s="2024">
        <f>IFERROR(E75*1000/(E31*10^6),0)</f>
        <v>11.437192032101938</v>
      </c>
      <c r="F79" s="2024">
        <f>IFERROR(F75*1000/(F31*10^6),0)</f>
        <v>11.348164877451323</v>
      </c>
      <c r="G79" s="2024">
        <f t="shared" si="28"/>
        <v>11.414727236068604</v>
      </c>
      <c r="H79" s="2024">
        <f t="shared" ref="H79:AB79" si="29">IFERROR(H75*1000/(H31*10^6),0)</f>
        <v>11.349412921675397</v>
      </c>
      <c r="I79" s="2024">
        <f t="shared" si="29"/>
        <v>11.437192032101938</v>
      </c>
      <c r="J79" s="2024">
        <f t="shared" si="29"/>
        <v>11.348164877451323</v>
      </c>
      <c r="K79" s="2024">
        <f t="shared" si="29"/>
        <v>12.458924236877232</v>
      </c>
      <c r="L79" s="2024">
        <f t="shared" si="29"/>
        <v>12.250916866198224</v>
      </c>
      <c r="M79" s="2024">
        <f t="shared" si="29"/>
        <v>190.16330498359963</v>
      </c>
      <c r="N79" s="2024">
        <f t="shared" si="29"/>
        <v>253.45161249159722</v>
      </c>
      <c r="O79" s="2024">
        <f t="shared" si="29"/>
        <v>190.16330498359963</v>
      </c>
      <c r="P79" s="2024">
        <f t="shared" si="29"/>
        <v>253.45161249159722</v>
      </c>
      <c r="Q79" s="2024">
        <f t="shared" si="29"/>
        <v>224.2725835928384</v>
      </c>
      <c r="R79" s="2024">
        <f t="shared" si="29"/>
        <v>270.5565604667317</v>
      </c>
      <c r="S79" s="2024">
        <f t="shared" si="29"/>
        <v>224.2725835928384</v>
      </c>
      <c r="T79" s="2024">
        <f t="shared" si="29"/>
        <v>270.5565604667317</v>
      </c>
      <c r="U79" s="2024">
        <f t="shared" ref="U79:W80" si="30">IFERROR(U75*1000/(U31*10^6),0)</f>
        <v>253.45161249159722</v>
      </c>
      <c r="V79" s="2024">
        <f t="shared" si="30"/>
        <v>270.5565604667317</v>
      </c>
      <c r="W79" s="2024">
        <f t="shared" si="30"/>
        <v>253.45161249159722</v>
      </c>
      <c r="X79" s="2024">
        <f t="shared" si="29"/>
        <v>18.630210314206852</v>
      </c>
      <c r="Y79" s="2024">
        <f t="shared" si="29"/>
        <v>18.346848723763493</v>
      </c>
      <c r="Z79" s="2024">
        <f t="shared" si="29"/>
        <v>16.411064279778419</v>
      </c>
      <c r="AA79" s="2024">
        <f t="shared" si="29"/>
        <v>16.161455434963603</v>
      </c>
      <c r="AB79" s="2024">
        <f t="shared" si="29"/>
        <v>2090.6468081882867</v>
      </c>
    </row>
    <row r="80" spans="1:28" x14ac:dyDescent="0.45">
      <c r="A80" s="2023" t="s">
        <v>1109</v>
      </c>
      <c r="B80" s="1947"/>
      <c r="C80" s="2024">
        <f t="shared" si="28"/>
        <v>0</v>
      </c>
      <c r="D80" s="2024">
        <f t="shared" si="28"/>
        <v>0</v>
      </c>
      <c r="E80" s="2024">
        <f>IFERROR(E76*1000/(E32*10^6),0)</f>
        <v>0</v>
      </c>
      <c r="F80" s="2024">
        <f>IFERROR(F76*1000/(F32*10^6),0)</f>
        <v>0</v>
      </c>
      <c r="G80" s="2024">
        <f t="shared" si="28"/>
        <v>0</v>
      </c>
      <c r="H80" s="2024">
        <f t="shared" ref="H80:AB80" si="31">IFERROR(H76*1000/(H32*10^6),0)</f>
        <v>0</v>
      </c>
      <c r="I80" s="2024">
        <f t="shared" si="31"/>
        <v>0</v>
      </c>
      <c r="J80" s="2024">
        <f t="shared" si="31"/>
        <v>0</v>
      </c>
      <c r="K80" s="2024">
        <f t="shared" si="31"/>
        <v>0</v>
      </c>
      <c r="L80" s="2024">
        <f t="shared" si="31"/>
        <v>0</v>
      </c>
      <c r="M80" s="2024">
        <f t="shared" si="31"/>
        <v>39.312675791537387</v>
      </c>
      <c r="N80" s="2024">
        <f t="shared" si="31"/>
        <v>52.39633940724709</v>
      </c>
      <c r="O80" s="2024">
        <f t="shared" si="31"/>
        <v>39.312675791537387</v>
      </c>
      <c r="P80" s="2024">
        <f t="shared" si="31"/>
        <v>52.39633940724709</v>
      </c>
      <c r="Q80" s="2024">
        <f t="shared" si="31"/>
        <v>46.36412565755581</v>
      </c>
      <c r="R80" s="2024">
        <f t="shared" si="31"/>
        <v>55.932464708790263</v>
      </c>
      <c r="S80" s="2024">
        <f t="shared" si="31"/>
        <v>46.36412565755581</v>
      </c>
      <c r="T80" s="2024">
        <f t="shared" si="31"/>
        <v>55.932464708790263</v>
      </c>
      <c r="U80" s="2024">
        <f t="shared" si="30"/>
        <v>52.39633940724709</v>
      </c>
      <c r="V80" s="2024">
        <f t="shared" si="30"/>
        <v>55.932464708790263</v>
      </c>
      <c r="W80" s="2024">
        <f t="shared" si="30"/>
        <v>52.39633940724709</v>
      </c>
      <c r="X80" s="2024">
        <f t="shared" si="31"/>
        <v>48.076476048622943</v>
      </c>
      <c r="Y80" s="2024">
        <f t="shared" si="31"/>
        <v>46.745127481122609</v>
      </c>
      <c r="Z80" s="2024">
        <f t="shared" si="31"/>
        <v>0</v>
      </c>
      <c r="AA80" s="2024">
        <f t="shared" si="31"/>
        <v>0</v>
      </c>
      <c r="AB80" s="2024">
        <f t="shared" si="31"/>
        <v>0</v>
      </c>
    </row>
    <row r="81" spans="1:28" x14ac:dyDescent="0.45">
      <c r="A81" s="2023" t="s">
        <v>79</v>
      </c>
      <c r="B81" s="1947"/>
      <c r="C81" s="2024">
        <f>C79*C9+C80*C10</f>
        <v>11.414727236068604</v>
      </c>
      <c r="D81" s="2024">
        <f t="shared" ref="D81:AB81" si="32">D79*D9+D80*D10</f>
        <v>11.349412921675397</v>
      </c>
      <c r="E81" s="2024">
        <f t="shared" si="32"/>
        <v>11.437192032101938</v>
      </c>
      <c r="F81" s="2024">
        <f t="shared" si="32"/>
        <v>11.348164877451323</v>
      </c>
      <c r="G81" s="2024">
        <f t="shared" si="32"/>
        <v>11.414727236068604</v>
      </c>
      <c r="H81" s="2024">
        <f t="shared" si="32"/>
        <v>11.349412921675397</v>
      </c>
      <c r="I81" s="2024">
        <f t="shared" si="32"/>
        <v>11.437192032101938</v>
      </c>
      <c r="J81" s="2024">
        <f t="shared" si="32"/>
        <v>11.348164877451323</v>
      </c>
      <c r="K81" s="2024">
        <f t="shared" si="32"/>
        <v>12.458924236877232</v>
      </c>
      <c r="L81" s="2024">
        <f t="shared" si="32"/>
        <v>12.250916866198224</v>
      </c>
      <c r="M81" s="2024">
        <f t="shared" si="32"/>
        <v>39.312675791537387</v>
      </c>
      <c r="N81" s="2024">
        <f t="shared" si="32"/>
        <v>52.39633940724709</v>
      </c>
      <c r="O81" s="2024">
        <f t="shared" si="32"/>
        <v>39.312675791537387</v>
      </c>
      <c r="P81" s="2024">
        <f t="shared" si="32"/>
        <v>52.39633940724709</v>
      </c>
      <c r="Q81" s="2024">
        <f t="shared" si="32"/>
        <v>46.36412565755581</v>
      </c>
      <c r="R81" s="2024">
        <f t="shared" si="32"/>
        <v>55.932464708790263</v>
      </c>
      <c r="S81" s="2024">
        <f t="shared" si="32"/>
        <v>46.36412565755581</v>
      </c>
      <c r="T81" s="2024">
        <f t="shared" si="32"/>
        <v>55.932464708790263</v>
      </c>
      <c r="U81" s="2024">
        <f>U79*U9+U80*U10</f>
        <v>52.39633940724709</v>
      </c>
      <c r="V81" s="2024">
        <f>V79*V9+V80*V10</f>
        <v>55.932464708790263</v>
      </c>
      <c r="W81" s="2024">
        <f>W79*W9+W80*W10</f>
        <v>52.39633940724709</v>
      </c>
      <c r="X81" s="2024">
        <f t="shared" si="32"/>
        <v>30.40871660797329</v>
      </c>
      <c r="Y81" s="2024">
        <f t="shared" si="32"/>
        <v>29.706160226707141</v>
      </c>
      <c r="Z81" s="2024">
        <f t="shared" si="32"/>
        <v>16.411064279778419</v>
      </c>
      <c r="AA81" s="2024">
        <f t="shared" si="32"/>
        <v>16.161455434963603</v>
      </c>
      <c r="AB81" s="2024">
        <f t="shared" si="32"/>
        <v>2090.6468081882867</v>
      </c>
    </row>
  </sheetData>
  <mergeCells count="1">
    <mergeCell ref="A1:AB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xr:uid="{00000000-0002-0000-0900-000000000000}">
          <x14:formula1>
            <xm:f>Tech_Specs_Infra!$A$359:$A$458</xm:f>
          </x14:formula1>
          <xm:sqref>M9:W9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
  <sheetViews>
    <sheetView showGridLines="0" workbookViewId="0">
      <selection activeCell="D9" sqref="D9"/>
    </sheetView>
  </sheetViews>
  <sheetFormatPr defaultRowHeight="14.25" x14ac:dyDescent="0.4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B64"/>
  <sheetViews>
    <sheetView showGridLines="0" zoomScale="85" zoomScaleNormal="85" workbookViewId="0">
      <pane xSplit="2" ySplit="3" topLeftCell="C26" activePane="bottomRight" state="frozen"/>
      <selection sqref="A1:AB1"/>
      <selection pane="topRight" sqref="A1:AB1"/>
      <selection pane="bottomLeft" sqref="A1:AB1"/>
      <selection pane="bottomRight" activeCell="H26" sqref="H26"/>
    </sheetView>
  </sheetViews>
  <sheetFormatPr defaultColWidth="0" defaultRowHeight="14.25" zeroHeight="1" x14ac:dyDescent="0.45"/>
  <cols>
    <col min="1" max="1" width="85.6640625" customWidth="1"/>
    <col min="2" max="2" width="12" bestFit="1" customWidth="1"/>
    <col min="3" max="4" width="10.86328125" bestFit="1" customWidth="1"/>
    <col min="5" max="5" width="10.53125" customWidth="1"/>
    <col min="6" max="6" width="12.53125" customWidth="1"/>
    <col min="7" max="7" width="11.46484375" customWidth="1"/>
    <col min="8" max="8" width="12.19921875" customWidth="1"/>
    <col min="9" max="10" width="12.796875" customWidth="1"/>
    <col min="11" max="11" width="12.53125" bestFit="1" customWidth="1"/>
    <col min="12" max="12" width="12.59765625" bestFit="1" customWidth="1"/>
    <col min="13" max="13" width="12.53125" bestFit="1" customWidth="1"/>
    <col min="14" max="14" width="13.33203125" bestFit="1" customWidth="1"/>
    <col min="15" max="15" width="12.53125" bestFit="1" customWidth="1"/>
    <col min="16" max="16" width="12.265625" bestFit="1" customWidth="1"/>
    <col min="17" max="17" width="13.3984375" bestFit="1" customWidth="1"/>
    <col min="18" max="18" width="14.06640625" bestFit="1" customWidth="1"/>
    <col min="19" max="20" width="12.59765625" bestFit="1" customWidth="1"/>
    <col min="21" max="22" width="13.33203125" bestFit="1" customWidth="1"/>
    <col min="23" max="23" width="12.86328125" bestFit="1" customWidth="1"/>
    <col min="24" max="25" width="11.86328125" bestFit="1" customWidth="1"/>
    <col min="26" max="26" width="12.59765625" bestFit="1" customWidth="1"/>
    <col min="27" max="27" width="13.59765625" bestFit="1" customWidth="1"/>
    <col min="28" max="28" width="16.53125" style="8" customWidth="1"/>
    <col min="29" max="16384" width="8.86328125" hidden="1"/>
  </cols>
  <sheetData>
    <row r="1" spans="1:28" ht="18" x14ac:dyDescent="0.55000000000000004">
      <c r="A1" s="2169" t="s">
        <v>3579</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row>
    <row r="2" spans="1:28" s="1425" customFormat="1" ht="57" x14ac:dyDescent="0.45">
      <c r="A2" s="36"/>
      <c r="B2" s="31"/>
      <c r="C2" s="1424" t="s">
        <v>1162</v>
      </c>
      <c r="D2" s="1424" t="s">
        <v>1163</v>
      </c>
      <c r="E2" s="1424" t="s">
        <v>1164</v>
      </c>
      <c r="F2" s="1424" t="s">
        <v>1165</v>
      </c>
      <c r="G2" s="1424" t="s">
        <v>1166</v>
      </c>
      <c r="H2" s="1424" t="s">
        <v>1167</v>
      </c>
      <c r="I2" s="1424" t="s">
        <v>1168</v>
      </c>
      <c r="J2" s="1424" t="s">
        <v>1169</v>
      </c>
      <c r="K2" s="31" t="s">
        <v>1140</v>
      </c>
      <c r="L2" s="31" t="s">
        <v>1152</v>
      </c>
      <c r="M2" s="1424" t="s">
        <v>1153</v>
      </c>
      <c r="N2" s="1424" t="s">
        <v>1156</v>
      </c>
      <c r="O2" s="1424" t="s">
        <v>1157</v>
      </c>
      <c r="P2" s="1424" t="s">
        <v>1158</v>
      </c>
      <c r="Q2" s="1424" t="s">
        <v>1154</v>
      </c>
      <c r="R2" s="1424" t="s">
        <v>1155</v>
      </c>
      <c r="S2" s="1424" t="s">
        <v>1159</v>
      </c>
      <c r="T2" s="1424" t="s">
        <v>1160</v>
      </c>
      <c r="U2" s="1585" t="s">
        <v>3400</v>
      </c>
      <c r="V2" s="1585" t="s">
        <v>3401</v>
      </c>
      <c r="W2" s="1586" t="s">
        <v>3557</v>
      </c>
      <c r="X2" s="31" t="s">
        <v>1143</v>
      </c>
      <c r="Y2" s="31" t="s">
        <v>1142</v>
      </c>
      <c r="Z2" s="1587" t="s">
        <v>3442</v>
      </c>
      <c r="AA2" s="1587" t="s">
        <v>3443</v>
      </c>
      <c r="AB2" s="1424" t="s">
        <v>1141</v>
      </c>
    </row>
    <row r="3" spans="1:28" x14ac:dyDescent="0.45">
      <c r="A3" s="1426" t="s">
        <v>1125</v>
      </c>
      <c r="B3" s="734"/>
      <c r="C3" s="1070"/>
      <c r="D3" s="1070"/>
      <c r="E3" s="1070"/>
      <c r="F3" s="1070"/>
      <c r="G3" s="1070"/>
      <c r="H3" s="1070"/>
      <c r="I3" s="1070"/>
      <c r="J3" s="1070"/>
      <c r="K3" s="1070"/>
      <c r="L3" s="1070"/>
      <c r="M3" s="1070"/>
      <c r="N3" s="1070"/>
      <c r="O3" s="1070"/>
      <c r="P3" s="1070"/>
      <c r="Q3" s="1070"/>
      <c r="R3" s="1070"/>
      <c r="S3" s="1070"/>
      <c r="T3" s="1070"/>
      <c r="U3" s="1070"/>
      <c r="V3" s="1070"/>
      <c r="W3" s="1981"/>
      <c r="X3" s="1070"/>
      <c r="Y3" s="1070"/>
      <c r="Z3" s="1070"/>
      <c r="AA3" s="1070"/>
      <c r="AB3" s="1982"/>
    </row>
    <row r="4" spans="1:28" x14ac:dyDescent="0.45">
      <c r="A4" s="734"/>
      <c r="B4" s="734"/>
      <c r="C4" s="1070"/>
      <c r="D4" s="1070"/>
      <c r="E4" s="1070"/>
      <c r="F4" s="1070"/>
      <c r="G4" s="1070"/>
      <c r="H4" s="1070"/>
      <c r="I4" s="1070"/>
      <c r="J4" s="1070"/>
      <c r="K4" s="1070"/>
      <c r="L4" s="1070"/>
      <c r="M4" s="1070"/>
      <c r="N4" s="1070"/>
      <c r="O4" s="1070"/>
      <c r="P4" s="1070"/>
      <c r="Q4" s="1070"/>
      <c r="R4" s="1070"/>
      <c r="S4" s="1070"/>
      <c r="T4" s="1070"/>
      <c r="U4" s="1070"/>
      <c r="V4" s="1070"/>
      <c r="W4" s="1981"/>
      <c r="X4" s="1070"/>
      <c r="Y4" s="1070"/>
      <c r="Z4" s="1070"/>
      <c r="AA4" s="1070"/>
      <c r="AB4" s="1982"/>
    </row>
    <row r="5" spans="1:28" ht="28.5" x14ac:dyDescent="0.45">
      <c r="A5" s="1427" t="s">
        <v>1126</v>
      </c>
      <c r="B5" s="1427" t="s">
        <v>1127</v>
      </c>
      <c r="C5" s="1428">
        <f ca="1">SUM(C6:C10)</f>
        <v>0.95117374959209156</v>
      </c>
      <c r="D5" s="1428">
        <f t="shared" ref="D5:AB5" ca="1" si="0">SUM(D6:D10)</f>
        <v>0.52591870666383045</v>
      </c>
      <c r="E5" s="1428">
        <f t="shared" ca="1" si="0"/>
        <v>0.81473468833340401</v>
      </c>
      <c r="F5" s="1428">
        <f t="shared" ca="1" si="0"/>
        <v>0.53775372519005304</v>
      </c>
      <c r="G5" s="1428">
        <f t="shared" ca="1" si="0"/>
        <v>0.91155706324434549</v>
      </c>
      <c r="H5" s="1428">
        <f t="shared" ca="1" si="0"/>
        <v>0.49296602979587772</v>
      </c>
      <c r="I5" s="1428">
        <f t="shared" ca="1" si="0"/>
        <v>0.77516913336701398</v>
      </c>
      <c r="J5" s="1428">
        <f t="shared" ca="1" si="0"/>
        <v>0.49292125729998421</v>
      </c>
      <c r="K5" s="1428">
        <f t="shared" ca="1" si="0"/>
        <v>1.002436021709052</v>
      </c>
      <c r="L5" s="1428">
        <f t="shared" ca="1" si="0"/>
        <v>0.54527511118436944</v>
      </c>
      <c r="M5" s="1428">
        <f t="shared" ca="1" si="0"/>
        <v>0.5365828681983299</v>
      </c>
      <c r="N5" s="1428">
        <f t="shared" ca="1" si="0"/>
        <v>0.58276030750311059</v>
      </c>
      <c r="O5" s="1428">
        <f t="shared" ca="1" si="0"/>
        <v>0.39215819714339784</v>
      </c>
      <c r="P5" s="1428">
        <f t="shared" ca="1" si="0"/>
        <v>0.34738154972491897</v>
      </c>
      <c r="Q5" s="1428">
        <f t="shared" ca="1" si="0"/>
        <v>0.47651288836969935</v>
      </c>
      <c r="R5" s="1428">
        <f t="shared" ca="1" si="0"/>
        <v>0.41656747166704794</v>
      </c>
      <c r="S5" s="1428">
        <f t="shared" ca="1" si="0"/>
        <v>0.40038251191041285</v>
      </c>
      <c r="T5" s="1428">
        <f t="shared" ca="1" si="0"/>
        <v>0.36061205293184156</v>
      </c>
      <c r="U5" s="1428">
        <f ca="1">SUM(U6:U10)</f>
        <v>0.77754079063251791</v>
      </c>
      <c r="V5" s="1428">
        <f ca="1">SUM(V6:V10)</f>
        <v>0.47308874555831204</v>
      </c>
      <c r="W5" s="1428">
        <f ca="1">SUM(W6:W10)</f>
        <v>1.1019266953672129</v>
      </c>
      <c r="X5" s="1428">
        <f t="shared" ca="1" si="0"/>
        <v>2.0960699709217732</v>
      </c>
      <c r="Y5" s="1428">
        <f t="shared" ca="1" si="0"/>
        <v>1.5137633628026206</v>
      </c>
      <c r="Z5" s="1428">
        <f t="shared" ca="1" si="0"/>
        <v>3.9999870931459416</v>
      </c>
      <c r="AA5" s="1428">
        <f t="shared" ca="1" si="0"/>
        <v>2.0734882662464402</v>
      </c>
      <c r="AB5" s="1428">
        <f t="shared" ca="1" si="0"/>
        <v>0.45347567269190059</v>
      </c>
    </row>
    <row r="6" spans="1:28" x14ac:dyDescent="0.45">
      <c r="A6" s="1983" t="s">
        <v>1128</v>
      </c>
      <c r="B6" s="1983"/>
      <c r="C6" s="1984">
        <f ca="1">C13/'Base variables computation'!C$21</f>
        <v>9.1839669892400819E-2</v>
      </c>
      <c r="D6" s="1984">
        <f ca="1">D13/'Base variables computation'!D$21</f>
        <v>0.21854570076817501</v>
      </c>
      <c r="E6" s="1984">
        <f ca="1">E13/'Base variables computation'!E$21</f>
        <v>9.1293281154217129E-2</v>
      </c>
      <c r="F6" s="1984">
        <f ca="1">F13/'Base variables computation'!F$21</f>
        <v>0.23024469844356268</v>
      </c>
      <c r="G6" s="1984">
        <f ca="1">G13/'Base variables computation'!G$21</f>
        <v>5.5275727117814887E-2</v>
      </c>
      <c r="H6" s="1984">
        <f ca="1">H13/'Base variables computation'!H$21</f>
        <v>0.13153248629114697</v>
      </c>
      <c r="I6" s="1984">
        <f ca="1">I13/'Base variables computation'!I$21</f>
        <v>5.4946983046795891E-2</v>
      </c>
      <c r="J6" s="1984">
        <f ca="1">J13/'Base variables computation'!J$21</f>
        <v>0.13150535005571179</v>
      </c>
      <c r="K6" s="1984">
        <f ca="1">K13/'Base variables computation'!K$21</f>
        <v>3.6850956504794238E-2</v>
      </c>
      <c r="L6" s="1984">
        <f ca="1">L13/'Base variables computation'!L$21</f>
        <v>8.4884894031320754E-2</v>
      </c>
      <c r="M6" s="1984">
        <f ca="1">M13/'Base variables computation'!M$21</f>
        <v>2.6187040901476485E-2</v>
      </c>
      <c r="N6" s="1984">
        <f ca="1">N13/'Base variables computation'!N$21</f>
        <v>2.413409530807506E-2</v>
      </c>
      <c r="O6" s="1984">
        <f ca="1">O13/'Base variables computation'!O$21</f>
        <v>2.6187040901476485E-2</v>
      </c>
      <c r="P6" s="1984">
        <f ca="1">P13/'Base variables computation'!P$21</f>
        <v>2.413409530807506E-2</v>
      </c>
      <c r="Q6" s="1984">
        <f ca="1">Q13/'Base variables computation'!Q$21</f>
        <v>5.1913407312391718E-2</v>
      </c>
      <c r="R6" s="1984">
        <f ca="1">R13/'Base variables computation'!R$21</f>
        <v>4.7655102351053295E-2</v>
      </c>
      <c r="S6" s="1984">
        <f ca="1">S13/'Base variables computation'!S$21</f>
        <v>5.1913407312391718E-2</v>
      </c>
      <c r="T6" s="1984">
        <f ca="1">T13/'Base variables computation'!T$21</f>
        <v>4.7655102351053295E-2</v>
      </c>
      <c r="U6" s="1984">
        <f ca="1">U13/'Base variables computation'!U$21</f>
        <v>1.8763652901750541E-2</v>
      </c>
      <c r="V6" s="1984">
        <f ca="1">V13/'Base variables computation'!V$21</f>
        <v>4.8123897819102764E-2</v>
      </c>
      <c r="W6" s="1984">
        <f ca="1">W13/'Base variables computation'!W$21</f>
        <v>2.0534419242434345E-2</v>
      </c>
      <c r="X6" s="1984">
        <f ca="1">X13/'Base variables computation'!X$21</f>
        <v>0.21450035852131746</v>
      </c>
      <c r="Y6" s="1984">
        <f ca="1">Y13/'Base variables computation'!Y$21</f>
        <v>0.57825700798586011</v>
      </c>
      <c r="Z6" s="1984">
        <f ca="1">Z13/'Base variables computation'!Z$21</f>
        <v>0.12785183018708876</v>
      </c>
      <c r="AA6" s="1984">
        <f ca="1">AA13/'Base variables computation'!AA$21</f>
        <v>0.40025934680675562</v>
      </c>
      <c r="AB6" s="1985">
        <f ca="1">AB13/'Base variables computation'!AB$21</f>
        <v>4.3145149818539638E-3</v>
      </c>
    </row>
    <row r="7" spans="1:28" x14ac:dyDescent="0.45">
      <c r="A7" s="1986" t="s">
        <v>1129</v>
      </c>
      <c r="B7" s="1986"/>
      <c r="C7" s="1987">
        <f>C14/'Base variables computation'!C$21</f>
        <v>7.6673559511927607E-3</v>
      </c>
      <c r="D7" s="1987">
        <f>D14/'Base variables computation'!D$21</f>
        <v>8.4606185337772928E-3</v>
      </c>
      <c r="E7" s="1987">
        <f>E14/'Base variables computation'!E$21</f>
        <v>8.0855753667123664E-3</v>
      </c>
      <c r="F7" s="1987">
        <f>F14/'Base variables computation'!F$21</f>
        <v>8.6002919711975871E-3</v>
      </c>
      <c r="G7" s="1988">
        <f>G14/'Base variables computation'!G$21</f>
        <v>4.6146123780326795E-3</v>
      </c>
      <c r="H7" s="1988">
        <f>H14/'Base variables computation'!H$21</f>
        <v>5.0920389323659632E-3</v>
      </c>
      <c r="I7" s="1987">
        <f>I14/'Base variables computation'!I$21</f>
        <v>4.8663185077435544E-3</v>
      </c>
      <c r="J7" s="1987">
        <f>J14/'Base variables computation'!J$21</f>
        <v>5.0780552584931355E-3</v>
      </c>
      <c r="K7" s="1987">
        <f>K14/'Base variables computation'!K$21</f>
        <v>3.7015607310422567E-3</v>
      </c>
      <c r="L7" s="1987">
        <f>L14/'Base variables computation'!L$21</f>
        <v>3.9142936665645459E-3</v>
      </c>
      <c r="M7" s="1988">
        <f>M14/'Base variables computation'!M$21</f>
        <v>3.0783002208484723E-4</v>
      </c>
      <c r="N7" s="1988">
        <f>N14/'Base variables computation'!N$21</f>
        <v>2.8367445338736008E-4</v>
      </c>
      <c r="O7" s="1988">
        <f>O14/'Base variables computation'!O$21</f>
        <v>3.0783002208484723E-4</v>
      </c>
      <c r="P7" s="1987">
        <f>P14/'Base variables computation'!P$21</f>
        <v>2.8367445338736008E-4</v>
      </c>
      <c r="Q7" s="1987">
        <f>Q14/'Base variables computation'!Q$21</f>
        <v>4.5475083266924369E-4</v>
      </c>
      <c r="R7" s="1989">
        <f>R14/'Base variables computation'!R$21</f>
        <v>3.8759882284872287E-4</v>
      </c>
      <c r="S7" s="1988">
        <f>S14/'Base variables computation'!S$21</f>
        <v>4.5475083266924369E-4</v>
      </c>
      <c r="T7" s="1987">
        <f>T14/'Base variables computation'!T$21</f>
        <v>3.8759882284872287E-4</v>
      </c>
      <c r="U7" s="1987">
        <f>U14/'Base variables computation'!U$21</f>
        <v>2.2045557520389123E-4</v>
      </c>
      <c r="V7" s="1987">
        <f>V14/'Base variables computation'!V$21</f>
        <v>3.090566285771821E-4</v>
      </c>
      <c r="W7" s="1987">
        <f>W14/'Base variables computation'!W$21</f>
        <v>2.2504307098729657E-4</v>
      </c>
      <c r="X7" s="1987">
        <f>X14/'Base variables computation'!X$21</f>
        <v>3.8880407936342514E-3</v>
      </c>
      <c r="Y7" s="1987">
        <f>Y14/'Base variables computation'!Y$21</f>
        <v>4.5473915111620957E-3</v>
      </c>
      <c r="Z7" s="1987">
        <f>Z14/'Base variables computation'!Z$21</f>
        <v>2.316723417369315E-3</v>
      </c>
      <c r="AA7" s="1987">
        <f>AA14/'Base variables computation'!AA$21</f>
        <v>2.8345547708639603E-3</v>
      </c>
      <c r="AB7" s="1990">
        <f>AB14/'Base variables computation'!AB$21</f>
        <v>5.2821448351768562E-5</v>
      </c>
    </row>
    <row r="8" spans="1:28" x14ac:dyDescent="0.45">
      <c r="A8" s="1991" t="s">
        <v>1130</v>
      </c>
      <c r="B8" s="1991"/>
      <c r="C8" s="1992">
        <f ca="1">C15/'Base variables computation'!C$21</f>
        <v>0.81825983096737553</v>
      </c>
      <c r="D8" s="1992">
        <f ca="1">D15/'Base variables computation'!D$21</f>
        <v>0.26569664661206421</v>
      </c>
      <c r="E8" s="1992">
        <f ca="1">E15/'Base variables computation'!E$21</f>
        <v>0.68188319247281293</v>
      </c>
      <c r="F8" s="1992">
        <f ca="1">F15/'Base variables computation'!F$21</f>
        <v>0.26569664661206421</v>
      </c>
      <c r="G8" s="1992">
        <f ca="1">G15/'Base variables computation'!G$21</f>
        <v>0.81825983096737553</v>
      </c>
      <c r="H8" s="1992">
        <f ca="1">H15/'Base variables computation'!H$21</f>
        <v>0.26569664661206421</v>
      </c>
      <c r="I8" s="1992">
        <f ca="1">I15/'Base variables computation'!I$21</f>
        <v>0.68188319247281293</v>
      </c>
      <c r="J8" s="1992">
        <f ca="1">J15/'Base variables computation'!J$21</f>
        <v>0.26569664661206421</v>
      </c>
      <c r="K8" s="1992">
        <f ca="1">K15/'Base variables computation'!K$21</f>
        <v>0.94043474551772488</v>
      </c>
      <c r="L8" s="1992">
        <f ca="1">L15/'Base variables computation'!L$21</f>
        <v>0.43538526125506322</v>
      </c>
      <c r="M8" s="1992">
        <f ca="1">M15/'Base variables computation'!M$21</f>
        <v>0.5040446744129391</v>
      </c>
      <c r="N8" s="1992">
        <f ca="1">N15/'Base variables computation'!N$21</f>
        <v>0.55247840452428743</v>
      </c>
      <c r="O8" s="1992">
        <f ca="1">O15/'Base variables computation'!O$21</f>
        <v>0.36003176028166062</v>
      </c>
      <c r="P8" s="1992">
        <f ca="1">P15/'Base variables computation'!P$21</f>
        <v>0.31767508260146515</v>
      </c>
      <c r="Q8" s="1992">
        <f ca="1">Q15/'Base variables computation'!Q$21</f>
        <v>0.41752330181895814</v>
      </c>
      <c r="R8" s="1992">
        <f ca="1">R15/'Base variables computation'!R$21</f>
        <v>0.36282105104588602</v>
      </c>
      <c r="S8" s="1992">
        <f ca="1">S15/'Base variables computation'!S$21</f>
        <v>0.34160997421551115</v>
      </c>
      <c r="T8" s="1992">
        <f ca="1">T15/'Base variables computation'!T$21</f>
        <v>0.30700242780805748</v>
      </c>
      <c r="U8" s="1992">
        <f ca="1">U15/'Base variables computation'!U$21</f>
        <v>0.75137063015303085</v>
      </c>
      <c r="V8" s="1992">
        <f ca="1">V15/'Base variables computation'!V$21</f>
        <v>0.41752330181895814</v>
      </c>
      <c r="W8" s="1992">
        <f ca="1">W15/'Base variables computation'!W$21</f>
        <v>1.0735300264028775</v>
      </c>
      <c r="X8" s="1992">
        <f ca="1">X15/'Base variables computation'!X$21</f>
        <v>1.8183551799275011</v>
      </c>
      <c r="Y8" s="1992">
        <f ca="1">Y15/'Base variables computation'!Y$21</f>
        <v>0.87300326743963985</v>
      </c>
      <c r="Z8" s="1992">
        <f ca="1">Z15/'Base variables computation'!Z$21</f>
        <v>3.2419831160486416</v>
      </c>
      <c r="AA8" s="1992">
        <f ca="1">AA15/'Base variables computation'!AA$21</f>
        <v>1.3757003658207154</v>
      </c>
      <c r="AB8" s="1993">
        <f ca="1">AB15/'Base variables computation'!AB$21</f>
        <v>0.42039641039839415</v>
      </c>
    </row>
    <row r="9" spans="1:28" x14ac:dyDescent="0.45">
      <c r="A9" s="1994" t="s">
        <v>1131</v>
      </c>
      <c r="B9" s="1994"/>
      <c r="C9" s="1995">
        <f>C16/'Base variables computation'!C$21</f>
        <v>0</v>
      </c>
      <c r="D9" s="1995">
        <f>D16/'Base variables computation'!D$21</f>
        <v>0</v>
      </c>
      <c r="E9" s="1995">
        <f>E16/'Base variables computation'!E$21</f>
        <v>0</v>
      </c>
      <c r="F9" s="1995">
        <f>F16/'Base variables computation'!F$21</f>
        <v>0</v>
      </c>
      <c r="G9" s="1995">
        <f>G16/'Base variables computation'!G$21</f>
        <v>0</v>
      </c>
      <c r="H9" s="1995">
        <f>H16/'Base variables computation'!H$21</f>
        <v>5.7429117210486602E-2</v>
      </c>
      <c r="I9" s="1995">
        <f>I16/'Base variables computation'!I$21</f>
        <v>0</v>
      </c>
      <c r="J9" s="1995">
        <f>J16/'Base variables computation'!J$21</f>
        <v>5.7429117210486602E-2</v>
      </c>
      <c r="K9" s="1995">
        <f>K16/'Base variables computation'!K$21</f>
        <v>0</v>
      </c>
      <c r="L9" s="1995">
        <f>L16/'Base variables computation'!L$21</f>
        <v>0</v>
      </c>
      <c r="M9" s="1995">
        <f ca="1">M16/'Base variables computation'!M$21</f>
        <v>1.4411477315923284E-3</v>
      </c>
      <c r="N9" s="1995">
        <f ca="1">N16/'Base variables computation'!N$21</f>
        <v>1.3539667185163073E-3</v>
      </c>
      <c r="O9" s="1995">
        <f ca="1">O16/'Base variables computation'!O$21</f>
        <v>1.0293908079386479E-3</v>
      </c>
      <c r="P9" s="1995">
        <f ca="1">P16/'Base variables computation'!P$21</f>
        <v>7.785308631468765E-4</v>
      </c>
      <c r="Q9" s="1995">
        <f ca="1">Q16/'Base variables computation'!Q$21</f>
        <v>1.1937687071173712E-3</v>
      </c>
      <c r="R9" s="1995">
        <f ca="1">R16/'Base variables computation'!R$21</f>
        <v>8.8917073295602497E-4</v>
      </c>
      <c r="S9" s="1995">
        <f ca="1">S16/'Base variables computation'!S$21</f>
        <v>9.7671985127784923E-4</v>
      </c>
      <c r="T9" s="1995">
        <f ca="1">T16/'Base variables computation'!T$21</f>
        <v>7.5237523557817514E-4</v>
      </c>
      <c r="U9" s="1995">
        <f ca="1">U16/'Base variables computation'!U$21</f>
        <v>1.0522255641041015E-3</v>
      </c>
      <c r="V9" s="1995">
        <f ca="1">V16/'Base variables computation'!V$21</f>
        <v>5.8470304022075316E-4</v>
      </c>
      <c r="W9" s="1995">
        <f ca="1">W16/'Base variables computation'!W$21</f>
        <v>1.5033802124850093E-3</v>
      </c>
      <c r="X9" s="1995">
        <f>X16/'Base variables computation'!X$21</f>
        <v>0</v>
      </c>
      <c r="Y9" s="1995">
        <f>Y16/'Base variables computation'!Y$21</f>
        <v>0</v>
      </c>
      <c r="Z9" s="1995">
        <f ca="1">Z16/'Base variables computation'!Z$21</f>
        <v>0.57737812247934517</v>
      </c>
      <c r="AA9" s="1995">
        <f ca="1">AA16/'Base variables computation'!AA$21</f>
        <v>0.24500414279757637</v>
      </c>
      <c r="AB9" s="1996">
        <f ca="1">AB16/'Base variables computation'!AB$21</f>
        <v>0</v>
      </c>
    </row>
    <row r="10" spans="1:28" x14ac:dyDescent="0.45">
      <c r="A10" s="1997" t="s">
        <v>3551</v>
      </c>
      <c r="B10" s="1997"/>
      <c r="C10" s="1998">
        <f>C17/'Base variables computation'!C$21</f>
        <v>3.3406892781122424E-2</v>
      </c>
      <c r="D10" s="1998">
        <f>D17/'Base variables computation'!D$21</f>
        <v>3.3215740749813975E-2</v>
      </c>
      <c r="E10" s="1998">
        <f>E17/'Base variables computation'!E$21</f>
        <v>3.3472639339661645E-2</v>
      </c>
      <c r="F10" s="1998">
        <f>F17/'Base variables computation'!F$21</f>
        <v>3.3212088163228466E-2</v>
      </c>
      <c r="G10" s="1998">
        <f>G17/'Base variables computation'!G$21</f>
        <v>3.3406892781122424E-2</v>
      </c>
      <c r="H10" s="1998">
        <f>H17/'Base variables computation'!H$21</f>
        <v>3.3215740749813975E-2</v>
      </c>
      <c r="I10" s="1998">
        <f>I17/'Base variables computation'!I$21</f>
        <v>3.3472639339661645E-2</v>
      </c>
      <c r="J10" s="1998">
        <f>J17/'Base variables computation'!J$21</f>
        <v>3.3212088163228466E-2</v>
      </c>
      <c r="K10" s="1998">
        <f>K17/'Base variables computation'!K$21</f>
        <v>2.1448758955490602E-2</v>
      </c>
      <c r="L10" s="1998">
        <f>L17/'Base variables computation'!L$21</f>
        <v>2.1090662231420813E-2</v>
      </c>
      <c r="M10" s="1998">
        <f>M17/'Base variables computation'!M$21</f>
        <v>4.6021751302372455E-3</v>
      </c>
      <c r="N10" s="1998">
        <f>N17/'Base variables computation'!N$21</f>
        <v>4.5101664988445268E-3</v>
      </c>
      <c r="O10" s="1998">
        <f>O17/'Base variables computation'!O$21</f>
        <v>4.6021751302372455E-3</v>
      </c>
      <c r="P10" s="1998">
        <f>P17/'Base variables computation'!P$21</f>
        <v>4.5101664988445268E-3</v>
      </c>
      <c r="Q10" s="1998">
        <f>Q17/'Base variables computation'!Q$21</f>
        <v>5.4276596985629285E-3</v>
      </c>
      <c r="R10" s="1998">
        <f>R17/'Base variables computation'!R$21</f>
        <v>4.8145487143038497E-3</v>
      </c>
      <c r="S10" s="1998">
        <f>S17/'Base variables computation'!S$21</f>
        <v>5.4276596985629285E-3</v>
      </c>
      <c r="T10" s="1998">
        <f>T17/'Base variables computation'!T$21</f>
        <v>4.8145487143038497E-3</v>
      </c>
      <c r="U10" s="1998">
        <f>U17/'Base variables computation'!U$21</f>
        <v>6.1338264384285567E-3</v>
      </c>
      <c r="V10" s="1998">
        <f>V17/'Base variables computation'!V$21</f>
        <v>6.5477862514532357E-3</v>
      </c>
      <c r="W10" s="1998">
        <f>W17/'Base variables computation'!W$21</f>
        <v>6.1338264384285567E-3</v>
      </c>
      <c r="X10" s="1998">
        <f>X17/'Base variables computation'!X$21</f>
        <v>5.9326391679320335E-2</v>
      </c>
      <c r="Y10" s="1998">
        <f>Y17/'Base variables computation'!Y$21</f>
        <v>5.7955695865958591E-2</v>
      </c>
      <c r="Z10" s="1998">
        <f>Z17/'Base variables computation'!Z$21</f>
        <v>5.045730101349654E-2</v>
      </c>
      <c r="AA10" s="1998">
        <f>AA17/'Base variables computation'!AA$21</f>
        <v>4.9689856050529016E-2</v>
      </c>
      <c r="AB10" s="1999">
        <f>AB17/'Base variables computation'!AB$21</f>
        <v>2.8711925863300684E-2</v>
      </c>
    </row>
    <row r="11" spans="1:28" x14ac:dyDescent="0.45">
      <c r="A11" s="2000"/>
      <c r="B11" s="2000"/>
      <c r="C11" s="2001"/>
      <c r="D11" s="2001"/>
      <c r="E11" s="2001"/>
      <c r="F11" s="2001"/>
      <c r="G11" s="2001"/>
      <c r="H11" s="2001"/>
      <c r="I11" s="2001"/>
      <c r="J11" s="2001"/>
      <c r="K11" s="2001"/>
      <c r="L11" s="2001"/>
      <c r="M11" s="2001"/>
      <c r="N11" s="2001"/>
      <c r="O11" s="2001"/>
      <c r="P11" s="2001"/>
      <c r="Q11" s="2001"/>
      <c r="R11" s="2001"/>
      <c r="S11" s="2001"/>
      <c r="T11" s="2001"/>
      <c r="U11" s="2001"/>
      <c r="V11" s="2001"/>
      <c r="W11" s="2002"/>
      <c r="X11" s="2001"/>
      <c r="Y11" s="2001"/>
      <c r="Z11" s="2001"/>
      <c r="AA11" s="2001"/>
      <c r="AB11" s="2003"/>
    </row>
    <row r="12" spans="1:28" s="22" customFormat="1" x14ac:dyDescent="0.45">
      <c r="A12" s="1427" t="s">
        <v>1132</v>
      </c>
      <c r="B12" s="1427" t="s">
        <v>1066</v>
      </c>
      <c r="C12" s="1428">
        <f ca="1">SUM(C13:C17)</f>
        <v>0.95117374959209156</v>
      </c>
      <c r="D12" s="1428">
        <f t="shared" ref="D12:AB12" ca="1" si="1">SUM(D13:D17)</f>
        <v>0.52591870666383045</v>
      </c>
      <c r="E12" s="1428">
        <f t="shared" ca="1" si="1"/>
        <v>0.81473468833340401</v>
      </c>
      <c r="F12" s="1428">
        <f t="shared" ca="1" si="1"/>
        <v>0.53775372519005304</v>
      </c>
      <c r="G12" s="1428">
        <f t="shared" ca="1" si="1"/>
        <v>0.91155706324434549</v>
      </c>
      <c r="H12" s="1428">
        <f t="shared" ca="1" si="1"/>
        <v>0.49296602979587772</v>
      </c>
      <c r="I12" s="1428">
        <f t="shared" ca="1" si="1"/>
        <v>0.77516913336701398</v>
      </c>
      <c r="J12" s="1428">
        <f t="shared" ca="1" si="1"/>
        <v>0.49292125729998421</v>
      </c>
      <c r="K12" s="1428">
        <f t="shared" ca="1" si="1"/>
        <v>1.7041412369053883</v>
      </c>
      <c r="L12" s="1428">
        <f t="shared" ca="1" si="1"/>
        <v>0.92696768901342785</v>
      </c>
      <c r="M12" s="1428">
        <f t="shared" ca="1" si="1"/>
        <v>13.414571704958249</v>
      </c>
      <c r="N12" s="1428">
        <f t="shared" ca="1" si="1"/>
        <v>19.813850455105761</v>
      </c>
      <c r="O12" s="1428">
        <f t="shared" ca="1" si="1"/>
        <v>9.803954928584945</v>
      </c>
      <c r="P12" s="1428">
        <f t="shared" ca="1" si="1"/>
        <v>11.810972690647246</v>
      </c>
      <c r="Q12" s="1428">
        <f t="shared" ca="1" si="1"/>
        <v>11.912822209242485</v>
      </c>
      <c r="R12" s="1428">
        <f t="shared" ca="1" si="1"/>
        <v>14.163294036679629</v>
      </c>
      <c r="S12" s="1428">
        <f t="shared" ca="1" si="1"/>
        <v>10.009562797760321</v>
      </c>
      <c r="T12" s="1428">
        <f t="shared" ca="1" si="1"/>
        <v>12.260809799682612</v>
      </c>
      <c r="U12" s="1428">
        <f ca="1">SUM(U13:U17)</f>
        <v>19.438519765812948</v>
      </c>
      <c r="V12" s="1428">
        <f ca="1">SUM(V13:V17)</f>
        <v>11.827218638957802</v>
      </c>
      <c r="W12" s="1428">
        <f ca="1">SUM(W13:W17)</f>
        <v>27.548167384180317</v>
      </c>
      <c r="X12" s="1428">
        <f t="shared" ca="1" si="1"/>
        <v>3.1441049563826597</v>
      </c>
      <c r="Y12" s="1428">
        <f t="shared" ca="1" si="1"/>
        <v>2.2706450442039308</v>
      </c>
      <c r="Z12" s="1428">
        <f t="shared" ca="1" si="1"/>
        <v>3.8075171259580953</v>
      </c>
      <c r="AA12" s="1428">
        <f t="shared" ca="1" si="1"/>
        <v>1.9737168896705821</v>
      </c>
      <c r="AB12" s="1428">
        <f t="shared" ca="1" si="1"/>
        <v>181.39026907676023</v>
      </c>
    </row>
    <row r="13" spans="1:28" x14ac:dyDescent="0.45">
      <c r="A13" s="1983" t="s">
        <v>1128</v>
      </c>
      <c r="B13" s="1983"/>
      <c r="C13" s="1984">
        <f ca="1">C20/'Base variables computation'!C$23</f>
        <v>9.1839669892400819E-2</v>
      </c>
      <c r="D13" s="1984">
        <f ca="1">D20/'Base variables computation'!D$23</f>
        <v>0.21854570076817501</v>
      </c>
      <c r="E13" s="1984">
        <f ca="1">E20/'Base variables computation'!E$23</f>
        <v>9.1293281154217129E-2</v>
      </c>
      <c r="F13" s="1984">
        <f ca="1">F20/'Base variables computation'!F$23</f>
        <v>0.23024469844356268</v>
      </c>
      <c r="G13" s="1984">
        <f ca="1">G20/'Base variables computation'!G$23</f>
        <v>5.5275727117814887E-2</v>
      </c>
      <c r="H13" s="1984">
        <f ca="1">H20/'Base variables computation'!H$23</f>
        <v>0.13153248629114697</v>
      </c>
      <c r="I13" s="1984">
        <f ca="1">I20/'Base variables computation'!I$23</f>
        <v>5.4946983046795891E-2</v>
      </c>
      <c r="J13" s="1984">
        <f ca="1">J20/'Base variables computation'!J$23</f>
        <v>0.13150535005571179</v>
      </c>
      <c r="K13" s="1984">
        <f ca="1">K20/'Base variables computation'!K$23</f>
        <v>6.2646626058150204E-2</v>
      </c>
      <c r="L13" s="1984">
        <f ca="1">L20/'Base variables computation'!L$23</f>
        <v>0.14430431985324527</v>
      </c>
      <c r="M13" s="1984">
        <f ca="1">M20/'Base variables computation'!M$23</f>
        <v>0.65467602253691215</v>
      </c>
      <c r="N13" s="1984">
        <f ca="1">N20/'Base variables computation'!N$23</f>
        <v>0.82055924047455209</v>
      </c>
      <c r="O13" s="1984">
        <f ca="1">O20/'Base variables computation'!O$23</f>
        <v>0.65467602253691215</v>
      </c>
      <c r="P13" s="1984">
        <f ca="1">P20/'Base variables computation'!P$23</f>
        <v>0.82055924047455209</v>
      </c>
      <c r="Q13" s="1984">
        <f ca="1">Q20/'Base variables computation'!Q$23</f>
        <v>1.2978351828097929</v>
      </c>
      <c r="R13" s="1984">
        <f ca="1">R20/'Base variables computation'!R$23</f>
        <v>1.6202734799358121</v>
      </c>
      <c r="S13" s="1984">
        <f ca="1">S20/'Base variables computation'!S$23</f>
        <v>1.2978351828097929</v>
      </c>
      <c r="T13" s="1984">
        <f ca="1">T20/'Base variables computation'!T$23</f>
        <v>1.6202734799358121</v>
      </c>
      <c r="U13" s="1984">
        <f ca="1">U20/'Base variables computation'!U$23</f>
        <v>0.46909132254376351</v>
      </c>
      <c r="V13" s="1984">
        <f ca="1">V20/'Base variables computation'!V$23</f>
        <v>1.2030974454775691</v>
      </c>
      <c r="W13" s="1984">
        <f ca="1">W20/'Base variables computation'!W$23</f>
        <v>0.51336048106085863</v>
      </c>
      <c r="X13" s="1984">
        <f ca="1">X20/'Base variables computation'!X$23</f>
        <v>0.32175053778197621</v>
      </c>
      <c r="Y13" s="1984">
        <f ca="1">Y20/'Base variables computation'!Y$23</f>
        <v>0.8673855119787901</v>
      </c>
      <c r="Z13" s="1984">
        <f ca="1">Z20/'Base variables computation'!Z$23</f>
        <v>0.12169990094632177</v>
      </c>
      <c r="AA13" s="1984">
        <f ca="1">AA20/'Base variables computation'!AA$23</f>
        <v>0.38099980882511286</v>
      </c>
      <c r="AB13" s="1985">
        <f ca="1">AB20/'Base variables computation'!AB$23</f>
        <v>1.7258059927415856</v>
      </c>
    </row>
    <row r="14" spans="1:28" x14ac:dyDescent="0.45">
      <c r="A14" s="1986" t="s">
        <v>1129</v>
      </c>
      <c r="B14" s="1986"/>
      <c r="C14" s="1987">
        <f>C21/'Base variables computation'!C$23</f>
        <v>7.6673559511927607E-3</v>
      </c>
      <c r="D14" s="1987">
        <f>D21/'Base variables computation'!D$23</f>
        <v>8.4606185337772928E-3</v>
      </c>
      <c r="E14" s="1987">
        <f>E21/'Base variables computation'!E$23</f>
        <v>8.0855753667123664E-3</v>
      </c>
      <c r="F14" s="1987">
        <f>F21/'Base variables computation'!F$23</f>
        <v>8.6002919711975871E-3</v>
      </c>
      <c r="G14" s="1987">
        <f>G21/'Base variables computation'!G$23</f>
        <v>4.6146123780326795E-3</v>
      </c>
      <c r="H14" s="1987">
        <f>H21/'Base variables computation'!H$23</f>
        <v>5.0920389323659632E-3</v>
      </c>
      <c r="I14" s="1987">
        <f>I21/'Base variables computation'!I$23</f>
        <v>4.8663185077435544E-3</v>
      </c>
      <c r="J14" s="1987">
        <f>J21/'Base variables computation'!J$23</f>
        <v>5.0780552584931355E-3</v>
      </c>
      <c r="K14" s="1987">
        <f>K21/'Base variables computation'!K$23</f>
        <v>6.2926532427718361E-3</v>
      </c>
      <c r="L14" s="1987">
        <f>L21/'Base variables computation'!L$23</f>
        <v>6.6542992331597274E-3</v>
      </c>
      <c r="M14" s="1987">
        <f>M21/'Base variables computation'!M$23</f>
        <v>7.6957505521211807E-3</v>
      </c>
      <c r="N14" s="1987">
        <f>N21/'Base variables computation'!N$23</f>
        <v>9.6449314151702426E-3</v>
      </c>
      <c r="O14" s="1987">
        <f>O21/'Base variables computation'!O$23</f>
        <v>7.6957505521211807E-3</v>
      </c>
      <c r="P14" s="1987">
        <f>P21/'Base variables computation'!P$23</f>
        <v>9.6449314151702426E-3</v>
      </c>
      <c r="Q14" s="1987">
        <f>Q21/'Base variables computation'!Q$23</f>
        <v>1.1368770816731093E-2</v>
      </c>
      <c r="R14" s="1987">
        <f>R21/'Base variables computation'!R$23</f>
        <v>1.3178359976856577E-2</v>
      </c>
      <c r="S14" s="1987">
        <f>S21/'Base variables computation'!S$23</f>
        <v>1.1368770816731093E-2</v>
      </c>
      <c r="T14" s="1987">
        <f>T21/'Base variables computation'!T$23</f>
        <v>1.3178359976856577E-2</v>
      </c>
      <c r="U14" s="1987">
        <f>U21/'Base variables computation'!U$23</f>
        <v>5.5113893800972811E-3</v>
      </c>
      <c r="V14" s="1987">
        <f>V21/'Base variables computation'!V$23</f>
        <v>7.7264157144295523E-3</v>
      </c>
      <c r="W14" s="1987">
        <f>W21/'Base variables computation'!W$23</f>
        <v>5.6260767746824144E-3</v>
      </c>
      <c r="X14" s="1987">
        <f>X21/'Base variables computation'!X$23</f>
        <v>5.8320611904513773E-3</v>
      </c>
      <c r="Y14" s="1987">
        <f>Y21/'Base variables computation'!Y$23</f>
        <v>6.821087266743144E-3</v>
      </c>
      <c r="Z14" s="1987">
        <f>Z21/'Base variables computation'!Z$23</f>
        <v>2.2052481376394267E-3</v>
      </c>
      <c r="AA14" s="1987">
        <f>AA21/'Base variables computation'!AA$23</f>
        <v>2.6981626648306238E-3</v>
      </c>
      <c r="AB14" s="1990">
        <f>AB21/'Base variables computation'!AB$23</f>
        <v>2.1128579340707426E-2</v>
      </c>
    </row>
    <row r="15" spans="1:28" x14ac:dyDescent="0.45">
      <c r="A15" s="1991" t="s">
        <v>1130</v>
      </c>
      <c r="B15" s="1991"/>
      <c r="C15" s="1992">
        <f ca="1">C22/'Base variables computation'!C$23</f>
        <v>0.81825983096737553</v>
      </c>
      <c r="D15" s="1992">
        <f ca="1">D22/'Base variables computation'!D$23</f>
        <v>0.26569664661206421</v>
      </c>
      <c r="E15" s="1992">
        <f ca="1">E22/'Base variables computation'!E$23</f>
        <v>0.68188319247281293</v>
      </c>
      <c r="F15" s="1992">
        <f ca="1">F22/'Base variables computation'!F$23</f>
        <v>0.26569664661206421</v>
      </c>
      <c r="G15" s="1992">
        <f ca="1">G22/'Base variables computation'!G$23</f>
        <v>0.81825983096737553</v>
      </c>
      <c r="H15" s="1992">
        <f ca="1">H22/'Base variables computation'!H$23</f>
        <v>0.26569664661206421</v>
      </c>
      <c r="I15" s="1992">
        <f ca="1">I22/'Base variables computation'!I$23</f>
        <v>0.68188319247281293</v>
      </c>
      <c r="J15" s="1992">
        <f ca="1">J22/'Base variables computation'!J$23</f>
        <v>0.26569664661206421</v>
      </c>
      <c r="K15" s="1992">
        <f ca="1">K22/'Base variables computation'!K$23</f>
        <v>1.5987390673801323</v>
      </c>
      <c r="L15" s="1992">
        <f ca="1">L22/'Base variables computation'!L$23</f>
        <v>0.7401549441336075</v>
      </c>
      <c r="M15" s="1992">
        <f ca="1">M22/'Base variables computation'!M$23</f>
        <v>12.601116860323478</v>
      </c>
      <c r="N15" s="1992">
        <f ca="1">N22/'Base variables computation'!N$23</f>
        <v>18.784265753825771</v>
      </c>
      <c r="O15" s="1992">
        <f ca="1">O22/'Base variables computation'!O$23</f>
        <v>9.0007940070415149</v>
      </c>
      <c r="P15" s="1992">
        <f ca="1">P22/'Base variables computation'!P$23</f>
        <v>10.800952808449816</v>
      </c>
      <c r="Q15" s="1992">
        <f ca="1">Q22/'Base variables computation'!Q$23</f>
        <v>10.438082545473954</v>
      </c>
      <c r="R15" s="1992">
        <f ca="1">R22/'Base variables computation'!R$23</f>
        <v>12.335915735560125</v>
      </c>
      <c r="S15" s="1992">
        <f ca="1">S22/'Base variables computation'!S$23</f>
        <v>8.540249355387779</v>
      </c>
      <c r="T15" s="1992">
        <f ca="1">T22/'Base variables computation'!T$23</f>
        <v>10.438082545473954</v>
      </c>
      <c r="U15" s="1992">
        <f ca="1">U22/'Base variables computation'!U$23</f>
        <v>18.784265753825771</v>
      </c>
      <c r="V15" s="1992">
        <f ca="1">V22/'Base variables computation'!V$23</f>
        <v>10.438082545473954</v>
      </c>
      <c r="W15" s="1992">
        <f ca="1">W22/'Base variables computation'!W$23</f>
        <v>26.838250660071939</v>
      </c>
      <c r="X15" s="1992">
        <f ca="1">X22/'Base variables computation'!X$23</f>
        <v>2.7275327698912517</v>
      </c>
      <c r="Y15" s="1992">
        <f ca="1">Y22/'Base variables computation'!Y$23</f>
        <v>1.3095049011594597</v>
      </c>
      <c r="Z15" s="1992">
        <f ca="1">Z22/'Base variables computation'!Z$23</f>
        <v>3.0859865166999478</v>
      </c>
      <c r="AA15" s="1992">
        <f ca="1">AA22/'Base variables computation'!AA$23</f>
        <v>1.3095049011594597</v>
      </c>
      <c r="AB15" s="1993">
        <f ca="1">AB22/'Base variables computation'!AB$23</f>
        <v>168.15856415935767</v>
      </c>
    </row>
    <row r="16" spans="1:28" x14ac:dyDescent="0.45">
      <c r="A16" s="1994" t="s">
        <v>1131</v>
      </c>
      <c r="B16" s="1994"/>
      <c r="C16" s="1995">
        <f>C23/'Base variables computation'!C$23</f>
        <v>0</v>
      </c>
      <c r="D16" s="1995">
        <f>D23/'Base variables computation'!D$23</f>
        <v>0</v>
      </c>
      <c r="E16" s="1995">
        <f>E23/'Base variables computation'!E$23</f>
        <v>0</v>
      </c>
      <c r="F16" s="1995">
        <f>F23/'Base variables computation'!F$23</f>
        <v>0</v>
      </c>
      <c r="G16" s="1995">
        <f>G23/'Base variables computation'!G$23</f>
        <v>0</v>
      </c>
      <c r="H16" s="1995">
        <f>H23/'Base variables computation'!H$23</f>
        <v>5.7429117210486602E-2</v>
      </c>
      <c r="I16" s="1995">
        <f>I23/'Base variables computation'!I$23</f>
        <v>0</v>
      </c>
      <c r="J16" s="1995">
        <f>J23/'Base variables computation'!J$23</f>
        <v>5.7429117210486602E-2</v>
      </c>
      <c r="K16" s="1995">
        <f>K23/'Base variables computation'!K$23</f>
        <v>0</v>
      </c>
      <c r="L16" s="1995">
        <f>L23/'Base variables computation'!L$23</f>
        <v>0</v>
      </c>
      <c r="M16" s="1995">
        <f ca="1">M23/'Base variables computation'!M$23</f>
        <v>3.6028693289808213E-2</v>
      </c>
      <c r="N16" s="1995">
        <f ca="1">N23/'Base variables computation'!N$23</f>
        <v>4.6034868429554447E-2</v>
      </c>
      <c r="O16" s="1995">
        <f ca="1">O23/'Base variables computation'!O$23</f>
        <v>2.5734770198466199E-2</v>
      </c>
      <c r="P16" s="1995">
        <f ca="1">P23/'Base variables computation'!P$23</f>
        <v>2.6470049346993801E-2</v>
      </c>
      <c r="Q16" s="1995">
        <f ca="1">Q23/'Base variables computation'!Q$23</f>
        <v>2.9844217677934281E-2</v>
      </c>
      <c r="R16" s="1995">
        <f ca="1">R23/'Base variables computation'!R$23</f>
        <v>3.023180492050485E-2</v>
      </c>
      <c r="S16" s="1995">
        <f ca="1">S23/'Base variables computation'!S$23</f>
        <v>2.4417996281946231E-2</v>
      </c>
      <c r="T16" s="1995">
        <f ca="1">T23/'Base variables computation'!T$23</f>
        <v>2.5580758009657954E-2</v>
      </c>
      <c r="U16" s="1995">
        <f ca="1">U23/'Base variables computation'!U$23</f>
        <v>2.630563910260254E-2</v>
      </c>
      <c r="V16" s="1995">
        <f ca="1">V23/'Base variables computation'!V$23</f>
        <v>1.461757600551883E-2</v>
      </c>
      <c r="W16" s="1995">
        <f ca="1">W23/'Base variables computation'!W$23</f>
        <v>3.7584505312125233E-2</v>
      </c>
      <c r="X16" s="1995">
        <f>X23/'Base variables computation'!X$23</f>
        <v>0</v>
      </c>
      <c r="Y16" s="1995">
        <f>Y23/'Base variables computation'!Y$23</f>
        <v>0</v>
      </c>
      <c r="Z16" s="1995">
        <f ca="1">Z23/'Base variables computation'!Z$23</f>
        <v>0.54959604576239784</v>
      </c>
      <c r="AA16" s="1995">
        <f ca="1">AA23/'Base variables computation'!AA$23</f>
        <v>0.23321511992649296</v>
      </c>
      <c r="AB16" s="1996">
        <f ca="1">AB23/'Base variables computation'!AB$23</f>
        <v>0</v>
      </c>
    </row>
    <row r="17" spans="1:28" x14ac:dyDescent="0.45">
      <c r="A17" s="1997" t="s">
        <v>3551</v>
      </c>
      <c r="B17" s="1997"/>
      <c r="C17" s="1998">
        <f>Infrastructure!C58</f>
        <v>3.3406892781122424E-2</v>
      </c>
      <c r="D17" s="1998">
        <f>Infrastructure!D58</f>
        <v>3.3215740749813975E-2</v>
      </c>
      <c r="E17" s="1998">
        <f>Infrastructure!E58</f>
        <v>3.3472639339661645E-2</v>
      </c>
      <c r="F17" s="1998">
        <f>Infrastructure!F58</f>
        <v>3.3212088163228466E-2</v>
      </c>
      <c r="G17" s="1998">
        <f>Infrastructure!G58</f>
        <v>3.3406892781122424E-2</v>
      </c>
      <c r="H17" s="1998">
        <f>Infrastructure!H58</f>
        <v>3.3215740749813975E-2</v>
      </c>
      <c r="I17" s="1998">
        <f>Infrastructure!I58</f>
        <v>3.3472639339661645E-2</v>
      </c>
      <c r="J17" s="1998">
        <f>Infrastructure!J58</f>
        <v>3.3212088163228466E-2</v>
      </c>
      <c r="K17" s="1998">
        <f>Infrastructure!K58</f>
        <v>3.6462890224334021E-2</v>
      </c>
      <c r="L17" s="1998">
        <f>Infrastructure!L58</f>
        <v>3.5854125793415383E-2</v>
      </c>
      <c r="M17" s="1998">
        <f>Infrastructure!M58</f>
        <v>0.11505437825593114</v>
      </c>
      <c r="N17" s="1998">
        <f>Infrastructure!N58</f>
        <v>0.15334566096071392</v>
      </c>
      <c r="O17" s="1998">
        <f>Infrastructure!O58</f>
        <v>0.11505437825593114</v>
      </c>
      <c r="P17" s="1998">
        <f>Infrastructure!P58</f>
        <v>0.15334566096071392</v>
      </c>
      <c r="Q17" s="1998">
        <f>Infrastructure!Q58</f>
        <v>0.13569149246407322</v>
      </c>
      <c r="R17" s="1998">
        <f>Infrastructure!R58</f>
        <v>0.1636946562863309</v>
      </c>
      <c r="S17" s="1998">
        <f>Infrastructure!S58</f>
        <v>0.13569149246407322</v>
      </c>
      <c r="T17" s="1998">
        <f>Infrastructure!T58</f>
        <v>0.1636946562863309</v>
      </c>
      <c r="U17" s="1998">
        <f>Infrastructure!U58</f>
        <v>0.15334566096071392</v>
      </c>
      <c r="V17" s="1998">
        <f>Infrastructure!V58</f>
        <v>0.1636946562863309</v>
      </c>
      <c r="W17" s="1998">
        <f>Infrastructure!W58</f>
        <v>0.15334566096071392</v>
      </c>
      <c r="X17" s="1998">
        <f>Infrastructure!X58</f>
        <v>8.8989587518980506E-2</v>
      </c>
      <c r="Y17" s="1998">
        <f>Infrastructure!Y58</f>
        <v>8.693354379893789E-2</v>
      </c>
      <c r="Z17" s="1998">
        <f>Infrastructure!Z58</f>
        <v>4.802941441178829E-2</v>
      </c>
      <c r="AA17" s="1998">
        <f>Infrastructure!AA58</f>
        <v>4.7298897094685911E-2</v>
      </c>
      <c r="AB17" s="1999">
        <f>Infrastructure!AB58</f>
        <v>11.484770345320273</v>
      </c>
    </row>
    <row r="18" spans="1:28" x14ac:dyDescent="0.45">
      <c r="A18" s="2000"/>
      <c r="B18" s="2000"/>
      <c r="C18" s="2001"/>
      <c r="D18" s="2001"/>
      <c r="E18" s="2001"/>
      <c r="F18" s="2001"/>
      <c r="G18" s="2001"/>
      <c r="H18" s="2001"/>
      <c r="I18" s="2001"/>
      <c r="J18" s="2001"/>
      <c r="K18" s="2001"/>
      <c r="L18" s="2001"/>
      <c r="M18" s="2001"/>
      <c r="N18" s="2001"/>
      <c r="O18" s="2001"/>
      <c r="P18" s="2001"/>
      <c r="Q18" s="2001"/>
      <c r="R18" s="2001"/>
      <c r="S18" s="2001"/>
      <c r="T18" s="2001"/>
      <c r="U18" s="2001"/>
      <c r="V18" s="2001"/>
      <c r="W18" s="2002"/>
      <c r="X18" s="2001"/>
      <c r="Y18" s="2001"/>
      <c r="Z18" s="2001"/>
      <c r="AA18" s="2001"/>
      <c r="AB18" s="2003"/>
    </row>
    <row r="19" spans="1:28" s="22" customFormat="1" x14ac:dyDescent="0.45">
      <c r="A19" s="1427" t="s">
        <v>1133</v>
      </c>
      <c r="B19" s="1427" t="s">
        <v>100</v>
      </c>
      <c r="C19" s="1429">
        <f t="shared" ref="C19:AB19" ca="1" si="2">SUM(C20:C24)</f>
        <v>61826.293723485949</v>
      </c>
      <c r="D19" s="1429">
        <f t="shared" ca="1" si="2"/>
        <v>34184.715933148982</v>
      </c>
      <c r="E19" s="1429">
        <f t="shared" ca="1" si="2"/>
        <v>52957.754741671262</v>
      </c>
      <c r="F19" s="1429">
        <f t="shared" ca="1" si="2"/>
        <v>34953.992137353445</v>
      </c>
      <c r="G19" s="1429">
        <f t="shared" ca="1" si="2"/>
        <v>98448.162830389309</v>
      </c>
      <c r="H19" s="1429">
        <f t="shared" ca="1" si="2"/>
        <v>53240.331217954794</v>
      </c>
      <c r="I19" s="1429">
        <f t="shared" ca="1" si="2"/>
        <v>83718.266403637521</v>
      </c>
      <c r="J19" s="1429">
        <f t="shared" ca="1" si="2"/>
        <v>53235.495788398293</v>
      </c>
      <c r="K19" s="1429">
        <f t="shared" ca="1" si="2"/>
        <v>477159.54633350874</v>
      </c>
      <c r="L19" s="1429">
        <f t="shared" ca="1" si="2"/>
        <v>259550.95292375982</v>
      </c>
      <c r="M19" s="1429">
        <f t="shared" ca="1" si="2"/>
        <v>9658491.6275699399</v>
      </c>
      <c r="N19" s="1429">
        <f t="shared" ca="1" si="2"/>
        <v>16643634.382288842</v>
      </c>
      <c r="O19" s="1429">
        <f t="shared" ca="1" si="2"/>
        <v>7058847.5485811615</v>
      </c>
      <c r="P19" s="1429">
        <f t="shared" ca="1" si="2"/>
        <v>9921217.0601436887</v>
      </c>
      <c r="Q19" s="1429">
        <f t="shared" ca="1" si="2"/>
        <v>8577231.9906545877</v>
      </c>
      <c r="R19" s="1429">
        <f t="shared" ca="1" si="2"/>
        <v>11897166.99081089</v>
      </c>
      <c r="S19" s="1429">
        <f t="shared" ca="1" si="2"/>
        <v>7206885.2143874327</v>
      </c>
      <c r="T19" s="1429">
        <f t="shared" ca="1" si="2"/>
        <v>10299080.231733395</v>
      </c>
      <c r="U19" s="1429">
        <f ca="1">SUM(U20:U24)</f>
        <v>28574624.055745035</v>
      </c>
      <c r="V19" s="1429">
        <f ca="1">SUM(V20:V24)</f>
        <v>17386011.399267968</v>
      </c>
      <c r="W19" s="1429">
        <f ca="1">SUM(W20:W24)</f>
        <v>40495806.054745071</v>
      </c>
      <c r="X19" s="1429">
        <f t="shared" ca="1" si="2"/>
        <v>570655.04958345275</v>
      </c>
      <c r="Y19" s="1429">
        <f t="shared" ca="1" si="2"/>
        <v>412122.07552301348</v>
      </c>
      <c r="Z19" s="1429">
        <f t="shared" ca="1" si="2"/>
        <v>1827608.2204598857</v>
      </c>
      <c r="AA19" s="1429">
        <f t="shared" ca="1" si="2"/>
        <v>947384.10704187944</v>
      </c>
      <c r="AB19" s="1429">
        <f t="shared" ca="1" si="2"/>
        <v>1300205448.7422171</v>
      </c>
    </row>
    <row r="20" spans="1:28" x14ac:dyDescent="0.45">
      <c r="A20" s="1983" t="s">
        <v>1128</v>
      </c>
      <c r="B20" s="1983"/>
      <c r="C20" s="1985">
        <f ca="1">'Vehicle manufacturing'!C142</f>
        <v>5969.5785430060532</v>
      </c>
      <c r="D20" s="1985">
        <f ca="1">'Vehicle manufacturing'!D142</f>
        <v>14205.470549931375</v>
      </c>
      <c r="E20" s="1985">
        <f ca="1">'Vehicle manufacturing'!E142</f>
        <v>5934.063275024113</v>
      </c>
      <c r="F20" s="1985">
        <f ca="1">'Vehicle manufacturing'!F142</f>
        <v>14965.905398831574</v>
      </c>
      <c r="G20" s="1985">
        <f ca="1">'Vehicle manufacturing'!G142</f>
        <v>5969.7785287240076</v>
      </c>
      <c r="H20" s="1985">
        <f ca="1">'Vehicle manufacturing'!H142</f>
        <v>14205.508519443873</v>
      </c>
      <c r="I20" s="1985">
        <f ca="1">'Vehicle manufacturing'!I142</f>
        <v>5934.274169053956</v>
      </c>
      <c r="J20" s="1985">
        <f ca="1">'Vehicle manufacturing'!J142</f>
        <v>14202.577806016874</v>
      </c>
      <c r="K20" s="1985">
        <f ca="1">'Vehicle manufacturing'!K142</f>
        <v>17541.055296282058</v>
      </c>
      <c r="L20" s="1985">
        <f ca="1">'Vehicle manufacturing'!L142</f>
        <v>40405.209558908675</v>
      </c>
      <c r="M20" s="1985">
        <f ca="1">'Vehicle manufacturing'!M142</f>
        <v>471366.73622657673</v>
      </c>
      <c r="N20" s="1985">
        <f ca="1">'Vehicle manufacturing'!N142</f>
        <v>689269.76199862373</v>
      </c>
      <c r="O20" s="1985">
        <f ca="1">'Vehicle manufacturing'!O142</f>
        <v>471366.73622657673</v>
      </c>
      <c r="P20" s="1985">
        <f ca="1">'Vehicle manufacturing'!P142</f>
        <v>689269.76199862373</v>
      </c>
      <c r="Q20" s="1985">
        <f ca="1">'Vehicle manufacturing'!Q142</f>
        <v>934441.33162305085</v>
      </c>
      <c r="R20" s="1985">
        <f ca="1">'Vehicle manufacturing'!R142</f>
        <v>1361029.7231460821</v>
      </c>
      <c r="S20" s="1985">
        <f ca="1">'Vehicle manufacturing'!S142</f>
        <v>934441.33162305085</v>
      </c>
      <c r="T20" s="1985">
        <f ca="1">'Vehicle manufacturing'!T142</f>
        <v>1361029.7231460821</v>
      </c>
      <c r="U20" s="1985">
        <f ca="1">'Vehicle manufacturing'!U142</f>
        <v>689564.24413933232</v>
      </c>
      <c r="V20" s="1985">
        <f ca="1">'Vehicle manufacturing'!V142</f>
        <v>1768553.2448520267</v>
      </c>
      <c r="W20" s="1985">
        <f ca="1">'Vehicle manufacturing'!W142</f>
        <v>754639.90715946222</v>
      </c>
      <c r="X20" s="1985">
        <f ca="1">'Vehicle manufacturing'!X142</f>
        <v>58397.722607428681</v>
      </c>
      <c r="Y20" s="1985">
        <f ca="1">'Vehicle manufacturing'!Y142</f>
        <v>157430.47042415041</v>
      </c>
      <c r="Z20" s="1985">
        <f ca="1">'Vehicle manufacturing'!Z142</f>
        <v>58415.952454234452</v>
      </c>
      <c r="AA20" s="1985">
        <f ca="1">'Vehicle manufacturing'!AA142</f>
        <v>182879.90823605418</v>
      </c>
      <c r="AB20" s="1985">
        <f ca="1">'Vehicle manufacturing'!AB142</f>
        <v>12370577.355971687</v>
      </c>
    </row>
    <row r="21" spans="1:28" x14ac:dyDescent="0.45">
      <c r="A21" s="1986" t="s">
        <v>1129</v>
      </c>
      <c r="B21" s="1986"/>
      <c r="C21" s="1990">
        <f>Transport!C76</f>
        <v>498.37813682752943</v>
      </c>
      <c r="D21" s="1990">
        <f>Transport!D76</f>
        <v>549.94020469552402</v>
      </c>
      <c r="E21" s="1990">
        <f>Transport!E76</f>
        <v>525.56239883630383</v>
      </c>
      <c r="F21" s="1990">
        <f>Transport!F76</f>
        <v>559.01897812784318</v>
      </c>
      <c r="G21" s="1990">
        <f>Transport!G76</f>
        <v>498.37813682752943</v>
      </c>
      <c r="H21" s="1990">
        <f>Transport!H76</f>
        <v>549.94020469552402</v>
      </c>
      <c r="I21" s="1990">
        <f>Transport!I76</f>
        <v>525.56239883630383</v>
      </c>
      <c r="J21" s="1990">
        <f>Transport!J76</f>
        <v>548.42996791725864</v>
      </c>
      <c r="K21" s="1990">
        <f>Transport!K76</f>
        <v>1761.9429079761142</v>
      </c>
      <c r="L21" s="1990">
        <f>Transport!L76</f>
        <v>1863.2037852847236</v>
      </c>
      <c r="M21" s="1990">
        <f>Transport!M76</f>
        <v>5540.9403975272498</v>
      </c>
      <c r="N21" s="1990">
        <f>Transport!N76</f>
        <v>8101.7423887430032</v>
      </c>
      <c r="O21" s="1990">
        <f>Transport!O76</f>
        <v>5540.9403975272498</v>
      </c>
      <c r="P21" s="1990">
        <f>Transport!P76</f>
        <v>8101.7423887430032</v>
      </c>
      <c r="Q21" s="1990">
        <f>Transport!Q76</f>
        <v>8185.5149880463869</v>
      </c>
      <c r="R21" s="1990">
        <f>Transport!R76</f>
        <v>11069.822380559524</v>
      </c>
      <c r="S21" s="1990">
        <f>Transport!S76</f>
        <v>8185.5149880463869</v>
      </c>
      <c r="T21" s="1990">
        <f>Transport!T76</f>
        <v>11069.822380559524</v>
      </c>
      <c r="U21" s="1990">
        <f>Transport!U76</f>
        <v>8101.7423887430032</v>
      </c>
      <c r="V21" s="1990">
        <f>Transport!V76</f>
        <v>11357.831100211442</v>
      </c>
      <c r="W21" s="1990">
        <f>Transport!W76</f>
        <v>8270.3328587831493</v>
      </c>
      <c r="X21" s="1990">
        <f>Transport!X76</f>
        <v>1058.5191060669249</v>
      </c>
      <c r="Y21" s="1990">
        <f>Transport!Y76</f>
        <v>1238.0273389138806</v>
      </c>
      <c r="Z21" s="1990">
        <f>Transport!Z76</f>
        <v>1058.5191060669249</v>
      </c>
      <c r="AA21" s="1990">
        <f>Transport!AA76</f>
        <v>1295.1180791186994</v>
      </c>
      <c r="AB21" s="1990">
        <f>Transport!AB76</f>
        <v>151449.65671419082</v>
      </c>
    </row>
    <row r="22" spans="1:28" x14ac:dyDescent="0.45">
      <c r="A22" s="1991" t="s">
        <v>1130</v>
      </c>
      <c r="B22" s="1991"/>
      <c r="C22" s="1993">
        <f ca="1">Use!C50*(1-'Base variables computation'!C24)</f>
        <v>53186.889012879408</v>
      </c>
      <c r="D22" s="1993">
        <f ca="1">Use!D50*(1-'Base variables computation'!D24)</f>
        <v>17270.282029784175</v>
      </c>
      <c r="E22" s="1993">
        <f ca="1">Use!E50*(1-'Base variables computation'!E24)</f>
        <v>44322.407510732839</v>
      </c>
      <c r="F22" s="1993">
        <f ca="1">Use!F50*(1-'Base variables computation'!F24)</f>
        <v>17270.282029784175</v>
      </c>
      <c r="G22" s="1993">
        <f ca="1">Use!G50*(1-'Base variables computation'!G24)</f>
        <v>88372.061744476552</v>
      </c>
      <c r="H22" s="1993">
        <f ca="1">Use!H50*(1-'Base variables computation'!H24)</f>
        <v>28695.237834102936</v>
      </c>
      <c r="I22" s="1993">
        <f ca="1">Use!I50*(1-'Base variables computation'!I24)</f>
        <v>73643.384787063798</v>
      </c>
      <c r="J22" s="1993">
        <f ca="1">Use!J50*(1-'Base variables computation'!J24)</f>
        <v>28695.237834102936</v>
      </c>
      <c r="K22" s="1993">
        <f ca="1">Use!K50*(1-'Base variables computation'!K24)</f>
        <v>447646.93886643706</v>
      </c>
      <c r="L22" s="1993">
        <f ca="1">Use!L50*(1-'Base variables computation'!L24)</f>
        <v>207243.3843574101</v>
      </c>
      <c r="M22" s="1993">
        <f ca="1">Use!M50*(1-'Base variables computation'!M24)</f>
        <v>9072804.1394329034</v>
      </c>
      <c r="N22" s="1993">
        <f ca="1">Use!N50*(1-'Base variables computation'!N24)</f>
        <v>15778783.233213648</v>
      </c>
      <c r="O22" s="1993">
        <f ca="1">Use!O50*(1-'Base variables computation'!O24)</f>
        <v>6480571.6850698907</v>
      </c>
      <c r="P22" s="1993">
        <f ca="1">Use!P50*(1-'Base variables computation'!P24)</f>
        <v>9072800.3590978459</v>
      </c>
      <c r="Q22" s="1993">
        <f ca="1">Use!Q50*(1-'Base variables computation'!Q24)</f>
        <v>7515419.4327412462</v>
      </c>
      <c r="R22" s="1993">
        <f ca="1">Use!R50*(1-'Base variables computation'!R24)</f>
        <v>10362169.217870506</v>
      </c>
      <c r="S22" s="1993">
        <f ca="1">Use!S50*(1-'Base variables computation'!S24)</f>
        <v>6148979.5358792013</v>
      </c>
      <c r="T22" s="1993">
        <f ca="1">Use!T50*(1-'Base variables computation'!T24)</f>
        <v>8767989.3381981216</v>
      </c>
      <c r="U22" s="1993">
        <f ca="1">Use!U50*(1-'Base variables computation'!U24)</f>
        <v>27612870.658123884</v>
      </c>
      <c r="V22" s="1993">
        <f ca="1">Use!V50*(1-'Base variables computation'!V24)</f>
        <v>15343981.341846712</v>
      </c>
      <c r="W22" s="1993">
        <f ca="1">Use!W50*(1-'Base variables computation'!W24)</f>
        <v>39452228.470305748</v>
      </c>
      <c r="X22" s="1993">
        <f ca="1">Use!X50*(1-'Base variables computation'!X24)</f>
        <v>495047.19773526216</v>
      </c>
      <c r="Y22" s="1993">
        <f ca="1">Use!Y50*(1-'Base variables computation'!Y24)</f>
        <v>237675.13956044195</v>
      </c>
      <c r="Z22" s="1993">
        <f ca="1">Use!Z50*(1-'Base variables computation'!Z24)</f>
        <v>1481273.5280159749</v>
      </c>
      <c r="AA22" s="1993">
        <f ca="1">Use!AA50*(1-'Base variables computation'!AA24)</f>
        <v>628562.35255654063</v>
      </c>
      <c r="AB22" s="1993">
        <f ca="1">Use!AB50*(1-'Base variables computation'!AB24)</f>
        <v>1205360587.8942757</v>
      </c>
    </row>
    <row r="23" spans="1:28" x14ac:dyDescent="0.45">
      <c r="A23" s="1994" t="s">
        <v>1131</v>
      </c>
      <c r="B23" s="1994"/>
      <c r="C23" s="1996">
        <f>'Operational services'!C17</f>
        <v>0</v>
      </c>
      <c r="D23" s="1996">
        <f>'Operational services'!D17</f>
        <v>0</v>
      </c>
      <c r="E23" s="1996">
        <f>'Operational services'!E17</f>
        <v>0</v>
      </c>
      <c r="F23" s="1996">
        <f>'Operational services'!F17</f>
        <v>0</v>
      </c>
      <c r="G23" s="1996">
        <f>'Operational services'!G17</f>
        <v>0</v>
      </c>
      <c r="H23" s="1996">
        <f>'Operational services'!H17</f>
        <v>6202.3446587325534</v>
      </c>
      <c r="I23" s="1996">
        <f>'Operational services'!I17</f>
        <v>0</v>
      </c>
      <c r="J23" s="1996">
        <f>'Operational services'!J17</f>
        <v>6202.3446587325534</v>
      </c>
      <c r="K23" s="1996">
        <f>'Operational services'!K17</f>
        <v>0</v>
      </c>
      <c r="L23" s="1996">
        <f>'Operational services'!L17</f>
        <v>0</v>
      </c>
      <c r="M23" s="1996">
        <f ca="1">'Operational services'!M17</f>
        <v>25940.659168661914</v>
      </c>
      <c r="N23" s="1996">
        <f ca="1">'Operational services'!N17</f>
        <v>38669.289480825733</v>
      </c>
      <c r="O23" s="1996">
        <f ca="1">'Operational services'!O17</f>
        <v>18529.034542895664</v>
      </c>
      <c r="P23" s="1996">
        <f ca="1">'Operational services'!P17</f>
        <v>22234.841451474793</v>
      </c>
      <c r="Q23" s="1996">
        <f ca="1">'Operational services'!Q17</f>
        <v>21487.836728112681</v>
      </c>
      <c r="R23" s="1996">
        <f ca="1">'Operational services'!R17</f>
        <v>25394.716133224076</v>
      </c>
      <c r="S23" s="1996">
        <f ca="1">'Operational services'!S17</f>
        <v>17580.957323001287</v>
      </c>
      <c r="T23" s="1996">
        <f ca="1">'Operational services'!T17</f>
        <v>21487.836728112681</v>
      </c>
      <c r="U23" s="1996">
        <f ca="1">'Operational services'!U17</f>
        <v>38669.289480825733</v>
      </c>
      <c r="V23" s="1996">
        <f ca="1">'Operational services'!V17</f>
        <v>21487.836728112681</v>
      </c>
      <c r="W23" s="1996">
        <f ca="1">'Operational services'!W17</f>
        <v>55249.222808824088</v>
      </c>
      <c r="X23" s="1996">
        <f>'Operational services'!X17</f>
        <v>0</v>
      </c>
      <c r="Y23" s="1996">
        <f>'Operational services'!Y17</f>
        <v>0</v>
      </c>
      <c r="Z23" s="1996">
        <f ca="1">'Operational services'!Z17</f>
        <v>263806.10196595098</v>
      </c>
      <c r="AA23" s="1996">
        <f ca="1">'Operational services'!AA17</f>
        <v>111943.25756471662</v>
      </c>
      <c r="AB23" s="1996">
        <f ca="1">'Operational services'!AB17</f>
        <v>0</v>
      </c>
    </row>
    <row r="24" spans="1:28" ht="28.25" customHeight="1" x14ac:dyDescent="0.45">
      <c r="A24" s="1997" t="s">
        <v>3574</v>
      </c>
      <c r="B24" s="1997"/>
      <c r="C24" s="1999">
        <f>'Base variables computation'!C23*Summary!C17</f>
        <v>2171.4480307729577</v>
      </c>
      <c r="D24" s="1999">
        <f>'Base variables computation'!D23*Summary!D17</f>
        <v>2159.0231487379083</v>
      </c>
      <c r="E24" s="1999">
        <f>'Base variables computation'!E23*Summary!E17</f>
        <v>2175.7215570780068</v>
      </c>
      <c r="F24" s="1999">
        <f>'Base variables computation'!F23*Summary!F17</f>
        <v>2158.7857306098504</v>
      </c>
      <c r="G24" s="1999">
        <f>'Base variables computation'!G23*Summary!G17</f>
        <v>3607.944420361222</v>
      </c>
      <c r="H24" s="1999">
        <f>'Base variables computation'!H23*Summary!H17</f>
        <v>3587.3000009799093</v>
      </c>
      <c r="I24" s="1999">
        <f>'Base variables computation'!I23*Summary!I17</f>
        <v>3615.0450486834575</v>
      </c>
      <c r="J24" s="1999">
        <f>'Base variables computation'!J23*Summary!J17</f>
        <v>3586.9055216286743</v>
      </c>
      <c r="K24" s="1999">
        <f>'Base variables computation'!K23*Summary!K17</f>
        <v>10209.609262813527</v>
      </c>
      <c r="L24" s="1999">
        <f>'Base variables computation'!L23*Summary!L17</f>
        <v>10039.155222156307</v>
      </c>
      <c r="M24" s="1999">
        <f>'Base variables computation'!M23*Summary!M17</f>
        <v>82839.15234427042</v>
      </c>
      <c r="N24" s="1999">
        <f>'Base variables computation'!N23*Summary!N17</f>
        <v>128810.35520699969</v>
      </c>
      <c r="O24" s="1999">
        <f>'Base variables computation'!O23*Summary!O17</f>
        <v>82839.15234427042</v>
      </c>
      <c r="P24" s="1999">
        <f>'Base variables computation'!P23*Summary!P17</f>
        <v>128810.35520699969</v>
      </c>
      <c r="Q24" s="1999">
        <f>'Base variables computation'!Q23*Summary!Q17</f>
        <v>97697.874574132715</v>
      </c>
      <c r="R24" s="1999">
        <f>'Base variables computation'!R23*Summary!R17</f>
        <v>137503.51128051797</v>
      </c>
      <c r="S24" s="1999">
        <f>'Base variables computation'!S23*Summary!S17</f>
        <v>97697.874574132715</v>
      </c>
      <c r="T24" s="1999">
        <f>'Base variables computation'!T23*Summary!T17</f>
        <v>137503.51128051797</v>
      </c>
      <c r="U24" s="1999">
        <f>'Base variables computation'!U23*Summary!U17</f>
        <v>225418.12161224947</v>
      </c>
      <c r="V24" s="1999">
        <f>'Base variables computation'!V23*Summary!V17</f>
        <v>240631.14474090643</v>
      </c>
      <c r="W24" s="1999">
        <f>'Base variables computation'!W23*Summary!W17</f>
        <v>225418.12161224947</v>
      </c>
      <c r="X24" s="1999">
        <f>'Base variables computation'!X23*Summary!X17</f>
        <v>16151.610134694962</v>
      </c>
      <c r="Y24" s="1999">
        <f>'Base variables computation'!Y23*Summary!Y17</f>
        <v>15778.438199507227</v>
      </c>
      <c r="Z24" s="1999">
        <f>'Base variables computation'!Z23*Summary!Z17</f>
        <v>23054.118917658379</v>
      </c>
      <c r="AA24" s="1999">
        <f>'Base variables computation'!AA23*Summary!AA17</f>
        <v>22703.470605449238</v>
      </c>
      <c r="AB24" s="1999">
        <f>'Base variables computation'!AB23*Summary!AB17</f>
        <v>82322833.835255712</v>
      </c>
    </row>
    <row r="25" spans="1:28" x14ac:dyDescent="0.45">
      <c r="A25" s="2004"/>
      <c r="B25" s="2004"/>
      <c r="C25" s="2005"/>
      <c r="D25" s="2005"/>
      <c r="E25" s="2005"/>
      <c r="F25" s="2005"/>
      <c r="G25" s="2005"/>
      <c r="H25" s="2005"/>
      <c r="I25" s="2005"/>
      <c r="J25" s="2005"/>
      <c r="K25" s="2005"/>
      <c r="L25" s="2005"/>
      <c r="M25" s="2005"/>
      <c r="N25" s="2005"/>
      <c r="O25" s="2005"/>
      <c r="P25" s="2005"/>
      <c r="Q25" s="2005"/>
      <c r="R25" s="2005"/>
      <c r="S25" s="2005"/>
      <c r="T25" s="2005"/>
      <c r="U25" s="2005"/>
      <c r="V25" s="2005"/>
      <c r="W25" s="2006"/>
      <c r="X25" s="2005"/>
      <c r="Y25" s="2005"/>
      <c r="Z25" s="2005"/>
      <c r="AA25" s="2005"/>
      <c r="AB25" s="2007"/>
    </row>
    <row r="26" spans="1:28" x14ac:dyDescent="0.45">
      <c r="A26" s="2004"/>
      <c r="B26" s="2004"/>
      <c r="C26" s="2005"/>
      <c r="D26" s="2005"/>
      <c r="E26" s="2005"/>
      <c r="F26" s="2005"/>
      <c r="G26" s="2005"/>
      <c r="H26" s="2005"/>
      <c r="I26" s="2005"/>
      <c r="J26" s="2005"/>
      <c r="K26" s="2005"/>
      <c r="L26" s="2005"/>
      <c r="M26" s="2005"/>
      <c r="N26" s="2005"/>
      <c r="O26" s="2005"/>
      <c r="P26" s="2005"/>
      <c r="Q26" s="2005"/>
      <c r="R26" s="2005"/>
      <c r="S26" s="2005"/>
      <c r="T26" s="2005"/>
      <c r="U26" s="2005"/>
      <c r="V26" s="2005"/>
      <c r="W26" s="2006"/>
      <c r="X26" s="2005"/>
      <c r="Y26" s="2005"/>
      <c r="Z26" s="2005"/>
      <c r="AA26" s="2005"/>
      <c r="AB26" s="2007"/>
    </row>
    <row r="27" spans="1:28" s="22" customFormat="1" ht="42.75" x14ac:dyDescent="0.45">
      <c r="A27" s="1427" t="s">
        <v>1134</v>
      </c>
      <c r="B27" s="1427" t="s">
        <v>1135</v>
      </c>
      <c r="C27" s="1429">
        <f ca="1">SUM(C28:C32)</f>
        <v>74.397238112799016</v>
      </c>
      <c r="D27" s="1429">
        <f t="shared" ref="D27:AB27" ca="1" si="3">SUM(D28:D32)</f>
        <v>50.190629069321986</v>
      </c>
      <c r="E27" s="1429">
        <f t="shared" ca="1" si="3"/>
        <v>65.312655639487076</v>
      </c>
      <c r="F27" s="1429">
        <f t="shared" ca="1" si="3"/>
        <v>51.229848713292327</v>
      </c>
      <c r="G27" s="1429">
        <f t="shared" ca="1" si="3"/>
        <v>71.509285689364148</v>
      </c>
      <c r="H27" s="1429">
        <f t="shared" ca="1" si="3"/>
        <v>47.55286962491445</v>
      </c>
      <c r="I27" s="1429">
        <f t="shared" ca="1" si="3"/>
        <v>62.379284136979301</v>
      </c>
      <c r="J27" s="1429">
        <f t="shared" ca="1" si="3"/>
        <v>47.652074353421682</v>
      </c>
      <c r="K27" s="1429">
        <f t="shared" ca="1" si="3"/>
        <v>75.755088663457187</v>
      </c>
      <c r="L27" s="1429">
        <f t="shared" ca="1" si="3"/>
        <v>50.199901294314458</v>
      </c>
      <c r="M27" s="1429">
        <f t="shared" ca="1" si="3"/>
        <v>42.175620143705103</v>
      </c>
      <c r="N27" s="1429">
        <f t="shared" ca="1" si="3"/>
        <v>45.63279544382948</v>
      </c>
      <c r="O27" s="1429">
        <f t="shared" ca="1" si="3"/>
        <v>31.432646096953732</v>
      </c>
      <c r="P27" s="1429">
        <f t="shared" ca="1" si="3"/>
        <v>28.124236362494216</v>
      </c>
      <c r="Q27" s="1429">
        <f t="shared" ca="1" si="3"/>
        <v>41.225850324134043</v>
      </c>
      <c r="R27" s="1429">
        <f t="shared" ca="1" si="3"/>
        <v>36.035834223136582</v>
      </c>
      <c r="S27" s="1429">
        <f t="shared" ca="1" si="3"/>
        <v>34.87823200428933</v>
      </c>
      <c r="T27" s="1429">
        <f t="shared" ca="1" si="3"/>
        <v>31.370368773243179</v>
      </c>
      <c r="U27" s="1429">
        <f ca="1">SUM(U28:U32)</f>
        <v>60.836702577075762</v>
      </c>
      <c r="V27" s="1429">
        <f ca="1">SUM(V28:V32)</f>
        <v>41.236785866141147</v>
      </c>
      <c r="W27" s="1429">
        <f ca="1">SUM(W28:W32)</f>
        <v>8.5038399365223274</v>
      </c>
      <c r="X27" s="1429">
        <f t="shared" ca="1" si="3"/>
        <v>161.90252515641069</v>
      </c>
      <c r="Y27" s="1429">
        <f t="shared" ca="1" si="3"/>
        <v>136.32217125936992</v>
      </c>
      <c r="Z27" s="1429">
        <f t="shared" ca="1" si="3"/>
        <v>314.94303121443824</v>
      </c>
      <c r="AA27" s="1429">
        <f t="shared" ca="1" si="3"/>
        <v>182.90433762035116</v>
      </c>
      <c r="AB27" s="1429">
        <f t="shared" ca="1" si="3"/>
        <v>41.005608069170613</v>
      </c>
    </row>
    <row r="28" spans="1:28" x14ac:dyDescent="0.45">
      <c r="A28" s="1983" t="s">
        <v>1128</v>
      </c>
      <c r="B28" s="1983"/>
      <c r="C28" s="1985">
        <f ca="1">C35/'Base variables computation'!C$21</f>
        <v>6.8734825300530229</v>
      </c>
      <c r="D28" s="1985">
        <f ca="1">D35/'Base variables computation'!D$21</f>
        <v>15.93412982527124</v>
      </c>
      <c r="E28" s="1985">
        <f ca="1">E35/'Base variables computation'!E$21</f>
        <v>6.9668322090707964</v>
      </c>
      <c r="F28" s="1985">
        <f ca="1">F35/'Base variables computation'!F$21</f>
        <v>16.962153912108548</v>
      </c>
      <c r="G28" s="1985">
        <f ca="1">G35/'Base variables computation'!G$21</f>
        <v>4.2575011039063817</v>
      </c>
      <c r="H28" s="1985">
        <f ca="1">H35/'Base variables computation'!H$21</f>
        <v>9.616641601627439</v>
      </c>
      <c r="I28" s="1985">
        <f ca="1">I35/'Base variables computation'!I$21</f>
        <v>4.3202664855215103</v>
      </c>
      <c r="J28" s="1985">
        <f ca="1">J35/'Base variables computation'!J$21</f>
        <v>9.7183401893568888</v>
      </c>
      <c r="K28" s="1985">
        <f ca="1">K35/'Base variables computation'!K$21</f>
        <v>3.2835022667411851</v>
      </c>
      <c r="L28" s="1985">
        <f ca="1">L35/'Base variables computation'!L$21</f>
        <v>6.3430870294074131</v>
      </c>
      <c r="M28" s="1985">
        <f ca="1">M35/'Base variables computation'!M$21</f>
        <v>2.9674197844647505</v>
      </c>
      <c r="N28" s="1985">
        <f ca="1">N35/'Base variables computation'!N$21</f>
        <v>2.862565542227351</v>
      </c>
      <c r="O28" s="1985">
        <f ca="1">O35/'Base variables computation'!O$21</f>
        <v>2.9674197844647505</v>
      </c>
      <c r="P28" s="1985">
        <f ca="1">P35/'Base variables computation'!P$21</f>
        <v>2.862565542227351</v>
      </c>
      <c r="Q28" s="1985">
        <f ca="1">Q35/'Base variables computation'!Q$21</f>
        <v>4.4072021229597578</v>
      </c>
      <c r="R28" s="1985">
        <f ca="1">R35/'Base variables computation'!R$21</f>
        <v>4.0207595490120198</v>
      </c>
      <c r="S28" s="1985">
        <f ca="1">S35/'Base variables computation'!S$21</f>
        <v>4.4072021229597578</v>
      </c>
      <c r="T28" s="1985">
        <f ca="1">T35/'Base variables computation'!T$21</f>
        <v>4.0207595490120198</v>
      </c>
      <c r="U28" s="1985">
        <f ca="1">U35/'Base variables computation'!U$21</f>
        <v>2.7468648285400512</v>
      </c>
      <c r="V28" s="1985">
        <f ca="1">V35/'Base variables computation'!V$21</f>
        <v>4.1029052707128821</v>
      </c>
      <c r="W28" s="1985">
        <f ca="1">W35/'Base variables computation'!W$21</f>
        <v>1.936357766965263</v>
      </c>
      <c r="X28" s="1985">
        <f ca="1">X35/'Base variables computation'!X$21</f>
        <v>18.015144808509238</v>
      </c>
      <c r="Y28" s="1985">
        <f ca="1">Y35/'Base variables computation'!Y$21</f>
        <v>43.206760303779724</v>
      </c>
      <c r="Z28" s="1985">
        <f ca="1">Z35/'Base variables computation'!Z$21</f>
        <v>13.334816625801311</v>
      </c>
      <c r="AA28" s="1985">
        <f ca="1">AA35/'Base variables computation'!AA$21</f>
        <v>30.469135213465918</v>
      </c>
      <c r="AB28" s="1985">
        <f ca="1">AB35/'Base variables computation'!AB$21</f>
        <v>0.72100862005456501</v>
      </c>
    </row>
    <row r="29" spans="1:28" x14ac:dyDescent="0.45">
      <c r="A29" s="1986" t="s">
        <v>1129</v>
      </c>
      <c r="B29" s="1986"/>
      <c r="C29" s="1990">
        <f>C36/'Base variables computation'!C$21</f>
        <v>0.68308994667738843</v>
      </c>
      <c r="D29" s="1990">
        <f>D36/'Base variables computation'!D$21</f>
        <v>0.75376224866625607</v>
      </c>
      <c r="E29" s="1990">
        <f>E36/'Base variables computation'!E$21</f>
        <v>0.72034939831433697</v>
      </c>
      <c r="F29" s="1990">
        <f>F36/'Base variables computation'!F$21</f>
        <v>0.76620585002336206</v>
      </c>
      <c r="G29" s="1990">
        <f>G36/'Base variables computation'!G$21</f>
        <v>0.41111894938916899</v>
      </c>
      <c r="H29" s="1990">
        <f>H36/'Base variables computation'!H$21</f>
        <v>0.45365320521580227</v>
      </c>
      <c r="I29" s="1990">
        <f>I36/'Base variables computation'!I$21</f>
        <v>0.43354361935585095</v>
      </c>
      <c r="J29" s="1990">
        <f>J36/'Base variables computation'!J$21</f>
        <v>0.45240739021765308</v>
      </c>
      <c r="K29" s="1990">
        <f>K36/'Base variables computation'!K$21</f>
        <v>0.32977455833355801</v>
      </c>
      <c r="L29" s="1990">
        <f>L36/'Base variables computation'!L$21</f>
        <v>0.34872707997302083</v>
      </c>
      <c r="M29" s="1990">
        <f>M36/'Base variables computation'!M$21</f>
        <v>3.5323331001119639E-2</v>
      </c>
      <c r="N29" s="1990">
        <f>N36/'Base variables computation'!N$21</f>
        <v>3.2551492364839903E-2</v>
      </c>
      <c r="O29" s="1990">
        <f>O36/'Base variables computation'!O$21</f>
        <v>3.5323331001119639E-2</v>
      </c>
      <c r="P29" s="1990">
        <f>P36/'Base variables computation'!P$21</f>
        <v>3.2551492364839903E-2</v>
      </c>
      <c r="Q29" s="1990">
        <f>Q36/'Base variables computation'!Q$21</f>
        <v>5.2182415726114373E-2</v>
      </c>
      <c r="R29" s="1990">
        <f>R36/'Base variables computation'!R$21</f>
        <v>4.447675838244277E-2</v>
      </c>
      <c r="S29" s="1990">
        <f>S36/'Base variables computation'!S$21</f>
        <v>5.2182415726114373E-2</v>
      </c>
      <c r="T29" s="1990">
        <f>T36/'Base variables computation'!T$21</f>
        <v>4.447675838244277E-2</v>
      </c>
      <c r="U29" s="1990">
        <f>U36/'Base variables computation'!U$21</f>
        <v>2.5297159780675583E-2</v>
      </c>
      <c r="V29" s="1990">
        <f>V36/'Base variables computation'!V$21</f>
        <v>3.546408344249434E-2</v>
      </c>
      <c r="W29" s="1990">
        <f>W36/'Base variables computation'!W$21</f>
        <v>2.5823572477286453E-2</v>
      </c>
      <c r="X29" s="1990">
        <f>X36/'Base variables computation'!X$21</f>
        <v>0.44615060925260869</v>
      </c>
      <c r="Y29" s="1990">
        <f>Y36/'Base variables computation'!Y$21</f>
        <v>0.52181075274128441</v>
      </c>
      <c r="Z29" s="1990">
        <f>Z36/'Base variables computation'!Z$21</f>
        <v>0.26584277763273312</v>
      </c>
      <c r="AA29" s="1990">
        <f>AA36/'Base variables computation'!AA$21</f>
        <v>0.32526364950989994</v>
      </c>
      <c r="AB29" s="1990">
        <f>AB36/'Base variables computation'!AB$21</f>
        <v>6.0612330514461243E-3</v>
      </c>
    </row>
    <row r="30" spans="1:28" x14ac:dyDescent="0.45">
      <c r="A30" s="1991" t="s">
        <v>1130</v>
      </c>
      <c r="B30" s="1991"/>
      <c r="C30" s="1993">
        <f ca="1">C37/'Base variables computation'!C$21</f>
        <v>55.4259384</v>
      </c>
      <c r="D30" s="1993">
        <f ca="1">D37/'Base variables computation'!D$21</f>
        <v>22.153324073709094</v>
      </c>
      <c r="E30" s="1993">
        <f ca="1">E37/'Base variables computation'!E$21</f>
        <v>46.188282000000001</v>
      </c>
      <c r="F30" s="1993">
        <f ca="1">F37/'Base variables computation'!F$21</f>
        <v>22.153324073709094</v>
      </c>
      <c r="G30" s="1993">
        <f ca="1">G37/'Base variables computation'!G$21</f>
        <v>55.4259384</v>
      </c>
      <c r="H30" s="1993">
        <f ca="1">H37/'Base variables computation'!H$21</f>
        <v>22.153324073709094</v>
      </c>
      <c r="I30" s="1993">
        <f ca="1">I37/'Base variables computation'!I$21</f>
        <v>46.188282000000001</v>
      </c>
      <c r="J30" s="1993">
        <f ca="1">J37/'Base variables computation'!J$21</f>
        <v>22.153324073709094</v>
      </c>
      <c r="K30" s="1993">
        <f ca="1">K37/'Base variables computation'!K$21</f>
        <v>64.813032875513471</v>
      </c>
      <c r="L30" s="1993">
        <f ca="1">L37/'Base variables computation'!L$21</f>
        <v>36.301665498935073</v>
      </c>
      <c r="M30" s="1993">
        <f ca="1">M37/'Base variables computation'!M$21</f>
        <v>37.493170772477434</v>
      </c>
      <c r="N30" s="1993">
        <f ca="1">N37/'Base variables computation'!N$21</f>
        <v>41.095895305432542</v>
      </c>
      <c r="O30" s="1993">
        <f ca="1">O37/'Base variables computation'!O$21</f>
        <v>26.780825107373538</v>
      </c>
      <c r="P30" s="1993">
        <f ca="1">P37/'Base variables computation'!P$21</f>
        <v>23.630139800623709</v>
      </c>
      <c r="Q30" s="1993">
        <f ca="1">Q37/'Base variables computation'!Q$21</f>
        <v>34.81236640154286</v>
      </c>
      <c r="R30" s="1993">
        <f ca="1">R37/'Base variables computation'!R$21</f>
        <v>30.251387915779226</v>
      </c>
      <c r="S30" s="1993">
        <f ca="1">S37/'Base variables computation'!S$21</f>
        <v>28.48284523762598</v>
      </c>
      <c r="T30" s="1993">
        <f ca="1">T37/'Base variables computation'!T$21</f>
        <v>25.597328236428577</v>
      </c>
      <c r="U30" s="1993">
        <f ca="1">U37/'Base variables computation'!U$21</f>
        <v>55.890417615388259</v>
      </c>
      <c r="V30" s="1993">
        <f ca="1">V37/'Base variables computation'!V$21</f>
        <v>34.81236640154286</v>
      </c>
      <c r="W30" s="1993">
        <f ca="1">W37/'Base variables computation'!W$21</f>
        <v>4.4395877858131083</v>
      </c>
      <c r="X30" s="1993">
        <f ca="1">X37/'Base variables computation'!X$21</f>
        <v>123.168752</v>
      </c>
      <c r="Y30" s="1993">
        <f ca="1">Y37/'Base variables computation'!Y$21</f>
        <v>72.789493385044167</v>
      </c>
      <c r="Z30" s="1993">
        <f ca="1">Z37/'Base variables computation'!Z$21</f>
        <v>241.1536770090313</v>
      </c>
      <c r="AA30" s="1993">
        <f ca="1">AA37/'Base variables computation'!AA$21</f>
        <v>114.70350273876076</v>
      </c>
      <c r="AB30" s="1993">
        <f ca="1">AB37/'Base variables computation'!AB$21</f>
        <v>35.051921195593884</v>
      </c>
    </row>
    <row r="31" spans="1:28" x14ac:dyDescent="0.45">
      <c r="A31" s="1994" t="s">
        <v>1131</v>
      </c>
      <c r="B31" s="1994"/>
      <c r="C31" s="1996">
        <f>C38/'Base variables computation'!C$21</f>
        <v>0</v>
      </c>
      <c r="D31" s="1996">
        <f>D38/'Base variables computation'!D$21</f>
        <v>0</v>
      </c>
      <c r="E31" s="1996">
        <f>E38/'Base variables computation'!E$21</f>
        <v>0</v>
      </c>
      <c r="F31" s="1996">
        <f>F38/'Base variables computation'!F$21</f>
        <v>0</v>
      </c>
      <c r="G31" s="1996">
        <f>G38/'Base variables computation'!G$21</f>
        <v>0</v>
      </c>
      <c r="H31" s="1996">
        <f>H38/'Base variables computation'!H$21</f>
        <v>3.9798378226867213</v>
      </c>
      <c r="I31" s="1996">
        <f>I38/'Base variables computation'!I$21</f>
        <v>0</v>
      </c>
      <c r="J31" s="1996">
        <f>J38/'Base variables computation'!J$21</f>
        <v>3.9798378226867213</v>
      </c>
      <c r="K31" s="1996">
        <f>K38/'Base variables computation'!K$21</f>
        <v>0</v>
      </c>
      <c r="L31" s="1996">
        <f>L38/'Base variables computation'!L$21</f>
        <v>0</v>
      </c>
      <c r="M31" s="1996">
        <f ca="1">M38/'Base variables computation'!M$21</f>
        <v>0.10719922410030841</v>
      </c>
      <c r="N31" s="1996">
        <f ca="1">N38/'Base variables computation'!N$21</f>
        <v>0.10071429770924219</v>
      </c>
      <c r="O31" s="1996">
        <f ca="1">O38/'Base variables computation'!O$21</f>
        <v>7.6570842452832188E-2</v>
      </c>
      <c r="P31" s="1996">
        <f ca="1">P38/'Base variables computation'!P$21</f>
        <v>5.7910721182814234E-2</v>
      </c>
      <c r="Q31" s="1996">
        <f ca="1">Q38/'Base variables computation'!Q$21</f>
        <v>9.953435760307798E-2</v>
      </c>
      <c r="R31" s="1996">
        <f ca="1">R38/'Base variables computation'!R$21</f>
        <v>7.4137508527884657E-2</v>
      </c>
      <c r="S31" s="1996">
        <f ca="1">S38/'Base variables computation'!S$21</f>
        <v>8.143720167524561E-2</v>
      </c>
      <c r="T31" s="1996">
        <f ca="1">T38/'Base variables computation'!T$21</f>
        <v>6.2731737985133179E-2</v>
      </c>
      <c r="U31" s="1996">
        <f ca="1">U38/'Base variables computation'!U$21</f>
        <v>7.8269397076896785E-2</v>
      </c>
      <c r="V31" s="1996">
        <f ca="1">V38/'Base variables computation'!V$21</f>
        <v>4.8751522091303491E-2</v>
      </c>
      <c r="W31" s="1996">
        <f ca="1">W38/'Base variables computation'!W$21</f>
        <v>6.2172349767856232E-3</v>
      </c>
      <c r="X31" s="1996">
        <f>X38/'Base variables computation'!X$21</f>
        <v>0</v>
      </c>
      <c r="Y31" s="1996">
        <f>Y38/'Base variables computation'!Y$21</f>
        <v>0</v>
      </c>
      <c r="Z31" s="1996">
        <f ca="1">Z38/'Base variables computation'!Z$21</f>
        <v>42.948051324267247</v>
      </c>
      <c r="AA31" s="1996">
        <f ca="1">AA38/'Base variables computation'!AA$21</f>
        <v>20.428019111286599</v>
      </c>
      <c r="AB31" s="1996">
        <f ca="1">AB38/'Base variables computation'!AB$21</f>
        <v>0</v>
      </c>
    </row>
    <row r="32" spans="1:28" x14ac:dyDescent="0.45">
      <c r="A32" s="1997" t="s">
        <v>3551</v>
      </c>
      <c r="B32" s="1997"/>
      <c r="C32" s="1999">
        <f>C39/'Base variables computation'!C$21</f>
        <v>11.414727236068604</v>
      </c>
      <c r="D32" s="1999">
        <f>D39/'Base variables computation'!D$21</f>
        <v>11.349412921675397</v>
      </c>
      <c r="E32" s="1999">
        <f>E39/'Base variables computation'!E$21</f>
        <v>11.437192032101938</v>
      </c>
      <c r="F32" s="1999">
        <f>F39/'Base variables computation'!F$21</f>
        <v>11.348164877451323</v>
      </c>
      <c r="G32" s="1999">
        <f>G39/'Base variables computation'!G$21</f>
        <v>11.414727236068604</v>
      </c>
      <c r="H32" s="1999">
        <f>H39/'Base variables computation'!H$21</f>
        <v>11.349412921675397</v>
      </c>
      <c r="I32" s="1999">
        <f>I39/'Base variables computation'!I$21</f>
        <v>11.437192032101938</v>
      </c>
      <c r="J32" s="1999">
        <f>J39/'Base variables computation'!J$21</f>
        <v>11.348164877451323</v>
      </c>
      <c r="K32" s="1999">
        <f>K39/'Base variables computation'!K$21</f>
        <v>7.3287789628689604</v>
      </c>
      <c r="L32" s="1999">
        <f>L39/'Base variables computation'!L$21</f>
        <v>7.2064216859989561</v>
      </c>
      <c r="M32" s="1999">
        <f>M39/'Base variables computation'!M$21</f>
        <v>1.5725070316614955</v>
      </c>
      <c r="N32" s="1999">
        <f>N39/'Base variables computation'!N$21</f>
        <v>1.5410688060955027</v>
      </c>
      <c r="O32" s="1999">
        <f>O39/'Base variables computation'!O$21</f>
        <v>1.5725070316614955</v>
      </c>
      <c r="P32" s="1999">
        <f>P39/'Base variables computation'!P$21</f>
        <v>1.5410688060955027</v>
      </c>
      <c r="Q32" s="1999">
        <f>Q39/'Base variables computation'!Q$21</f>
        <v>1.8545650263022324</v>
      </c>
      <c r="R32" s="1999">
        <f>R39/'Base variables computation'!R$21</f>
        <v>1.6450724914350077</v>
      </c>
      <c r="S32" s="1999">
        <f>S39/'Base variables computation'!S$21</f>
        <v>1.8545650263022324</v>
      </c>
      <c r="T32" s="1999">
        <f>T39/'Base variables computation'!T$21</f>
        <v>1.6450724914350077</v>
      </c>
      <c r="U32" s="1999">
        <f>U39/'Base variables computation'!U$21</f>
        <v>2.0958535762898838</v>
      </c>
      <c r="V32" s="1999">
        <f>V39/'Base variables computation'!V$21</f>
        <v>2.2372985883516106</v>
      </c>
      <c r="W32" s="1999">
        <f>W39/'Base variables computation'!W$21</f>
        <v>2.0958535762898838</v>
      </c>
      <c r="X32" s="1999">
        <f>X39/'Base variables computation'!X$21</f>
        <v>20.27247773864886</v>
      </c>
      <c r="Y32" s="1999">
        <f>Y39/'Base variables computation'!Y$21</f>
        <v>19.804106817804762</v>
      </c>
      <c r="Z32" s="1999">
        <f>Z39/'Base variables computation'!Z$21</f>
        <v>17.240643477705671</v>
      </c>
      <c r="AA32" s="1999">
        <f>AA39/'Base variables computation'!AA$21</f>
        <v>16.978416907327972</v>
      </c>
      <c r="AB32" s="1999">
        <f>AB39/'Base variables computation'!AB$21</f>
        <v>5.2266170204707167</v>
      </c>
    </row>
    <row r="33" spans="1:28" x14ac:dyDescent="0.45">
      <c r="A33" s="2000"/>
      <c r="B33" s="2000"/>
      <c r="C33" s="2003"/>
      <c r="D33" s="2003"/>
      <c r="E33" s="2003"/>
      <c r="F33" s="2003"/>
      <c r="G33" s="2003"/>
      <c r="H33" s="2003"/>
      <c r="I33" s="2003"/>
      <c r="J33" s="2003"/>
      <c r="K33" s="2003"/>
      <c r="L33" s="2003"/>
      <c r="M33" s="2003"/>
      <c r="N33" s="2003"/>
      <c r="O33" s="2003"/>
      <c r="P33" s="2003"/>
      <c r="Q33" s="2003"/>
      <c r="R33" s="2003"/>
      <c r="S33" s="2003"/>
      <c r="T33" s="2003"/>
      <c r="U33" s="2003"/>
      <c r="V33" s="2003"/>
      <c r="W33" s="2008"/>
      <c r="X33" s="2003"/>
      <c r="Y33" s="2003"/>
      <c r="Z33" s="2003"/>
      <c r="AA33" s="2003"/>
      <c r="AB33" s="2003"/>
    </row>
    <row r="34" spans="1:28" s="22" customFormat="1" x14ac:dyDescent="0.45">
      <c r="A34" s="1427" t="s">
        <v>1136</v>
      </c>
      <c r="B34" s="1427" t="s">
        <v>1137</v>
      </c>
      <c r="C34" s="1429">
        <f ca="1">SUM(C35:C39)</f>
        <v>74.397238112799016</v>
      </c>
      <c r="D34" s="1429">
        <f t="shared" ref="D34:AB34" ca="1" si="4">SUM(D35:D39)</f>
        <v>50.190629069321986</v>
      </c>
      <c r="E34" s="1429">
        <f t="shared" ca="1" si="4"/>
        <v>65.312655639487076</v>
      </c>
      <c r="F34" s="1429">
        <f t="shared" ca="1" si="4"/>
        <v>51.229848713292327</v>
      </c>
      <c r="G34" s="1429">
        <f t="shared" ca="1" si="4"/>
        <v>71.509285689364148</v>
      </c>
      <c r="H34" s="1429">
        <f t="shared" ca="1" si="4"/>
        <v>47.55286962491445</v>
      </c>
      <c r="I34" s="1429">
        <f t="shared" ca="1" si="4"/>
        <v>62.379284136979301</v>
      </c>
      <c r="J34" s="1429">
        <f t="shared" ca="1" si="4"/>
        <v>47.652074353421682</v>
      </c>
      <c r="K34" s="1429">
        <f t="shared" ca="1" si="4"/>
        <v>128.78365072787719</v>
      </c>
      <c r="L34" s="1429">
        <f t="shared" ca="1" si="4"/>
        <v>85.339832200334584</v>
      </c>
      <c r="M34" s="1429">
        <f t="shared" ca="1" si="4"/>
        <v>1054.3905035926277</v>
      </c>
      <c r="N34" s="1429">
        <f t="shared" ca="1" si="4"/>
        <v>1551.5150450902022</v>
      </c>
      <c r="O34" s="1429">
        <f t="shared" ca="1" si="4"/>
        <v>785.81615242384339</v>
      </c>
      <c r="P34" s="1429">
        <f t="shared" ca="1" si="4"/>
        <v>956.22403632480325</v>
      </c>
      <c r="Q34" s="1429">
        <f t="shared" ca="1" si="4"/>
        <v>1030.6462581033511</v>
      </c>
      <c r="R34" s="1429">
        <f t="shared" ca="1" si="4"/>
        <v>1225.2183635866438</v>
      </c>
      <c r="S34" s="1429">
        <f t="shared" ca="1" si="4"/>
        <v>871.95580010723324</v>
      </c>
      <c r="T34" s="1429">
        <f t="shared" ca="1" si="4"/>
        <v>1066.5925382902681</v>
      </c>
      <c r="U34" s="1429">
        <f ca="1">SUM(U35:U39)</f>
        <v>1520.9175644268939</v>
      </c>
      <c r="V34" s="1429">
        <f ca="1">SUM(V35:V39)</f>
        <v>1030.9196466535288</v>
      </c>
      <c r="W34" s="1429">
        <f ca="1">SUM(W35:W39)</f>
        <v>212.5959984130582</v>
      </c>
      <c r="X34" s="1429">
        <f t="shared" ca="1" si="4"/>
        <v>242.85378773461605</v>
      </c>
      <c r="Y34" s="1429">
        <f t="shared" ca="1" si="4"/>
        <v>204.48325688905493</v>
      </c>
      <c r="Z34" s="1429">
        <f t="shared" ca="1" si="4"/>
        <v>299.78871359482582</v>
      </c>
      <c r="AA34" s="1429">
        <f t="shared" ca="1" si="4"/>
        <v>174.10341125720717</v>
      </c>
      <c r="AB34" s="1429">
        <f t="shared" ca="1" si="4"/>
        <v>16402.243227668245</v>
      </c>
    </row>
    <row r="35" spans="1:28" x14ac:dyDescent="0.45">
      <c r="A35" s="1983" t="s">
        <v>1128</v>
      </c>
      <c r="B35" s="1983"/>
      <c r="C35" s="1985">
        <f ca="1">C42/'Base variables computation'!C$23</f>
        <v>6.8734825300530229</v>
      </c>
      <c r="D35" s="1985">
        <f ca="1">D42/'Base variables computation'!D$23</f>
        <v>15.93412982527124</v>
      </c>
      <c r="E35" s="1985">
        <f ca="1">E42/'Base variables computation'!E$23</f>
        <v>6.9668322090707964</v>
      </c>
      <c r="F35" s="1985">
        <f ca="1">F42/'Base variables computation'!F$23</f>
        <v>16.962153912108548</v>
      </c>
      <c r="G35" s="1985">
        <f ca="1">G42/'Base variables computation'!G$23</f>
        <v>4.2575011039063817</v>
      </c>
      <c r="H35" s="1985">
        <f ca="1">H42/'Base variables computation'!H$23</f>
        <v>9.616641601627439</v>
      </c>
      <c r="I35" s="1985">
        <f ca="1">I42/'Base variables computation'!I$23</f>
        <v>4.3202664855215103</v>
      </c>
      <c r="J35" s="1985">
        <f ca="1">J42/'Base variables computation'!J$23</f>
        <v>9.7183401893568888</v>
      </c>
      <c r="K35" s="1985">
        <f ca="1">K42/'Base variables computation'!K$23</f>
        <v>5.5819538534600142</v>
      </c>
      <c r="L35" s="1985">
        <f ca="1">L42/'Base variables computation'!L$23</f>
        <v>10.783247949992601</v>
      </c>
      <c r="M35" s="1985">
        <f ca="1">M42/'Base variables computation'!M$23</f>
        <v>74.185494611618765</v>
      </c>
      <c r="N35" s="1985">
        <f ca="1">N42/'Base variables computation'!N$23</f>
        <v>97.327228435729936</v>
      </c>
      <c r="O35" s="1985">
        <f ca="1">O42/'Base variables computation'!O$23</f>
        <v>74.185494611618765</v>
      </c>
      <c r="P35" s="1985">
        <f ca="1">P42/'Base variables computation'!P$23</f>
        <v>97.327228435729936</v>
      </c>
      <c r="Q35" s="1985">
        <f ca="1">Q42/'Base variables computation'!Q$23</f>
        <v>110.18005307399395</v>
      </c>
      <c r="R35" s="1985">
        <f ca="1">R42/'Base variables computation'!R$23</f>
        <v>136.70582466640869</v>
      </c>
      <c r="S35" s="1985">
        <f ca="1">S42/'Base variables computation'!S$23</f>
        <v>110.18005307399395</v>
      </c>
      <c r="T35" s="1985">
        <f ca="1">T42/'Base variables computation'!T$23</f>
        <v>136.70582466640869</v>
      </c>
      <c r="U35" s="1985">
        <f ca="1">U42/'Base variables computation'!U$23</f>
        <v>68.671620713501284</v>
      </c>
      <c r="V35" s="1985">
        <f ca="1">V42/'Base variables computation'!V$23</f>
        <v>102.57263176782205</v>
      </c>
      <c r="W35" s="1985">
        <f ca="1">W42/'Base variables computation'!W$23</f>
        <v>48.408944174131577</v>
      </c>
      <c r="X35" s="1985">
        <f ca="1">X42/'Base variables computation'!X$23</f>
        <v>27.022717212763855</v>
      </c>
      <c r="Y35" s="1985">
        <f ca="1">Y42/'Base variables computation'!Y$23</f>
        <v>64.810140455669583</v>
      </c>
      <c r="Z35" s="1985">
        <f ca="1">Z42/'Base variables computation'!Z$23</f>
        <v>12.693176625806871</v>
      </c>
      <c r="AA35" s="1985">
        <f ca="1">AA42/'Base variables computation'!AA$23</f>
        <v>29.003032119076792</v>
      </c>
      <c r="AB35" s="1985">
        <f ca="1">AB42/'Base variables computation'!AB$23</f>
        <v>288.40344802182602</v>
      </c>
    </row>
    <row r="36" spans="1:28" x14ac:dyDescent="0.45">
      <c r="A36" s="1986" t="s">
        <v>1129</v>
      </c>
      <c r="B36" s="1986"/>
      <c r="C36" s="1990">
        <f>C43/'Base variables computation'!C$23</f>
        <v>0.68308994667738843</v>
      </c>
      <c r="D36" s="1990">
        <f>D43/'Base variables computation'!D$23</f>
        <v>0.75376224866625607</v>
      </c>
      <c r="E36" s="1990">
        <f>E43/'Base variables computation'!E$23</f>
        <v>0.72034939831433697</v>
      </c>
      <c r="F36" s="1990">
        <f>F43/'Base variables computation'!F$23</f>
        <v>0.76620585002336206</v>
      </c>
      <c r="G36" s="1990">
        <f>G43/'Base variables computation'!G$23</f>
        <v>0.41111894938916899</v>
      </c>
      <c r="H36" s="1990">
        <f>H43/'Base variables computation'!H$23</f>
        <v>0.45365320521580227</v>
      </c>
      <c r="I36" s="1990">
        <f>I43/'Base variables computation'!I$23</f>
        <v>0.43354361935585095</v>
      </c>
      <c r="J36" s="1990">
        <f>J43/'Base variables computation'!J$23</f>
        <v>0.45240739021765308</v>
      </c>
      <c r="K36" s="1990">
        <f>K43/'Base variables computation'!K$23</f>
        <v>0.56061674916704862</v>
      </c>
      <c r="L36" s="1990">
        <f>L43/'Base variables computation'!L$23</f>
        <v>0.59283603595413537</v>
      </c>
      <c r="M36" s="1990">
        <f>M43/'Base variables computation'!M$23</f>
        <v>0.88308327502799089</v>
      </c>
      <c r="N36" s="1990">
        <f>N43/'Base variables computation'!N$23</f>
        <v>1.1067507404045567</v>
      </c>
      <c r="O36" s="1990">
        <f>O43/'Base variables computation'!O$23</f>
        <v>0.88308327502799089</v>
      </c>
      <c r="P36" s="1990">
        <f>P43/'Base variables computation'!P$23</f>
        <v>1.1067507404045567</v>
      </c>
      <c r="Q36" s="1990">
        <f>Q43/'Base variables computation'!Q$23</f>
        <v>1.3045603931528593</v>
      </c>
      <c r="R36" s="1990">
        <f>R43/'Base variables computation'!R$23</f>
        <v>1.5122097850030543</v>
      </c>
      <c r="S36" s="1990">
        <f>S43/'Base variables computation'!S$23</f>
        <v>1.3045603931528593</v>
      </c>
      <c r="T36" s="1990">
        <f>T43/'Base variables computation'!T$23</f>
        <v>1.5122097850030543</v>
      </c>
      <c r="U36" s="1990">
        <f>U43/'Base variables computation'!U$23</f>
        <v>0.63242899451688961</v>
      </c>
      <c r="V36" s="1990">
        <f>V43/'Base variables computation'!V$23</f>
        <v>0.88660208606235846</v>
      </c>
      <c r="W36" s="1990">
        <f>W43/'Base variables computation'!W$23</f>
        <v>0.64558931193216129</v>
      </c>
      <c r="X36" s="1990">
        <f>X43/'Base variables computation'!X$23</f>
        <v>0.66922591387891306</v>
      </c>
      <c r="Y36" s="1990">
        <f>Y43/'Base variables computation'!Y$23</f>
        <v>0.78271612911192656</v>
      </c>
      <c r="Z36" s="1990">
        <f>Z43/'Base variables computation'!Z$23</f>
        <v>0.25305104868546396</v>
      </c>
      <c r="AA36" s="1990">
        <f>AA43/'Base variables computation'!AA$23</f>
        <v>0.30961272802171769</v>
      </c>
      <c r="AB36" s="1990">
        <f>AB43/'Base variables computation'!AB$23</f>
        <v>2.4244932205784497</v>
      </c>
    </row>
    <row r="37" spans="1:28" x14ac:dyDescent="0.45">
      <c r="A37" s="1991" t="s">
        <v>1130</v>
      </c>
      <c r="B37" s="1991"/>
      <c r="C37" s="1993">
        <f ca="1">C44/'Base variables computation'!C$23</f>
        <v>55.4259384</v>
      </c>
      <c r="D37" s="1993">
        <f ca="1">D44/'Base variables computation'!D$23</f>
        <v>22.153324073709094</v>
      </c>
      <c r="E37" s="1993">
        <f ca="1">E44/'Base variables computation'!E$23</f>
        <v>46.188282000000001</v>
      </c>
      <c r="F37" s="1993">
        <f ca="1">F44/'Base variables computation'!F$23</f>
        <v>22.153324073709094</v>
      </c>
      <c r="G37" s="1993">
        <f ca="1">G44/'Base variables computation'!G$23</f>
        <v>55.4259384</v>
      </c>
      <c r="H37" s="1993">
        <f ca="1">H44/'Base variables computation'!H$23</f>
        <v>22.153324073709094</v>
      </c>
      <c r="I37" s="1993">
        <f ca="1">I44/'Base variables computation'!I$23</f>
        <v>46.188282000000001</v>
      </c>
      <c r="J37" s="1993">
        <f ca="1">J44/'Base variables computation'!J$23</f>
        <v>22.153324073709094</v>
      </c>
      <c r="K37" s="1993">
        <f ca="1">K44/'Base variables computation'!K$23</f>
        <v>110.1821558883729</v>
      </c>
      <c r="L37" s="1993">
        <f ca="1">L44/'Base variables computation'!L$23</f>
        <v>61.712831348189617</v>
      </c>
      <c r="M37" s="1993">
        <f ca="1">M44/'Base variables computation'!M$23</f>
        <v>937.32926931193583</v>
      </c>
      <c r="N37" s="1993">
        <f ca="1">N44/'Base variables computation'!N$23</f>
        <v>1397.2604403847065</v>
      </c>
      <c r="O37" s="1993">
        <f ca="1">O44/'Base variables computation'!O$23</f>
        <v>669.52062768433848</v>
      </c>
      <c r="P37" s="1993">
        <f ca="1">P44/'Base variables computation'!P$23</f>
        <v>803.42475322120606</v>
      </c>
      <c r="Q37" s="1993">
        <f ca="1">Q44/'Base variables computation'!Q$23</f>
        <v>870.30916003857158</v>
      </c>
      <c r="R37" s="1993">
        <f ca="1">R44/'Base variables computation'!R$23</f>
        <v>1028.5471891364937</v>
      </c>
      <c r="S37" s="1993">
        <f ca="1">S44/'Base variables computation'!S$23</f>
        <v>712.07113094064948</v>
      </c>
      <c r="T37" s="1993">
        <f ca="1">T44/'Base variables computation'!T$23</f>
        <v>870.30916003857158</v>
      </c>
      <c r="U37" s="1993">
        <f ca="1">U44/'Base variables computation'!U$23</f>
        <v>1397.2604403847065</v>
      </c>
      <c r="V37" s="1993">
        <f ca="1">V44/'Base variables computation'!V$23</f>
        <v>870.30916003857158</v>
      </c>
      <c r="W37" s="1993">
        <f ca="1">W44/'Base variables computation'!W$23</f>
        <v>110.98969464532772</v>
      </c>
      <c r="X37" s="1993">
        <f ca="1">X44/'Base variables computation'!X$23</f>
        <v>184.753128</v>
      </c>
      <c r="Y37" s="1993">
        <f ca="1">Y44/'Base variables computation'!Y$23</f>
        <v>109.18424007756626</v>
      </c>
      <c r="Z37" s="1993">
        <f ca="1">Z44/'Base variables computation'!Z$23</f>
        <v>229.54992949177318</v>
      </c>
      <c r="AA37" s="1993">
        <f ca="1">AA44/'Base variables computation'!AA$23</f>
        <v>109.18424007756626</v>
      </c>
      <c r="AB37" s="1993">
        <f ca="1">AB44/'Base variables computation'!AB$23</f>
        <v>14020.768478237553</v>
      </c>
    </row>
    <row r="38" spans="1:28" x14ac:dyDescent="0.45">
      <c r="A38" s="1994" t="s">
        <v>1131</v>
      </c>
      <c r="B38" s="1994"/>
      <c r="C38" s="1996">
        <f>C45/'Base variables computation'!C$23</f>
        <v>0</v>
      </c>
      <c r="D38" s="1996">
        <f>D45/'Base variables computation'!D$23</f>
        <v>0</v>
      </c>
      <c r="E38" s="1996">
        <f>E45/'Base variables computation'!E$23</f>
        <v>0</v>
      </c>
      <c r="F38" s="1996">
        <f>F45/'Base variables computation'!F$23</f>
        <v>0</v>
      </c>
      <c r="G38" s="1996">
        <f>G45/'Base variables computation'!G$23</f>
        <v>0</v>
      </c>
      <c r="H38" s="1996">
        <f>H45/'Base variables computation'!H$23</f>
        <v>3.9798378226867213</v>
      </c>
      <c r="I38" s="1996">
        <f>I45/'Base variables computation'!I$23</f>
        <v>0</v>
      </c>
      <c r="J38" s="1996">
        <f>J45/'Base variables computation'!J$23</f>
        <v>3.9798378226867213</v>
      </c>
      <c r="K38" s="1996">
        <f>K45/'Base variables computation'!K$23</f>
        <v>0</v>
      </c>
      <c r="L38" s="1996">
        <f>L45/'Base variables computation'!L$23</f>
        <v>0</v>
      </c>
      <c r="M38" s="1996">
        <f ca="1">M45/'Base variables computation'!M$23</f>
        <v>2.6799806025077104</v>
      </c>
      <c r="N38" s="1996">
        <f ca="1">N45/'Base variables computation'!N$23</f>
        <v>3.4242861221142342</v>
      </c>
      <c r="O38" s="1996">
        <f ca="1">O45/'Base variables computation'!O$23</f>
        <v>1.9142710613208047</v>
      </c>
      <c r="P38" s="1996">
        <f ca="1">P45/'Base variables computation'!P$23</f>
        <v>1.968964520215684</v>
      </c>
      <c r="Q38" s="1996">
        <f ca="1">Q45/'Base variables computation'!Q$23</f>
        <v>2.4883589400769495</v>
      </c>
      <c r="R38" s="1996">
        <f ca="1">R45/'Base variables computation'!R$23</f>
        <v>2.5206752899480782</v>
      </c>
      <c r="S38" s="1996">
        <f ca="1">S45/'Base variables computation'!S$23</f>
        <v>2.0359300418811404</v>
      </c>
      <c r="T38" s="1996">
        <f ca="1">T45/'Base variables computation'!T$23</f>
        <v>2.1328790914945279</v>
      </c>
      <c r="U38" s="1996">
        <f ca="1">U45/'Base variables computation'!U$23</f>
        <v>1.9567349269224195</v>
      </c>
      <c r="V38" s="1996">
        <f ca="1">V45/'Base variables computation'!V$23</f>
        <v>1.2187880522825874</v>
      </c>
      <c r="W38" s="1996">
        <f ca="1">W45/'Base variables computation'!W$23</f>
        <v>0.15543087441964057</v>
      </c>
      <c r="X38" s="1996">
        <f>X45/'Base variables computation'!X$23</f>
        <v>0</v>
      </c>
      <c r="Y38" s="1996">
        <f>Y45/'Base variables computation'!Y$23</f>
        <v>0</v>
      </c>
      <c r="Z38" s="1996">
        <f ca="1">Z45/'Base variables computation'!Z$23</f>
        <v>40.881492148781916</v>
      </c>
      <c r="AA38" s="1996">
        <f ca="1">AA45/'Base variables computation'!AA$23</f>
        <v>19.445070897578805</v>
      </c>
      <c r="AB38" s="1996">
        <f ca="1">AB45/'Base variables computation'!AB$23</f>
        <v>0</v>
      </c>
    </row>
    <row r="39" spans="1:28" x14ac:dyDescent="0.45">
      <c r="A39" s="1997" t="s">
        <v>3551</v>
      </c>
      <c r="B39" s="1997"/>
      <c r="C39" s="1999">
        <f>Infrastructure!C81</f>
        <v>11.414727236068604</v>
      </c>
      <c r="D39" s="1999">
        <f>Infrastructure!D81</f>
        <v>11.349412921675397</v>
      </c>
      <c r="E39" s="1999">
        <f>Infrastructure!E81</f>
        <v>11.437192032101938</v>
      </c>
      <c r="F39" s="1999">
        <f>Infrastructure!F81</f>
        <v>11.348164877451323</v>
      </c>
      <c r="G39" s="1999">
        <f>Infrastructure!G81</f>
        <v>11.414727236068604</v>
      </c>
      <c r="H39" s="1999">
        <f>Infrastructure!H81</f>
        <v>11.349412921675397</v>
      </c>
      <c r="I39" s="1999">
        <f>Infrastructure!I81</f>
        <v>11.437192032101938</v>
      </c>
      <c r="J39" s="1999">
        <f>Infrastructure!J81</f>
        <v>11.348164877451323</v>
      </c>
      <c r="K39" s="1999">
        <f>Infrastructure!K81</f>
        <v>12.458924236877232</v>
      </c>
      <c r="L39" s="1999">
        <f>Infrastructure!L81</f>
        <v>12.250916866198224</v>
      </c>
      <c r="M39" s="1999">
        <f>Infrastructure!M81</f>
        <v>39.312675791537387</v>
      </c>
      <c r="N39" s="1999">
        <f>Infrastructure!N81</f>
        <v>52.39633940724709</v>
      </c>
      <c r="O39" s="1999">
        <f>Infrastructure!O81</f>
        <v>39.312675791537387</v>
      </c>
      <c r="P39" s="1999">
        <f>Infrastructure!P81</f>
        <v>52.39633940724709</v>
      </c>
      <c r="Q39" s="1999">
        <f>Infrastructure!Q81</f>
        <v>46.36412565755581</v>
      </c>
      <c r="R39" s="1999">
        <f>Infrastructure!R81</f>
        <v>55.932464708790263</v>
      </c>
      <c r="S39" s="1999">
        <f>Infrastructure!S81</f>
        <v>46.36412565755581</v>
      </c>
      <c r="T39" s="1999">
        <f>Infrastructure!T81</f>
        <v>55.932464708790263</v>
      </c>
      <c r="U39" s="1999">
        <f>Infrastructure!U81</f>
        <v>52.39633940724709</v>
      </c>
      <c r="V39" s="1999">
        <f>Infrastructure!V81</f>
        <v>55.932464708790263</v>
      </c>
      <c r="W39" s="1999">
        <f>Infrastructure!W81</f>
        <v>52.39633940724709</v>
      </c>
      <c r="X39" s="1999">
        <f>Infrastructure!X81</f>
        <v>30.40871660797329</v>
      </c>
      <c r="Y39" s="1999">
        <f>Infrastructure!Y81</f>
        <v>29.706160226707141</v>
      </c>
      <c r="Z39" s="1999">
        <f>Infrastructure!Z81</f>
        <v>16.411064279778419</v>
      </c>
      <c r="AA39" s="1999">
        <f>Infrastructure!AA81</f>
        <v>16.161455434963603</v>
      </c>
      <c r="AB39" s="1999">
        <f>Infrastructure!AB81</f>
        <v>2090.6468081882867</v>
      </c>
    </row>
    <row r="40" spans="1:28" x14ac:dyDescent="0.45">
      <c r="A40" s="2000"/>
      <c r="B40" s="2000"/>
      <c r="C40" s="2003"/>
      <c r="D40" s="2003"/>
      <c r="E40" s="2003"/>
      <c r="F40" s="2003"/>
      <c r="G40" s="2003"/>
      <c r="H40" s="2003"/>
      <c r="I40" s="2003"/>
      <c r="J40" s="2003"/>
      <c r="K40" s="2003"/>
      <c r="L40" s="2003"/>
      <c r="M40" s="2003"/>
      <c r="N40" s="2003"/>
      <c r="O40" s="2003"/>
      <c r="P40" s="2003"/>
      <c r="Q40" s="2003"/>
      <c r="R40" s="2003"/>
      <c r="S40" s="2003"/>
      <c r="T40" s="2003"/>
      <c r="U40" s="2003"/>
      <c r="V40" s="2003"/>
      <c r="W40" s="2008"/>
      <c r="X40" s="2003"/>
      <c r="Y40" s="2003"/>
      <c r="Z40" s="2003"/>
      <c r="AA40" s="2003"/>
      <c r="AB40" s="2003"/>
    </row>
    <row r="41" spans="1:28" s="22" customFormat="1" ht="28.5" x14ac:dyDescent="0.45">
      <c r="A41" s="1427" t="s">
        <v>1138</v>
      </c>
      <c r="B41" s="1427" t="s">
        <v>1139</v>
      </c>
      <c r="C41" s="1429">
        <f ca="1">SUM(C42:C46)</f>
        <v>4835820.4773319354</v>
      </c>
      <c r="D41" s="1429">
        <f t="shared" ref="D41:AB41" ca="1" si="5">SUM(D42:D46)</f>
        <v>3262390.8895059288</v>
      </c>
      <c r="E41" s="1429">
        <f t="shared" ca="1" si="5"/>
        <v>4245322.6165666599</v>
      </c>
      <c r="F41" s="1429">
        <f t="shared" ca="1" si="5"/>
        <v>3329940.1663640011</v>
      </c>
      <c r="G41" s="1429">
        <f t="shared" ca="1" si="5"/>
        <v>7723002.8544513285</v>
      </c>
      <c r="H41" s="1429">
        <f t="shared" ca="1" si="5"/>
        <v>5135709.9194907611</v>
      </c>
      <c r="I41" s="1429">
        <f t="shared" ca="1" si="5"/>
        <v>6736962.6867937651</v>
      </c>
      <c r="J41" s="1429">
        <f t="shared" ca="1" si="5"/>
        <v>5146424.030169541</v>
      </c>
      <c r="K41" s="1429">
        <f t="shared" ca="1" si="5"/>
        <v>36059422.203805611</v>
      </c>
      <c r="L41" s="1429">
        <f t="shared" ca="1" si="5"/>
        <v>23895153.016093682</v>
      </c>
      <c r="M41" s="1429">
        <f t="shared" ca="1" si="5"/>
        <v>759161162.58669209</v>
      </c>
      <c r="N41" s="1429">
        <f t="shared" ca="1" si="5"/>
        <v>1303272637.8757699</v>
      </c>
      <c r="O41" s="1429">
        <f t="shared" ca="1" si="5"/>
        <v>565787629.74516726</v>
      </c>
      <c r="P41" s="1429">
        <f t="shared" ca="1" si="5"/>
        <v>803228190.51283479</v>
      </c>
      <c r="Q41" s="1429">
        <f t="shared" ca="1" si="5"/>
        <v>742065305.83441281</v>
      </c>
      <c r="R41" s="1429">
        <f t="shared" ca="1" si="5"/>
        <v>1029183425.4127808</v>
      </c>
      <c r="S41" s="1429">
        <f t="shared" ca="1" si="5"/>
        <v>627808176.07720792</v>
      </c>
      <c r="T41" s="1429">
        <f t="shared" ca="1" si="5"/>
        <v>895937732.16382527</v>
      </c>
      <c r="U41" s="1429">
        <f ca="1">SUM(U42:U46)</f>
        <v>2235748819.7075343</v>
      </c>
      <c r="V41" s="1429">
        <f ca="1">SUM(V42:V46)</f>
        <v>1515451880.5806875</v>
      </c>
      <c r="W41" s="1429">
        <f ca="1">SUM(W42:W46)</f>
        <v>312516117.6671955</v>
      </c>
      <c r="X41" s="1429">
        <f t="shared" ca="1" si="5"/>
        <v>44077962.473832816</v>
      </c>
      <c r="Y41" s="1429">
        <f t="shared" ca="1" si="5"/>
        <v>37113711.125363462</v>
      </c>
      <c r="Z41" s="1429">
        <f t="shared" ca="1" si="5"/>
        <v>143898582.52551642</v>
      </c>
      <c r="AA41" s="1429">
        <f t="shared" ca="1" si="5"/>
        <v>83569637.403459445</v>
      </c>
      <c r="AB41" s="1429">
        <f t="shared" ca="1" si="5"/>
        <v>117571279455.92598</v>
      </c>
    </row>
    <row r="42" spans="1:28" x14ac:dyDescent="0.45">
      <c r="A42" s="1983" t="s">
        <v>1128</v>
      </c>
      <c r="B42" s="1983"/>
      <c r="C42" s="1985">
        <f ca="1">'Vehicle manufacturing'!C144</f>
        <v>446776.36445344647</v>
      </c>
      <c r="D42" s="1985">
        <f ca="1">'Vehicle manufacturing'!D144</f>
        <v>1035718.4386426306</v>
      </c>
      <c r="E42" s="1985">
        <f ca="1">'Vehicle manufacturing'!E144</f>
        <v>452844.09358960175</v>
      </c>
      <c r="F42" s="1985">
        <f ca="1">'Vehicle manufacturing'!F144</f>
        <v>1102540.0042870557</v>
      </c>
      <c r="G42" s="1985">
        <f ca="1">'Vehicle manufacturing'!G144</f>
        <v>459810.11922188918</v>
      </c>
      <c r="H42" s="1985">
        <f ca="1">'Vehicle manufacturing'!H144</f>
        <v>1038597.2929757634</v>
      </c>
      <c r="I42" s="1985">
        <f ca="1">'Vehicle manufacturing'!I144</f>
        <v>466588.78043632314</v>
      </c>
      <c r="J42" s="1985">
        <f ca="1">'Vehicle manufacturing'!J144</f>
        <v>1049580.740450544</v>
      </c>
      <c r="K42" s="1985">
        <f ca="1">'Vehicle manufacturing'!K144</f>
        <v>1562947.0789688039</v>
      </c>
      <c r="L42" s="1985">
        <f ca="1">'Vehicle manufacturing'!L144</f>
        <v>3019309.4259979283</v>
      </c>
      <c r="M42" s="1985">
        <f ca="1">'Vehicle manufacturing'!M144</f>
        <v>53413556.120365515</v>
      </c>
      <c r="N42" s="1985">
        <f ca="1">'Vehicle manufacturing'!N144</f>
        <v>81754871.88601315</v>
      </c>
      <c r="O42" s="1985">
        <f ca="1">'Vehicle manufacturing'!O144</f>
        <v>53413556.120365515</v>
      </c>
      <c r="P42" s="1985">
        <f ca="1">'Vehicle manufacturing'!P144</f>
        <v>81754871.88601315</v>
      </c>
      <c r="Q42" s="1985">
        <f ca="1">'Vehicle manufacturing'!Q144</f>
        <v>79329638.213275641</v>
      </c>
      <c r="R42" s="1985">
        <f ca="1">'Vehicle manufacturing'!R144</f>
        <v>114832892.71978331</v>
      </c>
      <c r="S42" s="1985">
        <f ca="1">'Vehicle manufacturing'!S144</f>
        <v>79329638.213275641</v>
      </c>
      <c r="T42" s="1985">
        <f ca="1">'Vehicle manufacturing'!T144</f>
        <v>114832892.71978331</v>
      </c>
      <c r="U42" s="1985">
        <f ca="1">'Vehicle manufacturing'!U144</f>
        <v>100947282.44884688</v>
      </c>
      <c r="V42" s="1985">
        <f ca="1">'Vehicle manufacturing'!V144</f>
        <v>150781768.6986984</v>
      </c>
      <c r="W42" s="1985">
        <f ca="1">'Vehicle manufacturing'!W144</f>
        <v>71161147.935973421</v>
      </c>
      <c r="X42" s="1985">
        <f ca="1">'Vehicle manufacturing'!X144</f>
        <v>4904623.1741166394</v>
      </c>
      <c r="Y42" s="1985">
        <f ca="1">'Vehicle manufacturing'!Y144</f>
        <v>11763040.492704028</v>
      </c>
      <c r="Z42" s="1985">
        <f ca="1">'Vehicle manufacturing'!Z144</f>
        <v>6092724.7803872982</v>
      </c>
      <c r="AA42" s="1985">
        <f ca="1">'Vehicle manufacturing'!AA144</f>
        <v>13921455.41715686</v>
      </c>
      <c r="AB42" s="1985">
        <f ca="1">'Vehicle manufacturing'!AB144</f>
        <v>2067275915.4204488</v>
      </c>
    </row>
    <row r="43" spans="1:28" x14ac:dyDescent="0.45">
      <c r="A43" s="1986" t="s">
        <v>1129</v>
      </c>
      <c r="B43" s="1986"/>
      <c r="C43" s="1990">
        <f>Transport!C100</f>
        <v>44400.84653403025</v>
      </c>
      <c r="D43" s="1990">
        <f>Transport!D100</f>
        <v>48994.546163306644</v>
      </c>
      <c r="E43" s="1990">
        <f>Transport!E100</f>
        <v>46822.710890431903</v>
      </c>
      <c r="F43" s="1990">
        <f>Transport!F100</f>
        <v>49803.380251518531</v>
      </c>
      <c r="G43" s="1990">
        <f>Transport!G100</f>
        <v>44400.84653403025</v>
      </c>
      <c r="H43" s="1990">
        <f>Transport!H100</f>
        <v>48994.546163306644</v>
      </c>
      <c r="I43" s="1990">
        <f>Transport!I100</f>
        <v>46822.710890431903</v>
      </c>
      <c r="J43" s="1990">
        <f>Transport!J100</f>
        <v>48859.998143506535</v>
      </c>
      <c r="K43" s="1990">
        <f>Transport!K100</f>
        <v>156972.6897667736</v>
      </c>
      <c r="L43" s="1990">
        <f>Transport!L100</f>
        <v>165994.0900671579</v>
      </c>
      <c r="M43" s="1990">
        <f>Transport!M100</f>
        <v>635819.95802015346</v>
      </c>
      <c r="N43" s="1990">
        <f>Transport!N100</f>
        <v>929670.62193982769</v>
      </c>
      <c r="O43" s="1990">
        <f>Transport!O100</f>
        <v>635819.95802015346</v>
      </c>
      <c r="P43" s="1990">
        <f>Transport!P100</f>
        <v>929670.62193982769</v>
      </c>
      <c r="Q43" s="1990">
        <f>Transport!Q100</f>
        <v>939283.48307005875</v>
      </c>
      <c r="R43" s="1990">
        <f>Transport!R100</f>
        <v>1270256.2194025656</v>
      </c>
      <c r="S43" s="1990">
        <f>Transport!S100</f>
        <v>939283.48307005875</v>
      </c>
      <c r="T43" s="1990">
        <f>Transport!T100</f>
        <v>1270256.2194025656</v>
      </c>
      <c r="U43" s="1990">
        <f>Transport!U100</f>
        <v>929670.62193982769</v>
      </c>
      <c r="V43" s="1990">
        <f>Transport!V100</f>
        <v>1303305.0665116669</v>
      </c>
      <c r="W43" s="1990">
        <f>Transport!W100</f>
        <v>949016.28854027716</v>
      </c>
      <c r="X43" s="1990">
        <f>Transport!X100</f>
        <v>121464.50336902271</v>
      </c>
      <c r="Y43" s="1990">
        <f>Transport!Y100</f>
        <v>142062.97743381467</v>
      </c>
      <c r="Z43" s="1990">
        <f>Transport!Z100</f>
        <v>121464.50336902271</v>
      </c>
      <c r="AA43" s="1990">
        <f>Transport!AA100</f>
        <v>148614.1094504245</v>
      </c>
      <c r="AB43" s="1990">
        <f>Transport!AB100</f>
        <v>17378767.405106328</v>
      </c>
    </row>
    <row r="44" spans="1:28" x14ac:dyDescent="0.45">
      <c r="A44" s="1991" t="s">
        <v>1130</v>
      </c>
      <c r="B44" s="1991"/>
      <c r="C44" s="2009">
        <f ca="1">Use!C52*(1-'Base variables computation'!C24)</f>
        <v>3602685.9959999998</v>
      </c>
      <c r="D44" s="2009">
        <f ca="1">Use!D52*(1-'Base variables computation'!D24)</f>
        <v>1439966.064791091</v>
      </c>
      <c r="E44" s="2009">
        <f ca="1">Use!E52*(1-'Base variables computation'!E24)</f>
        <v>3002238.33</v>
      </c>
      <c r="F44" s="2009">
        <f ca="1">Use!F52*(1-'Base variables computation'!F24)</f>
        <v>1439966.064791091</v>
      </c>
      <c r="G44" s="2009">
        <f ca="1">Use!G52*(1-'Base variables computation'!G24)</f>
        <v>5986001.3471999997</v>
      </c>
      <c r="H44" s="2009">
        <f ca="1">Use!H52*(1-'Base variables computation'!H24)</f>
        <v>2392558.9999605822</v>
      </c>
      <c r="I44" s="2009">
        <f ca="1">Use!I52*(1-'Base variables computation'!I24)</f>
        <v>4988334.4560000002</v>
      </c>
      <c r="J44" s="2009">
        <f ca="1">Use!J52*(1-'Base variables computation'!J24)</f>
        <v>2392558.9999605822</v>
      </c>
      <c r="K44" s="2009">
        <f ca="1">Use!K52*(1-'Base variables computation'!K24)</f>
        <v>30851003.648744412</v>
      </c>
      <c r="L44" s="2009">
        <f ca="1">Use!L52*(1-'Base variables computation'!L24)</f>
        <v>17279592.777493093</v>
      </c>
      <c r="M44" s="2009">
        <f ca="1">Use!M52*(1-'Base variables computation'!M24)</f>
        <v>674877073.90459383</v>
      </c>
      <c r="N44" s="2009">
        <f ca="1">Use!N52*(1-'Base variables computation'!N24)</f>
        <v>1173698769.9231534</v>
      </c>
      <c r="O44" s="2009">
        <f ca="1">Use!O52*(1-'Base variables computation'!O24)</f>
        <v>482054851.9327237</v>
      </c>
      <c r="P44" s="2009">
        <f ca="1">Use!P52*(1-'Base variables computation'!P24)</f>
        <v>674876792.70581305</v>
      </c>
      <c r="Q44" s="2009">
        <f ca="1">Use!Q52*(1-'Base variables computation'!Q24)</f>
        <v>626622595.22777152</v>
      </c>
      <c r="R44" s="2009">
        <f ca="1">Use!R52*(1-'Base variables computation'!R24)</f>
        <v>863979638.87465465</v>
      </c>
      <c r="S44" s="2009">
        <f ca="1">Use!S52*(1-'Base variables computation'!S24)</f>
        <v>512691214.27726763</v>
      </c>
      <c r="T44" s="2009">
        <f ca="1">Use!T52*(1-'Base variables computation'!T24)</f>
        <v>731059694.43240011</v>
      </c>
      <c r="U44" s="2009">
        <f ca="1">Use!U52*(1-'Base variables computation'!U24)</f>
        <v>2053972847.3655186</v>
      </c>
      <c r="V44" s="2009">
        <f ca="1">Use!V52*(1-'Base variables computation'!V24)</f>
        <v>1279354465.2567003</v>
      </c>
      <c r="W44" s="2009">
        <f ca="1">Use!W52*(1-'Base variables computation'!W24)</f>
        <v>163154851.12863174</v>
      </c>
      <c r="X44" s="2009">
        <f ca="1">Use!X52*(1-'Base variables computation'!X24)</f>
        <v>33532692.732000001</v>
      </c>
      <c r="Y44" s="2009">
        <f ca="1">Use!Y52*(1-'Base variables computation'!Y24)</f>
        <v>19816939.574078277</v>
      </c>
      <c r="Z44" s="2009">
        <f ca="1">Use!Z52*(1-'Base variables computation'!Z24)</f>
        <v>110183966.15605113</v>
      </c>
      <c r="AA44" s="2009">
        <f ca="1">Use!AA52*(1-'Base variables computation'!AA24)</f>
        <v>52408435.237231806</v>
      </c>
      <c r="AB44" s="1993">
        <f ca="1">Use!AB52*(1-'Base variables computation'!AB24)</f>
        <v>100500868452.00677</v>
      </c>
    </row>
    <row r="45" spans="1:28" x14ac:dyDescent="0.45">
      <c r="A45" s="1994" t="s">
        <v>1131</v>
      </c>
      <c r="B45" s="1994"/>
      <c r="C45" s="2010">
        <f>'Operational services'!C19</f>
        <v>0</v>
      </c>
      <c r="D45" s="2010">
        <f>'Operational services'!D19</f>
        <v>0</v>
      </c>
      <c r="E45" s="2010">
        <f>'Operational services'!E19</f>
        <v>0</v>
      </c>
      <c r="F45" s="2010">
        <f>'Operational services'!F19</f>
        <v>0</v>
      </c>
      <c r="G45" s="2010">
        <f>'Operational services'!G19</f>
        <v>0</v>
      </c>
      <c r="H45" s="2010">
        <f>'Operational services'!H19</f>
        <v>429822.4848501659</v>
      </c>
      <c r="I45" s="2010">
        <f>'Operational services'!I19</f>
        <v>0</v>
      </c>
      <c r="J45" s="2010">
        <f>'Operational services'!J19</f>
        <v>429822.4848501659</v>
      </c>
      <c r="K45" s="2010">
        <f>'Operational services'!K19</f>
        <v>0</v>
      </c>
      <c r="L45" s="2010">
        <f>'Operational services'!L19</f>
        <v>0</v>
      </c>
      <c r="M45" s="2010">
        <f ca="1">'Operational services'!M19</f>
        <v>1929586.0338055515</v>
      </c>
      <c r="N45" s="2010">
        <f ca="1">'Operational services'!N19</f>
        <v>2876400.3425759566</v>
      </c>
      <c r="O45" s="2010">
        <f ca="1">'Operational services'!O19</f>
        <v>1378275.1641509794</v>
      </c>
      <c r="P45" s="2010">
        <f ca="1">'Operational services'!P19</f>
        <v>1653930.1969811746</v>
      </c>
      <c r="Q45" s="2010">
        <f ca="1">'Operational services'!Q19</f>
        <v>1791618.4368554037</v>
      </c>
      <c r="R45" s="2010">
        <f ca="1">'Operational services'!R19</f>
        <v>2117367.2435563859</v>
      </c>
      <c r="S45" s="2010">
        <f ca="1">'Operational services'!S19</f>
        <v>1465869.6301544211</v>
      </c>
      <c r="T45" s="2010">
        <f ca="1">'Operational services'!T19</f>
        <v>1791618.4368554035</v>
      </c>
      <c r="U45" s="2010">
        <f ca="1">'Operational services'!U19</f>
        <v>2876400.3425759566</v>
      </c>
      <c r="V45" s="2010">
        <f ca="1">'Operational services'!V19</f>
        <v>1791618.4368554035</v>
      </c>
      <c r="W45" s="2010">
        <f ca="1">'Operational services'!W19</f>
        <v>228483.38539687163</v>
      </c>
      <c r="X45" s="2010">
        <f>'Operational services'!X19</f>
        <v>0</v>
      </c>
      <c r="Y45" s="2010">
        <f>'Operational services'!Y19</f>
        <v>0</v>
      </c>
      <c r="Z45" s="2010">
        <f ca="1">'Operational services'!Z19</f>
        <v>19623116.23141532</v>
      </c>
      <c r="AA45" s="2010">
        <f ca="1">'Operational services'!AA19</f>
        <v>9333634.0308378264</v>
      </c>
      <c r="AB45" s="1996">
        <f ca="1">'Operational services'!AB19</f>
        <v>0</v>
      </c>
    </row>
    <row r="46" spans="1:28" x14ac:dyDescent="0.45">
      <c r="A46" s="1997" t="s">
        <v>3574</v>
      </c>
      <c r="B46" s="1997"/>
      <c r="C46" s="2011">
        <f>C39*'Base variables computation'!C23</f>
        <v>741957.27034445922</v>
      </c>
      <c r="D46" s="2011">
        <f>D39*'Base variables computation'!D23</f>
        <v>737711.83990890079</v>
      </c>
      <c r="E46" s="2011">
        <f>E39*'Base variables computation'!E23</f>
        <v>743417.482086626</v>
      </c>
      <c r="F46" s="2011">
        <f>F39*'Base variables computation'!F23</f>
        <v>737630.71703433595</v>
      </c>
      <c r="G46" s="2011">
        <f>G39*'Base variables computation'!G23</f>
        <v>1232790.5414954093</v>
      </c>
      <c r="H46" s="2011">
        <f>H39*'Base variables computation'!H23</f>
        <v>1225736.5955409429</v>
      </c>
      <c r="I46" s="2011">
        <f>I39*'Base variables computation'!I23</f>
        <v>1235216.7394670094</v>
      </c>
      <c r="J46" s="2011">
        <f>J39*'Base variables computation'!J23</f>
        <v>1225601.8067647428</v>
      </c>
      <c r="K46" s="2011">
        <f>K39*'Base variables computation'!K23</f>
        <v>3488498.7863256251</v>
      </c>
      <c r="L46" s="2011">
        <f>L39*'Base variables computation'!L23</f>
        <v>3430256.7225355026</v>
      </c>
      <c r="M46" s="2011">
        <f>M39*'Base variables computation'!M23</f>
        <v>28305126.56990692</v>
      </c>
      <c r="N46" s="2011">
        <f>N39*'Base variables computation'!N23</f>
        <v>44012925.102087557</v>
      </c>
      <c r="O46" s="2011">
        <f>O39*'Base variables computation'!O23</f>
        <v>28305126.56990692</v>
      </c>
      <c r="P46" s="2011">
        <f>P39*'Base variables computation'!P23</f>
        <v>44012925.102087557</v>
      </c>
      <c r="Q46" s="2011">
        <f>Q39*'Base variables computation'!Q23</f>
        <v>33382170.473440185</v>
      </c>
      <c r="R46" s="2011">
        <f>R39*'Base variables computation'!R23</f>
        <v>46983270.355383821</v>
      </c>
      <c r="S46" s="2011">
        <f>S39*'Base variables computation'!S23</f>
        <v>33382170.473440185</v>
      </c>
      <c r="T46" s="2011">
        <f>T39*'Base variables computation'!T23</f>
        <v>46983270.355383821</v>
      </c>
      <c r="U46" s="2011">
        <f>U39*'Base variables computation'!U23</f>
        <v>77022618.928653225</v>
      </c>
      <c r="V46" s="2011">
        <f>V39*'Base variables computation'!V23</f>
        <v>82220723.121921688</v>
      </c>
      <c r="W46" s="2011">
        <f>W39*'Base variables computation'!W23</f>
        <v>77022618.928653225</v>
      </c>
      <c r="X46" s="2011">
        <f>X39*'Base variables computation'!X23</f>
        <v>5519182.0643471517</v>
      </c>
      <c r="Y46" s="2011">
        <f>Y39*'Base variables computation'!Y23</f>
        <v>5391668.0811473457</v>
      </c>
      <c r="Z46" s="2011">
        <f>Z39*'Base variables computation'!Z23</f>
        <v>7877310.8542936407</v>
      </c>
      <c r="AA46" s="2011">
        <f>AA39*'Base variables computation'!AA23</f>
        <v>7757498.6087825298</v>
      </c>
      <c r="AB46" s="2011">
        <f>AB39*'Base variables computation'!AB23</f>
        <v>14985756321.093639</v>
      </c>
    </row>
    <row r="47" spans="1:28" hidden="1" x14ac:dyDescent="0.45">
      <c r="C47" s="2012"/>
      <c r="D47" s="2012"/>
      <c r="E47" s="2012"/>
      <c r="F47" s="2012"/>
      <c r="G47" s="2012"/>
      <c r="H47" s="2012"/>
      <c r="I47" s="2012"/>
      <c r="J47" s="2012"/>
      <c r="K47" s="2012"/>
      <c r="L47" s="2012"/>
      <c r="M47" s="2012"/>
      <c r="N47" s="2012"/>
      <c r="O47" s="2012"/>
      <c r="P47" s="2012"/>
      <c r="Q47" s="2012"/>
      <c r="R47" s="2012"/>
      <c r="S47" s="2012"/>
      <c r="T47" s="2012"/>
      <c r="U47" s="2012"/>
      <c r="V47" s="2012"/>
      <c r="W47" s="2012"/>
      <c r="X47" s="2012"/>
      <c r="Y47" s="2012"/>
      <c r="Z47" s="2012"/>
      <c r="AA47" s="2012"/>
      <c r="AB47" s="2013"/>
    </row>
    <row r="48" spans="1:28" hidden="1" x14ac:dyDescent="0.45">
      <c r="C48" s="2012"/>
      <c r="D48" s="2012"/>
      <c r="E48" s="2012"/>
      <c r="F48" s="2012"/>
      <c r="G48" s="2012"/>
      <c r="H48" s="2012"/>
      <c r="I48" s="2012"/>
      <c r="J48" s="2012"/>
      <c r="K48" s="2012"/>
      <c r="L48" s="2012"/>
      <c r="M48" s="2012"/>
      <c r="N48" s="2012"/>
      <c r="O48" s="2012"/>
      <c r="P48" s="2012"/>
      <c r="Q48" s="2012"/>
      <c r="R48" s="2012"/>
      <c r="S48" s="2012"/>
      <c r="T48" s="2012"/>
      <c r="U48" s="2012"/>
      <c r="V48" s="2012"/>
      <c r="W48" s="2012"/>
      <c r="X48" s="2012"/>
      <c r="Y48" s="2012"/>
      <c r="Z48" s="2012"/>
      <c r="AA48" s="2012"/>
      <c r="AB48" s="2013"/>
    </row>
    <row r="49" spans="3:28" hidden="1" x14ac:dyDescent="0.45">
      <c r="C49" s="2012"/>
      <c r="D49" s="2012"/>
      <c r="E49" s="2012"/>
      <c r="F49" s="2012"/>
      <c r="G49" s="2012"/>
      <c r="H49" s="2012"/>
      <c r="I49" s="2012"/>
      <c r="J49" s="2012"/>
      <c r="K49" s="2012"/>
      <c r="L49" s="2012"/>
      <c r="M49" s="2012"/>
      <c r="N49" s="2012"/>
      <c r="O49" s="2012"/>
      <c r="P49" s="2012"/>
      <c r="Q49" s="2012"/>
      <c r="R49" s="2012"/>
      <c r="S49" s="2012"/>
      <c r="T49" s="2012"/>
      <c r="U49" s="2012"/>
      <c r="V49" s="2012"/>
      <c r="W49" s="2012"/>
      <c r="X49" s="2012"/>
      <c r="Y49" s="2012"/>
      <c r="Z49" s="2012"/>
      <c r="AA49" s="2012"/>
      <c r="AB49" s="2013"/>
    </row>
    <row r="50" spans="3:28" hidden="1" x14ac:dyDescent="0.45">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c r="Z50" s="2012"/>
      <c r="AA50" s="2012"/>
      <c r="AB50" s="2013"/>
    </row>
    <row r="51" spans="3:28" hidden="1" x14ac:dyDescent="0.45">
      <c r="C51" s="2012"/>
      <c r="D51" s="2012"/>
      <c r="E51" s="2012"/>
      <c r="F51" s="2012"/>
      <c r="G51" s="2012"/>
      <c r="H51" s="2012"/>
      <c r="I51" s="2012"/>
      <c r="J51" s="2012"/>
      <c r="K51" s="2012"/>
      <c r="L51" s="2012"/>
      <c r="M51" s="2012"/>
      <c r="N51" s="2012"/>
      <c r="O51" s="2012"/>
      <c r="P51" s="2012"/>
      <c r="Q51" s="2012"/>
      <c r="R51" s="2012"/>
      <c r="S51" s="2012"/>
      <c r="T51" s="2012"/>
      <c r="U51" s="2012"/>
      <c r="V51" s="2012"/>
      <c r="W51" s="2012"/>
      <c r="X51" s="2012"/>
      <c r="Y51" s="2012"/>
      <c r="Z51" s="2012"/>
      <c r="AA51" s="2012"/>
      <c r="AB51" s="2013"/>
    </row>
    <row r="52" spans="3:28" hidden="1" x14ac:dyDescent="0.45">
      <c r="C52" s="2012"/>
      <c r="D52" s="2012"/>
      <c r="E52" s="2012"/>
      <c r="F52" s="2012"/>
      <c r="G52" s="2012"/>
      <c r="H52" s="2012"/>
      <c r="I52" s="2012"/>
      <c r="J52" s="2012"/>
      <c r="K52" s="2012"/>
      <c r="L52" s="2012"/>
      <c r="M52" s="2012"/>
      <c r="N52" s="2012"/>
      <c r="O52" s="2012"/>
      <c r="P52" s="2012"/>
      <c r="Q52" s="2012"/>
      <c r="R52" s="2012"/>
      <c r="S52" s="2012"/>
      <c r="T52" s="2012"/>
      <c r="U52" s="2012"/>
      <c r="V52" s="2012"/>
      <c r="W52" s="2012"/>
      <c r="X52" s="2012"/>
      <c r="Y52" s="2012"/>
      <c r="Z52" s="2012"/>
      <c r="AA52" s="2012"/>
      <c r="AB52" s="2013"/>
    </row>
    <row r="53" spans="3:28" hidden="1" x14ac:dyDescent="0.45">
      <c r="C53" s="2012"/>
      <c r="D53" s="2012"/>
      <c r="E53" s="2012"/>
      <c r="F53" s="2012"/>
      <c r="G53" s="2012"/>
      <c r="H53" s="2012"/>
      <c r="I53" s="2012"/>
      <c r="J53" s="2012"/>
      <c r="K53" s="2012"/>
      <c r="L53" s="2012"/>
      <c r="M53" s="2012"/>
      <c r="N53" s="2012"/>
      <c r="O53" s="2012"/>
      <c r="P53" s="2012"/>
      <c r="Q53" s="2012"/>
      <c r="R53" s="2012"/>
      <c r="S53" s="2012"/>
      <c r="T53" s="2012"/>
      <c r="U53" s="2012"/>
      <c r="V53" s="2012"/>
      <c r="W53" s="2012"/>
      <c r="X53" s="2012"/>
      <c r="Y53" s="2012"/>
      <c r="Z53" s="2012"/>
      <c r="AA53" s="2012"/>
      <c r="AB53" s="2013"/>
    </row>
    <row r="54" spans="3:28" hidden="1" x14ac:dyDescent="0.45">
      <c r="C54" s="2012"/>
      <c r="D54" s="2012"/>
      <c r="E54" s="2012"/>
      <c r="F54" s="2012"/>
      <c r="G54" s="2012"/>
      <c r="H54" s="2012"/>
      <c r="I54" s="2012"/>
      <c r="J54" s="2012"/>
      <c r="K54" s="2012"/>
      <c r="L54" s="2012"/>
      <c r="M54" s="2012"/>
      <c r="N54" s="2012"/>
      <c r="O54" s="2012"/>
      <c r="P54" s="2012"/>
      <c r="Q54" s="2012"/>
      <c r="R54" s="2012"/>
      <c r="S54" s="2012"/>
      <c r="T54" s="2012"/>
      <c r="U54" s="2012"/>
      <c r="V54" s="2012"/>
      <c r="W54" s="2012"/>
      <c r="X54" s="2012"/>
      <c r="Y54" s="2012"/>
      <c r="Z54" s="2012"/>
      <c r="AA54" s="2012"/>
      <c r="AB54" s="2013"/>
    </row>
    <row r="55" spans="3:28" hidden="1" x14ac:dyDescent="0.45">
      <c r="C55" s="2012"/>
      <c r="D55" s="2012"/>
      <c r="E55" s="2012"/>
      <c r="F55" s="2012"/>
      <c r="G55" s="2012"/>
      <c r="H55" s="2012"/>
      <c r="I55" s="2012"/>
      <c r="J55" s="2012"/>
      <c r="K55" s="2012"/>
      <c r="L55" s="2012"/>
      <c r="M55" s="2012"/>
      <c r="N55" s="2012"/>
      <c r="O55" s="2012"/>
      <c r="P55" s="2012"/>
      <c r="Q55" s="2012"/>
      <c r="R55" s="2012"/>
      <c r="S55" s="2012"/>
      <c r="T55" s="2012"/>
      <c r="U55" s="2012"/>
      <c r="V55" s="2012"/>
      <c r="W55" s="2012"/>
      <c r="X55" s="2012"/>
      <c r="Y55" s="2012"/>
      <c r="Z55" s="2012"/>
      <c r="AA55" s="2012"/>
      <c r="AB55" s="2013"/>
    </row>
    <row r="56" spans="3:28" hidden="1" x14ac:dyDescent="0.45">
      <c r="C56" s="2012"/>
      <c r="D56" s="2012"/>
      <c r="E56" s="2012"/>
      <c r="F56" s="2012"/>
      <c r="G56" s="2012"/>
      <c r="H56" s="2012"/>
      <c r="I56" s="2012"/>
      <c r="J56" s="2012"/>
      <c r="K56" s="2012"/>
      <c r="L56" s="2012"/>
      <c r="M56" s="2012"/>
      <c r="N56" s="2012"/>
      <c r="O56" s="2012"/>
      <c r="P56" s="2012"/>
      <c r="Q56" s="2012"/>
      <c r="R56" s="2012"/>
      <c r="S56" s="2012"/>
      <c r="T56" s="2012"/>
      <c r="U56" s="2012"/>
      <c r="V56" s="2012"/>
      <c r="W56" s="2012"/>
      <c r="X56" s="2012"/>
      <c r="Y56" s="2012"/>
      <c r="Z56" s="2012"/>
      <c r="AA56" s="2012"/>
      <c r="AB56" s="2013"/>
    </row>
    <row r="57" spans="3:28" hidden="1" x14ac:dyDescent="0.45">
      <c r="C57" s="2012"/>
      <c r="D57" s="2012"/>
      <c r="E57" s="2012"/>
      <c r="F57" s="2012"/>
      <c r="G57" s="2012"/>
      <c r="H57" s="2012"/>
      <c r="I57" s="2012"/>
      <c r="J57" s="2012"/>
      <c r="K57" s="2012"/>
      <c r="L57" s="2012"/>
      <c r="M57" s="2012"/>
      <c r="N57" s="2012"/>
      <c r="O57" s="2012"/>
      <c r="P57" s="2012"/>
      <c r="Q57" s="2012"/>
      <c r="R57" s="2012"/>
      <c r="S57" s="2012"/>
      <c r="T57" s="2012"/>
      <c r="U57" s="2012"/>
      <c r="V57" s="2012"/>
      <c r="W57" s="2012"/>
      <c r="X57" s="2012"/>
      <c r="Y57" s="2012"/>
      <c r="Z57" s="2012"/>
      <c r="AA57" s="2012"/>
      <c r="AB57" s="2013"/>
    </row>
    <row r="58" spans="3:28" hidden="1" x14ac:dyDescent="0.45">
      <c r="C58" s="2012"/>
      <c r="D58" s="2012"/>
      <c r="E58" s="2012"/>
      <c r="F58" s="2012"/>
      <c r="G58" s="2012"/>
      <c r="H58" s="2012"/>
      <c r="I58" s="2012"/>
      <c r="J58" s="2012"/>
      <c r="K58" s="2012"/>
      <c r="L58" s="2012"/>
      <c r="M58" s="2012"/>
      <c r="N58" s="2012"/>
      <c r="O58" s="2012"/>
      <c r="P58" s="2012"/>
      <c r="Q58" s="2012"/>
      <c r="R58" s="2012"/>
      <c r="S58" s="2012"/>
      <c r="T58" s="2012"/>
      <c r="U58" s="2012"/>
      <c r="V58" s="2012"/>
      <c r="W58" s="2012"/>
      <c r="X58" s="2012"/>
      <c r="Y58" s="2012"/>
      <c r="Z58" s="2012"/>
      <c r="AA58" s="2012"/>
      <c r="AB58" s="2013"/>
    </row>
    <row r="59" spans="3:28" hidden="1" x14ac:dyDescent="0.45">
      <c r="C59" s="2012"/>
      <c r="D59" s="2012"/>
      <c r="E59" s="2012"/>
      <c r="F59" s="2012"/>
      <c r="G59" s="2012"/>
      <c r="H59" s="2012"/>
      <c r="I59" s="2012"/>
      <c r="J59" s="2012"/>
      <c r="K59" s="2012"/>
      <c r="L59" s="2012"/>
      <c r="M59" s="2012"/>
      <c r="N59" s="2012"/>
      <c r="O59" s="2012"/>
      <c r="P59" s="2012"/>
      <c r="Q59" s="2012"/>
      <c r="R59" s="2012"/>
      <c r="S59" s="2012"/>
      <c r="T59" s="2012"/>
      <c r="U59" s="2012"/>
      <c r="V59" s="2012"/>
      <c r="W59" s="2012"/>
      <c r="X59" s="2012"/>
      <c r="Y59" s="2012"/>
      <c r="Z59" s="2012"/>
      <c r="AA59" s="2012"/>
      <c r="AB59" s="2013"/>
    </row>
    <row r="60" spans="3:28" hidden="1" x14ac:dyDescent="0.45">
      <c r="C60" s="2012"/>
      <c r="D60" s="2012"/>
      <c r="E60" s="2012"/>
      <c r="F60" s="2012"/>
      <c r="G60" s="2012"/>
      <c r="H60" s="2012"/>
      <c r="I60" s="2012"/>
      <c r="J60" s="2012"/>
      <c r="K60" s="2012"/>
      <c r="L60" s="2012"/>
      <c r="M60" s="2012"/>
      <c r="N60" s="2012"/>
      <c r="O60" s="2012"/>
      <c r="P60" s="2012"/>
      <c r="Q60" s="2012"/>
      <c r="R60" s="2012"/>
      <c r="S60" s="2012"/>
      <c r="T60" s="2012"/>
      <c r="U60" s="2012"/>
      <c r="V60" s="2012"/>
      <c r="W60" s="2012"/>
      <c r="X60" s="2012"/>
      <c r="Y60" s="2012"/>
      <c r="Z60" s="2012"/>
      <c r="AA60" s="2012"/>
      <c r="AB60" s="2013"/>
    </row>
    <row r="61" spans="3:28" hidden="1" x14ac:dyDescent="0.45">
      <c r="C61" s="2012"/>
      <c r="D61" s="2012"/>
      <c r="E61" s="2012"/>
      <c r="F61" s="2012"/>
      <c r="G61" s="2012"/>
      <c r="H61" s="2012"/>
      <c r="I61" s="2012"/>
      <c r="J61" s="2012"/>
      <c r="K61" s="2012"/>
      <c r="L61" s="2012"/>
      <c r="M61" s="2012"/>
      <c r="N61" s="2012"/>
      <c r="O61" s="2012"/>
      <c r="P61" s="2012"/>
      <c r="Q61" s="2012"/>
      <c r="R61" s="2012"/>
      <c r="S61" s="2012"/>
      <c r="T61" s="2012"/>
      <c r="U61" s="2012"/>
      <c r="V61" s="2012"/>
      <c r="W61" s="2012"/>
      <c r="X61" s="2012"/>
      <c r="Y61" s="2012"/>
      <c r="Z61" s="2012"/>
      <c r="AA61" s="2012"/>
      <c r="AB61" s="2013"/>
    </row>
    <row r="62" spans="3:28" hidden="1" x14ac:dyDescent="0.45">
      <c r="C62" s="2012"/>
      <c r="D62" s="2012"/>
      <c r="E62" s="2012"/>
      <c r="F62" s="2012"/>
      <c r="G62" s="2012"/>
      <c r="H62" s="2012"/>
      <c r="I62" s="2012"/>
      <c r="J62" s="2012"/>
      <c r="K62" s="2012"/>
      <c r="L62" s="2012"/>
      <c r="M62" s="2012"/>
      <c r="N62" s="2012"/>
      <c r="O62" s="2012"/>
      <c r="P62" s="2012"/>
      <c r="Q62" s="2012"/>
      <c r="R62" s="2012"/>
      <c r="S62" s="2012"/>
      <c r="T62" s="2012"/>
      <c r="U62" s="2012"/>
      <c r="V62" s="2012"/>
      <c r="W62" s="2012"/>
      <c r="X62" s="2012"/>
      <c r="Y62" s="2012"/>
      <c r="Z62" s="2012"/>
      <c r="AA62" s="2012"/>
      <c r="AB62" s="2013"/>
    </row>
    <row r="63" spans="3:28" hidden="1" x14ac:dyDescent="0.45">
      <c r="C63" s="2012"/>
      <c r="D63" s="2012"/>
      <c r="E63" s="2012"/>
      <c r="F63" s="2012"/>
      <c r="G63" s="2012"/>
      <c r="H63" s="2012"/>
      <c r="I63" s="2012"/>
      <c r="J63" s="2012"/>
      <c r="K63" s="2012"/>
      <c r="L63" s="2012"/>
      <c r="M63" s="2012"/>
      <c r="N63" s="2012"/>
      <c r="O63" s="2012"/>
      <c r="P63" s="2012"/>
      <c r="Q63" s="2012"/>
      <c r="R63" s="2012"/>
      <c r="S63" s="2012"/>
      <c r="T63" s="2012"/>
      <c r="U63" s="2012"/>
      <c r="V63" s="2012"/>
      <c r="W63" s="2012"/>
      <c r="X63" s="2012"/>
      <c r="Y63" s="2012"/>
      <c r="Z63" s="2012"/>
      <c r="AA63" s="2012"/>
      <c r="AB63" s="2013"/>
    </row>
    <row r="64" spans="3:28" hidden="1" x14ac:dyDescent="0.45">
      <c r="C64" s="2012"/>
      <c r="D64" s="2012"/>
      <c r="E64" s="2012"/>
      <c r="F64" s="2012"/>
      <c r="G64" s="2012"/>
      <c r="H64" s="2012"/>
      <c r="I64" s="2012"/>
      <c r="J64" s="2012"/>
      <c r="K64" s="2012"/>
      <c r="L64" s="2012"/>
      <c r="M64" s="2012"/>
      <c r="N64" s="2012"/>
      <c r="O64" s="2012"/>
      <c r="P64" s="2012"/>
      <c r="Q64" s="2012"/>
      <c r="R64" s="2012"/>
      <c r="S64" s="2012"/>
      <c r="T64" s="2012"/>
      <c r="U64" s="2012"/>
      <c r="V64" s="2012"/>
      <c r="W64" s="2012"/>
      <c r="X64" s="2012"/>
      <c r="Y64" s="2012"/>
      <c r="Z64" s="2012"/>
      <c r="AA64" s="2012"/>
      <c r="AB64" s="2013"/>
    </row>
  </sheetData>
  <mergeCells count="1">
    <mergeCell ref="A1:AB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I9"/>
  <sheetViews>
    <sheetView showGridLines="0" zoomScaleNormal="100" workbookViewId="0">
      <selection activeCell="W28" sqref="W28"/>
    </sheetView>
  </sheetViews>
  <sheetFormatPr defaultRowHeight="14.25" x14ac:dyDescent="0.45"/>
  <sheetData>
    <row r="1" spans="1:35" ht="18" x14ac:dyDescent="0.55000000000000004">
      <c r="A1" s="2153" t="s">
        <v>3580</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row>
    <row r="9" spans="1:35" x14ac:dyDescent="0.45">
      <c r="D9" t="s">
        <v>3550</v>
      </c>
    </row>
  </sheetData>
  <mergeCells count="1">
    <mergeCell ref="A1:AI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
  <sheetViews>
    <sheetView showGridLines="0" workbookViewId="0">
      <selection activeCell="D9" sqref="D9"/>
    </sheetView>
  </sheetViews>
  <sheetFormatPr defaultRowHeight="14.25" x14ac:dyDescent="0.4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65"/>
  <sheetViews>
    <sheetView showGridLines="0" zoomScale="90" zoomScaleNormal="90" workbookViewId="0">
      <pane xSplit="2" ySplit="2" topLeftCell="C3" activePane="bottomRight" state="frozen"/>
      <selection sqref="A1:AB1"/>
      <selection pane="topRight" sqref="A1:AB1"/>
      <selection pane="bottomLeft" sqref="A1:AB1"/>
      <selection pane="bottomRight" sqref="A1:AB1"/>
    </sheetView>
  </sheetViews>
  <sheetFormatPr defaultColWidth="8.86328125" defaultRowHeight="15.4" x14ac:dyDescent="0.45"/>
  <cols>
    <col min="1" max="1" width="43.86328125" style="2146" customWidth="1"/>
    <col min="2" max="2" width="20.796875" style="2093" customWidth="1"/>
    <col min="3" max="3" width="11.46484375" style="2093" customWidth="1"/>
    <col min="4" max="4" width="11.796875" style="2093" customWidth="1"/>
    <col min="5" max="5" width="10.46484375" style="2093" customWidth="1"/>
    <col min="6" max="6" width="12.86328125" style="2093" customWidth="1"/>
    <col min="7" max="7" width="10.46484375" style="2093" customWidth="1"/>
    <col min="8" max="8" width="11.19921875" style="2093" customWidth="1"/>
    <col min="9" max="9" width="12" style="2093" customWidth="1"/>
    <col min="10" max="10" width="12.33203125" style="2093" customWidth="1"/>
    <col min="11" max="11" width="9.796875" style="2093" customWidth="1"/>
    <col min="12" max="12" width="11.53125" style="2093" bestFit="1" customWidth="1"/>
    <col min="13" max="16" width="10.53125" style="1966" customWidth="1"/>
    <col min="17" max="22" width="9" style="2093" customWidth="1"/>
    <col min="23" max="23" width="14.1328125" style="2093" customWidth="1"/>
    <col min="24" max="25" width="11.53125" style="2093" bestFit="1" customWidth="1"/>
    <col min="26" max="27" width="9" style="2093" bestFit="1" customWidth="1"/>
    <col min="28" max="28" width="11.46484375" style="23" customWidth="1"/>
    <col min="29" max="16384" width="8.86328125" style="2093"/>
  </cols>
  <sheetData>
    <row r="1" spans="1:31" ht="17.649999999999999" x14ac:dyDescent="0.45">
      <c r="A1" s="2170" t="s">
        <v>3581</v>
      </c>
      <c r="B1" s="2171"/>
      <c r="C1" s="2171"/>
      <c r="D1" s="2171"/>
      <c r="E1" s="2171"/>
      <c r="F1" s="2171"/>
      <c r="G1" s="2171"/>
      <c r="H1" s="2171"/>
      <c r="I1" s="2171"/>
      <c r="J1" s="2171"/>
      <c r="K1" s="2171"/>
      <c r="L1" s="2171"/>
      <c r="M1" s="2171"/>
      <c r="N1" s="2171"/>
      <c r="O1" s="2171"/>
      <c r="P1" s="2171"/>
      <c r="Q1" s="2171"/>
      <c r="R1" s="2171"/>
      <c r="S1" s="2171"/>
      <c r="T1" s="2171"/>
      <c r="U1" s="2171"/>
      <c r="V1" s="2171"/>
      <c r="W1" s="2171"/>
      <c r="X1" s="2171"/>
      <c r="Y1" s="2171"/>
      <c r="Z1" s="2171"/>
      <c r="AA1" s="2171"/>
      <c r="AB1" s="2172"/>
    </row>
    <row r="2" spans="1:31" s="2098" customFormat="1" ht="65.650000000000006" x14ac:dyDescent="0.45">
      <c r="A2" s="2094"/>
      <c r="B2" s="2095"/>
      <c r="C2" s="2096" t="s">
        <v>1162</v>
      </c>
      <c r="D2" s="2096" t="s">
        <v>1163</v>
      </c>
      <c r="E2" s="2096" t="s">
        <v>1164</v>
      </c>
      <c r="F2" s="2096" t="s">
        <v>1165</v>
      </c>
      <c r="G2" s="2096" t="s">
        <v>1166</v>
      </c>
      <c r="H2" s="2096" t="s">
        <v>1167</v>
      </c>
      <c r="I2" s="2096" t="s">
        <v>1168</v>
      </c>
      <c r="J2" s="2096" t="s">
        <v>1169</v>
      </c>
      <c r="K2" s="2095" t="s">
        <v>1140</v>
      </c>
      <c r="L2" s="2097" t="s">
        <v>1152</v>
      </c>
      <c r="M2" s="2096" t="s">
        <v>1153</v>
      </c>
      <c r="N2" s="2096" t="s">
        <v>1156</v>
      </c>
      <c r="O2" s="2096" t="s">
        <v>1157</v>
      </c>
      <c r="P2" s="2096" t="s">
        <v>3399</v>
      </c>
      <c r="Q2" s="2096" t="s">
        <v>1154</v>
      </c>
      <c r="R2" s="2096" t="s">
        <v>1155</v>
      </c>
      <c r="S2" s="2096" t="s">
        <v>1159</v>
      </c>
      <c r="T2" s="2096" t="s">
        <v>1160</v>
      </c>
      <c r="U2" s="2096" t="s">
        <v>3400</v>
      </c>
      <c r="V2" s="2096" t="s">
        <v>3401</v>
      </c>
      <c r="W2" s="2096" t="s">
        <v>3557</v>
      </c>
      <c r="X2" s="2097" t="s">
        <v>1143</v>
      </c>
      <c r="Y2" s="2097" t="s">
        <v>1142</v>
      </c>
      <c r="Z2" s="2097" t="s">
        <v>3442</v>
      </c>
      <c r="AA2" s="2097" t="s">
        <v>3443</v>
      </c>
      <c r="AB2" s="2096" t="s">
        <v>1141</v>
      </c>
      <c r="AC2" s="24"/>
      <c r="AD2" s="24"/>
      <c r="AE2" s="24"/>
    </row>
    <row r="3" spans="1:31" x14ac:dyDescent="0.45">
      <c r="A3" s="2099" t="s">
        <v>1177</v>
      </c>
      <c r="B3" s="2097"/>
      <c r="C3" s="2097"/>
      <c r="D3" s="2097"/>
      <c r="E3" s="2097"/>
      <c r="F3" s="2097"/>
      <c r="G3" s="2097"/>
      <c r="H3" s="2097"/>
      <c r="I3" s="2097"/>
      <c r="J3" s="2097"/>
      <c r="K3" s="2097"/>
      <c r="L3" s="2097"/>
      <c r="M3" s="2100"/>
      <c r="N3" s="2100"/>
      <c r="O3" s="2100"/>
      <c r="P3" s="2100"/>
      <c r="Q3" s="2097"/>
      <c r="R3" s="2097"/>
      <c r="S3" s="2097"/>
      <c r="T3" s="2097"/>
      <c r="U3" s="2097"/>
      <c r="V3" s="2097"/>
      <c r="W3" s="2097"/>
      <c r="X3" s="2097"/>
      <c r="Y3" s="2097"/>
      <c r="Z3" s="2097"/>
      <c r="AA3" s="2097"/>
      <c r="AB3" s="2097"/>
    </row>
    <row r="4" spans="1:31" x14ac:dyDescent="0.45">
      <c r="A4" s="2099" t="s">
        <v>3397</v>
      </c>
      <c r="B4" s="2100"/>
      <c r="C4" s="2101" t="s">
        <v>255</v>
      </c>
      <c r="D4" s="2101" t="s">
        <v>295</v>
      </c>
      <c r="E4" s="2101" t="s">
        <v>255</v>
      </c>
      <c r="F4" s="2101" t="s">
        <v>295</v>
      </c>
      <c r="G4" s="2101" t="s">
        <v>255</v>
      </c>
      <c r="H4" s="2101" t="s">
        <v>295</v>
      </c>
      <c r="I4" s="2101" t="s">
        <v>255</v>
      </c>
      <c r="J4" s="2101" t="s">
        <v>295</v>
      </c>
      <c r="K4" s="2101" t="s">
        <v>255</v>
      </c>
      <c r="L4" s="2101" t="s">
        <v>295</v>
      </c>
      <c r="M4" s="2101" t="s">
        <v>255</v>
      </c>
      <c r="N4" s="2101" t="s">
        <v>255</v>
      </c>
      <c r="O4" s="2101" t="s">
        <v>255</v>
      </c>
      <c r="P4" s="2101" t="s">
        <v>255</v>
      </c>
      <c r="Q4" s="2101" t="s">
        <v>295</v>
      </c>
      <c r="R4" s="2101" t="s">
        <v>295</v>
      </c>
      <c r="S4" s="2101" t="s">
        <v>295</v>
      </c>
      <c r="T4" s="2101" t="s">
        <v>295</v>
      </c>
      <c r="U4" s="2101" t="s">
        <v>255</v>
      </c>
      <c r="V4" s="2101" t="s">
        <v>295</v>
      </c>
      <c r="W4" s="2101" t="s">
        <v>254</v>
      </c>
      <c r="X4" s="2101" t="s">
        <v>255</v>
      </c>
      <c r="Y4" s="2101" t="s">
        <v>295</v>
      </c>
      <c r="Z4" s="2101" t="s">
        <v>255</v>
      </c>
      <c r="AA4" s="2101" t="s">
        <v>295</v>
      </c>
      <c r="AB4" s="2101" t="s">
        <v>295</v>
      </c>
    </row>
    <row r="5" spans="1:31" ht="19.25" customHeight="1" x14ac:dyDescent="0.45">
      <c r="A5" s="2099" t="s">
        <v>1146</v>
      </c>
      <c r="B5" s="2097"/>
      <c r="C5" s="2097"/>
      <c r="D5" s="2097"/>
      <c r="E5" s="2097"/>
      <c r="F5" s="2097"/>
      <c r="G5" s="2097"/>
      <c r="H5" s="2097"/>
      <c r="I5" s="2097"/>
      <c r="J5" s="2097"/>
      <c r="K5" s="2097"/>
      <c r="L5" s="2097"/>
      <c r="M5" s="2100"/>
      <c r="N5" s="2100"/>
      <c r="O5" s="2100"/>
      <c r="P5" s="2100"/>
      <c r="Q5" s="2097"/>
      <c r="R5" s="2097"/>
      <c r="S5" s="2097"/>
      <c r="T5" s="2097"/>
      <c r="U5" s="2097"/>
      <c r="V5" s="2097"/>
      <c r="W5" s="2097"/>
      <c r="X5" s="2097"/>
      <c r="Y5" s="2097"/>
      <c r="Z5" s="2097"/>
      <c r="AA5" s="2097"/>
      <c r="AB5" s="2100"/>
    </row>
    <row r="6" spans="1:31" s="2103" customFormat="1" ht="25.5" x14ac:dyDescent="0.45">
      <c r="A6" s="2102" t="s">
        <v>1073</v>
      </c>
      <c r="B6" s="2101"/>
      <c r="C6" s="2101" t="s">
        <v>125</v>
      </c>
      <c r="D6" s="2101"/>
      <c r="E6" s="2101" t="s">
        <v>125</v>
      </c>
      <c r="F6" s="2101"/>
      <c r="G6" s="2101" t="s">
        <v>125</v>
      </c>
      <c r="H6" s="2101"/>
      <c r="I6" s="2101" t="s">
        <v>125</v>
      </c>
      <c r="J6" s="2101"/>
      <c r="K6" s="2101" t="s">
        <v>125</v>
      </c>
      <c r="L6" s="2101"/>
      <c r="M6" s="2101" t="s">
        <v>126</v>
      </c>
      <c r="N6" s="2101" t="s">
        <v>126</v>
      </c>
      <c r="O6" s="2101" t="s">
        <v>126</v>
      </c>
      <c r="P6" s="2101" t="s">
        <v>126</v>
      </c>
      <c r="Q6" s="2101"/>
      <c r="R6" s="2101"/>
      <c r="S6" s="2101"/>
      <c r="T6" s="2101"/>
      <c r="U6" s="2101" t="s">
        <v>126</v>
      </c>
      <c r="V6" s="2101"/>
      <c r="W6" s="2101" t="s">
        <v>151</v>
      </c>
      <c r="X6" s="2101" t="s">
        <v>125</v>
      </c>
      <c r="Y6" s="2101"/>
      <c r="Z6" s="2101" t="s">
        <v>125</v>
      </c>
      <c r="AA6" s="2101"/>
      <c r="AB6" s="2101"/>
    </row>
    <row r="7" spans="1:31" s="2107" customFormat="1" ht="16.25" customHeight="1" x14ac:dyDescent="0.45">
      <c r="A7" s="2104" t="s">
        <v>125</v>
      </c>
      <c r="B7" s="2105" t="s">
        <v>3540</v>
      </c>
      <c r="C7" s="2106">
        <v>50</v>
      </c>
      <c r="D7" s="2106" t="s">
        <v>3555</v>
      </c>
      <c r="E7" s="2106">
        <v>60</v>
      </c>
      <c r="F7" s="2106" t="s">
        <v>3555</v>
      </c>
      <c r="G7" s="2106">
        <v>50</v>
      </c>
      <c r="H7" s="2106" t="s">
        <v>3555</v>
      </c>
      <c r="I7" s="2106">
        <v>60</v>
      </c>
      <c r="J7" s="2106" t="s">
        <v>3555</v>
      </c>
      <c r="K7" s="2106"/>
      <c r="L7" s="2106"/>
      <c r="M7" s="2106" t="s">
        <v>3555</v>
      </c>
      <c r="N7" s="2106" t="s">
        <v>3555</v>
      </c>
      <c r="O7" s="2106" t="s">
        <v>3555</v>
      </c>
      <c r="P7" s="2106" t="s">
        <v>3555</v>
      </c>
      <c r="Q7" s="2106" t="s">
        <v>3555</v>
      </c>
      <c r="R7" s="2106" t="s">
        <v>3555</v>
      </c>
      <c r="S7" s="2106" t="s">
        <v>3555</v>
      </c>
      <c r="T7" s="2106" t="s">
        <v>3555</v>
      </c>
      <c r="U7" s="2106" t="s">
        <v>3555</v>
      </c>
      <c r="V7" s="2106" t="s">
        <v>3555</v>
      </c>
      <c r="W7" s="2106" t="s">
        <v>3555</v>
      </c>
      <c r="X7" s="2106">
        <v>15</v>
      </c>
      <c r="Y7" s="2106" t="s">
        <v>3555</v>
      </c>
      <c r="Z7" s="2106">
        <v>13</v>
      </c>
      <c r="AA7" s="2106" t="s">
        <v>3555</v>
      </c>
      <c r="AB7" s="2106" t="s">
        <v>3555</v>
      </c>
    </row>
    <row r="8" spans="1:31" s="2107" customFormat="1" x14ac:dyDescent="0.45">
      <c r="A8" s="2104" t="s">
        <v>126</v>
      </c>
      <c r="B8" s="2105" t="s">
        <v>3540</v>
      </c>
      <c r="C8" s="2106" t="s">
        <v>3555</v>
      </c>
      <c r="D8" s="2106" t="s">
        <v>3555</v>
      </c>
      <c r="E8" s="2106" t="s">
        <v>3555</v>
      </c>
      <c r="F8" s="2106" t="s">
        <v>3555</v>
      </c>
      <c r="G8" s="2106" t="s">
        <v>3555</v>
      </c>
      <c r="H8" s="2106" t="s">
        <v>3555</v>
      </c>
      <c r="I8" s="2106" t="s">
        <v>3555</v>
      </c>
      <c r="J8" s="2106" t="s">
        <v>3555</v>
      </c>
      <c r="K8" s="2106">
        <v>20.2</v>
      </c>
      <c r="L8" s="2106" t="s">
        <v>3555</v>
      </c>
      <c r="M8" s="2105">
        <v>3.4285700000000001</v>
      </c>
      <c r="N8" s="2106">
        <v>2.2999999999999998</v>
      </c>
      <c r="O8" s="2105">
        <v>4.8</v>
      </c>
      <c r="P8" s="2105">
        <v>4</v>
      </c>
      <c r="Q8" s="2106" t="s">
        <v>3555</v>
      </c>
      <c r="R8" s="2106" t="s">
        <v>3555</v>
      </c>
      <c r="S8" s="2106" t="s">
        <v>3555</v>
      </c>
      <c r="T8" s="2106" t="s">
        <v>3555</v>
      </c>
      <c r="U8" s="2106">
        <v>2.2999999999999998</v>
      </c>
      <c r="V8" s="2106" t="s">
        <v>3555</v>
      </c>
      <c r="W8" s="2106" t="s">
        <v>3555</v>
      </c>
      <c r="X8" s="2106">
        <v>14</v>
      </c>
      <c r="Y8" s="2106" t="s">
        <v>3555</v>
      </c>
      <c r="Z8" s="2106">
        <v>14</v>
      </c>
      <c r="AA8" s="2106" t="s">
        <v>3555</v>
      </c>
      <c r="AB8" s="2106" t="s">
        <v>3555</v>
      </c>
    </row>
    <row r="9" spans="1:31" s="2107" customFormat="1" x14ac:dyDescent="0.45">
      <c r="A9" s="2104" t="s">
        <v>196</v>
      </c>
      <c r="B9" s="2105" t="s">
        <v>3541</v>
      </c>
      <c r="C9" s="2106" t="s">
        <v>3555</v>
      </c>
      <c r="D9" s="2106" t="s">
        <v>3555</v>
      </c>
      <c r="E9" s="2106" t="s">
        <v>3555</v>
      </c>
      <c r="F9" s="2106" t="s">
        <v>3555</v>
      </c>
      <c r="G9" s="2106" t="s">
        <v>3555</v>
      </c>
      <c r="H9" s="2106" t="s">
        <v>3555</v>
      </c>
      <c r="I9" s="2106" t="s">
        <v>3555</v>
      </c>
      <c r="J9" s="2106" t="s">
        <v>3555</v>
      </c>
      <c r="K9" s="2106">
        <v>29.5</v>
      </c>
      <c r="L9" s="2106" t="s">
        <v>3555</v>
      </c>
      <c r="M9" s="2105">
        <v>3.2</v>
      </c>
      <c r="N9" s="2106">
        <v>2.4</v>
      </c>
      <c r="O9" s="2105">
        <v>4</v>
      </c>
      <c r="P9" s="2105">
        <v>3</v>
      </c>
      <c r="Q9" s="2106" t="s">
        <v>3555</v>
      </c>
      <c r="R9" s="2106" t="s">
        <v>3555</v>
      </c>
      <c r="S9" s="2106" t="s">
        <v>3555</v>
      </c>
      <c r="T9" s="2106" t="s">
        <v>3555</v>
      </c>
      <c r="U9" s="2106">
        <v>2.4</v>
      </c>
      <c r="V9" s="2106" t="s">
        <v>3555</v>
      </c>
      <c r="W9" s="2106" t="s">
        <v>3555</v>
      </c>
      <c r="X9" s="2106" t="s">
        <v>3555</v>
      </c>
      <c r="Y9" s="2106" t="s">
        <v>3555</v>
      </c>
      <c r="Z9" s="2106" t="s">
        <v>3555</v>
      </c>
      <c r="AA9" s="2106" t="s">
        <v>3555</v>
      </c>
      <c r="AB9" s="2106" t="s">
        <v>3555</v>
      </c>
    </row>
    <row r="10" spans="1:31" s="2107" customFormat="1" x14ac:dyDescent="0.45">
      <c r="A10" s="2104" t="s">
        <v>1147</v>
      </c>
      <c r="B10" s="2105" t="s">
        <v>23</v>
      </c>
      <c r="C10" s="2105" t="s">
        <v>3555</v>
      </c>
      <c r="D10" s="2108">
        <v>2.8000000000000001E-2</v>
      </c>
      <c r="E10" s="2106" t="s">
        <v>3555</v>
      </c>
      <c r="F10" s="2108">
        <v>2.8000000000000001E-2</v>
      </c>
      <c r="G10" s="2106" t="s">
        <v>3555</v>
      </c>
      <c r="H10" s="2108">
        <v>2.8000000000000001E-2</v>
      </c>
      <c r="I10" s="2106" t="s">
        <v>3555</v>
      </c>
      <c r="J10" s="2108">
        <v>2.8000000000000001E-2</v>
      </c>
      <c r="K10" s="2106" t="s">
        <v>3555</v>
      </c>
      <c r="L10" s="2108">
        <v>7.8E-2</v>
      </c>
      <c r="M10" s="2106" t="s">
        <v>3555</v>
      </c>
      <c r="N10" s="2106" t="s">
        <v>3555</v>
      </c>
      <c r="O10" s="2106" t="s">
        <v>3555</v>
      </c>
      <c r="P10" s="2106" t="s">
        <v>3555</v>
      </c>
      <c r="Q10" s="2108">
        <v>1.1000000000000001</v>
      </c>
      <c r="R10" s="2108">
        <v>1.3</v>
      </c>
      <c r="S10" s="2108">
        <v>0.9</v>
      </c>
      <c r="T10" s="2108">
        <v>1.1000000000000001</v>
      </c>
      <c r="U10" s="2106" t="s">
        <v>3555</v>
      </c>
      <c r="V10" s="2108">
        <v>1.1000000000000001</v>
      </c>
      <c r="W10" s="2106" t="s">
        <v>3555</v>
      </c>
      <c r="X10" s="2106" t="s">
        <v>3555</v>
      </c>
      <c r="Y10" s="2108">
        <v>0.13800000000000001</v>
      </c>
      <c r="Z10" s="2106" t="s">
        <v>3555</v>
      </c>
      <c r="AA10" s="2108">
        <v>0.13800000000000001</v>
      </c>
      <c r="AB10" s="2109">
        <v>17.72111111111111</v>
      </c>
    </row>
    <row r="11" spans="1:31" s="2107" customFormat="1" x14ac:dyDescent="0.45">
      <c r="A11" s="2104" t="s">
        <v>1148</v>
      </c>
      <c r="B11" s="2105" t="s">
        <v>3541</v>
      </c>
      <c r="C11" s="2105" t="s">
        <v>3555</v>
      </c>
      <c r="D11" s="2106" t="s">
        <v>3555</v>
      </c>
      <c r="E11" s="2106" t="s">
        <v>3555</v>
      </c>
      <c r="F11" s="2106" t="s">
        <v>3555</v>
      </c>
      <c r="G11" s="2106" t="s">
        <v>3555</v>
      </c>
      <c r="H11" s="2106" t="s">
        <v>3555</v>
      </c>
      <c r="I11" s="2106" t="s">
        <v>3555</v>
      </c>
      <c r="J11" s="2106" t="s">
        <v>3555</v>
      </c>
      <c r="K11" s="2106" t="s">
        <v>3555</v>
      </c>
      <c r="L11" s="2106" t="s">
        <v>3555</v>
      </c>
      <c r="M11" s="2106" t="s">
        <v>3555</v>
      </c>
      <c r="N11" s="2106" t="s">
        <v>3555</v>
      </c>
      <c r="O11" s="2106" t="s">
        <v>3555</v>
      </c>
      <c r="P11" s="2106" t="s">
        <v>3555</v>
      </c>
      <c r="Q11" s="2106" t="s">
        <v>3555</v>
      </c>
      <c r="R11" s="2106" t="s">
        <v>3555</v>
      </c>
      <c r="S11" s="2106" t="s">
        <v>3555</v>
      </c>
      <c r="T11" s="2106" t="s">
        <v>3555</v>
      </c>
      <c r="U11" s="2106" t="s">
        <v>3555</v>
      </c>
      <c r="V11" s="2106" t="s">
        <v>3555</v>
      </c>
      <c r="W11" s="2108">
        <v>12</v>
      </c>
      <c r="X11" s="2106" t="s">
        <v>3555</v>
      </c>
      <c r="Y11" s="2106" t="s">
        <v>3555</v>
      </c>
      <c r="Z11" s="2106" t="s">
        <v>3555</v>
      </c>
      <c r="AA11" s="2106" t="s">
        <v>3555</v>
      </c>
      <c r="AB11" s="2106" t="s">
        <v>3555</v>
      </c>
    </row>
    <row r="12" spans="1:31" s="2107" customFormat="1" ht="15" customHeight="1" x14ac:dyDescent="0.45">
      <c r="A12" s="2104" t="s">
        <v>25</v>
      </c>
      <c r="B12" s="2105" t="s">
        <v>26</v>
      </c>
      <c r="C12" s="2105"/>
      <c r="D12" s="2110">
        <v>1</v>
      </c>
      <c r="E12" s="2110"/>
      <c r="F12" s="2110">
        <v>1</v>
      </c>
      <c r="G12" s="2110"/>
      <c r="H12" s="2110">
        <v>1</v>
      </c>
      <c r="I12" s="2110"/>
      <c r="J12" s="2110">
        <v>1</v>
      </c>
      <c r="K12" s="2105"/>
      <c r="L12" s="2110">
        <v>1</v>
      </c>
      <c r="M12" s="2105"/>
      <c r="N12" s="2105"/>
      <c r="O12" s="2105"/>
      <c r="P12" s="2105"/>
      <c r="Q12" s="2110">
        <v>1</v>
      </c>
      <c r="R12" s="2110">
        <v>1</v>
      </c>
      <c r="S12" s="2110">
        <v>1</v>
      </c>
      <c r="T12" s="2110">
        <v>1</v>
      </c>
      <c r="U12" s="2110"/>
      <c r="V12" s="2110">
        <v>1</v>
      </c>
      <c r="W12" s="2110"/>
      <c r="X12" s="2110"/>
      <c r="Y12" s="2110">
        <v>1</v>
      </c>
      <c r="Z12" s="2110"/>
      <c r="AA12" s="2110">
        <v>1</v>
      </c>
      <c r="AB12" s="2111">
        <v>1</v>
      </c>
    </row>
    <row r="13" spans="1:31" s="2107" customFormat="1" x14ac:dyDescent="0.45">
      <c r="A13" s="2104" t="s">
        <v>0</v>
      </c>
      <c r="B13" s="2105" t="s">
        <v>1</v>
      </c>
      <c r="C13" s="2106">
        <v>10</v>
      </c>
      <c r="D13" s="2106">
        <v>10</v>
      </c>
      <c r="E13" s="2106">
        <v>10</v>
      </c>
      <c r="F13" s="2106">
        <v>10</v>
      </c>
      <c r="G13" s="2108">
        <v>6</v>
      </c>
      <c r="H13" s="2108">
        <v>6</v>
      </c>
      <c r="I13" s="2108">
        <v>6</v>
      </c>
      <c r="J13" s="2108">
        <v>6</v>
      </c>
      <c r="K13" s="2106">
        <v>8</v>
      </c>
      <c r="L13" s="2106">
        <v>8</v>
      </c>
      <c r="M13" s="2106">
        <v>12</v>
      </c>
      <c r="N13" s="2106">
        <v>12</v>
      </c>
      <c r="O13" s="2106">
        <v>12</v>
      </c>
      <c r="P13" s="2106">
        <v>12</v>
      </c>
      <c r="Q13" s="2106">
        <v>12</v>
      </c>
      <c r="R13" s="2106">
        <v>12</v>
      </c>
      <c r="S13" s="2106">
        <v>12</v>
      </c>
      <c r="T13" s="2106">
        <v>12</v>
      </c>
      <c r="U13" s="2106">
        <v>12</v>
      </c>
      <c r="V13" s="2106">
        <v>12</v>
      </c>
      <c r="W13" s="2106">
        <v>12</v>
      </c>
      <c r="X13" s="2106">
        <v>15</v>
      </c>
      <c r="Y13" s="2106">
        <v>15</v>
      </c>
      <c r="Z13" s="2106">
        <v>10</v>
      </c>
      <c r="AA13" s="2106">
        <v>10</v>
      </c>
      <c r="AB13" s="2112">
        <v>40</v>
      </c>
    </row>
    <row r="14" spans="1:31" ht="25.5" x14ac:dyDescent="0.45">
      <c r="A14" s="2104" t="s">
        <v>2</v>
      </c>
      <c r="B14" s="2105" t="s">
        <v>3</v>
      </c>
      <c r="C14" s="2113">
        <v>6500</v>
      </c>
      <c r="D14" s="2113">
        <v>6500</v>
      </c>
      <c r="E14" s="2113">
        <v>6500</v>
      </c>
      <c r="F14" s="2113">
        <v>6500</v>
      </c>
      <c r="G14" s="2113">
        <v>18000</v>
      </c>
      <c r="H14" s="2113">
        <v>18000</v>
      </c>
      <c r="I14" s="2113">
        <v>18000</v>
      </c>
      <c r="J14" s="2113">
        <v>18000</v>
      </c>
      <c r="K14" s="2113">
        <v>35000</v>
      </c>
      <c r="L14" s="2113">
        <v>35000</v>
      </c>
      <c r="M14" s="2113">
        <v>60000</v>
      </c>
      <c r="N14" s="2113">
        <v>70000</v>
      </c>
      <c r="O14" s="2113">
        <v>60000</v>
      </c>
      <c r="P14" s="2113">
        <v>70000</v>
      </c>
      <c r="Q14" s="2113">
        <v>60000</v>
      </c>
      <c r="R14" s="2113">
        <v>70000</v>
      </c>
      <c r="S14" s="2113">
        <v>60000</v>
      </c>
      <c r="T14" s="2113">
        <v>70000</v>
      </c>
      <c r="U14" s="2113">
        <v>122500</v>
      </c>
      <c r="V14" s="2113">
        <v>122500</v>
      </c>
      <c r="W14" s="2113">
        <v>122500</v>
      </c>
      <c r="X14" s="2113">
        <v>12100</v>
      </c>
      <c r="Y14" s="2113">
        <v>12100</v>
      </c>
      <c r="Z14" s="2113">
        <v>48000</v>
      </c>
      <c r="AA14" s="2113">
        <v>48000</v>
      </c>
      <c r="AB14" s="2114">
        <v>179200</v>
      </c>
    </row>
    <row r="15" spans="1:31" x14ac:dyDescent="0.45">
      <c r="A15" s="2104" t="s">
        <v>12</v>
      </c>
      <c r="B15" s="2105" t="s">
        <v>13</v>
      </c>
      <c r="C15" s="2105">
        <v>1</v>
      </c>
      <c r="D15" s="2105">
        <v>1</v>
      </c>
      <c r="E15" s="2105">
        <v>1</v>
      </c>
      <c r="F15" s="2105">
        <v>1</v>
      </c>
      <c r="G15" s="2105">
        <v>1</v>
      </c>
      <c r="H15" s="2105">
        <v>1</v>
      </c>
      <c r="I15" s="2105">
        <v>1</v>
      </c>
      <c r="J15" s="2105">
        <v>1</v>
      </c>
      <c r="K15" s="2105">
        <v>2</v>
      </c>
      <c r="L15" s="2105">
        <v>2</v>
      </c>
      <c r="M15" s="2106">
        <v>25</v>
      </c>
      <c r="N15" s="2106">
        <v>34</v>
      </c>
      <c r="O15" s="2106">
        <v>25</v>
      </c>
      <c r="P15" s="2106">
        <v>34</v>
      </c>
      <c r="Q15" s="2106">
        <v>25</v>
      </c>
      <c r="R15" s="2106">
        <v>34</v>
      </c>
      <c r="S15" s="2106">
        <v>25</v>
      </c>
      <c r="T15" s="2106">
        <v>34</v>
      </c>
      <c r="U15" s="2106">
        <v>25</v>
      </c>
      <c r="V15" s="2106">
        <v>25</v>
      </c>
      <c r="W15" s="2106">
        <v>25</v>
      </c>
      <c r="X15" s="2106">
        <v>1.5</v>
      </c>
      <c r="Y15" s="2106">
        <v>1.5</v>
      </c>
      <c r="Z15" s="2108">
        <v>0.95188235294117651</v>
      </c>
      <c r="AA15" s="2108">
        <v>0.95188235294117651</v>
      </c>
      <c r="AB15" s="2114">
        <v>400</v>
      </c>
    </row>
    <row r="16" spans="1:31" x14ac:dyDescent="0.45">
      <c r="A16" s="2104" t="s">
        <v>8</v>
      </c>
      <c r="B16" s="2105" t="s">
        <v>9</v>
      </c>
      <c r="C16" s="2106">
        <v>99</v>
      </c>
      <c r="D16" s="2106">
        <v>83.3</v>
      </c>
      <c r="E16" s="2106">
        <v>104.4</v>
      </c>
      <c r="F16" s="2106">
        <v>83</v>
      </c>
      <c r="G16" s="2106">
        <v>99</v>
      </c>
      <c r="H16" s="2108">
        <v>83.3</v>
      </c>
      <c r="I16" s="2106">
        <v>104.4</v>
      </c>
      <c r="J16" s="2108">
        <v>83</v>
      </c>
      <c r="K16" s="2106">
        <v>350</v>
      </c>
      <c r="L16" s="2106">
        <v>300</v>
      </c>
      <c r="M16" s="2106">
        <v>6805</v>
      </c>
      <c r="N16" s="2106">
        <v>9950</v>
      </c>
      <c r="O16" s="2106">
        <v>6805</v>
      </c>
      <c r="P16" s="2106">
        <v>9950</v>
      </c>
      <c r="Q16" s="2106">
        <v>8500</v>
      </c>
      <c r="R16" s="2106">
        <v>10800</v>
      </c>
      <c r="S16" s="2106">
        <v>8500</v>
      </c>
      <c r="T16" s="2106">
        <v>10800</v>
      </c>
      <c r="U16" s="2106">
        <v>9950</v>
      </c>
      <c r="V16" s="2106">
        <v>10800</v>
      </c>
      <c r="W16" s="2106">
        <v>9950</v>
      </c>
      <c r="X16" s="2106">
        <v>1300</v>
      </c>
      <c r="Y16" s="2108">
        <v>1240</v>
      </c>
      <c r="Z16" s="2106">
        <v>1300</v>
      </c>
      <c r="AA16" s="2108">
        <v>1240</v>
      </c>
      <c r="AB16" s="2114">
        <v>186000</v>
      </c>
    </row>
    <row r="17" spans="1:28" x14ac:dyDescent="0.45">
      <c r="A17" s="2115" t="s">
        <v>50</v>
      </c>
      <c r="B17" s="2116" t="s">
        <v>26</v>
      </c>
      <c r="C17" s="2117"/>
      <c r="D17" s="2117"/>
      <c r="E17" s="2117"/>
      <c r="F17" s="2117"/>
      <c r="G17" s="2117"/>
      <c r="H17" s="2118"/>
      <c r="I17" s="2118"/>
      <c r="J17" s="2118"/>
      <c r="K17" s="2117"/>
      <c r="L17" s="2117"/>
      <c r="M17" s="2119"/>
      <c r="N17" s="2119"/>
      <c r="O17" s="2119"/>
      <c r="P17" s="2119"/>
      <c r="Q17" s="2118"/>
      <c r="R17" s="2118"/>
      <c r="S17" s="2118"/>
      <c r="T17" s="2118"/>
      <c r="U17" s="2118"/>
      <c r="V17" s="2118"/>
      <c r="W17" s="2118"/>
      <c r="X17" s="2118"/>
      <c r="Y17" s="2118"/>
      <c r="Z17" s="2118"/>
      <c r="AA17" s="2118"/>
      <c r="AB17" s="2120"/>
    </row>
    <row r="18" spans="1:28" x14ac:dyDescent="0.35">
      <c r="A18" s="2121" t="s">
        <v>51</v>
      </c>
      <c r="B18" s="2116"/>
      <c r="C18" s="2122">
        <v>0.38181818181818183</v>
      </c>
      <c r="D18" s="2122">
        <v>0.45378151260504196</v>
      </c>
      <c r="E18" s="2122">
        <v>0.45951219512195118</v>
      </c>
      <c r="F18" s="2122">
        <v>0.41445783132530117</v>
      </c>
      <c r="G18" s="2122">
        <v>0.38181818181818183</v>
      </c>
      <c r="H18" s="2122">
        <v>0.45378151260504196</v>
      </c>
      <c r="I18" s="2122">
        <v>0.45951219512195118</v>
      </c>
      <c r="J18" s="2122">
        <v>0.41445783132530117</v>
      </c>
      <c r="K18" s="2122">
        <v>0.67046855733662147</v>
      </c>
      <c r="L18" s="2122">
        <v>0.67674418604651154</v>
      </c>
      <c r="M18" s="2123">
        <v>0.53747902293492456</v>
      </c>
      <c r="N18" s="2122">
        <v>0.53747902293492456</v>
      </c>
      <c r="O18" s="2122">
        <v>0.53747902293492456</v>
      </c>
      <c r="P18" s="2122">
        <v>0.53747902293492456</v>
      </c>
      <c r="Q18" s="2122">
        <v>0.55105357066995209</v>
      </c>
      <c r="R18" s="2122">
        <v>0.55105357066995209</v>
      </c>
      <c r="S18" s="2122">
        <v>0.55105357066995209</v>
      </c>
      <c r="T18" s="2122">
        <v>0.55105357066995209</v>
      </c>
      <c r="U18" s="2122">
        <v>0.53747902293492456</v>
      </c>
      <c r="V18" s="2122">
        <v>0.55105357066995209</v>
      </c>
      <c r="W18" s="2122">
        <v>0.53747902293492456</v>
      </c>
      <c r="X18" s="2122">
        <v>0.68549411465831156</v>
      </c>
      <c r="Y18" s="2122">
        <v>0.76330532212885149</v>
      </c>
      <c r="Z18" s="2122">
        <v>0.68549411465831156</v>
      </c>
      <c r="AA18" s="2122">
        <v>0.76330532212885149</v>
      </c>
      <c r="AB18" s="2124">
        <v>0.69228294154366132</v>
      </c>
    </row>
    <row r="19" spans="1:28" x14ac:dyDescent="0.35">
      <c r="A19" s="2121" t="s">
        <v>52</v>
      </c>
      <c r="B19" s="2116"/>
      <c r="C19" s="2122">
        <v>6.464646464646466E-2</v>
      </c>
      <c r="D19" s="2122">
        <v>7.6830732292917175E-2</v>
      </c>
      <c r="E19" s="2122">
        <v>4.7804878048780489E-2</v>
      </c>
      <c r="F19" s="2122">
        <v>5.9036144578313257E-2</v>
      </c>
      <c r="G19" s="2122">
        <v>6.464646464646466E-2</v>
      </c>
      <c r="H19" s="2122">
        <v>7.6830732292917175E-2</v>
      </c>
      <c r="I19" s="2122">
        <v>4.7804878048780489E-2</v>
      </c>
      <c r="J19" s="2122">
        <v>5.9036144578313257E-2</v>
      </c>
      <c r="K19" s="2122">
        <v>8.6313193588162754E-3</v>
      </c>
      <c r="L19" s="2122">
        <v>9.3023255813953487E-3</v>
      </c>
      <c r="M19" s="2123">
        <v>9.2195495887459344E-3</v>
      </c>
      <c r="N19" s="2122">
        <v>9.2195495887459344E-3</v>
      </c>
      <c r="O19" s="2122">
        <v>9.2195495887459344E-3</v>
      </c>
      <c r="P19" s="2122">
        <v>9.2195495887459344E-3</v>
      </c>
      <c r="Q19" s="2122">
        <v>8.3478482518373771E-3</v>
      </c>
      <c r="R19" s="2122">
        <v>8.3478482518373771E-3</v>
      </c>
      <c r="S19" s="2122">
        <v>8.3478482518373771E-3</v>
      </c>
      <c r="T19" s="2122">
        <v>8.3478482518373771E-3</v>
      </c>
      <c r="U19" s="2122">
        <v>9.2195495887459344E-3</v>
      </c>
      <c r="V19" s="2122">
        <v>8.3478482518373771E-3</v>
      </c>
      <c r="W19" s="2122">
        <v>9.2195495887459344E-3</v>
      </c>
      <c r="X19" s="2122">
        <v>1.7783046828689981E-2</v>
      </c>
      <c r="Y19" s="2122">
        <v>1.4328808446455505E-2</v>
      </c>
      <c r="Z19" s="2122">
        <v>1.7783046828689981E-2</v>
      </c>
      <c r="AA19" s="2122">
        <v>1.4328808446455505E-2</v>
      </c>
      <c r="AB19" s="2124"/>
    </row>
    <row r="20" spans="1:28" x14ac:dyDescent="0.35">
      <c r="A20" s="2121" t="s">
        <v>53</v>
      </c>
      <c r="B20" s="2116"/>
      <c r="C20" s="2122">
        <v>3.6363636363636369E-2</v>
      </c>
      <c r="D20" s="2122">
        <v>0</v>
      </c>
      <c r="E20" s="2122">
        <v>3.3170731707317068E-2</v>
      </c>
      <c r="F20" s="2122">
        <v>0</v>
      </c>
      <c r="G20" s="2122">
        <v>3.6363636363636369E-2</v>
      </c>
      <c r="H20" s="2122">
        <v>0</v>
      </c>
      <c r="I20" s="2122">
        <v>3.3170731707317068E-2</v>
      </c>
      <c r="J20" s="2122">
        <v>0</v>
      </c>
      <c r="K20" s="2122">
        <v>3.2675709001233046E-2</v>
      </c>
      <c r="L20" s="2122">
        <v>2.0930232558139535E-2</v>
      </c>
      <c r="M20" s="2123">
        <v>0.17243665444299419</v>
      </c>
      <c r="N20" s="2122">
        <v>0.17243665444299419</v>
      </c>
      <c r="O20" s="2122">
        <v>0.17243665444299419</v>
      </c>
      <c r="P20" s="2122">
        <v>0.17243665444299419</v>
      </c>
      <c r="Q20" s="2122">
        <v>0.13995921661922767</v>
      </c>
      <c r="R20" s="2122">
        <v>0.13995921661922767</v>
      </c>
      <c r="S20" s="2122">
        <v>0.13995921661922767</v>
      </c>
      <c r="T20" s="2122">
        <v>0.13995921661922767</v>
      </c>
      <c r="U20" s="2122">
        <v>0.17243665444299419</v>
      </c>
      <c r="V20" s="2122">
        <v>0.13995921661922767</v>
      </c>
      <c r="W20" s="2122">
        <v>0.17243665444299419</v>
      </c>
      <c r="X20" s="2122">
        <v>0.13100177830468288</v>
      </c>
      <c r="Y20" s="2122">
        <v>4.686489980607627E-2</v>
      </c>
      <c r="Z20" s="2122">
        <v>0.13100177830468288</v>
      </c>
      <c r="AA20" s="2122">
        <v>4.686489980607627E-2</v>
      </c>
      <c r="AB20" s="2124"/>
    </row>
    <row r="21" spans="1:28" x14ac:dyDescent="0.35">
      <c r="A21" s="2121" t="s">
        <v>54</v>
      </c>
      <c r="B21" s="2116"/>
      <c r="C21" s="2122">
        <v>0</v>
      </c>
      <c r="D21" s="2122">
        <v>0</v>
      </c>
      <c r="E21" s="2122">
        <v>0</v>
      </c>
      <c r="F21" s="2122">
        <v>0</v>
      </c>
      <c r="G21" s="2122">
        <v>0</v>
      </c>
      <c r="H21" s="2122">
        <v>0</v>
      </c>
      <c r="I21" s="2122">
        <v>0</v>
      </c>
      <c r="J21" s="2122">
        <v>0</v>
      </c>
      <c r="K21" s="2122">
        <v>0</v>
      </c>
      <c r="L21" s="2122">
        <v>0</v>
      </c>
      <c r="M21" s="2123">
        <v>0.18925974268133508</v>
      </c>
      <c r="N21" s="2122">
        <v>0.18925974268133508</v>
      </c>
      <c r="O21" s="2122">
        <v>0.18925974268133508</v>
      </c>
      <c r="P21" s="2122">
        <v>0.18925974268133508</v>
      </c>
      <c r="Q21" s="2122">
        <v>0.19329623178554742</v>
      </c>
      <c r="R21" s="2122">
        <v>0.19329623178554742</v>
      </c>
      <c r="S21" s="2122">
        <v>0.19329623178554742</v>
      </c>
      <c r="T21" s="2122">
        <v>0.19329623178554742</v>
      </c>
      <c r="U21" s="2122">
        <v>0.18925974268133508</v>
      </c>
      <c r="V21" s="2122">
        <v>0.19329623178554742</v>
      </c>
      <c r="W21" s="2122">
        <v>0.18925974268133508</v>
      </c>
      <c r="X21" s="2122">
        <v>0</v>
      </c>
      <c r="Y21" s="2122">
        <v>0</v>
      </c>
      <c r="Z21" s="2122">
        <v>0</v>
      </c>
      <c r="AA21" s="2122">
        <v>0</v>
      </c>
      <c r="AB21" s="2124">
        <v>0.10783189729661412</v>
      </c>
    </row>
    <row r="22" spans="1:28" x14ac:dyDescent="0.35">
      <c r="A22" s="2121" t="s">
        <v>55</v>
      </c>
      <c r="B22" s="2116"/>
      <c r="C22" s="2122">
        <v>0.28888888888888897</v>
      </c>
      <c r="D22" s="2122">
        <v>0.24129651860744297</v>
      </c>
      <c r="E22" s="2122">
        <v>0.23121951219512193</v>
      </c>
      <c r="F22" s="2122">
        <v>0.29277108433734939</v>
      </c>
      <c r="G22" s="2122">
        <v>0.28888888888888897</v>
      </c>
      <c r="H22" s="2122">
        <v>0.24129651860744297</v>
      </c>
      <c r="I22" s="2122">
        <v>0.23121951219512193</v>
      </c>
      <c r="J22" s="2122">
        <v>0.29277108433734939</v>
      </c>
      <c r="K22" s="2122">
        <v>7.9839704069050554E-2</v>
      </c>
      <c r="L22" s="2122">
        <v>9.867109634551495E-2</v>
      </c>
      <c r="M22" s="2123">
        <v>1.1218845173721176E-2</v>
      </c>
      <c r="N22" s="2122">
        <v>1.1218845173721176E-2</v>
      </c>
      <c r="O22" s="2122">
        <v>1.1218845173721176E-2</v>
      </c>
      <c r="P22" s="2122">
        <v>1.1218845173721176E-2</v>
      </c>
      <c r="Q22" s="2122">
        <v>9.8772250307999493E-3</v>
      </c>
      <c r="R22" s="2122">
        <v>9.8772250307999493E-3</v>
      </c>
      <c r="S22" s="2122">
        <v>9.8772250307999493E-3</v>
      </c>
      <c r="T22" s="2122">
        <v>9.8772250307999493E-3</v>
      </c>
      <c r="U22" s="2122">
        <v>1.1218845173721176E-2</v>
      </c>
      <c r="V22" s="2122">
        <v>9.8772250307999493E-3</v>
      </c>
      <c r="W22" s="2122">
        <v>1.1218845173721176E-2</v>
      </c>
      <c r="X22" s="2122">
        <v>3.7683123041747826E-2</v>
      </c>
      <c r="Y22" s="2122">
        <v>3.0596854126265886E-2</v>
      </c>
      <c r="Z22" s="2122">
        <v>3.7683123041747826E-2</v>
      </c>
      <c r="AA22" s="2122">
        <v>3.0596854126265886E-2</v>
      </c>
      <c r="AB22" s="2124"/>
    </row>
    <row r="23" spans="1:28" x14ac:dyDescent="0.35">
      <c r="A23" s="2121" t="s">
        <v>56</v>
      </c>
      <c r="B23" s="2116"/>
      <c r="C23" s="2122">
        <v>0</v>
      </c>
      <c r="D23" s="2122">
        <v>0</v>
      </c>
      <c r="E23" s="2122">
        <v>0</v>
      </c>
      <c r="F23" s="2122">
        <v>0</v>
      </c>
      <c r="G23" s="2122">
        <v>0</v>
      </c>
      <c r="H23" s="2122">
        <v>0</v>
      </c>
      <c r="I23" s="2122">
        <v>0</v>
      </c>
      <c r="J23" s="2122">
        <v>0</v>
      </c>
      <c r="K23" s="2122">
        <v>0</v>
      </c>
      <c r="L23" s="2122">
        <v>0</v>
      </c>
      <c r="M23" s="2123">
        <v>0</v>
      </c>
      <c r="N23" s="2122">
        <v>0</v>
      </c>
      <c r="O23" s="2122">
        <v>0</v>
      </c>
      <c r="P23" s="2122">
        <v>0</v>
      </c>
      <c r="Q23" s="2122">
        <v>0</v>
      </c>
      <c r="R23" s="2122">
        <v>0</v>
      </c>
      <c r="S23" s="2122">
        <v>0</v>
      </c>
      <c r="T23" s="2122">
        <v>0</v>
      </c>
      <c r="U23" s="2122">
        <v>0</v>
      </c>
      <c r="V23" s="2122">
        <v>0</v>
      </c>
      <c r="W23" s="2122">
        <v>0</v>
      </c>
      <c r="X23" s="2122">
        <v>0</v>
      </c>
      <c r="Y23" s="2122">
        <v>0</v>
      </c>
      <c r="Z23" s="2122">
        <v>0</v>
      </c>
      <c r="AA23" s="2122">
        <v>0</v>
      </c>
      <c r="AB23" s="2124"/>
    </row>
    <row r="24" spans="1:28" x14ac:dyDescent="0.35">
      <c r="A24" s="2121" t="s">
        <v>57</v>
      </c>
      <c r="B24" s="2116"/>
      <c r="C24" s="2122">
        <v>0</v>
      </c>
      <c r="D24" s="2122">
        <v>0</v>
      </c>
      <c r="E24" s="2122">
        <v>0</v>
      </c>
      <c r="F24" s="2122">
        <v>0</v>
      </c>
      <c r="G24" s="2122">
        <v>0</v>
      </c>
      <c r="H24" s="2122">
        <v>0</v>
      </c>
      <c r="I24" s="2122">
        <v>0</v>
      </c>
      <c r="J24" s="2122">
        <v>0</v>
      </c>
      <c r="K24" s="2122">
        <v>1.7570900123304561E-2</v>
      </c>
      <c r="L24" s="2122">
        <v>1.8936877076411961E-2</v>
      </c>
      <c r="M24" s="2123">
        <v>1.8024737398222388E-2</v>
      </c>
      <c r="N24" s="2122">
        <v>1.8024737398222388E-2</v>
      </c>
      <c r="O24" s="2122">
        <v>1.8024737398222388E-2</v>
      </c>
      <c r="P24" s="2122">
        <v>1.8024737398222388E-2</v>
      </c>
      <c r="Q24" s="2122">
        <v>1.8479969412464423E-2</v>
      </c>
      <c r="R24" s="2122">
        <v>1.8479969412464423E-2</v>
      </c>
      <c r="S24" s="2122">
        <v>1.8479969412464423E-2</v>
      </c>
      <c r="T24" s="2122">
        <v>1.8479969412464423E-2</v>
      </c>
      <c r="U24" s="2122">
        <v>1.8024737398222388E-2</v>
      </c>
      <c r="V24" s="2122">
        <v>1.8479969412464423E-2</v>
      </c>
      <c r="W24" s="2122">
        <v>1.8024737398222388E-2</v>
      </c>
      <c r="X24" s="2122">
        <v>0</v>
      </c>
      <c r="Y24" s="2122">
        <v>0</v>
      </c>
      <c r="Z24" s="2122">
        <v>0</v>
      </c>
      <c r="AA24" s="2122">
        <v>0</v>
      </c>
      <c r="AB24" s="2124">
        <v>1.6715989775613768E-2</v>
      </c>
    </row>
    <row r="25" spans="1:28" x14ac:dyDescent="0.35">
      <c r="A25" s="2121" t="s">
        <v>58</v>
      </c>
      <c r="B25" s="2116"/>
      <c r="C25" s="2122">
        <v>0.1484848484848485</v>
      </c>
      <c r="D25" s="2122">
        <v>0.15726290516206479</v>
      </c>
      <c r="E25" s="2122">
        <v>0.10926829268292682</v>
      </c>
      <c r="F25" s="2122">
        <v>0.11445783132530121</v>
      </c>
      <c r="G25" s="2122">
        <v>0.1484848484848485</v>
      </c>
      <c r="H25" s="2122">
        <v>0.15726290516206479</v>
      </c>
      <c r="I25" s="2122">
        <v>0.10926829268292682</v>
      </c>
      <c r="J25" s="2122">
        <v>0.11445783132530121</v>
      </c>
      <c r="K25" s="2122">
        <v>0.10511713933415537</v>
      </c>
      <c r="L25" s="2122">
        <v>0.10066445182724253</v>
      </c>
      <c r="M25" s="2123">
        <v>1.9972237760788946E-2</v>
      </c>
      <c r="N25" s="2122">
        <v>1.9972237760788946E-2</v>
      </c>
      <c r="O25" s="2122">
        <v>1.9972237760788946E-2</v>
      </c>
      <c r="P25" s="2122">
        <v>1.9972237760788946E-2</v>
      </c>
      <c r="Q25" s="2122">
        <v>1.9595139980457966E-2</v>
      </c>
      <c r="R25" s="2122">
        <v>1.9595139980457966E-2</v>
      </c>
      <c r="S25" s="2122">
        <v>1.9595139980457966E-2</v>
      </c>
      <c r="T25" s="2122">
        <v>1.9595139980457966E-2</v>
      </c>
      <c r="U25" s="2122">
        <v>1.9972237760788946E-2</v>
      </c>
      <c r="V25" s="2122">
        <v>1.9595139980457966E-2</v>
      </c>
      <c r="W25" s="2122">
        <v>1.9972237760788946E-2</v>
      </c>
      <c r="X25" s="2122">
        <v>4.0731645355237531E-2</v>
      </c>
      <c r="Y25" s="2122">
        <v>4.611075199310493E-2</v>
      </c>
      <c r="Z25" s="2122">
        <v>4.0731645355237531E-2</v>
      </c>
      <c r="AA25" s="2122">
        <v>4.611075199310493E-2</v>
      </c>
      <c r="AB25" s="2124">
        <v>5.1785528348471922E-2</v>
      </c>
    </row>
    <row r="26" spans="1:28" x14ac:dyDescent="0.35">
      <c r="A26" s="2121" t="s">
        <v>59</v>
      </c>
      <c r="B26" s="2116"/>
      <c r="C26" s="2122">
        <v>0</v>
      </c>
      <c r="D26" s="2122">
        <v>0</v>
      </c>
      <c r="E26" s="2122">
        <v>0</v>
      </c>
      <c r="F26" s="2122">
        <v>0</v>
      </c>
      <c r="G26" s="2122">
        <v>0</v>
      </c>
      <c r="H26" s="2122">
        <v>0</v>
      </c>
      <c r="I26" s="2122">
        <v>0</v>
      </c>
      <c r="J26" s="2122">
        <v>0</v>
      </c>
      <c r="K26" s="2122">
        <v>0</v>
      </c>
      <c r="L26" s="2122">
        <v>0</v>
      </c>
      <c r="M26" s="2123">
        <v>0</v>
      </c>
      <c r="N26" s="2122">
        <v>0</v>
      </c>
      <c r="O26" s="2122">
        <v>0</v>
      </c>
      <c r="P26" s="2122">
        <v>0</v>
      </c>
      <c r="Q26" s="2122">
        <v>0</v>
      </c>
      <c r="R26" s="2122">
        <v>0</v>
      </c>
      <c r="S26" s="2122">
        <v>0</v>
      </c>
      <c r="T26" s="2122">
        <v>0</v>
      </c>
      <c r="U26" s="2122">
        <v>0</v>
      </c>
      <c r="V26" s="2122">
        <v>0</v>
      </c>
      <c r="W26" s="2122">
        <v>0</v>
      </c>
      <c r="X26" s="2122">
        <v>0</v>
      </c>
      <c r="Y26" s="2122">
        <v>0</v>
      </c>
      <c r="Z26" s="2122">
        <v>0</v>
      </c>
      <c r="AA26" s="2122">
        <v>0</v>
      </c>
      <c r="AB26" s="2124"/>
    </row>
    <row r="27" spans="1:28" x14ac:dyDescent="0.35">
      <c r="A27" s="2121" t="s">
        <v>60</v>
      </c>
      <c r="B27" s="2116"/>
      <c r="C27" s="2122">
        <v>5.9595959595959605E-2</v>
      </c>
      <c r="D27" s="2122">
        <v>7.0828331332533009E-2</v>
      </c>
      <c r="E27" s="2122">
        <v>9.9512195121951211E-2</v>
      </c>
      <c r="F27" s="2122">
        <v>0.11927710843373496</v>
      </c>
      <c r="G27" s="2122">
        <v>5.9595959595959605E-2</v>
      </c>
      <c r="H27" s="2122">
        <v>7.0828331332533009E-2</v>
      </c>
      <c r="I27" s="2122">
        <v>9.9512195121951211E-2</v>
      </c>
      <c r="J27" s="2122">
        <v>0.11927710843373496</v>
      </c>
      <c r="K27" s="2122">
        <v>7.6448828606658456E-2</v>
      </c>
      <c r="L27" s="2122">
        <v>6.9767441860465115E-2</v>
      </c>
      <c r="M27" s="2123">
        <v>4.2389210019267827E-2</v>
      </c>
      <c r="N27" s="2122">
        <v>4.2389210019267827E-2</v>
      </c>
      <c r="O27" s="2122">
        <v>4.2389210019267827E-2</v>
      </c>
      <c r="P27" s="2122">
        <v>4.2389210019267827E-2</v>
      </c>
      <c r="Q27" s="2122">
        <v>4.0804622116487534E-2</v>
      </c>
      <c r="R27" s="2122">
        <v>4.0804622116487534E-2</v>
      </c>
      <c r="S27" s="2122">
        <v>4.0804622116487534E-2</v>
      </c>
      <c r="T27" s="2122">
        <v>4.0804622116487534E-2</v>
      </c>
      <c r="U27" s="2122">
        <v>4.2389210019267827E-2</v>
      </c>
      <c r="V27" s="2122">
        <v>4.0804622116487534E-2</v>
      </c>
      <c r="W27" s="2122">
        <v>4.2389210019267827E-2</v>
      </c>
      <c r="X27" s="2122">
        <v>8.3072233042594631E-2</v>
      </c>
      <c r="Y27" s="2122">
        <v>9.6099978452919635E-2</v>
      </c>
      <c r="Z27" s="2122">
        <v>8.3072233042594631E-2</v>
      </c>
      <c r="AA27" s="2122">
        <v>9.6099978452919635E-2</v>
      </c>
      <c r="AB27" s="2124">
        <v>3.119923127654485E-2</v>
      </c>
    </row>
    <row r="28" spans="1:28" x14ac:dyDescent="0.35">
      <c r="A28" s="2121" t="s">
        <v>61</v>
      </c>
      <c r="B28" s="2116"/>
      <c r="C28" s="2122">
        <v>2.0202020202020204E-2</v>
      </c>
      <c r="D28" s="2122">
        <v>0</v>
      </c>
      <c r="E28" s="2122">
        <v>1.9512195121951216E-2</v>
      </c>
      <c r="F28" s="2122">
        <v>0</v>
      </c>
      <c r="G28" s="2122">
        <v>2.0202020202020204E-2</v>
      </c>
      <c r="H28" s="2122">
        <v>0</v>
      </c>
      <c r="I28" s="2122">
        <v>1.9512195121951216E-2</v>
      </c>
      <c r="J28" s="2122">
        <v>0</v>
      </c>
      <c r="K28" s="2122">
        <v>9.2478421701602965E-3</v>
      </c>
      <c r="L28" s="2122">
        <v>4.9833887043189374E-3</v>
      </c>
      <c r="M28" s="2123">
        <v>0</v>
      </c>
      <c r="N28" s="2122">
        <v>0</v>
      </c>
      <c r="O28" s="2122">
        <v>0</v>
      </c>
      <c r="P28" s="2122">
        <v>0</v>
      </c>
      <c r="Q28" s="2122">
        <v>1.8586176133225711E-2</v>
      </c>
      <c r="R28" s="2122">
        <v>1.8586176133225711E-2</v>
      </c>
      <c r="S28" s="2122">
        <v>1.8586176133225711E-2</v>
      </c>
      <c r="T28" s="2122">
        <v>1.8586176133225711E-2</v>
      </c>
      <c r="U28" s="2122">
        <v>0</v>
      </c>
      <c r="V28" s="2122">
        <v>1.8586176133225711E-2</v>
      </c>
      <c r="W28" s="2122">
        <v>0</v>
      </c>
      <c r="X28" s="2122">
        <v>4.2340587687357103E-3</v>
      </c>
      <c r="Y28" s="2122">
        <v>2.6933850463262223E-3</v>
      </c>
      <c r="Z28" s="2122">
        <v>4.2340587687357103E-3</v>
      </c>
      <c r="AA28" s="2122">
        <v>2.6933850463262223E-3</v>
      </c>
      <c r="AB28" s="2124">
        <v>9.2985479389658454E-2</v>
      </c>
    </row>
    <row r="29" spans="1:28" x14ac:dyDescent="0.35">
      <c r="A29" s="2121" t="s">
        <v>62</v>
      </c>
      <c r="B29" s="2116"/>
      <c r="C29" s="2125">
        <v>0.99999999999999978</v>
      </c>
      <c r="D29" s="2125">
        <v>1.0000000000000002</v>
      </c>
      <c r="E29" s="2126">
        <v>1</v>
      </c>
      <c r="F29" s="2126">
        <v>1</v>
      </c>
      <c r="G29" s="2125">
        <v>0.99999999999999978</v>
      </c>
      <c r="H29" s="2125">
        <v>1.0000000000000002</v>
      </c>
      <c r="I29" s="2125">
        <v>1</v>
      </c>
      <c r="J29" s="2125">
        <v>1</v>
      </c>
      <c r="K29" s="2125">
        <v>0.99999999999999978</v>
      </c>
      <c r="L29" s="2125">
        <v>0.99999999999999989</v>
      </c>
      <c r="M29" s="2125">
        <v>1</v>
      </c>
      <c r="N29" s="2125">
        <v>1</v>
      </c>
      <c r="O29" s="2125">
        <v>1</v>
      </c>
      <c r="P29" s="2125">
        <v>1</v>
      </c>
      <c r="Q29" s="2125">
        <v>0.99999999999999978</v>
      </c>
      <c r="R29" s="2125">
        <v>0.99999999999999978</v>
      </c>
      <c r="S29" s="2125">
        <v>0.99999999999999978</v>
      </c>
      <c r="T29" s="2125">
        <v>0.99999999999999978</v>
      </c>
      <c r="U29" s="2125">
        <v>1</v>
      </c>
      <c r="V29" s="2125">
        <v>1</v>
      </c>
      <c r="W29" s="2125">
        <v>1</v>
      </c>
      <c r="X29" s="2125">
        <v>1.0000000000000002</v>
      </c>
      <c r="Y29" s="2125">
        <v>0.99999999999999978</v>
      </c>
      <c r="Z29" s="2125">
        <v>1.0000000000000002</v>
      </c>
      <c r="AA29" s="2125">
        <v>0.99999999999999978</v>
      </c>
      <c r="AB29" s="2125">
        <v>0.99280106763056453</v>
      </c>
    </row>
    <row r="30" spans="1:28" s="1966" customFormat="1" ht="51" x14ac:dyDescent="0.45">
      <c r="A30" s="2127" t="s">
        <v>30</v>
      </c>
      <c r="B30" s="2100"/>
      <c r="C30" s="2100" t="s">
        <v>3390</v>
      </c>
      <c r="D30" s="2100" t="s">
        <v>3390</v>
      </c>
      <c r="E30" s="2100" t="s">
        <v>3390</v>
      </c>
      <c r="F30" s="2100" t="s">
        <v>3390</v>
      </c>
      <c r="G30" s="2100" t="s">
        <v>3390</v>
      </c>
      <c r="H30" s="2100" t="s">
        <v>3390</v>
      </c>
      <c r="I30" s="2100" t="s">
        <v>3390</v>
      </c>
      <c r="J30" s="2100" t="s">
        <v>3390</v>
      </c>
      <c r="K30" s="2100" t="s">
        <v>3390</v>
      </c>
      <c r="L30" s="2100" t="s">
        <v>3390</v>
      </c>
      <c r="M30" s="2100" t="s">
        <v>3390</v>
      </c>
      <c r="N30" s="2100" t="s">
        <v>3390</v>
      </c>
      <c r="O30" s="2100" t="s">
        <v>3390</v>
      </c>
      <c r="P30" s="2100" t="s">
        <v>3390</v>
      </c>
      <c r="Q30" s="2100" t="s">
        <v>3390</v>
      </c>
      <c r="R30" s="2100" t="s">
        <v>3390</v>
      </c>
      <c r="S30" s="2100" t="s">
        <v>3390</v>
      </c>
      <c r="T30" s="2100" t="s">
        <v>3390</v>
      </c>
      <c r="U30" s="2100" t="s">
        <v>3390</v>
      </c>
      <c r="V30" s="2100" t="s">
        <v>3390</v>
      </c>
      <c r="W30" s="2100" t="s">
        <v>3390</v>
      </c>
      <c r="X30" s="2100" t="s">
        <v>3390</v>
      </c>
      <c r="Y30" s="2100" t="s">
        <v>3390</v>
      </c>
      <c r="Z30" s="2100" t="s">
        <v>3390</v>
      </c>
      <c r="AA30" s="2100" t="s">
        <v>3390</v>
      </c>
      <c r="AB30" s="2100" t="s">
        <v>3390</v>
      </c>
    </row>
    <row r="31" spans="1:28" x14ac:dyDescent="0.45">
      <c r="A31" s="1581"/>
      <c r="B31" s="1578"/>
      <c r="C31" s="1577"/>
      <c r="D31" s="1577"/>
      <c r="E31" s="2128"/>
      <c r="F31" s="2128"/>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row>
    <row r="32" spans="1:28" x14ac:dyDescent="0.45">
      <c r="A32" s="2129" t="s">
        <v>16</v>
      </c>
      <c r="B32" s="1578" t="s">
        <v>17</v>
      </c>
      <c r="C32" s="1578"/>
      <c r="D32" s="1578"/>
      <c r="E32" s="1578"/>
      <c r="F32" s="1578"/>
      <c r="G32" s="1578"/>
      <c r="H32" s="1578"/>
      <c r="I32" s="1578"/>
      <c r="J32" s="1578"/>
      <c r="K32" s="1578"/>
      <c r="L32" s="1578"/>
      <c r="M32" s="1578"/>
      <c r="N32" s="1578"/>
      <c r="O32" s="1578"/>
      <c r="P32" s="1578"/>
      <c r="Q32" s="1578"/>
      <c r="R32" s="1578"/>
      <c r="S32" s="1578"/>
      <c r="T32" s="1578"/>
      <c r="U32" s="1578"/>
      <c r="V32" s="1578"/>
      <c r="W32" s="1578"/>
      <c r="X32" s="1578"/>
      <c r="Y32" s="1578"/>
      <c r="Z32" s="1578"/>
      <c r="AA32" s="1578"/>
      <c r="AB32" s="2130"/>
    </row>
    <row r="33" spans="1:28" x14ac:dyDescent="0.45">
      <c r="A33" s="1943" t="s">
        <v>28</v>
      </c>
      <c r="B33" s="1944"/>
      <c r="C33" s="2131">
        <v>0</v>
      </c>
      <c r="D33" s="2131">
        <v>1</v>
      </c>
      <c r="E33" s="2131">
        <v>0</v>
      </c>
      <c r="F33" s="2131">
        <v>1</v>
      </c>
      <c r="G33" s="2131">
        <v>0</v>
      </c>
      <c r="H33" s="2132">
        <v>1</v>
      </c>
      <c r="I33" s="2132">
        <v>0</v>
      </c>
      <c r="J33" s="2132">
        <v>1</v>
      </c>
      <c r="K33" s="2131">
        <v>0</v>
      </c>
      <c r="L33" s="2131">
        <v>1</v>
      </c>
      <c r="M33" s="2131">
        <v>0</v>
      </c>
      <c r="N33" s="2131">
        <v>0</v>
      </c>
      <c r="O33" s="2131">
        <v>0</v>
      </c>
      <c r="P33" s="2131">
        <v>0</v>
      </c>
      <c r="Q33" s="2132">
        <v>1</v>
      </c>
      <c r="R33" s="2132">
        <v>1</v>
      </c>
      <c r="S33" s="2132">
        <v>1</v>
      </c>
      <c r="T33" s="2132">
        <v>1</v>
      </c>
      <c r="U33" s="2132">
        <v>0</v>
      </c>
      <c r="V33" s="2132">
        <v>2</v>
      </c>
      <c r="W33" s="2132">
        <v>2</v>
      </c>
      <c r="X33" s="2132">
        <v>0</v>
      </c>
      <c r="Y33" s="2132">
        <v>1</v>
      </c>
      <c r="Z33" s="2132">
        <v>0</v>
      </c>
      <c r="AA33" s="2132">
        <v>1</v>
      </c>
      <c r="AB33" s="2133">
        <v>0</v>
      </c>
    </row>
    <row r="34" spans="1:28" x14ac:dyDescent="0.45">
      <c r="A34" s="1943" t="s">
        <v>3396</v>
      </c>
      <c r="B34" s="1944" t="s">
        <v>9</v>
      </c>
      <c r="C34" s="2132"/>
      <c r="D34" s="2132">
        <v>3.7</v>
      </c>
      <c r="E34" s="2132">
        <v>0</v>
      </c>
      <c r="F34" s="2132">
        <v>4</v>
      </c>
      <c r="G34" s="2132">
        <v>0</v>
      </c>
      <c r="H34" s="2132">
        <v>3.7</v>
      </c>
      <c r="I34" s="2132">
        <v>0</v>
      </c>
      <c r="J34" s="2132">
        <v>3.7</v>
      </c>
      <c r="K34" s="2132">
        <v>0</v>
      </c>
      <c r="L34" s="2132">
        <v>10</v>
      </c>
      <c r="M34" s="2132">
        <v>0</v>
      </c>
      <c r="N34" s="2132">
        <v>0</v>
      </c>
      <c r="O34" s="2132">
        <v>0</v>
      </c>
      <c r="P34" s="2132">
        <v>0</v>
      </c>
      <c r="Q34" s="2132">
        <v>180</v>
      </c>
      <c r="R34" s="2132">
        <v>324</v>
      </c>
      <c r="S34" s="2132">
        <v>180</v>
      </c>
      <c r="T34" s="2132">
        <v>324</v>
      </c>
      <c r="U34" s="2132"/>
      <c r="V34" s="2132">
        <v>365</v>
      </c>
      <c r="W34" s="2132">
        <v>24</v>
      </c>
      <c r="X34" s="2132"/>
      <c r="Y34" s="2132">
        <v>40</v>
      </c>
      <c r="Z34" s="2132"/>
      <c r="AA34" s="2132">
        <v>50</v>
      </c>
      <c r="AB34" s="2133"/>
    </row>
    <row r="35" spans="1:28" ht="28.5" x14ac:dyDescent="0.45">
      <c r="A35" s="1943" t="s">
        <v>3398</v>
      </c>
      <c r="B35" s="1944" t="s">
        <v>11</v>
      </c>
      <c r="C35" s="2134"/>
      <c r="D35" s="2134" t="s">
        <v>300</v>
      </c>
      <c r="E35" s="2134"/>
      <c r="F35" s="2134" t="s">
        <v>300</v>
      </c>
      <c r="G35" s="2134"/>
      <c r="H35" s="2134" t="s">
        <v>300</v>
      </c>
      <c r="I35" s="2134"/>
      <c r="J35" s="2134" t="s">
        <v>300</v>
      </c>
      <c r="K35" s="2134"/>
      <c r="L35" s="2134" t="s">
        <v>300</v>
      </c>
      <c r="M35" s="2134"/>
      <c r="N35" s="2134"/>
      <c r="O35" s="2134"/>
      <c r="P35" s="2134"/>
      <c r="Q35" s="2134" t="s">
        <v>302</v>
      </c>
      <c r="R35" s="2134" t="s">
        <v>302</v>
      </c>
      <c r="S35" s="2134" t="s">
        <v>302</v>
      </c>
      <c r="T35" s="2134" t="s">
        <v>302</v>
      </c>
      <c r="U35" s="2134"/>
      <c r="V35" s="2134" t="s">
        <v>302</v>
      </c>
      <c r="W35" s="2134" t="s">
        <v>302</v>
      </c>
      <c r="X35" s="2134"/>
      <c r="Y35" s="2134" t="s">
        <v>300</v>
      </c>
      <c r="Z35" s="2134">
        <v>0</v>
      </c>
      <c r="AA35" s="2134" t="s">
        <v>300</v>
      </c>
      <c r="AB35" s="2134"/>
    </row>
    <row r="36" spans="1:28" x14ac:dyDescent="0.45">
      <c r="A36" s="1581"/>
      <c r="B36" s="1578"/>
      <c r="C36" s="1576"/>
      <c r="D36" s="1576"/>
      <c r="E36" s="1576"/>
      <c r="F36" s="1576"/>
      <c r="G36" s="1576"/>
      <c r="H36" s="1576"/>
      <c r="I36" s="1576"/>
      <c r="J36" s="1576"/>
      <c r="K36" s="1576"/>
      <c r="L36" s="1576"/>
      <c r="M36" s="1576"/>
      <c r="N36" s="1576"/>
      <c r="O36" s="1576"/>
      <c r="P36" s="1576"/>
      <c r="Q36" s="1576"/>
      <c r="R36" s="1576"/>
      <c r="S36" s="1576"/>
      <c r="T36" s="1576"/>
      <c r="U36" s="1576"/>
      <c r="V36" s="1576"/>
      <c r="W36" s="1576"/>
      <c r="X36" s="1576"/>
      <c r="Y36" s="1576"/>
      <c r="Z36" s="1576"/>
      <c r="AA36" s="1576"/>
      <c r="AB36" s="2130"/>
    </row>
    <row r="37" spans="1:28" ht="17.25" x14ac:dyDescent="0.45">
      <c r="A37" s="2135" t="s">
        <v>1178</v>
      </c>
      <c r="B37" s="1969" t="s">
        <v>1061</v>
      </c>
      <c r="C37" s="1969"/>
      <c r="D37" s="1969"/>
      <c r="E37" s="1969"/>
      <c r="F37" s="1969"/>
      <c r="G37" s="1969"/>
      <c r="H37" s="1969"/>
      <c r="I37" s="1969"/>
      <c r="J37" s="1969"/>
      <c r="K37" s="1969"/>
      <c r="L37" s="1969"/>
      <c r="M37" s="1969"/>
      <c r="N37" s="1969"/>
      <c r="O37" s="1969"/>
      <c r="P37" s="1969"/>
      <c r="Q37" s="1969"/>
      <c r="R37" s="1969"/>
      <c r="S37" s="1969"/>
      <c r="T37" s="1969"/>
      <c r="U37" s="1969"/>
      <c r="V37" s="1969"/>
      <c r="W37" s="1969"/>
      <c r="X37" s="1969"/>
      <c r="Y37" s="1969"/>
      <c r="Z37" s="1969"/>
      <c r="AA37" s="1969"/>
      <c r="AB37" s="1969"/>
    </row>
    <row r="38" spans="1:28" x14ac:dyDescent="0.45">
      <c r="A38" s="2136" t="s">
        <v>3402</v>
      </c>
      <c r="B38" s="1969"/>
      <c r="C38" s="1969"/>
      <c r="D38" s="1969"/>
      <c r="E38" s="1969"/>
      <c r="F38" s="1969"/>
      <c r="G38" s="1969"/>
      <c r="H38" s="1969"/>
      <c r="I38" s="1969"/>
      <c r="J38" s="1969"/>
      <c r="K38" s="1969"/>
      <c r="L38" s="1969"/>
      <c r="M38" s="1969"/>
      <c r="N38" s="1969"/>
      <c r="O38" s="1969"/>
      <c r="P38" s="1969"/>
      <c r="Q38" s="1969"/>
      <c r="R38" s="1969"/>
      <c r="S38" s="1969"/>
      <c r="T38" s="1969"/>
      <c r="U38" s="1969"/>
      <c r="V38" s="1969"/>
      <c r="W38" s="1969"/>
      <c r="X38" s="1969"/>
      <c r="Y38" s="1969"/>
      <c r="Z38" s="1969"/>
      <c r="AA38" s="1969"/>
      <c r="AB38" s="1969"/>
    </row>
    <row r="39" spans="1:28" x14ac:dyDescent="0.45">
      <c r="A39" s="2137" t="s">
        <v>357</v>
      </c>
      <c r="B39" s="2138" t="s">
        <v>355</v>
      </c>
      <c r="C39" s="2138"/>
      <c r="D39" s="2138"/>
      <c r="E39" s="2138"/>
      <c r="F39" s="2138"/>
      <c r="G39" s="2138"/>
      <c r="H39" s="2138"/>
      <c r="I39" s="2138"/>
      <c r="J39" s="2138"/>
      <c r="K39" s="2138"/>
      <c r="L39" s="2138"/>
      <c r="M39" s="2138"/>
      <c r="N39" s="2138"/>
      <c r="O39" s="2138"/>
      <c r="P39" s="2138"/>
      <c r="Q39" s="2138"/>
      <c r="R39" s="2138"/>
      <c r="S39" s="2138"/>
      <c r="T39" s="2138"/>
      <c r="U39" s="2138"/>
      <c r="V39" s="2138"/>
      <c r="W39" s="2138"/>
      <c r="X39" s="2138"/>
      <c r="Y39" s="2138"/>
      <c r="Z39" s="2138"/>
      <c r="AA39" s="2138"/>
      <c r="AB39" s="2138"/>
    </row>
    <row r="40" spans="1:28" x14ac:dyDescent="0.45">
      <c r="A40" s="2137" t="s">
        <v>1062</v>
      </c>
      <c r="B40" s="2138" t="s">
        <v>355</v>
      </c>
      <c r="C40" s="2138"/>
      <c r="D40" s="2138"/>
      <c r="E40" s="2138"/>
      <c r="F40" s="2138"/>
      <c r="G40" s="2138"/>
      <c r="H40" s="2138"/>
      <c r="I40" s="2138"/>
      <c r="J40" s="2138"/>
      <c r="K40" s="2138"/>
      <c r="L40" s="2138"/>
      <c r="M40" s="2138">
        <v>5000</v>
      </c>
      <c r="N40" s="2138">
        <v>5000</v>
      </c>
      <c r="O40" s="2138">
        <v>5000</v>
      </c>
      <c r="P40" s="2138">
        <v>5000</v>
      </c>
      <c r="Q40" s="2138">
        <v>5000</v>
      </c>
      <c r="R40" s="2138">
        <v>5000</v>
      </c>
      <c r="S40" s="2138">
        <v>5000</v>
      </c>
      <c r="T40" s="2138">
        <v>5000</v>
      </c>
      <c r="U40" s="2138">
        <v>5000</v>
      </c>
      <c r="V40" s="2138">
        <v>5000</v>
      </c>
      <c r="W40" s="2138">
        <v>5000</v>
      </c>
      <c r="X40" s="2138">
        <v>5000</v>
      </c>
      <c r="Y40" s="2138">
        <v>5000</v>
      </c>
      <c r="Z40" s="2138">
        <v>5000</v>
      </c>
      <c r="AA40" s="2138">
        <v>5000</v>
      </c>
      <c r="AB40" s="2138">
        <v>5000</v>
      </c>
    </row>
    <row r="41" spans="1:28" x14ac:dyDescent="0.45">
      <c r="A41" s="2137" t="s">
        <v>1062</v>
      </c>
      <c r="B41" s="2138" t="s">
        <v>359</v>
      </c>
      <c r="C41" s="2138"/>
      <c r="D41" s="2138"/>
      <c r="E41" s="2138"/>
      <c r="F41" s="2138"/>
      <c r="G41" s="2138"/>
      <c r="H41" s="2138"/>
      <c r="I41" s="2138"/>
      <c r="J41" s="2138"/>
      <c r="K41" s="2138"/>
      <c r="L41" s="2138"/>
      <c r="M41" s="2138"/>
      <c r="N41" s="2138"/>
      <c r="O41" s="2138"/>
      <c r="P41" s="2138"/>
      <c r="Q41" s="2138"/>
      <c r="R41" s="2138"/>
      <c r="S41" s="2138"/>
      <c r="T41" s="2138"/>
      <c r="U41" s="2138"/>
      <c r="V41" s="2138"/>
      <c r="W41" s="2138"/>
      <c r="X41" s="2138"/>
      <c r="Y41" s="2138"/>
      <c r="Z41" s="2138"/>
      <c r="AA41" s="2138"/>
      <c r="AB41" s="2138"/>
    </row>
    <row r="42" spans="1:28" x14ac:dyDescent="0.45">
      <c r="A42" s="2137" t="s">
        <v>358</v>
      </c>
      <c r="B42" s="2138" t="s">
        <v>355</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row>
    <row r="43" spans="1:28" x14ac:dyDescent="0.45">
      <c r="A43" s="2137" t="s">
        <v>358</v>
      </c>
      <c r="B43" s="2138" t="s">
        <v>359</v>
      </c>
      <c r="C43" s="2138"/>
      <c r="D43" s="2138"/>
      <c r="E43" s="2138"/>
      <c r="F43" s="2138"/>
      <c r="G43" s="2138"/>
      <c r="H43" s="2138"/>
      <c r="I43" s="2138"/>
      <c r="J43" s="2138"/>
      <c r="K43" s="2138"/>
      <c r="L43" s="2138"/>
      <c r="M43" s="2138">
        <v>1000</v>
      </c>
      <c r="N43" s="2138">
        <v>1000</v>
      </c>
      <c r="O43" s="2138">
        <v>1000</v>
      </c>
      <c r="P43" s="2138">
        <v>1000</v>
      </c>
      <c r="Q43" s="2138">
        <v>1000</v>
      </c>
      <c r="R43" s="2138">
        <v>1000</v>
      </c>
      <c r="S43" s="2138">
        <v>1000</v>
      </c>
      <c r="T43" s="2138">
        <v>1000</v>
      </c>
      <c r="U43" s="2138">
        <v>1000</v>
      </c>
      <c r="V43" s="2138">
        <v>1000</v>
      </c>
      <c r="W43" s="2138">
        <v>1000</v>
      </c>
      <c r="X43" s="2138">
        <v>1000</v>
      </c>
      <c r="Y43" s="2138">
        <v>1000</v>
      </c>
      <c r="Z43" s="2138">
        <v>1000</v>
      </c>
      <c r="AA43" s="2138">
        <v>1000</v>
      </c>
      <c r="AB43" s="2138">
        <v>1000</v>
      </c>
    </row>
    <row r="44" spans="1:28" x14ac:dyDescent="0.45">
      <c r="A44" s="2137" t="s">
        <v>360</v>
      </c>
      <c r="B44" s="2138" t="s">
        <v>355</v>
      </c>
      <c r="C44" s="2138">
        <f>[1]TRA_inputs!$C$10</f>
        <v>4000</v>
      </c>
      <c r="D44" s="2138">
        <f>[1]TRA_inputs!$C$10</f>
        <v>4000</v>
      </c>
      <c r="E44" s="2138">
        <f>[1]TRA_inputs!$C$10</f>
        <v>4000</v>
      </c>
      <c r="F44" s="2138">
        <f>[1]TRA_inputs!$C$10</f>
        <v>4000</v>
      </c>
      <c r="G44" s="2138">
        <f>[1]TRA_inputs!$C$10</f>
        <v>4000</v>
      </c>
      <c r="H44" s="2138">
        <f>[1]TRA_inputs!$C$10</f>
        <v>4000</v>
      </c>
      <c r="I44" s="2138">
        <f>[1]TRA_inputs!$C$10</f>
        <v>4000</v>
      </c>
      <c r="J44" s="2138">
        <f>[1]TRA_inputs!$C$10</f>
        <v>4000</v>
      </c>
      <c r="K44" s="2138">
        <f>[1]TRA_inputs!$C$10</f>
        <v>4000</v>
      </c>
      <c r="L44" s="2138">
        <f>[1]TRA_inputs!$C$10</f>
        <v>4000</v>
      </c>
      <c r="M44" s="2138"/>
      <c r="N44" s="2138"/>
      <c r="O44" s="2138"/>
      <c r="P44" s="2138"/>
      <c r="Q44" s="2138"/>
      <c r="R44" s="2138"/>
      <c r="S44" s="2138"/>
      <c r="T44" s="2138"/>
      <c r="U44" s="2138"/>
      <c r="V44" s="2138"/>
      <c r="W44" s="2138"/>
      <c r="X44" s="2138"/>
      <c r="Y44" s="2138"/>
      <c r="Z44" s="2138"/>
      <c r="AA44" s="2138"/>
      <c r="AB44" s="2138"/>
    </row>
    <row r="45" spans="1:28" x14ac:dyDescent="0.45">
      <c r="A45" s="2137" t="s">
        <v>360</v>
      </c>
      <c r="B45" s="2138" t="s">
        <v>359</v>
      </c>
      <c r="C45" s="2138"/>
      <c r="D45" s="2138"/>
      <c r="E45" s="2138"/>
      <c r="F45" s="2138"/>
      <c r="G45" s="2138"/>
      <c r="H45" s="2138"/>
      <c r="I45" s="2138"/>
      <c r="J45" s="2138"/>
      <c r="K45" s="2138"/>
      <c r="L45" s="2138"/>
      <c r="M45" s="2138"/>
      <c r="N45" s="2138"/>
      <c r="O45" s="2138"/>
      <c r="P45" s="2138"/>
      <c r="Q45" s="2138"/>
      <c r="R45" s="2138"/>
      <c r="S45" s="2138"/>
      <c r="T45" s="2138"/>
      <c r="U45" s="2138"/>
      <c r="V45" s="2138"/>
      <c r="W45" s="2138"/>
      <c r="X45" s="2138"/>
      <c r="Y45" s="2138"/>
      <c r="Z45" s="2138"/>
      <c r="AA45" s="2138"/>
      <c r="AB45" s="2138"/>
    </row>
    <row r="46" spans="1:28" x14ac:dyDescent="0.45">
      <c r="A46" s="2137" t="s">
        <v>361</v>
      </c>
      <c r="B46" s="2138" t="s">
        <v>355</v>
      </c>
      <c r="C46" s="2138"/>
      <c r="D46" s="2138"/>
      <c r="E46" s="2138"/>
      <c r="F46" s="2138"/>
      <c r="G46" s="2138"/>
      <c r="H46" s="2138"/>
      <c r="I46" s="2138"/>
      <c r="J46" s="2138"/>
      <c r="K46" s="2138"/>
      <c r="L46" s="2138"/>
      <c r="M46" s="2138"/>
      <c r="N46" s="2138"/>
      <c r="O46" s="2138"/>
      <c r="P46" s="2138"/>
      <c r="Q46" s="2138"/>
      <c r="R46" s="2138"/>
      <c r="S46" s="2138"/>
      <c r="T46" s="2138"/>
      <c r="U46" s="2138"/>
      <c r="V46" s="2138"/>
      <c r="W46" s="2138"/>
      <c r="X46" s="2138"/>
      <c r="Y46" s="2138"/>
      <c r="Z46" s="2138"/>
      <c r="AA46" s="2138"/>
      <c r="AB46" s="2138"/>
    </row>
    <row r="47" spans="1:28" x14ac:dyDescent="0.45">
      <c r="A47" s="2137" t="s">
        <v>361</v>
      </c>
      <c r="B47" s="2138" t="s">
        <v>359</v>
      </c>
      <c r="C47" s="2138"/>
      <c r="D47" s="2138"/>
      <c r="E47" s="2138"/>
      <c r="F47" s="2138"/>
      <c r="G47" s="2138"/>
      <c r="H47" s="2138"/>
      <c r="I47" s="2138"/>
      <c r="J47" s="2138"/>
      <c r="K47" s="2138"/>
      <c r="L47" s="2138"/>
      <c r="M47" s="2138"/>
      <c r="N47" s="2138"/>
      <c r="O47" s="2138"/>
      <c r="P47" s="2138"/>
      <c r="Q47" s="2138"/>
      <c r="R47" s="2138"/>
      <c r="S47" s="2138"/>
      <c r="T47" s="2138"/>
      <c r="U47" s="2138"/>
      <c r="V47" s="2138"/>
      <c r="W47" s="2138"/>
      <c r="X47" s="2138"/>
      <c r="Y47" s="2138"/>
      <c r="Z47" s="2138"/>
      <c r="AA47" s="2138"/>
      <c r="AB47" s="2138"/>
    </row>
    <row r="48" spans="1:28" x14ac:dyDescent="0.45">
      <c r="A48" s="1581"/>
      <c r="B48" s="1578"/>
      <c r="C48" s="1578"/>
      <c r="D48" s="1578"/>
      <c r="E48" s="1578"/>
      <c r="F48" s="1578"/>
      <c r="G48" s="1578"/>
      <c r="H48" s="1578"/>
      <c r="I48" s="1578"/>
      <c r="J48" s="1578"/>
      <c r="K48" s="1578"/>
      <c r="L48" s="1578"/>
      <c r="M48" s="2139"/>
      <c r="N48" s="2139"/>
      <c r="O48" s="2139"/>
      <c r="P48" s="2139"/>
      <c r="Q48" s="2139"/>
      <c r="R48" s="2139"/>
      <c r="S48" s="2139"/>
      <c r="T48" s="2139"/>
      <c r="U48" s="2139"/>
      <c r="V48" s="2139"/>
      <c r="W48" s="2139"/>
      <c r="X48" s="2139"/>
      <c r="Y48" s="2139"/>
      <c r="Z48" s="2139"/>
      <c r="AA48" s="2139"/>
      <c r="AB48" s="2130"/>
    </row>
    <row r="49" spans="1:28" ht="17.25" x14ac:dyDescent="0.45">
      <c r="A49" s="2135" t="s">
        <v>1131</v>
      </c>
      <c r="B49" s="1578"/>
      <c r="C49" s="1578"/>
      <c r="D49" s="1578"/>
      <c r="E49" s="1578"/>
      <c r="F49" s="1578"/>
      <c r="G49" s="1578"/>
      <c r="H49" s="1578"/>
      <c r="I49" s="1578"/>
      <c r="J49" s="1578"/>
      <c r="K49" s="1578"/>
      <c r="L49" s="1578"/>
      <c r="M49" s="2139"/>
      <c r="N49" s="2139"/>
      <c r="O49" s="2139"/>
      <c r="P49" s="2139"/>
      <c r="Q49" s="2139"/>
      <c r="R49" s="2139"/>
      <c r="S49" s="2139"/>
      <c r="T49" s="2139"/>
      <c r="U49" s="2139"/>
      <c r="V49" s="2139"/>
      <c r="W49" s="2139"/>
      <c r="X49" s="2139"/>
      <c r="Y49" s="2139"/>
      <c r="Z49" s="2139"/>
      <c r="AA49" s="2139"/>
      <c r="AB49" s="2130"/>
    </row>
    <row r="50" spans="1:28" s="1966" customFormat="1" ht="14.25" x14ac:dyDescent="0.45">
      <c r="A50" s="1581" t="s">
        <v>34</v>
      </c>
      <c r="B50" s="1954" t="s">
        <v>40</v>
      </c>
      <c r="C50" s="1954" t="s">
        <v>48</v>
      </c>
      <c r="D50" s="1954" t="s">
        <v>48</v>
      </c>
      <c r="E50" s="1954" t="s">
        <v>48</v>
      </c>
      <c r="F50" s="1954" t="s">
        <v>48</v>
      </c>
      <c r="G50" s="1954" t="s">
        <v>379</v>
      </c>
      <c r="H50" s="1954" t="s">
        <v>379</v>
      </c>
      <c r="I50" s="1954" t="s">
        <v>379</v>
      </c>
      <c r="J50" s="1954" t="s">
        <v>379</v>
      </c>
      <c r="K50" s="1954" t="s">
        <v>379</v>
      </c>
      <c r="L50" s="1954" t="s">
        <v>379</v>
      </c>
      <c r="M50" s="1954" t="s">
        <v>48</v>
      </c>
      <c r="N50" s="1954" t="s">
        <v>48</v>
      </c>
      <c r="O50" s="1954" t="s">
        <v>48</v>
      </c>
      <c r="P50" s="1954" t="s">
        <v>48</v>
      </c>
      <c r="Q50" s="1954" t="s">
        <v>48</v>
      </c>
      <c r="R50" s="1954" t="s">
        <v>48</v>
      </c>
      <c r="S50" s="1954" t="s">
        <v>48</v>
      </c>
      <c r="T50" s="1954" t="s">
        <v>48</v>
      </c>
      <c r="U50" s="1954" t="s">
        <v>48</v>
      </c>
      <c r="V50" s="1954" t="s">
        <v>48</v>
      </c>
      <c r="W50" s="1954" t="s">
        <v>48</v>
      </c>
      <c r="X50" s="1954" t="s">
        <v>48</v>
      </c>
      <c r="Y50" s="1954" t="s">
        <v>48</v>
      </c>
      <c r="Z50" s="1954" t="s">
        <v>48</v>
      </c>
      <c r="AA50" s="1954" t="s">
        <v>48</v>
      </c>
      <c r="AB50" s="1954" t="s">
        <v>48</v>
      </c>
    </row>
    <row r="51" spans="1:28" s="1966" customFormat="1" ht="26.25" x14ac:dyDescent="0.45">
      <c r="A51" s="2140" t="s">
        <v>35</v>
      </c>
      <c r="B51" s="2141"/>
      <c r="C51" s="2141">
        <v>0</v>
      </c>
      <c r="D51" s="2141">
        <v>0</v>
      </c>
      <c r="E51" s="2141">
        <v>0</v>
      </c>
      <c r="F51" s="2141">
        <v>0</v>
      </c>
      <c r="G51" s="2141">
        <v>0</v>
      </c>
      <c r="H51" s="2141">
        <f>[1]Tech_Spec_New_Escoot!$B$51</f>
        <v>11.25</v>
      </c>
      <c r="I51" s="2141">
        <f>G51/2</f>
        <v>0</v>
      </c>
      <c r="J51" s="2141">
        <f>[1]Tech_Spec_New_Escoot!$B$51</f>
        <v>11.25</v>
      </c>
      <c r="K51" s="2141">
        <f>[1]Tech_Spec_New_Escoot!$B$51</f>
        <v>11.25</v>
      </c>
      <c r="L51" s="2141">
        <f>[1]Tech_Spec_New_Escoot!$B$51</f>
        <v>11.25</v>
      </c>
      <c r="M51" s="2141">
        <v>0.5</v>
      </c>
      <c r="N51" s="2141">
        <v>0.5</v>
      </c>
      <c r="O51" s="2141">
        <v>0.5</v>
      </c>
      <c r="P51" s="2141">
        <v>0.5</v>
      </c>
      <c r="Q51" s="2141">
        <v>0.5</v>
      </c>
      <c r="R51" s="2141">
        <v>0.5</v>
      </c>
      <c r="S51" s="2141">
        <v>0.5</v>
      </c>
      <c r="T51" s="2141">
        <v>0.5</v>
      </c>
      <c r="U51" s="2141">
        <v>0.5</v>
      </c>
      <c r="V51" s="2141">
        <v>0.5</v>
      </c>
      <c r="W51" s="2141">
        <v>0.5</v>
      </c>
      <c r="X51" s="2141">
        <v>0</v>
      </c>
      <c r="Y51" s="2141">
        <v>0</v>
      </c>
      <c r="Z51" s="2142">
        <v>23.420596293311849</v>
      </c>
      <c r="AA51" s="2142">
        <v>23.420596293311849</v>
      </c>
      <c r="AB51" s="2141">
        <v>0</v>
      </c>
    </row>
    <row r="52" spans="1:28" s="1966" customFormat="1" ht="26.25" x14ac:dyDescent="0.45">
      <c r="A52" s="2140" t="s">
        <v>36</v>
      </c>
      <c r="B52" s="2141"/>
      <c r="C52" s="2141">
        <v>0</v>
      </c>
      <c r="D52" s="2141">
        <v>0</v>
      </c>
      <c r="E52" s="2141">
        <v>0</v>
      </c>
      <c r="F52" s="2141">
        <v>0</v>
      </c>
      <c r="G52" s="2142">
        <v>0</v>
      </c>
      <c r="H52" s="2142">
        <f>[1]Tech_Spec_New_Escoot!$B$52</f>
        <v>14.058333333333334</v>
      </c>
      <c r="I52" s="2142">
        <v>0</v>
      </c>
      <c r="J52" s="2142">
        <f>[1]Tech_Spec_New_Escoot!$B$52</f>
        <v>14.058333333333334</v>
      </c>
      <c r="K52" s="2141">
        <f>[1]Tech_Spec_New_Escoot!$B$51</f>
        <v>11.25</v>
      </c>
      <c r="L52" s="2142">
        <f>[1]Tech_Spec_New_Escoot!$B$52</f>
        <v>14.058333333333334</v>
      </c>
      <c r="M52" s="2142">
        <f t="shared" ref="M52:W52" si="0">1/0.94</f>
        <v>1.0638297872340425</v>
      </c>
      <c r="N52" s="2142">
        <f t="shared" si="0"/>
        <v>1.0638297872340425</v>
      </c>
      <c r="O52" s="2142">
        <f t="shared" si="0"/>
        <v>1.0638297872340425</v>
      </c>
      <c r="P52" s="2142">
        <f t="shared" si="0"/>
        <v>1.0638297872340425</v>
      </c>
      <c r="Q52" s="2142">
        <f t="shared" si="0"/>
        <v>1.0638297872340425</v>
      </c>
      <c r="R52" s="2142">
        <f t="shared" si="0"/>
        <v>1.0638297872340425</v>
      </c>
      <c r="S52" s="2142">
        <f t="shared" si="0"/>
        <v>1.0638297872340425</v>
      </c>
      <c r="T52" s="2142">
        <f t="shared" si="0"/>
        <v>1.0638297872340425</v>
      </c>
      <c r="U52" s="2142">
        <f t="shared" si="0"/>
        <v>1.0638297872340425</v>
      </c>
      <c r="V52" s="2142">
        <f t="shared" si="0"/>
        <v>1.0638297872340425</v>
      </c>
      <c r="W52" s="2142">
        <f t="shared" si="0"/>
        <v>1.0638297872340425</v>
      </c>
      <c r="X52" s="2142">
        <v>0</v>
      </c>
      <c r="Y52" s="2142">
        <v>0</v>
      </c>
      <c r="Z52" s="2142">
        <v>1</v>
      </c>
      <c r="AA52" s="2142">
        <v>1</v>
      </c>
      <c r="AB52" s="2141">
        <v>0</v>
      </c>
    </row>
    <row r="53" spans="1:28" s="1966" customFormat="1" ht="14.25" x14ac:dyDescent="0.45">
      <c r="A53" s="1581"/>
      <c r="B53" s="1954"/>
      <c r="C53" s="1954"/>
      <c r="D53" s="1954"/>
      <c r="E53" s="1954"/>
      <c r="F53" s="1954"/>
      <c r="G53" s="1954"/>
      <c r="H53" s="2143"/>
      <c r="I53" s="2143"/>
      <c r="J53" s="2143"/>
      <c r="K53" s="1954"/>
      <c r="L53" s="2143"/>
      <c r="M53" s="2143"/>
      <c r="N53" s="2143"/>
      <c r="O53" s="2143"/>
      <c r="P53" s="2143"/>
      <c r="Q53" s="2143"/>
      <c r="R53" s="2143"/>
      <c r="S53" s="2143"/>
      <c r="T53" s="2143"/>
      <c r="U53" s="2143"/>
      <c r="V53" s="2143"/>
      <c r="W53" s="2143"/>
      <c r="X53" s="2143"/>
      <c r="Y53" s="2143"/>
      <c r="Z53" s="2143"/>
      <c r="AA53" s="2143"/>
      <c r="AB53" s="1954"/>
    </row>
    <row r="54" spans="1:28" s="1966" customFormat="1" ht="34.5" x14ac:dyDescent="0.45">
      <c r="A54" s="2135" t="s">
        <v>3394</v>
      </c>
      <c r="B54" s="1954"/>
      <c r="C54" s="1954"/>
      <c r="D54" s="1954"/>
      <c r="E54" s="1954"/>
      <c r="F54" s="1954"/>
      <c r="G54" s="1954"/>
      <c r="H54" s="2143"/>
      <c r="I54" s="2143"/>
      <c r="J54" s="2143"/>
      <c r="K54" s="1954"/>
      <c r="L54" s="2143"/>
      <c r="M54" s="2143"/>
      <c r="N54" s="2143"/>
      <c r="O54" s="2143"/>
      <c r="P54" s="2143"/>
      <c r="Q54" s="2143"/>
      <c r="R54" s="2143"/>
      <c r="S54" s="2143"/>
      <c r="T54" s="2143"/>
      <c r="U54" s="2143"/>
      <c r="V54" s="2143"/>
      <c r="W54" s="2143"/>
      <c r="X54" s="2143"/>
      <c r="Y54" s="2143"/>
      <c r="Z54" s="2143"/>
      <c r="AA54" s="2143"/>
      <c r="AB54" s="1954"/>
    </row>
    <row r="55" spans="1:28" ht="26.25" x14ac:dyDescent="0.45">
      <c r="A55" s="1581" t="s">
        <v>29</v>
      </c>
      <c r="B55" s="1578"/>
      <c r="C55" s="2144" t="s">
        <v>284</v>
      </c>
      <c r="D55" s="2144" t="s">
        <v>284</v>
      </c>
      <c r="E55" s="2144" t="s">
        <v>284</v>
      </c>
      <c r="F55" s="2144" t="s">
        <v>284</v>
      </c>
      <c r="G55" s="2144" t="s">
        <v>284</v>
      </c>
      <c r="H55" s="2144" t="s">
        <v>284</v>
      </c>
      <c r="I55" s="2144" t="s">
        <v>284</v>
      </c>
      <c r="J55" s="2144" t="s">
        <v>284</v>
      </c>
      <c r="K55" s="2144" t="s">
        <v>284</v>
      </c>
      <c r="L55" s="2144" t="s">
        <v>284</v>
      </c>
      <c r="M55" s="2144" t="s">
        <v>284</v>
      </c>
      <c r="N55" s="2144" t="s">
        <v>284</v>
      </c>
      <c r="O55" s="2144" t="s">
        <v>284</v>
      </c>
      <c r="P55" s="2144" t="s">
        <v>284</v>
      </c>
      <c r="Q55" s="2144" t="s">
        <v>284</v>
      </c>
      <c r="R55" s="2144" t="s">
        <v>284</v>
      </c>
      <c r="S55" s="2144" t="s">
        <v>284</v>
      </c>
      <c r="T55" s="2144" t="s">
        <v>284</v>
      </c>
      <c r="U55" s="2144" t="s">
        <v>284</v>
      </c>
      <c r="V55" s="2144" t="s">
        <v>284</v>
      </c>
      <c r="W55" s="2144" t="s">
        <v>284</v>
      </c>
      <c r="X55" s="2144" t="s">
        <v>284</v>
      </c>
      <c r="Y55" s="2144" t="s">
        <v>284</v>
      </c>
      <c r="Z55" s="2144" t="s">
        <v>284</v>
      </c>
      <c r="AA55" s="2144" t="s">
        <v>284</v>
      </c>
      <c r="AB55" s="2144" t="s">
        <v>284</v>
      </c>
    </row>
    <row r="56" spans="1:28" ht="39.4" x14ac:dyDescent="0.45">
      <c r="A56" s="1581" t="s">
        <v>45</v>
      </c>
      <c r="B56" s="1578"/>
      <c r="C56" s="2144" t="s">
        <v>46</v>
      </c>
      <c r="D56" s="2144" t="s">
        <v>46</v>
      </c>
      <c r="E56" s="2144" t="s">
        <v>46</v>
      </c>
      <c r="F56" s="2144" t="s">
        <v>46</v>
      </c>
      <c r="G56" s="2144" t="s">
        <v>46</v>
      </c>
      <c r="H56" s="2144" t="s">
        <v>46</v>
      </c>
      <c r="I56" s="2144" t="s">
        <v>46</v>
      </c>
      <c r="J56" s="2144" t="s">
        <v>46</v>
      </c>
      <c r="K56" s="2144" t="s">
        <v>46</v>
      </c>
      <c r="L56" s="2144" t="s">
        <v>46</v>
      </c>
      <c r="M56" s="2144" t="s">
        <v>46</v>
      </c>
      <c r="N56" s="2144" t="s">
        <v>46</v>
      </c>
      <c r="O56" s="2144" t="s">
        <v>46</v>
      </c>
      <c r="P56" s="2144" t="s">
        <v>46</v>
      </c>
      <c r="Q56" s="2144" t="s">
        <v>46</v>
      </c>
      <c r="R56" s="2144" t="s">
        <v>46</v>
      </c>
      <c r="S56" s="2144" t="s">
        <v>46</v>
      </c>
      <c r="T56" s="2144" t="s">
        <v>46</v>
      </c>
      <c r="U56" s="2144" t="s">
        <v>46</v>
      </c>
      <c r="V56" s="2144" t="s">
        <v>46</v>
      </c>
      <c r="W56" s="2144" t="s">
        <v>46</v>
      </c>
      <c r="X56" s="2144" t="s">
        <v>46</v>
      </c>
      <c r="Y56" s="2144" t="s">
        <v>46</v>
      </c>
      <c r="Z56" s="2144" t="s">
        <v>46</v>
      </c>
      <c r="AA56" s="2144" t="s">
        <v>46</v>
      </c>
      <c r="AB56" s="2144" t="s">
        <v>46</v>
      </c>
    </row>
    <row r="57" spans="1:28" x14ac:dyDescent="0.45">
      <c r="A57" s="1943" t="s">
        <v>14</v>
      </c>
      <c r="B57" s="1944"/>
      <c r="C57" s="1944">
        <v>2022</v>
      </c>
      <c r="D57" s="1944">
        <v>2022</v>
      </c>
      <c r="E57" s="1944">
        <v>2022</v>
      </c>
      <c r="F57" s="1944">
        <v>2022</v>
      </c>
      <c r="G57" s="1944">
        <v>2022</v>
      </c>
      <c r="H57" s="1944">
        <v>2022</v>
      </c>
      <c r="I57" s="1944">
        <v>2022</v>
      </c>
      <c r="J57" s="1944">
        <v>2022</v>
      </c>
      <c r="K57" s="1944">
        <v>2022</v>
      </c>
      <c r="L57" s="1944">
        <v>2022</v>
      </c>
      <c r="M57" s="1944">
        <v>2022</v>
      </c>
      <c r="N57" s="1944">
        <v>2022</v>
      </c>
      <c r="O57" s="1944">
        <v>2022</v>
      </c>
      <c r="P57" s="1944">
        <v>2022</v>
      </c>
      <c r="Q57" s="1944">
        <v>2022</v>
      </c>
      <c r="R57" s="1944">
        <v>2022</v>
      </c>
      <c r="S57" s="1944">
        <v>2022</v>
      </c>
      <c r="T57" s="1944">
        <v>2022</v>
      </c>
      <c r="U57" s="1944">
        <v>2022</v>
      </c>
      <c r="V57" s="1944">
        <v>2022</v>
      </c>
      <c r="W57" s="1944">
        <v>2022</v>
      </c>
      <c r="X57" s="1944">
        <v>2021</v>
      </c>
      <c r="Y57" s="1944">
        <v>2021</v>
      </c>
      <c r="Z57" s="1944">
        <v>2021</v>
      </c>
      <c r="AA57" s="1944">
        <v>2021</v>
      </c>
      <c r="AB57" s="2145">
        <v>2022</v>
      </c>
    </row>
    <row r="58" spans="1:28" ht="26.25" x14ac:dyDescent="0.45">
      <c r="A58" s="1581" t="s">
        <v>43</v>
      </c>
      <c r="B58" s="1578"/>
      <c r="C58" s="1578" t="s">
        <v>119</v>
      </c>
      <c r="D58" s="1578" t="s">
        <v>119</v>
      </c>
      <c r="E58" s="1578" t="s">
        <v>119</v>
      </c>
      <c r="F58" s="1578" t="s">
        <v>119</v>
      </c>
      <c r="G58" s="1578" t="s">
        <v>119</v>
      </c>
      <c r="H58" s="1578" t="s">
        <v>119</v>
      </c>
      <c r="I58" s="1578" t="s">
        <v>119</v>
      </c>
      <c r="J58" s="1578" t="s">
        <v>119</v>
      </c>
      <c r="K58" s="1578" t="s">
        <v>119</v>
      </c>
      <c r="L58" s="1578" t="s">
        <v>119</v>
      </c>
      <c r="M58" s="1578" t="s">
        <v>119</v>
      </c>
      <c r="N58" s="1578" t="s">
        <v>119</v>
      </c>
      <c r="O58" s="1578" t="s">
        <v>119</v>
      </c>
      <c r="P58" s="1578" t="s">
        <v>119</v>
      </c>
      <c r="Q58" s="1578" t="s">
        <v>119</v>
      </c>
      <c r="R58" s="1578" t="s">
        <v>119</v>
      </c>
      <c r="S58" s="1578" t="s">
        <v>119</v>
      </c>
      <c r="T58" s="1578" t="s">
        <v>119</v>
      </c>
      <c r="U58" s="1578" t="s">
        <v>119</v>
      </c>
      <c r="V58" s="1578" t="s">
        <v>119</v>
      </c>
      <c r="W58" s="1578" t="s">
        <v>119</v>
      </c>
      <c r="X58" s="1578" t="s">
        <v>119</v>
      </c>
      <c r="Y58" s="1578" t="s">
        <v>119</v>
      </c>
      <c r="Z58" s="1578" t="s">
        <v>119</v>
      </c>
      <c r="AA58" s="1578" t="s">
        <v>119</v>
      </c>
      <c r="AB58" s="1578" t="s">
        <v>119</v>
      </c>
    </row>
    <row r="59" spans="1:28" x14ac:dyDescent="0.45">
      <c r="A59" s="1581" t="s">
        <v>32</v>
      </c>
      <c r="B59" s="1578"/>
      <c r="C59" s="1578"/>
      <c r="D59" s="1578"/>
      <c r="E59" s="1578"/>
      <c r="F59" s="1578"/>
      <c r="G59" s="1578"/>
      <c r="H59" s="1578"/>
      <c r="I59" s="1578"/>
      <c r="J59" s="1578"/>
      <c r="K59" s="1578"/>
      <c r="L59" s="1578"/>
      <c r="M59" s="1578"/>
      <c r="N59" s="1578"/>
      <c r="O59" s="1578"/>
      <c r="P59" s="1578"/>
      <c r="Q59" s="1578"/>
      <c r="R59" s="1578"/>
      <c r="S59" s="1578"/>
      <c r="T59" s="1578"/>
      <c r="U59" s="1578"/>
      <c r="V59" s="1578"/>
      <c r="W59" s="1578" t="s">
        <v>113</v>
      </c>
      <c r="X59" s="1578"/>
      <c r="Y59" s="1578"/>
      <c r="Z59" s="1578"/>
      <c r="AA59" s="1578"/>
      <c r="AB59" s="1578"/>
    </row>
    <row r="60" spans="1:28" s="1966" customFormat="1" ht="14" customHeight="1" x14ac:dyDescent="0.45">
      <c r="A60" s="1581" t="s">
        <v>44</v>
      </c>
      <c r="B60" s="1954"/>
      <c r="C60" s="1954" t="s">
        <v>47</v>
      </c>
      <c r="D60" s="1954" t="s">
        <v>47</v>
      </c>
      <c r="E60" s="1954" t="s">
        <v>47</v>
      </c>
      <c r="F60" s="1954" t="s">
        <v>47</v>
      </c>
      <c r="G60" s="1954" t="s">
        <v>47</v>
      </c>
      <c r="H60" s="1954" t="s">
        <v>47</v>
      </c>
      <c r="I60" s="1954" t="s">
        <v>47</v>
      </c>
      <c r="J60" s="1954" t="s">
        <v>47</v>
      </c>
      <c r="K60" s="1954" t="s">
        <v>47</v>
      </c>
      <c r="L60" s="1954" t="s">
        <v>47</v>
      </c>
      <c r="M60" s="1954" t="s">
        <v>47</v>
      </c>
      <c r="N60" s="1954" t="s">
        <v>47</v>
      </c>
      <c r="O60" s="1954" t="s">
        <v>47</v>
      </c>
      <c r="P60" s="1954" t="s">
        <v>47</v>
      </c>
      <c r="Q60" s="1954" t="s">
        <v>47</v>
      </c>
      <c r="R60" s="1954" t="s">
        <v>47</v>
      </c>
      <c r="S60" s="1954" t="s">
        <v>47</v>
      </c>
      <c r="T60" s="1954" t="s">
        <v>47</v>
      </c>
      <c r="U60" s="1954" t="s">
        <v>47</v>
      </c>
      <c r="V60" s="1954" t="s">
        <v>47</v>
      </c>
      <c r="W60" s="1954" t="s">
        <v>47</v>
      </c>
      <c r="X60" s="1954" t="s">
        <v>47</v>
      </c>
      <c r="Y60" s="1954" t="s">
        <v>47</v>
      </c>
      <c r="Z60" s="1954" t="s">
        <v>47</v>
      </c>
      <c r="AA60" s="1954" t="s">
        <v>47</v>
      </c>
      <c r="AB60" s="1954" t="s">
        <v>47</v>
      </c>
    </row>
    <row r="65" spans="1:15" x14ac:dyDescent="0.45">
      <c r="O65" s="1970"/>
    </row>
    <row r="66" spans="1:15" x14ac:dyDescent="0.45">
      <c r="A66" s="2098"/>
      <c r="B66" s="2098"/>
      <c r="O66" s="1970"/>
    </row>
    <row r="67" spans="1:15" x14ac:dyDescent="0.45">
      <c r="A67" s="2093"/>
      <c r="O67" s="1970"/>
    </row>
    <row r="68" spans="1:15" x14ac:dyDescent="0.45">
      <c r="A68" s="2093"/>
      <c r="O68" s="1970"/>
    </row>
    <row r="69" spans="1:15" x14ac:dyDescent="0.45">
      <c r="A69" s="2093"/>
      <c r="O69" s="1970"/>
    </row>
    <row r="70" spans="1:15" x14ac:dyDescent="0.45">
      <c r="A70" s="2093"/>
      <c r="O70" s="1970"/>
    </row>
    <row r="71" spans="1:15" x14ac:dyDescent="0.45">
      <c r="A71" s="2093"/>
      <c r="O71" s="1970"/>
    </row>
    <row r="72" spans="1:15" x14ac:dyDescent="0.45">
      <c r="O72" s="1970"/>
    </row>
    <row r="73" spans="1:15" x14ac:dyDescent="0.45">
      <c r="O73" s="1970"/>
    </row>
    <row r="74" spans="1:15" x14ac:dyDescent="0.45">
      <c r="O74" s="1970"/>
    </row>
    <row r="75" spans="1:15" x14ac:dyDescent="0.45">
      <c r="O75" s="1970"/>
    </row>
    <row r="76" spans="1:15" x14ac:dyDescent="0.45">
      <c r="O76" s="1970"/>
    </row>
    <row r="77" spans="1:15" x14ac:dyDescent="0.45">
      <c r="O77" s="1970"/>
    </row>
    <row r="78" spans="1:15" x14ac:dyDescent="0.45">
      <c r="O78" s="1970"/>
    </row>
    <row r="79" spans="1:15" x14ac:dyDescent="0.45">
      <c r="O79" s="1970"/>
    </row>
    <row r="80" spans="1:15" x14ac:dyDescent="0.45">
      <c r="O80" s="1970"/>
    </row>
    <row r="81" spans="15:15" x14ac:dyDescent="0.45">
      <c r="O81" s="1970"/>
    </row>
    <row r="82" spans="15:15" x14ac:dyDescent="0.45">
      <c r="O82" s="1970"/>
    </row>
    <row r="83" spans="15:15" x14ac:dyDescent="0.45">
      <c r="O83" s="1970"/>
    </row>
    <row r="84" spans="15:15" x14ac:dyDescent="0.45">
      <c r="O84" s="1970"/>
    </row>
    <row r="85" spans="15:15" x14ac:dyDescent="0.45">
      <c r="O85" s="1970"/>
    </row>
    <row r="86" spans="15:15" x14ac:dyDescent="0.45">
      <c r="O86" s="1970"/>
    </row>
    <row r="87" spans="15:15" x14ac:dyDescent="0.45">
      <c r="O87" s="1970"/>
    </row>
    <row r="88" spans="15:15" x14ac:dyDescent="0.45">
      <c r="O88" s="1970"/>
    </row>
    <row r="89" spans="15:15" x14ac:dyDescent="0.45">
      <c r="O89" s="1970"/>
    </row>
    <row r="90" spans="15:15" x14ac:dyDescent="0.45">
      <c r="O90" s="1970"/>
    </row>
    <row r="91" spans="15:15" x14ac:dyDescent="0.45">
      <c r="O91" s="1970"/>
    </row>
    <row r="92" spans="15:15" x14ac:dyDescent="0.45">
      <c r="O92" s="1970"/>
    </row>
    <row r="93" spans="15:15" x14ac:dyDescent="0.45">
      <c r="O93" s="1970"/>
    </row>
    <row r="94" spans="15:15" x14ac:dyDescent="0.45">
      <c r="O94" s="1970"/>
    </row>
    <row r="95" spans="15:15" x14ac:dyDescent="0.45">
      <c r="O95" s="1970"/>
    </row>
    <row r="96" spans="15:15" x14ac:dyDescent="0.45">
      <c r="O96" s="1970"/>
    </row>
    <row r="97" spans="15:15" x14ac:dyDescent="0.45">
      <c r="O97" s="1970"/>
    </row>
    <row r="98" spans="15:15" x14ac:dyDescent="0.45">
      <c r="O98" s="1970"/>
    </row>
    <row r="99" spans="15:15" x14ac:dyDescent="0.45">
      <c r="O99" s="1970"/>
    </row>
    <row r="100" spans="15:15" x14ac:dyDescent="0.45">
      <c r="O100" s="1970"/>
    </row>
    <row r="101" spans="15:15" x14ac:dyDescent="0.45">
      <c r="O101" s="1970"/>
    </row>
    <row r="102" spans="15:15" x14ac:dyDescent="0.45">
      <c r="O102" s="1970"/>
    </row>
    <row r="103" spans="15:15" x14ac:dyDescent="0.45">
      <c r="O103" s="1970"/>
    </row>
    <row r="104" spans="15:15" x14ac:dyDescent="0.45">
      <c r="O104" s="1970"/>
    </row>
    <row r="105" spans="15:15" x14ac:dyDescent="0.45">
      <c r="O105" s="1970"/>
    </row>
    <row r="106" spans="15:15" x14ac:dyDescent="0.45">
      <c r="O106" s="1970"/>
    </row>
    <row r="107" spans="15:15" x14ac:dyDescent="0.45">
      <c r="O107" s="1970"/>
    </row>
    <row r="108" spans="15:15" x14ac:dyDescent="0.45">
      <c r="O108" s="1970"/>
    </row>
    <row r="109" spans="15:15" x14ac:dyDescent="0.45">
      <c r="O109" s="1970"/>
    </row>
    <row r="110" spans="15:15" x14ac:dyDescent="0.45">
      <c r="O110" s="1970"/>
    </row>
    <row r="111" spans="15:15" x14ac:dyDescent="0.45">
      <c r="O111" s="1970"/>
    </row>
    <row r="112" spans="15:15" x14ac:dyDescent="0.45">
      <c r="O112" s="1970"/>
    </row>
    <row r="113" spans="15:15" x14ac:dyDescent="0.45">
      <c r="O113" s="1970"/>
    </row>
    <row r="114" spans="15:15" x14ac:dyDescent="0.45">
      <c r="O114" s="1970"/>
    </row>
    <row r="115" spans="15:15" x14ac:dyDescent="0.45">
      <c r="O115" s="1970"/>
    </row>
    <row r="116" spans="15:15" x14ac:dyDescent="0.45">
      <c r="O116" s="1970"/>
    </row>
    <row r="117" spans="15:15" x14ac:dyDescent="0.45">
      <c r="O117" s="1970"/>
    </row>
    <row r="118" spans="15:15" x14ac:dyDescent="0.45">
      <c r="O118" s="1970"/>
    </row>
    <row r="119" spans="15:15" x14ac:dyDescent="0.45">
      <c r="O119" s="1970"/>
    </row>
    <row r="120" spans="15:15" x14ac:dyDescent="0.45">
      <c r="O120" s="1970"/>
    </row>
    <row r="121" spans="15:15" x14ac:dyDescent="0.45">
      <c r="O121" s="1970"/>
    </row>
    <row r="122" spans="15:15" x14ac:dyDescent="0.45">
      <c r="O122" s="1970"/>
    </row>
    <row r="123" spans="15:15" x14ac:dyDescent="0.45">
      <c r="O123" s="1970"/>
    </row>
    <row r="124" spans="15:15" x14ac:dyDescent="0.45">
      <c r="O124" s="1970"/>
    </row>
    <row r="125" spans="15:15" x14ac:dyDescent="0.45">
      <c r="O125" s="1970"/>
    </row>
    <row r="126" spans="15:15" x14ac:dyDescent="0.45">
      <c r="O126" s="1970"/>
    </row>
    <row r="127" spans="15:15" x14ac:dyDescent="0.45">
      <c r="O127" s="1970"/>
    </row>
    <row r="128" spans="15:15" x14ac:dyDescent="0.45">
      <c r="O128" s="1970"/>
    </row>
    <row r="129" spans="15:15" x14ac:dyDescent="0.45">
      <c r="O129" s="1970"/>
    </row>
    <row r="130" spans="15:15" x14ac:dyDescent="0.45">
      <c r="O130" s="1970"/>
    </row>
    <row r="131" spans="15:15" x14ac:dyDescent="0.45">
      <c r="O131" s="1970"/>
    </row>
    <row r="132" spans="15:15" x14ac:dyDescent="0.45">
      <c r="O132" s="1970"/>
    </row>
    <row r="133" spans="15:15" x14ac:dyDescent="0.45">
      <c r="O133" s="1970"/>
    </row>
    <row r="134" spans="15:15" x14ac:dyDescent="0.45">
      <c r="O134" s="1970"/>
    </row>
    <row r="135" spans="15:15" x14ac:dyDescent="0.45">
      <c r="O135" s="1970"/>
    </row>
    <row r="136" spans="15:15" x14ac:dyDescent="0.45">
      <c r="O136" s="1970"/>
    </row>
    <row r="137" spans="15:15" x14ac:dyDescent="0.45">
      <c r="O137" s="1970"/>
    </row>
    <row r="138" spans="15:15" x14ac:dyDescent="0.45">
      <c r="O138" s="1970"/>
    </row>
    <row r="139" spans="15:15" x14ac:dyDescent="0.45">
      <c r="O139" s="1970"/>
    </row>
    <row r="140" spans="15:15" x14ac:dyDescent="0.45">
      <c r="O140" s="1970"/>
    </row>
    <row r="141" spans="15:15" x14ac:dyDescent="0.45">
      <c r="O141" s="1970"/>
    </row>
    <row r="142" spans="15:15" x14ac:dyDescent="0.45">
      <c r="O142" s="1970"/>
    </row>
    <row r="143" spans="15:15" x14ac:dyDescent="0.45">
      <c r="O143" s="1970"/>
    </row>
    <row r="144" spans="15:15" x14ac:dyDescent="0.45">
      <c r="O144" s="1970"/>
    </row>
    <row r="145" spans="15:15" x14ac:dyDescent="0.45">
      <c r="O145" s="1970"/>
    </row>
    <row r="146" spans="15:15" x14ac:dyDescent="0.45">
      <c r="O146" s="1970"/>
    </row>
    <row r="147" spans="15:15" x14ac:dyDescent="0.45">
      <c r="O147" s="1970"/>
    </row>
    <row r="148" spans="15:15" x14ac:dyDescent="0.45">
      <c r="O148" s="1970"/>
    </row>
    <row r="149" spans="15:15" x14ac:dyDescent="0.45">
      <c r="O149" s="1970"/>
    </row>
    <row r="150" spans="15:15" x14ac:dyDescent="0.45">
      <c r="O150" s="1970"/>
    </row>
    <row r="151" spans="15:15" x14ac:dyDescent="0.45">
      <c r="O151" s="1970"/>
    </row>
    <row r="152" spans="15:15" x14ac:dyDescent="0.45">
      <c r="O152" s="1970"/>
    </row>
    <row r="153" spans="15:15" x14ac:dyDescent="0.45">
      <c r="O153" s="1970"/>
    </row>
    <row r="154" spans="15:15" x14ac:dyDescent="0.45">
      <c r="O154" s="1970"/>
    </row>
    <row r="155" spans="15:15" x14ac:dyDescent="0.45">
      <c r="O155" s="1970"/>
    </row>
    <row r="156" spans="15:15" x14ac:dyDescent="0.45">
      <c r="O156" s="1970"/>
    </row>
    <row r="157" spans="15:15" x14ac:dyDescent="0.45">
      <c r="O157" s="1970"/>
    </row>
    <row r="158" spans="15:15" x14ac:dyDescent="0.45">
      <c r="O158" s="1970"/>
    </row>
    <row r="159" spans="15:15" x14ac:dyDescent="0.45">
      <c r="O159" s="1970"/>
    </row>
    <row r="160" spans="15:15" x14ac:dyDescent="0.45">
      <c r="O160" s="1970"/>
    </row>
    <row r="161" spans="15:15" x14ac:dyDescent="0.45">
      <c r="O161" s="1970"/>
    </row>
    <row r="162" spans="15:15" x14ac:dyDescent="0.45">
      <c r="O162" s="1970"/>
    </row>
    <row r="163" spans="15:15" x14ac:dyDescent="0.45">
      <c r="O163" s="1970"/>
    </row>
    <row r="164" spans="15:15" x14ac:dyDescent="0.45">
      <c r="O164" s="1970"/>
    </row>
    <row r="165" spans="15:15" x14ac:dyDescent="0.45">
      <c r="O165" s="1970"/>
    </row>
  </sheetData>
  <mergeCells count="1">
    <mergeCell ref="A1:AB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74"/>
  <sheetViews>
    <sheetView showGridLines="0" zoomScale="90" zoomScaleNormal="90" workbookViewId="0">
      <pane xSplit="1" ySplit="2" topLeftCell="B3" activePane="bottomRight" state="frozen"/>
      <selection sqref="A1:AB1"/>
      <selection pane="topRight" sqref="A1:AB1"/>
      <selection pane="bottomLeft" sqref="A1:AB1"/>
      <selection pane="bottomRight" sqref="A1:AB1"/>
    </sheetView>
  </sheetViews>
  <sheetFormatPr defaultColWidth="8.86328125" defaultRowHeight="13.15" x14ac:dyDescent="0.45"/>
  <cols>
    <col min="1" max="1" width="43.86328125" style="1980" customWidth="1"/>
    <col min="2" max="2" width="8.86328125" style="1972"/>
    <col min="3" max="3" width="11.796875" style="1972" customWidth="1"/>
    <col min="4" max="4" width="10.796875" style="1972" customWidth="1"/>
    <col min="5" max="5" width="14" style="1972" customWidth="1"/>
    <col min="6" max="6" width="12.6640625" style="1972" customWidth="1"/>
    <col min="7" max="7" width="11.33203125" style="1972" customWidth="1"/>
    <col min="8" max="8" width="11.19921875" style="1972" customWidth="1"/>
    <col min="9" max="9" width="12.1328125" style="1972" customWidth="1"/>
    <col min="10" max="10" width="12.6640625" style="1972" customWidth="1"/>
    <col min="11" max="11" width="11.46484375" style="1972" customWidth="1"/>
    <col min="12" max="12" width="11" style="1972" customWidth="1"/>
    <col min="13" max="13" width="10.46484375" style="1972" customWidth="1"/>
    <col min="14" max="14" width="10.33203125" style="1972" customWidth="1"/>
    <col min="15" max="15" width="10.46484375" style="1972" customWidth="1"/>
    <col min="16" max="16" width="10.19921875" style="1972" customWidth="1"/>
    <col min="17" max="17" width="9.86328125" style="1972" customWidth="1"/>
    <col min="18" max="18" width="10.1328125" style="1972" customWidth="1"/>
    <col min="19" max="19" width="10.46484375" style="1972" customWidth="1"/>
    <col min="20" max="20" width="10" style="1972" customWidth="1"/>
    <col min="21" max="21" width="10.46484375" style="1972" customWidth="1"/>
    <col min="22" max="22" width="9.86328125" style="1972" customWidth="1"/>
    <col min="23" max="27" width="10.33203125" style="1972" customWidth="1"/>
    <col min="28" max="28" width="12.19921875" style="1972" customWidth="1"/>
    <col min="29" max="16384" width="8.86328125" style="1972"/>
  </cols>
  <sheetData>
    <row r="1" spans="1:29" ht="18" x14ac:dyDescent="0.45">
      <c r="A1" s="2173" t="s">
        <v>3582</v>
      </c>
      <c r="B1" s="2174"/>
      <c r="C1" s="2174"/>
      <c r="D1" s="2174"/>
      <c r="E1" s="2174"/>
      <c r="F1" s="2174"/>
      <c r="G1" s="2174"/>
      <c r="H1" s="2174"/>
      <c r="I1" s="2174"/>
      <c r="J1" s="2174"/>
      <c r="K1" s="2174"/>
      <c r="L1" s="2174"/>
      <c r="M1" s="2174"/>
      <c r="N1" s="2174"/>
      <c r="O1" s="2174"/>
      <c r="P1" s="2174"/>
      <c r="Q1" s="2174"/>
      <c r="R1" s="2174"/>
      <c r="S1" s="2174"/>
      <c r="T1" s="2174"/>
      <c r="U1" s="2174"/>
      <c r="V1" s="2174"/>
      <c r="W1" s="2174"/>
      <c r="X1" s="2174"/>
      <c r="Y1" s="2174"/>
      <c r="Z1" s="2174"/>
      <c r="AA1" s="2174"/>
      <c r="AB1" s="2175"/>
    </row>
    <row r="2" spans="1:29" s="24" customFormat="1" ht="64.8" customHeight="1" x14ac:dyDescent="0.45">
      <c r="A2" s="34"/>
      <c r="B2" s="25"/>
      <c r="C2" s="37" t="s">
        <v>1162</v>
      </c>
      <c r="D2" s="37" t="s">
        <v>1163</v>
      </c>
      <c r="E2" s="37" t="s">
        <v>1164</v>
      </c>
      <c r="F2" s="37" t="s">
        <v>1165</v>
      </c>
      <c r="G2" s="37" t="s">
        <v>1166</v>
      </c>
      <c r="H2" s="37" t="s">
        <v>1167</v>
      </c>
      <c r="I2" s="37" t="s">
        <v>1168</v>
      </c>
      <c r="J2" s="37" t="s">
        <v>1169</v>
      </c>
      <c r="K2" s="25" t="s">
        <v>1140</v>
      </c>
      <c r="L2" s="25" t="s">
        <v>1152</v>
      </c>
      <c r="M2" s="37" t="s">
        <v>1153</v>
      </c>
      <c r="N2" s="37" t="s">
        <v>1156</v>
      </c>
      <c r="O2" s="37" t="s">
        <v>1157</v>
      </c>
      <c r="P2" s="37" t="s">
        <v>3399</v>
      </c>
      <c r="Q2" s="37" t="s">
        <v>1154</v>
      </c>
      <c r="R2" s="37" t="s">
        <v>1155</v>
      </c>
      <c r="S2" s="37" t="s">
        <v>1159</v>
      </c>
      <c r="T2" s="37" t="s">
        <v>1160</v>
      </c>
      <c r="U2" s="37" t="s">
        <v>3400</v>
      </c>
      <c r="V2" s="37" t="s">
        <v>3401</v>
      </c>
      <c r="W2" s="1584" t="s">
        <v>3557</v>
      </c>
      <c r="X2" s="25" t="s">
        <v>1143</v>
      </c>
      <c r="Y2" s="25" t="s">
        <v>1142</v>
      </c>
      <c r="Z2" s="25" t="s">
        <v>3442</v>
      </c>
      <c r="AA2" s="25" t="s">
        <v>3443</v>
      </c>
      <c r="AB2" s="37" t="s">
        <v>1141</v>
      </c>
    </row>
    <row r="3" spans="1:29" x14ac:dyDescent="0.45">
      <c r="A3" s="34" t="s">
        <v>1177</v>
      </c>
      <c r="B3" s="1959"/>
      <c r="C3" s="1959"/>
      <c r="D3" s="1959"/>
      <c r="E3" s="1959"/>
      <c r="F3" s="1959"/>
      <c r="G3" s="1959"/>
      <c r="H3" s="1959"/>
      <c r="I3" s="1959"/>
      <c r="J3" s="1959"/>
      <c r="K3" s="1959"/>
      <c r="L3" s="1959"/>
      <c r="M3" s="1959"/>
      <c r="N3" s="1959"/>
      <c r="O3" s="1959"/>
      <c r="P3" s="1959"/>
      <c r="Q3" s="1959"/>
      <c r="R3" s="1959"/>
      <c r="S3" s="1959"/>
      <c r="T3" s="1959"/>
      <c r="U3" s="1959"/>
      <c r="V3" s="1959"/>
      <c r="W3" s="1960"/>
      <c r="X3" s="1959"/>
      <c r="Y3" s="1959"/>
      <c r="Z3" s="1959"/>
      <c r="AA3" s="1959"/>
      <c r="AB3" s="1960"/>
    </row>
    <row r="4" spans="1:29" s="1973" customFormat="1" ht="39.4" x14ac:dyDescent="0.45">
      <c r="A4" s="34" t="s">
        <v>3397</v>
      </c>
      <c r="B4" s="1959"/>
      <c r="C4" s="1959" t="s">
        <v>3403</v>
      </c>
      <c r="D4" s="1959" t="s">
        <v>3403</v>
      </c>
      <c r="E4" s="1959" t="s">
        <v>3403</v>
      </c>
      <c r="F4" s="1959" t="s">
        <v>3403</v>
      </c>
      <c r="G4" s="1959" t="s">
        <v>3403</v>
      </c>
      <c r="H4" s="1959" t="s">
        <v>3403</v>
      </c>
      <c r="I4" s="1959" t="s">
        <v>3403</v>
      </c>
      <c r="J4" s="1959" t="s">
        <v>3403</v>
      </c>
      <c r="K4" s="1959" t="s">
        <v>3403</v>
      </c>
      <c r="L4" s="1959" t="s">
        <v>3403</v>
      </c>
      <c r="M4" s="1959" t="s">
        <v>3403</v>
      </c>
      <c r="N4" s="1959" t="s">
        <v>3403</v>
      </c>
      <c r="O4" s="1959" t="s">
        <v>3403</v>
      </c>
      <c r="P4" s="1959" t="s">
        <v>3403</v>
      </c>
      <c r="Q4" s="1959" t="s">
        <v>3403</v>
      </c>
      <c r="R4" s="1959" t="s">
        <v>3403</v>
      </c>
      <c r="S4" s="1959" t="s">
        <v>3403</v>
      </c>
      <c r="T4" s="1959" t="s">
        <v>3403</v>
      </c>
      <c r="U4" s="1959" t="s">
        <v>3403</v>
      </c>
      <c r="V4" s="1959" t="s">
        <v>3403</v>
      </c>
      <c r="W4" s="1960" t="s">
        <v>3403</v>
      </c>
      <c r="X4" s="1959" t="s">
        <v>3403</v>
      </c>
      <c r="Y4" s="1959" t="s">
        <v>3403</v>
      </c>
      <c r="Z4" s="1959" t="s">
        <v>3403</v>
      </c>
      <c r="AA4" s="1959" t="s">
        <v>3403</v>
      </c>
      <c r="AB4" s="1960" t="s">
        <v>3403</v>
      </c>
    </row>
    <row r="5" spans="1:29" x14ac:dyDescent="0.45">
      <c r="A5" s="34" t="s">
        <v>1146</v>
      </c>
      <c r="B5" s="1959"/>
      <c r="C5" s="1959"/>
      <c r="D5" s="1959"/>
      <c r="E5" s="1959"/>
      <c r="F5" s="1959"/>
      <c r="G5" s="1959"/>
      <c r="H5" s="1959"/>
      <c r="I5" s="1959"/>
      <c r="J5" s="1959"/>
      <c r="K5" s="1959"/>
      <c r="L5" s="1959"/>
      <c r="M5" s="1959"/>
      <c r="N5" s="1959"/>
      <c r="O5" s="1959"/>
      <c r="P5" s="1959"/>
      <c r="Q5" s="1959"/>
      <c r="R5" s="1959"/>
      <c r="S5" s="1959"/>
      <c r="T5" s="1959"/>
      <c r="U5" s="1959"/>
      <c r="V5" s="1959"/>
      <c r="W5" s="1960"/>
      <c r="X5" s="1959"/>
      <c r="Y5" s="1959"/>
      <c r="Z5" s="1959"/>
      <c r="AA5" s="1959"/>
      <c r="AB5" s="1960"/>
      <c r="AC5" s="1959"/>
    </row>
    <row r="6" spans="1:29" x14ac:dyDescent="0.45">
      <c r="A6" s="1959" t="s">
        <v>1073</v>
      </c>
      <c r="B6" s="1959"/>
      <c r="C6" s="27"/>
      <c r="D6" s="27"/>
      <c r="E6" s="27"/>
      <c r="F6" s="27"/>
      <c r="G6" s="27"/>
      <c r="H6" s="27"/>
      <c r="I6" s="27"/>
      <c r="J6" s="27"/>
      <c r="K6" s="1961"/>
      <c r="L6" s="1959"/>
      <c r="M6" s="1959"/>
      <c r="N6" s="1959"/>
      <c r="O6" s="1959"/>
      <c r="P6" s="1959"/>
      <c r="Q6" s="1959"/>
      <c r="R6" s="1959"/>
      <c r="S6" s="1959"/>
      <c r="T6" s="1959"/>
      <c r="U6" s="1959"/>
      <c r="V6" s="1959"/>
      <c r="W6" s="1960"/>
      <c r="X6" s="1961"/>
      <c r="Y6" s="1959"/>
      <c r="Z6" s="1961"/>
      <c r="AA6" s="1959"/>
      <c r="AB6" s="1960"/>
    </row>
    <row r="7" spans="1:29" s="1973" customFormat="1" ht="20" customHeight="1" x14ac:dyDescent="0.45">
      <c r="A7" s="1401" t="s">
        <v>125</v>
      </c>
      <c r="B7" s="1959"/>
      <c r="C7" s="2176" t="s">
        <v>3404</v>
      </c>
      <c r="D7" s="2176" t="s">
        <v>342</v>
      </c>
      <c r="E7" s="2176" t="s">
        <v>3404</v>
      </c>
      <c r="F7" s="2176"/>
      <c r="G7" s="2176" t="s">
        <v>3404</v>
      </c>
      <c r="H7" s="2176"/>
      <c r="I7" s="2176" t="s">
        <v>3404</v>
      </c>
      <c r="J7" s="2176"/>
      <c r="K7" s="2178" t="s">
        <v>3405</v>
      </c>
      <c r="L7" s="2176"/>
      <c r="M7" s="2176" t="s">
        <v>3406</v>
      </c>
      <c r="N7" s="2176" t="s">
        <v>3406</v>
      </c>
      <c r="O7" s="2176" t="s">
        <v>3406</v>
      </c>
      <c r="P7" s="2176" t="s">
        <v>3406</v>
      </c>
      <c r="Q7" s="2178"/>
      <c r="R7" s="2178"/>
      <c r="S7" s="2178"/>
      <c r="T7" s="2178"/>
      <c r="U7" s="2176" t="s">
        <v>3406</v>
      </c>
      <c r="V7" s="2178"/>
      <c r="W7" s="2179"/>
      <c r="X7" s="2176" t="s">
        <v>3407</v>
      </c>
      <c r="Y7" s="2176"/>
      <c r="Z7" s="2176" t="s">
        <v>3407</v>
      </c>
      <c r="AA7" s="2176"/>
      <c r="AB7" s="2177"/>
    </row>
    <row r="8" spans="1:29" s="1973" customFormat="1" x14ac:dyDescent="0.45">
      <c r="A8" s="33" t="s">
        <v>126</v>
      </c>
      <c r="B8" s="1959"/>
      <c r="C8" s="2176"/>
      <c r="D8" s="2176"/>
      <c r="E8" s="2176"/>
      <c r="F8" s="2176"/>
      <c r="G8" s="2176"/>
      <c r="H8" s="2176"/>
      <c r="I8" s="2176"/>
      <c r="J8" s="2176"/>
      <c r="K8" s="2176"/>
      <c r="L8" s="2176"/>
      <c r="M8" s="2176"/>
      <c r="N8" s="2176"/>
      <c r="O8" s="2176"/>
      <c r="P8" s="2176"/>
      <c r="Q8" s="2178"/>
      <c r="R8" s="2178"/>
      <c r="S8" s="2178"/>
      <c r="T8" s="2178"/>
      <c r="U8" s="2176"/>
      <c r="V8" s="2178"/>
      <c r="W8" s="2179"/>
      <c r="X8" s="2176"/>
      <c r="Y8" s="2176"/>
      <c r="Z8" s="2176"/>
      <c r="AA8" s="2176"/>
      <c r="AB8" s="2177"/>
    </row>
    <row r="9" spans="1:29" s="1973" customFormat="1" ht="39.4" x14ac:dyDescent="0.45">
      <c r="A9" s="1943" t="s">
        <v>196</v>
      </c>
      <c r="B9" s="1960"/>
      <c r="C9" s="1578"/>
      <c r="D9" s="1578"/>
      <c r="E9" s="1578"/>
      <c r="F9" s="1578"/>
      <c r="G9" s="1578"/>
      <c r="H9" s="1578"/>
      <c r="I9" s="1578"/>
      <c r="J9" s="1578"/>
      <c r="K9" s="1578" t="s">
        <v>3546</v>
      </c>
      <c r="L9" s="1578"/>
      <c r="M9" s="1578" t="s">
        <v>3547</v>
      </c>
      <c r="N9" s="1578" t="s">
        <v>3547</v>
      </c>
      <c r="O9" s="1578" t="s">
        <v>3547</v>
      </c>
      <c r="P9" s="1578" t="s">
        <v>3548</v>
      </c>
      <c r="Q9" s="1962"/>
      <c r="R9" s="1962"/>
      <c r="S9" s="1962"/>
      <c r="T9" s="1962"/>
      <c r="U9" s="1578" t="s">
        <v>3549</v>
      </c>
      <c r="V9" s="1962"/>
      <c r="W9" s="1963"/>
      <c r="X9" s="1578"/>
      <c r="Y9" s="1578"/>
      <c r="Z9" s="1578"/>
      <c r="AA9" s="1578"/>
      <c r="AB9" s="1578"/>
    </row>
    <row r="10" spans="1:29" ht="36" customHeight="1" x14ac:dyDescent="0.45">
      <c r="A10" s="1401" t="s">
        <v>1147</v>
      </c>
      <c r="B10" s="1959"/>
      <c r="C10" s="1959"/>
      <c r="D10" s="1959" t="s">
        <v>3409</v>
      </c>
      <c r="E10" s="1959"/>
      <c r="F10" s="1959" t="s">
        <v>3409</v>
      </c>
      <c r="G10" s="1959"/>
      <c r="H10" s="1959" t="s">
        <v>3409</v>
      </c>
      <c r="I10" s="1959"/>
      <c r="J10" s="1959" t="s">
        <v>3409</v>
      </c>
      <c r="K10" s="1959"/>
      <c r="L10" s="1959"/>
      <c r="M10" s="1959"/>
      <c r="N10" s="1959"/>
      <c r="O10" s="1959"/>
      <c r="P10" s="1959"/>
      <c r="Q10" s="1961" t="s">
        <v>3408</v>
      </c>
      <c r="R10" s="1961" t="s">
        <v>3408</v>
      </c>
      <c r="S10" s="1961" t="s">
        <v>3408</v>
      </c>
      <c r="T10" s="1961" t="s">
        <v>3408</v>
      </c>
      <c r="U10" s="1961"/>
      <c r="V10" s="1961" t="s">
        <v>3408</v>
      </c>
      <c r="W10" s="1963" t="s">
        <v>3408</v>
      </c>
      <c r="X10" s="1959"/>
      <c r="Y10" s="1960" t="s">
        <v>3409</v>
      </c>
      <c r="Z10" s="1960"/>
      <c r="AA10" s="1960" t="s">
        <v>3409</v>
      </c>
      <c r="AB10" s="1960" t="s">
        <v>3552</v>
      </c>
    </row>
    <row r="11" spans="1:29" x14ac:dyDescent="0.45">
      <c r="A11" s="1401" t="s">
        <v>1148</v>
      </c>
      <c r="B11" s="1959"/>
      <c r="C11" s="1959"/>
      <c r="D11" s="1959"/>
      <c r="E11" s="1959"/>
      <c r="F11" s="1959"/>
      <c r="G11" s="1959"/>
      <c r="H11" s="1959"/>
      <c r="I11" s="1959"/>
      <c r="J11" s="1959"/>
      <c r="K11" s="1959"/>
      <c r="L11" s="1959"/>
      <c r="M11" s="1959"/>
      <c r="N11" s="1959"/>
      <c r="O11" s="1959"/>
      <c r="P11" s="1959"/>
      <c r="Q11" s="1961"/>
      <c r="R11" s="1959"/>
      <c r="S11" s="1959"/>
      <c r="T11" s="1959"/>
      <c r="U11" s="1959"/>
      <c r="V11" s="1959"/>
      <c r="W11" s="1960"/>
      <c r="X11" s="1959"/>
      <c r="Y11" s="1959"/>
      <c r="Z11" s="1959"/>
      <c r="AA11" s="1959"/>
      <c r="AB11" s="1960"/>
    </row>
    <row r="12" spans="1:29" x14ac:dyDescent="0.45">
      <c r="A12" s="1401" t="s">
        <v>25</v>
      </c>
      <c r="B12" s="1959"/>
      <c r="C12" s="1959"/>
      <c r="D12" s="1959"/>
      <c r="E12" s="1959"/>
      <c r="F12" s="1959"/>
      <c r="G12" s="1959"/>
      <c r="H12" s="1959"/>
      <c r="I12" s="1959"/>
      <c r="J12" s="1959"/>
      <c r="K12" s="1959"/>
      <c r="L12" s="1959"/>
      <c r="M12" s="1959"/>
      <c r="N12" s="1959"/>
      <c r="O12" s="1959"/>
      <c r="P12" s="1959"/>
      <c r="Q12" s="1959"/>
      <c r="R12" s="1959"/>
      <c r="S12" s="1959"/>
      <c r="T12" s="1959"/>
      <c r="U12" s="1959"/>
      <c r="V12" s="1959"/>
      <c r="W12" s="1960"/>
      <c r="X12" s="1959"/>
      <c r="Y12" s="1959"/>
      <c r="Z12" s="1959"/>
      <c r="AA12" s="1959"/>
      <c r="AB12" s="1960"/>
    </row>
    <row r="13" spans="1:29" ht="36.6" customHeight="1" x14ac:dyDescent="0.45">
      <c r="A13" s="1401" t="s">
        <v>0</v>
      </c>
      <c r="B13" s="1959"/>
      <c r="C13" s="1959" t="s">
        <v>3411</v>
      </c>
      <c r="D13" s="1959" t="s">
        <v>3411</v>
      </c>
      <c r="E13" s="1959" t="s">
        <v>3411</v>
      </c>
      <c r="F13" s="1959" t="s">
        <v>3411</v>
      </c>
      <c r="G13" s="1959" t="s">
        <v>3411</v>
      </c>
      <c r="H13" s="1959" t="s">
        <v>3411</v>
      </c>
      <c r="I13" s="1959" t="s">
        <v>3411</v>
      </c>
      <c r="J13" s="1959" t="s">
        <v>3411</v>
      </c>
      <c r="K13" s="1959" t="s">
        <v>3412</v>
      </c>
      <c r="L13" s="1959" t="s">
        <v>3413</v>
      </c>
      <c r="M13" s="1961" t="s">
        <v>3414</v>
      </c>
      <c r="N13" s="1961" t="s">
        <v>3414</v>
      </c>
      <c r="O13" s="1961" t="s">
        <v>3414</v>
      </c>
      <c r="P13" s="1961" t="s">
        <v>3414</v>
      </c>
      <c r="Q13" s="1961" t="s">
        <v>3414</v>
      </c>
      <c r="R13" s="1961" t="s">
        <v>3414</v>
      </c>
      <c r="S13" s="1961" t="s">
        <v>3414</v>
      </c>
      <c r="T13" s="1961" t="s">
        <v>3414</v>
      </c>
      <c r="U13" s="1961" t="s">
        <v>3414</v>
      </c>
      <c r="V13" s="1961" t="s">
        <v>3414</v>
      </c>
      <c r="W13" s="1963" t="s">
        <v>3414</v>
      </c>
      <c r="X13" s="1959" t="s">
        <v>3410</v>
      </c>
      <c r="Y13" s="1959" t="s">
        <v>3410</v>
      </c>
      <c r="Z13" s="1959" t="s">
        <v>3410</v>
      </c>
      <c r="AA13" s="1959" t="s">
        <v>3410</v>
      </c>
      <c r="AB13" s="1960" t="s">
        <v>3553</v>
      </c>
    </row>
    <row r="14" spans="1:29" ht="26.25" x14ac:dyDescent="0.45">
      <c r="A14" s="1401" t="s">
        <v>2</v>
      </c>
      <c r="B14" s="1959"/>
      <c r="C14" s="1959"/>
      <c r="D14" s="1959"/>
      <c r="E14" s="1959"/>
      <c r="F14" s="1959"/>
      <c r="G14" s="1959"/>
      <c r="H14" s="1959"/>
      <c r="I14" s="1959"/>
      <c r="J14" s="1959"/>
      <c r="K14" s="1959"/>
      <c r="L14" s="1959"/>
      <c r="M14" s="1959"/>
      <c r="N14" s="1959"/>
      <c r="O14" s="1959"/>
      <c r="P14" s="1959"/>
      <c r="Q14" s="1959"/>
      <c r="R14" s="1959"/>
      <c r="S14" s="1959"/>
      <c r="T14" s="1959"/>
      <c r="U14" s="1959"/>
      <c r="V14" s="1959"/>
      <c r="W14" s="1960"/>
      <c r="X14" s="1959"/>
      <c r="Y14" s="1959"/>
      <c r="Z14" s="1959"/>
      <c r="AA14" s="1959"/>
      <c r="AB14" s="1960"/>
    </row>
    <row r="15" spans="1:29" ht="44.45" customHeight="1" x14ac:dyDescent="0.45">
      <c r="A15" s="1401" t="s">
        <v>12</v>
      </c>
      <c r="B15" s="1959"/>
      <c r="C15" s="1959" t="s">
        <v>3426</v>
      </c>
      <c r="D15" s="1959" t="s">
        <v>3426</v>
      </c>
      <c r="E15" s="1959" t="s">
        <v>3426</v>
      </c>
      <c r="F15" s="1959" t="s">
        <v>3426</v>
      </c>
      <c r="G15" s="1959" t="s">
        <v>3426</v>
      </c>
      <c r="H15" s="1959" t="s">
        <v>3426</v>
      </c>
      <c r="I15" s="1959" t="s">
        <v>3426</v>
      </c>
      <c r="J15" s="1959" t="s">
        <v>3426</v>
      </c>
      <c r="K15" s="1959" t="s">
        <v>3426</v>
      </c>
      <c r="L15" s="1959" t="s">
        <v>3426</v>
      </c>
      <c r="M15" s="1959" t="s">
        <v>3415</v>
      </c>
      <c r="N15" s="1959" t="s">
        <v>3415</v>
      </c>
      <c r="O15" s="1959" t="s">
        <v>3415</v>
      </c>
      <c r="P15" s="1959" t="s">
        <v>3415</v>
      </c>
      <c r="Q15" s="1959" t="s">
        <v>3415</v>
      </c>
      <c r="R15" s="1959" t="s">
        <v>3415</v>
      </c>
      <c r="S15" s="1959" t="s">
        <v>3415</v>
      </c>
      <c r="T15" s="1959" t="s">
        <v>3415</v>
      </c>
      <c r="U15" s="1959" t="s">
        <v>3415</v>
      </c>
      <c r="V15" s="1959" t="s">
        <v>3415</v>
      </c>
      <c r="W15" s="1960" t="s">
        <v>3415</v>
      </c>
      <c r="X15" s="1959" t="s">
        <v>3426</v>
      </c>
      <c r="Y15" s="1959" t="s">
        <v>3426</v>
      </c>
      <c r="Z15" s="1959" t="s">
        <v>3426</v>
      </c>
      <c r="AA15" s="1959" t="s">
        <v>3426</v>
      </c>
      <c r="AB15" s="1960" t="s">
        <v>3554</v>
      </c>
    </row>
    <row r="16" spans="1:29" s="1973" customFormat="1" ht="38.450000000000003" customHeight="1" x14ac:dyDescent="0.45">
      <c r="A16" s="1401" t="s">
        <v>8</v>
      </c>
      <c r="B16" s="1959"/>
      <c r="C16" s="1964" t="s">
        <v>3416</v>
      </c>
      <c r="D16" s="1964" t="s">
        <v>3420</v>
      </c>
      <c r="E16" s="1964" t="s">
        <v>3421</v>
      </c>
      <c r="F16" s="1964" t="s">
        <v>3422</v>
      </c>
      <c r="G16" s="1964" t="s">
        <v>3416</v>
      </c>
      <c r="H16" s="1964" t="s">
        <v>3420</v>
      </c>
      <c r="I16" s="1964" t="s">
        <v>3421</v>
      </c>
      <c r="J16" s="1964" t="s">
        <v>3422</v>
      </c>
      <c r="K16" s="1964" t="s">
        <v>3423</v>
      </c>
      <c r="L16" s="1964" t="s">
        <v>3424</v>
      </c>
      <c r="M16" s="1959" t="s">
        <v>3417</v>
      </c>
      <c r="N16" s="1959" t="s">
        <v>3417</v>
      </c>
      <c r="O16" s="1959" t="s">
        <v>3417</v>
      </c>
      <c r="P16" s="1959" t="s">
        <v>3417</v>
      </c>
      <c r="Q16" s="1959" t="s">
        <v>3418</v>
      </c>
      <c r="R16" s="1959" t="s">
        <v>3418</v>
      </c>
      <c r="S16" s="1959" t="s">
        <v>3418</v>
      </c>
      <c r="T16" s="1959" t="s">
        <v>3418</v>
      </c>
      <c r="U16" s="1959" t="s">
        <v>3417</v>
      </c>
      <c r="V16" s="1959" t="s">
        <v>3419</v>
      </c>
      <c r="W16" s="1960" t="s">
        <v>3418</v>
      </c>
      <c r="X16" s="1965" t="s">
        <v>3439</v>
      </c>
      <c r="Y16" s="1965" t="s">
        <v>3439</v>
      </c>
      <c r="Z16" s="1965" t="s">
        <v>3439</v>
      </c>
      <c r="AA16" s="1965" t="s">
        <v>3439</v>
      </c>
      <c r="AB16" s="1960" t="s">
        <v>3552</v>
      </c>
    </row>
    <row r="17" spans="1:28" x14ac:dyDescent="0.45">
      <c r="A17" s="1945" t="s">
        <v>50</v>
      </c>
      <c r="B17" s="1959"/>
      <c r="C17" s="1959"/>
      <c r="D17" s="1959"/>
      <c r="E17" s="1959"/>
      <c r="F17" s="1959"/>
      <c r="G17" s="1959"/>
      <c r="H17" s="1959"/>
      <c r="I17" s="1959"/>
      <c r="J17" s="1959"/>
      <c r="K17" s="1959"/>
      <c r="L17" s="1959"/>
      <c r="M17" s="1959"/>
      <c r="N17" s="1959"/>
      <c r="O17" s="1959"/>
      <c r="P17" s="1959"/>
      <c r="Q17" s="1959"/>
      <c r="R17" s="1959"/>
      <c r="S17" s="1959"/>
      <c r="T17" s="1959"/>
      <c r="U17" s="1959"/>
      <c r="V17" s="1959"/>
      <c r="W17" s="1960"/>
      <c r="X17" s="1959"/>
      <c r="Y17" s="1959"/>
      <c r="Z17" s="1959"/>
      <c r="AA17" s="1959"/>
      <c r="AB17" s="1960"/>
    </row>
    <row r="18" spans="1:28" ht="18.600000000000001" customHeight="1" x14ac:dyDescent="0.45">
      <c r="A18" s="1462" t="s">
        <v>51</v>
      </c>
      <c r="B18" s="1959"/>
      <c r="C18" s="1959" t="s">
        <v>3561</v>
      </c>
      <c r="D18" s="1959" t="s">
        <v>3561</v>
      </c>
      <c r="E18" s="1959" t="s">
        <v>3561</v>
      </c>
      <c r="F18" s="1959" t="s">
        <v>3561</v>
      </c>
      <c r="G18" s="1959" t="s">
        <v>3561</v>
      </c>
      <c r="H18" s="1959" t="s">
        <v>3561</v>
      </c>
      <c r="I18" s="1959" t="s">
        <v>3561</v>
      </c>
      <c r="J18" s="1959" t="s">
        <v>3561</v>
      </c>
      <c r="K18" s="1959" t="s">
        <v>3561</v>
      </c>
      <c r="L18" s="1959" t="s">
        <v>3561</v>
      </c>
      <c r="M18" s="1959" t="s">
        <v>3561</v>
      </c>
      <c r="N18" s="1959" t="s">
        <v>3561</v>
      </c>
      <c r="O18" s="1959" t="s">
        <v>3561</v>
      </c>
      <c r="P18" s="1959" t="s">
        <v>3561</v>
      </c>
      <c r="Q18" s="1959" t="s">
        <v>3561</v>
      </c>
      <c r="R18" s="1959" t="s">
        <v>3561</v>
      </c>
      <c r="S18" s="1959" t="s">
        <v>3561</v>
      </c>
      <c r="T18" s="1959" t="s">
        <v>3561</v>
      </c>
      <c r="U18" s="1959" t="s">
        <v>3561</v>
      </c>
      <c r="V18" s="1959" t="s">
        <v>3561</v>
      </c>
      <c r="W18" s="1959" t="s">
        <v>3561</v>
      </c>
      <c r="X18" s="1959" t="s">
        <v>3561</v>
      </c>
      <c r="Y18" s="1959" t="s">
        <v>3561</v>
      </c>
      <c r="Z18" s="1959" t="s">
        <v>3561</v>
      </c>
      <c r="AA18" s="1959" t="s">
        <v>3561</v>
      </c>
      <c r="AB18" s="1959" t="s">
        <v>3570</v>
      </c>
    </row>
    <row r="19" spans="1:28" ht="21.6" customHeight="1" x14ac:dyDescent="0.45">
      <c r="A19" s="1462" t="s">
        <v>52</v>
      </c>
      <c r="B19" s="1959"/>
      <c r="C19" s="1959" t="s">
        <v>3562</v>
      </c>
      <c r="D19" s="1959" t="s">
        <v>3562</v>
      </c>
      <c r="E19" s="1959" t="s">
        <v>3562</v>
      </c>
      <c r="F19" s="1959" t="s">
        <v>3562</v>
      </c>
      <c r="G19" s="1959" t="s">
        <v>3562</v>
      </c>
      <c r="H19" s="1959" t="s">
        <v>3562</v>
      </c>
      <c r="I19" s="1959" t="s">
        <v>3562</v>
      </c>
      <c r="J19" s="1959" t="s">
        <v>3562</v>
      </c>
      <c r="K19" s="1959" t="s">
        <v>3562</v>
      </c>
      <c r="L19" s="1959" t="s">
        <v>3562</v>
      </c>
      <c r="M19" s="1959" t="s">
        <v>3562</v>
      </c>
      <c r="N19" s="1959" t="s">
        <v>3562</v>
      </c>
      <c r="O19" s="1959" t="s">
        <v>3562</v>
      </c>
      <c r="P19" s="1959" t="s">
        <v>3562</v>
      </c>
      <c r="Q19" s="1959" t="s">
        <v>3562</v>
      </c>
      <c r="R19" s="1959" t="s">
        <v>3562</v>
      </c>
      <c r="S19" s="1959" t="s">
        <v>3562</v>
      </c>
      <c r="T19" s="1959" t="s">
        <v>3562</v>
      </c>
      <c r="U19" s="1959" t="s">
        <v>3562</v>
      </c>
      <c r="V19" s="1959" t="s">
        <v>3562</v>
      </c>
      <c r="W19" s="1959" t="s">
        <v>3562</v>
      </c>
      <c r="X19" s="1959" t="s">
        <v>3562</v>
      </c>
      <c r="Y19" s="1959" t="s">
        <v>3562</v>
      </c>
      <c r="Z19" s="1959" t="s">
        <v>3562</v>
      </c>
      <c r="AA19" s="1959" t="s">
        <v>3562</v>
      </c>
      <c r="AB19" s="1959" t="s">
        <v>3571</v>
      </c>
    </row>
    <row r="20" spans="1:28" ht="18" customHeight="1" x14ac:dyDescent="0.45">
      <c r="A20" s="1462" t="s">
        <v>53</v>
      </c>
      <c r="B20" s="1959"/>
      <c r="C20" s="1959" t="s">
        <v>3563</v>
      </c>
      <c r="D20" s="1959" t="s">
        <v>3563</v>
      </c>
      <c r="E20" s="1959" t="s">
        <v>3563</v>
      </c>
      <c r="F20" s="1959" t="s">
        <v>3563</v>
      </c>
      <c r="G20" s="1959" t="s">
        <v>3563</v>
      </c>
      <c r="H20" s="1959" t="s">
        <v>3563</v>
      </c>
      <c r="I20" s="1959" t="s">
        <v>3563</v>
      </c>
      <c r="J20" s="1959" t="s">
        <v>3563</v>
      </c>
      <c r="K20" s="1959" t="s">
        <v>3563</v>
      </c>
      <c r="L20" s="1959" t="s">
        <v>3563</v>
      </c>
      <c r="M20" s="1959" t="s">
        <v>3563</v>
      </c>
      <c r="N20" s="1959" t="s">
        <v>3563</v>
      </c>
      <c r="O20" s="1959" t="s">
        <v>3563</v>
      </c>
      <c r="P20" s="1959" t="s">
        <v>3563</v>
      </c>
      <c r="Q20" s="1959" t="s">
        <v>3563</v>
      </c>
      <c r="R20" s="1959" t="s">
        <v>3563</v>
      </c>
      <c r="S20" s="1959" t="s">
        <v>3563</v>
      </c>
      <c r="T20" s="1959" t="s">
        <v>3563</v>
      </c>
      <c r="U20" s="1959" t="s">
        <v>3563</v>
      </c>
      <c r="V20" s="1959" t="s">
        <v>3563</v>
      </c>
      <c r="W20" s="1959" t="s">
        <v>3563</v>
      </c>
      <c r="X20" s="1959" t="s">
        <v>3563</v>
      </c>
      <c r="Y20" s="1959" t="s">
        <v>3563</v>
      </c>
      <c r="Z20" s="1959" t="s">
        <v>3563</v>
      </c>
      <c r="AA20" s="1959" t="s">
        <v>3571</v>
      </c>
      <c r="AB20" s="1959" t="s">
        <v>3572</v>
      </c>
    </row>
    <row r="21" spans="1:28" ht="21" customHeight="1" x14ac:dyDescent="0.45">
      <c r="A21" s="1462" t="s">
        <v>54</v>
      </c>
      <c r="B21" s="1959"/>
      <c r="C21" s="1959" t="s">
        <v>3564</v>
      </c>
      <c r="D21" s="1959" t="s">
        <v>3564</v>
      </c>
      <c r="E21" s="1959" t="s">
        <v>3564</v>
      </c>
      <c r="F21" s="1959" t="s">
        <v>3564</v>
      </c>
      <c r="G21" s="1959" t="s">
        <v>3564</v>
      </c>
      <c r="H21" s="1959" t="s">
        <v>3564</v>
      </c>
      <c r="I21" s="1959" t="s">
        <v>3564</v>
      </c>
      <c r="J21" s="1959" t="s">
        <v>3564</v>
      </c>
      <c r="K21" s="1959" t="s">
        <v>3564</v>
      </c>
      <c r="L21" s="1959" t="s">
        <v>3564</v>
      </c>
      <c r="M21" s="1959" t="s">
        <v>3564</v>
      </c>
      <c r="N21" s="1959" t="s">
        <v>3564</v>
      </c>
      <c r="O21" s="1959" t="s">
        <v>3564</v>
      </c>
      <c r="P21" s="1959" t="s">
        <v>3564</v>
      </c>
      <c r="Q21" s="1959" t="s">
        <v>3564</v>
      </c>
      <c r="R21" s="1959" t="s">
        <v>3564</v>
      </c>
      <c r="S21" s="1959" t="s">
        <v>3564</v>
      </c>
      <c r="T21" s="1959" t="s">
        <v>3564</v>
      </c>
      <c r="U21" s="1959" t="s">
        <v>3564</v>
      </c>
      <c r="V21" s="1959" t="s">
        <v>3564</v>
      </c>
      <c r="W21" s="1959" t="s">
        <v>3564</v>
      </c>
      <c r="X21" s="1959" t="s">
        <v>3564</v>
      </c>
      <c r="Y21" s="1959" t="s">
        <v>3564</v>
      </c>
      <c r="Z21" s="1959" t="s">
        <v>3564</v>
      </c>
      <c r="AA21" s="1959" t="s">
        <v>3571</v>
      </c>
      <c r="AB21" s="1959" t="s">
        <v>3572</v>
      </c>
    </row>
    <row r="22" spans="1:28" ht="18.600000000000001" customHeight="1" x14ac:dyDescent="0.45">
      <c r="A22" s="1462" t="s">
        <v>55</v>
      </c>
      <c r="B22" s="1959"/>
      <c r="C22" s="1959" t="s">
        <v>3565</v>
      </c>
      <c r="D22" s="1959" t="s">
        <v>3565</v>
      </c>
      <c r="E22" s="1959" t="s">
        <v>3565</v>
      </c>
      <c r="F22" s="1959" t="s">
        <v>3565</v>
      </c>
      <c r="G22" s="1959" t="s">
        <v>3565</v>
      </c>
      <c r="H22" s="1959" t="s">
        <v>3565</v>
      </c>
      <c r="I22" s="1959" t="s">
        <v>3565</v>
      </c>
      <c r="J22" s="1959" t="s">
        <v>3565</v>
      </c>
      <c r="K22" s="1959" t="s">
        <v>3565</v>
      </c>
      <c r="L22" s="1959" t="s">
        <v>3565</v>
      </c>
      <c r="M22" s="1959" t="s">
        <v>3565</v>
      </c>
      <c r="N22" s="1959" t="s">
        <v>3565</v>
      </c>
      <c r="O22" s="1959" t="s">
        <v>3565</v>
      </c>
      <c r="P22" s="1959" t="s">
        <v>3565</v>
      </c>
      <c r="Q22" s="1959" t="s">
        <v>3565</v>
      </c>
      <c r="R22" s="1959" t="s">
        <v>3565</v>
      </c>
      <c r="S22" s="1959" t="s">
        <v>3565</v>
      </c>
      <c r="T22" s="1959" t="s">
        <v>3565</v>
      </c>
      <c r="U22" s="1959" t="s">
        <v>3565</v>
      </c>
      <c r="V22" s="1959" t="s">
        <v>3565</v>
      </c>
      <c r="W22" s="1959" t="s">
        <v>3565</v>
      </c>
      <c r="X22" s="1959" t="s">
        <v>3565</v>
      </c>
      <c r="Y22" s="1959" t="s">
        <v>3565</v>
      </c>
      <c r="Z22" s="1959" t="s">
        <v>3565</v>
      </c>
      <c r="AA22" s="1959" t="s">
        <v>3571</v>
      </c>
      <c r="AB22" s="1959" t="s">
        <v>3572</v>
      </c>
    </row>
    <row r="23" spans="1:28" ht="17.45" customHeight="1" x14ac:dyDescent="0.45">
      <c r="A23" s="1462" t="s">
        <v>56</v>
      </c>
      <c r="B23" s="1959"/>
      <c r="C23" s="1959" t="s">
        <v>3566</v>
      </c>
      <c r="D23" s="1959" t="s">
        <v>3566</v>
      </c>
      <c r="E23" s="1959" t="s">
        <v>3566</v>
      </c>
      <c r="F23" s="1959" t="s">
        <v>3566</v>
      </c>
      <c r="G23" s="1959" t="s">
        <v>3566</v>
      </c>
      <c r="H23" s="1959" t="s">
        <v>3566</v>
      </c>
      <c r="I23" s="1959" t="s">
        <v>3566</v>
      </c>
      <c r="J23" s="1959" t="s">
        <v>3566</v>
      </c>
      <c r="K23" s="1959" t="s">
        <v>3566</v>
      </c>
      <c r="L23" s="1959" t="s">
        <v>3566</v>
      </c>
      <c r="M23" s="1959" t="s">
        <v>3566</v>
      </c>
      <c r="N23" s="1959" t="s">
        <v>3566</v>
      </c>
      <c r="O23" s="1959" t="s">
        <v>3566</v>
      </c>
      <c r="P23" s="1959" t="s">
        <v>3566</v>
      </c>
      <c r="Q23" s="1959" t="s">
        <v>3566</v>
      </c>
      <c r="R23" s="1959" t="s">
        <v>3566</v>
      </c>
      <c r="S23" s="1959" t="s">
        <v>3566</v>
      </c>
      <c r="T23" s="1959" t="s">
        <v>3566</v>
      </c>
      <c r="U23" s="1959" t="s">
        <v>3566</v>
      </c>
      <c r="V23" s="1959" t="s">
        <v>3566</v>
      </c>
      <c r="W23" s="1959" t="s">
        <v>3566</v>
      </c>
      <c r="X23" s="1959" t="s">
        <v>3566</v>
      </c>
      <c r="Y23" s="1959" t="s">
        <v>3566</v>
      </c>
      <c r="Z23" s="1959" t="s">
        <v>3566</v>
      </c>
      <c r="AA23" s="1959" t="s">
        <v>3571</v>
      </c>
      <c r="AB23" s="1959" t="s">
        <v>3572</v>
      </c>
    </row>
    <row r="24" spans="1:28" ht="15.6" customHeight="1" x14ac:dyDescent="0.45">
      <c r="A24" s="1462" t="s">
        <v>57</v>
      </c>
      <c r="B24" s="1959"/>
      <c r="C24" s="1959" t="s">
        <v>3567</v>
      </c>
      <c r="D24" s="1959" t="s">
        <v>3567</v>
      </c>
      <c r="E24" s="1959" t="s">
        <v>3567</v>
      </c>
      <c r="F24" s="1959" t="s">
        <v>3567</v>
      </c>
      <c r="G24" s="1959" t="s">
        <v>3567</v>
      </c>
      <c r="H24" s="1959" t="s">
        <v>3567</v>
      </c>
      <c r="I24" s="1959" t="s">
        <v>3567</v>
      </c>
      <c r="J24" s="1959" t="s">
        <v>3567</v>
      </c>
      <c r="K24" s="1959" t="s">
        <v>3567</v>
      </c>
      <c r="L24" s="1959" t="s">
        <v>3567</v>
      </c>
      <c r="M24" s="1959" t="s">
        <v>3567</v>
      </c>
      <c r="N24" s="1959" t="s">
        <v>3567</v>
      </c>
      <c r="O24" s="1959" t="s">
        <v>3567</v>
      </c>
      <c r="P24" s="1959" t="s">
        <v>3567</v>
      </c>
      <c r="Q24" s="1959" t="s">
        <v>3567</v>
      </c>
      <c r="R24" s="1959" t="s">
        <v>3567</v>
      </c>
      <c r="S24" s="1959" t="s">
        <v>3567</v>
      </c>
      <c r="T24" s="1959" t="s">
        <v>3567</v>
      </c>
      <c r="U24" s="1959" t="s">
        <v>3567</v>
      </c>
      <c r="V24" s="1959" t="s">
        <v>3567</v>
      </c>
      <c r="W24" s="1959" t="s">
        <v>3567</v>
      </c>
      <c r="X24" s="1959" t="s">
        <v>3567</v>
      </c>
      <c r="Y24" s="1959" t="s">
        <v>3567</v>
      </c>
      <c r="Z24" s="1959" t="s">
        <v>3567</v>
      </c>
      <c r="AA24" s="1959" t="s">
        <v>3571</v>
      </c>
      <c r="AB24" s="1959" t="s">
        <v>3572</v>
      </c>
    </row>
    <row r="25" spans="1:28" ht="18" customHeight="1" x14ac:dyDescent="0.45">
      <c r="A25" s="1462" t="s">
        <v>58</v>
      </c>
      <c r="B25" s="1959"/>
      <c r="C25" s="1959" t="s">
        <v>3568</v>
      </c>
      <c r="D25" s="1959" t="s">
        <v>3568</v>
      </c>
      <c r="E25" s="1959" t="s">
        <v>3568</v>
      </c>
      <c r="F25" s="1959" t="s">
        <v>3568</v>
      </c>
      <c r="G25" s="1959" t="s">
        <v>3568</v>
      </c>
      <c r="H25" s="1959" t="s">
        <v>3568</v>
      </c>
      <c r="I25" s="1959" t="s">
        <v>3568</v>
      </c>
      <c r="J25" s="1959" t="s">
        <v>3568</v>
      </c>
      <c r="K25" s="1959" t="s">
        <v>3568</v>
      </c>
      <c r="L25" s="1959" t="s">
        <v>3568</v>
      </c>
      <c r="M25" s="1959" t="s">
        <v>3568</v>
      </c>
      <c r="N25" s="1959" t="s">
        <v>3568</v>
      </c>
      <c r="O25" s="1959" t="s">
        <v>3568</v>
      </c>
      <c r="P25" s="1959" t="s">
        <v>3568</v>
      </c>
      <c r="Q25" s="1959" t="s">
        <v>3568</v>
      </c>
      <c r="R25" s="1959" t="s">
        <v>3568</v>
      </c>
      <c r="S25" s="1959" t="s">
        <v>3568</v>
      </c>
      <c r="T25" s="1959" t="s">
        <v>3568</v>
      </c>
      <c r="U25" s="1959" t="s">
        <v>3568</v>
      </c>
      <c r="V25" s="1959" t="s">
        <v>3568</v>
      </c>
      <c r="W25" s="1959" t="s">
        <v>3568</v>
      </c>
      <c r="X25" s="1959" t="s">
        <v>3568</v>
      </c>
      <c r="Y25" s="1959" t="s">
        <v>3568</v>
      </c>
      <c r="Z25" s="1959" t="s">
        <v>3568</v>
      </c>
      <c r="AA25" s="1959" t="s">
        <v>3571</v>
      </c>
      <c r="AB25" s="1959" t="s">
        <v>3572</v>
      </c>
    </row>
    <row r="26" spans="1:28" ht="18" customHeight="1" x14ac:dyDescent="0.45">
      <c r="A26" s="1462" t="s">
        <v>59</v>
      </c>
      <c r="B26" s="1959"/>
      <c r="C26" s="1959" t="s">
        <v>3569</v>
      </c>
      <c r="D26" s="1959" t="s">
        <v>3569</v>
      </c>
      <c r="E26" s="1959" t="s">
        <v>3569</v>
      </c>
      <c r="F26" s="1959" t="s">
        <v>3569</v>
      </c>
      <c r="G26" s="1959" t="s">
        <v>3569</v>
      </c>
      <c r="H26" s="1959" t="s">
        <v>3569</v>
      </c>
      <c r="I26" s="1959" t="s">
        <v>3569</v>
      </c>
      <c r="J26" s="1959" t="s">
        <v>3569</v>
      </c>
      <c r="K26" s="1959" t="s">
        <v>3569</v>
      </c>
      <c r="L26" s="1959" t="s">
        <v>3569</v>
      </c>
      <c r="M26" s="1959" t="s">
        <v>3569</v>
      </c>
      <c r="N26" s="1959" t="s">
        <v>3569</v>
      </c>
      <c r="O26" s="1959" t="s">
        <v>3569</v>
      </c>
      <c r="P26" s="1959" t="s">
        <v>3569</v>
      </c>
      <c r="Q26" s="1959" t="s">
        <v>3569</v>
      </c>
      <c r="R26" s="1959" t="s">
        <v>3569</v>
      </c>
      <c r="S26" s="1959" t="s">
        <v>3569</v>
      </c>
      <c r="T26" s="1959" t="s">
        <v>3569</v>
      </c>
      <c r="U26" s="1959" t="s">
        <v>3569</v>
      </c>
      <c r="V26" s="1959" t="s">
        <v>3569</v>
      </c>
      <c r="W26" s="1959" t="s">
        <v>3569</v>
      </c>
      <c r="X26" s="1959" t="s">
        <v>3569</v>
      </c>
      <c r="Y26" s="1959" t="s">
        <v>3569</v>
      </c>
      <c r="Z26" s="1959" t="s">
        <v>3569</v>
      </c>
      <c r="AA26" s="1959" t="s">
        <v>3571</v>
      </c>
      <c r="AB26" s="1959" t="s">
        <v>3572</v>
      </c>
    </row>
    <row r="27" spans="1:28" ht="18.600000000000001" customHeight="1" x14ac:dyDescent="0.45">
      <c r="A27" s="1462" t="s">
        <v>60</v>
      </c>
      <c r="B27" s="1959"/>
      <c r="C27" s="1959" t="s">
        <v>3570</v>
      </c>
      <c r="D27" s="1959" t="s">
        <v>3570</v>
      </c>
      <c r="E27" s="1959" t="s">
        <v>3570</v>
      </c>
      <c r="F27" s="1959" t="s">
        <v>3570</v>
      </c>
      <c r="G27" s="1959" t="s">
        <v>3570</v>
      </c>
      <c r="H27" s="1959" t="s">
        <v>3570</v>
      </c>
      <c r="I27" s="1959" t="s">
        <v>3570</v>
      </c>
      <c r="J27" s="1959" t="s">
        <v>3570</v>
      </c>
      <c r="K27" s="1959" t="s">
        <v>3570</v>
      </c>
      <c r="L27" s="1959" t="s">
        <v>3570</v>
      </c>
      <c r="M27" s="1959" t="s">
        <v>3570</v>
      </c>
      <c r="N27" s="1959" t="s">
        <v>3570</v>
      </c>
      <c r="O27" s="1959" t="s">
        <v>3570</v>
      </c>
      <c r="P27" s="1959" t="s">
        <v>3570</v>
      </c>
      <c r="Q27" s="1959" t="s">
        <v>3570</v>
      </c>
      <c r="R27" s="1959" t="s">
        <v>3570</v>
      </c>
      <c r="S27" s="1959" t="s">
        <v>3570</v>
      </c>
      <c r="T27" s="1959" t="s">
        <v>3570</v>
      </c>
      <c r="U27" s="1959" t="s">
        <v>3570</v>
      </c>
      <c r="V27" s="1959" t="s">
        <v>3570</v>
      </c>
      <c r="W27" s="1959" t="s">
        <v>3570</v>
      </c>
      <c r="X27" s="1959" t="s">
        <v>3570</v>
      </c>
      <c r="Y27" s="1959" t="s">
        <v>3570</v>
      </c>
      <c r="Z27" s="1959" t="s">
        <v>3570</v>
      </c>
      <c r="AA27" s="1959" t="s">
        <v>3571</v>
      </c>
      <c r="AB27" s="1959" t="s">
        <v>3572</v>
      </c>
    </row>
    <row r="28" spans="1:28" ht="17" customHeight="1" x14ac:dyDescent="0.45">
      <c r="A28" s="1462" t="s">
        <v>61</v>
      </c>
      <c r="B28" s="1959"/>
      <c r="C28" s="1959" t="s">
        <v>3571</v>
      </c>
      <c r="D28" s="1959" t="s">
        <v>3571</v>
      </c>
      <c r="E28" s="1959" t="s">
        <v>3571</v>
      </c>
      <c r="F28" s="1959" t="s">
        <v>3571</v>
      </c>
      <c r="G28" s="1959" t="s">
        <v>3571</v>
      </c>
      <c r="H28" s="1959" t="s">
        <v>3571</v>
      </c>
      <c r="I28" s="1959" t="s">
        <v>3571</v>
      </c>
      <c r="J28" s="1959" t="s">
        <v>3571</v>
      </c>
      <c r="K28" s="1959" t="s">
        <v>3571</v>
      </c>
      <c r="L28" s="1959" t="s">
        <v>3571</v>
      </c>
      <c r="M28" s="1959" t="s">
        <v>3571</v>
      </c>
      <c r="N28" s="1959" t="s">
        <v>3571</v>
      </c>
      <c r="O28" s="1959" t="s">
        <v>3571</v>
      </c>
      <c r="P28" s="1959" t="s">
        <v>3571</v>
      </c>
      <c r="Q28" s="1959" t="s">
        <v>3571</v>
      </c>
      <c r="R28" s="1959" t="s">
        <v>3571</v>
      </c>
      <c r="S28" s="1959" t="s">
        <v>3571</v>
      </c>
      <c r="T28" s="1959" t="s">
        <v>3571</v>
      </c>
      <c r="U28" s="1959" t="s">
        <v>3571</v>
      </c>
      <c r="V28" s="1959" t="s">
        <v>3571</v>
      </c>
      <c r="W28" s="1959" t="s">
        <v>3571</v>
      </c>
      <c r="X28" s="1959" t="s">
        <v>3571</v>
      </c>
      <c r="Y28" s="1959" t="s">
        <v>3571</v>
      </c>
      <c r="Z28" s="1959" t="s">
        <v>3571</v>
      </c>
      <c r="AA28" s="1959" t="s">
        <v>3571</v>
      </c>
      <c r="AB28" s="1959" t="s">
        <v>3572</v>
      </c>
    </row>
    <row r="29" spans="1:28" ht="18" customHeight="1" x14ac:dyDescent="0.45">
      <c r="A29" s="1462" t="s">
        <v>62</v>
      </c>
      <c r="B29" s="1959"/>
      <c r="C29" s="1959"/>
      <c r="D29" s="1959"/>
      <c r="E29" s="1959"/>
      <c r="F29" s="1959"/>
      <c r="G29" s="1959"/>
      <c r="H29" s="1959"/>
      <c r="I29" s="1959"/>
      <c r="J29" s="1959"/>
      <c r="K29" s="1959"/>
      <c r="L29" s="1959"/>
      <c r="M29" s="1959"/>
      <c r="N29" s="1959"/>
      <c r="O29" s="1959"/>
      <c r="P29" s="1959"/>
      <c r="Q29" s="1959"/>
      <c r="R29" s="1959"/>
      <c r="S29" s="1959"/>
      <c r="T29" s="1959"/>
      <c r="U29" s="1959"/>
      <c r="V29" s="1959"/>
      <c r="W29" s="1960"/>
      <c r="X29" s="1959"/>
      <c r="Y29" s="1959"/>
      <c r="Z29" s="1959"/>
      <c r="AA29" s="1959"/>
      <c r="AB29" s="1960"/>
    </row>
    <row r="30" spans="1:28" x14ac:dyDescent="0.45">
      <c r="A30" s="33" t="s">
        <v>30</v>
      </c>
      <c r="B30" s="1959"/>
      <c r="C30" s="1942" t="s">
        <v>3595</v>
      </c>
      <c r="D30" s="1942" t="s">
        <v>3595</v>
      </c>
      <c r="E30" s="1942" t="s">
        <v>3595</v>
      </c>
      <c r="F30" s="1942" t="s">
        <v>3595</v>
      </c>
      <c r="G30" s="1942" t="s">
        <v>3595</v>
      </c>
      <c r="H30" s="1942" t="s">
        <v>3595</v>
      </c>
      <c r="I30" s="1942" t="s">
        <v>3595</v>
      </c>
      <c r="J30" s="1942" t="s">
        <v>3595</v>
      </c>
      <c r="K30" s="1942" t="s">
        <v>3595</v>
      </c>
      <c r="L30" s="1942" t="s">
        <v>3595</v>
      </c>
      <c r="M30" s="1942" t="s">
        <v>3595</v>
      </c>
      <c r="N30" s="1942" t="s">
        <v>3595</v>
      </c>
      <c r="O30" s="1942" t="s">
        <v>3595</v>
      </c>
      <c r="P30" s="1942" t="s">
        <v>3595</v>
      </c>
      <c r="Q30" s="1942" t="s">
        <v>3595</v>
      </c>
      <c r="R30" s="1942" t="s">
        <v>3595</v>
      </c>
      <c r="S30" s="1942" t="s">
        <v>3595</v>
      </c>
      <c r="T30" s="1942" t="s">
        <v>3595</v>
      </c>
      <c r="U30" s="1942" t="s">
        <v>3595</v>
      </c>
      <c r="V30" s="1942" t="s">
        <v>3595</v>
      </c>
      <c r="W30" s="1942" t="s">
        <v>3595</v>
      </c>
      <c r="X30" s="1942" t="s">
        <v>3595</v>
      </c>
      <c r="Y30" s="1942" t="s">
        <v>3595</v>
      </c>
      <c r="Z30" s="1942" t="s">
        <v>3595</v>
      </c>
      <c r="AA30" s="1942" t="s">
        <v>3595</v>
      </c>
      <c r="AB30" s="1942" t="s">
        <v>3595</v>
      </c>
    </row>
    <row r="31" spans="1:28" x14ac:dyDescent="0.45">
      <c r="A31" s="33"/>
      <c r="B31" s="1959"/>
      <c r="C31" s="1959"/>
      <c r="D31" s="1959"/>
      <c r="E31" s="1959"/>
      <c r="F31" s="1959"/>
      <c r="G31" s="1959"/>
      <c r="H31" s="1959"/>
      <c r="I31" s="1959"/>
      <c r="J31" s="1959"/>
      <c r="K31" s="1959"/>
      <c r="L31" s="1959"/>
      <c r="M31" s="1959"/>
      <c r="N31" s="1959"/>
      <c r="O31" s="1959"/>
      <c r="P31" s="1959"/>
      <c r="Q31" s="1959"/>
      <c r="R31" s="1959"/>
      <c r="S31" s="1959"/>
      <c r="T31" s="1959"/>
      <c r="U31" s="1959"/>
      <c r="V31" s="1959"/>
      <c r="W31" s="1960"/>
      <c r="X31" s="1959"/>
      <c r="Y31" s="1959"/>
      <c r="Z31" s="1959"/>
      <c r="AA31" s="1959"/>
      <c r="AB31" s="1960"/>
    </row>
    <row r="32" spans="1:28" x14ac:dyDescent="0.45">
      <c r="A32" s="34" t="s">
        <v>16</v>
      </c>
      <c r="B32" s="1959"/>
      <c r="C32" s="1959"/>
      <c r="D32" s="1959"/>
      <c r="E32" s="1959"/>
      <c r="F32" s="1959"/>
      <c r="G32" s="1959"/>
      <c r="H32" s="1959"/>
      <c r="I32" s="1959"/>
      <c r="J32" s="1959"/>
      <c r="K32" s="1959"/>
      <c r="L32" s="1959"/>
      <c r="M32" s="1959"/>
      <c r="N32" s="1959"/>
      <c r="O32" s="1959"/>
      <c r="P32" s="1959"/>
      <c r="Q32" s="1959"/>
      <c r="R32" s="1959"/>
      <c r="S32" s="1959"/>
      <c r="T32" s="1959"/>
      <c r="U32" s="1959"/>
      <c r="V32" s="1959"/>
      <c r="W32" s="1960"/>
      <c r="X32" s="1959"/>
      <c r="Y32" s="1959"/>
      <c r="Z32" s="1959"/>
      <c r="AA32" s="1959"/>
      <c r="AB32" s="1960"/>
    </row>
    <row r="33" spans="1:28" x14ac:dyDescent="0.45">
      <c r="A33" s="1401" t="s">
        <v>28</v>
      </c>
      <c r="B33" s="1959"/>
      <c r="C33" s="1942" t="s">
        <v>3595</v>
      </c>
      <c r="D33" s="1942" t="s">
        <v>3595</v>
      </c>
      <c r="E33" s="1942" t="s">
        <v>3595</v>
      </c>
      <c r="F33" s="1942" t="s">
        <v>3595</v>
      </c>
      <c r="G33" s="1942" t="s">
        <v>3595</v>
      </c>
      <c r="H33" s="1942" t="s">
        <v>3595</v>
      </c>
      <c r="I33" s="1942" t="s">
        <v>3595</v>
      </c>
      <c r="J33" s="1942" t="s">
        <v>3595</v>
      </c>
      <c r="K33" s="1942" t="s">
        <v>3595</v>
      </c>
      <c r="L33" s="1942" t="s">
        <v>3595</v>
      </c>
      <c r="M33" s="1942" t="s">
        <v>3595</v>
      </c>
      <c r="N33" s="1942" t="s">
        <v>3595</v>
      </c>
      <c r="O33" s="1942" t="s">
        <v>3595</v>
      </c>
      <c r="P33" s="1942" t="s">
        <v>3595</v>
      </c>
      <c r="Q33" s="1942" t="s">
        <v>3595</v>
      </c>
      <c r="R33" s="1942" t="s">
        <v>3595</v>
      </c>
      <c r="S33" s="1942" t="s">
        <v>3595</v>
      </c>
      <c r="T33" s="1942" t="s">
        <v>3595</v>
      </c>
      <c r="U33" s="1942" t="s">
        <v>3595</v>
      </c>
      <c r="V33" s="1942" t="s">
        <v>3595</v>
      </c>
      <c r="W33" s="1942" t="s">
        <v>3595</v>
      </c>
      <c r="X33" s="1942" t="s">
        <v>3595</v>
      </c>
      <c r="Y33" s="1942" t="s">
        <v>3595</v>
      </c>
      <c r="Z33" s="1942" t="s">
        <v>3595</v>
      </c>
      <c r="AA33" s="1942" t="s">
        <v>3595</v>
      </c>
      <c r="AB33" s="1942" t="s">
        <v>3595</v>
      </c>
    </row>
    <row r="34" spans="1:28" ht="52.5" x14ac:dyDescent="0.45">
      <c r="A34" s="1401" t="s">
        <v>3396</v>
      </c>
      <c r="B34" s="1959"/>
      <c r="C34" s="1959" t="s">
        <v>3441</v>
      </c>
      <c r="D34" s="1959" t="s">
        <v>3441</v>
      </c>
      <c r="E34" s="1959" t="s">
        <v>3441</v>
      </c>
      <c r="F34" s="1959" t="s">
        <v>3441</v>
      </c>
      <c r="G34" s="1959" t="s">
        <v>3441</v>
      </c>
      <c r="H34" s="1959" t="s">
        <v>3441</v>
      </c>
      <c r="I34" s="1959" t="s">
        <v>3441</v>
      </c>
      <c r="J34" s="1959" t="s">
        <v>3441</v>
      </c>
      <c r="K34" s="1959" t="s">
        <v>3441</v>
      </c>
      <c r="L34" s="1959" t="s">
        <v>3441</v>
      </c>
      <c r="M34" s="1959" t="s">
        <v>3441</v>
      </c>
      <c r="N34" s="1959" t="s">
        <v>3441</v>
      </c>
      <c r="O34" s="1959" t="s">
        <v>3441</v>
      </c>
      <c r="P34" s="1959" t="s">
        <v>3441</v>
      </c>
      <c r="Q34" s="1959" t="s">
        <v>3441</v>
      </c>
      <c r="R34" s="1959" t="s">
        <v>3441</v>
      </c>
      <c r="S34" s="1959" t="s">
        <v>3441</v>
      </c>
      <c r="T34" s="1959" t="s">
        <v>3441</v>
      </c>
      <c r="U34" s="1959" t="s">
        <v>3441</v>
      </c>
      <c r="V34" s="1959" t="s">
        <v>3441</v>
      </c>
      <c r="W34" s="1960" t="s">
        <v>3441</v>
      </c>
      <c r="X34" s="1965" t="s">
        <v>3439</v>
      </c>
      <c r="Y34" s="1965" t="s">
        <v>3439</v>
      </c>
      <c r="Z34" s="1965" t="s">
        <v>3439</v>
      </c>
      <c r="AA34" s="1965" t="s">
        <v>3439</v>
      </c>
      <c r="AB34" s="1960"/>
    </row>
    <row r="35" spans="1:28" x14ac:dyDescent="0.45">
      <c r="A35" s="1401" t="s">
        <v>3398</v>
      </c>
      <c r="B35" s="1959"/>
      <c r="C35" s="1942" t="s">
        <v>3595</v>
      </c>
      <c r="D35" s="1942" t="s">
        <v>3595</v>
      </c>
      <c r="E35" s="1942" t="s">
        <v>3595</v>
      </c>
      <c r="F35" s="1942" t="s">
        <v>3595</v>
      </c>
      <c r="G35" s="1942" t="s">
        <v>3595</v>
      </c>
      <c r="H35" s="1942" t="s">
        <v>3595</v>
      </c>
      <c r="I35" s="1942" t="s">
        <v>3595</v>
      </c>
      <c r="J35" s="1942" t="s">
        <v>3595</v>
      </c>
      <c r="K35" s="1942" t="s">
        <v>3595</v>
      </c>
      <c r="L35" s="1942" t="s">
        <v>3595</v>
      </c>
      <c r="M35" s="1942" t="s">
        <v>3595</v>
      </c>
      <c r="N35" s="1942" t="s">
        <v>3595</v>
      </c>
      <c r="O35" s="1942" t="s">
        <v>3595</v>
      </c>
      <c r="P35" s="1942" t="s">
        <v>3595</v>
      </c>
      <c r="Q35" s="1942" t="s">
        <v>3595</v>
      </c>
      <c r="R35" s="1942" t="s">
        <v>3595</v>
      </c>
      <c r="S35" s="1942" t="s">
        <v>3595</v>
      </c>
      <c r="T35" s="1942" t="s">
        <v>3595</v>
      </c>
      <c r="U35" s="1942" t="s">
        <v>3595</v>
      </c>
      <c r="V35" s="1942" t="s">
        <v>3595</v>
      </c>
      <c r="W35" s="1942" t="s">
        <v>3595</v>
      </c>
      <c r="X35" s="1942" t="s">
        <v>3595</v>
      </c>
      <c r="Y35" s="1942" t="s">
        <v>3595</v>
      </c>
      <c r="Z35" s="1942" t="s">
        <v>3595</v>
      </c>
      <c r="AA35" s="1942" t="s">
        <v>3595</v>
      </c>
      <c r="AB35" s="1942" t="s">
        <v>3595</v>
      </c>
    </row>
    <row r="36" spans="1:28" x14ac:dyDescent="0.45">
      <c r="A36" s="33"/>
      <c r="B36" s="1959"/>
      <c r="C36" s="1959"/>
      <c r="D36" s="1959"/>
      <c r="E36" s="1959"/>
      <c r="F36" s="1959"/>
      <c r="G36" s="1959"/>
      <c r="H36" s="1959"/>
      <c r="I36" s="1959"/>
      <c r="J36" s="1959"/>
      <c r="K36" s="1959"/>
      <c r="L36" s="1959"/>
      <c r="M36" s="1959"/>
      <c r="N36" s="1959"/>
      <c r="O36" s="1959"/>
      <c r="P36" s="1959"/>
      <c r="Q36" s="1959"/>
      <c r="R36" s="1959"/>
      <c r="S36" s="1959"/>
      <c r="T36" s="1959"/>
      <c r="U36" s="1959"/>
      <c r="V36" s="1959"/>
      <c r="W36" s="1960"/>
      <c r="X36" s="1959"/>
      <c r="Y36" s="1959"/>
      <c r="Z36" s="1959"/>
      <c r="AA36" s="1959"/>
      <c r="AB36" s="1960"/>
    </row>
    <row r="37" spans="1:28" x14ac:dyDescent="0.45">
      <c r="A37" s="34" t="s">
        <v>1178</v>
      </c>
      <c r="B37" s="1959"/>
      <c r="C37" s="1959"/>
      <c r="D37" s="1959"/>
      <c r="E37" s="1959"/>
      <c r="F37" s="1959"/>
      <c r="G37" s="1959"/>
      <c r="H37" s="1959"/>
      <c r="I37" s="1959"/>
      <c r="J37" s="1959"/>
      <c r="K37" s="1959"/>
      <c r="L37" s="1959"/>
      <c r="M37" s="1959"/>
      <c r="N37" s="1959"/>
      <c r="O37" s="1959"/>
      <c r="P37" s="1959"/>
      <c r="Q37" s="1959"/>
      <c r="R37" s="1959"/>
      <c r="S37" s="1959"/>
      <c r="T37" s="1959"/>
      <c r="U37" s="1959"/>
      <c r="V37" s="1959"/>
      <c r="W37" s="1960"/>
      <c r="X37" s="1959"/>
      <c r="Y37" s="1959"/>
      <c r="Z37" s="1959"/>
      <c r="AA37" s="1959"/>
      <c r="AB37" s="1960"/>
    </row>
    <row r="38" spans="1:28" x14ac:dyDescent="0.45">
      <c r="A38" s="33" t="s">
        <v>3402</v>
      </c>
      <c r="B38" s="1959"/>
      <c r="C38" s="1959"/>
      <c r="D38" s="1959"/>
      <c r="E38" s="1959"/>
      <c r="F38" s="1959"/>
      <c r="G38" s="1959"/>
      <c r="H38" s="1959"/>
      <c r="I38" s="1959"/>
      <c r="J38" s="1959"/>
      <c r="K38" s="1959"/>
      <c r="L38" s="1959"/>
      <c r="M38" s="1959"/>
      <c r="N38" s="1959"/>
      <c r="O38" s="1959"/>
      <c r="P38" s="1959"/>
      <c r="Q38" s="1959"/>
      <c r="R38" s="1959"/>
      <c r="S38" s="1959"/>
      <c r="T38" s="1959"/>
      <c r="U38" s="1959"/>
      <c r="V38" s="1959"/>
      <c r="W38" s="1960"/>
      <c r="X38" s="1959"/>
      <c r="Y38" s="1959"/>
      <c r="Z38" s="1959"/>
      <c r="AA38" s="1959"/>
      <c r="AB38" s="1960"/>
    </row>
    <row r="39" spans="1:28" x14ac:dyDescent="0.45">
      <c r="A39" s="1974" t="s">
        <v>357</v>
      </c>
      <c r="B39" s="1959"/>
      <c r="C39" s="1942" t="s">
        <v>3595</v>
      </c>
      <c r="D39" s="1942" t="s">
        <v>3595</v>
      </c>
      <c r="E39" s="1942" t="s">
        <v>3595</v>
      </c>
      <c r="F39" s="1942" t="s">
        <v>3595</v>
      </c>
      <c r="G39" s="1942" t="s">
        <v>3595</v>
      </c>
      <c r="H39" s="1942" t="s">
        <v>3595</v>
      </c>
      <c r="I39" s="1942" t="s">
        <v>3595</v>
      </c>
      <c r="J39" s="1942" t="s">
        <v>3595</v>
      </c>
      <c r="K39" s="1942" t="s">
        <v>3595</v>
      </c>
      <c r="L39" s="1942" t="s">
        <v>3595</v>
      </c>
      <c r="M39" s="1942" t="s">
        <v>3595</v>
      </c>
      <c r="N39" s="1942" t="s">
        <v>3595</v>
      </c>
      <c r="O39" s="1942" t="s">
        <v>3595</v>
      </c>
      <c r="P39" s="1942" t="s">
        <v>3595</v>
      </c>
      <c r="Q39" s="1942" t="s">
        <v>3595</v>
      </c>
      <c r="R39" s="1942" t="s">
        <v>3595</v>
      </c>
      <c r="S39" s="1942" t="s">
        <v>3595</v>
      </c>
      <c r="T39" s="1942" t="s">
        <v>3595</v>
      </c>
      <c r="U39" s="1942" t="s">
        <v>3595</v>
      </c>
      <c r="V39" s="1942" t="s">
        <v>3595</v>
      </c>
      <c r="W39" s="1942" t="s">
        <v>3595</v>
      </c>
      <c r="X39" s="1942" t="s">
        <v>3595</v>
      </c>
      <c r="Y39" s="1942" t="s">
        <v>3595</v>
      </c>
      <c r="Z39" s="1942" t="s">
        <v>3595</v>
      </c>
      <c r="AA39" s="1942" t="s">
        <v>3595</v>
      </c>
      <c r="AB39" s="1942" t="s">
        <v>3595</v>
      </c>
    </row>
    <row r="40" spans="1:28" x14ac:dyDescent="0.45">
      <c r="A40" s="1974" t="s">
        <v>1062</v>
      </c>
      <c r="B40" s="1959"/>
      <c r="C40" s="1942" t="s">
        <v>3595</v>
      </c>
      <c r="D40" s="1942" t="s">
        <v>3595</v>
      </c>
      <c r="E40" s="1942" t="s">
        <v>3595</v>
      </c>
      <c r="F40" s="1942" t="s">
        <v>3595</v>
      </c>
      <c r="G40" s="1942" t="s">
        <v>3595</v>
      </c>
      <c r="H40" s="1942" t="s">
        <v>3595</v>
      </c>
      <c r="I40" s="1942" t="s">
        <v>3595</v>
      </c>
      <c r="J40" s="1942" t="s">
        <v>3595</v>
      </c>
      <c r="K40" s="1942" t="s">
        <v>3595</v>
      </c>
      <c r="L40" s="1942" t="s">
        <v>3595</v>
      </c>
      <c r="M40" s="1942" t="s">
        <v>3595</v>
      </c>
      <c r="N40" s="1942" t="s">
        <v>3595</v>
      </c>
      <c r="O40" s="1942" t="s">
        <v>3595</v>
      </c>
      <c r="P40" s="1942" t="s">
        <v>3595</v>
      </c>
      <c r="Q40" s="1942" t="s">
        <v>3595</v>
      </c>
      <c r="R40" s="1942" t="s">
        <v>3595</v>
      </c>
      <c r="S40" s="1942" t="s">
        <v>3595</v>
      </c>
      <c r="T40" s="1942" t="s">
        <v>3595</v>
      </c>
      <c r="U40" s="1942" t="s">
        <v>3595</v>
      </c>
      <c r="V40" s="1942" t="s">
        <v>3595</v>
      </c>
      <c r="W40" s="1942" t="s">
        <v>3595</v>
      </c>
      <c r="X40" s="1942" t="s">
        <v>3595</v>
      </c>
      <c r="Y40" s="1942" t="s">
        <v>3595</v>
      </c>
      <c r="Z40" s="1942" t="s">
        <v>3595</v>
      </c>
      <c r="AA40" s="1942" t="s">
        <v>3595</v>
      </c>
      <c r="AB40" s="1942" t="s">
        <v>3595</v>
      </c>
    </row>
    <row r="41" spans="1:28" x14ac:dyDescent="0.45">
      <c r="A41" s="1974" t="s">
        <v>1062</v>
      </c>
      <c r="B41" s="1959"/>
      <c r="C41" s="1942" t="s">
        <v>3595</v>
      </c>
      <c r="D41" s="1942" t="s">
        <v>3595</v>
      </c>
      <c r="E41" s="1942" t="s">
        <v>3595</v>
      </c>
      <c r="F41" s="1942" t="s">
        <v>3595</v>
      </c>
      <c r="G41" s="1942" t="s">
        <v>3595</v>
      </c>
      <c r="H41" s="1942" t="s">
        <v>3595</v>
      </c>
      <c r="I41" s="1942" t="s">
        <v>3595</v>
      </c>
      <c r="J41" s="1942" t="s">
        <v>3595</v>
      </c>
      <c r="K41" s="1942" t="s">
        <v>3595</v>
      </c>
      <c r="L41" s="1942" t="s">
        <v>3595</v>
      </c>
      <c r="M41" s="1942" t="s">
        <v>3595</v>
      </c>
      <c r="N41" s="1942" t="s">
        <v>3595</v>
      </c>
      <c r="O41" s="1942" t="s">
        <v>3595</v>
      </c>
      <c r="P41" s="1942" t="s">
        <v>3595</v>
      </c>
      <c r="Q41" s="1942" t="s">
        <v>3595</v>
      </c>
      <c r="R41" s="1942" t="s">
        <v>3595</v>
      </c>
      <c r="S41" s="1942" t="s">
        <v>3595</v>
      </c>
      <c r="T41" s="1942" t="s">
        <v>3595</v>
      </c>
      <c r="U41" s="1942" t="s">
        <v>3595</v>
      </c>
      <c r="V41" s="1942" t="s">
        <v>3595</v>
      </c>
      <c r="W41" s="1942" t="s">
        <v>3595</v>
      </c>
      <c r="X41" s="1942" t="s">
        <v>3595</v>
      </c>
      <c r="Y41" s="1942" t="s">
        <v>3595</v>
      </c>
      <c r="Z41" s="1942" t="s">
        <v>3595</v>
      </c>
      <c r="AA41" s="1942" t="s">
        <v>3595</v>
      </c>
      <c r="AB41" s="1942" t="s">
        <v>3595</v>
      </c>
    </row>
    <row r="42" spans="1:28" x14ac:dyDescent="0.45">
      <c r="A42" s="1974" t="s">
        <v>358</v>
      </c>
      <c r="B42" s="1959"/>
      <c r="C42" s="1942" t="s">
        <v>3595</v>
      </c>
      <c r="D42" s="1942" t="s">
        <v>3595</v>
      </c>
      <c r="E42" s="1942" t="s">
        <v>3595</v>
      </c>
      <c r="F42" s="1942" t="s">
        <v>3595</v>
      </c>
      <c r="G42" s="1942" t="s">
        <v>3595</v>
      </c>
      <c r="H42" s="1942" t="s">
        <v>3595</v>
      </c>
      <c r="I42" s="1942" t="s">
        <v>3595</v>
      </c>
      <c r="J42" s="1942" t="s">
        <v>3595</v>
      </c>
      <c r="K42" s="1942" t="s">
        <v>3595</v>
      </c>
      <c r="L42" s="1942" t="s">
        <v>3595</v>
      </c>
      <c r="M42" s="1942" t="s">
        <v>3595</v>
      </c>
      <c r="N42" s="1942" t="s">
        <v>3595</v>
      </c>
      <c r="O42" s="1942" t="s">
        <v>3595</v>
      </c>
      <c r="P42" s="1942" t="s">
        <v>3595</v>
      </c>
      <c r="Q42" s="1942" t="s">
        <v>3595</v>
      </c>
      <c r="R42" s="1942" t="s">
        <v>3595</v>
      </c>
      <c r="S42" s="1942" t="s">
        <v>3595</v>
      </c>
      <c r="T42" s="1942" t="s">
        <v>3595</v>
      </c>
      <c r="U42" s="1942" t="s">
        <v>3595</v>
      </c>
      <c r="V42" s="1942" t="s">
        <v>3595</v>
      </c>
      <c r="W42" s="1942" t="s">
        <v>3595</v>
      </c>
      <c r="X42" s="1942" t="s">
        <v>3595</v>
      </c>
      <c r="Y42" s="1942" t="s">
        <v>3595</v>
      </c>
      <c r="Z42" s="1942" t="s">
        <v>3595</v>
      </c>
      <c r="AA42" s="1942" t="s">
        <v>3595</v>
      </c>
      <c r="AB42" s="1942" t="s">
        <v>3595</v>
      </c>
    </row>
    <row r="43" spans="1:28" x14ac:dyDescent="0.45">
      <c r="A43" s="1974" t="s">
        <v>358</v>
      </c>
      <c r="B43" s="1959"/>
      <c r="C43" s="1942" t="s">
        <v>3595</v>
      </c>
      <c r="D43" s="1942" t="s">
        <v>3595</v>
      </c>
      <c r="E43" s="1942" t="s">
        <v>3595</v>
      </c>
      <c r="F43" s="1942" t="s">
        <v>3595</v>
      </c>
      <c r="G43" s="1942" t="s">
        <v>3595</v>
      </c>
      <c r="H43" s="1942" t="s">
        <v>3595</v>
      </c>
      <c r="I43" s="1942" t="s">
        <v>3595</v>
      </c>
      <c r="J43" s="1942" t="s">
        <v>3595</v>
      </c>
      <c r="K43" s="1942" t="s">
        <v>3595</v>
      </c>
      <c r="L43" s="1942" t="s">
        <v>3595</v>
      </c>
      <c r="M43" s="1942" t="s">
        <v>3595</v>
      </c>
      <c r="N43" s="1942" t="s">
        <v>3595</v>
      </c>
      <c r="O43" s="1942" t="s">
        <v>3595</v>
      </c>
      <c r="P43" s="1942" t="s">
        <v>3595</v>
      </c>
      <c r="Q43" s="1942" t="s">
        <v>3595</v>
      </c>
      <c r="R43" s="1942" t="s">
        <v>3595</v>
      </c>
      <c r="S43" s="1942" t="s">
        <v>3595</v>
      </c>
      <c r="T43" s="1942" t="s">
        <v>3595</v>
      </c>
      <c r="U43" s="1942" t="s">
        <v>3595</v>
      </c>
      <c r="V43" s="1942" t="s">
        <v>3595</v>
      </c>
      <c r="W43" s="1942" t="s">
        <v>3595</v>
      </c>
      <c r="X43" s="1942" t="s">
        <v>3595</v>
      </c>
      <c r="Y43" s="1942" t="s">
        <v>3595</v>
      </c>
      <c r="Z43" s="1942" t="s">
        <v>3595</v>
      </c>
      <c r="AA43" s="1942" t="s">
        <v>3595</v>
      </c>
      <c r="AB43" s="1942" t="s">
        <v>3595</v>
      </c>
    </row>
    <row r="44" spans="1:28" x14ac:dyDescent="0.45">
      <c r="A44" s="1974" t="s">
        <v>360</v>
      </c>
      <c r="B44" s="1959"/>
      <c r="C44" s="1942" t="s">
        <v>3595</v>
      </c>
      <c r="D44" s="1942" t="s">
        <v>3595</v>
      </c>
      <c r="E44" s="1942" t="s">
        <v>3595</v>
      </c>
      <c r="F44" s="1942" t="s">
        <v>3595</v>
      </c>
      <c r="G44" s="1942" t="s">
        <v>3595</v>
      </c>
      <c r="H44" s="1942" t="s">
        <v>3595</v>
      </c>
      <c r="I44" s="1942" t="s">
        <v>3595</v>
      </c>
      <c r="J44" s="1942" t="s">
        <v>3595</v>
      </c>
      <c r="K44" s="1942" t="s">
        <v>3595</v>
      </c>
      <c r="L44" s="1942" t="s">
        <v>3595</v>
      </c>
      <c r="M44" s="1942" t="s">
        <v>3595</v>
      </c>
      <c r="N44" s="1942" t="s">
        <v>3595</v>
      </c>
      <c r="O44" s="1942" t="s">
        <v>3595</v>
      </c>
      <c r="P44" s="1942" t="s">
        <v>3595</v>
      </c>
      <c r="Q44" s="1942" t="s">
        <v>3595</v>
      </c>
      <c r="R44" s="1942" t="s">
        <v>3595</v>
      </c>
      <c r="S44" s="1942" t="s">
        <v>3595</v>
      </c>
      <c r="T44" s="1942" t="s">
        <v>3595</v>
      </c>
      <c r="U44" s="1942" t="s">
        <v>3595</v>
      </c>
      <c r="V44" s="1942" t="s">
        <v>3595</v>
      </c>
      <c r="W44" s="1942" t="s">
        <v>3595</v>
      </c>
      <c r="X44" s="1942" t="s">
        <v>3595</v>
      </c>
      <c r="Y44" s="1942" t="s">
        <v>3595</v>
      </c>
      <c r="Z44" s="1942" t="s">
        <v>3595</v>
      </c>
      <c r="AA44" s="1942" t="s">
        <v>3595</v>
      </c>
      <c r="AB44" s="1942" t="s">
        <v>3595</v>
      </c>
    </row>
    <row r="45" spans="1:28" x14ac:dyDescent="0.45">
      <c r="A45" s="1974" t="s">
        <v>360</v>
      </c>
      <c r="B45" s="1959"/>
      <c r="C45" s="1942" t="s">
        <v>3595</v>
      </c>
      <c r="D45" s="1942" t="s">
        <v>3595</v>
      </c>
      <c r="E45" s="1942" t="s">
        <v>3595</v>
      </c>
      <c r="F45" s="1942" t="s">
        <v>3595</v>
      </c>
      <c r="G45" s="1942" t="s">
        <v>3595</v>
      </c>
      <c r="H45" s="1942" t="s">
        <v>3595</v>
      </c>
      <c r="I45" s="1942" t="s">
        <v>3595</v>
      </c>
      <c r="J45" s="1942" t="s">
        <v>3595</v>
      </c>
      <c r="K45" s="1942" t="s">
        <v>3595</v>
      </c>
      <c r="L45" s="1942" t="s">
        <v>3595</v>
      </c>
      <c r="M45" s="1942" t="s">
        <v>3595</v>
      </c>
      <c r="N45" s="1942" t="s">
        <v>3595</v>
      </c>
      <c r="O45" s="1942" t="s">
        <v>3595</v>
      </c>
      <c r="P45" s="1942" t="s">
        <v>3595</v>
      </c>
      <c r="Q45" s="1942" t="s">
        <v>3595</v>
      </c>
      <c r="R45" s="1942" t="s">
        <v>3595</v>
      </c>
      <c r="S45" s="1942" t="s">
        <v>3595</v>
      </c>
      <c r="T45" s="1942" t="s">
        <v>3595</v>
      </c>
      <c r="U45" s="1942" t="s">
        <v>3595</v>
      </c>
      <c r="V45" s="1942" t="s">
        <v>3595</v>
      </c>
      <c r="W45" s="1942" t="s">
        <v>3595</v>
      </c>
      <c r="X45" s="1942" t="s">
        <v>3595</v>
      </c>
      <c r="Y45" s="1942" t="s">
        <v>3595</v>
      </c>
      <c r="Z45" s="1942" t="s">
        <v>3595</v>
      </c>
      <c r="AA45" s="1942" t="s">
        <v>3595</v>
      </c>
      <c r="AB45" s="1942" t="s">
        <v>3595</v>
      </c>
    </row>
    <row r="46" spans="1:28" x14ac:dyDescent="0.45">
      <c r="A46" s="1974" t="s">
        <v>361</v>
      </c>
      <c r="B46" s="1959"/>
      <c r="C46" s="1942" t="s">
        <v>3595</v>
      </c>
      <c r="D46" s="1942" t="s">
        <v>3595</v>
      </c>
      <c r="E46" s="1942" t="s">
        <v>3595</v>
      </c>
      <c r="F46" s="1942" t="s">
        <v>3595</v>
      </c>
      <c r="G46" s="1942" t="s">
        <v>3595</v>
      </c>
      <c r="H46" s="1942" t="s">
        <v>3595</v>
      </c>
      <c r="I46" s="1942" t="s">
        <v>3595</v>
      </c>
      <c r="J46" s="1942" t="s">
        <v>3595</v>
      </c>
      <c r="K46" s="1942" t="s">
        <v>3595</v>
      </c>
      <c r="L46" s="1942" t="s">
        <v>3595</v>
      </c>
      <c r="M46" s="1942" t="s">
        <v>3595</v>
      </c>
      <c r="N46" s="1942" t="s">
        <v>3595</v>
      </c>
      <c r="O46" s="1942" t="s">
        <v>3595</v>
      </c>
      <c r="P46" s="1942" t="s">
        <v>3595</v>
      </c>
      <c r="Q46" s="1942" t="s">
        <v>3595</v>
      </c>
      <c r="R46" s="1942" t="s">
        <v>3595</v>
      </c>
      <c r="S46" s="1942" t="s">
        <v>3595</v>
      </c>
      <c r="T46" s="1942" t="s">
        <v>3595</v>
      </c>
      <c r="U46" s="1942" t="s">
        <v>3595</v>
      </c>
      <c r="V46" s="1942" t="s">
        <v>3595</v>
      </c>
      <c r="W46" s="1942" t="s">
        <v>3595</v>
      </c>
      <c r="X46" s="1942" t="s">
        <v>3595</v>
      </c>
      <c r="Y46" s="1942" t="s">
        <v>3595</v>
      </c>
      <c r="Z46" s="1942" t="s">
        <v>3595</v>
      </c>
      <c r="AA46" s="1942" t="s">
        <v>3595</v>
      </c>
      <c r="AB46" s="1942" t="s">
        <v>3595</v>
      </c>
    </row>
    <row r="47" spans="1:28" x14ac:dyDescent="0.45">
      <c r="A47" s="1974" t="s">
        <v>361</v>
      </c>
      <c r="B47" s="1959"/>
      <c r="C47" s="1942" t="s">
        <v>3595</v>
      </c>
      <c r="D47" s="1942" t="s">
        <v>3595</v>
      </c>
      <c r="E47" s="1942" t="s">
        <v>3595</v>
      </c>
      <c r="F47" s="1942" t="s">
        <v>3595</v>
      </c>
      <c r="G47" s="1942" t="s">
        <v>3595</v>
      </c>
      <c r="H47" s="1942" t="s">
        <v>3595</v>
      </c>
      <c r="I47" s="1942" t="s">
        <v>3595</v>
      </c>
      <c r="J47" s="1942" t="s">
        <v>3595</v>
      </c>
      <c r="K47" s="1942" t="s">
        <v>3595</v>
      </c>
      <c r="L47" s="1942" t="s">
        <v>3595</v>
      </c>
      <c r="M47" s="1942" t="s">
        <v>3595</v>
      </c>
      <c r="N47" s="1942" t="s">
        <v>3595</v>
      </c>
      <c r="O47" s="1942" t="s">
        <v>3595</v>
      </c>
      <c r="P47" s="1942" t="s">
        <v>3595</v>
      </c>
      <c r="Q47" s="1942" t="s">
        <v>3595</v>
      </c>
      <c r="R47" s="1942" t="s">
        <v>3595</v>
      </c>
      <c r="S47" s="1942" t="s">
        <v>3595</v>
      </c>
      <c r="T47" s="1942" t="s">
        <v>3595</v>
      </c>
      <c r="U47" s="1942" t="s">
        <v>3595</v>
      </c>
      <c r="V47" s="1942" t="s">
        <v>3595</v>
      </c>
      <c r="W47" s="1942" t="s">
        <v>3595</v>
      </c>
      <c r="X47" s="1942" t="s">
        <v>3595</v>
      </c>
      <c r="Y47" s="1942" t="s">
        <v>3595</v>
      </c>
      <c r="Z47" s="1942" t="s">
        <v>3595</v>
      </c>
      <c r="AA47" s="1942" t="s">
        <v>3595</v>
      </c>
      <c r="AB47" s="1942" t="s">
        <v>3595</v>
      </c>
    </row>
    <row r="48" spans="1:28" x14ac:dyDescent="0.45">
      <c r="A48" s="33"/>
      <c r="B48" s="1959"/>
      <c r="C48" s="1942"/>
      <c r="D48" s="1942"/>
      <c r="E48" s="1942"/>
      <c r="F48" s="1942"/>
      <c r="G48" s="1942"/>
      <c r="H48" s="1942"/>
      <c r="I48" s="1942"/>
      <c r="J48" s="1942"/>
      <c r="K48" s="1942"/>
      <c r="L48" s="1942"/>
      <c r="M48" s="1942"/>
      <c r="N48" s="1942"/>
      <c r="O48" s="1942"/>
      <c r="P48" s="1942"/>
      <c r="Q48" s="1942"/>
      <c r="R48" s="1942"/>
      <c r="S48" s="1942"/>
      <c r="T48" s="1942"/>
      <c r="U48" s="1942"/>
      <c r="V48" s="1942"/>
      <c r="W48" s="1975"/>
      <c r="X48" s="1942"/>
      <c r="Y48" s="1942"/>
      <c r="Z48" s="1942"/>
      <c r="AA48" s="1942"/>
      <c r="AB48" s="1975"/>
    </row>
    <row r="49" spans="1:28" x14ac:dyDescent="0.45">
      <c r="A49" s="34" t="s">
        <v>1131</v>
      </c>
      <c r="B49" s="1959"/>
      <c r="C49" s="1942"/>
      <c r="D49" s="1942"/>
      <c r="E49" s="1942"/>
      <c r="F49" s="1942"/>
      <c r="G49" s="1942"/>
      <c r="H49" s="1942"/>
      <c r="I49" s="1942"/>
      <c r="J49" s="1942"/>
      <c r="K49" s="1942"/>
      <c r="L49" s="1942"/>
      <c r="M49" s="1942"/>
      <c r="N49" s="1942"/>
      <c r="O49" s="1942"/>
      <c r="P49" s="1942"/>
      <c r="Q49" s="1942"/>
      <c r="R49" s="1942"/>
      <c r="S49" s="1942"/>
      <c r="T49" s="1942"/>
      <c r="U49" s="1942"/>
      <c r="V49" s="1942"/>
      <c r="W49" s="1975"/>
      <c r="X49" s="1942"/>
      <c r="Y49" s="1942"/>
      <c r="Z49" s="1942"/>
      <c r="AA49" s="1942"/>
      <c r="AB49" s="1975"/>
    </row>
    <row r="50" spans="1:28" x14ac:dyDescent="0.45">
      <c r="A50" s="33" t="s">
        <v>34</v>
      </c>
      <c r="B50" s="1959"/>
      <c r="C50" s="1942" t="s">
        <v>3595</v>
      </c>
      <c r="D50" s="1942" t="s">
        <v>3595</v>
      </c>
      <c r="E50" s="1942" t="s">
        <v>3595</v>
      </c>
      <c r="F50" s="1942" t="s">
        <v>3595</v>
      </c>
      <c r="G50" s="1942" t="s">
        <v>3595</v>
      </c>
      <c r="H50" s="1942" t="s">
        <v>3595</v>
      </c>
      <c r="I50" s="1942" t="s">
        <v>3595</v>
      </c>
      <c r="J50" s="1942" t="s">
        <v>3595</v>
      </c>
      <c r="K50" s="1942" t="s">
        <v>3595</v>
      </c>
      <c r="L50" s="1942" t="s">
        <v>3595</v>
      </c>
      <c r="M50" s="1942" t="s">
        <v>3595</v>
      </c>
      <c r="N50" s="1942" t="s">
        <v>3595</v>
      </c>
      <c r="O50" s="1942" t="s">
        <v>3595</v>
      </c>
      <c r="P50" s="1942" t="s">
        <v>3595</v>
      </c>
      <c r="Q50" s="1942" t="s">
        <v>3595</v>
      </c>
      <c r="R50" s="1942" t="s">
        <v>3595</v>
      </c>
      <c r="S50" s="1942" t="s">
        <v>3595</v>
      </c>
      <c r="T50" s="1942" t="s">
        <v>3595</v>
      </c>
      <c r="U50" s="1942" t="s">
        <v>3595</v>
      </c>
      <c r="V50" s="1942" t="s">
        <v>3595</v>
      </c>
      <c r="W50" s="1942" t="s">
        <v>3595</v>
      </c>
      <c r="X50" s="1942" t="s">
        <v>3595</v>
      </c>
      <c r="Y50" s="1942" t="s">
        <v>3595</v>
      </c>
      <c r="Z50" s="1942" t="s">
        <v>3595</v>
      </c>
      <c r="AA50" s="1942" t="s">
        <v>3595</v>
      </c>
      <c r="AB50" s="1942" t="s">
        <v>3595</v>
      </c>
    </row>
    <row r="51" spans="1:28" ht="26.25" x14ac:dyDescent="0.45">
      <c r="A51" s="1402" t="s">
        <v>35</v>
      </c>
      <c r="B51" s="1959"/>
      <c r="C51" s="1942" t="s">
        <v>3595</v>
      </c>
      <c r="D51" s="1942" t="s">
        <v>3595</v>
      </c>
      <c r="E51" s="1942" t="s">
        <v>3595</v>
      </c>
      <c r="F51" s="1942" t="s">
        <v>3595</v>
      </c>
      <c r="G51" s="1942" t="s">
        <v>3595</v>
      </c>
      <c r="H51" s="1942" t="s">
        <v>3595</v>
      </c>
      <c r="I51" s="1942" t="s">
        <v>3595</v>
      </c>
      <c r="J51" s="1942" t="s">
        <v>3595</v>
      </c>
      <c r="K51" s="1942" t="s">
        <v>3595</v>
      </c>
      <c r="L51" s="1942" t="s">
        <v>3595</v>
      </c>
      <c r="M51" s="1942" t="s">
        <v>3595</v>
      </c>
      <c r="N51" s="1942" t="s">
        <v>3595</v>
      </c>
      <c r="O51" s="1942" t="s">
        <v>3595</v>
      </c>
      <c r="P51" s="1942" t="s">
        <v>3595</v>
      </c>
      <c r="Q51" s="1942" t="s">
        <v>3595</v>
      </c>
      <c r="R51" s="1942" t="s">
        <v>3595</v>
      </c>
      <c r="S51" s="1942" t="s">
        <v>3595</v>
      </c>
      <c r="T51" s="1942" t="s">
        <v>3595</v>
      </c>
      <c r="U51" s="1942" t="s">
        <v>3595</v>
      </c>
      <c r="V51" s="1942" t="s">
        <v>3595</v>
      </c>
      <c r="W51" s="1942" t="s">
        <v>3595</v>
      </c>
      <c r="X51" s="1942" t="s">
        <v>3595</v>
      </c>
      <c r="Y51" s="1942" t="s">
        <v>3595</v>
      </c>
      <c r="Z51" s="1942" t="s">
        <v>3595</v>
      </c>
      <c r="AA51" s="1942" t="s">
        <v>3595</v>
      </c>
      <c r="AB51" s="1942" t="s">
        <v>3595</v>
      </c>
    </row>
    <row r="52" spans="1:28" ht="26.25" x14ac:dyDescent="0.45">
      <c r="A52" s="1402" t="s">
        <v>36</v>
      </c>
      <c r="B52" s="1959"/>
      <c r="C52" s="1942" t="s">
        <v>3595</v>
      </c>
      <c r="D52" s="1942" t="s">
        <v>3595</v>
      </c>
      <c r="E52" s="1942" t="s">
        <v>3595</v>
      </c>
      <c r="F52" s="1942" t="s">
        <v>3595</v>
      </c>
      <c r="G52" s="1942" t="s">
        <v>3595</v>
      </c>
      <c r="H52" s="1942" t="s">
        <v>3595</v>
      </c>
      <c r="I52" s="1942" t="s">
        <v>3595</v>
      </c>
      <c r="J52" s="1942" t="s">
        <v>3595</v>
      </c>
      <c r="K52" s="1942" t="s">
        <v>3595</v>
      </c>
      <c r="L52" s="1942" t="s">
        <v>3595</v>
      </c>
      <c r="M52" s="1942" t="s">
        <v>3595</v>
      </c>
      <c r="N52" s="1942" t="s">
        <v>3595</v>
      </c>
      <c r="O52" s="1942" t="s">
        <v>3595</v>
      </c>
      <c r="P52" s="1942" t="s">
        <v>3595</v>
      </c>
      <c r="Q52" s="1942" t="s">
        <v>3595</v>
      </c>
      <c r="R52" s="1942" t="s">
        <v>3595</v>
      </c>
      <c r="S52" s="1942" t="s">
        <v>3595</v>
      </c>
      <c r="T52" s="1942" t="s">
        <v>3595</v>
      </c>
      <c r="U52" s="1942" t="s">
        <v>3595</v>
      </c>
      <c r="V52" s="1942" t="s">
        <v>3595</v>
      </c>
      <c r="W52" s="1942" t="s">
        <v>3595</v>
      </c>
      <c r="X52" s="1942" t="s">
        <v>3595</v>
      </c>
      <c r="Y52" s="1942" t="s">
        <v>3595</v>
      </c>
      <c r="Z52" s="1942" t="s">
        <v>3595</v>
      </c>
      <c r="AA52" s="1942" t="s">
        <v>3595</v>
      </c>
      <c r="AB52" s="1942" t="s">
        <v>3595</v>
      </c>
    </row>
    <row r="53" spans="1:28" x14ac:dyDescent="0.45">
      <c r="A53" s="33"/>
      <c r="B53" s="1959"/>
      <c r="C53" s="1959"/>
      <c r="D53" s="1959"/>
      <c r="E53" s="1959"/>
      <c r="F53" s="1959"/>
      <c r="G53" s="1959"/>
      <c r="H53" s="1959"/>
      <c r="I53" s="1959"/>
      <c r="J53" s="1959"/>
      <c r="K53" s="1959"/>
      <c r="L53" s="1959"/>
      <c r="M53" s="1959"/>
      <c r="N53" s="1959"/>
      <c r="O53" s="1959"/>
      <c r="P53" s="1959"/>
      <c r="Q53" s="1959"/>
      <c r="R53" s="1959"/>
      <c r="S53" s="1959"/>
      <c r="T53" s="1959"/>
      <c r="U53" s="1959"/>
      <c r="V53" s="1959"/>
      <c r="W53" s="1960"/>
      <c r="X53" s="1959"/>
      <c r="Y53" s="1959"/>
      <c r="Z53" s="1959"/>
      <c r="AA53" s="1959"/>
      <c r="AB53" s="1960"/>
    </row>
    <row r="54" spans="1:28" ht="26.25" x14ac:dyDescent="0.45">
      <c r="A54" s="34" t="s">
        <v>3394</v>
      </c>
      <c r="B54" s="1959"/>
      <c r="C54" s="1959"/>
      <c r="D54" s="1959"/>
      <c r="E54" s="1959"/>
      <c r="F54" s="1959"/>
      <c r="G54" s="1959"/>
      <c r="H54" s="1959"/>
      <c r="I54" s="1959"/>
      <c r="J54" s="1959"/>
      <c r="K54" s="1959"/>
      <c r="L54" s="1959"/>
      <c r="M54" s="1959"/>
      <c r="N54" s="1959"/>
      <c r="O54" s="1959"/>
      <c r="P54" s="1959"/>
      <c r="Q54" s="1959"/>
      <c r="R54" s="1959"/>
      <c r="S54" s="1959"/>
      <c r="T54" s="1959"/>
      <c r="U54" s="1959"/>
      <c r="V54" s="1959"/>
      <c r="W54" s="1960"/>
      <c r="X54" s="1959"/>
      <c r="Y54" s="1959"/>
      <c r="Z54" s="1959"/>
      <c r="AA54" s="1959"/>
      <c r="AB54" s="1960"/>
    </row>
    <row r="55" spans="1:28" ht="26.25" x14ac:dyDescent="0.45">
      <c r="A55" s="33" t="s">
        <v>29</v>
      </c>
      <c r="B55" s="1959"/>
      <c r="C55" s="1959"/>
      <c r="D55" s="1959"/>
      <c r="E55" s="1959"/>
      <c r="F55" s="1959"/>
      <c r="G55" s="1959"/>
      <c r="H55" s="1959"/>
      <c r="I55" s="1959"/>
      <c r="J55" s="1959"/>
      <c r="K55" s="1959"/>
      <c r="L55" s="1959"/>
      <c r="M55" s="1959"/>
      <c r="N55" s="1959"/>
      <c r="O55" s="1959"/>
      <c r="P55" s="1959"/>
      <c r="Q55" s="1959"/>
      <c r="R55" s="1959"/>
      <c r="S55" s="1959"/>
      <c r="T55" s="1959"/>
      <c r="U55" s="1959"/>
      <c r="V55" s="1959"/>
      <c r="W55" s="1960"/>
      <c r="X55" s="1959"/>
      <c r="Y55" s="1959"/>
      <c r="Z55" s="1959"/>
      <c r="AA55" s="1959"/>
      <c r="AB55" s="1960"/>
    </row>
    <row r="56" spans="1:28" x14ac:dyDescent="0.45">
      <c r="A56" s="33" t="s">
        <v>45</v>
      </c>
      <c r="B56" s="1959"/>
      <c r="C56" s="1959"/>
      <c r="D56" s="1959"/>
      <c r="E56" s="1959"/>
      <c r="F56" s="1959"/>
      <c r="G56" s="1959"/>
      <c r="H56" s="1959"/>
      <c r="I56" s="1959"/>
      <c r="J56" s="1959"/>
      <c r="K56" s="1959"/>
      <c r="L56" s="1959"/>
      <c r="M56" s="1959"/>
      <c r="N56" s="1959"/>
      <c r="O56" s="1959"/>
      <c r="P56" s="1959"/>
      <c r="Q56" s="1959"/>
      <c r="R56" s="1959"/>
      <c r="S56" s="1959"/>
      <c r="T56" s="1959"/>
      <c r="U56" s="1959"/>
      <c r="V56" s="1959"/>
      <c r="W56" s="1960"/>
      <c r="X56" s="1959"/>
      <c r="Y56" s="1959"/>
      <c r="Z56" s="1959"/>
      <c r="AA56" s="1959"/>
      <c r="AB56" s="1960"/>
    </row>
    <row r="57" spans="1:28" x14ac:dyDescent="0.45">
      <c r="A57" s="1401" t="s">
        <v>14</v>
      </c>
      <c r="B57" s="1959"/>
      <c r="C57" s="1959"/>
      <c r="D57" s="1959"/>
      <c r="E57" s="1959"/>
      <c r="F57" s="1959"/>
      <c r="G57" s="1959"/>
      <c r="H57" s="1959"/>
      <c r="I57" s="1959"/>
      <c r="J57" s="1959"/>
      <c r="K57" s="1959"/>
      <c r="L57" s="1959"/>
      <c r="M57" s="1959"/>
      <c r="N57" s="1959"/>
      <c r="O57" s="1959"/>
      <c r="P57" s="1959"/>
      <c r="Q57" s="1959"/>
      <c r="R57" s="1959"/>
      <c r="S57" s="1959"/>
      <c r="T57" s="1959"/>
      <c r="U57" s="1959"/>
      <c r="V57" s="1959"/>
      <c r="W57" s="1960"/>
      <c r="X57" s="1959"/>
      <c r="Y57" s="1959"/>
      <c r="Z57" s="1959"/>
      <c r="AA57" s="1959"/>
      <c r="AB57" s="1960"/>
    </row>
    <row r="58" spans="1:28" ht="26.25" x14ac:dyDescent="0.45">
      <c r="A58" s="33" t="s">
        <v>43</v>
      </c>
      <c r="B58" s="1959"/>
      <c r="C58" s="1959"/>
      <c r="D58" s="1959"/>
      <c r="E58" s="1959"/>
      <c r="F58" s="1959"/>
      <c r="G58" s="1959"/>
      <c r="H58" s="1959"/>
      <c r="I58" s="1959"/>
      <c r="J58" s="1959"/>
      <c r="K58" s="1959"/>
      <c r="L58" s="1959"/>
      <c r="M58" s="1959"/>
      <c r="N58" s="1959"/>
      <c r="O58" s="1959"/>
      <c r="P58" s="1959"/>
      <c r="Q58" s="1959"/>
      <c r="R58" s="1959"/>
      <c r="S58" s="1959"/>
      <c r="T58" s="1959"/>
      <c r="U58" s="1959"/>
      <c r="V58" s="1959"/>
      <c r="W58" s="1960"/>
      <c r="X58" s="1959"/>
      <c r="Y58" s="1959"/>
      <c r="Z58" s="1959"/>
      <c r="AA58" s="1959"/>
      <c r="AB58" s="1960"/>
    </row>
    <row r="59" spans="1:28" x14ac:dyDescent="0.45">
      <c r="A59" s="33" t="s">
        <v>44</v>
      </c>
      <c r="B59" s="1959"/>
      <c r="C59" s="1959"/>
      <c r="D59" s="1959"/>
      <c r="E59" s="1959"/>
      <c r="F59" s="1959"/>
      <c r="G59" s="1959"/>
      <c r="H59" s="1959"/>
      <c r="I59" s="1959"/>
      <c r="J59" s="1959"/>
      <c r="K59" s="1959"/>
      <c r="L59" s="1959"/>
      <c r="M59" s="1959"/>
      <c r="N59" s="1959"/>
      <c r="O59" s="1959"/>
      <c r="P59" s="1959"/>
      <c r="Q59" s="1959"/>
      <c r="R59" s="1959"/>
      <c r="S59" s="1959"/>
      <c r="T59" s="1959"/>
      <c r="U59" s="1959"/>
      <c r="V59" s="1959"/>
      <c r="W59" s="1960"/>
      <c r="X59" s="1959"/>
      <c r="Y59" s="1959"/>
      <c r="Z59" s="1959"/>
      <c r="AA59" s="1959"/>
      <c r="AB59" s="1960"/>
    </row>
    <row r="62" spans="1:28" x14ac:dyDescent="0.45">
      <c r="A62" s="1976"/>
    </row>
    <row r="64" spans="1:28" x14ac:dyDescent="0.45">
      <c r="A64" s="1977" t="s">
        <v>3425</v>
      </c>
    </row>
    <row r="65" spans="1:27" x14ac:dyDescent="0.45">
      <c r="A65" s="1978" t="s">
        <v>3560</v>
      </c>
    </row>
    <row r="66" spans="1:27" x14ac:dyDescent="0.45">
      <c r="A66" s="1979" t="s">
        <v>3558</v>
      </c>
    </row>
    <row r="68" spans="1:27" x14ac:dyDescent="0.45">
      <c r="A68" s="1978" t="s">
        <v>3605</v>
      </c>
    </row>
    <row r="69" spans="1:27" x14ac:dyDescent="0.45">
      <c r="A69" s="1979" t="s">
        <v>3559</v>
      </c>
    </row>
    <row r="71" spans="1:27" x14ac:dyDescent="0.45">
      <c r="A71" s="1978" t="s">
        <v>3440</v>
      </c>
      <c r="W71" s="1973"/>
    </row>
    <row r="72" spans="1:27" ht="11.75" customHeight="1" x14ac:dyDescent="0.45">
      <c r="A72" s="1972"/>
      <c r="B72" s="1973"/>
      <c r="C72" s="1973"/>
      <c r="D72" s="1973"/>
      <c r="E72" s="1973"/>
      <c r="F72" s="1973"/>
      <c r="G72" s="1973"/>
      <c r="H72" s="1973"/>
      <c r="I72" s="1973"/>
      <c r="J72" s="1973"/>
      <c r="K72" s="1973"/>
      <c r="L72" s="1973"/>
      <c r="M72" s="1973"/>
      <c r="N72" s="1973"/>
      <c r="O72" s="1973"/>
      <c r="P72" s="1973"/>
      <c r="Q72" s="1973"/>
      <c r="R72" s="1973"/>
      <c r="S72" s="1973"/>
      <c r="T72" s="1973"/>
      <c r="U72" s="1973"/>
      <c r="V72" s="1973"/>
      <c r="X72" s="1973"/>
      <c r="Y72" s="1973"/>
      <c r="Z72" s="1973"/>
      <c r="AA72" s="1973"/>
    </row>
    <row r="73" spans="1:27" x14ac:dyDescent="0.45">
      <c r="A73" s="1978" t="s">
        <v>3434</v>
      </c>
    </row>
    <row r="74" spans="1:27" x14ac:dyDescent="0.45">
      <c r="A74" s="1978"/>
    </row>
  </sheetData>
  <mergeCells count="27">
    <mergeCell ref="N7:N8"/>
    <mergeCell ref="I7:I8"/>
    <mergeCell ref="J7:J8"/>
    <mergeCell ref="K7:K8"/>
    <mergeCell ref="L7:L8"/>
    <mergeCell ref="M7:M8"/>
    <mergeCell ref="P7:P8"/>
    <mergeCell ref="W7:W8"/>
    <mergeCell ref="R7:R8"/>
    <mergeCell ref="S7:S8"/>
    <mergeCell ref="T7:T8"/>
    <mergeCell ref="A1:AB1"/>
    <mergeCell ref="C7:C8"/>
    <mergeCell ref="AB7:AB8"/>
    <mergeCell ref="H7:H8"/>
    <mergeCell ref="D7:D8"/>
    <mergeCell ref="E7:E8"/>
    <mergeCell ref="F7:F8"/>
    <mergeCell ref="G7:G8"/>
    <mergeCell ref="U7:U8"/>
    <mergeCell ref="V7:V8"/>
    <mergeCell ref="X7:X8"/>
    <mergeCell ref="Y7:Y8"/>
    <mergeCell ref="Z7:Z8"/>
    <mergeCell ref="AA7:AA8"/>
    <mergeCell ref="O7:O8"/>
    <mergeCell ref="Q7:Q8"/>
  </mergeCells>
  <phoneticPr fontId="80" type="noConversion"/>
  <hyperlinks>
    <hyperlink ref="K7" r:id="rId1" xr:uid="{00000000-0004-0000-0F00-000000000000}"/>
    <hyperlink ref="Q10:Q11" r:id="rId2" display="UITP performace evaluation report (2022)" xr:uid="{00000000-0004-0000-0F00-000001000000}"/>
    <hyperlink ref="R10:T10" r:id="rId3" display="UITP performace evaluation report (2022)" xr:uid="{00000000-0004-0000-0F00-000002000000}"/>
    <hyperlink ref="V10" r:id="rId4" xr:uid="{00000000-0004-0000-0F00-000003000000}"/>
    <hyperlink ref="M13" r:id="rId5" xr:uid="{00000000-0004-0000-0F00-000004000000}"/>
    <hyperlink ref="N13:V13" r:id="rId6" display="Recent Indian contracts (https://pib.gov.in/PressReleaseIframePage.aspx?PRID=1820225)" xr:uid="{00000000-0004-0000-0F00-000005000000}"/>
    <hyperlink ref="C16" r:id="rId7" xr:uid="{00000000-0004-0000-0F00-000006000000}"/>
    <hyperlink ref="E16" r:id="rId8" xr:uid="{00000000-0004-0000-0F00-000007000000}"/>
    <hyperlink ref="F16" r:id="rId9" xr:uid="{00000000-0004-0000-0F00-000008000000}"/>
    <hyperlink ref="G16" r:id="rId10" xr:uid="{00000000-0004-0000-0F00-000009000000}"/>
    <hyperlink ref="H16" r:id="rId11" xr:uid="{00000000-0004-0000-0F00-00000A000000}"/>
    <hyperlink ref="I16" r:id="rId12" xr:uid="{00000000-0004-0000-0F00-00000B000000}"/>
    <hyperlink ref="J16" r:id="rId13" xr:uid="{00000000-0004-0000-0F00-00000C000000}"/>
    <hyperlink ref="K16" r:id="rId14" xr:uid="{00000000-0004-0000-0F00-00000D000000}"/>
    <hyperlink ref="L16" r:id="rId15" xr:uid="{00000000-0004-0000-0F00-00000E000000}"/>
    <hyperlink ref="D16" r:id="rId16" xr:uid="{00000000-0004-0000-0F00-00000F000000}"/>
    <hyperlink ref="W10" r:id="rId17" xr:uid="{00000000-0004-0000-0F00-000010000000}"/>
    <hyperlink ref="W13" r:id="rId18" xr:uid="{00000000-0004-0000-0F00-000011000000}"/>
  </hyperlinks>
  <pageMargins left="0.7" right="0.7" top="0.75" bottom="0.75" header="0.3" footer="0.3"/>
  <pageSetup orientation="portrait" r:id="rId19"/>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25"/>
  <sheetViews>
    <sheetView showGridLines="0" zoomScale="70" zoomScaleNormal="70" workbookViewId="0">
      <pane xSplit="2" ySplit="2" topLeftCell="C3" activePane="bottomRight" state="frozen"/>
      <selection sqref="A1:AB1"/>
      <selection pane="topRight" sqref="A1:AB1"/>
      <selection pane="bottomLeft" sqref="A1:AB1"/>
      <selection pane="bottomRight" sqref="A1:AB1"/>
    </sheetView>
  </sheetViews>
  <sheetFormatPr defaultColWidth="8.86328125" defaultRowHeight="14.25" x14ac:dyDescent="0.45"/>
  <cols>
    <col min="1" max="1" width="44.796875" style="1971" customWidth="1"/>
    <col min="2" max="2" width="29.6640625" style="1966" customWidth="1"/>
    <col min="3" max="3" width="13" style="1966" customWidth="1"/>
    <col min="4" max="7" width="11.53125" style="1966" customWidth="1"/>
    <col min="8" max="8" width="10.1328125" style="1966" customWidth="1"/>
    <col min="9" max="9" width="11.46484375" style="1966" customWidth="1"/>
    <col min="10" max="10" width="11.6640625" style="1966" customWidth="1"/>
    <col min="11" max="11" width="11.53125" style="1966" customWidth="1"/>
    <col min="12" max="12" width="10.86328125" style="1966" customWidth="1"/>
    <col min="13" max="16" width="10.53125" style="1966" customWidth="1"/>
    <col min="17" max="27" width="10.796875" style="1966" customWidth="1"/>
    <col min="28" max="28" width="11.19921875" style="1966" customWidth="1"/>
    <col min="29" max="16384" width="8.86328125" style="1966"/>
  </cols>
  <sheetData>
    <row r="1" spans="1:28" ht="18" x14ac:dyDescent="0.45">
      <c r="A1" s="2150" t="s">
        <v>3583</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2"/>
    </row>
    <row r="2" spans="1:28" ht="52.5" x14ac:dyDescent="0.45">
      <c r="A2" s="36"/>
      <c r="B2" s="31"/>
      <c r="C2" s="37" t="s">
        <v>1162</v>
      </c>
      <c r="D2" s="37" t="s">
        <v>1163</v>
      </c>
      <c r="E2" s="37" t="s">
        <v>1164</v>
      </c>
      <c r="F2" s="37" t="s">
        <v>1165</v>
      </c>
      <c r="G2" s="37" t="s">
        <v>1166</v>
      </c>
      <c r="H2" s="37" t="s">
        <v>1167</v>
      </c>
      <c r="I2" s="37" t="s">
        <v>1168</v>
      </c>
      <c r="J2" s="37" t="s">
        <v>1169</v>
      </c>
      <c r="K2" s="31" t="s">
        <v>1140</v>
      </c>
      <c r="L2" s="25" t="s">
        <v>1152</v>
      </c>
      <c r="M2" s="37" t="s">
        <v>1153</v>
      </c>
      <c r="N2" s="37" t="s">
        <v>1156</v>
      </c>
      <c r="O2" s="37" t="s">
        <v>1157</v>
      </c>
      <c r="P2" s="37" t="s">
        <v>1158</v>
      </c>
      <c r="Q2" s="37" t="s">
        <v>1154</v>
      </c>
      <c r="R2" s="37" t="s">
        <v>1155</v>
      </c>
      <c r="S2" s="37" t="s">
        <v>1159</v>
      </c>
      <c r="T2" s="37" t="s">
        <v>1160</v>
      </c>
      <c r="U2" s="37" t="s">
        <v>3400</v>
      </c>
      <c r="V2" s="37" t="s">
        <v>3401</v>
      </c>
      <c r="W2" s="1579" t="s">
        <v>3538</v>
      </c>
      <c r="X2" s="25" t="s">
        <v>1143</v>
      </c>
      <c r="Y2" s="25" t="s">
        <v>1142</v>
      </c>
      <c r="Z2" s="25" t="s">
        <v>1150</v>
      </c>
      <c r="AA2" s="25" t="s">
        <v>1151</v>
      </c>
      <c r="AB2" s="37" t="s">
        <v>1141</v>
      </c>
    </row>
    <row r="3" spans="1:28" x14ac:dyDescent="0.45">
      <c r="A3" s="36"/>
      <c r="B3" s="1953"/>
      <c r="C3" s="1953"/>
      <c r="D3" s="1953"/>
      <c r="E3" s="1953"/>
      <c r="F3" s="1953"/>
      <c r="G3" s="1953"/>
      <c r="H3" s="1953"/>
      <c r="I3" s="1953"/>
      <c r="J3" s="1953"/>
      <c r="K3" s="1953"/>
      <c r="L3" s="1953"/>
      <c r="M3" s="1953"/>
      <c r="N3" s="1953"/>
      <c r="O3" s="1953"/>
      <c r="P3" s="1953"/>
      <c r="Q3" s="1953"/>
      <c r="R3" s="1953"/>
      <c r="S3" s="1953"/>
      <c r="T3" s="1953"/>
      <c r="U3" s="1953"/>
      <c r="V3" s="1953"/>
      <c r="W3" s="1954"/>
      <c r="X3" s="1953"/>
      <c r="Y3" s="1953"/>
      <c r="Z3" s="1953"/>
      <c r="AA3" s="1953"/>
      <c r="AB3" s="1953"/>
    </row>
    <row r="4" spans="1:28" x14ac:dyDescent="0.45">
      <c r="A4" s="36"/>
      <c r="B4" s="1953"/>
      <c r="C4" s="1953"/>
      <c r="D4" s="1953"/>
      <c r="E4" s="1953"/>
      <c r="F4" s="1953"/>
      <c r="G4" s="1953"/>
      <c r="H4" s="1953"/>
      <c r="I4" s="1953"/>
      <c r="J4" s="1953"/>
      <c r="K4" s="1953"/>
      <c r="L4" s="1953"/>
      <c r="M4" s="1953"/>
      <c r="N4" s="1953"/>
      <c r="O4" s="1953"/>
      <c r="P4" s="1953"/>
      <c r="Q4" s="1953"/>
      <c r="R4" s="1953"/>
      <c r="S4" s="1953"/>
      <c r="T4" s="1953"/>
      <c r="U4" s="1953"/>
      <c r="V4" s="1953"/>
      <c r="W4" s="1954"/>
      <c r="X4" s="1953"/>
      <c r="Y4" s="1953"/>
      <c r="Z4" s="1953"/>
      <c r="AA4" s="1953"/>
      <c r="AB4" s="1953"/>
    </row>
    <row r="5" spans="1:28" x14ac:dyDescent="0.45">
      <c r="A5" s="1946" t="s">
        <v>0</v>
      </c>
      <c r="B5" s="1947" t="s">
        <v>1</v>
      </c>
      <c r="C5" s="1947">
        <f>'Base inputs'!C13</f>
        <v>10</v>
      </c>
      <c r="D5" s="1947">
        <f>'Base inputs'!D13</f>
        <v>10</v>
      </c>
      <c r="E5" s="1947">
        <f>'Base inputs'!E13</f>
        <v>10</v>
      </c>
      <c r="F5" s="1947">
        <f>'Base inputs'!F13</f>
        <v>10</v>
      </c>
      <c r="G5" s="1947">
        <f>'Base inputs'!G13</f>
        <v>6</v>
      </c>
      <c r="H5" s="1947">
        <f>'Base inputs'!H13</f>
        <v>6</v>
      </c>
      <c r="I5" s="1947">
        <f>'Base inputs'!I13</f>
        <v>6</v>
      </c>
      <c r="J5" s="1947">
        <f>'Base inputs'!J13</f>
        <v>6</v>
      </c>
      <c r="K5" s="1947">
        <f>'Base inputs'!K13</f>
        <v>8</v>
      </c>
      <c r="L5" s="1947">
        <f>'Base inputs'!L13</f>
        <v>8</v>
      </c>
      <c r="M5" s="1947">
        <f>'Base inputs'!M13</f>
        <v>12</v>
      </c>
      <c r="N5" s="1947">
        <f>'Base inputs'!N13</f>
        <v>12</v>
      </c>
      <c r="O5" s="1947">
        <f>'Base inputs'!O13</f>
        <v>12</v>
      </c>
      <c r="P5" s="1947">
        <f>'Base inputs'!P13</f>
        <v>12</v>
      </c>
      <c r="Q5" s="1947">
        <f>'Base inputs'!Q13</f>
        <v>12</v>
      </c>
      <c r="R5" s="1947">
        <f>'Base inputs'!R13</f>
        <v>12</v>
      </c>
      <c r="S5" s="1947">
        <f>'Base inputs'!S13</f>
        <v>12</v>
      </c>
      <c r="T5" s="1947">
        <f>'Base inputs'!T13</f>
        <v>12</v>
      </c>
      <c r="U5" s="1947">
        <f>'Base inputs'!U13</f>
        <v>12</v>
      </c>
      <c r="V5" s="1947">
        <f>'Base inputs'!V13</f>
        <v>12</v>
      </c>
      <c r="W5" s="1947">
        <f>'Base inputs'!W13</f>
        <v>12</v>
      </c>
      <c r="X5" s="1947">
        <f>'Base inputs'!X13</f>
        <v>15</v>
      </c>
      <c r="Y5" s="1947">
        <f>'Base inputs'!Y13</f>
        <v>15</v>
      </c>
      <c r="Z5" s="1947">
        <f>'Base inputs'!Z13</f>
        <v>10</v>
      </c>
      <c r="AA5" s="1947">
        <f>'Base inputs'!AA13</f>
        <v>10</v>
      </c>
      <c r="AB5" s="1947">
        <f>'Base inputs'!AB13</f>
        <v>40</v>
      </c>
    </row>
    <row r="6" spans="1:28" ht="26.25" x14ac:dyDescent="0.45">
      <c r="A6" s="1946" t="s">
        <v>2</v>
      </c>
      <c r="B6" s="1947" t="s">
        <v>3</v>
      </c>
      <c r="C6" s="1948">
        <f>'Base inputs'!C14</f>
        <v>6500</v>
      </c>
      <c r="D6" s="1948">
        <f>'Base inputs'!D14</f>
        <v>6500</v>
      </c>
      <c r="E6" s="1948">
        <f>'Base inputs'!E14</f>
        <v>6500</v>
      </c>
      <c r="F6" s="1948">
        <f>'Base inputs'!F14</f>
        <v>6500</v>
      </c>
      <c r="G6" s="1948">
        <f>'Base inputs'!G14</f>
        <v>18000</v>
      </c>
      <c r="H6" s="1948">
        <f>'Base inputs'!H14</f>
        <v>18000</v>
      </c>
      <c r="I6" s="1948">
        <f>'Base inputs'!I14</f>
        <v>18000</v>
      </c>
      <c r="J6" s="1948">
        <f>'Base inputs'!J14</f>
        <v>18000</v>
      </c>
      <c r="K6" s="1948">
        <f>'Base inputs'!K14</f>
        <v>35000</v>
      </c>
      <c r="L6" s="1948">
        <f>'Base inputs'!L14</f>
        <v>35000</v>
      </c>
      <c r="M6" s="1948">
        <f>'Base inputs'!M14</f>
        <v>60000</v>
      </c>
      <c r="N6" s="1948">
        <f>'Base inputs'!N14</f>
        <v>70000</v>
      </c>
      <c r="O6" s="1948">
        <f>'Base inputs'!O14</f>
        <v>60000</v>
      </c>
      <c r="P6" s="1948">
        <f>'Base inputs'!P14</f>
        <v>70000</v>
      </c>
      <c r="Q6" s="1948">
        <f>'Base inputs'!Q14</f>
        <v>60000</v>
      </c>
      <c r="R6" s="1948">
        <f>'Base inputs'!R14</f>
        <v>70000</v>
      </c>
      <c r="S6" s="1948">
        <f>'Base inputs'!S14</f>
        <v>60000</v>
      </c>
      <c r="T6" s="1948">
        <f>'Base inputs'!T14</f>
        <v>70000</v>
      </c>
      <c r="U6" s="1948">
        <f>'Base inputs'!U14</f>
        <v>122500</v>
      </c>
      <c r="V6" s="1948">
        <f>'Base inputs'!V14</f>
        <v>122500</v>
      </c>
      <c r="W6" s="1948">
        <f>'Base inputs'!W14</f>
        <v>122500</v>
      </c>
      <c r="X6" s="1948">
        <f>'Base inputs'!X14</f>
        <v>12100</v>
      </c>
      <c r="Y6" s="1948">
        <f>'Base inputs'!Y14</f>
        <v>12100</v>
      </c>
      <c r="Z6" s="1948">
        <f>'Base inputs'!Z14</f>
        <v>48000</v>
      </c>
      <c r="AA6" s="1948">
        <f>'Base inputs'!AA14</f>
        <v>48000</v>
      </c>
      <c r="AB6" s="1948">
        <f>'Base inputs'!AB14</f>
        <v>179200</v>
      </c>
    </row>
    <row r="7" spans="1:28" x14ac:dyDescent="0.45">
      <c r="A7" s="1949" t="s">
        <v>4</v>
      </c>
      <c r="B7" s="1950" t="s">
        <v>5</v>
      </c>
      <c r="C7" s="1951">
        <f t="shared" ref="C7:J7" si="0">C6/365</f>
        <v>17.80821917808219</v>
      </c>
      <c r="D7" s="1951">
        <f t="shared" si="0"/>
        <v>17.80821917808219</v>
      </c>
      <c r="E7" s="1951">
        <f t="shared" si="0"/>
        <v>17.80821917808219</v>
      </c>
      <c r="F7" s="1951">
        <f t="shared" si="0"/>
        <v>17.80821917808219</v>
      </c>
      <c r="G7" s="1951">
        <f t="shared" si="0"/>
        <v>49.315068493150683</v>
      </c>
      <c r="H7" s="1951">
        <f t="shared" si="0"/>
        <v>49.315068493150683</v>
      </c>
      <c r="I7" s="1951">
        <f t="shared" si="0"/>
        <v>49.315068493150683</v>
      </c>
      <c r="J7" s="1951">
        <f t="shared" si="0"/>
        <v>49.315068493150683</v>
      </c>
      <c r="K7" s="1950">
        <v>100</v>
      </c>
      <c r="L7" s="1950">
        <v>100</v>
      </c>
      <c r="M7" s="1950">
        <f t="shared" ref="M7:T7" si="1">M6/350</f>
        <v>171.42857142857142</v>
      </c>
      <c r="N7" s="1950">
        <f t="shared" si="1"/>
        <v>200</v>
      </c>
      <c r="O7" s="1950">
        <f t="shared" si="1"/>
        <v>171.42857142857142</v>
      </c>
      <c r="P7" s="1950">
        <f t="shared" si="1"/>
        <v>200</v>
      </c>
      <c r="Q7" s="1950">
        <f t="shared" si="1"/>
        <v>171.42857142857142</v>
      </c>
      <c r="R7" s="1950">
        <f t="shared" si="1"/>
        <v>200</v>
      </c>
      <c r="S7" s="1950">
        <f t="shared" si="1"/>
        <v>171.42857142857142</v>
      </c>
      <c r="T7" s="1950">
        <f t="shared" si="1"/>
        <v>200</v>
      </c>
      <c r="U7" s="1950">
        <f>U6/350</f>
        <v>350</v>
      </c>
      <c r="V7" s="1950">
        <f>V6/350</f>
        <v>350</v>
      </c>
      <c r="W7" s="1950">
        <f>W6/350</f>
        <v>350</v>
      </c>
      <c r="X7" s="1951">
        <f>X6/365</f>
        <v>33.150684931506852</v>
      </c>
      <c r="Y7" s="1951">
        <f>Y6/365</f>
        <v>33.150684931506852</v>
      </c>
      <c r="Z7" s="1951">
        <f>Z6/365</f>
        <v>131.50684931506851</v>
      </c>
      <c r="AA7" s="1951">
        <f>AA6/365</f>
        <v>131.50684931506851</v>
      </c>
      <c r="AB7" s="1951">
        <f>AB6/365</f>
        <v>490.95890410958901</v>
      </c>
    </row>
    <row r="8" spans="1:28" ht="26.25" x14ac:dyDescent="0.45">
      <c r="A8" s="1949" t="s">
        <v>6</v>
      </c>
      <c r="B8" s="1950" t="s">
        <v>7</v>
      </c>
      <c r="C8" s="1950">
        <f t="shared" ref="C8:AB8" si="2">C6*C5</f>
        <v>65000</v>
      </c>
      <c r="D8" s="1950">
        <f t="shared" si="2"/>
        <v>65000</v>
      </c>
      <c r="E8" s="1950">
        <f t="shared" si="2"/>
        <v>65000</v>
      </c>
      <c r="F8" s="1950">
        <f t="shared" si="2"/>
        <v>65000</v>
      </c>
      <c r="G8" s="1950">
        <f t="shared" si="2"/>
        <v>108000</v>
      </c>
      <c r="H8" s="1950">
        <f t="shared" si="2"/>
        <v>108000</v>
      </c>
      <c r="I8" s="1950">
        <f t="shared" si="2"/>
        <v>108000</v>
      </c>
      <c r="J8" s="1950">
        <f t="shared" si="2"/>
        <v>108000</v>
      </c>
      <c r="K8" s="1950">
        <f t="shared" si="2"/>
        <v>280000</v>
      </c>
      <c r="L8" s="1950">
        <f t="shared" si="2"/>
        <v>280000</v>
      </c>
      <c r="M8" s="1950">
        <f t="shared" si="2"/>
        <v>720000</v>
      </c>
      <c r="N8" s="1950">
        <f t="shared" si="2"/>
        <v>840000</v>
      </c>
      <c r="O8" s="1950">
        <f t="shared" si="2"/>
        <v>720000</v>
      </c>
      <c r="P8" s="1950">
        <f t="shared" si="2"/>
        <v>840000</v>
      </c>
      <c r="Q8" s="1950">
        <f t="shared" si="2"/>
        <v>720000</v>
      </c>
      <c r="R8" s="1950">
        <f t="shared" si="2"/>
        <v>840000</v>
      </c>
      <c r="S8" s="1950">
        <f t="shared" si="2"/>
        <v>720000</v>
      </c>
      <c r="T8" s="1950">
        <f t="shared" si="2"/>
        <v>840000</v>
      </c>
      <c r="U8" s="1950">
        <f>U6*U5</f>
        <v>1470000</v>
      </c>
      <c r="V8" s="1950">
        <f>V6*V5</f>
        <v>1470000</v>
      </c>
      <c r="W8" s="1950">
        <f>W6*W5</f>
        <v>1470000</v>
      </c>
      <c r="X8" s="1950">
        <f t="shared" si="2"/>
        <v>181500</v>
      </c>
      <c r="Y8" s="1950">
        <f t="shared" si="2"/>
        <v>181500</v>
      </c>
      <c r="Z8" s="1950">
        <f t="shared" si="2"/>
        <v>480000</v>
      </c>
      <c r="AA8" s="1950">
        <f t="shared" si="2"/>
        <v>480000</v>
      </c>
      <c r="AB8" s="1950">
        <f t="shared" si="2"/>
        <v>7168000</v>
      </c>
    </row>
    <row r="9" spans="1:28" ht="28.5" x14ac:dyDescent="0.45">
      <c r="A9" s="1946" t="s">
        <v>29</v>
      </c>
      <c r="B9" s="1947"/>
      <c r="C9" s="1947" t="str">
        <f>'Base inputs'!C55</f>
        <v>Region-specific</v>
      </c>
      <c r="D9" s="1947" t="str">
        <f>'Base inputs'!D55</f>
        <v>Region-specific</v>
      </c>
      <c r="E9" s="1947" t="str">
        <f>'Base inputs'!E55</f>
        <v>Region-specific</v>
      </c>
      <c r="F9" s="1947" t="str">
        <f>'Base inputs'!F55</f>
        <v>Region-specific</v>
      </c>
      <c r="G9" s="1947" t="str">
        <f>'Base inputs'!G55</f>
        <v>Region-specific</v>
      </c>
      <c r="H9" s="1947" t="str">
        <f>'Base inputs'!H55</f>
        <v>Region-specific</v>
      </c>
      <c r="I9" s="1947" t="str">
        <f>'Base inputs'!I55</f>
        <v>Region-specific</v>
      </c>
      <c r="J9" s="1947" t="str">
        <f>'Base inputs'!J55</f>
        <v>Region-specific</v>
      </c>
      <c r="K9" s="1947" t="str">
        <f>'Base inputs'!K55</f>
        <v>Region-specific</v>
      </c>
      <c r="L9" s="1947" t="str">
        <f>'Base inputs'!L55</f>
        <v>Region-specific</v>
      </c>
      <c r="M9" s="1947" t="str">
        <f>'Base inputs'!M55</f>
        <v>Region-specific</v>
      </c>
      <c r="N9" s="1947" t="str">
        <f>'Base inputs'!N55</f>
        <v>Region-specific</v>
      </c>
      <c r="O9" s="1947" t="str">
        <f>'Base inputs'!O55</f>
        <v>Region-specific</v>
      </c>
      <c r="P9" s="1947" t="str">
        <f>'Base inputs'!P55</f>
        <v>Region-specific</v>
      </c>
      <c r="Q9" s="1947" t="str">
        <f>'Base inputs'!Q55</f>
        <v>Region-specific</v>
      </c>
      <c r="R9" s="1947" t="str">
        <f>'Base inputs'!R55</f>
        <v>Region-specific</v>
      </c>
      <c r="S9" s="1947" t="str">
        <f>'Base inputs'!S55</f>
        <v>Region-specific</v>
      </c>
      <c r="T9" s="1947" t="str">
        <f>'Base inputs'!T55</f>
        <v>Region-specific</v>
      </c>
      <c r="U9" s="1947" t="str">
        <f>'Base inputs'!U55</f>
        <v>Region-specific</v>
      </c>
      <c r="V9" s="1947" t="str">
        <f>'Base inputs'!V55</f>
        <v>Region-specific</v>
      </c>
      <c r="W9" s="1947" t="str">
        <f>'Base inputs'!W55</f>
        <v>Region-specific</v>
      </c>
      <c r="X9" s="1947" t="str">
        <f>'Base inputs'!X55</f>
        <v>Fuel-specific</v>
      </c>
      <c r="Y9" s="1947" t="str">
        <f>'Base inputs'!Y55</f>
        <v>Region-specific</v>
      </c>
      <c r="Z9" s="1947" t="str">
        <f>'Base inputs'!Z55</f>
        <v>Region-specific</v>
      </c>
      <c r="AA9" s="1947" t="str">
        <f>'Base inputs'!AA55</f>
        <v>Region-specific</v>
      </c>
      <c r="AB9" s="1947" t="str">
        <f>'Base inputs'!AB55</f>
        <v>Region-specific</v>
      </c>
    </row>
    <row r="10" spans="1:28" ht="28.5" x14ac:dyDescent="0.45">
      <c r="A10" s="1946" t="s">
        <v>45</v>
      </c>
      <c r="B10" s="1947"/>
      <c r="C10" s="1947" t="str">
        <f>'Base inputs'!C56</f>
        <v>Dedicated renewables</v>
      </c>
      <c r="D10" s="1947" t="str">
        <f>'Base inputs'!D56</f>
        <v>Dedicated renewables</v>
      </c>
      <c r="E10" s="1947" t="str">
        <f>'Base inputs'!E56</f>
        <v>Dedicated renewables</v>
      </c>
      <c r="F10" s="1947" t="str">
        <f>'Base inputs'!F56</f>
        <v>Dedicated renewables</v>
      </c>
      <c r="G10" s="1947" t="str">
        <f>'Base inputs'!G56</f>
        <v>Dedicated renewables</v>
      </c>
      <c r="H10" s="1947" t="str">
        <f>'Base inputs'!H56</f>
        <v>Dedicated renewables</v>
      </c>
      <c r="I10" s="1947" t="str">
        <f>'Base inputs'!I56</f>
        <v>Dedicated renewables</v>
      </c>
      <c r="J10" s="1947" t="str">
        <f>'Base inputs'!J56</f>
        <v>Dedicated renewables</v>
      </c>
      <c r="K10" s="1947" t="str">
        <f>'Base inputs'!K56</f>
        <v>Dedicated renewables</v>
      </c>
      <c r="L10" s="1947" t="str">
        <f>'Base inputs'!L56</f>
        <v>Dedicated renewables</v>
      </c>
      <c r="M10" s="1947" t="str">
        <f>'Base inputs'!M56</f>
        <v>Dedicated renewables</v>
      </c>
      <c r="N10" s="1947" t="str">
        <f>'Base inputs'!N56</f>
        <v>Dedicated renewables</v>
      </c>
      <c r="O10" s="1947" t="str">
        <f>'Base inputs'!O56</f>
        <v>Dedicated renewables</v>
      </c>
      <c r="P10" s="1947" t="str">
        <f>'Base inputs'!P56</f>
        <v>Dedicated renewables</v>
      </c>
      <c r="Q10" s="1947" t="str">
        <f>'Base inputs'!Q56</f>
        <v>Dedicated renewables</v>
      </c>
      <c r="R10" s="1947" t="str">
        <f>'Base inputs'!R56</f>
        <v>Dedicated renewables</v>
      </c>
      <c r="S10" s="1947" t="str">
        <f>'Base inputs'!S56</f>
        <v>Dedicated renewables</v>
      </c>
      <c r="T10" s="1947" t="str">
        <f>'Base inputs'!T56</f>
        <v>Dedicated renewables</v>
      </c>
      <c r="U10" s="1947" t="str">
        <f>'Base inputs'!U56</f>
        <v>Dedicated renewables</v>
      </c>
      <c r="V10" s="1947" t="str">
        <f>'Base inputs'!V56</f>
        <v>Dedicated renewables</v>
      </c>
      <c r="W10" s="1947" t="str">
        <f>'Base inputs'!W56</f>
        <v>Dedicated renewables</v>
      </c>
      <c r="X10" s="1947" t="str">
        <f>'Base inputs'!X56</f>
        <v>Dedicated renewables</v>
      </c>
      <c r="Y10" s="1947" t="str">
        <f>'Base inputs'!Y56</f>
        <v>Dedicated renewables</v>
      </c>
      <c r="Z10" s="1947" t="str">
        <f>'Base inputs'!Z56</f>
        <v>Dedicated renewables</v>
      </c>
      <c r="AA10" s="1947" t="str">
        <f>'Base inputs'!AA56</f>
        <v>Dedicated renewables</v>
      </c>
      <c r="AB10" s="1947" t="str">
        <f>'Base inputs'!AB56</f>
        <v>Dedicated renewables</v>
      </c>
    </row>
    <row r="11" spans="1:28" ht="14" customHeight="1" x14ac:dyDescent="0.45">
      <c r="A11" s="1946" t="s">
        <v>44</v>
      </c>
      <c r="B11" s="1947"/>
      <c r="C11" s="1952" t="str">
        <f>'Base inputs'!C60</f>
        <v>India</v>
      </c>
      <c r="D11" s="1952" t="str">
        <f>'Base inputs'!D60</f>
        <v>India</v>
      </c>
      <c r="E11" s="1952" t="str">
        <f>'Base inputs'!E60</f>
        <v>India</v>
      </c>
      <c r="F11" s="1952" t="str">
        <f>'Base inputs'!F60</f>
        <v>India</v>
      </c>
      <c r="G11" s="1952" t="str">
        <f>'Base inputs'!G60</f>
        <v>India</v>
      </c>
      <c r="H11" s="1952" t="str">
        <f>'Base inputs'!H60</f>
        <v>India</v>
      </c>
      <c r="I11" s="1952" t="str">
        <f>'Base inputs'!I60</f>
        <v>India</v>
      </c>
      <c r="J11" s="1952" t="str">
        <f>'Base inputs'!J60</f>
        <v>India</v>
      </c>
      <c r="K11" s="1952" t="str">
        <f>'Base inputs'!K60</f>
        <v>India</v>
      </c>
      <c r="L11" s="1952" t="str">
        <f>'Base inputs'!L60</f>
        <v>India</v>
      </c>
      <c r="M11" s="1952" t="str">
        <f>'Base inputs'!M60</f>
        <v>India</v>
      </c>
      <c r="N11" s="1952" t="str">
        <f>'Base inputs'!N60</f>
        <v>India</v>
      </c>
      <c r="O11" s="1952" t="str">
        <f>'Base inputs'!O60</f>
        <v>India</v>
      </c>
      <c r="P11" s="1952" t="str">
        <f>'Base inputs'!P60</f>
        <v>India</v>
      </c>
      <c r="Q11" s="1952" t="str">
        <f>'Base inputs'!Q60</f>
        <v>India</v>
      </c>
      <c r="R11" s="1952" t="str">
        <f>'Base inputs'!R60</f>
        <v>India</v>
      </c>
      <c r="S11" s="1952" t="str">
        <f>'Base inputs'!S60</f>
        <v>India</v>
      </c>
      <c r="T11" s="1952" t="str">
        <f>'Base inputs'!T60</f>
        <v>India</v>
      </c>
      <c r="U11" s="1952" t="str">
        <f>'Base inputs'!U60</f>
        <v>India</v>
      </c>
      <c r="V11" s="1952" t="str">
        <f>'Base inputs'!V60</f>
        <v>India</v>
      </c>
      <c r="W11" s="1952" t="str">
        <f>'Base inputs'!W60</f>
        <v>India</v>
      </c>
      <c r="X11" s="1952" t="str">
        <f>'Base inputs'!X60</f>
        <v>India</v>
      </c>
      <c r="Y11" s="1952" t="str">
        <f>'Base inputs'!Y60</f>
        <v>India</v>
      </c>
      <c r="Z11" s="1952" t="str">
        <f>'Base inputs'!Z60</f>
        <v>India</v>
      </c>
      <c r="AA11" s="1952" t="str">
        <f>'Base inputs'!AA60</f>
        <v>India</v>
      </c>
      <c r="AB11" s="1952" t="str">
        <f>'Base inputs'!AB60</f>
        <v>India</v>
      </c>
    </row>
    <row r="12" spans="1:28" x14ac:dyDescent="0.45">
      <c r="A12" s="1946" t="s">
        <v>14</v>
      </c>
      <c r="B12" s="1947"/>
      <c r="C12" s="1947">
        <f>'Base inputs'!C57</f>
        <v>2022</v>
      </c>
      <c r="D12" s="1947">
        <f>'Base inputs'!D57</f>
        <v>2022</v>
      </c>
      <c r="E12" s="1947">
        <f>'Base inputs'!E57</f>
        <v>2022</v>
      </c>
      <c r="F12" s="1947">
        <f>'Base inputs'!F57</f>
        <v>2022</v>
      </c>
      <c r="G12" s="1947">
        <f>'Base inputs'!G57</f>
        <v>2022</v>
      </c>
      <c r="H12" s="1947">
        <f>'Base inputs'!H57</f>
        <v>2022</v>
      </c>
      <c r="I12" s="1947">
        <f>'Base inputs'!I57</f>
        <v>2022</v>
      </c>
      <c r="J12" s="1947">
        <f>'Base inputs'!J57</f>
        <v>2022</v>
      </c>
      <c r="K12" s="1947">
        <f>'Base inputs'!K57</f>
        <v>2022</v>
      </c>
      <c r="L12" s="1947">
        <f>'Base inputs'!L57</f>
        <v>2022</v>
      </c>
      <c r="M12" s="1947">
        <f>'Base inputs'!M57</f>
        <v>2022</v>
      </c>
      <c r="N12" s="1947">
        <f>'Base inputs'!N57</f>
        <v>2022</v>
      </c>
      <c r="O12" s="1947">
        <f>'Base inputs'!O57</f>
        <v>2022</v>
      </c>
      <c r="P12" s="1947">
        <f>'Base inputs'!P57</f>
        <v>2022</v>
      </c>
      <c r="Q12" s="1947">
        <f>'Base inputs'!Q57</f>
        <v>2022</v>
      </c>
      <c r="R12" s="1947">
        <f>'Base inputs'!R57</f>
        <v>2022</v>
      </c>
      <c r="S12" s="1947">
        <f>'Base inputs'!S57</f>
        <v>2022</v>
      </c>
      <c r="T12" s="1947">
        <f>'Base inputs'!T57</f>
        <v>2022</v>
      </c>
      <c r="U12" s="1947">
        <f>'Base inputs'!U57</f>
        <v>2022</v>
      </c>
      <c r="V12" s="1947">
        <f>'Base inputs'!V57</f>
        <v>2022</v>
      </c>
      <c r="W12" s="1947">
        <f>'Base inputs'!W57</f>
        <v>2022</v>
      </c>
      <c r="X12" s="1947">
        <f>'Base inputs'!X57</f>
        <v>2022</v>
      </c>
      <c r="Y12" s="1947">
        <f>'Base inputs'!Y57</f>
        <v>2022</v>
      </c>
      <c r="Z12" s="1947">
        <f>'Base inputs'!Z57</f>
        <v>2022</v>
      </c>
      <c r="AA12" s="1947">
        <f>'Base inputs'!AA57</f>
        <v>2022</v>
      </c>
      <c r="AB12" s="1947">
        <f>'Base inputs'!AB57</f>
        <v>2022</v>
      </c>
    </row>
    <row r="13" spans="1:28" ht="28.5" x14ac:dyDescent="0.45">
      <c r="A13" s="1946" t="s">
        <v>43</v>
      </c>
      <c r="B13" s="1947"/>
      <c r="C13" s="1947" t="str">
        <f>'Base inputs'!C58</f>
        <v>Switch to Renewables</v>
      </c>
      <c r="D13" s="1947" t="str">
        <f>'Base inputs'!D58</f>
        <v>Constant</v>
      </c>
      <c r="E13" s="1947" t="str">
        <f>'Base inputs'!E58</f>
        <v>Switch to Renewables</v>
      </c>
      <c r="F13" s="1947" t="str">
        <f>'Base inputs'!F58</f>
        <v>Constant</v>
      </c>
      <c r="G13" s="1947" t="str">
        <f>'Base inputs'!G58</f>
        <v>Switch to Renewables</v>
      </c>
      <c r="H13" s="1947" t="str">
        <f>'Base inputs'!H58</f>
        <v>Constant</v>
      </c>
      <c r="I13" s="1947" t="str">
        <f>'Base inputs'!I58</f>
        <v>Switch to Renewables</v>
      </c>
      <c r="J13" s="1947" t="str">
        <f>'Base inputs'!J58</f>
        <v>Constant</v>
      </c>
      <c r="K13" s="1947" t="str">
        <f>'Base inputs'!K58</f>
        <v>Switch to Renewables</v>
      </c>
      <c r="L13" s="1947" t="str">
        <f>'Base inputs'!L58</f>
        <v>Constant</v>
      </c>
      <c r="M13" s="1947" t="str">
        <f>'Base inputs'!M58</f>
        <v>Switch to Renewables</v>
      </c>
      <c r="N13" s="1947" t="str">
        <f>'Base inputs'!N58</f>
        <v>Switch to Renewables</v>
      </c>
      <c r="O13" s="1947" t="str">
        <f>'Base inputs'!O58</f>
        <v>Constant</v>
      </c>
      <c r="P13" s="1947" t="str">
        <f>'Base inputs'!P58</f>
        <v>Constant</v>
      </c>
      <c r="Q13" s="1947" t="str">
        <f>'Base inputs'!Q58</f>
        <v>Constant</v>
      </c>
      <c r="R13" s="1947" t="str">
        <f>'Base inputs'!R58</f>
        <v>Constant</v>
      </c>
      <c r="S13" s="1947" t="str">
        <f>'Base inputs'!S58</f>
        <v>Constant</v>
      </c>
      <c r="T13" s="1947" t="str">
        <f>'Base inputs'!T58</f>
        <v>Constant</v>
      </c>
      <c r="U13" s="1947" t="str">
        <f>'Base inputs'!U58</f>
        <v>Constant</v>
      </c>
      <c r="V13" s="1947" t="str">
        <f>'Base inputs'!V58</f>
        <v>Constant</v>
      </c>
      <c r="W13" s="1947" t="str">
        <f>'Base inputs'!W58</f>
        <v>Constant</v>
      </c>
      <c r="X13" s="1947" t="str">
        <f>'Base inputs'!X58</f>
        <v>Switch to Renewables</v>
      </c>
      <c r="Y13" s="1947" t="str">
        <f>'Base inputs'!Y58</f>
        <v>Constant</v>
      </c>
      <c r="Z13" s="1947" t="str">
        <f>'Base inputs'!Z58</f>
        <v>Switch to Renewables</v>
      </c>
      <c r="AA13" s="1947" t="str">
        <f>'Base inputs'!AA58</f>
        <v>Constant</v>
      </c>
      <c r="AB13" s="1947" t="str">
        <f>'Base inputs'!AB58</f>
        <v>Constant</v>
      </c>
    </row>
    <row r="14" spans="1:28" x14ac:dyDescent="0.45">
      <c r="A14" s="1946" t="s">
        <v>8</v>
      </c>
      <c r="B14" s="1947" t="s">
        <v>9</v>
      </c>
      <c r="C14" s="1952">
        <f>'Base inputs'!C16</f>
        <v>99</v>
      </c>
      <c r="D14" s="1952">
        <f>'Base inputs'!D16</f>
        <v>83.3</v>
      </c>
      <c r="E14" s="1952">
        <f>'Base inputs'!E16</f>
        <v>104.4</v>
      </c>
      <c r="F14" s="1952">
        <f>'Base inputs'!F16</f>
        <v>83</v>
      </c>
      <c r="G14" s="1952">
        <f>'Base inputs'!G16</f>
        <v>99</v>
      </c>
      <c r="H14" s="1952">
        <f>'Base inputs'!H16</f>
        <v>83.3</v>
      </c>
      <c r="I14" s="1952">
        <f>'Base inputs'!I16</f>
        <v>104.4</v>
      </c>
      <c r="J14" s="1952">
        <f>'Base inputs'!J16</f>
        <v>83</v>
      </c>
      <c r="K14" s="1952">
        <f>'Base inputs'!K16</f>
        <v>350</v>
      </c>
      <c r="L14" s="1952">
        <f>'Base inputs'!L16</f>
        <v>300</v>
      </c>
      <c r="M14" s="1952">
        <f>'Base inputs'!M16</f>
        <v>6805</v>
      </c>
      <c r="N14" s="1952">
        <f>'Base inputs'!N16</f>
        <v>9950</v>
      </c>
      <c r="O14" s="1952">
        <f>'Base inputs'!O16</f>
        <v>6805</v>
      </c>
      <c r="P14" s="1952">
        <f>'Base inputs'!P16</f>
        <v>9950</v>
      </c>
      <c r="Q14" s="1952">
        <f>'Base inputs'!Q16</f>
        <v>8500</v>
      </c>
      <c r="R14" s="1952">
        <f>'Base inputs'!R16</f>
        <v>10800</v>
      </c>
      <c r="S14" s="1952">
        <f>'Base inputs'!S16</f>
        <v>8500</v>
      </c>
      <c r="T14" s="1952">
        <f>'Base inputs'!T16</f>
        <v>10800</v>
      </c>
      <c r="U14" s="1952">
        <f>'Base inputs'!U16</f>
        <v>9950</v>
      </c>
      <c r="V14" s="1952">
        <f>'Base inputs'!V16</f>
        <v>10800</v>
      </c>
      <c r="W14" s="1952">
        <f>'Base inputs'!W16</f>
        <v>9950</v>
      </c>
      <c r="X14" s="1952">
        <f>'Base inputs'!X16</f>
        <v>1300</v>
      </c>
      <c r="Y14" s="1952">
        <f>'Base inputs'!Y16</f>
        <v>1240</v>
      </c>
      <c r="Z14" s="1952">
        <f>'Base inputs'!Z16</f>
        <v>1300</v>
      </c>
      <c r="AA14" s="1952">
        <f>'Base inputs'!AA16</f>
        <v>1240</v>
      </c>
      <c r="AB14" s="1952">
        <f>'Base inputs'!AB16</f>
        <v>186000</v>
      </c>
    </row>
    <row r="15" spans="1:28" x14ac:dyDescent="0.45">
      <c r="A15" s="1946" t="s">
        <v>10</v>
      </c>
      <c r="B15" s="1947" t="s">
        <v>11</v>
      </c>
      <c r="C15" s="1952">
        <f>'Base inputs'!C34</f>
        <v>0</v>
      </c>
      <c r="D15" s="1952">
        <f>'Base inputs'!D34</f>
        <v>3.7</v>
      </c>
      <c r="E15" s="1952">
        <f>'Base inputs'!E34</f>
        <v>0</v>
      </c>
      <c r="F15" s="1952">
        <f>'Base inputs'!F34</f>
        <v>4</v>
      </c>
      <c r="G15" s="1952">
        <f>'Base inputs'!G34</f>
        <v>0</v>
      </c>
      <c r="H15" s="1952">
        <f>'Base inputs'!H34</f>
        <v>3.7</v>
      </c>
      <c r="I15" s="1952">
        <f>'Base inputs'!I34</f>
        <v>0</v>
      </c>
      <c r="J15" s="1952">
        <f>'Base inputs'!J34</f>
        <v>3.7</v>
      </c>
      <c r="K15" s="1952">
        <f>'Base inputs'!K34</f>
        <v>0</v>
      </c>
      <c r="L15" s="1952">
        <f>'Base inputs'!L34</f>
        <v>10</v>
      </c>
      <c r="M15" s="1952">
        <f>'Base inputs'!M34</f>
        <v>0</v>
      </c>
      <c r="N15" s="1952">
        <f>'Base inputs'!N34</f>
        <v>0</v>
      </c>
      <c r="O15" s="1952">
        <f>'Base inputs'!O34</f>
        <v>0</v>
      </c>
      <c r="P15" s="1952">
        <f>'Base inputs'!P34</f>
        <v>0</v>
      </c>
      <c r="Q15" s="1952">
        <f>'Base inputs'!Q34</f>
        <v>180</v>
      </c>
      <c r="R15" s="1952">
        <f>'Base inputs'!R34</f>
        <v>324</v>
      </c>
      <c r="S15" s="1952">
        <f>'Base inputs'!S34</f>
        <v>180</v>
      </c>
      <c r="T15" s="1952">
        <f>'Base inputs'!T34</f>
        <v>324</v>
      </c>
      <c r="U15" s="1952">
        <f>'Base inputs'!U34</f>
        <v>0</v>
      </c>
      <c r="V15" s="1952">
        <f>'Base inputs'!V34</f>
        <v>365</v>
      </c>
      <c r="W15" s="1952">
        <f>'Base inputs'!W34</f>
        <v>24</v>
      </c>
      <c r="X15" s="1952">
        <f>'Base inputs'!X34</f>
        <v>0</v>
      </c>
      <c r="Y15" s="1952">
        <f>'Base inputs'!Y34</f>
        <v>40</v>
      </c>
      <c r="Z15" s="1952">
        <f>'Base inputs'!Z34</f>
        <v>0</v>
      </c>
      <c r="AA15" s="1952">
        <f>'Base inputs'!AA34</f>
        <v>50</v>
      </c>
      <c r="AB15" s="1952">
        <f>'Base inputs'!AB34</f>
        <v>0</v>
      </c>
    </row>
    <row r="16" spans="1:28" ht="57" x14ac:dyDescent="0.45">
      <c r="A16" s="1946" t="s">
        <v>30</v>
      </c>
      <c r="B16" s="1947"/>
      <c r="C16" s="1952" t="str">
        <f>'Base inputs'!C30</f>
        <v>With Al smelting mostly from coal</v>
      </c>
      <c r="D16" s="1952" t="str">
        <f>'Base inputs'!D30</f>
        <v>With Al smelting mostly from coal</v>
      </c>
      <c r="E16" s="1952" t="str">
        <f>'Base inputs'!E30</f>
        <v>With Al smelting mostly from coal</v>
      </c>
      <c r="F16" s="1952" t="str">
        <f>'Base inputs'!F30</f>
        <v>With Al smelting mostly from coal</v>
      </c>
      <c r="G16" s="1952" t="str">
        <f>'Base inputs'!G30</f>
        <v>With Al smelting mostly from coal</v>
      </c>
      <c r="H16" s="1952" t="str">
        <f>'Base inputs'!H30</f>
        <v>With Al smelting mostly from coal</v>
      </c>
      <c r="I16" s="1952" t="str">
        <f>'Base inputs'!I30</f>
        <v>With Al smelting mostly from coal</v>
      </c>
      <c r="J16" s="1952" t="str">
        <f>'Base inputs'!J30</f>
        <v>With Al smelting mostly from coal</v>
      </c>
      <c r="K16" s="1952" t="str">
        <f>'Base inputs'!K30</f>
        <v>With Al smelting mostly from coal</v>
      </c>
      <c r="L16" s="1952" t="str">
        <f>'Base inputs'!L30</f>
        <v>With Al smelting mostly from coal</v>
      </c>
      <c r="M16" s="1952" t="str">
        <f>'Base inputs'!M30</f>
        <v>With Al smelting mostly from coal</v>
      </c>
      <c r="N16" s="1952" t="str">
        <f>'Base inputs'!N30</f>
        <v>With Al smelting mostly from coal</v>
      </c>
      <c r="O16" s="1952" t="str">
        <f>'Base inputs'!O30</f>
        <v>With Al smelting mostly from coal</v>
      </c>
      <c r="P16" s="1952" t="str">
        <f>'Base inputs'!P30</f>
        <v>With Al smelting mostly from coal</v>
      </c>
      <c r="Q16" s="1952" t="str">
        <f>'Base inputs'!Q30</f>
        <v>With Al smelting mostly from coal</v>
      </c>
      <c r="R16" s="1952" t="str">
        <f>'Base inputs'!R30</f>
        <v>With Al smelting mostly from coal</v>
      </c>
      <c r="S16" s="1952" t="str">
        <f>'Base inputs'!S30</f>
        <v>With Al smelting mostly from coal</v>
      </c>
      <c r="T16" s="1952" t="str">
        <f>'Base inputs'!T30</f>
        <v>With Al smelting mostly from coal</v>
      </c>
      <c r="U16" s="1952" t="str">
        <f>'Base inputs'!U30</f>
        <v>With Al smelting mostly from coal</v>
      </c>
      <c r="V16" s="1952" t="str">
        <f>'Base inputs'!V30</f>
        <v>With Al smelting mostly from coal</v>
      </c>
      <c r="W16" s="1952" t="str">
        <f>'Base inputs'!W30</f>
        <v>With Al smelting mostly from coal</v>
      </c>
      <c r="X16" s="1952" t="str">
        <f>'Base inputs'!X30</f>
        <v>With Al smelting mostly from coal</v>
      </c>
      <c r="Y16" s="1952" t="str">
        <f>'Base inputs'!Y30</f>
        <v>With Al smelting mostly from coal</v>
      </c>
      <c r="Z16" s="1952" t="str">
        <f>'Base inputs'!Z30</f>
        <v>With Al smelting mostly from coal</v>
      </c>
      <c r="AA16" s="1952" t="str">
        <f>'Base inputs'!AA30</f>
        <v>With Al smelting mostly from coal</v>
      </c>
      <c r="AB16" s="1952" t="str">
        <f>'Base inputs'!AB30</f>
        <v>With Al smelting mostly from coal</v>
      </c>
    </row>
    <row r="17" spans="1:28" x14ac:dyDescent="0.45">
      <c r="A17" s="33" t="s">
        <v>32</v>
      </c>
      <c r="B17" s="1953"/>
      <c r="C17" s="1953"/>
      <c r="D17" s="1953"/>
      <c r="E17" s="1953"/>
      <c r="F17" s="1953"/>
      <c r="G17" s="1953"/>
      <c r="H17" s="1953"/>
      <c r="I17" s="1953"/>
      <c r="J17" s="1953"/>
      <c r="K17" s="1953"/>
      <c r="L17" s="1953"/>
      <c r="M17" s="1953"/>
      <c r="N17" s="1953"/>
      <c r="O17" s="1953"/>
      <c r="P17" s="1953"/>
      <c r="Q17" s="1953"/>
      <c r="R17" s="1953"/>
      <c r="S17" s="1953"/>
      <c r="T17" s="1953"/>
      <c r="U17" s="1953"/>
      <c r="V17" s="1953"/>
      <c r="W17" s="1954"/>
      <c r="X17" s="1953"/>
      <c r="Y17" s="1953"/>
      <c r="Z17" s="1953"/>
      <c r="AA17" s="1953"/>
      <c r="AB17" s="1953"/>
    </row>
    <row r="18" spans="1:28" x14ac:dyDescent="0.45">
      <c r="A18" s="1946" t="s">
        <v>12</v>
      </c>
      <c r="B18" s="1947" t="s">
        <v>13</v>
      </c>
      <c r="C18" s="1947">
        <f>'Base inputs'!C15</f>
        <v>1</v>
      </c>
      <c r="D18" s="1947">
        <f>'Base inputs'!D15</f>
        <v>1</v>
      </c>
      <c r="E18" s="1947">
        <f>'Base inputs'!E15</f>
        <v>1</v>
      </c>
      <c r="F18" s="1947">
        <f>'Base inputs'!F15</f>
        <v>1</v>
      </c>
      <c r="G18" s="1947">
        <f>'Base inputs'!G15</f>
        <v>1</v>
      </c>
      <c r="H18" s="1947">
        <f>'Base inputs'!H15</f>
        <v>1</v>
      </c>
      <c r="I18" s="1947">
        <f>'Base inputs'!I15</f>
        <v>1</v>
      </c>
      <c r="J18" s="1947">
        <f>'Base inputs'!J15</f>
        <v>1</v>
      </c>
      <c r="K18" s="1947">
        <f>'Base inputs'!K15</f>
        <v>2</v>
      </c>
      <c r="L18" s="1947">
        <f>'Base inputs'!L15</f>
        <v>2</v>
      </c>
      <c r="M18" s="1947">
        <f>'Base inputs'!M15</f>
        <v>25</v>
      </c>
      <c r="N18" s="1947">
        <f>'Base inputs'!N15</f>
        <v>34</v>
      </c>
      <c r="O18" s="1947">
        <f>'Base inputs'!O15</f>
        <v>25</v>
      </c>
      <c r="P18" s="1947">
        <f>'Base inputs'!P15</f>
        <v>34</v>
      </c>
      <c r="Q18" s="1947">
        <f>'Base inputs'!Q15</f>
        <v>25</v>
      </c>
      <c r="R18" s="1947">
        <f>'Base inputs'!R15</f>
        <v>34</v>
      </c>
      <c r="S18" s="1947">
        <f>'Base inputs'!S15</f>
        <v>25</v>
      </c>
      <c r="T18" s="1947">
        <f>'Base inputs'!T15</f>
        <v>34</v>
      </c>
      <c r="U18" s="1947">
        <f>'Base inputs'!U15</f>
        <v>25</v>
      </c>
      <c r="V18" s="1947">
        <f>'Base inputs'!V15</f>
        <v>25</v>
      </c>
      <c r="W18" s="1947">
        <f>'Base inputs'!W15</f>
        <v>25</v>
      </c>
      <c r="X18" s="1947">
        <f>'Base inputs'!X15</f>
        <v>1.5</v>
      </c>
      <c r="Y18" s="1947">
        <f>'Base inputs'!Y15</f>
        <v>1.5</v>
      </c>
      <c r="Z18" s="1947">
        <f>'Base inputs'!Z15</f>
        <v>0.95188235294117651</v>
      </c>
      <c r="AA18" s="1947">
        <f>'Base inputs'!AA15</f>
        <v>0.95188235294117651</v>
      </c>
      <c r="AB18" s="1947">
        <f>'Base inputs'!AB15</f>
        <v>400</v>
      </c>
    </row>
    <row r="19" spans="1:28" x14ac:dyDescent="0.45">
      <c r="A19" s="1946" t="s">
        <v>34</v>
      </c>
      <c r="B19" s="1947" t="s">
        <v>40</v>
      </c>
      <c r="C19" s="1947" t="str">
        <f>'Base inputs'!C50</f>
        <v>None</v>
      </c>
      <c r="D19" s="1947" t="str">
        <f>'Base inputs'!D50</f>
        <v>None</v>
      </c>
      <c r="E19" s="1947" t="str">
        <f>'Base inputs'!E50</f>
        <v>None</v>
      </c>
      <c r="F19" s="1947" t="str">
        <f>'Base inputs'!F50</f>
        <v>None</v>
      </c>
      <c r="G19" s="1947" t="str">
        <f>'Base inputs'!G50</f>
        <v>Van - ICE</v>
      </c>
      <c r="H19" s="1947" t="str">
        <f>'Base inputs'!H50</f>
        <v>Van - ICE</v>
      </c>
      <c r="I19" s="1947" t="str">
        <f>'Base inputs'!I50</f>
        <v>Van - ICE</v>
      </c>
      <c r="J19" s="1947" t="str">
        <f>'Base inputs'!J50</f>
        <v>Van - ICE</v>
      </c>
      <c r="K19" s="1947" t="str">
        <f>'Base inputs'!K50</f>
        <v>None</v>
      </c>
      <c r="L19" s="1947" t="str">
        <f>'Base inputs'!L50</f>
        <v>None</v>
      </c>
      <c r="M19" s="1947" t="str">
        <f>'Base inputs'!M50</f>
        <v>None</v>
      </c>
      <c r="N19" s="1947" t="str">
        <f>'Base inputs'!N50</f>
        <v>None</v>
      </c>
      <c r="O19" s="1947" t="str">
        <f>'Base inputs'!O50</f>
        <v>None</v>
      </c>
      <c r="P19" s="1947" t="str">
        <f>'Base inputs'!P50</f>
        <v>None</v>
      </c>
      <c r="Q19" s="1947" t="str">
        <f>'Base inputs'!Q50</f>
        <v>None</v>
      </c>
      <c r="R19" s="1947" t="str">
        <f>'Base inputs'!R50</f>
        <v>None</v>
      </c>
      <c r="S19" s="1947" t="str">
        <f>'Base inputs'!S50</f>
        <v>None</v>
      </c>
      <c r="T19" s="1947" t="str">
        <f>'Base inputs'!T50</f>
        <v>None</v>
      </c>
      <c r="U19" s="1947" t="str">
        <f>'Base inputs'!U50</f>
        <v>None</v>
      </c>
      <c r="V19" s="1947" t="str">
        <f>'Base inputs'!V50</f>
        <v>None</v>
      </c>
      <c r="W19" s="1947" t="str">
        <f>'Base inputs'!W50</f>
        <v>None</v>
      </c>
      <c r="X19" s="1947" t="str">
        <f>'Base inputs'!X50</f>
        <v>None</v>
      </c>
      <c r="Y19" s="1947" t="str">
        <f>'Base inputs'!Y50</f>
        <v>None</v>
      </c>
      <c r="Z19" s="1947" t="str">
        <f>'Base inputs'!Z50</f>
        <v>None</v>
      </c>
      <c r="AA19" s="1947" t="str">
        <f>'Base inputs'!AA50</f>
        <v>None</v>
      </c>
      <c r="AB19" s="1947" t="str">
        <f>'Base inputs'!AB50</f>
        <v>None</v>
      </c>
    </row>
    <row r="20" spans="1:28" ht="28.5" x14ac:dyDescent="0.45">
      <c r="A20" s="1946" t="s">
        <v>35</v>
      </c>
      <c r="B20" s="1947" t="s">
        <v>41</v>
      </c>
      <c r="C20" s="1952">
        <f>'Base inputs'!C51</f>
        <v>0</v>
      </c>
      <c r="D20" s="1952">
        <f>'Base inputs'!D51</f>
        <v>0</v>
      </c>
      <c r="E20" s="1952">
        <f>'Base inputs'!E51</f>
        <v>0</v>
      </c>
      <c r="F20" s="1952">
        <f>'Base inputs'!F51</f>
        <v>0</v>
      </c>
      <c r="G20" s="1952">
        <f>'Base inputs'!G51</f>
        <v>0</v>
      </c>
      <c r="H20" s="1952">
        <f>'Base inputs'!H51</f>
        <v>11.25</v>
      </c>
      <c r="I20" s="1952">
        <f>'Base inputs'!I51</f>
        <v>0</v>
      </c>
      <c r="J20" s="1952">
        <f>'Base inputs'!J51</f>
        <v>11.25</v>
      </c>
      <c r="K20" s="1952">
        <f>'Base inputs'!K51</f>
        <v>11.25</v>
      </c>
      <c r="L20" s="1952">
        <f>'Base inputs'!L51</f>
        <v>11.25</v>
      </c>
      <c r="M20" s="1952">
        <f>'Base inputs'!M51</f>
        <v>0.5</v>
      </c>
      <c r="N20" s="1952">
        <f>'Base inputs'!N51</f>
        <v>0.5</v>
      </c>
      <c r="O20" s="1952">
        <f>'Base inputs'!O51</f>
        <v>0.5</v>
      </c>
      <c r="P20" s="1952">
        <f>'Base inputs'!P51</f>
        <v>0.5</v>
      </c>
      <c r="Q20" s="1952">
        <f>'Base inputs'!Q51</f>
        <v>0.5</v>
      </c>
      <c r="R20" s="1952">
        <f>'Base inputs'!R51</f>
        <v>0.5</v>
      </c>
      <c r="S20" s="1952">
        <f>'Base inputs'!S51</f>
        <v>0.5</v>
      </c>
      <c r="T20" s="1952">
        <f>'Base inputs'!T51</f>
        <v>0.5</v>
      </c>
      <c r="U20" s="1952">
        <f>'Base inputs'!U51</f>
        <v>0.5</v>
      </c>
      <c r="V20" s="1952">
        <f>'Base inputs'!V51</f>
        <v>0.5</v>
      </c>
      <c r="W20" s="1952">
        <f>'Base inputs'!W51</f>
        <v>0.5</v>
      </c>
      <c r="X20" s="1952">
        <f>'Base inputs'!X51</f>
        <v>0</v>
      </c>
      <c r="Y20" s="1952">
        <f>'Base inputs'!Y51</f>
        <v>0</v>
      </c>
      <c r="Z20" s="1952">
        <f>'Base inputs'!Z51</f>
        <v>23.420596293311849</v>
      </c>
      <c r="AA20" s="1952">
        <f>'Base inputs'!AA51</f>
        <v>23.420596293311849</v>
      </c>
      <c r="AB20" s="1952">
        <f>'Base inputs'!AB51</f>
        <v>0</v>
      </c>
    </row>
    <row r="21" spans="1:28" ht="26.25" x14ac:dyDescent="0.45">
      <c r="A21" s="1949" t="s">
        <v>33</v>
      </c>
      <c r="B21" s="1950" t="s">
        <v>13</v>
      </c>
      <c r="C21" s="1951">
        <f t="shared" ref="C21:AB21" si="3">(C18*C8+IF(C19=C2,0*C20*365*C5,0))/(C8+IF(C19=C2,C20*365*C5,0))</f>
        <v>1</v>
      </c>
      <c r="D21" s="1951">
        <f t="shared" si="3"/>
        <v>1</v>
      </c>
      <c r="E21" s="1951">
        <f t="shared" si="3"/>
        <v>1</v>
      </c>
      <c r="F21" s="1951">
        <f t="shared" si="3"/>
        <v>1</v>
      </c>
      <c r="G21" s="1951">
        <f t="shared" si="3"/>
        <v>1</v>
      </c>
      <c r="H21" s="1951">
        <f t="shared" si="3"/>
        <v>1</v>
      </c>
      <c r="I21" s="1951">
        <f t="shared" si="3"/>
        <v>1</v>
      </c>
      <c r="J21" s="1951">
        <f t="shared" si="3"/>
        <v>1</v>
      </c>
      <c r="K21" s="1951">
        <v>1.7</v>
      </c>
      <c r="L21" s="1951">
        <v>1.7</v>
      </c>
      <c r="M21" s="1951">
        <f t="shared" si="3"/>
        <v>25</v>
      </c>
      <c r="N21" s="1951">
        <f t="shared" si="3"/>
        <v>34</v>
      </c>
      <c r="O21" s="1951">
        <f t="shared" si="3"/>
        <v>25</v>
      </c>
      <c r="P21" s="1951">
        <f t="shared" si="3"/>
        <v>34</v>
      </c>
      <c r="Q21" s="1951">
        <f t="shared" si="3"/>
        <v>25</v>
      </c>
      <c r="R21" s="1951">
        <f t="shared" si="3"/>
        <v>34</v>
      </c>
      <c r="S21" s="1951">
        <f t="shared" si="3"/>
        <v>25</v>
      </c>
      <c r="T21" s="1951">
        <f t="shared" si="3"/>
        <v>34</v>
      </c>
      <c r="U21" s="1951">
        <f>(U18*U8+IF(U19=U2,0*U20*365*U5,0))/(U8+IF(U19=U2,U20*365*U5,0))</f>
        <v>25</v>
      </c>
      <c r="V21" s="1951">
        <f>(V18*V8+IF(V19=V2,0*V20*365*V5,0))/(V8+IF(V19=V2,V20*365*V5,0))</f>
        <v>25</v>
      </c>
      <c r="W21" s="1951">
        <f>(W18*W8+IF(W19=W2,0*W20*365*W5,0))/(W8+IF(W19=W2,W20*365*W5,0))</f>
        <v>25</v>
      </c>
      <c r="X21" s="1951">
        <f t="shared" si="3"/>
        <v>1.5</v>
      </c>
      <c r="Y21" s="1951">
        <f t="shared" si="3"/>
        <v>1.5</v>
      </c>
      <c r="Z21" s="1951">
        <f t="shared" si="3"/>
        <v>0.9518823529411764</v>
      </c>
      <c r="AA21" s="1951">
        <f t="shared" si="3"/>
        <v>0.9518823529411764</v>
      </c>
      <c r="AB21" s="1951">
        <f t="shared" si="3"/>
        <v>400</v>
      </c>
    </row>
    <row r="22" spans="1:28" ht="26.25" x14ac:dyDescent="0.45">
      <c r="A22" s="1946" t="s">
        <v>36</v>
      </c>
      <c r="B22" s="1947" t="s">
        <v>42</v>
      </c>
      <c r="C22" s="1952">
        <f>'Base inputs'!C52</f>
        <v>0</v>
      </c>
      <c r="D22" s="1952">
        <f>'Base inputs'!D52</f>
        <v>0</v>
      </c>
      <c r="E22" s="1952">
        <f>'Base inputs'!E52</f>
        <v>0</v>
      </c>
      <c r="F22" s="1952">
        <f>'Base inputs'!F52</f>
        <v>0</v>
      </c>
      <c r="G22" s="1952">
        <f>'Base inputs'!G52</f>
        <v>0</v>
      </c>
      <c r="H22" s="1952">
        <f>'Base inputs'!H52</f>
        <v>14.058333333333334</v>
      </c>
      <c r="I22" s="1952">
        <f>'Base inputs'!I52</f>
        <v>0</v>
      </c>
      <c r="J22" s="1952">
        <f>'Base inputs'!J52</f>
        <v>14.058333333333334</v>
      </c>
      <c r="K22" s="1952">
        <f>'Base inputs'!K52</f>
        <v>11.25</v>
      </c>
      <c r="L22" s="1952">
        <f>'Base inputs'!L52</f>
        <v>14.058333333333334</v>
      </c>
      <c r="M22" s="1952">
        <f>'Base inputs'!M52</f>
        <v>1.0638297872340425</v>
      </c>
      <c r="N22" s="1952">
        <f>'Base inputs'!N52</f>
        <v>1.0638297872340425</v>
      </c>
      <c r="O22" s="1952">
        <f>'Base inputs'!O52</f>
        <v>1.0638297872340425</v>
      </c>
      <c r="P22" s="1952">
        <f>'Base inputs'!P52</f>
        <v>1.0638297872340425</v>
      </c>
      <c r="Q22" s="1952">
        <f>'Base inputs'!Q52</f>
        <v>1.0638297872340425</v>
      </c>
      <c r="R22" s="1952">
        <f>'Base inputs'!R52</f>
        <v>1.0638297872340425</v>
      </c>
      <c r="S22" s="1952">
        <f>'Base inputs'!S52</f>
        <v>1.0638297872340425</v>
      </c>
      <c r="T22" s="1952">
        <f>'Base inputs'!T52</f>
        <v>1.0638297872340425</v>
      </c>
      <c r="U22" s="1952">
        <f>'Base inputs'!U52</f>
        <v>1.0638297872340425</v>
      </c>
      <c r="V22" s="1952">
        <f>'Base inputs'!V52</f>
        <v>1.0638297872340425</v>
      </c>
      <c r="W22" s="1952">
        <f>'Base inputs'!W52</f>
        <v>1.0638297872340425</v>
      </c>
      <c r="X22" s="1952">
        <f>'Base inputs'!X52</f>
        <v>0</v>
      </c>
      <c r="Y22" s="1952">
        <f>'Base inputs'!Y52</f>
        <v>0</v>
      </c>
      <c r="Z22" s="1952">
        <f>'Base inputs'!Z52</f>
        <v>1</v>
      </c>
      <c r="AA22" s="1952">
        <f>'Base inputs'!AA52</f>
        <v>1</v>
      </c>
      <c r="AB22" s="1952">
        <f>'Base inputs'!AB52</f>
        <v>0</v>
      </c>
    </row>
    <row r="23" spans="1:28" ht="26.25" x14ac:dyDescent="0.45">
      <c r="A23" s="1949" t="s">
        <v>37</v>
      </c>
      <c r="B23" s="1950" t="s">
        <v>7</v>
      </c>
      <c r="C23" s="1950">
        <f t="shared" ref="C23:AB23" si="4">(C8+IF(C19=C2,C20*365*C5))</f>
        <v>65000</v>
      </c>
      <c r="D23" s="1950">
        <f t="shared" si="4"/>
        <v>65000</v>
      </c>
      <c r="E23" s="1950">
        <f t="shared" si="4"/>
        <v>65000</v>
      </c>
      <c r="F23" s="1950">
        <f t="shared" si="4"/>
        <v>65000</v>
      </c>
      <c r="G23" s="1950">
        <f t="shared" si="4"/>
        <v>108000</v>
      </c>
      <c r="H23" s="1950">
        <f t="shared" si="4"/>
        <v>108000</v>
      </c>
      <c r="I23" s="1950">
        <f t="shared" si="4"/>
        <v>108000</v>
      </c>
      <c r="J23" s="1950">
        <f t="shared" si="4"/>
        <v>108000</v>
      </c>
      <c r="K23" s="1950">
        <f t="shared" si="4"/>
        <v>280000</v>
      </c>
      <c r="L23" s="1950">
        <f t="shared" si="4"/>
        <v>280000</v>
      </c>
      <c r="M23" s="1950">
        <f t="shared" si="4"/>
        <v>720000</v>
      </c>
      <c r="N23" s="1950">
        <f t="shared" si="4"/>
        <v>840000</v>
      </c>
      <c r="O23" s="1950">
        <f t="shared" si="4"/>
        <v>720000</v>
      </c>
      <c r="P23" s="1950">
        <f t="shared" si="4"/>
        <v>840000</v>
      </c>
      <c r="Q23" s="1950">
        <f t="shared" si="4"/>
        <v>720000</v>
      </c>
      <c r="R23" s="1950">
        <f t="shared" si="4"/>
        <v>840000</v>
      </c>
      <c r="S23" s="1950">
        <f t="shared" si="4"/>
        <v>720000</v>
      </c>
      <c r="T23" s="1950">
        <f t="shared" si="4"/>
        <v>840000</v>
      </c>
      <c r="U23" s="1950">
        <f>(U8+IF(U19=U2,U20*365*U5))</f>
        <v>1470000</v>
      </c>
      <c r="V23" s="1950">
        <f>(V8+IF(V19=V2,V20*365*V5))</f>
        <v>1470000</v>
      </c>
      <c r="W23" s="1950">
        <f>(W8+IF(W19=W2,W20*365*W5))</f>
        <v>1470000</v>
      </c>
      <c r="X23" s="1950">
        <f t="shared" si="4"/>
        <v>181500</v>
      </c>
      <c r="Y23" s="1950">
        <f t="shared" si="4"/>
        <v>181500</v>
      </c>
      <c r="Z23" s="1950">
        <f t="shared" si="4"/>
        <v>480000</v>
      </c>
      <c r="AA23" s="1950">
        <f t="shared" si="4"/>
        <v>480000</v>
      </c>
      <c r="AB23" s="1950">
        <f t="shared" si="4"/>
        <v>7168000</v>
      </c>
    </row>
    <row r="24" spans="1:28" x14ac:dyDescent="0.45">
      <c r="A24" s="33" t="s">
        <v>38</v>
      </c>
      <c r="B24" s="1953" t="s">
        <v>26</v>
      </c>
      <c r="C24" s="1953"/>
      <c r="D24" s="1953"/>
      <c r="E24" s="1953"/>
      <c r="F24" s="1953"/>
      <c r="G24" s="1953"/>
      <c r="H24" s="1953"/>
      <c r="I24" s="1953"/>
      <c r="J24" s="1953"/>
      <c r="K24" s="1955">
        <v>0</v>
      </c>
      <c r="L24" s="1955">
        <v>0</v>
      </c>
      <c r="M24" s="1953"/>
      <c r="N24" s="1953"/>
      <c r="O24" s="1953"/>
      <c r="P24" s="1953"/>
      <c r="Q24" s="1953"/>
      <c r="R24" s="1953"/>
      <c r="S24" s="1953"/>
      <c r="T24" s="1953"/>
      <c r="U24" s="1953"/>
      <c r="V24" s="1953"/>
      <c r="W24" s="1953"/>
      <c r="X24" s="1953"/>
      <c r="Y24" s="1953"/>
      <c r="Z24" s="1956"/>
      <c r="AA24" s="1956"/>
      <c r="AB24" s="1953"/>
    </row>
    <row r="25" spans="1:28" x14ac:dyDescent="0.45">
      <c r="A25" s="1957" t="s">
        <v>39</v>
      </c>
      <c r="B25" s="1950" t="s">
        <v>1</v>
      </c>
      <c r="C25" s="1950">
        <f>(Infrastructure!C23*Infrastructure!C9+Infrastructure!C24*Infrastructure!C10)</f>
        <v>30</v>
      </c>
      <c r="D25" s="1950">
        <f>(Infrastructure!D23*Infrastructure!D9+Infrastructure!D24*Infrastructure!D10)</f>
        <v>30</v>
      </c>
      <c r="E25" s="1950">
        <f>(Infrastructure!E23*Infrastructure!E9+Infrastructure!E24*Infrastructure!E10)</f>
        <v>30</v>
      </c>
      <c r="F25" s="1950">
        <f>(Infrastructure!F23*Infrastructure!F9+Infrastructure!F24*Infrastructure!F10)</f>
        <v>30</v>
      </c>
      <c r="G25" s="1950">
        <f>(Infrastructure!G23*Infrastructure!G9+Infrastructure!G24*Infrastructure!G10)</f>
        <v>30</v>
      </c>
      <c r="H25" s="1950">
        <f>(Infrastructure!H23*Infrastructure!H9+Infrastructure!H24*Infrastructure!H10)</f>
        <v>30</v>
      </c>
      <c r="I25" s="1950">
        <f>(Infrastructure!I23*Infrastructure!I9+Infrastructure!I24*Infrastructure!I10)</f>
        <v>30</v>
      </c>
      <c r="J25" s="1950">
        <f>(Infrastructure!J23*Infrastructure!J9+Infrastructure!J24*Infrastructure!J10)</f>
        <v>30</v>
      </c>
      <c r="K25" s="1950">
        <f>(Infrastructure!K23*Infrastructure!K9+Infrastructure!K24*Infrastructure!K10)</f>
        <v>30</v>
      </c>
      <c r="L25" s="1950">
        <f>(Infrastructure!L23*Infrastructure!L9+Infrastructure!L24*Infrastructure!L10)</f>
        <v>30</v>
      </c>
      <c r="M25" s="1950">
        <f>(Infrastructure!M23*Infrastructure!M9+Infrastructure!M24*Infrastructure!M10)</f>
        <v>30</v>
      </c>
      <c r="N25" s="1950">
        <f>(Infrastructure!N23*Infrastructure!N9+Infrastructure!N24*Infrastructure!N10)</f>
        <v>30</v>
      </c>
      <c r="O25" s="1950">
        <f>(Infrastructure!O23*Infrastructure!O9+Infrastructure!O24*Infrastructure!O10)</f>
        <v>30</v>
      </c>
      <c r="P25" s="1950">
        <f>(Infrastructure!P23*Infrastructure!P9+Infrastructure!P24*Infrastructure!P10)</f>
        <v>30</v>
      </c>
      <c r="Q25" s="1950">
        <f>(Infrastructure!Q23*Infrastructure!Q9+Infrastructure!Q24*Infrastructure!Q10)</f>
        <v>30</v>
      </c>
      <c r="R25" s="1950">
        <f>(Infrastructure!R23*Infrastructure!R9+Infrastructure!R24*Infrastructure!R10)</f>
        <v>30</v>
      </c>
      <c r="S25" s="1950">
        <f>(Infrastructure!S23*Infrastructure!S9+Infrastructure!S24*Infrastructure!S10)</f>
        <v>30</v>
      </c>
      <c r="T25" s="1950">
        <f>(Infrastructure!T23*Infrastructure!T9+Infrastructure!T24*Infrastructure!T10)</f>
        <v>30</v>
      </c>
      <c r="U25" s="1950">
        <f>(Infrastructure!X23*Infrastructure!X9+Infrastructure!X24*Infrastructure!X10)</f>
        <v>30</v>
      </c>
      <c r="V25" s="1950">
        <f>(Infrastructure!Y23*Infrastructure!Y9+Infrastructure!Y24*Infrastructure!Y10)</f>
        <v>30</v>
      </c>
      <c r="W25" s="1950">
        <f>(Infrastructure!Z23*Infrastructure!Z9+Infrastructure!Z24*Infrastructure!Z10)</f>
        <v>30</v>
      </c>
      <c r="X25" s="1950">
        <f>(Infrastructure!X23*Infrastructure!X9+Infrastructure!X24*Infrastructure!X10)</f>
        <v>30</v>
      </c>
      <c r="Y25" s="1950">
        <f>(Infrastructure!Y23*Infrastructure!Y9+Infrastructure!Y24*Infrastructure!Y10)</f>
        <v>30</v>
      </c>
      <c r="Z25" s="1958">
        <f>(Infrastructure!Z23*Infrastructure!Z9+Infrastructure!Z24*Infrastructure!Z10)</f>
        <v>30</v>
      </c>
      <c r="AA25" s="1950">
        <f>(Infrastructure!AA23*Infrastructure!AA9+Infrastructure!AA24*Infrastructure!AA10)</f>
        <v>30</v>
      </c>
      <c r="AB25" s="1950">
        <f>(Infrastructure!AB23*Infrastructure!AB9+Infrastructure!AB24*Infrastructure!AB10)</f>
        <v>50</v>
      </c>
    </row>
  </sheetData>
  <mergeCells count="1">
    <mergeCell ref="A1:AB1"/>
  </mergeCell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G119"/>
  <sheetViews>
    <sheetView workbookViewId="0">
      <selection sqref="A1:AB1"/>
    </sheetView>
  </sheetViews>
  <sheetFormatPr defaultColWidth="9.19921875" defaultRowHeight="13.5" x14ac:dyDescent="0.35"/>
  <cols>
    <col min="1" max="1" width="18.1328125" style="1592" customWidth="1"/>
    <col min="2" max="2" width="9.33203125" style="1592" bestFit="1" customWidth="1"/>
    <col min="3" max="3" width="13.53125" style="1592" customWidth="1"/>
    <col min="4" max="4" width="51.33203125" style="1592" bestFit="1" customWidth="1"/>
    <col min="5" max="5" width="9.33203125" style="1592" bestFit="1" customWidth="1"/>
    <col min="6" max="6" width="9.86328125" style="1592" bestFit="1" customWidth="1"/>
    <col min="7" max="7" width="9.19921875" style="1592" customWidth="1"/>
    <col min="8" max="8" width="9.86328125" style="1592" bestFit="1" customWidth="1"/>
    <col min="9" max="9" width="22.46484375" style="1592" customWidth="1"/>
    <col min="10" max="14" width="9.33203125" style="1592" bestFit="1" customWidth="1"/>
    <col min="15" max="15" width="12.1328125" style="1592" bestFit="1" customWidth="1"/>
    <col min="16" max="16" width="9.19921875" style="1592"/>
    <col min="17" max="22" width="9.33203125" style="1592" bestFit="1" customWidth="1"/>
    <col min="23" max="23" width="9.19921875" style="1592"/>
    <col min="24" max="26" width="9.33203125" style="1592" bestFit="1" customWidth="1"/>
    <col min="27" max="27" width="15.19921875" style="1592" customWidth="1"/>
    <col min="28" max="30" width="9.19921875" style="1592"/>
    <col min="31" max="31" width="9.33203125" style="1592" bestFit="1" customWidth="1"/>
    <col min="32" max="16384" width="9.19921875" style="1592"/>
  </cols>
  <sheetData>
    <row r="1" spans="1:33" ht="17.649999999999999" x14ac:dyDescent="0.5">
      <c r="A1" s="2180" t="s">
        <v>3584</v>
      </c>
      <c r="B1" s="2180"/>
      <c r="C1" s="2180"/>
      <c r="D1" s="2180"/>
      <c r="E1" s="2180"/>
      <c r="F1" s="2180"/>
      <c r="G1" s="2180"/>
      <c r="H1" s="2180"/>
      <c r="I1" s="2180"/>
      <c r="J1" s="2180"/>
    </row>
    <row r="2" spans="1:33" s="1610" customFormat="1" ht="18.75" x14ac:dyDescent="0.5"/>
    <row r="3" spans="1:33" ht="15" x14ac:dyDescent="0.4">
      <c r="A3" s="1941" t="s">
        <v>1560</v>
      </c>
    </row>
    <row r="4" spans="1:33" x14ac:dyDescent="0.35">
      <c r="A4" s="1611"/>
      <c r="B4" s="1612"/>
      <c r="C4" s="1613" t="s">
        <v>123</v>
      </c>
      <c r="D4" s="1614" t="s">
        <v>124</v>
      </c>
    </row>
    <row r="5" spans="1:33" x14ac:dyDescent="0.35">
      <c r="A5" s="1615" t="s">
        <v>125</v>
      </c>
      <c r="C5" s="1604">
        <f>Petroleum!$G$263/1000000</f>
        <v>0.22172096119113635</v>
      </c>
      <c r="D5" s="1616">
        <f>Petroleum!$G$281/1055</f>
        <v>16.491161079378855</v>
      </c>
      <c r="G5" s="1605"/>
    </row>
    <row r="6" spans="1:33" x14ac:dyDescent="0.35">
      <c r="A6" s="1615" t="s">
        <v>196</v>
      </c>
      <c r="C6" s="1617">
        <f>NG!$K$85/1000000</f>
        <v>4.5738414361726917E-2</v>
      </c>
      <c r="D6" s="1618">
        <f>NG!$K$103/1055</f>
        <v>3.3791626268745611</v>
      </c>
      <c r="G6" s="1605"/>
    </row>
    <row r="7" spans="1:33" x14ac:dyDescent="0.35">
      <c r="A7" s="1619" t="s">
        <v>126</v>
      </c>
      <c r="B7" s="1596"/>
      <c r="C7" s="1620">
        <f>Petroleum!$L$263/1000000</f>
        <v>0.19770297600991546</v>
      </c>
      <c r="D7" s="1621">
        <f>Petroleum!$L$281/1055</f>
        <v>13.820267371536112</v>
      </c>
      <c r="G7" s="1605"/>
    </row>
    <row r="8" spans="1:33" x14ac:dyDescent="0.35">
      <c r="A8" s="1622"/>
      <c r="C8" s="1622"/>
      <c r="D8" s="1622"/>
    </row>
    <row r="9" spans="1:33" ht="40.5" x14ac:dyDescent="0.35">
      <c r="A9" s="1611"/>
      <c r="B9" s="1612"/>
      <c r="C9" s="1613"/>
      <c r="D9" s="1613" t="s">
        <v>127</v>
      </c>
      <c r="E9" s="1612"/>
      <c r="F9" s="1612" t="s">
        <v>128</v>
      </c>
      <c r="G9" s="1612"/>
      <c r="H9" s="1612"/>
      <c r="I9" s="1623" t="s">
        <v>129</v>
      </c>
      <c r="J9" s="1624"/>
    </row>
    <row r="10" spans="1:33" x14ac:dyDescent="0.35">
      <c r="A10" s="1625"/>
      <c r="C10" s="1622" t="s">
        <v>123</v>
      </c>
      <c r="D10" s="1622" t="s">
        <v>130</v>
      </c>
      <c r="E10" s="1622" t="s">
        <v>131</v>
      </c>
      <c r="F10" s="1622" t="s">
        <v>130</v>
      </c>
      <c r="G10" s="1622" t="s">
        <v>131</v>
      </c>
      <c r="H10" s="1592" t="s">
        <v>132</v>
      </c>
      <c r="I10" s="1622" t="s">
        <v>130</v>
      </c>
      <c r="J10" s="1626" t="s">
        <v>131</v>
      </c>
    </row>
    <row r="11" spans="1:33" x14ac:dyDescent="0.35">
      <c r="A11" s="1625" t="str">
        <f>Electric!$J$201</f>
        <v>Oil-Fired Power Plant</v>
      </c>
      <c r="C11" s="1627">
        <f>SUM(Electric!$J$204:$K$204)/10^6</f>
        <v>3.4941213145265122</v>
      </c>
      <c r="D11" s="1600">
        <f>SUM(Electric!$J$222:$K$222)/1055</f>
        <v>287.09334739363374</v>
      </c>
      <c r="E11" s="1628">
        <f>D11*Convert!$B$12</f>
        <v>1033.5360506170814</v>
      </c>
      <c r="F11" s="1600">
        <f>SUM(Electric!$J$222)/1055</f>
        <v>40.822569189555026</v>
      </c>
      <c r="G11" s="1628">
        <f>F11*Convert!$B$12</f>
        <v>146.9612490823981</v>
      </c>
      <c r="H11" s="1629">
        <f>G11/E11</f>
        <v>0.14219266855244542</v>
      </c>
      <c r="I11" s="1600">
        <f>D11-F11</f>
        <v>246.27077820407871</v>
      </c>
      <c r="J11" s="1630">
        <f>I11*Convert!$B$12</f>
        <v>886.57480153468339</v>
      </c>
      <c r="AC11" s="1622"/>
      <c r="AD11" s="1622"/>
    </row>
    <row r="12" spans="1:33" x14ac:dyDescent="0.35">
      <c r="A12" s="1625" t="str">
        <f>Electric!$N$201</f>
        <v>NG-Fired Power Plant</v>
      </c>
      <c r="C12" s="1627">
        <f>SUM(Electric!$N$204:$O$204)/10^6</f>
        <v>2.2814954890829569</v>
      </c>
      <c r="D12" s="1600">
        <f>SUM(Electric!$N$222:$O$222)/1055</f>
        <v>140.85649682186519</v>
      </c>
      <c r="E12" s="1628">
        <f>D12*Convert!$B$12</f>
        <v>507.08338855871472</v>
      </c>
      <c r="F12" s="1600">
        <f>SUM(Electric!$N$222)/1055</f>
        <v>22.563453146702706</v>
      </c>
      <c r="G12" s="1628">
        <f>F12*Convert!$B$12</f>
        <v>81.228431328129744</v>
      </c>
      <c r="H12" s="1629">
        <f>G12/E12</f>
        <v>0.16018752173879264</v>
      </c>
      <c r="I12" s="1600">
        <f t="shared" ref="I12:I19" si="0">D12-F12</f>
        <v>118.29304367516249</v>
      </c>
      <c r="J12" s="1630">
        <f>I12*Convert!$B$12</f>
        <v>425.854957230585</v>
      </c>
      <c r="AC12" s="1622"/>
      <c r="AD12" s="1622"/>
    </row>
    <row r="13" spans="1:33" ht="13.9" x14ac:dyDescent="0.4">
      <c r="A13" s="1625" t="str">
        <f>Electric!$R$201</f>
        <v>Coal-Fired Power Plant</v>
      </c>
      <c r="C13" s="1627">
        <f>SUM(Electric!$R$204:$S$204)/10^6</f>
        <v>2.982142386241021</v>
      </c>
      <c r="D13" s="1600">
        <f>SUM(Electric!$R$222:$S$222)/1055</f>
        <v>294.94341640006837</v>
      </c>
      <c r="E13" s="1628">
        <f>D13*Convert!$B$12</f>
        <v>1061.7962990402461</v>
      </c>
      <c r="F13" s="1600">
        <f>SUM(Electric!$R$222)/1055</f>
        <v>16.932033766289848</v>
      </c>
      <c r="G13" s="1628">
        <f>F13*Convert!$B$12</f>
        <v>60.955321558643455</v>
      </c>
      <c r="H13" s="1631">
        <f>G13/E13</f>
        <v>5.7407735941197711E-2</v>
      </c>
      <c r="I13" s="1600">
        <f t="shared" si="0"/>
        <v>278.01138263377851</v>
      </c>
      <c r="J13" s="1630">
        <f>I13*Convert!$B$12</f>
        <v>1000.8409774816026</v>
      </c>
      <c r="AE13" s="1632" t="s">
        <v>133</v>
      </c>
      <c r="AF13" s="1632" t="s">
        <v>134</v>
      </c>
      <c r="AG13" s="1632" t="s">
        <v>135</v>
      </c>
    </row>
    <row r="14" spans="1:33" x14ac:dyDescent="0.35">
      <c r="A14" s="1625" t="str">
        <f>Electric!$V$201</f>
        <v>Biomass-Fired Power Plant</v>
      </c>
      <c r="C14" s="1627">
        <f>SUM(Electric!$V$204:$W$204)/10^6</f>
        <v>4.8786519545045719</v>
      </c>
      <c r="D14" s="1600">
        <f>SUM(Electric!$V$222:$W$222)/1055</f>
        <v>18.112272439938977</v>
      </c>
      <c r="E14" s="1628">
        <f>D14*Convert!$B$12</f>
        <v>65.204180783780316</v>
      </c>
      <c r="F14" s="1600">
        <f>SUM(Electric!$V$222)/1055</f>
        <v>9.1651474452082962</v>
      </c>
      <c r="G14" s="1628">
        <f>F14*Convert!$B$12</f>
        <v>32.994530802749864</v>
      </c>
      <c r="H14" s="1631">
        <f>G14/E14</f>
        <v>0.5060186387765695</v>
      </c>
      <c r="I14" s="1600">
        <f t="shared" si="0"/>
        <v>8.9471249947306806</v>
      </c>
      <c r="J14" s="1630">
        <f>I14*Convert!$B$12</f>
        <v>32.209649981030452</v>
      </c>
      <c r="AE14" s="1600">
        <f>Vehicles!DM60</f>
        <v>2047.8910280622597</v>
      </c>
      <c r="AF14" s="1622"/>
      <c r="AG14" s="1622"/>
    </row>
    <row r="15" spans="1:33" x14ac:dyDescent="0.35">
      <c r="A15" s="1625" t="str">
        <f>Electric!$Z$201</f>
        <v>Nuclear Power Plant (LWR): for electrolysis to G.H2 at refueling station</v>
      </c>
      <c r="C15" s="1617">
        <f>SUM(Electric!$Z$204:$AA$204)/10^6</f>
        <v>1.0853584112360037</v>
      </c>
      <c r="D15" s="1600">
        <f>SUM(Electric!$Z$222:$AA$222)/1055</f>
        <v>2.3122006351003996</v>
      </c>
      <c r="E15" s="1628">
        <f>D15*Convert!$B$12</f>
        <v>8.323922286361439</v>
      </c>
      <c r="F15" s="1600">
        <f>SUM(Electric!$Z$222)/1055</f>
        <v>2.3122006351003996</v>
      </c>
      <c r="G15" s="1628">
        <f>F15*Convert!$B$12</f>
        <v>8.323922286361439</v>
      </c>
      <c r="H15" s="1631">
        <f>G15/E15</f>
        <v>1</v>
      </c>
      <c r="I15" s="1600">
        <f t="shared" si="0"/>
        <v>0</v>
      </c>
      <c r="J15" s="1630">
        <f>I15*Convert!$B$12</f>
        <v>0</v>
      </c>
      <c r="M15" s="1593"/>
      <c r="AC15" s="1622"/>
      <c r="AD15" s="1622"/>
    </row>
    <row r="16" spans="1:33" x14ac:dyDescent="0.35">
      <c r="A16" s="1625" t="str">
        <f>Electric!$DV$201</f>
        <v>Hydroelectric Power Plant</v>
      </c>
      <c r="C16" s="1617">
        <f>SUM(Electric!$DV$204:$DW$204)/10^6</f>
        <v>1.0515247108307046</v>
      </c>
      <c r="D16" s="1600">
        <f>SUM(Electric!$DV$222:$DW$222)/1055</f>
        <v>0</v>
      </c>
      <c r="E16" s="1628">
        <f>D16*Convert!$B$12</f>
        <v>0</v>
      </c>
      <c r="F16" s="1600">
        <f>SUM(Electric!$DV$222)/1055</f>
        <v>0</v>
      </c>
      <c r="G16" s="1628">
        <f>F16*Convert!$B$12</f>
        <v>0</v>
      </c>
      <c r="H16" s="1631"/>
      <c r="I16" s="1600">
        <f t="shared" si="0"/>
        <v>0</v>
      </c>
      <c r="J16" s="1630">
        <f>I16*Convert!$B$12</f>
        <v>0</v>
      </c>
    </row>
    <row r="17" spans="1:30" x14ac:dyDescent="0.35">
      <c r="A17" s="1625" t="str">
        <f>Electric!$DZ$201</f>
        <v>Wind Power Plant</v>
      </c>
      <c r="C17" s="1617">
        <f>SUM(Electric!$DZ$204:$EA$204)/10^6</f>
        <v>1.0515247108307046</v>
      </c>
      <c r="D17" s="1600">
        <f>SUM(Electric!$DZ$222:$EA$222)/1055</f>
        <v>0</v>
      </c>
      <c r="E17" s="1628">
        <f>D17*Convert!$B$12</f>
        <v>0</v>
      </c>
      <c r="F17" s="1600">
        <f>SUM(Electric!$DZ$222)/1055</f>
        <v>0</v>
      </c>
      <c r="G17" s="1628">
        <f>F17*Convert!$B$12</f>
        <v>0</v>
      </c>
      <c r="H17" s="1631"/>
      <c r="I17" s="1600">
        <f t="shared" si="0"/>
        <v>0</v>
      </c>
      <c r="J17" s="1630">
        <f>I17*Convert!$B$12</f>
        <v>0</v>
      </c>
    </row>
    <row r="18" spans="1:30" x14ac:dyDescent="0.35">
      <c r="A18" s="1625" t="str">
        <f>Electric!$ED$201</f>
        <v>PV Power Plant</v>
      </c>
      <c r="C18" s="1617">
        <f>SUM(Electric!$ED$204:$EE$204)/10^6</f>
        <v>1.0515247108307046</v>
      </c>
      <c r="D18" s="1600">
        <f>SUM(Electric!$ED$222:$EE$222)/1055</f>
        <v>0</v>
      </c>
      <c r="E18" s="1628">
        <f>D18*Convert!$B$12</f>
        <v>0</v>
      </c>
      <c r="F18" s="1600">
        <f>SUM(Electric!$ED$222)/1055</f>
        <v>0</v>
      </c>
      <c r="G18" s="1628">
        <f>F18*Convert!$B$12</f>
        <v>0</v>
      </c>
      <c r="H18" s="1631"/>
      <c r="I18" s="1600">
        <f t="shared" si="0"/>
        <v>0</v>
      </c>
      <c r="J18" s="1630">
        <f>I18*Convert!$B$12</f>
        <v>0</v>
      </c>
    </row>
    <row r="19" spans="1:30" x14ac:dyDescent="0.35">
      <c r="A19" s="1633" t="str">
        <f>Electric!$EH$201</f>
        <v>Geothermal-Flash Power Plant</v>
      </c>
      <c r="B19" s="1596"/>
      <c r="C19" s="1634">
        <f>SUM(Electric!$EG$204:$EH$204)/10^6</f>
        <v>0</v>
      </c>
      <c r="D19" s="1635">
        <f>SUM(Electric!$EG$222:$EH$222)/1055</f>
        <v>0</v>
      </c>
      <c r="E19" s="1636">
        <f>D19*Convert!$B$12</f>
        <v>0</v>
      </c>
      <c r="F19" s="1635">
        <f>SUM(Electric!$EG$222)/1055</f>
        <v>0</v>
      </c>
      <c r="G19" s="1636">
        <f>F19*Convert!$B$12</f>
        <v>0</v>
      </c>
      <c r="H19" s="1637"/>
      <c r="I19" s="1635">
        <f t="shared" si="0"/>
        <v>0</v>
      </c>
      <c r="J19" s="1638">
        <f>I19*Convert!$B$12</f>
        <v>0</v>
      </c>
    </row>
    <row r="20" spans="1:30" x14ac:dyDescent="0.35">
      <c r="A20" s="1622"/>
      <c r="C20" s="1622"/>
      <c r="D20" s="1622"/>
      <c r="P20" s="1600"/>
      <c r="R20" s="1600"/>
    </row>
    <row r="21" spans="1:30" s="1610" customFormat="1" ht="18.75" x14ac:dyDescent="0.5">
      <c r="A21" s="1639" t="s">
        <v>136</v>
      </c>
      <c r="B21" s="1640" t="s">
        <v>137</v>
      </c>
      <c r="C21" s="1640"/>
      <c r="D21" s="1641"/>
      <c r="O21" s="1592"/>
      <c r="Y21" s="1622"/>
      <c r="Z21" s="1622"/>
      <c r="AA21" s="1622"/>
      <c r="AB21" s="1622"/>
      <c r="AC21" s="1592"/>
      <c r="AD21" s="1592"/>
    </row>
    <row r="22" spans="1:30" x14ac:dyDescent="0.35">
      <c r="A22" s="1642"/>
      <c r="D22" s="1626" t="s">
        <v>138</v>
      </c>
      <c r="Y22" s="1622"/>
      <c r="Z22" s="1622"/>
      <c r="AA22" s="1622"/>
      <c r="AB22" s="1622"/>
    </row>
    <row r="23" spans="1:30" x14ac:dyDescent="0.35">
      <c r="A23" s="1643" t="s">
        <v>112</v>
      </c>
      <c r="B23" s="1608"/>
      <c r="C23" s="1608"/>
      <c r="D23" s="1644">
        <f>21.1*44/12</f>
        <v>77.366666666666674</v>
      </c>
      <c r="H23" s="1608"/>
      <c r="T23" s="1622"/>
      <c r="V23" s="1622"/>
      <c r="W23" s="1622"/>
      <c r="X23" s="1622"/>
      <c r="Y23" s="1622"/>
      <c r="Z23" s="1622"/>
      <c r="AA23" s="1622"/>
      <c r="AB23" s="1622"/>
    </row>
    <row r="24" spans="1:30" x14ac:dyDescent="0.35">
      <c r="A24" s="1643" t="s">
        <v>113</v>
      </c>
      <c r="B24" s="1608"/>
      <c r="C24" s="1608"/>
      <c r="D24" s="1644">
        <f>15.3*44/12</f>
        <v>56.1</v>
      </c>
      <c r="T24" s="1645"/>
      <c r="V24" s="1600"/>
      <c r="W24" s="1622"/>
      <c r="X24" s="1622"/>
      <c r="Y24" s="1622"/>
      <c r="Z24" s="1622"/>
      <c r="AA24" s="1622"/>
      <c r="AB24" s="1622"/>
    </row>
    <row r="25" spans="1:30" x14ac:dyDescent="0.35">
      <c r="A25" s="1643" t="s">
        <v>114</v>
      </c>
      <c r="B25" s="1608"/>
      <c r="C25" s="1608" t="s">
        <v>139</v>
      </c>
      <c r="D25" s="1644">
        <f>26.2*44/12</f>
        <v>96.066666666666663</v>
      </c>
      <c r="P25" s="1622"/>
      <c r="R25" s="1622"/>
      <c r="T25" s="1622"/>
      <c r="V25" s="1622"/>
      <c r="W25" s="1622"/>
      <c r="X25" s="1622"/>
      <c r="Y25" s="1622"/>
      <c r="Z25" s="1622"/>
      <c r="AA25" s="1622"/>
      <c r="AB25" s="1622"/>
    </row>
    <row r="26" spans="1:30" ht="18.75" x14ac:dyDescent="0.5">
      <c r="A26" s="1643" t="s">
        <v>115</v>
      </c>
      <c r="B26" s="1608"/>
      <c r="C26" s="1608"/>
      <c r="D26" s="1644">
        <v>0</v>
      </c>
      <c r="O26" s="1610"/>
      <c r="P26" s="1622"/>
      <c r="Q26" s="1610"/>
      <c r="R26" s="1622"/>
      <c r="S26" s="1610"/>
      <c r="T26" s="1622"/>
      <c r="U26" s="1610"/>
      <c r="V26" s="1622"/>
      <c r="W26" s="1622"/>
      <c r="X26" s="1622"/>
      <c r="Y26" s="1622"/>
      <c r="Z26" s="1622"/>
      <c r="AA26" s="1622"/>
      <c r="AB26" s="1622"/>
      <c r="AC26" s="1610"/>
      <c r="AD26" s="1610"/>
    </row>
    <row r="27" spans="1:30" ht="13.9" x14ac:dyDescent="0.4">
      <c r="A27" s="1643" t="s">
        <v>116</v>
      </c>
      <c r="B27" s="1608"/>
      <c r="C27" s="1608"/>
      <c r="D27" s="1644">
        <v>0</v>
      </c>
      <c r="T27" s="1632"/>
      <c r="V27" s="1632"/>
      <c r="X27" s="1622"/>
      <c r="Y27" s="1622"/>
      <c r="Z27" s="1646"/>
      <c r="AA27" s="1646"/>
      <c r="AB27" s="1646"/>
    </row>
    <row r="28" spans="1:30" x14ac:dyDescent="0.35">
      <c r="A28" s="1647" t="s">
        <v>117</v>
      </c>
      <c r="B28" s="1648"/>
      <c r="C28" s="1648"/>
      <c r="D28" s="1649">
        <v>0</v>
      </c>
      <c r="X28" s="1622"/>
      <c r="Y28" s="1622"/>
      <c r="Z28" s="1600"/>
      <c r="AA28" s="1622"/>
      <c r="AB28" s="1622"/>
    </row>
    <row r="29" spans="1:30" x14ac:dyDescent="0.35">
      <c r="Y29" s="1622"/>
      <c r="Z29" s="1622"/>
      <c r="AA29" s="1622"/>
      <c r="AB29" s="1622"/>
    </row>
    <row r="30" spans="1:30" s="1610" customFormat="1" ht="18.75" x14ac:dyDescent="0.5">
      <c r="A30" s="1650" t="s">
        <v>140</v>
      </c>
      <c r="B30" s="1640"/>
      <c r="C30" s="1640"/>
      <c r="D30" s="1641"/>
      <c r="AA30" s="1622"/>
      <c r="AB30" s="1622"/>
      <c r="AC30" s="1592"/>
      <c r="AD30" s="1592"/>
    </row>
    <row r="31" spans="1:30" s="1610" customFormat="1" ht="18.75" x14ac:dyDescent="0.5">
      <c r="A31" s="1651"/>
      <c r="D31" s="1652"/>
      <c r="AA31" s="1592"/>
      <c r="AB31" s="1592"/>
      <c r="AC31" s="1592"/>
      <c r="AD31" s="1592"/>
    </row>
    <row r="32" spans="1:30" x14ac:dyDescent="0.35">
      <c r="A32" s="1591"/>
      <c r="D32" s="1594" t="s">
        <v>132</v>
      </c>
      <c r="F32" s="1602" t="s">
        <v>141</v>
      </c>
      <c r="G32" s="1612"/>
      <c r="H32" s="1612"/>
      <c r="I32" s="1612"/>
      <c r="J32" s="1612"/>
      <c r="K32" s="1653" t="s">
        <v>142</v>
      </c>
      <c r="P32" s="1622"/>
      <c r="R32" s="1622"/>
      <c r="T32" s="1622"/>
      <c r="V32" s="1622"/>
    </row>
    <row r="33" spans="1:30" x14ac:dyDescent="0.35">
      <c r="A33" s="1591" t="str">
        <f t="shared" ref="A33:A38" si="1">A23</f>
        <v>Residual oil</v>
      </c>
      <c r="D33" s="1654">
        <v>0.28999999999999998</v>
      </c>
      <c r="F33" s="1655">
        <v>0.09</v>
      </c>
      <c r="K33" s="1656">
        <f>HLOOKUP(K$32,GPG!$B$4:$N$10,ROW(GPG!$A5)-ROW(GPG!$A$4)+1,FALSE)</f>
        <v>3.725035072526417E-2</v>
      </c>
      <c r="P33" s="1645"/>
      <c r="R33" s="1600"/>
      <c r="T33" s="1657"/>
      <c r="V33" s="1657"/>
    </row>
    <row r="34" spans="1:30" x14ac:dyDescent="0.35">
      <c r="A34" s="1591" t="str">
        <f t="shared" si="1"/>
        <v>Natural gas</v>
      </c>
      <c r="D34" s="1656">
        <v>0.5</v>
      </c>
      <c r="F34" s="1591"/>
      <c r="K34" s="1656">
        <f>HLOOKUP(K$32,GPG!$B$4:$N$10,ROW(GPG!$A6)-ROW(GPG!$A$4)+1,FALSE)</f>
        <v>0.23173288917465615</v>
      </c>
      <c r="P34" s="1600"/>
      <c r="R34" s="1600"/>
    </row>
    <row r="35" spans="1:30" ht="18.75" x14ac:dyDescent="0.5">
      <c r="A35" s="1591" t="str">
        <f t="shared" si="1"/>
        <v>Coal</v>
      </c>
      <c r="D35" s="1654">
        <v>0.38</v>
      </c>
      <c r="F35" s="1591"/>
      <c r="K35" s="1656">
        <f>HLOOKUP(K$32,GPG!$B$4:$N$10,ROW(GPG!$A7)-ROW(GPG!$A$4)+1,FALSE)</f>
        <v>0.38203204354640719</v>
      </c>
      <c r="O35" s="1610"/>
      <c r="P35" s="1600"/>
      <c r="R35" s="1600"/>
      <c r="T35" s="1610"/>
      <c r="U35" s="1610"/>
      <c r="V35" s="1610"/>
      <c r="W35" s="1610"/>
      <c r="X35" s="1610"/>
      <c r="Y35" s="1610"/>
      <c r="Z35" s="1610"/>
      <c r="AA35" s="1610"/>
      <c r="AB35" s="1610"/>
      <c r="AC35" s="1610"/>
      <c r="AD35" s="1610"/>
    </row>
    <row r="36" spans="1:30" ht="18.75" x14ac:dyDescent="0.5">
      <c r="A36" s="1591" t="str">
        <f t="shared" si="1"/>
        <v>Nuclear</v>
      </c>
      <c r="D36" s="1656">
        <v>0.33</v>
      </c>
      <c r="F36" s="1658">
        <v>518</v>
      </c>
      <c r="G36" s="1608" t="s">
        <v>143</v>
      </c>
      <c r="H36" s="1608"/>
      <c r="K36" s="1656">
        <f>HLOOKUP(K$32,GPG!$B$4:$N$10,ROW(GPG!$A8)-ROW(GPG!$A$4)+1,FALSE)</f>
        <v>0.10422907715219884</v>
      </c>
      <c r="O36" s="1610"/>
      <c r="P36" s="1610"/>
      <c r="Q36" s="1610"/>
      <c r="R36" s="1610"/>
      <c r="S36" s="1610"/>
      <c r="T36" s="1610"/>
      <c r="U36" s="1610"/>
      <c r="V36" s="1610"/>
      <c r="W36" s="1610"/>
      <c r="X36" s="1610"/>
      <c r="Y36" s="1610"/>
      <c r="Z36" s="1610"/>
      <c r="AA36" s="1610"/>
      <c r="AB36" s="1610"/>
      <c r="AC36" s="1610"/>
      <c r="AD36" s="1610"/>
    </row>
    <row r="37" spans="1:30" x14ac:dyDescent="0.35">
      <c r="A37" s="1591" t="str">
        <f t="shared" si="1"/>
        <v>Biomass</v>
      </c>
      <c r="D37" s="1656">
        <v>0.35</v>
      </c>
      <c r="F37" s="1659">
        <f>D41*(1+F33)</f>
        <v>520.00267330454471</v>
      </c>
      <c r="K37" s="1656">
        <f>HLOOKUP(K$32,GPG!$B$4:$N$10,ROW(GPG!$A9)-ROW(GPG!$A$4)+1,FALSE)</f>
        <v>1.8484849260529238E-2</v>
      </c>
    </row>
    <row r="38" spans="1:30" x14ac:dyDescent="0.35">
      <c r="A38" s="1591" t="str">
        <f t="shared" si="1"/>
        <v>Other renewables (hydro, solar, wind)</v>
      </c>
      <c r="D38" s="1656">
        <v>1</v>
      </c>
      <c r="F38" s="1595"/>
      <c r="G38" s="1596"/>
      <c r="H38" s="1596"/>
      <c r="I38" s="1596"/>
      <c r="J38" s="1596"/>
      <c r="K38" s="1660">
        <f>HLOOKUP(K$32,GPG!$B$4:$N$10,ROW(GPG!$A10)-ROW(GPG!$A$4)+1,FALSE)</f>
        <v>0.22627079014094445</v>
      </c>
      <c r="T38" s="1622"/>
      <c r="V38" s="1622"/>
      <c r="W38" s="1622"/>
      <c r="X38" s="1622"/>
      <c r="Y38" s="1622"/>
      <c r="Z38" s="1622"/>
    </row>
    <row r="39" spans="1:30" x14ac:dyDescent="0.35">
      <c r="A39" s="1591"/>
      <c r="D39" s="1594"/>
      <c r="T39" s="1657"/>
      <c r="V39" s="1657"/>
      <c r="W39" s="1622"/>
      <c r="X39" s="1622"/>
    </row>
    <row r="40" spans="1:30" x14ac:dyDescent="0.35">
      <c r="A40" s="1595"/>
      <c r="B40" s="1596"/>
      <c r="C40" s="1596"/>
      <c r="D40" s="1649" t="s">
        <v>144</v>
      </c>
      <c r="E40" s="1608"/>
      <c r="F40" s="1608"/>
      <c r="G40" s="1608"/>
    </row>
    <row r="41" spans="1:30" x14ac:dyDescent="0.35">
      <c r="D41" s="1661">
        <f>(K33/D33*D23+K34/D34*D24+K35/D35*D25)*Convert!$B$12</f>
        <v>477.06667275646305</v>
      </c>
      <c r="E41" s="1607">
        <f>475</f>
        <v>475</v>
      </c>
      <c r="F41" s="1608" t="s">
        <v>145</v>
      </c>
      <c r="G41" s="1608"/>
    </row>
    <row r="42" spans="1:30" x14ac:dyDescent="0.35">
      <c r="D42" s="1661"/>
      <c r="E42" s="1607"/>
      <c r="F42" s="1608"/>
      <c r="G42" s="1608"/>
    </row>
    <row r="43" spans="1:30" s="1610" customFormat="1" ht="18.75" x14ac:dyDescent="0.5">
      <c r="A43" s="1650" t="s">
        <v>146</v>
      </c>
      <c r="B43" s="1640"/>
      <c r="C43" s="1640"/>
      <c r="D43" s="1662"/>
      <c r="E43" s="1663"/>
      <c r="F43" s="1664"/>
      <c r="G43" s="1664"/>
      <c r="H43" s="1640"/>
      <c r="I43" s="1641"/>
    </row>
    <row r="44" spans="1:30" x14ac:dyDescent="0.35">
      <c r="A44" s="1591"/>
      <c r="G44" s="1608"/>
      <c r="I44" s="1594"/>
    </row>
    <row r="45" spans="1:30" x14ac:dyDescent="0.35">
      <c r="A45" s="1591"/>
      <c r="D45" s="1661" t="str">
        <f>E10</f>
        <v>gCO2eq/kWh</v>
      </c>
      <c r="E45" s="1665"/>
      <c r="F45" s="1608"/>
      <c r="G45" s="1608" t="str">
        <f>C10</f>
        <v>MJ/MJ</v>
      </c>
      <c r="I45" s="1594"/>
    </row>
    <row r="46" spans="1:30" ht="13.9" x14ac:dyDescent="0.4">
      <c r="A46" s="1591"/>
      <c r="D46" s="1592" t="s">
        <v>147</v>
      </c>
      <c r="E46" s="1666" t="s">
        <v>148</v>
      </c>
      <c r="F46" s="1608" t="s">
        <v>149</v>
      </c>
      <c r="G46" s="1592" t="s">
        <v>147</v>
      </c>
      <c r="H46" s="1592" t="str">
        <f>E46</f>
        <v>GREET1</v>
      </c>
      <c r="I46" s="1601" t="s">
        <v>150</v>
      </c>
    </row>
    <row r="47" spans="1:30" ht="13.9" x14ac:dyDescent="0.4">
      <c r="A47" s="1591" t="str">
        <f t="shared" ref="A47:A52" si="2">A33</f>
        <v>Residual oil</v>
      </c>
      <c r="D47" s="1661">
        <f>D23/D33*Convert!$B$12*(1+$F$33)</f>
        <v>1046.8510344827589</v>
      </c>
      <c r="E47" s="1667">
        <f>E11</f>
        <v>1033.5360506170814</v>
      </c>
      <c r="F47" s="1668">
        <f>E47/D47</f>
        <v>0.98728091827099707</v>
      </c>
      <c r="G47" s="1628">
        <f t="shared" ref="G47:G52" si="3">1/D33</f>
        <v>3.4482758620689657</v>
      </c>
      <c r="H47" s="1669">
        <f>C11</f>
        <v>3.4941213145265122</v>
      </c>
      <c r="I47" s="1670">
        <f>H47</f>
        <v>3.4941213145265122</v>
      </c>
    </row>
    <row r="48" spans="1:30" ht="13.9" x14ac:dyDescent="0.4">
      <c r="A48" s="1591" t="str">
        <f t="shared" si="2"/>
        <v>Natural gas</v>
      </c>
      <c r="D48" s="1661">
        <f>D24/D34*Convert!$B$12*(1+$F$33)</f>
        <v>440.27280000000007</v>
      </c>
      <c r="E48" s="1667">
        <f>E12</f>
        <v>507.08338855871472</v>
      </c>
      <c r="F48" s="1668">
        <f>E48/D48</f>
        <v>1.1517481628633761</v>
      </c>
      <c r="G48" s="1628">
        <f t="shared" si="3"/>
        <v>2</v>
      </c>
      <c r="H48" s="1669">
        <f>C12</f>
        <v>2.2814954890829569</v>
      </c>
      <c r="I48" s="1670">
        <f>H48</f>
        <v>2.2814954890829569</v>
      </c>
    </row>
    <row r="49" spans="1:27" ht="13.9" x14ac:dyDescent="0.4">
      <c r="A49" s="1591" t="str">
        <f t="shared" si="2"/>
        <v>Coal</v>
      </c>
      <c r="D49" s="1661">
        <f>D25/D35*Convert!$B$12*(1+$F$33)</f>
        <v>992.01473684210532</v>
      </c>
      <c r="E49" s="1667">
        <f>E13</f>
        <v>1061.7962990402461</v>
      </c>
      <c r="F49" s="1668">
        <f>E49/D49</f>
        <v>1.0703432717343266</v>
      </c>
      <c r="G49" s="1628">
        <f t="shared" si="3"/>
        <v>2.6315789473684212</v>
      </c>
      <c r="H49" s="1669">
        <f>C13</f>
        <v>2.982142386241021</v>
      </c>
      <c r="I49" s="1670">
        <f>H49</f>
        <v>2.982142386241021</v>
      </c>
    </row>
    <row r="50" spans="1:27" ht="13.9" x14ac:dyDescent="0.4">
      <c r="A50" s="1591" t="str">
        <f t="shared" si="2"/>
        <v>Nuclear</v>
      </c>
      <c r="D50" s="1661">
        <f>D26/D36*Convert!$B$12*(1+$F$33)</f>
        <v>0</v>
      </c>
      <c r="E50" s="1667">
        <f>E15</f>
        <v>8.323922286361439</v>
      </c>
      <c r="F50" s="1668"/>
      <c r="G50" s="1628">
        <f t="shared" si="3"/>
        <v>3.0303030303030303</v>
      </c>
      <c r="H50" s="1669">
        <f>C15</f>
        <v>1.0853584112360037</v>
      </c>
      <c r="I50" s="1670">
        <f>G50+H50-1</f>
        <v>3.115661441539034</v>
      </c>
    </row>
    <row r="51" spans="1:27" ht="13.9" x14ac:dyDescent="0.4">
      <c r="A51" s="1591" t="str">
        <f t="shared" si="2"/>
        <v>Biomass</v>
      </c>
      <c r="D51" s="1661">
        <f>D27/D37*Convert!$B$12*(1+$F$33)</f>
        <v>0</v>
      </c>
      <c r="E51" s="1667">
        <f>E14</f>
        <v>65.204180783780316</v>
      </c>
      <c r="F51" s="1668"/>
      <c r="G51" s="1628">
        <f t="shared" si="3"/>
        <v>2.8571428571428572</v>
      </c>
      <c r="H51" s="1669">
        <f>C14</f>
        <v>4.8786519545045719</v>
      </c>
      <c r="I51" s="1670">
        <f>H51</f>
        <v>4.8786519545045719</v>
      </c>
    </row>
    <row r="52" spans="1:27" ht="13.9" x14ac:dyDescent="0.4">
      <c r="A52" s="1591" t="str">
        <f t="shared" si="2"/>
        <v>Other renewables (hydro, solar, wind)</v>
      </c>
      <c r="D52" s="1661">
        <f>D28/D38*Convert!$B$12*(1+$F$33)</f>
        <v>0</v>
      </c>
      <c r="E52" s="1667">
        <f>AVERAGE(E16,E17,E18)</f>
        <v>0</v>
      </c>
      <c r="F52" s="1668"/>
      <c r="G52" s="1628">
        <f t="shared" si="3"/>
        <v>1</v>
      </c>
      <c r="H52" s="1669">
        <f>AVERAGE(C16,C17,C18)</f>
        <v>1.0515247108307046</v>
      </c>
      <c r="I52" s="1670">
        <f>H52</f>
        <v>1.0515247108307046</v>
      </c>
    </row>
    <row r="53" spans="1:27" x14ac:dyDescent="0.35">
      <c r="A53" s="1595" t="s">
        <v>46</v>
      </c>
      <c r="B53" s="1596"/>
      <c r="C53" s="1596"/>
      <c r="D53" s="1671" t="e">
        <f>NA()</f>
        <v>#N/A</v>
      </c>
      <c r="E53" s="1672">
        <f>AVERAGE(D75,E75)*1000</f>
        <v>9.9319444444444454</v>
      </c>
      <c r="F53" s="1673"/>
      <c r="G53" s="1674">
        <f>G52</f>
        <v>1</v>
      </c>
      <c r="H53" s="1674">
        <f>H52</f>
        <v>1.0515247108307046</v>
      </c>
      <c r="I53" s="1675">
        <f>I52</f>
        <v>1.0515247108307046</v>
      </c>
    </row>
    <row r="54" spans="1:27" x14ac:dyDescent="0.35">
      <c r="D54" s="1661"/>
      <c r="E54" s="1607"/>
      <c r="F54" s="1608"/>
      <c r="G54" s="1608"/>
    </row>
    <row r="55" spans="1:27" s="1610" customFormat="1" ht="18.75" x14ac:dyDescent="0.5">
      <c r="A55" s="1650" t="s">
        <v>151</v>
      </c>
      <c r="B55" s="1640"/>
      <c r="C55" s="1640"/>
      <c r="D55" s="1662"/>
      <c r="E55" s="1663"/>
      <c r="F55" s="1664"/>
      <c r="G55" s="1664"/>
      <c r="H55" s="1640"/>
      <c r="I55" s="1640"/>
      <c r="J55" s="1640"/>
      <c r="K55" s="1640"/>
      <c r="L55" s="1640"/>
      <c r="M55" s="1640"/>
      <c r="N55" s="1640"/>
      <c r="O55" s="1640"/>
      <c r="P55" s="1640"/>
      <c r="Q55" s="1640"/>
      <c r="R55" s="1640"/>
      <c r="S55" s="1640"/>
      <c r="T55" s="1640"/>
      <c r="U55" s="1640"/>
      <c r="V55" s="1640"/>
      <c r="W55" s="1640"/>
      <c r="X55" s="1640"/>
      <c r="Y55" s="1640"/>
      <c r="Z55" s="1640"/>
      <c r="AA55" s="1641"/>
    </row>
    <row r="56" spans="1:27" x14ac:dyDescent="0.35">
      <c r="A56" s="1591"/>
      <c r="D56" s="1661"/>
      <c r="E56" s="1665"/>
      <c r="F56" s="1608"/>
      <c r="G56" s="1608"/>
      <c r="AA56" s="1594"/>
    </row>
    <row r="57" spans="1:27" x14ac:dyDescent="0.35">
      <c r="A57" s="1591"/>
      <c r="D57" s="1622" t="s">
        <v>152</v>
      </c>
      <c r="F57" s="1622"/>
      <c r="N57" s="1592" t="s">
        <v>62</v>
      </c>
      <c r="Q57" s="1622" t="s">
        <v>153</v>
      </c>
      <c r="S57" s="1622"/>
      <c r="T57" s="1622"/>
      <c r="U57" s="1622"/>
      <c r="V57" s="1622"/>
      <c r="AA57" s="1594"/>
    </row>
    <row r="58" spans="1:27" ht="13.9" x14ac:dyDescent="0.4">
      <c r="A58" s="1591"/>
      <c r="D58" s="1622" t="s">
        <v>128</v>
      </c>
      <c r="F58" s="1622" t="s">
        <v>154</v>
      </c>
      <c r="H58" s="1592" t="s">
        <v>127</v>
      </c>
      <c r="K58" s="1592" t="str">
        <f>H46</f>
        <v>GREET1</v>
      </c>
      <c r="L58" s="1666" t="str">
        <f>I46</f>
        <v>GREET1 (Nuclear 33%)</v>
      </c>
      <c r="N58" s="1592" t="s">
        <v>148</v>
      </c>
      <c r="Q58" s="1622" t="s">
        <v>128</v>
      </c>
      <c r="S58" s="1622" t="s">
        <v>154</v>
      </c>
      <c r="T58" s="1622"/>
      <c r="U58" s="1592" t="s">
        <v>127</v>
      </c>
      <c r="V58" s="1622"/>
      <c r="X58" s="1666" t="str">
        <f>K58</f>
        <v>GREET1</v>
      </c>
      <c r="AA58" s="1594" t="str">
        <f>X58</f>
        <v>GREET1</v>
      </c>
    </row>
    <row r="59" spans="1:27" ht="54" x14ac:dyDescent="0.4">
      <c r="A59" s="1591"/>
      <c r="C59" s="1592" t="s">
        <v>155</v>
      </c>
      <c r="D59" s="1632" t="s">
        <v>156</v>
      </c>
      <c r="E59" s="1592" t="s">
        <v>123</v>
      </c>
      <c r="F59" s="1632" t="s">
        <v>156</v>
      </c>
      <c r="G59" s="1592" t="s">
        <v>123</v>
      </c>
      <c r="H59" s="1632" t="str">
        <f>F59</f>
        <v>(Btu per mmBtu of H2 Throughput)</v>
      </c>
      <c r="I59" s="1592" t="str">
        <f>G59</f>
        <v>MJ/MJ</v>
      </c>
      <c r="K59" s="1592" t="str">
        <f t="shared" ref="K59:K67" si="4">I59</f>
        <v>MJ/MJ</v>
      </c>
      <c r="L59" s="1666" t="str">
        <f>K59</f>
        <v>MJ/MJ</v>
      </c>
      <c r="N59" s="1592" t="s">
        <v>157</v>
      </c>
      <c r="O59" s="1592" t="s">
        <v>158</v>
      </c>
      <c r="Q59" s="1676" t="s">
        <v>159</v>
      </c>
      <c r="R59" s="1592" t="s">
        <v>130</v>
      </c>
      <c r="S59" s="1676" t="s">
        <v>159</v>
      </c>
      <c r="T59" s="1592" t="s">
        <v>130</v>
      </c>
      <c r="U59" s="1676" t="str">
        <f>S59</f>
        <v>(grams per mmBtu of H2 Throughput)</v>
      </c>
      <c r="V59" s="1592" t="str">
        <f>T59</f>
        <v>gCO2eq/MJ</v>
      </c>
      <c r="X59" s="1666" t="str">
        <f>V59</f>
        <v>gCO2eq/MJ</v>
      </c>
      <c r="Y59" s="1592" t="s">
        <v>160</v>
      </c>
      <c r="AA59" s="1677" t="s">
        <v>161</v>
      </c>
    </row>
    <row r="60" spans="1:27" ht="13.9" x14ac:dyDescent="0.4">
      <c r="A60" s="1591" t="s">
        <v>113</v>
      </c>
      <c r="C60" s="1592" t="str">
        <f>A60</f>
        <v>Natural gas</v>
      </c>
      <c r="D60" s="1600">
        <f>Hydrogen!$Z$256</f>
        <v>106511.65405772217</v>
      </c>
      <c r="E60" s="1592">
        <f>D60/10^6</f>
        <v>0.10651165405772217</v>
      </c>
      <c r="F60" s="1600">
        <f>Hydrogen!$AA$256</f>
        <v>687128.76495617686</v>
      </c>
      <c r="G60" s="1592">
        <f t="shared" ref="G60:G67" si="5">F60/10^6</f>
        <v>0.68712876495617692</v>
      </c>
      <c r="H60" s="1593">
        <f>D60+F60</f>
        <v>793640.41901389905</v>
      </c>
      <c r="I60" s="1592">
        <f>E60+G60</f>
        <v>0.79364041901389903</v>
      </c>
      <c r="K60" s="1628">
        <f t="shared" si="4"/>
        <v>0.79364041901389903</v>
      </c>
      <c r="L60" s="1678">
        <f>K60</f>
        <v>0.79364041901389903</v>
      </c>
      <c r="Q60" s="1600">
        <f>Hydrogen!Z274</f>
        <v>14191.659945221811</v>
      </c>
      <c r="R60" s="1592">
        <f>Q60/1055</f>
        <v>13.45181037461783</v>
      </c>
      <c r="S60" s="1600">
        <f>Hydrogen!$AA$274</f>
        <v>106505.72412547216</v>
      </c>
      <c r="T60" s="1592">
        <f>S60/1055</f>
        <v>100.95329300992621</v>
      </c>
      <c r="U60" s="1593">
        <f>Q60+S60</f>
        <v>120697.38407069397</v>
      </c>
      <c r="V60" s="1592">
        <f>R60+T60</f>
        <v>114.40510338454405</v>
      </c>
      <c r="X60" s="1666">
        <f>V60</f>
        <v>114.40510338454405</v>
      </c>
      <c r="Y60" s="1592">
        <f>X60*Convert!$B$12</f>
        <v>411.85837218435859</v>
      </c>
      <c r="AA60" s="1594"/>
    </row>
    <row r="61" spans="1:27" ht="13.9" x14ac:dyDescent="0.4">
      <c r="A61" s="1591" t="s">
        <v>162</v>
      </c>
      <c r="B61" s="1592" t="s">
        <v>163</v>
      </c>
      <c r="C61" s="1592" t="str">
        <f t="shared" ref="C61:C67" si="6">A61&amp;" ("&amp;B61&amp;")"</f>
        <v>Electrolysis (Oil)</v>
      </c>
      <c r="D61" s="1600">
        <f>Hydrogen_ElectrolysisOil!$AB$256</f>
        <v>3988580.0438515176</v>
      </c>
      <c r="E61" s="1592">
        <f>D61/10^6</f>
        <v>3.9885800438515178</v>
      </c>
      <c r="F61" s="1600">
        <f>Hydrogen_ElectrolysisOil!$AC$256</f>
        <v>1599192.4773750291</v>
      </c>
      <c r="G61" s="1592">
        <f t="shared" si="5"/>
        <v>1.5991924773750292</v>
      </c>
      <c r="H61" s="1593">
        <f t="shared" ref="H61:I67" si="7">D61+F61</f>
        <v>5587772.5212265467</v>
      </c>
      <c r="I61" s="1592">
        <f t="shared" si="7"/>
        <v>5.5877725212265474</v>
      </c>
      <c r="K61" s="1628">
        <f t="shared" si="4"/>
        <v>5.5877725212265474</v>
      </c>
      <c r="L61" s="1678">
        <f>K61</f>
        <v>5.5877725212265474</v>
      </c>
      <c r="N61" s="1628">
        <f t="shared" ref="N61:N67" si="8">D61/F61+1</f>
        <v>3.4941213145265122</v>
      </c>
      <c r="O61" s="1628">
        <f>C11</f>
        <v>3.4941213145265122</v>
      </c>
      <c r="Q61" s="1600">
        <f>Hydrogen_ElectrolysisOil!$AB$274</f>
        <v>484368.98513641238</v>
      </c>
      <c r="R61" s="1592">
        <f>Q61/1055</f>
        <v>459.11752145631505</v>
      </c>
      <c r="S61" s="1600">
        <f>Hydrogen_ElectrolysisOil!$AC$274</f>
        <v>0</v>
      </c>
      <c r="T61" s="1592">
        <f>S61/1055</f>
        <v>0</v>
      </c>
      <c r="U61" s="1593">
        <f t="shared" ref="U61:U67" si="9">Q61+S61</f>
        <v>484368.98513641238</v>
      </c>
      <c r="V61" s="1592">
        <f>R61+T61</f>
        <v>459.11752145631505</v>
      </c>
      <c r="X61" s="1666">
        <f t="shared" ref="X61:X66" si="10">V61</f>
        <v>459.11752145631505</v>
      </c>
      <c r="Y61" s="1592">
        <f>X61*Convert!$B$12</f>
        <v>1652.8230772427341</v>
      </c>
      <c r="AA61" s="1594">
        <f>Y61/E47</f>
        <v>1.5991924773750295</v>
      </c>
    </row>
    <row r="62" spans="1:27" ht="13.9" x14ac:dyDescent="0.4">
      <c r="A62" s="1591" t="s">
        <v>162</v>
      </c>
      <c r="B62" s="1592" t="s">
        <v>113</v>
      </c>
      <c r="C62" s="1592" t="str">
        <f t="shared" si="6"/>
        <v>Electrolysis (Natural gas)</v>
      </c>
      <c r="D62" s="1600">
        <f>Hydrogen_ElectrolysisNG!$AB$256</f>
        <v>2049357.9459314989</v>
      </c>
      <c r="E62" s="1592">
        <f>D62/10^6</f>
        <v>2.049357945931499</v>
      </c>
      <c r="F62" s="1600">
        <f>Hydrogen_ElectrolysisNG!$AC$256</f>
        <v>1599192.4773750291</v>
      </c>
      <c r="G62" s="1592">
        <f t="shared" si="5"/>
        <v>1.5991924773750292</v>
      </c>
      <c r="H62" s="1593">
        <f t="shared" si="7"/>
        <v>3648550.423306528</v>
      </c>
      <c r="I62" s="1592">
        <f t="shared" si="7"/>
        <v>3.6485504233065282</v>
      </c>
      <c r="K62" s="1628">
        <f t="shared" si="4"/>
        <v>3.6485504233065282</v>
      </c>
      <c r="L62" s="1678">
        <f>K62</f>
        <v>3.6485504233065282</v>
      </c>
      <c r="N62" s="1628">
        <f t="shared" si="8"/>
        <v>2.2814954890829573</v>
      </c>
      <c r="O62" s="1628">
        <f>C12</f>
        <v>2.2814954890829569</v>
      </c>
      <c r="Q62" s="1600">
        <f>Hydrogen_ElectrolysisNG!$AB$274</f>
        <v>237645.76586280757</v>
      </c>
      <c r="R62" s="1592">
        <f>Q62/1055</f>
        <v>225.2566501069266</v>
      </c>
      <c r="S62" s="1600">
        <f>Hydrogen_ElectrolysisNG!$AC$274</f>
        <v>0</v>
      </c>
      <c r="T62" s="1592">
        <f>S62/1055</f>
        <v>0</v>
      </c>
      <c r="U62" s="1593">
        <f t="shared" si="9"/>
        <v>237645.76586280757</v>
      </c>
      <c r="V62" s="1592">
        <f>R62+T62</f>
        <v>225.2566501069266</v>
      </c>
      <c r="X62" s="1666">
        <f t="shared" si="10"/>
        <v>225.2566501069266</v>
      </c>
      <c r="Y62" s="1592">
        <f>X62*Convert!$B$12</f>
        <v>810.9239403849358</v>
      </c>
      <c r="AA62" s="1594">
        <f>Y62/E48</f>
        <v>1.5991924773750297</v>
      </c>
    </row>
    <row r="63" spans="1:27" ht="13.9" x14ac:dyDescent="0.4">
      <c r="A63" s="1591" t="s">
        <v>162</v>
      </c>
      <c r="B63" s="1592" t="s">
        <v>114</v>
      </c>
      <c r="C63" s="1592" t="str">
        <f t="shared" si="6"/>
        <v>Electrolysis (Coal)</v>
      </c>
      <c r="D63" s="1600">
        <f>Hydrogen_ElectrolysisCoal!$AB$256</f>
        <v>3169827.193162831</v>
      </c>
      <c r="E63" s="1592">
        <f>D63/10^6</f>
        <v>3.1698271931628308</v>
      </c>
      <c r="F63" s="1600">
        <f>Hydrogen_ElectrolysisCoal!$AC$256</f>
        <v>1599192.4773750291</v>
      </c>
      <c r="G63" s="1592">
        <f t="shared" si="5"/>
        <v>1.5991924773750292</v>
      </c>
      <c r="H63" s="1593">
        <f t="shared" si="7"/>
        <v>4769019.6705378601</v>
      </c>
      <c r="I63" s="1592">
        <f t="shared" si="7"/>
        <v>4.76901967053786</v>
      </c>
      <c r="K63" s="1628">
        <f t="shared" si="4"/>
        <v>4.76901967053786</v>
      </c>
      <c r="L63" s="1678">
        <f>K63</f>
        <v>4.76901967053786</v>
      </c>
      <c r="N63" s="1628">
        <f t="shared" si="8"/>
        <v>2.9821423862410215</v>
      </c>
      <c r="O63" s="1628">
        <f>C13</f>
        <v>2.982142386241021</v>
      </c>
      <c r="Q63" s="1600">
        <f>Hydrogen_ElectrolysisCoal!$AB$274</f>
        <v>497613.21385998558</v>
      </c>
      <c r="R63" s="1592">
        <f>Q63/1055</f>
        <v>471.67129275828017</v>
      </c>
      <c r="S63" s="1600">
        <f>Hydrogen_ElectrolysisCoal!$AC$274</f>
        <v>0</v>
      </c>
      <c r="T63" s="1592">
        <f>S63/1055</f>
        <v>0</v>
      </c>
      <c r="U63" s="1593">
        <f t="shared" si="9"/>
        <v>497613.21385998558</v>
      </c>
      <c r="V63" s="1592">
        <f>R63+T63</f>
        <v>471.67129275828017</v>
      </c>
      <c r="X63" s="1666">
        <f t="shared" si="10"/>
        <v>471.67129275828017</v>
      </c>
      <c r="Y63" s="1592">
        <f>X63*Convert!$B$12</f>
        <v>1698.0166539298086</v>
      </c>
      <c r="AA63" s="1594">
        <f>Y63/E49</f>
        <v>1.5991924773750292</v>
      </c>
    </row>
    <row r="64" spans="1:27" ht="13.9" x14ac:dyDescent="0.4">
      <c r="A64" s="1591" t="s">
        <v>162</v>
      </c>
      <c r="B64" s="1592" t="s">
        <v>115</v>
      </c>
      <c r="C64" s="1592" t="str">
        <f t="shared" si="6"/>
        <v>Electrolysis (Nuclear)</v>
      </c>
      <c r="D64" s="1600">
        <f>Hydrogen_ElectrolysisNuclear!$AB$256</f>
        <v>136504.52912930143</v>
      </c>
      <c r="E64" s="1592">
        <f>D64/10^6</f>
        <v>0.13650452912930144</v>
      </c>
      <c r="F64" s="1600">
        <f>Hydrogen_ElectrolysisNuclear!$AC$256</f>
        <v>1599192.4773750291</v>
      </c>
      <c r="G64" s="1592">
        <f t="shared" si="5"/>
        <v>1.5991924773750292</v>
      </c>
      <c r="H64" s="1593">
        <f t="shared" si="7"/>
        <v>1735697.0065043306</v>
      </c>
      <c r="I64" s="1592">
        <f t="shared" si="7"/>
        <v>1.7356970065043307</v>
      </c>
      <c r="K64" s="1628">
        <f t="shared" si="4"/>
        <v>1.7356970065043307</v>
      </c>
      <c r="L64" s="1678">
        <f>(1+F64*I50)/10^6</f>
        <v>4.9825433393566625</v>
      </c>
      <c r="N64" s="1628">
        <f t="shared" si="8"/>
        <v>1.0853584112360037</v>
      </c>
      <c r="O64" s="1628">
        <f>C15</f>
        <v>1.0853584112360037</v>
      </c>
      <c r="Q64" s="1600">
        <f>Hydrogen_ElectrolysisNuclear!$AB$274</f>
        <v>3901.0248242352109</v>
      </c>
      <c r="R64" s="1592">
        <f>Q64/1055</f>
        <v>3.6976538618343233</v>
      </c>
      <c r="S64" s="1600">
        <f>Hydrogen_ElectrolysisNuclear!$AC$274</f>
        <v>0</v>
      </c>
      <c r="T64" s="1592">
        <f>S64/1055</f>
        <v>0</v>
      </c>
      <c r="U64" s="1593">
        <f t="shared" si="9"/>
        <v>3901.0248242352109</v>
      </c>
      <c r="V64" s="1592">
        <f>R64+T64</f>
        <v>3.6976538618343233</v>
      </c>
      <c r="X64" s="1666">
        <f t="shared" si="10"/>
        <v>3.6976538618343233</v>
      </c>
      <c r="Y64" s="1592">
        <f>X64*Convert!$B$12</f>
        <v>13.311553902603563</v>
      </c>
      <c r="AA64" s="1594">
        <f>Y64/E50</f>
        <v>1.5991924773750288</v>
      </c>
    </row>
    <row r="65" spans="1:27" ht="13.9" x14ac:dyDescent="0.4">
      <c r="A65" s="1679" t="s">
        <v>162</v>
      </c>
      <c r="B65" s="1680" t="s">
        <v>116</v>
      </c>
      <c r="C65" s="1592" t="str">
        <f t="shared" si="6"/>
        <v>Electrolysis (Biomass)</v>
      </c>
      <c r="D65" s="1681">
        <f>E65*10^6</f>
        <v>6202712.0279996647</v>
      </c>
      <c r="E65" s="1682">
        <f>I65-G65</f>
        <v>6.2027120279996648</v>
      </c>
      <c r="F65" s="1683">
        <f>F66</f>
        <v>1599192.4773750291</v>
      </c>
      <c r="G65" s="1680">
        <f t="shared" si="5"/>
        <v>1.5991924773750292</v>
      </c>
      <c r="H65" s="1681">
        <f>I65*10^6</f>
        <v>7801904.5053746942</v>
      </c>
      <c r="I65" s="1682">
        <f>L65</f>
        <v>7.8019045053746945</v>
      </c>
      <c r="J65" s="1680"/>
      <c r="K65" s="1682">
        <f t="shared" si="4"/>
        <v>7.8019045053746945</v>
      </c>
      <c r="L65" s="1684">
        <f>(1+F65*I51)/10^6</f>
        <v>7.8019045053746945</v>
      </c>
      <c r="N65" s="1682">
        <f t="shared" si="8"/>
        <v>4.8786525798201694</v>
      </c>
      <c r="O65" s="1682">
        <f>C14</f>
        <v>4.8786519545045719</v>
      </c>
      <c r="Q65" s="1683">
        <f>U65</f>
        <v>30558.085374993938</v>
      </c>
      <c r="R65" s="1683">
        <f>V65</f>
        <v>28.965009834117478</v>
      </c>
      <c r="S65" s="1600"/>
      <c r="U65" s="1681">
        <f>V65*1055</f>
        <v>30558.085374993938</v>
      </c>
      <c r="V65" s="1680">
        <f>X65</f>
        <v>28.965009834117478</v>
      </c>
      <c r="X65" s="1685">
        <f>Y65/Convert!$B$12</f>
        <v>28.965009834117478</v>
      </c>
      <c r="Y65" s="1680">
        <f>E51*AA65</f>
        <v>104.27403540282292</v>
      </c>
      <c r="AA65" s="1686">
        <f>AA63</f>
        <v>1.5991924773750292</v>
      </c>
    </row>
    <row r="66" spans="1:27" ht="13.9" x14ac:dyDescent="0.4">
      <c r="A66" s="1591" t="s">
        <v>162</v>
      </c>
      <c r="B66" s="1592" t="s">
        <v>164</v>
      </c>
      <c r="C66" s="1592" t="str">
        <f t="shared" si="6"/>
        <v>Electrolysis (Renewables)</v>
      </c>
      <c r="D66" s="1600">
        <f>Hydrogen_ElectrolysisRenew!$AB$256</f>
        <v>82397.929959386587</v>
      </c>
      <c r="E66" s="1592">
        <f>D66/10^6</f>
        <v>8.2397929959386593E-2</v>
      </c>
      <c r="F66" s="1687">
        <f>Hydrogen_ElectrolysisRenew!$AC$256</f>
        <v>1599192.4773750291</v>
      </c>
      <c r="G66" s="1688">
        <f t="shared" si="5"/>
        <v>1.5991924773750292</v>
      </c>
      <c r="H66" s="1593">
        <f t="shared" si="7"/>
        <v>1681590.4073344157</v>
      </c>
      <c r="I66" s="1592">
        <f>E66+G66</f>
        <v>1.6815904073344159</v>
      </c>
      <c r="K66" s="1628">
        <f t="shared" si="4"/>
        <v>1.6815904073344159</v>
      </c>
      <c r="L66" s="1678">
        <f>K66</f>
        <v>1.6815904073344159</v>
      </c>
      <c r="N66" s="1628">
        <f t="shared" si="8"/>
        <v>1.0515247108307046</v>
      </c>
      <c r="O66" s="1628">
        <f>C16</f>
        <v>1.0515247108307046</v>
      </c>
      <c r="Q66" s="1600">
        <f>Hydrogen_ElectrolysisRenew!$AB$274</f>
        <v>1221.4616769716354</v>
      </c>
      <c r="R66" s="1592">
        <f>Q66/1055</f>
        <v>1.1577835800679008</v>
      </c>
      <c r="S66" s="1600">
        <f>Hydrogen_ElectrolysisNuclear!$AC$274</f>
        <v>0</v>
      </c>
      <c r="T66" s="1592">
        <f>S66/1055</f>
        <v>0</v>
      </c>
      <c r="U66" s="1593">
        <f t="shared" si="9"/>
        <v>1221.4616769716354</v>
      </c>
      <c r="V66" s="1592">
        <f>R66+T66</f>
        <v>1.1577835800679008</v>
      </c>
      <c r="X66" s="1666">
        <f t="shared" si="10"/>
        <v>1.1577835800679008</v>
      </c>
      <c r="Y66" s="1592">
        <f>X66*Convert!$B$12</f>
        <v>4.1680208882444427</v>
      </c>
      <c r="AA66" s="1594"/>
    </row>
    <row r="67" spans="1:27" ht="13.9" x14ac:dyDescent="0.4">
      <c r="A67" s="1595" t="s">
        <v>162</v>
      </c>
      <c r="B67" s="1596" t="s">
        <v>46</v>
      </c>
      <c r="C67" s="1596" t="str">
        <f t="shared" si="6"/>
        <v>Electrolysis (Dedicated renewables)</v>
      </c>
      <c r="D67" s="1635">
        <f>Hydrogen_ElectrolysisRenew!$AB$256</f>
        <v>82397.929959386587</v>
      </c>
      <c r="E67" s="1596">
        <f>D67/10^6</f>
        <v>8.2397929959386593E-2</v>
      </c>
      <c r="F67" s="1689">
        <f>Hydrogen_ElectrolysisRenew!$AC$256</f>
        <v>1599192.4773750291</v>
      </c>
      <c r="G67" s="1672">
        <f t="shared" si="5"/>
        <v>1.5991924773750292</v>
      </c>
      <c r="H67" s="1690">
        <f t="shared" si="7"/>
        <v>1681590.4073344157</v>
      </c>
      <c r="I67" s="1596">
        <f>E67+G67</f>
        <v>1.6815904073344159</v>
      </c>
      <c r="J67" s="1596"/>
      <c r="K67" s="1636">
        <f t="shared" si="4"/>
        <v>1.6815904073344159</v>
      </c>
      <c r="L67" s="1691">
        <f>K67</f>
        <v>1.6815904073344159</v>
      </c>
      <c r="M67" s="1596"/>
      <c r="N67" s="1636">
        <f t="shared" si="8"/>
        <v>1.0515247108307046</v>
      </c>
      <c r="O67" s="1636">
        <f>C17</f>
        <v>1.0515247108307046</v>
      </c>
      <c r="P67" s="1596"/>
      <c r="Q67" s="1635">
        <f>Hydrogen_ElectrolysisRenew!$AB$274</f>
        <v>1221.4616769716354</v>
      </c>
      <c r="R67" s="1596">
        <f>Q67/1055</f>
        <v>1.1577835800679008</v>
      </c>
      <c r="S67" s="1689">
        <f>T66*1055</f>
        <v>0</v>
      </c>
      <c r="T67" s="1672">
        <f>AVERAGE(D75,E75)*1000</f>
        <v>9.9319444444444454</v>
      </c>
      <c r="U67" s="1690">
        <f t="shared" si="9"/>
        <v>1221.4616769716354</v>
      </c>
      <c r="V67" s="1596">
        <f>R67+T67</f>
        <v>11.089728024512347</v>
      </c>
      <c r="W67" s="1596"/>
      <c r="X67" s="1692">
        <f>V67</f>
        <v>11.089728024512347</v>
      </c>
      <c r="Y67" s="1596">
        <f>X67*Convert!$B$12</f>
        <v>39.923020888244451</v>
      </c>
      <c r="Z67" s="1596"/>
      <c r="AA67" s="1597">
        <f>Y67/E53</f>
        <v>4.019658095306391</v>
      </c>
    </row>
    <row r="68" spans="1:27" ht="13.9" x14ac:dyDescent="0.4">
      <c r="A68" s="1602"/>
      <c r="B68" s="1612"/>
      <c r="C68" s="1612" t="s">
        <v>165</v>
      </c>
      <c r="D68" s="1693"/>
      <c r="E68" s="1599"/>
      <c r="F68" s="1600"/>
      <c r="H68" s="1593"/>
      <c r="K68" s="1628"/>
      <c r="L68" s="1678"/>
      <c r="N68" s="1628"/>
      <c r="O68" s="1628"/>
      <c r="Q68" s="1600"/>
      <c r="S68" s="1600"/>
      <c r="U68" s="1593"/>
      <c r="X68" s="1666"/>
    </row>
    <row r="69" spans="1:27" ht="13.9" x14ac:dyDescent="0.4">
      <c r="A69" s="1591"/>
      <c r="C69" s="1600"/>
      <c r="E69" s="1694"/>
      <c r="G69" s="1593"/>
      <c r="J69" s="1628"/>
      <c r="K69" s="1678"/>
      <c r="M69" s="1628"/>
      <c r="N69" s="1628"/>
      <c r="P69" s="1600"/>
      <c r="R69" s="1600"/>
      <c r="T69" s="1593"/>
      <c r="W69" s="1666"/>
    </row>
    <row r="70" spans="1:27" ht="13.9" x14ac:dyDescent="0.4">
      <c r="A70" s="1591" t="s">
        <v>166</v>
      </c>
      <c r="E70" s="1694"/>
      <c r="G70" s="1593"/>
      <c r="J70" s="1628"/>
      <c r="K70" s="1678"/>
      <c r="M70" s="1628"/>
      <c r="N70" s="1628"/>
      <c r="P70" s="1600"/>
      <c r="R70" s="1600"/>
      <c r="T70" s="1593"/>
      <c r="W70" s="1666"/>
    </row>
    <row r="71" spans="1:27" ht="13.9" x14ac:dyDescent="0.4">
      <c r="A71" s="1591"/>
      <c r="B71" s="1592" t="s">
        <v>167</v>
      </c>
      <c r="D71" s="1592" t="s">
        <v>168</v>
      </c>
      <c r="E71" s="1694"/>
      <c r="G71" s="1593"/>
      <c r="J71" s="1628"/>
      <c r="K71" s="1678"/>
      <c r="M71" s="1628"/>
      <c r="N71" s="1628"/>
      <c r="P71" s="1600"/>
      <c r="R71" s="1600"/>
      <c r="T71" s="1593"/>
      <c r="W71" s="1666"/>
    </row>
    <row r="72" spans="1:27" ht="13.9" x14ac:dyDescent="0.4">
      <c r="A72" s="1591"/>
      <c r="B72" s="1666" t="s">
        <v>169</v>
      </c>
      <c r="C72" s="1666" t="s">
        <v>170</v>
      </c>
      <c r="D72" s="1666" t="s">
        <v>169</v>
      </c>
      <c r="E72" s="1601" t="s">
        <v>170</v>
      </c>
      <c r="G72" s="1593"/>
      <c r="J72" s="1628"/>
      <c r="K72" s="1678"/>
      <c r="M72" s="1628"/>
      <c r="N72" s="1628"/>
      <c r="P72" s="1600"/>
      <c r="R72" s="1600"/>
      <c r="T72" s="1593"/>
      <c r="W72" s="1666"/>
    </row>
    <row r="73" spans="1:27" ht="13.9" x14ac:dyDescent="0.4">
      <c r="A73" s="1591" t="s">
        <v>171</v>
      </c>
      <c r="B73" s="1592">
        <f>34.11/1000</f>
        <v>3.4110000000000001E-2</v>
      </c>
      <c r="C73" s="1592">
        <f>16.6/1000</f>
        <v>1.66E-2</v>
      </c>
      <c r="D73" s="1592">
        <f>B73/Convert!$B$12</f>
        <v>9.4750000000000008E-3</v>
      </c>
      <c r="E73" s="1594">
        <f>C73/Convert!$B$12</f>
        <v>4.611111111111111E-3</v>
      </c>
      <c r="G73" s="1593"/>
      <c r="J73" s="1628"/>
      <c r="K73" s="1678"/>
      <c r="M73" s="1628"/>
      <c r="N73" s="1628"/>
      <c r="P73" s="1600"/>
      <c r="R73" s="1600"/>
      <c r="T73" s="1593"/>
      <c r="W73" s="1666"/>
    </row>
    <row r="74" spans="1:27" ht="13.9" x14ac:dyDescent="0.4">
      <c r="A74" s="1591" t="s">
        <v>172</v>
      </c>
      <c r="B74" s="1592">
        <f>49.91/1000</f>
        <v>4.9909999999999996E-2</v>
      </c>
      <c r="C74" s="1592">
        <f>42.4/1000</f>
        <v>4.24E-2</v>
      </c>
      <c r="D74" s="1592">
        <f>B74/Convert!$B$12</f>
        <v>1.3863888888888887E-2</v>
      </c>
      <c r="E74" s="1594">
        <f>C74/Convert!$B$12</f>
        <v>1.1777777777777778E-2</v>
      </c>
      <c r="G74" s="1593"/>
      <c r="J74" s="1628"/>
      <c r="K74" s="1678"/>
      <c r="M74" s="1628"/>
      <c r="N74" s="1628"/>
      <c r="P74" s="1600"/>
      <c r="R74" s="1600"/>
      <c r="T74" s="1593"/>
      <c r="W74" s="1666"/>
    </row>
    <row r="75" spans="1:27" ht="13.9" x14ac:dyDescent="0.4">
      <c r="A75" s="1595" t="s">
        <v>173</v>
      </c>
      <c r="B75" s="1596">
        <f>AVERAGE(B73:B74)</f>
        <v>4.2009999999999999E-2</v>
      </c>
      <c r="C75" s="1596">
        <f>AVERAGE(C73:C74)</f>
        <v>2.9499999999999998E-2</v>
      </c>
      <c r="D75" s="1596">
        <f>B75/Convert!$B$12</f>
        <v>1.1669444444444444E-2</v>
      </c>
      <c r="E75" s="1597">
        <f>C75/Convert!$B$12</f>
        <v>8.1944444444444434E-3</v>
      </c>
      <c r="G75" s="1593"/>
      <c r="J75" s="1628"/>
      <c r="K75" s="1678"/>
      <c r="M75" s="1628"/>
      <c r="N75" s="1628"/>
      <c r="P75" s="1600"/>
      <c r="R75" s="1600"/>
      <c r="T75" s="1593"/>
      <c r="W75" s="1666"/>
    </row>
    <row r="76" spans="1:27" ht="67.5" x14ac:dyDescent="0.4">
      <c r="A76" s="1598" t="s">
        <v>174</v>
      </c>
      <c r="B76" s="1599"/>
      <c r="E76" s="1600"/>
      <c r="G76" s="1593"/>
      <c r="J76" s="1628"/>
      <c r="K76" s="1678"/>
      <c r="M76" s="1628"/>
      <c r="N76" s="1628"/>
      <c r="P76" s="1600"/>
      <c r="R76" s="1600"/>
      <c r="T76" s="1593"/>
      <c r="W76" s="1666"/>
    </row>
    <row r="77" spans="1:27" ht="13.9" x14ac:dyDescent="0.4">
      <c r="A77" s="1591"/>
      <c r="B77" s="1601" t="s">
        <v>170</v>
      </c>
      <c r="E77" s="1600"/>
      <c r="G77" s="1593"/>
      <c r="J77" s="1628"/>
      <c r="K77" s="1678"/>
      <c r="M77" s="1628"/>
      <c r="N77" s="1628"/>
      <c r="P77" s="1600"/>
      <c r="R77" s="1600"/>
      <c r="T77" s="1593"/>
      <c r="W77" s="1666"/>
    </row>
    <row r="78" spans="1:27" ht="13.9" x14ac:dyDescent="0.4">
      <c r="A78" s="1591" t="s">
        <v>171</v>
      </c>
      <c r="B78" s="1594">
        <v>0.88</v>
      </c>
      <c r="E78" s="1600"/>
      <c r="G78" s="1593"/>
      <c r="J78" s="1628"/>
      <c r="K78" s="1678"/>
      <c r="M78" s="1628"/>
      <c r="N78" s="1628"/>
      <c r="P78" s="1600"/>
      <c r="R78" s="1600"/>
      <c r="T78" s="1593"/>
      <c r="W78" s="1666"/>
    </row>
    <row r="79" spans="1:27" ht="13.9" x14ac:dyDescent="0.4">
      <c r="A79" s="1591" t="s">
        <v>172</v>
      </c>
      <c r="B79" s="1594">
        <v>2.21</v>
      </c>
      <c r="E79" s="1600"/>
      <c r="G79" s="1593"/>
      <c r="I79" s="1593"/>
      <c r="J79" s="1628"/>
      <c r="K79" s="1678"/>
      <c r="M79" s="1593"/>
      <c r="O79" s="1593"/>
      <c r="P79" s="1628"/>
      <c r="R79" s="1600"/>
      <c r="T79" s="1593"/>
      <c r="W79" s="1666"/>
    </row>
    <row r="80" spans="1:27" ht="13.9" x14ac:dyDescent="0.4">
      <c r="A80" s="1595" t="s">
        <v>173</v>
      </c>
      <c r="B80" s="1597">
        <f>AVERAGE(B78:B79)</f>
        <v>1.5449999999999999</v>
      </c>
      <c r="E80" s="1600"/>
      <c r="G80" s="1593"/>
      <c r="I80" s="1600"/>
      <c r="K80" s="1678"/>
      <c r="M80" s="1593"/>
      <c r="O80" s="1600"/>
      <c r="R80" s="1600"/>
      <c r="T80" s="1593"/>
      <c r="W80" s="1666"/>
    </row>
    <row r="81" spans="1:23" ht="13.9" x14ac:dyDescent="0.4">
      <c r="E81" s="1600"/>
      <c r="G81" s="1593"/>
      <c r="I81" s="1695"/>
      <c r="K81" s="1678"/>
      <c r="M81" s="1593"/>
      <c r="O81" s="1695"/>
      <c r="R81" s="1600"/>
      <c r="T81" s="1593"/>
      <c r="W81" s="1666"/>
    </row>
    <row r="82" spans="1:23" ht="13.9" x14ac:dyDescent="0.4">
      <c r="A82" s="1602"/>
      <c r="B82" s="1696" t="s">
        <v>175</v>
      </c>
      <c r="C82" s="1612" t="s">
        <v>176</v>
      </c>
      <c r="D82" s="1603"/>
      <c r="E82" s="1604"/>
      <c r="F82" s="1605"/>
      <c r="G82" s="1605"/>
      <c r="H82" s="1605"/>
      <c r="I82" s="1604"/>
      <c r="J82" s="1605"/>
      <c r="K82" s="1697"/>
      <c r="L82" s="1605"/>
      <c r="M82" s="1605"/>
      <c r="N82" s="1605"/>
      <c r="O82" s="1604"/>
      <c r="P82" s="1605"/>
      <c r="R82" s="1600"/>
      <c r="W82" s="1666"/>
    </row>
    <row r="83" spans="1:23" x14ac:dyDescent="0.35">
      <c r="A83" s="1591"/>
      <c r="C83" s="1592" t="s">
        <v>177</v>
      </c>
      <c r="D83" s="1606"/>
      <c r="E83" s="1607"/>
      <c r="F83" s="1608"/>
      <c r="G83" s="1608"/>
      <c r="I83" s="1628"/>
      <c r="J83" s="1661"/>
      <c r="M83" s="1608"/>
      <c r="O83" s="1628"/>
      <c r="P83" s="1661"/>
    </row>
    <row r="84" spans="1:23" ht="13.9" x14ac:dyDescent="0.4">
      <c r="A84" s="1591"/>
      <c r="C84" s="1600"/>
      <c r="D84" s="1594"/>
      <c r="E84" s="1600"/>
      <c r="G84" s="1593"/>
      <c r="J84" s="1628"/>
      <c r="K84" s="1678"/>
      <c r="M84" s="1628"/>
      <c r="N84" s="1628"/>
      <c r="P84" s="1600"/>
      <c r="R84" s="1600"/>
      <c r="T84" s="1593"/>
      <c r="W84" s="1666"/>
    </row>
    <row r="85" spans="1:23" ht="13.9" x14ac:dyDescent="0.4">
      <c r="A85" s="1591" t="s">
        <v>178</v>
      </c>
      <c r="C85" s="1600">
        <f>Vehicles!$DM$60</f>
        <v>2047.8910280622597</v>
      </c>
      <c r="D85" s="1594" t="str">
        <f>Vehicles!$A$60</f>
        <v>Total fuel use (Btu/mile)</v>
      </c>
      <c r="E85" s="1600"/>
      <c r="G85" s="1593" t="s">
        <v>179</v>
      </c>
      <c r="I85" s="1698">
        <f>Vehicles!$B$60</f>
        <v>4301.8987730061353</v>
      </c>
      <c r="J85" s="1699" t="str">
        <f>D85</f>
        <v>Total fuel use (Btu/mile)</v>
      </c>
      <c r="K85" s="1700"/>
      <c r="L85" s="1612"/>
      <c r="M85" s="1701" t="s">
        <v>180</v>
      </c>
      <c r="N85" s="1612"/>
      <c r="O85" s="1701">
        <f>Vehicles!$DL$60</f>
        <v>1190.8525948104077</v>
      </c>
      <c r="P85" s="1702" t="str">
        <f>J85</f>
        <v>Total fuel use (Btu/mile)</v>
      </c>
      <c r="R85" s="1600"/>
      <c r="T85" s="1593"/>
      <c r="W85" s="1666"/>
    </row>
    <row r="86" spans="1:23" ht="13.9" x14ac:dyDescent="0.4">
      <c r="A86" s="1591"/>
      <c r="C86" s="1600">
        <f>C85/10^6*1055</f>
        <v>2.1605250346056839</v>
      </c>
      <c r="D86" s="1594" t="s">
        <v>181</v>
      </c>
      <c r="E86" s="1600"/>
      <c r="G86" s="1593"/>
      <c r="I86" s="1703">
        <f>I85/10^6*1055</f>
        <v>4.5385032055214722</v>
      </c>
      <c r="J86" s="1592" t="s">
        <v>181</v>
      </c>
      <c r="K86" s="1678"/>
      <c r="M86" s="1593"/>
      <c r="O86" s="1600">
        <f>O85/10^6*1055</f>
        <v>1.2563494875249803</v>
      </c>
      <c r="P86" s="1594" t="s">
        <v>181</v>
      </c>
      <c r="R86" s="1600"/>
      <c r="T86" s="1593"/>
      <c r="W86" s="1666"/>
    </row>
    <row r="87" spans="1:23" ht="13.9" x14ac:dyDescent="0.4">
      <c r="A87" s="1591"/>
      <c r="C87" s="1695">
        <f>C86/Tech_Spec_Escoot!$F$7</f>
        <v>1.3424880166115409</v>
      </c>
      <c r="D87" s="1594" t="s">
        <v>182</v>
      </c>
      <c r="E87" s="1600"/>
      <c r="G87" s="1593"/>
      <c r="I87" s="1704">
        <f>I86/Tech_Spec_Escoot!$F$7</f>
        <v>2.8200951477878391</v>
      </c>
      <c r="J87" s="1592" t="s">
        <v>182</v>
      </c>
      <c r="K87" s="1678"/>
      <c r="M87" s="1593"/>
      <c r="O87" s="1695">
        <f>O86/Tech_Spec_Escoot!$F$7</f>
        <v>0.78065937893016046</v>
      </c>
      <c r="P87" s="1594" t="s">
        <v>182</v>
      </c>
      <c r="R87" s="1600"/>
      <c r="T87" s="1593"/>
      <c r="W87" s="1666"/>
    </row>
    <row r="88" spans="1:23" ht="13.9" x14ac:dyDescent="0.4">
      <c r="A88" s="1591"/>
      <c r="C88" s="1604">
        <f>C87/Convert!$B$12</f>
        <v>0.37291333794765025</v>
      </c>
      <c r="D88" s="1705" t="s">
        <v>183</v>
      </c>
      <c r="E88" s="1604"/>
      <c r="F88" s="1605"/>
      <c r="G88" s="1605"/>
      <c r="H88" s="1605"/>
      <c r="I88" s="1706">
        <f>I87/Convert!$B$12</f>
        <v>0.78335976327439971</v>
      </c>
      <c r="J88" s="1605" t="s">
        <v>183</v>
      </c>
      <c r="K88" s="1697"/>
      <c r="L88" s="1605"/>
      <c r="M88" s="1605"/>
      <c r="N88" s="1605"/>
      <c r="O88" s="1604">
        <f>O87/Convert!$B$12</f>
        <v>0.21684982748060011</v>
      </c>
      <c r="P88" s="1705" t="s">
        <v>183</v>
      </c>
      <c r="R88" s="1600"/>
      <c r="T88" s="1593"/>
      <c r="W88" s="1666"/>
    </row>
    <row r="89" spans="1:23" x14ac:dyDescent="0.35">
      <c r="A89" s="1595"/>
      <c r="B89" s="1596"/>
      <c r="C89" s="1636">
        <f>C87*100/Convert!$C$17</f>
        <v>4.0088629258586383</v>
      </c>
      <c r="D89" s="1707" t="s">
        <v>184</v>
      </c>
      <c r="E89" s="1607"/>
      <c r="F89" s="1608"/>
      <c r="G89" s="1608"/>
      <c r="I89" s="1708">
        <f>I87*100/Convert!$C$17</f>
        <v>8.4212110242111784</v>
      </c>
      <c r="J89" s="1709" t="s">
        <v>184</v>
      </c>
      <c r="K89" s="1596"/>
      <c r="L89" s="1596"/>
      <c r="M89" s="1648"/>
      <c r="N89" s="1596"/>
      <c r="O89" s="1636">
        <f>O87*100/Convert!$C$17</f>
        <v>2.3311615472114204</v>
      </c>
      <c r="P89" s="1707" t="s">
        <v>184</v>
      </c>
    </row>
    <row r="90" spans="1:23" x14ac:dyDescent="0.35">
      <c r="D90" s="1661"/>
      <c r="E90" s="1607"/>
      <c r="F90" s="1608"/>
      <c r="G90" s="1608"/>
    </row>
    <row r="91" spans="1:23" s="1609" customFormat="1" ht="18.75" x14ac:dyDescent="0.5">
      <c r="A91" s="1609" t="s">
        <v>185</v>
      </c>
    </row>
    <row r="93" spans="1:23" x14ac:dyDescent="0.35">
      <c r="A93" s="1592" t="str">
        <f>WTW_Fuel_properties!A112</f>
        <v>kg CO2/Lge</v>
      </c>
      <c r="C93" s="1592" t="s">
        <v>186</v>
      </c>
      <c r="D93" s="1602" t="s">
        <v>187</v>
      </c>
      <c r="E93" s="1612" t="s">
        <v>188</v>
      </c>
      <c r="F93" s="1612"/>
      <c r="G93" s="1612" t="s">
        <v>187</v>
      </c>
      <c r="H93" s="1612" t="s">
        <v>188</v>
      </c>
      <c r="I93" s="1612"/>
      <c r="J93" s="1612" t="s">
        <v>124</v>
      </c>
      <c r="K93" s="1612" t="str">
        <f>C93</f>
        <v>WTW</v>
      </c>
      <c r="L93" s="1612" t="str">
        <f>D93</f>
        <v>TTW</v>
      </c>
      <c r="M93" s="1599" t="str">
        <f>E93</f>
        <v>WTT</v>
      </c>
    </row>
    <row r="94" spans="1:23" x14ac:dyDescent="0.35">
      <c r="A94" s="1592" t="s">
        <v>125</v>
      </c>
      <c r="C94" s="1710">
        <f>WTW_Fuel_properties!B113+Convert!$F$17</f>
        <v>2.7712969199999997</v>
      </c>
      <c r="D94" s="1711">
        <f>Convert!$F$17</f>
        <v>2.3207183999999996</v>
      </c>
      <c r="E94" s="1710">
        <f t="shared" ref="E94:E109" si="11">C94-D94</f>
        <v>0.45057852000000009</v>
      </c>
      <c r="G94" s="1710">
        <f t="shared" ref="G94:H109" si="12">D94/$D$94</f>
        <v>1</v>
      </c>
      <c r="H94" s="1710">
        <f t="shared" si="12"/>
        <v>0.19415475828519313</v>
      </c>
      <c r="K94" s="1628">
        <f>C94/Convert!$C$17*1000</f>
        <v>82.754924749163877</v>
      </c>
      <c r="L94" s="1628">
        <f>D94/Convert!$C$17*1000</f>
        <v>69.299999999999983</v>
      </c>
      <c r="M94" s="1630">
        <f>E94/Convert!$C$17*1000</f>
        <v>13.454924749163881</v>
      </c>
    </row>
    <row r="95" spans="1:23" x14ac:dyDescent="0.35">
      <c r="A95" s="1592" t="s">
        <v>189</v>
      </c>
      <c r="C95" s="1710">
        <f>WTW_Fuel_properties!C116+Convert!$F$17</f>
        <v>3.2463419849999995</v>
      </c>
      <c r="D95" s="1711">
        <f>Convert!$F$17</f>
        <v>2.3207183999999996</v>
      </c>
      <c r="E95" s="1710">
        <f t="shared" si="11"/>
        <v>0.92562358499999986</v>
      </c>
      <c r="G95" s="1710">
        <f t="shared" si="12"/>
        <v>1</v>
      </c>
      <c r="H95" s="1710">
        <f t="shared" si="12"/>
        <v>0.39885217655015792</v>
      </c>
      <c r="K95" s="1628">
        <f>C95/Convert!$C$17*1000</f>
        <v>96.940455834925928</v>
      </c>
      <c r="L95" s="1628">
        <f>D95/Convert!$C$17*1000</f>
        <v>69.299999999999983</v>
      </c>
      <c r="M95" s="1630">
        <f>E95/Convert!$C$17*1000</f>
        <v>27.640455834925937</v>
      </c>
    </row>
    <row r="96" spans="1:23" x14ac:dyDescent="0.35">
      <c r="A96" s="1592" t="s">
        <v>126</v>
      </c>
      <c r="C96" s="1710">
        <f>WTW_Fuel_properties!B116+Convert!$F$18</f>
        <v>2.9834686533333334</v>
      </c>
      <c r="D96" s="1711">
        <f>Convert!$F$18</f>
        <v>2.4803445333333332</v>
      </c>
      <c r="E96" s="1710">
        <f t="shared" si="11"/>
        <v>0.50312412000000029</v>
      </c>
      <c r="G96" s="1710">
        <f t="shared" si="12"/>
        <v>1.0687830687830688</v>
      </c>
      <c r="H96" s="1710">
        <f t="shared" si="12"/>
        <v>0.21679671260416619</v>
      </c>
      <c r="K96" s="1628">
        <f>C96/Convert!$C$17*1000</f>
        <v>89.090678850135376</v>
      </c>
      <c r="L96" s="1628">
        <f>D96/Convert!$C$17*1000</f>
        <v>74.066666666666649</v>
      </c>
      <c r="M96" s="1630">
        <f>E96/Convert!$C$17*1000</f>
        <v>15.024012183468715</v>
      </c>
    </row>
    <row r="97" spans="1:28" x14ac:dyDescent="0.35">
      <c r="A97" s="1592" t="s">
        <v>190</v>
      </c>
      <c r="C97" s="1710">
        <f>WTW_Fuel_properties!C116+Convert!$F$18</f>
        <v>3.405968118333333</v>
      </c>
      <c r="D97" s="1711">
        <f>Convert!$F$18</f>
        <v>2.4803445333333332</v>
      </c>
      <c r="E97" s="1710">
        <f t="shared" si="11"/>
        <v>0.92562358499999986</v>
      </c>
      <c r="G97" s="1710">
        <f t="shared" si="12"/>
        <v>1.0687830687830688</v>
      </c>
      <c r="H97" s="1710">
        <f t="shared" si="12"/>
        <v>0.39885217655015792</v>
      </c>
      <c r="K97" s="1628">
        <f>C97/Convert!$C$17*1000</f>
        <v>101.70712250159259</v>
      </c>
      <c r="L97" s="1628">
        <f>D97/Convert!$C$17*1000</f>
        <v>74.066666666666649</v>
      </c>
      <c r="M97" s="1630">
        <f>E97/Convert!$C$17*1000</f>
        <v>27.640455834925937</v>
      </c>
    </row>
    <row r="98" spans="1:28" x14ac:dyDescent="0.35">
      <c r="A98" s="1592" t="s">
        <v>191</v>
      </c>
      <c r="C98" s="1710">
        <f>WTW_Fuel_properties!E116+Convert!$F$18</f>
        <v>6.3371915733333335</v>
      </c>
      <c r="D98" s="1711">
        <f>Convert!$F$18</f>
        <v>2.4803445333333332</v>
      </c>
      <c r="E98" s="1710">
        <f t="shared" si="11"/>
        <v>3.8568470400000003</v>
      </c>
      <c r="G98" s="1710">
        <f t="shared" si="12"/>
        <v>1.0687830687830688</v>
      </c>
      <c r="H98" s="1710">
        <f t="shared" si="12"/>
        <v>1.6619194470126151</v>
      </c>
      <c r="K98" s="1628">
        <f>C98/Convert!$C$17*1000</f>
        <v>189.23768434464085</v>
      </c>
      <c r="L98" s="1628">
        <f>D98/Convert!$C$17*1000</f>
        <v>74.066666666666649</v>
      </c>
      <c r="M98" s="1630">
        <f>E98/Convert!$C$17*1000</f>
        <v>115.17101767797421</v>
      </c>
    </row>
    <row r="99" spans="1:28" x14ac:dyDescent="0.35">
      <c r="A99" s="1592" t="s">
        <v>192</v>
      </c>
      <c r="C99" s="1710">
        <f>WTW_Fuel_properties!I113</f>
        <v>1.0464784649999999</v>
      </c>
      <c r="D99" s="1711">
        <f>Convert!$F$24</f>
        <v>2.3360074906367041</v>
      </c>
      <c r="E99" s="1710">
        <f t="shared" si="11"/>
        <v>-1.2895290256367042</v>
      </c>
      <c r="G99" s="1710">
        <f t="shared" si="12"/>
        <v>1.0065880852397708</v>
      </c>
      <c r="H99" s="1710">
        <f t="shared" si="12"/>
        <v>-0.55565941375597505</v>
      </c>
      <c r="K99" s="1628">
        <f>C99/Convert!$C$17*1000</f>
        <v>31.249356933827038</v>
      </c>
      <c r="L99" s="1628">
        <f>D99/Convert!$C$17*1000</f>
        <v>69.756554307116104</v>
      </c>
      <c r="M99" s="1630">
        <f>E99/Convert!$C$17*1000</f>
        <v>-38.507197373289067</v>
      </c>
    </row>
    <row r="100" spans="1:28" x14ac:dyDescent="0.35">
      <c r="A100" s="1592" t="s">
        <v>193</v>
      </c>
      <c r="C100" s="1710">
        <f>D100+WTW_Fuel_properties!G113</f>
        <v>2.7738874906367039</v>
      </c>
      <c r="D100" s="1711">
        <f>Convert!$F$24</f>
        <v>2.3360074906367041</v>
      </c>
      <c r="E100" s="1710">
        <f t="shared" si="11"/>
        <v>0.43787999999999982</v>
      </c>
      <c r="G100" s="1710">
        <f t="shared" si="12"/>
        <v>1.0065880852397708</v>
      </c>
      <c r="H100" s="1710">
        <f t="shared" si="12"/>
        <v>0.18868295265810789</v>
      </c>
      <c r="K100" s="1628">
        <f>C100/Convert!$C$17*1000</f>
        <v>82.832282926322989</v>
      </c>
      <c r="L100" s="1628">
        <f>D100/Convert!$C$17*1000</f>
        <v>69.756554307116104</v>
      </c>
      <c r="M100" s="1630">
        <f>E100/Convert!$C$17*1000</f>
        <v>13.075728619206876</v>
      </c>
    </row>
    <row r="101" spans="1:28" x14ac:dyDescent="0.35">
      <c r="A101" s="1592" t="s">
        <v>194</v>
      </c>
      <c r="C101" s="1710">
        <f>WTW_Fuel_properties!H113</f>
        <v>0.19638918000000005</v>
      </c>
      <c r="D101" s="1711">
        <f>Convert!$F$24</f>
        <v>2.3360074906367041</v>
      </c>
      <c r="E101" s="1710">
        <f t="shared" si="11"/>
        <v>-2.1396183106367039</v>
      </c>
      <c r="G101" s="1710">
        <f t="shared" si="12"/>
        <v>1.0065880852397708</v>
      </c>
      <c r="H101" s="1710">
        <f t="shared" si="12"/>
        <v>-0.92196378097260934</v>
      </c>
      <c r="K101" s="1628">
        <f>C101/Convert!$C$17*1000</f>
        <v>5.8644642857142868</v>
      </c>
      <c r="L101" s="1628">
        <f>D101/Convert!$C$17*1000</f>
        <v>69.756554307116104</v>
      </c>
      <c r="M101" s="1630">
        <f>E101/Convert!$C$17*1000</f>
        <v>-63.892090021401806</v>
      </c>
    </row>
    <row r="102" spans="1:28" x14ac:dyDescent="0.35">
      <c r="A102" s="1592" t="s">
        <v>195</v>
      </c>
      <c r="C102" s="1710">
        <f>WTW_Fuel_properties!M113</f>
        <v>0.64778872500000007</v>
      </c>
      <c r="D102" s="1711">
        <f>Convert!$F$24</f>
        <v>2.3360074906367041</v>
      </c>
      <c r="E102" s="1710">
        <f t="shared" si="11"/>
        <v>-1.688218765636704</v>
      </c>
      <c r="G102" s="1710">
        <f t="shared" si="12"/>
        <v>1.0065880852397708</v>
      </c>
      <c r="H102" s="1710">
        <f t="shared" si="12"/>
        <v>-0.72745524215118229</v>
      </c>
      <c r="K102" s="1628">
        <f>C102/Convert!$C$17*1000</f>
        <v>19.343906026039178</v>
      </c>
      <c r="L102" s="1628">
        <f>D102/Convert!$C$17*1000</f>
        <v>69.756554307116104</v>
      </c>
      <c r="M102" s="1630">
        <f>E102/Convert!$C$17*1000</f>
        <v>-50.412648281076926</v>
      </c>
    </row>
    <row r="103" spans="1:28" x14ac:dyDescent="0.35">
      <c r="A103" s="1592" t="s">
        <v>196</v>
      </c>
      <c r="C103" s="1710">
        <f>D103+E103</f>
        <v>2.4134924849999999</v>
      </c>
      <c r="D103" s="1711">
        <f>Convert!F20</f>
        <v>1.8786768</v>
      </c>
      <c r="E103" s="1710">
        <f>B114</f>
        <v>0.5348156850000001</v>
      </c>
      <c r="G103" s="1710">
        <f t="shared" si="12"/>
        <v>0.80952380952380965</v>
      </c>
      <c r="H103" s="1710">
        <f t="shared" si="12"/>
        <v>0.23045264130279666</v>
      </c>
      <c r="K103" s="1628">
        <f>C103/Convert!$C$17*1000</f>
        <v>72.070368042283803</v>
      </c>
      <c r="L103" s="1628">
        <f>D103/Convert!$C$17*1000</f>
        <v>56.1</v>
      </c>
      <c r="M103" s="1630">
        <f>E103/Convert!$C$17*1000</f>
        <v>15.970368042283807</v>
      </c>
    </row>
    <row r="104" spans="1:28" x14ac:dyDescent="0.35">
      <c r="A104" s="1592" t="s">
        <v>197</v>
      </c>
      <c r="C104" s="1710">
        <f>D104+E104</f>
        <v>2.661406463333333</v>
      </c>
      <c r="D104" s="1711">
        <f>Convert!$F$21</f>
        <v>2.1119765333333329</v>
      </c>
      <c r="E104" s="1710">
        <f>B115</f>
        <v>0.54942992999999996</v>
      </c>
      <c r="G104" s="1710">
        <f t="shared" si="12"/>
        <v>0.91005291005291</v>
      </c>
      <c r="H104" s="1710">
        <f t="shared" si="12"/>
        <v>0.23674993484776094</v>
      </c>
      <c r="K104" s="1628">
        <f>C104/Convert!$C$17*1000</f>
        <v>79.473437151616494</v>
      </c>
      <c r="L104" s="1628">
        <f>D104/Convert!$C$17*1000</f>
        <v>63.066666666666663</v>
      </c>
      <c r="M104" s="1630">
        <f>E104/Convert!$C$17*1000</f>
        <v>16.406770484949831</v>
      </c>
    </row>
    <row r="105" spans="1:28" x14ac:dyDescent="0.35">
      <c r="A105" s="1592" t="s">
        <v>198</v>
      </c>
      <c r="C105" s="1710">
        <f>WTW_Fuel_properties!C118</f>
        <v>3.173042685</v>
      </c>
      <c r="D105" s="1591">
        <v>0</v>
      </c>
      <c r="E105" s="1710">
        <f t="shared" si="11"/>
        <v>3.173042685</v>
      </c>
      <c r="G105" s="1710">
        <f t="shared" si="12"/>
        <v>0</v>
      </c>
      <c r="H105" s="1710">
        <f t="shared" si="12"/>
        <v>1.3672674310678972</v>
      </c>
      <c r="K105" s="1628">
        <f>C105/Convert!$C$17*1000</f>
        <v>94.751632973005258</v>
      </c>
      <c r="L105" s="1628">
        <f>D105/Convert!$C$17*1000</f>
        <v>0</v>
      </c>
      <c r="M105" s="1630">
        <f>E105/Convert!$C$17*1000</f>
        <v>94.751632973005258</v>
      </c>
    </row>
    <row r="106" spans="1:28" x14ac:dyDescent="0.35">
      <c r="A106" s="1592" t="s">
        <v>199</v>
      </c>
      <c r="C106" s="1710">
        <v>0</v>
      </c>
      <c r="D106" s="1591">
        <v>0</v>
      </c>
      <c r="E106" s="1710">
        <f t="shared" si="11"/>
        <v>0</v>
      </c>
      <c r="G106" s="1710">
        <f t="shared" si="12"/>
        <v>0</v>
      </c>
      <c r="H106" s="1710">
        <f t="shared" si="12"/>
        <v>0</v>
      </c>
      <c r="K106" s="1628">
        <f>C106/Convert!$C$17*1000</f>
        <v>0</v>
      </c>
      <c r="L106" s="1628">
        <f>D106/Convert!$C$17*1000</f>
        <v>0</v>
      </c>
      <c r="M106" s="1630">
        <f>E106/Convert!$C$17*1000</f>
        <v>0</v>
      </c>
    </row>
    <row r="107" spans="1:28" x14ac:dyDescent="0.35">
      <c r="A107" s="1592" t="s">
        <v>200</v>
      </c>
      <c r="C107" s="1710">
        <f>WTW_Fuel_properties!M118</f>
        <v>0.37252641000000009</v>
      </c>
      <c r="D107" s="1591">
        <v>0</v>
      </c>
      <c r="E107" s="1710">
        <f t="shared" si="11"/>
        <v>0.37252641000000009</v>
      </c>
      <c r="G107" s="1710">
        <f t="shared" si="12"/>
        <v>0</v>
      </c>
      <c r="H107" s="1710">
        <f t="shared" si="12"/>
        <v>0.1605220219738854</v>
      </c>
      <c r="K107" s="1628">
        <f>C107/Convert!$C$17*1000</f>
        <v>11.124176122790256</v>
      </c>
      <c r="L107" s="1628">
        <f>D107/Convert!$C$17*1000</f>
        <v>0</v>
      </c>
      <c r="M107" s="1630">
        <f>E107/Convert!$C$17*1000</f>
        <v>11.124176122790256</v>
      </c>
    </row>
    <row r="108" spans="1:28" x14ac:dyDescent="0.35">
      <c r="A108" s="1592" t="s">
        <v>201</v>
      </c>
      <c r="C108" s="1710">
        <f>WTW_Fuel_properties!J116</f>
        <v>0.50687346750000006</v>
      </c>
      <c r="D108" s="1711">
        <f>Convert!$F$25</f>
        <v>2.5249952000000002</v>
      </c>
      <c r="E108" s="1710">
        <f t="shared" si="11"/>
        <v>-2.0181217325</v>
      </c>
      <c r="G108" s="1710">
        <f t="shared" si="12"/>
        <v>1.0880230880230883</v>
      </c>
      <c r="H108" s="1710">
        <f t="shared" si="12"/>
        <v>-0.86961077763678707</v>
      </c>
      <c r="K108" s="1628">
        <f>C108/Convert!$C$17*1000</f>
        <v>15.135973109770667</v>
      </c>
      <c r="L108" s="1628">
        <f>D108/Convert!$C$17*1000</f>
        <v>75.400000000000006</v>
      </c>
      <c r="M108" s="1630">
        <f>E108/Convert!$C$17*1000</f>
        <v>-60.264026890229339</v>
      </c>
    </row>
    <row r="109" spans="1:28" x14ac:dyDescent="0.35">
      <c r="A109" s="1592" t="s">
        <v>202</v>
      </c>
      <c r="C109" s="1710">
        <f>WTW_Fuel_properties!M116</f>
        <v>0.34351686000000003</v>
      </c>
      <c r="D109" s="1712">
        <f>D$96</f>
        <v>2.4803445333333332</v>
      </c>
      <c r="E109" s="1713">
        <f t="shared" si="11"/>
        <v>-2.1368276733333333</v>
      </c>
      <c r="F109" s="1596"/>
      <c r="G109" s="1713">
        <f t="shared" si="12"/>
        <v>1.0687830687830688</v>
      </c>
      <c r="H109" s="1713">
        <f t="shared" si="12"/>
        <v>-0.92076129242278326</v>
      </c>
      <c r="I109" s="1596"/>
      <c r="J109" s="1596"/>
      <c r="K109" s="1636">
        <f>C109/Convert!$C$17*1000</f>
        <v>10.257909101767797</v>
      </c>
      <c r="L109" s="1636">
        <f>D109/Convert!$C$17*1000</f>
        <v>74.066666666666649</v>
      </c>
      <c r="M109" s="1638">
        <f>E109/Convert!$C$17*1000</f>
        <v>-63.808757564898869</v>
      </c>
    </row>
    <row r="110" spans="1:28" ht="14.25" customHeight="1" x14ac:dyDescent="0.35"/>
    <row r="111" spans="1:28" x14ac:dyDescent="0.35">
      <c r="A111" s="1714" t="s">
        <v>203</v>
      </c>
      <c r="M111" s="1594"/>
    </row>
    <row r="112" spans="1:28" ht="13.9" x14ac:dyDescent="0.4">
      <c r="A112" s="1714" t="s">
        <v>204</v>
      </c>
      <c r="B112" s="1715" t="s">
        <v>163</v>
      </c>
      <c r="C112" s="1716" t="s">
        <v>205</v>
      </c>
      <c r="D112" s="1716" t="s">
        <v>206</v>
      </c>
      <c r="E112" s="1716" t="s">
        <v>207</v>
      </c>
      <c r="F112" s="1716" t="s">
        <v>208</v>
      </c>
      <c r="G112" s="1716" t="s">
        <v>209</v>
      </c>
      <c r="H112" s="1716" t="s">
        <v>210</v>
      </c>
      <c r="I112" s="1716" t="s">
        <v>211</v>
      </c>
      <c r="J112" s="1716" t="s">
        <v>212</v>
      </c>
      <c r="K112" s="1716" t="s">
        <v>213</v>
      </c>
      <c r="L112" s="1716" t="s">
        <v>214</v>
      </c>
      <c r="M112" s="1717" t="s">
        <v>215</v>
      </c>
      <c r="P112" s="1718" t="s">
        <v>216</v>
      </c>
      <c r="Q112" s="1716"/>
      <c r="R112" s="1719">
        <v>2010</v>
      </c>
      <c r="U112" s="1592" t="s">
        <v>217</v>
      </c>
      <c r="V112" s="1592">
        <v>32.841000000000001</v>
      </c>
      <c r="Z112" s="1720" t="s">
        <v>218</v>
      </c>
      <c r="AA112" s="1721">
        <v>0.65</v>
      </c>
      <c r="AB112" s="1592" t="s">
        <v>219</v>
      </c>
    </row>
    <row r="113" spans="1:27" x14ac:dyDescent="0.35">
      <c r="A113" s="1722" t="s">
        <v>220</v>
      </c>
      <c r="B113" s="1714">
        <v>0.45057852000000009</v>
      </c>
      <c r="C113" s="1723"/>
      <c r="E113" s="1724">
        <v>3.8568470400000008</v>
      </c>
      <c r="F113" s="1724">
        <v>0.86765922000000018</v>
      </c>
      <c r="G113" s="1723">
        <v>0.43788000000000005</v>
      </c>
      <c r="H113" s="1723">
        <v>0.19638918000000005</v>
      </c>
      <c r="I113" s="1723">
        <v>1.0464784649999999</v>
      </c>
      <c r="J113" s="1723"/>
      <c r="K113" s="1723"/>
      <c r="L113" s="1723"/>
      <c r="M113" s="1725">
        <v>0.64778872500000007</v>
      </c>
      <c r="P113" s="1722" t="s">
        <v>221</v>
      </c>
      <c r="Q113" s="1726" t="s">
        <v>222</v>
      </c>
      <c r="R113" s="1727">
        <v>3789.4630000000002</v>
      </c>
      <c r="S113" s="1728">
        <f>R113/(R113+R114)</f>
        <v>0.17786517092308113</v>
      </c>
      <c r="V113" s="1728"/>
      <c r="Z113" s="1592" t="s">
        <v>223</v>
      </c>
    </row>
    <row r="114" spans="1:27" x14ac:dyDescent="0.35">
      <c r="A114" s="1729" t="s">
        <v>224</v>
      </c>
      <c r="B114" s="1591">
        <v>0.5348156850000001</v>
      </c>
      <c r="C114" s="1710"/>
      <c r="E114" s="1710"/>
      <c r="F114" s="1710"/>
      <c r="G114" s="1710"/>
      <c r="I114" s="1710"/>
      <c r="J114" s="1710"/>
      <c r="K114" s="1710"/>
      <c r="L114" s="1710"/>
      <c r="M114" s="1730">
        <v>0.24433703999999998</v>
      </c>
      <c r="P114" s="1729"/>
      <c r="Q114" s="1596" t="s">
        <v>225</v>
      </c>
      <c r="R114" s="1597">
        <v>17515.793000000001</v>
      </c>
      <c r="Y114" s="1592" t="s">
        <v>226</v>
      </c>
      <c r="Z114" s="1592">
        <f>352</f>
        <v>352</v>
      </c>
    </row>
    <row r="115" spans="1:27" x14ac:dyDescent="0.35">
      <c r="A115" s="1729" t="s">
        <v>197</v>
      </c>
      <c r="B115" s="1591">
        <v>0.54942992999999996</v>
      </c>
      <c r="F115" s="1710"/>
      <c r="G115" s="1710"/>
      <c r="H115" s="1710"/>
      <c r="I115" s="1710"/>
      <c r="J115" s="1710"/>
      <c r="K115" s="1710"/>
      <c r="L115" s="1710"/>
      <c r="M115" s="1594"/>
      <c r="P115" s="1729"/>
      <c r="Q115" s="1714" t="s">
        <v>227</v>
      </c>
      <c r="R115" s="1727">
        <v>2033.193</v>
      </c>
      <c r="S115" s="1728">
        <f>R115/(R115+R116)</f>
        <v>6.2293145037366673E-2</v>
      </c>
      <c r="Y115" s="1731" t="s">
        <v>228</v>
      </c>
    </row>
    <row r="116" spans="1:27" x14ac:dyDescent="0.35">
      <c r="A116" s="1729" t="s">
        <v>229</v>
      </c>
      <c r="B116" s="1591">
        <v>0.50312412000000006</v>
      </c>
      <c r="C116" s="1710">
        <v>0.92562358499999997</v>
      </c>
      <c r="D116" s="1710">
        <v>0.61002157499999998</v>
      </c>
      <c r="E116" s="1710">
        <v>3.8568470400000008</v>
      </c>
      <c r="F116" s="1710">
        <v>0.86765922000000018</v>
      </c>
      <c r="G116" s="1710"/>
      <c r="H116" s="1710"/>
      <c r="I116" s="1710"/>
      <c r="J116" s="1710">
        <v>0.50687346750000006</v>
      </c>
      <c r="K116" s="1710">
        <v>1.1446456875</v>
      </c>
      <c r="L116" s="1710">
        <v>1.5469479374999997</v>
      </c>
      <c r="M116" s="1730">
        <v>0.34351686000000003</v>
      </c>
      <c r="P116" s="1732"/>
      <c r="Q116" s="1595" t="s">
        <v>230</v>
      </c>
      <c r="R116" s="1597">
        <v>30605.919999999998</v>
      </c>
    </row>
    <row r="117" spans="1:27" x14ac:dyDescent="0.35">
      <c r="A117" s="1729" t="s">
        <v>231</v>
      </c>
      <c r="B117" s="1591"/>
      <c r="C117" s="1710">
        <v>1.0290727350000002</v>
      </c>
      <c r="E117" s="1710">
        <v>3.8483083799999998</v>
      </c>
      <c r="F117" s="1733">
        <v>0.62397191985074629</v>
      </c>
      <c r="G117" s="1710"/>
      <c r="H117" s="1710"/>
      <c r="I117" s="1710"/>
      <c r="J117" s="1710"/>
      <c r="K117" s="1710"/>
      <c r="L117" s="1710"/>
      <c r="M117" s="1730">
        <v>0.46601378999999993</v>
      </c>
      <c r="P117" s="1715" t="s">
        <v>228</v>
      </c>
      <c r="Q117" s="1716"/>
      <c r="R117" s="1717"/>
      <c r="AA117" s="1710"/>
    </row>
    <row r="118" spans="1:27" x14ac:dyDescent="0.35">
      <c r="A118" s="1729" t="s">
        <v>232</v>
      </c>
      <c r="B118" s="1591"/>
      <c r="C118" s="1710">
        <v>3.173042685</v>
      </c>
      <c r="D118" s="1710">
        <v>1.185505365</v>
      </c>
      <c r="E118" s="1710">
        <v>7.0760313299999993</v>
      </c>
      <c r="F118" s="1710">
        <v>1.0566044399999999</v>
      </c>
      <c r="G118" s="1710"/>
      <c r="H118" s="1710"/>
      <c r="I118" s="1710"/>
      <c r="J118" s="1710"/>
      <c r="K118" s="1710"/>
      <c r="L118" s="1710"/>
      <c r="M118" s="1730">
        <v>0.37252641000000009</v>
      </c>
    </row>
    <row r="119" spans="1:27" x14ac:dyDescent="0.35">
      <c r="A119" s="1732" t="s">
        <v>233</v>
      </c>
      <c r="B119" s="1734">
        <v>0.50312412000000006</v>
      </c>
      <c r="C119" s="1596"/>
      <c r="D119" s="1596"/>
      <c r="E119" s="1596"/>
      <c r="F119" s="1596"/>
      <c r="G119" s="1596"/>
      <c r="H119" s="1596"/>
      <c r="I119" s="1596"/>
      <c r="J119" s="1713">
        <v>0.50687346750000006</v>
      </c>
      <c r="K119" s="1713">
        <v>1.1446456875</v>
      </c>
      <c r="L119" s="1713">
        <v>1.5469479374999997</v>
      </c>
      <c r="M119" s="1735">
        <v>0.34351686000000003</v>
      </c>
    </row>
  </sheetData>
  <mergeCells count="1">
    <mergeCell ref="A1:J1"/>
  </mergeCells>
  <hyperlinks>
    <hyperlink ref="A21" r:id="rId1" xr:uid="{00000000-0004-0000-1100-000000000000}"/>
    <hyperlink ref="E41" r:id="rId2" display="https://www.iea.org/geco/emissions/" xr:uid="{00000000-0004-0000-1100-000001000000}"/>
    <hyperlink ref="F36" r:id="rId3" display="IEA" xr:uid="{00000000-0004-0000-1100-000002000000}"/>
  </hyperlinks>
  <pageMargins left="0.7" right="0.7" top="0.75" bottom="0.75" header="0.3" footer="0.3"/>
  <pageSetup orientation="portrait" r:id="rId4"/>
  <legacy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29"/>
  <sheetViews>
    <sheetView workbookViewId="0">
      <selection sqref="A1:AB1"/>
    </sheetView>
  </sheetViews>
  <sheetFormatPr defaultColWidth="8.86328125" defaultRowHeight="13.5" x14ac:dyDescent="0.35"/>
  <cols>
    <col min="1" max="16384" width="8.86328125" style="1622"/>
  </cols>
  <sheetData>
    <row r="1" spans="1:28" ht="17.649999999999999" x14ac:dyDescent="0.35">
      <c r="A1" s="2170" t="s">
        <v>3596</v>
      </c>
      <c r="B1" s="2171"/>
      <c r="C1" s="2171"/>
      <c r="D1" s="2171"/>
      <c r="E1" s="2171"/>
      <c r="F1" s="2171"/>
      <c r="G1" s="2171"/>
      <c r="H1" s="2171"/>
      <c r="I1" s="2171"/>
      <c r="J1" s="2171"/>
      <c r="K1" s="2171"/>
      <c r="L1" s="2171"/>
      <c r="M1" s="2171"/>
      <c r="N1" s="2171"/>
      <c r="O1" s="2171"/>
      <c r="P1" s="2171"/>
      <c r="Q1" s="2171"/>
      <c r="R1" s="2171"/>
      <c r="S1" s="2171"/>
      <c r="T1" s="2171"/>
      <c r="U1" s="2171"/>
      <c r="V1" s="2171"/>
      <c r="W1" s="2171"/>
      <c r="X1" s="2171"/>
      <c r="Y1" s="2171"/>
      <c r="Z1" s="2171"/>
      <c r="AA1" s="2171"/>
      <c r="AB1" s="2172"/>
    </row>
    <row r="2" spans="1:28" x14ac:dyDescent="0.35">
      <c r="A2" s="1736" t="s">
        <v>261</v>
      </c>
      <c r="B2" s="1737"/>
      <c r="C2" s="1737"/>
      <c r="D2" s="1737"/>
      <c r="E2" s="1737"/>
      <c r="F2" s="1737"/>
      <c r="G2" s="1737"/>
      <c r="H2" s="1737"/>
      <c r="I2" s="1737"/>
      <c r="J2" s="1737"/>
      <c r="K2" s="1737"/>
      <c r="L2" s="1737"/>
      <c r="M2" s="1737"/>
      <c r="N2" s="1738"/>
      <c r="O2" s="1608"/>
      <c r="P2" s="1608"/>
      <c r="Q2" s="1608"/>
      <c r="R2" s="1608"/>
      <c r="S2" s="1608"/>
    </row>
    <row r="3" spans="1:28" x14ac:dyDescent="0.35">
      <c r="A3" s="1643"/>
      <c r="B3" s="1608"/>
      <c r="C3" s="1608"/>
      <c r="D3" s="1608"/>
      <c r="E3" s="1608"/>
      <c r="F3" s="1608"/>
      <c r="G3" s="1608"/>
      <c r="H3" s="1608"/>
      <c r="I3" s="1608"/>
      <c r="J3" s="1608"/>
      <c r="K3" s="1608"/>
      <c r="L3" s="1608"/>
      <c r="M3" s="1608"/>
      <c r="N3" s="1644"/>
      <c r="O3" s="1608"/>
      <c r="P3" s="1608"/>
      <c r="Q3" s="1608"/>
      <c r="R3" s="1608"/>
      <c r="S3" s="1608"/>
    </row>
    <row r="4" spans="1:28" x14ac:dyDescent="0.35">
      <c r="A4" s="1643"/>
      <c r="B4" s="1608" t="s">
        <v>262</v>
      </c>
      <c r="C4" s="1608" t="s">
        <v>263</v>
      </c>
      <c r="D4" s="1608" t="s">
        <v>264</v>
      </c>
      <c r="E4" s="1608" t="s">
        <v>265</v>
      </c>
      <c r="F4" s="1608" t="s">
        <v>266</v>
      </c>
      <c r="G4" s="1608" t="s">
        <v>47</v>
      </c>
      <c r="H4" s="1608" t="s">
        <v>267</v>
      </c>
      <c r="I4" s="1608" t="s">
        <v>268</v>
      </c>
      <c r="J4" s="1608" t="s">
        <v>269</v>
      </c>
      <c r="K4" s="1608" t="s">
        <v>270</v>
      </c>
      <c r="L4" s="1608" t="s">
        <v>271</v>
      </c>
      <c r="M4" s="1608" t="s">
        <v>272</v>
      </c>
      <c r="N4" s="1644" t="s">
        <v>142</v>
      </c>
    </row>
    <row r="5" spans="1:28" x14ac:dyDescent="0.35">
      <c r="A5" s="1643" t="s">
        <v>112</v>
      </c>
      <c r="B5" s="1739">
        <f t="shared" ref="B5:G5" si="0">B15/SUM(B14:B24)</f>
        <v>2.6329575493970338E-2</v>
      </c>
      <c r="C5" s="1739">
        <f t="shared" si="0"/>
        <v>1.7151112328756613E-3</v>
      </c>
      <c r="D5" s="1739">
        <f t="shared" si="0"/>
        <v>1.8294767547678427E-2</v>
      </c>
      <c r="E5" s="1739">
        <f t="shared" si="0"/>
        <v>4.4597967865555675E-3</v>
      </c>
      <c r="F5" s="1739">
        <f t="shared" si="0"/>
        <v>9.0347666971637691E-3</v>
      </c>
      <c r="G5" s="1739">
        <f t="shared" si="0"/>
        <v>1.5854473985560016E-2</v>
      </c>
      <c r="H5" s="1739">
        <f t="shared" ref="H5:M5" si="1">H15/SUM(H14:H24)</f>
        <v>4.1971131224224308E-2</v>
      </c>
      <c r="I5" s="1739">
        <f t="shared" si="1"/>
        <v>8.1871643932847793E-2</v>
      </c>
      <c r="J5" s="1739">
        <f t="shared" si="1"/>
        <v>3.1776226078802608E-2</v>
      </c>
      <c r="K5" s="1739">
        <f t="shared" si="1"/>
        <v>0.10641147484936594</v>
      </c>
      <c r="L5" s="1739">
        <f t="shared" si="1"/>
        <v>5.4184013506227181E-3</v>
      </c>
      <c r="M5" s="1739">
        <f t="shared" si="1"/>
        <v>8.1444657981173466E-3</v>
      </c>
      <c r="N5" s="1740">
        <f>S15/SUM(S14:S24)</f>
        <v>3.725035072526417E-2</v>
      </c>
    </row>
    <row r="6" spans="1:28" x14ac:dyDescent="0.35">
      <c r="A6" s="1643" t="s">
        <v>113</v>
      </c>
      <c r="B6" s="1739">
        <f t="shared" ref="B6:M6" si="2">B16/SUM(B14:B24)</f>
        <v>9.7336196230212751E-2</v>
      </c>
      <c r="C6" s="1739">
        <f t="shared" si="2"/>
        <v>2.9332717832713198E-2</v>
      </c>
      <c r="D6" s="1739">
        <f t="shared" si="2"/>
        <v>0.1877853081081613</v>
      </c>
      <c r="E6" s="1739">
        <f t="shared" si="2"/>
        <v>6.1287487255212179E-2</v>
      </c>
      <c r="F6" s="1739">
        <f t="shared" si="2"/>
        <v>0.12718219134047129</v>
      </c>
      <c r="G6" s="1739">
        <f t="shared" si="2"/>
        <v>4.8213816795753012E-2</v>
      </c>
      <c r="H6" s="1739">
        <f t="shared" si="2"/>
        <v>0.43644994325887793</v>
      </c>
      <c r="I6" s="1739">
        <f t="shared" si="2"/>
        <v>0.39202143253919269</v>
      </c>
      <c r="J6" s="1739">
        <f t="shared" si="2"/>
        <v>0.22647786204354223</v>
      </c>
      <c r="K6" s="1739">
        <f t="shared" si="2"/>
        <v>0.60303495086553816</v>
      </c>
      <c r="L6" s="1739">
        <f t="shared" si="2"/>
        <v>0.42239959457747372</v>
      </c>
      <c r="M6" s="1739">
        <f t="shared" si="2"/>
        <v>0.33227845876780715</v>
      </c>
      <c r="N6" s="1740">
        <f>S16/SUM(S14:S24)</f>
        <v>0.23173288917465615</v>
      </c>
    </row>
    <row r="7" spans="1:28" x14ac:dyDescent="0.35">
      <c r="A7" s="1643" t="s">
        <v>114</v>
      </c>
      <c r="B7" s="1739">
        <f t="shared" ref="B7:M7" si="3">B14/SUM(B14:B24)</f>
        <v>4.7466991097677401E-2</v>
      </c>
      <c r="C7" s="1739">
        <f t="shared" si="3"/>
        <v>0.68197729787342187</v>
      </c>
      <c r="D7" s="1739">
        <f t="shared" si="3"/>
        <v>0.22621274392613472</v>
      </c>
      <c r="E7" s="1739">
        <f t="shared" si="3"/>
        <v>1.8493126604085364E-2</v>
      </c>
      <c r="F7" s="1739">
        <f t="shared" si="3"/>
        <v>0.4222138423876759</v>
      </c>
      <c r="G7" s="1739">
        <f t="shared" si="3"/>
        <v>0.74773613867148903</v>
      </c>
      <c r="H7" s="1739">
        <f t="shared" si="3"/>
        <v>0.13286764095325085</v>
      </c>
      <c r="I7" s="1739">
        <f t="shared" si="3"/>
        <v>0.33697132298481669</v>
      </c>
      <c r="J7" s="1739">
        <f t="shared" si="3"/>
        <v>0.41999484622790412</v>
      </c>
      <c r="K7" s="1739">
        <f t="shared" si="3"/>
        <v>0.10849729783984016</v>
      </c>
      <c r="L7" s="1739">
        <f t="shared" si="3"/>
        <v>9.2755134811829149E-2</v>
      </c>
      <c r="M7" s="1739">
        <f t="shared" si="3"/>
        <v>0.3172669985467943</v>
      </c>
      <c r="N7" s="1740">
        <f>S14/SUM(S14:S24)</f>
        <v>0.38203204354640719</v>
      </c>
    </row>
    <row r="8" spans="1:28" x14ac:dyDescent="0.35">
      <c r="A8" s="1643" t="s">
        <v>273</v>
      </c>
      <c r="B8" s="1739">
        <f t="shared" ref="B8:M8" si="4">B19/SUM(B14:B24)</f>
        <v>2.7337678227393511E-2</v>
      </c>
      <c r="C8" s="1739">
        <f t="shared" si="4"/>
        <v>3.4092351307208869E-2</v>
      </c>
      <c r="D8" s="1739">
        <f t="shared" si="4"/>
        <v>0.25815587660916234</v>
      </c>
      <c r="E8" s="1739">
        <f t="shared" si="4"/>
        <v>0.70877720352986673</v>
      </c>
      <c r="F8" s="1739">
        <f t="shared" si="4"/>
        <v>0.13079857075739967</v>
      </c>
      <c r="G8" s="1739">
        <f t="shared" si="4"/>
        <v>2.5661155794266779E-2</v>
      </c>
      <c r="H8" s="1739">
        <f t="shared" si="4"/>
        <v>0</v>
      </c>
      <c r="I8" s="1739">
        <f t="shared" si="4"/>
        <v>1.7416831255400569E-2</v>
      </c>
      <c r="J8" s="1739">
        <f t="shared" si="4"/>
        <v>0.28989073287355005</v>
      </c>
      <c r="K8" s="1739">
        <f t="shared" si="4"/>
        <v>3.3144197805024166E-2</v>
      </c>
      <c r="L8" s="1739">
        <f t="shared" si="4"/>
        <v>0.21133238459747966</v>
      </c>
      <c r="M8" s="1739">
        <f t="shared" si="4"/>
        <v>0.1968032286378528</v>
      </c>
      <c r="N8" s="1740">
        <f>S19/SUM(S14:S24)</f>
        <v>0.10422907715219884</v>
      </c>
    </row>
    <row r="9" spans="1:28" x14ac:dyDescent="0.35">
      <c r="A9" s="1643" t="s">
        <v>116</v>
      </c>
      <c r="B9" s="1739">
        <f t="shared" ref="B9:M9" si="5">B17/SUM(B14:B24)</f>
        <v>8.7268954916267155E-2</v>
      </c>
      <c r="C9" s="1739">
        <f t="shared" si="5"/>
        <v>1.035796113714592E-2</v>
      </c>
      <c r="D9" s="1739">
        <f t="shared" si="5"/>
        <v>4.9018577001215022E-2</v>
      </c>
      <c r="E9" s="1739">
        <f t="shared" si="5"/>
        <v>8.7385296909608685E-3</v>
      </c>
      <c r="F9" s="1739">
        <f t="shared" si="5"/>
        <v>6.953648525011745E-2</v>
      </c>
      <c r="G9" s="1739">
        <f t="shared" si="5"/>
        <v>2.8406214553142874E-2</v>
      </c>
      <c r="H9" s="1739">
        <f t="shared" si="5"/>
        <v>5.9142240305571699E-2</v>
      </c>
      <c r="I9" s="1739">
        <f t="shared" si="5"/>
        <v>1.4484130045673374E-2</v>
      </c>
      <c r="J9" s="1739">
        <f t="shared" si="5"/>
        <v>9.9335378140132501E-3</v>
      </c>
      <c r="K9" s="1739">
        <f t="shared" si="5"/>
        <v>0</v>
      </c>
      <c r="L9" s="1739">
        <f t="shared" si="5"/>
        <v>8.0445139791219186E-2</v>
      </c>
      <c r="M9" s="1739">
        <f t="shared" si="5"/>
        <v>1.4174261904125914E-2</v>
      </c>
      <c r="N9" s="1740">
        <f>S17/SUM(S14:S24)</f>
        <v>1.8484849260529238E-2</v>
      </c>
    </row>
    <row r="10" spans="1:28" x14ac:dyDescent="0.35">
      <c r="A10" s="1643" t="s">
        <v>164</v>
      </c>
      <c r="B10" s="1739">
        <f t="shared" ref="B10:G10" si="6">SUM(B18,B20:B24)/SUM(B14:B24)</f>
        <v>0.71426060403447889</v>
      </c>
      <c r="C10" s="1739">
        <f t="shared" si="6"/>
        <v>0.24252456061663444</v>
      </c>
      <c r="D10" s="1739">
        <f t="shared" si="6"/>
        <v>0.26053272680764822</v>
      </c>
      <c r="E10" s="1739">
        <f t="shared" si="6"/>
        <v>0.19824385613331927</v>
      </c>
      <c r="F10" s="1739">
        <f t="shared" si="6"/>
        <v>0.24123414356717193</v>
      </c>
      <c r="G10" s="1739">
        <f t="shared" si="6"/>
        <v>0.1341282001997883</v>
      </c>
      <c r="H10" s="1739">
        <f t="shared" ref="H10:M10" si="7">SUM(H18,H20:H24)/SUM(H14:H24)</f>
        <v>0.32956904425807521</v>
      </c>
      <c r="I10" s="1739">
        <f t="shared" si="7"/>
        <v>0.15723463924206887</v>
      </c>
      <c r="J10" s="1739">
        <f t="shared" si="7"/>
        <v>2.1926794962187777E-2</v>
      </c>
      <c r="K10" s="1739">
        <f t="shared" si="7"/>
        <v>0.14891207864023159</v>
      </c>
      <c r="L10" s="1739">
        <f t="shared" si="7"/>
        <v>0.18764934487137558</v>
      </c>
      <c r="M10" s="1739">
        <f t="shared" si="7"/>
        <v>0.13133258634530248</v>
      </c>
      <c r="N10" s="1740">
        <f>SUM(S18,S20:S24)/SUM(S14:S24)</f>
        <v>0.22627079014094445</v>
      </c>
    </row>
    <row r="11" spans="1:28" x14ac:dyDescent="0.35">
      <c r="A11" s="1647" t="s">
        <v>46</v>
      </c>
      <c r="B11" s="1648"/>
      <c r="C11" s="1648"/>
      <c r="D11" s="1648"/>
      <c r="E11" s="1648"/>
      <c r="F11" s="1648"/>
      <c r="G11" s="1648"/>
      <c r="H11" s="1648"/>
      <c r="I11" s="1648"/>
      <c r="J11" s="1648"/>
      <c r="K11" s="1648"/>
      <c r="L11" s="1648"/>
      <c r="M11" s="1648"/>
      <c r="N11" s="1741"/>
    </row>
    <row r="12" spans="1:28" x14ac:dyDescent="0.35">
      <c r="A12" s="1608"/>
      <c r="B12" s="1608"/>
      <c r="C12" s="1608"/>
      <c r="D12" s="1608"/>
      <c r="E12" s="1608"/>
      <c r="F12" s="1608"/>
      <c r="G12" s="1608"/>
      <c r="H12" s="1608"/>
      <c r="I12" s="1608"/>
      <c r="J12" s="1608"/>
      <c r="K12" s="1608"/>
      <c r="L12" s="1608"/>
      <c r="M12" s="1608"/>
      <c r="N12" s="1608"/>
      <c r="O12" s="1608"/>
      <c r="P12" s="1608"/>
      <c r="Q12" s="1608"/>
      <c r="R12" s="1608"/>
      <c r="S12" s="1608"/>
    </row>
    <row r="13" spans="1:28" x14ac:dyDescent="0.35">
      <c r="A13" s="1742" t="s">
        <v>274</v>
      </c>
      <c r="B13" s="1737" t="s">
        <v>275</v>
      </c>
      <c r="C13" s="1737"/>
      <c r="D13" s="1737"/>
      <c r="E13" s="1737"/>
      <c r="F13" s="1737"/>
      <c r="G13" s="1737"/>
      <c r="H13" s="1737"/>
      <c r="I13" s="1737"/>
      <c r="J13" s="1737"/>
      <c r="K13" s="1737"/>
      <c r="L13" s="1737"/>
      <c r="M13" s="1737"/>
      <c r="N13" s="1737"/>
      <c r="O13" s="1737"/>
      <c r="P13" s="1737"/>
      <c r="Q13" s="1737"/>
      <c r="R13" s="1737"/>
      <c r="S13" s="1738"/>
    </row>
    <row r="14" spans="1:28" x14ac:dyDescent="0.35">
      <c r="A14" s="1643" t="s">
        <v>114</v>
      </c>
      <c r="B14" s="1608">
        <v>27545</v>
      </c>
      <c r="C14" s="1608">
        <v>4266555</v>
      </c>
      <c r="D14" s="1608">
        <v>735785</v>
      </c>
      <c r="E14" s="1608">
        <v>10520</v>
      </c>
      <c r="F14" s="1608">
        <v>273196</v>
      </c>
      <c r="G14" s="1608">
        <v>1104828</v>
      </c>
      <c r="H14" s="1608">
        <v>38403</v>
      </c>
      <c r="I14" s="1608">
        <v>349415</v>
      </c>
      <c r="J14" s="1608">
        <v>234699</v>
      </c>
      <c r="K14" s="1608">
        <v>34591</v>
      </c>
      <c r="L14" s="1608">
        <v>31481</v>
      </c>
      <c r="M14" s="1608">
        <v>1354034</v>
      </c>
      <c r="N14" s="1608"/>
      <c r="O14" s="1608"/>
      <c r="P14" s="1608"/>
      <c r="Q14" s="1608"/>
      <c r="R14" s="1608"/>
      <c r="S14" s="1644">
        <v>9551747</v>
      </c>
    </row>
    <row r="15" spans="1:28" x14ac:dyDescent="0.35">
      <c r="A15" s="1643" t="s">
        <v>163</v>
      </c>
      <c r="B15" s="1608">
        <v>15279</v>
      </c>
      <c r="C15" s="1608">
        <v>10730</v>
      </c>
      <c r="D15" s="1608">
        <v>59506</v>
      </c>
      <c r="E15" s="1608">
        <v>2537</v>
      </c>
      <c r="F15" s="1608">
        <v>5846</v>
      </c>
      <c r="G15" s="1608">
        <v>23426</v>
      </c>
      <c r="H15" s="1608">
        <v>12131</v>
      </c>
      <c r="I15" s="1608">
        <v>84895</v>
      </c>
      <c r="J15" s="1608">
        <v>17757</v>
      </c>
      <c r="K15" s="1608">
        <v>33926</v>
      </c>
      <c r="L15" s="1608">
        <v>1839</v>
      </c>
      <c r="M15" s="1608">
        <v>34759</v>
      </c>
      <c r="N15" s="1608"/>
      <c r="O15" s="1608"/>
      <c r="P15" s="1608"/>
      <c r="Q15" s="1608"/>
      <c r="R15" s="1608"/>
      <c r="S15" s="1644">
        <v>931351</v>
      </c>
    </row>
    <row r="16" spans="1:28" x14ac:dyDescent="0.35">
      <c r="A16" s="1643" t="s">
        <v>276</v>
      </c>
      <c r="B16" s="1608">
        <v>56484</v>
      </c>
      <c r="C16" s="1608">
        <v>183510</v>
      </c>
      <c r="D16" s="1608">
        <v>610795</v>
      </c>
      <c r="E16" s="1608">
        <v>34864</v>
      </c>
      <c r="F16" s="1608">
        <v>82294</v>
      </c>
      <c r="G16" s="1608">
        <v>71239</v>
      </c>
      <c r="H16" s="1608">
        <v>126148</v>
      </c>
      <c r="I16" s="1608">
        <v>406498</v>
      </c>
      <c r="J16" s="1608">
        <v>126559</v>
      </c>
      <c r="K16" s="1608">
        <v>192259</v>
      </c>
      <c r="L16" s="1608">
        <v>143362</v>
      </c>
      <c r="M16" s="1608">
        <v>1418100</v>
      </c>
      <c r="N16" s="1608"/>
      <c r="O16" s="1608"/>
      <c r="P16" s="1608"/>
      <c r="Q16" s="1608"/>
      <c r="R16" s="1608"/>
      <c r="S16" s="1644">
        <v>5793896</v>
      </c>
    </row>
    <row r="17" spans="1:19" x14ac:dyDescent="0.35">
      <c r="A17" s="1643" t="s">
        <v>277</v>
      </c>
      <c r="B17" s="1608">
        <v>50642</v>
      </c>
      <c r="C17" s="1608">
        <v>64801</v>
      </c>
      <c r="D17" s="1608">
        <v>159439</v>
      </c>
      <c r="E17" s="1608">
        <v>4971</v>
      </c>
      <c r="F17" s="1608">
        <v>44994</v>
      </c>
      <c r="G17" s="1608">
        <v>41972</v>
      </c>
      <c r="H17" s="1608">
        <v>17094</v>
      </c>
      <c r="I17" s="1608">
        <v>15019</v>
      </c>
      <c r="J17" s="1608">
        <v>5551</v>
      </c>
      <c r="K17" s="1608"/>
      <c r="L17" s="1608">
        <v>27303</v>
      </c>
      <c r="M17" s="1608">
        <v>60493</v>
      </c>
      <c r="N17" s="1608"/>
      <c r="O17" s="1608"/>
      <c r="P17" s="1608"/>
      <c r="Q17" s="1608"/>
      <c r="R17" s="1608"/>
      <c r="S17" s="1644">
        <v>462167</v>
      </c>
    </row>
    <row r="18" spans="1:19" x14ac:dyDescent="0.35">
      <c r="A18" s="1643" t="s">
        <v>278</v>
      </c>
      <c r="B18" s="1608"/>
      <c r="C18" s="1608">
        <v>11413</v>
      </c>
      <c r="D18" s="1608">
        <v>46902</v>
      </c>
      <c r="E18" s="1608">
        <v>4579</v>
      </c>
      <c r="F18" s="1608">
        <v>13261</v>
      </c>
      <c r="G18" s="1608">
        <v>1664</v>
      </c>
      <c r="H18" s="1608">
        <v>4917</v>
      </c>
      <c r="I18" s="1608">
        <v>18546</v>
      </c>
      <c r="J18" s="1608"/>
      <c r="K18" s="1608"/>
      <c r="L18" s="1608">
        <v>7546</v>
      </c>
      <c r="M18" s="1608"/>
      <c r="N18" s="1608"/>
      <c r="O18" s="1608"/>
      <c r="P18" s="1608"/>
      <c r="Q18" s="1608"/>
      <c r="R18" s="1608"/>
      <c r="S18" s="1644">
        <v>108407</v>
      </c>
    </row>
    <row r="19" spans="1:19" x14ac:dyDescent="0.35">
      <c r="A19" s="1643" t="s">
        <v>115</v>
      </c>
      <c r="B19" s="1608">
        <v>15864</v>
      </c>
      <c r="C19" s="1608">
        <v>213287</v>
      </c>
      <c r="D19" s="1608">
        <v>839684</v>
      </c>
      <c r="E19" s="1608">
        <v>403195</v>
      </c>
      <c r="F19" s="1608">
        <v>84634</v>
      </c>
      <c r="G19" s="1608">
        <v>37916</v>
      </c>
      <c r="H19" s="1608"/>
      <c r="I19" s="1608">
        <v>18060</v>
      </c>
      <c r="J19" s="1608">
        <v>161995</v>
      </c>
      <c r="K19" s="1608">
        <v>10567</v>
      </c>
      <c r="L19" s="1608">
        <v>71726</v>
      </c>
      <c r="M19" s="1608">
        <v>839918</v>
      </c>
      <c r="N19" s="1608"/>
      <c r="O19" s="1608"/>
      <c r="P19" s="1608"/>
      <c r="Q19" s="1608"/>
      <c r="R19" s="1608"/>
      <c r="S19" s="1644">
        <v>2605985</v>
      </c>
    </row>
    <row r="20" spans="1:19" x14ac:dyDescent="0.35">
      <c r="A20" s="1643" t="s">
        <v>279</v>
      </c>
      <c r="B20" s="1608">
        <v>380911</v>
      </c>
      <c r="C20" s="1608">
        <v>1193374</v>
      </c>
      <c r="D20" s="1608">
        <v>380180</v>
      </c>
      <c r="E20" s="1608">
        <v>64889</v>
      </c>
      <c r="F20" s="1608">
        <v>26135</v>
      </c>
      <c r="G20" s="1608">
        <v>137533</v>
      </c>
      <c r="H20" s="1608">
        <v>44257</v>
      </c>
      <c r="I20" s="1608">
        <v>85083</v>
      </c>
      <c r="J20" s="1608">
        <v>6634</v>
      </c>
      <c r="K20" s="1608">
        <v>30698</v>
      </c>
      <c r="L20" s="1608">
        <v>8354</v>
      </c>
      <c r="M20" s="1608">
        <v>292113</v>
      </c>
      <c r="N20" s="1608"/>
      <c r="O20" s="1608"/>
      <c r="P20" s="1608"/>
      <c r="Q20" s="1608"/>
      <c r="R20" s="1608"/>
      <c r="S20" s="1644">
        <v>4170035</v>
      </c>
    </row>
    <row r="21" spans="1:19" x14ac:dyDescent="0.35">
      <c r="A21" s="1643" t="s">
        <v>280</v>
      </c>
      <c r="B21" s="1608"/>
      <c r="C21" s="1608">
        <v>125</v>
      </c>
      <c r="D21" s="1608">
        <v>6640</v>
      </c>
      <c r="E21" s="1608">
        <v>4</v>
      </c>
      <c r="F21" s="1608"/>
      <c r="G21" s="1608"/>
      <c r="H21" s="1608">
        <v>6289</v>
      </c>
      <c r="I21" s="1608">
        <v>2509</v>
      </c>
      <c r="J21" s="1608"/>
      <c r="K21" s="1608">
        <v>6148</v>
      </c>
      <c r="L21" s="1608"/>
      <c r="M21" s="1608">
        <v>18584</v>
      </c>
      <c r="N21" s="1608"/>
      <c r="O21" s="1608"/>
      <c r="P21" s="1608"/>
      <c r="Q21" s="1608"/>
      <c r="R21" s="1608"/>
      <c r="S21" s="1644">
        <v>81656</v>
      </c>
    </row>
    <row r="22" spans="1:19" x14ac:dyDescent="0.35">
      <c r="A22" s="1643" t="s">
        <v>281</v>
      </c>
      <c r="B22" s="1608">
        <v>85</v>
      </c>
      <c r="C22" s="1608">
        <v>75257</v>
      </c>
      <c r="D22" s="1608">
        <v>105220</v>
      </c>
      <c r="E22" s="1608">
        <v>21400</v>
      </c>
      <c r="F22" s="1608">
        <v>38098</v>
      </c>
      <c r="G22" s="1608">
        <v>14130</v>
      </c>
      <c r="H22" s="1608">
        <v>22104</v>
      </c>
      <c r="I22" s="1608">
        <v>50952</v>
      </c>
      <c r="J22" s="1608">
        <v>5123</v>
      </c>
      <c r="K22" s="1608">
        <v>252</v>
      </c>
      <c r="L22" s="1608">
        <v>10421</v>
      </c>
      <c r="M22" s="1608">
        <v>16633</v>
      </c>
      <c r="N22" s="1608"/>
      <c r="O22" s="1608"/>
      <c r="P22" s="1608"/>
      <c r="Q22" s="1608"/>
      <c r="R22" s="1608"/>
      <c r="S22" s="1644">
        <v>328038</v>
      </c>
    </row>
    <row r="23" spans="1:19" x14ac:dyDescent="0.35">
      <c r="A23" s="1643" t="s">
        <v>282</v>
      </c>
      <c r="B23" s="1608"/>
      <c r="C23" s="1608">
        <v>29</v>
      </c>
      <c r="D23" s="1608">
        <v>5579</v>
      </c>
      <c r="E23" s="1608">
        <v>501</v>
      </c>
      <c r="F23" s="1608"/>
      <c r="G23" s="1608"/>
      <c r="H23" s="1608"/>
      <c r="I23" s="1608"/>
      <c r="J23" s="1608">
        <v>496</v>
      </c>
      <c r="K23" s="1608"/>
      <c r="L23" s="1608"/>
      <c r="M23" s="1608">
        <v>3701</v>
      </c>
      <c r="N23" s="1608"/>
      <c r="O23" s="1608"/>
      <c r="P23" s="1608"/>
      <c r="Q23" s="1608"/>
      <c r="R23" s="1608"/>
      <c r="S23" s="1644">
        <f>10474+1026</f>
        <v>11500</v>
      </c>
    </row>
    <row r="24" spans="1:19" x14ac:dyDescent="0.35">
      <c r="A24" s="1647" t="s">
        <v>171</v>
      </c>
      <c r="B24" s="1648">
        <v>33488</v>
      </c>
      <c r="C24" s="1648">
        <v>237073</v>
      </c>
      <c r="D24" s="1648">
        <v>302894</v>
      </c>
      <c r="E24" s="1648">
        <v>21400</v>
      </c>
      <c r="F24" s="1648">
        <v>78598</v>
      </c>
      <c r="G24" s="1648">
        <v>44856</v>
      </c>
      <c r="H24" s="1648">
        <v>17689</v>
      </c>
      <c r="I24" s="1648">
        <v>5951</v>
      </c>
      <c r="J24" s="1648"/>
      <c r="K24" s="1648">
        <v>10378</v>
      </c>
      <c r="L24" s="1648">
        <v>37367</v>
      </c>
      <c r="M24" s="1648">
        <v>229471</v>
      </c>
      <c r="N24" s="1648"/>
      <c r="O24" s="1648"/>
      <c r="P24" s="1648"/>
      <c r="Q24" s="1648"/>
      <c r="R24" s="1648"/>
      <c r="S24" s="1649">
        <v>957694</v>
      </c>
    </row>
    <row r="28" spans="1:19" x14ac:dyDescent="0.35">
      <c r="A28" s="1622" t="s">
        <v>283</v>
      </c>
    </row>
    <row r="29" spans="1:19" x14ac:dyDescent="0.35">
      <c r="A29" s="1622" t="s">
        <v>284</v>
      </c>
    </row>
  </sheetData>
  <mergeCells count="1">
    <mergeCell ref="A1:AB1"/>
  </mergeCells>
  <hyperlinks>
    <hyperlink ref="A2" r:id="rId1" xr:uid="{00000000-0004-0000-14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
  <sheetViews>
    <sheetView showGridLines="0" topLeftCell="JO1" workbookViewId="0">
      <selection sqref="A1:AB1"/>
    </sheetView>
  </sheetViews>
  <sheetFormatPr defaultRowHeight="14.25" x14ac:dyDescent="0.4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93"/>
  <sheetViews>
    <sheetView workbookViewId="0">
      <selection sqref="A1:AB1"/>
    </sheetView>
  </sheetViews>
  <sheetFormatPr defaultColWidth="8.86328125" defaultRowHeight="13.5" x14ac:dyDescent="0.35"/>
  <cols>
    <col min="1" max="16384" width="8.86328125" style="1622"/>
  </cols>
  <sheetData>
    <row r="1" spans="1:17" ht="17.649999999999999" x14ac:dyDescent="0.5">
      <c r="A1" s="2181" t="s">
        <v>3585</v>
      </c>
      <c r="B1" s="2181"/>
      <c r="C1" s="2181"/>
      <c r="D1" s="2181"/>
      <c r="E1" s="2181"/>
      <c r="F1" s="2181"/>
      <c r="G1" s="2181"/>
      <c r="H1" s="2181"/>
      <c r="I1" s="2181"/>
      <c r="J1" s="2181"/>
      <c r="K1" s="2181"/>
    </row>
    <row r="3" spans="1:17" x14ac:dyDescent="0.35">
      <c r="B3" s="1742" t="s">
        <v>298</v>
      </c>
      <c r="C3" s="1737" t="s">
        <v>299</v>
      </c>
      <c r="D3" s="1737" t="s">
        <v>300</v>
      </c>
      <c r="E3" s="1737" t="s">
        <v>301</v>
      </c>
      <c r="F3" s="1737" t="s">
        <v>302</v>
      </c>
      <c r="G3" s="1737" t="s">
        <v>303</v>
      </c>
      <c r="H3" s="1737" t="s">
        <v>304</v>
      </c>
      <c r="I3" s="1737" t="s">
        <v>305</v>
      </c>
      <c r="J3" s="1737" t="s">
        <v>306</v>
      </c>
      <c r="K3" s="1738" t="s">
        <v>307</v>
      </c>
      <c r="L3" s="1608"/>
      <c r="M3" s="1608"/>
      <c r="N3" s="1608"/>
      <c r="O3" s="1608"/>
      <c r="P3" s="1608"/>
      <c r="Q3" s="1608"/>
    </row>
    <row r="4" spans="1:17" x14ac:dyDescent="0.35">
      <c r="B4" s="1643"/>
      <c r="C4" s="1608"/>
      <c r="D4" s="1608"/>
      <c r="E4" s="1608"/>
      <c r="F4" s="1608"/>
      <c r="G4" s="1608"/>
      <c r="H4" s="1608"/>
      <c r="I4" s="1608"/>
      <c r="J4" s="1608"/>
      <c r="K4" s="1644"/>
      <c r="L4" s="1608"/>
      <c r="M4" s="1608"/>
      <c r="N4" s="1608"/>
      <c r="O4" s="1608"/>
      <c r="P4" s="1608"/>
      <c r="Q4" s="1608"/>
    </row>
    <row r="5" spans="1:17" x14ac:dyDescent="0.35">
      <c r="B5" s="1643" t="str">
        <f>B38</f>
        <v>Chemistry</v>
      </c>
      <c r="C5" s="1608" t="str">
        <f>Vehi_Inputs!N$115</f>
        <v>LMO</v>
      </c>
      <c r="D5" s="1608" t="str">
        <f>Vehi_Inputs!O$115</f>
        <v>NMC111</v>
      </c>
      <c r="E5" s="1608" t="str">
        <f>E3</f>
        <v>LFP: hydrothermal</v>
      </c>
      <c r="F5" s="1608" t="str">
        <f>F3</f>
        <v>LFP: solid state</v>
      </c>
      <c r="G5" s="1608" t="str">
        <f>Vehi_Inputs!Q$115</f>
        <v>NMC622</v>
      </c>
      <c r="H5" s="1608" t="str">
        <f>Vehi_Inputs!R$115</f>
        <v>NMC811</v>
      </c>
      <c r="I5" s="1608" t="str">
        <f>Vehi_Inputs!S$115</f>
        <v>LMR-NMC:Gr</v>
      </c>
      <c r="J5" s="1608" t="str">
        <f>Vehi_Inputs!T$115</f>
        <v>LMR-NMC:Gr-SI</v>
      </c>
      <c r="K5" s="1644" t="str">
        <f>Vehi_Inputs!U$115</f>
        <v>NCA</v>
      </c>
      <c r="L5" s="1608"/>
      <c r="M5" s="1608"/>
      <c r="N5" s="1608"/>
      <c r="O5" s="1608"/>
      <c r="P5" s="1608"/>
      <c r="Q5" s="1608"/>
    </row>
    <row r="6" spans="1:17" x14ac:dyDescent="0.35">
      <c r="B6" s="1647" t="s">
        <v>308</v>
      </c>
      <c r="C6" s="1648">
        <f>Vehi_Inputs!N$116/1000</f>
        <v>0.12123932196229183</v>
      </c>
      <c r="D6" s="1648">
        <f>Vehi_Inputs!O$116/1000</f>
        <v>0.14262303541417382</v>
      </c>
      <c r="E6" s="1648">
        <f>Vehi_Inputs!P$116/1000</f>
        <v>0.11591337982671381</v>
      </c>
      <c r="F6" s="1743">
        <f>E6</f>
        <v>0.11591337982671381</v>
      </c>
      <c r="G6" s="1648">
        <f>Vehi_Inputs!Q$116/1000</f>
        <v>0.15504780647427463</v>
      </c>
      <c r="H6" s="1648">
        <f>Vehi_Inputs!R$116/1000</f>
        <v>0.14922041422599697</v>
      </c>
      <c r="I6" s="1648">
        <f>Vehi_Inputs!S$116/1000</f>
        <v>0.17499999999999999</v>
      </c>
      <c r="J6" s="1648">
        <f>Vehi_Inputs!T$116/1000</f>
        <v>0.2</v>
      </c>
      <c r="K6" s="1649">
        <f>Vehi_Inputs!U$116/1000</f>
        <v>0.15857163037285157</v>
      </c>
      <c r="L6" s="1608"/>
      <c r="M6" s="1608"/>
      <c r="N6" s="1608"/>
      <c r="O6" s="1608"/>
      <c r="P6" s="1608"/>
      <c r="Q6" s="1608"/>
    </row>
    <row r="7" spans="1:17" x14ac:dyDescent="0.35">
      <c r="B7" s="1608"/>
      <c r="C7" s="1608"/>
      <c r="D7" s="1608"/>
      <c r="E7" s="1608"/>
      <c r="F7" s="1608"/>
      <c r="G7" s="1608"/>
      <c r="H7" s="1608"/>
      <c r="I7" s="1608"/>
      <c r="J7" s="1608"/>
      <c r="K7" s="1608"/>
      <c r="L7" s="1608"/>
      <c r="M7" s="1608"/>
      <c r="N7" s="1608"/>
      <c r="O7" s="1608"/>
      <c r="P7" s="1608"/>
      <c r="Q7" s="1608"/>
    </row>
    <row r="8" spans="1:17" x14ac:dyDescent="0.35">
      <c r="B8" s="1608" t="s">
        <v>309</v>
      </c>
      <c r="C8" s="1608"/>
      <c r="D8" s="1608"/>
      <c r="E8" s="1608"/>
      <c r="F8" s="1608"/>
      <c r="G8" s="1608"/>
      <c r="H8" s="1608"/>
      <c r="I8" s="1608"/>
      <c r="J8" s="1608"/>
      <c r="K8" s="1608"/>
      <c r="L8" s="1608"/>
      <c r="M8" s="1608"/>
      <c r="N8" s="1608"/>
      <c r="O8" s="1608"/>
      <c r="P8" s="1608"/>
      <c r="Q8" s="1608"/>
    </row>
    <row r="9" spans="1:17" x14ac:dyDescent="0.35">
      <c r="B9" s="1742" t="s">
        <v>310</v>
      </c>
      <c r="C9" s="1737" t="s">
        <v>3390</v>
      </c>
      <c r="D9" s="1738" t="s">
        <v>311</v>
      </c>
      <c r="E9" s="1608"/>
      <c r="F9" s="1608"/>
      <c r="G9" s="1608"/>
      <c r="H9" s="1608"/>
      <c r="I9" s="1608"/>
      <c r="J9" s="1608"/>
      <c r="K9" s="1608"/>
      <c r="L9" s="1608"/>
      <c r="M9" s="1608"/>
      <c r="N9" s="1608"/>
      <c r="O9" s="1608"/>
      <c r="P9" s="1608"/>
      <c r="Q9" s="1608"/>
    </row>
    <row r="10" spans="1:17" x14ac:dyDescent="0.35">
      <c r="B10" s="1643" t="str">
        <f>Steel!$U$91</f>
        <v>Final Average Stamped Steel Product: Combined</v>
      </c>
      <c r="C10" s="1744">
        <f>Steel_AlSmeltingCoal!$U$94*Convert!$G$9/1000</f>
        <v>31.324956664096621</v>
      </c>
      <c r="D10" s="1745">
        <f>Steel!$U$94*Convert!$G$9/1000</f>
        <v>31.324956664096621</v>
      </c>
      <c r="E10" s="1608"/>
      <c r="F10" s="1608"/>
      <c r="G10" s="1608"/>
      <c r="H10" s="1608"/>
      <c r="I10" s="1608"/>
      <c r="J10" s="1608"/>
      <c r="K10" s="1608"/>
      <c r="L10" s="1608"/>
      <c r="M10" s="1608"/>
      <c r="N10" s="1608"/>
      <c r="O10" s="1608"/>
      <c r="P10" s="1608"/>
      <c r="Q10" s="1608"/>
    </row>
    <row r="11" spans="1:17" x14ac:dyDescent="0.35">
      <c r="B11" s="1643" t="str">
        <f>Steel!$E$125</f>
        <v>Final Steel Product: Combined</v>
      </c>
      <c r="C11" s="1744">
        <f>Steel_AlSmeltingCoal!$E$128*Convert!$G$9/1000</f>
        <v>19.061663037236091</v>
      </c>
      <c r="D11" s="1745">
        <f>Steel!$E$128*Convert!$G$9/1000</f>
        <v>19.061663037236091</v>
      </c>
      <c r="E11" s="1608"/>
      <c r="F11" s="1608"/>
      <c r="G11" s="1608"/>
      <c r="H11" s="1608"/>
      <c r="I11" s="1608"/>
      <c r="J11" s="1608"/>
      <c r="K11" s="1608"/>
      <c r="L11" s="1608"/>
      <c r="M11" s="1608"/>
      <c r="N11" s="1608"/>
      <c r="O11" s="1608"/>
      <c r="P11" s="1608"/>
      <c r="Q11" s="1608"/>
    </row>
    <row r="12" spans="1:17" x14ac:dyDescent="0.35">
      <c r="B12" s="1643" t="str">
        <f>Steel!$E$193</f>
        <v>Final Steel Product: Combined</v>
      </c>
      <c r="C12" s="1744">
        <f>Steel_AlSmeltingCoal!$E$196*Convert!$G$9/1000</f>
        <v>26.13887204534219</v>
      </c>
      <c r="D12" s="1745">
        <f>Steel!$E$196*Convert!$G$9/1000</f>
        <v>26.13887204534219</v>
      </c>
      <c r="E12" s="1608"/>
      <c r="F12" s="1608"/>
      <c r="G12" s="1608"/>
      <c r="H12" s="1608"/>
      <c r="I12" s="1608"/>
      <c r="J12" s="1608"/>
      <c r="K12" s="1608"/>
      <c r="L12" s="1608"/>
      <c r="M12" s="1608"/>
      <c r="N12" s="1608"/>
      <c r="O12" s="1608"/>
      <c r="P12" s="1608"/>
      <c r="Q12" s="1608"/>
    </row>
    <row r="13" spans="1:17" x14ac:dyDescent="0.35">
      <c r="B13" s="1643" t="str">
        <f>'C.Iron'!$J$60</f>
        <v>Final Iron Product: Combined</v>
      </c>
      <c r="C13" s="1744">
        <f>'C.Iron_AlSmeltingCoal'!$J$62*Convert!$G$9/1000</f>
        <v>31.44180657005337</v>
      </c>
      <c r="D13" s="1745">
        <f>'C.Iron'!$J$62*Convert!$G$9/1000</f>
        <v>31.44180657005337</v>
      </c>
      <c r="E13" s="1608"/>
      <c r="F13" s="1608"/>
      <c r="G13" s="1608"/>
      <c r="H13" s="1608"/>
      <c r="I13" s="1608"/>
      <c r="J13" s="1608"/>
      <c r="K13" s="1608"/>
      <c r="L13" s="1608"/>
      <c r="M13" s="1608"/>
      <c r="N13" s="1608"/>
      <c r="O13" s="1608"/>
      <c r="P13" s="1608"/>
      <c r="Q13" s="1608"/>
    </row>
    <row r="14" spans="1:17" x14ac:dyDescent="0.35">
      <c r="B14" s="1643" t="str">
        <f>W.Al!$U$120</f>
        <v>Final Average Wrought Aluminum Product: Combined</v>
      </c>
      <c r="C14" s="1744">
        <f>W.Al_AlSmeltingCoal!$U$125*Convert!$G$9/1000</f>
        <v>192.38570427734732</v>
      </c>
      <c r="D14" s="1745">
        <f>W.Al!$U$125*Convert!$G$9/1000</f>
        <v>120.95914685012082</v>
      </c>
      <c r="E14" s="1608"/>
      <c r="F14" s="1608"/>
      <c r="G14" s="1608"/>
      <c r="H14" s="1608"/>
      <c r="I14" s="1608"/>
      <c r="J14" s="1608"/>
      <c r="K14" s="1608"/>
      <c r="L14" s="1608"/>
      <c r="M14" s="1608"/>
      <c r="N14" s="1608"/>
      <c r="O14" s="1608"/>
      <c r="P14" s="1608"/>
      <c r="Q14" s="1608"/>
    </row>
    <row r="15" spans="1:17" x14ac:dyDescent="0.35">
      <c r="B15" s="1643" t="str">
        <f>W.Al!$R$158</f>
        <v>Final Average Wrought Aluminum Product: Combined</v>
      </c>
      <c r="C15" s="1744">
        <f>W.Al_AlSmeltingCoal!$R$163*Convert!$G$9/1000</f>
        <v>29.972950126276309</v>
      </c>
      <c r="D15" s="1745">
        <f>W.Al!$R$163*Convert!$G$9/1000</f>
        <v>24.264303949052863</v>
      </c>
      <c r="E15" s="1608"/>
      <c r="F15" s="1608"/>
      <c r="G15" s="1608"/>
      <c r="H15" s="1608"/>
      <c r="I15" s="1608"/>
      <c r="J15" s="1608"/>
      <c r="K15" s="1608"/>
      <c r="L15" s="1608"/>
      <c r="M15" s="1608"/>
      <c r="N15" s="1608"/>
      <c r="O15" s="1608"/>
      <c r="P15" s="1608"/>
      <c r="Q15" s="1608"/>
    </row>
    <row r="16" spans="1:17" x14ac:dyDescent="0.35">
      <c r="B16" s="1643" t="str">
        <f>'C.Al'!$I$112</f>
        <v>Final Shape Cast Aluminum Product: Combined</v>
      </c>
      <c r="C16" s="1744">
        <f>'C.Al_AlSmeltingCoal'!$I$115*Convert!$G$9/1000</f>
        <v>213.09414300877964</v>
      </c>
      <c r="D16" s="1745">
        <f>'C.Al'!$I$115*Convert!$G$9/1000</f>
        <v>134.38307927682033</v>
      </c>
      <c r="E16" s="1608"/>
      <c r="F16" s="1608"/>
      <c r="G16" s="1608"/>
      <c r="H16" s="1608"/>
      <c r="I16" s="1608"/>
      <c r="J16" s="1608"/>
      <c r="K16" s="1608"/>
      <c r="L16" s="1608"/>
      <c r="M16" s="1608"/>
      <c r="N16" s="1608"/>
      <c r="O16" s="1608"/>
      <c r="P16" s="1608"/>
      <c r="Q16" s="1608"/>
    </row>
    <row r="17" spans="2:17" x14ac:dyDescent="0.35">
      <c r="B17" s="1643" t="str">
        <f>'C.Al'!$F$148</f>
        <v>Final Shape Cast Aluminum Product: Combined</v>
      </c>
      <c r="C17" s="1744">
        <f>'C.Al_AlSmeltingCoal'!$F$151*Convert!$G$9/1000</f>
        <v>34.117567581737084</v>
      </c>
      <c r="D17" s="1745">
        <f>'C.Al'!$F$151*Convert!$G$9/1000</f>
        <v>27.826719621768579</v>
      </c>
      <c r="E17" s="1608"/>
      <c r="F17" s="1608"/>
      <c r="G17" s="1608"/>
      <c r="H17" s="1608"/>
      <c r="I17" s="1608"/>
      <c r="J17" s="1608"/>
      <c r="K17" s="1608"/>
      <c r="L17" s="1608"/>
      <c r="M17" s="1608"/>
      <c r="N17" s="1608"/>
      <c r="O17" s="1608"/>
      <c r="P17" s="1608"/>
      <c r="Q17" s="1608"/>
    </row>
    <row r="18" spans="2:17" x14ac:dyDescent="0.35">
      <c r="B18" s="1643" t="str">
        <f>Copper!$K$61</f>
        <v>Final Copper Product: Combined</v>
      </c>
      <c r="C18" s="1744">
        <f>Copper_AlSmeltingCoal!$K$63*Convert!$G$9/1000</f>
        <v>40.347681835862737</v>
      </c>
      <c r="D18" s="1745">
        <f>Copper!$K$63*Convert!$G$9/1000</f>
        <v>40.347681835862737</v>
      </c>
      <c r="E18" s="1608"/>
      <c r="F18" s="1608"/>
      <c r="G18" s="1608"/>
      <c r="H18" s="1608"/>
      <c r="I18" s="1608"/>
      <c r="J18" s="1608"/>
      <c r="K18" s="1608"/>
      <c r="L18" s="1608"/>
      <c r="M18" s="1608"/>
      <c r="N18" s="1608"/>
      <c r="O18" s="1608"/>
      <c r="P18" s="1608"/>
      <c r="Q18" s="1608"/>
    </row>
    <row r="19" spans="2:17" x14ac:dyDescent="0.35">
      <c r="B19" s="1643" t="str">
        <f>Glass!$J$69</f>
        <v>Final Automotive Glass Product</v>
      </c>
      <c r="C19" s="1744">
        <f>Glass_AlSmeltingCoal!$J$71*Convert!$G$9/1000</f>
        <v>20.721804139804703</v>
      </c>
      <c r="D19" s="1745">
        <f>Glass!$J$71*Convert!$G$9/1000</f>
        <v>20.721804139804703</v>
      </c>
      <c r="E19" s="1608"/>
      <c r="F19" s="1608"/>
      <c r="G19" s="1608"/>
      <c r="H19" s="1608"/>
      <c r="I19" s="1608"/>
      <c r="J19" s="1608"/>
      <c r="K19" s="1608"/>
      <c r="L19" s="1608"/>
      <c r="M19" s="1608"/>
      <c r="N19" s="1608"/>
      <c r="O19" s="1608"/>
      <c r="P19" s="1608"/>
      <c r="Q19" s="1608"/>
    </row>
    <row r="20" spans="2:17" x14ac:dyDescent="0.35">
      <c r="B20" s="1643" t="str">
        <f>Plastic!$V$43&amp;" Resin"</f>
        <v>Polycarbonate (PC) Resin</v>
      </c>
      <c r="C20" s="1744">
        <f>Plastic_AlSmeltingCoal!$L$97*Convert!$G$9/1000</f>
        <v>89.137104389133725</v>
      </c>
      <c r="D20" s="1745">
        <f>Plastic!$L$97*Convert!$G$9/1000</f>
        <v>89.137104389133725</v>
      </c>
      <c r="E20" s="1608"/>
      <c r="F20" s="1608"/>
      <c r="G20" s="1608"/>
      <c r="H20" s="1608"/>
      <c r="I20" s="1608"/>
      <c r="J20" s="1608"/>
      <c r="K20" s="1608"/>
      <c r="L20" s="1608"/>
      <c r="M20" s="1608"/>
      <c r="N20" s="1608"/>
      <c r="O20" s="1608"/>
      <c r="P20" s="1608"/>
      <c r="Q20" s="1608"/>
    </row>
    <row r="21" spans="2:17" x14ac:dyDescent="0.35">
      <c r="B21" s="1643" t="str">
        <f>Plastic!$T$95</f>
        <v>Carbon Fiber</v>
      </c>
      <c r="C21" s="1744">
        <f>Plastic_AlSmeltingCoal!$T$97*Convert!$G$9/1000</f>
        <v>539.65352290816304</v>
      </c>
      <c r="D21" s="1745">
        <f>Plastic!$T$97*Convert!$G$9/1000</f>
        <v>539.65352290816304</v>
      </c>
      <c r="E21" s="1608"/>
      <c r="F21" s="1608"/>
      <c r="G21" s="1608"/>
      <c r="H21" s="1608"/>
      <c r="I21" s="1608"/>
      <c r="J21" s="1608"/>
      <c r="K21" s="1608"/>
      <c r="L21" s="1608"/>
      <c r="M21" s="1608"/>
      <c r="N21" s="1608"/>
      <c r="O21" s="1608"/>
      <c r="P21" s="1608"/>
      <c r="Q21" s="1608"/>
    </row>
    <row r="22" spans="2:17" x14ac:dyDescent="0.35">
      <c r="B22" s="1643" t="str">
        <f>Rubber!$I$63</f>
        <v>Final Average Rubber Product: Combined</v>
      </c>
      <c r="C22" s="1744">
        <f>Rubber_AlSmeltingCoal!$I$65*Convert!$G$9/1000</f>
        <v>49.941730643512514</v>
      </c>
      <c r="D22" s="1745">
        <f>Rubber!$I$65*Convert!$G$9/1000</f>
        <v>49.941730643512514</v>
      </c>
      <c r="E22" s="1608"/>
      <c r="F22" s="1608"/>
      <c r="G22" s="1608"/>
      <c r="H22" s="1608"/>
      <c r="I22" s="1608"/>
      <c r="J22" s="1608"/>
      <c r="K22" s="1608"/>
      <c r="L22" s="1608"/>
      <c r="M22" s="1608"/>
      <c r="N22" s="1608"/>
      <c r="O22" s="1608"/>
      <c r="P22" s="1608"/>
      <c r="Q22" s="1608"/>
    </row>
    <row r="23" spans="2:17" x14ac:dyDescent="0.35">
      <c r="B23" s="1746" t="s">
        <v>312</v>
      </c>
      <c r="C23" s="1747">
        <f>ROUND(AVERAGE(C10:C22)/AVERAGE(C45:C57)*C58,-1)</f>
        <v>120</v>
      </c>
      <c r="D23" s="1748">
        <f>ROUND(AVERAGE(D10:D22)/AVERAGE(D45:D57)*D58,-1)</f>
        <v>140</v>
      </c>
      <c r="E23" s="1608"/>
      <c r="F23" s="1608"/>
      <c r="G23" s="1608"/>
      <c r="H23" s="1608"/>
      <c r="I23" s="1608"/>
      <c r="J23" s="1608"/>
      <c r="K23" s="1608"/>
      <c r="L23" s="1608"/>
      <c r="M23" s="1608"/>
      <c r="N23" s="1608"/>
      <c r="O23" s="1608"/>
      <c r="P23" s="1608"/>
      <c r="Q23" s="1608"/>
    </row>
    <row r="24" spans="2:17" x14ac:dyDescent="0.35">
      <c r="B24" s="1608"/>
      <c r="C24" s="1608"/>
      <c r="D24" s="1608"/>
      <c r="E24" s="1608"/>
      <c r="F24" s="1608"/>
      <c r="G24" s="1608"/>
      <c r="H24" s="1608"/>
      <c r="I24" s="1608"/>
      <c r="J24" s="1608"/>
      <c r="K24" s="1608"/>
      <c r="L24" s="1608"/>
      <c r="M24" s="1608"/>
      <c r="N24" s="1608"/>
      <c r="O24" s="1608"/>
      <c r="P24" s="1608"/>
      <c r="Q24" s="1608"/>
    </row>
    <row r="25" spans="2:17" x14ac:dyDescent="0.35">
      <c r="B25" s="1742" t="s">
        <v>313</v>
      </c>
      <c r="C25" s="1737"/>
      <c r="D25" s="1738" t="s">
        <v>98</v>
      </c>
      <c r="E25" s="1608"/>
      <c r="F25" s="1608"/>
      <c r="G25" s="1608"/>
      <c r="H25" s="1608"/>
      <c r="I25" s="1608"/>
      <c r="J25" s="1608"/>
      <c r="K25" s="1608"/>
      <c r="L25" s="1608"/>
      <c r="M25" s="1608"/>
      <c r="N25" s="1608"/>
      <c r="O25" s="1608"/>
      <c r="P25" s="1608"/>
      <c r="Q25" s="1608"/>
    </row>
    <row r="26" spans="2:17" x14ac:dyDescent="0.35">
      <c r="B26" s="1643" t="s">
        <v>310</v>
      </c>
      <c r="C26" s="1608" t="s">
        <v>3390</v>
      </c>
      <c r="D26" s="1644" t="s">
        <v>311</v>
      </c>
      <c r="E26" s="1608"/>
      <c r="F26" s="1608"/>
      <c r="G26" s="1608"/>
      <c r="H26" s="1608"/>
      <c r="I26" s="1608"/>
      <c r="J26" s="1608"/>
      <c r="K26" s="1608"/>
      <c r="L26" s="1608"/>
      <c r="M26" s="1608"/>
      <c r="N26" s="1608"/>
      <c r="O26" s="1608"/>
      <c r="P26" s="1608"/>
      <c r="Q26" s="1608"/>
    </row>
    <row r="27" spans="2:17" x14ac:dyDescent="0.35">
      <c r="B27" s="1643" t="s">
        <v>314</v>
      </c>
      <c r="C27" s="1749">
        <f>SUM(Vehi_ADR_AlSmeltingCoal!$B$106:$H$106)*Convert!$G$9/
(Vehi_Inputs_AlSmeltingCoal!$C$18*Convert!$G$10)</f>
        <v>8.2246258419126317</v>
      </c>
      <c r="D27" s="1750">
        <f>SUM(Vehi_ADR!$B$106:$H$106)*Convert!$G$9/(Vehi_Inputs!$C$18*Convert!$G$10)</f>
        <v>8.2246258419126317</v>
      </c>
      <c r="E27" s="1608"/>
      <c r="F27" s="1608"/>
      <c r="G27" s="1751"/>
      <c r="H27" s="1608"/>
      <c r="I27" s="1608"/>
      <c r="J27" s="1608"/>
      <c r="K27" s="1608"/>
      <c r="L27" s="1608"/>
      <c r="M27" s="1608"/>
      <c r="N27" s="1608"/>
      <c r="O27" s="1608"/>
      <c r="P27" s="1608"/>
      <c r="Q27" s="1608"/>
    </row>
    <row r="28" spans="2:17" x14ac:dyDescent="0.35">
      <c r="B28" s="1647" t="s">
        <v>314</v>
      </c>
      <c r="C28" s="1752">
        <f>Vehi_ADR_AlSmeltingCoal!$I$106*Convert!$G$9/(Vehi_Inputs_AlSmeltingCoal!$C$18*Convert!$G$10)</f>
        <v>2.2657566368050039</v>
      </c>
      <c r="D28" s="1753">
        <f>Vehi_ADR!$I$106*Convert!$G$9/(Vehi_Inputs!$C$18*Convert!$G$10)</f>
        <v>2.2657566368050039</v>
      </c>
      <c r="E28" s="1608"/>
      <c r="F28" s="1608"/>
      <c r="G28" s="1608"/>
      <c r="H28" s="1608"/>
      <c r="I28" s="1608"/>
      <c r="J28" s="1608"/>
      <c r="K28" s="1608"/>
      <c r="L28" s="1608"/>
      <c r="M28" s="1608"/>
      <c r="N28" s="1608"/>
      <c r="O28" s="1608"/>
      <c r="P28" s="1608"/>
      <c r="Q28" s="1608"/>
    </row>
    <row r="29" spans="2:17" x14ac:dyDescent="0.35">
      <c r="B29" s="1608"/>
      <c r="C29" s="1608"/>
      <c r="D29" s="1608"/>
      <c r="E29" s="1608"/>
      <c r="F29" s="1608"/>
      <c r="G29" s="1608"/>
      <c r="H29" s="1608"/>
      <c r="I29" s="1608"/>
      <c r="J29" s="1608"/>
      <c r="K29" s="1608"/>
      <c r="L29" s="1608"/>
      <c r="M29" s="1608"/>
      <c r="N29" s="1608"/>
      <c r="O29" s="1608"/>
      <c r="P29" s="1608"/>
      <c r="Q29" s="1608"/>
    </row>
    <row r="30" spans="2:17" x14ac:dyDescent="0.35">
      <c r="B30" s="1742" t="s">
        <v>315</v>
      </c>
      <c r="C30" s="1737"/>
      <c r="D30" s="1738" t="s">
        <v>316</v>
      </c>
      <c r="E30" s="1608"/>
      <c r="F30" s="1608"/>
      <c r="G30" s="1608"/>
      <c r="H30" s="1608"/>
      <c r="I30" s="1608"/>
      <c r="J30" s="1608"/>
      <c r="K30" s="1608"/>
      <c r="L30" s="1608"/>
      <c r="M30" s="1608"/>
      <c r="N30" s="1608"/>
      <c r="O30" s="1608"/>
      <c r="P30" s="1608"/>
      <c r="Q30" s="1608"/>
    </row>
    <row r="31" spans="2:17" x14ac:dyDescent="0.35">
      <c r="B31" s="1643" t="s">
        <v>310</v>
      </c>
      <c r="C31" s="1608" t="s">
        <v>3390</v>
      </c>
      <c r="D31" s="1644" t="s">
        <v>311</v>
      </c>
      <c r="E31" s="1608"/>
      <c r="F31" s="1608"/>
      <c r="G31" s="1608"/>
      <c r="H31" s="1608"/>
      <c r="I31" s="1608"/>
      <c r="J31" s="1608"/>
      <c r="K31" s="1608"/>
      <c r="L31" s="1608"/>
      <c r="M31" s="1608"/>
      <c r="N31" s="1608"/>
      <c r="O31" s="1608"/>
      <c r="P31" s="1608"/>
      <c r="Q31" s="1608"/>
    </row>
    <row r="32" spans="2:17" x14ac:dyDescent="0.35">
      <c r="B32" s="1647" t="s">
        <v>75</v>
      </c>
      <c r="C32" s="1754">
        <f>('Battery Assembly_AlSmeltingCoal'!$F56*Convert!$G$9)</f>
        <v>216.21914712700408</v>
      </c>
      <c r="D32" s="1755">
        <f>('Battery Assembly'!$F56*Convert!$G$9)</f>
        <v>216.21914712700408</v>
      </c>
      <c r="E32" s="1608"/>
      <c r="F32" s="1608"/>
      <c r="G32" s="1608"/>
      <c r="H32" s="1608"/>
      <c r="I32" s="1608"/>
      <c r="J32" s="1608"/>
      <c r="K32" s="1608"/>
      <c r="L32" s="1608"/>
      <c r="M32" s="1608"/>
      <c r="N32" s="1608"/>
      <c r="O32" s="1608"/>
      <c r="P32" s="1608"/>
      <c r="Q32" s="1608"/>
    </row>
    <row r="33" spans="2:17" x14ac:dyDescent="0.35">
      <c r="B33" s="1608"/>
      <c r="C33" s="1608"/>
      <c r="D33" s="1608"/>
      <c r="E33" s="1608"/>
      <c r="F33" s="1608"/>
      <c r="G33" s="1608"/>
      <c r="H33" s="1608"/>
      <c r="I33" s="1608"/>
      <c r="J33" s="1608"/>
      <c r="K33" s="1608"/>
      <c r="L33" s="1608"/>
      <c r="M33" s="1608"/>
      <c r="N33" s="1608"/>
      <c r="O33" s="1608"/>
      <c r="P33" s="1608"/>
      <c r="Q33" s="1608"/>
    </row>
    <row r="34" spans="2:17" x14ac:dyDescent="0.35">
      <c r="B34" s="1742" t="s">
        <v>317</v>
      </c>
      <c r="C34" s="1737"/>
      <c r="D34" s="1738" t="s">
        <v>316</v>
      </c>
      <c r="E34" s="1608"/>
      <c r="F34" s="1608"/>
      <c r="G34" s="1608"/>
      <c r="H34" s="1608"/>
      <c r="I34" s="1608"/>
      <c r="J34" s="1608"/>
      <c r="K34" s="1608"/>
      <c r="L34" s="1608"/>
      <c r="M34" s="1608"/>
      <c r="N34" s="1608"/>
      <c r="O34" s="1608"/>
      <c r="P34" s="1608"/>
      <c r="Q34" s="1608"/>
    </row>
    <row r="35" spans="2:17" x14ac:dyDescent="0.35">
      <c r="B35" s="1643" t="s">
        <v>310</v>
      </c>
      <c r="C35" s="1608" t="s">
        <v>3390</v>
      </c>
      <c r="D35" s="1644" t="s">
        <v>311</v>
      </c>
      <c r="E35" s="1756"/>
      <c r="F35" s="1608"/>
      <c r="G35" s="1608"/>
      <c r="H35" s="1608"/>
      <c r="I35" s="1608"/>
      <c r="J35" s="1608"/>
      <c r="K35" s="1608"/>
      <c r="L35" s="1608"/>
      <c r="M35" s="1608"/>
      <c r="N35" s="1608"/>
      <c r="O35" s="1608"/>
      <c r="P35" s="1608"/>
      <c r="Q35" s="1608"/>
    </row>
    <row r="36" spans="2:17" x14ac:dyDescent="0.35">
      <c r="B36" s="1647" t="s">
        <v>76</v>
      </c>
      <c r="C36" s="1757">
        <f>Vehi_ADR_AlSmeltingCoal!$I$106*Convert!$G$9/(Vehi_Inputs_AlSmeltingCoal!$C$18*Convert!$G$10)</f>
        <v>2.2657566368050039</v>
      </c>
      <c r="D36" s="1758">
        <f>Vehi_ADR!$I$106*Convert!$G$9/(Vehi_Inputs!$C$18*Convert!$G$10)</f>
        <v>2.2657566368050039</v>
      </c>
      <c r="E36" s="1756" t="s">
        <v>318</v>
      </c>
      <c r="F36" s="1608"/>
      <c r="G36" s="1608"/>
      <c r="H36" s="1608"/>
      <c r="I36" s="1608"/>
      <c r="J36" s="1608"/>
      <c r="K36" s="1608"/>
      <c r="L36" s="1608"/>
      <c r="M36" s="1608"/>
      <c r="N36" s="1608"/>
      <c r="O36" s="1608"/>
      <c r="P36" s="1608"/>
      <c r="Q36" s="1608"/>
    </row>
    <row r="37" spans="2:17" x14ac:dyDescent="0.35">
      <c r="B37" s="1608"/>
      <c r="C37" s="1608"/>
      <c r="D37" s="1608"/>
      <c r="E37" s="1608"/>
      <c r="F37" s="1608"/>
      <c r="G37" s="1608"/>
      <c r="H37" s="1608"/>
      <c r="I37" s="1608"/>
      <c r="J37" s="1608"/>
      <c r="K37" s="1608"/>
      <c r="L37" s="1608"/>
      <c r="M37" s="1608"/>
      <c r="N37" s="1608"/>
      <c r="O37" s="1608"/>
      <c r="P37" s="1608"/>
      <c r="Q37" s="1608"/>
    </row>
    <row r="38" spans="2:17" x14ac:dyDescent="0.35">
      <c r="B38" s="1742" t="s">
        <v>319</v>
      </c>
      <c r="C38" s="1737" t="s">
        <v>310</v>
      </c>
      <c r="D38" s="1737" t="str">
        <f t="shared" ref="D38:L38" si="0">C3</f>
        <v>LMO</v>
      </c>
      <c r="E38" s="1737" t="str">
        <f t="shared" si="0"/>
        <v>NMC111</v>
      </c>
      <c r="F38" s="1737" t="str">
        <f t="shared" si="0"/>
        <v>LFP: hydrothermal</v>
      </c>
      <c r="G38" s="1737" t="str">
        <f t="shared" si="0"/>
        <v>LFP: solid state</v>
      </c>
      <c r="H38" s="1737" t="str">
        <f t="shared" si="0"/>
        <v>NMC622</v>
      </c>
      <c r="I38" s="1737" t="str">
        <f t="shared" si="0"/>
        <v>NMC811</v>
      </c>
      <c r="J38" s="1737" t="str">
        <f t="shared" si="0"/>
        <v>LMR-NMC:Gr</v>
      </c>
      <c r="K38" s="1737" t="str">
        <f t="shared" si="0"/>
        <v>LMR-NMC:Gr-SI</v>
      </c>
      <c r="L38" s="1738" t="str">
        <f t="shared" si="0"/>
        <v>NCA</v>
      </c>
      <c r="M38" s="1608"/>
      <c r="N38" s="1608"/>
      <c r="O38" s="1608"/>
      <c r="P38" s="1608"/>
      <c r="Q38" s="1608"/>
    </row>
    <row r="39" spans="2:17" x14ac:dyDescent="0.35">
      <c r="B39" s="1643" t="s">
        <v>320</v>
      </c>
      <c r="C39" s="1608" t="s">
        <v>3390</v>
      </c>
      <c r="D39" s="1608">
        <f>((Battery_Sum_AlSmeltingCoal!H$176*(Mat_Sum_AlSmeltingCoal!$BD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17.550913251476587</v>
      </c>
      <c r="E39" s="1608">
        <f>((Battery_Sum_AlSmeltingCoal!H$176*(Mat_Sum_AlSmeltingCoal!$BF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26.534854451874825</v>
      </c>
      <c r="F39" s="1608">
        <f>((Battery_Sum_AlSmeltingCoal!H$176*(Mat_Sum_AlSmeltingCoal!$BK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18.38705948608153</v>
      </c>
      <c r="G39" s="1608">
        <f>((Battery_Sum_AlSmeltingCoal!H$176*(Mat_Sum_AlSmeltingCoal!$BL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17.238665592751261</v>
      </c>
      <c r="H39" s="1608">
        <f>((Battery_Sum_AlSmeltingCoal!H$176*(Mat_Sum_AlSmeltingCoal!$BG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26.682490257730674</v>
      </c>
      <c r="I39" s="1608">
        <f>((Battery_Sum_AlSmeltingCoal!H$176*(Mat_Sum_AlSmeltingCoal!$BH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26.986728378511966</v>
      </c>
      <c r="J39" s="1608">
        <f>((Battery_Sum_AlSmeltingCoal!H$176*(Mat_Sum_AlSmeltingCoal!$BJ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20.708214326975359</v>
      </c>
      <c r="K39" s="1608">
        <f>J39</f>
        <v>20.708214326975359</v>
      </c>
      <c r="L39" s="1644">
        <f>((Battery_Sum_AlSmeltingCoal!H$176*(Mat_Sum_AlSmeltingCoal!$BO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27.979802847890866</v>
      </c>
      <c r="M39" s="1608"/>
      <c r="N39" s="1608"/>
      <c r="O39" s="1608"/>
      <c r="P39" s="1608"/>
      <c r="Q39" s="1608"/>
    </row>
    <row r="40" spans="2:17" x14ac:dyDescent="0.35">
      <c r="B40" s="1643"/>
      <c r="C40" s="1608"/>
      <c r="D40" s="1608"/>
      <c r="E40" s="1608"/>
      <c r="F40" s="1608"/>
      <c r="G40" s="1608"/>
      <c r="H40" s="1608"/>
      <c r="I40" s="1608"/>
      <c r="J40" s="1608"/>
      <c r="K40" s="1608"/>
      <c r="L40" s="1644"/>
      <c r="M40" s="1608"/>
      <c r="N40" s="1608"/>
      <c r="O40" s="1608"/>
      <c r="P40" s="1608"/>
      <c r="Q40" s="1608"/>
    </row>
    <row r="41" spans="2:17" x14ac:dyDescent="0.35">
      <c r="B41" s="1647"/>
      <c r="C41" s="1648" t="s">
        <v>311</v>
      </c>
      <c r="D41" s="1648">
        <f>((Battery_Sum!H$176*(Mat_Sum!$BD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14.531876940515509</v>
      </c>
      <c r="E41" s="1648">
        <f>((Battery_Sum!H$176*(Mat_Sum!$BF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23.515818140913748</v>
      </c>
      <c r="F41" s="1648">
        <f>((Battery_Sum!H$176*(Mat_Sum!$BK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15.368023175120452</v>
      </c>
      <c r="G41" s="1648">
        <f>((Battery_Sum!H$176*(Mat_Sum!$BL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14.219629281790183</v>
      </c>
      <c r="H41" s="1648">
        <f>((Battery_Sum!H$176*(Mat_Sum!$BG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23.663453946769597</v>
      </c>
      <c r="I41" s="1648">
        <f>((Battery_Sum!H$176*(Mat_Sum!$BH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23.967692067550889</v>
      </c>
      <c r="J41" s="1648">
        <f>((Battery_Sum!H$176*(Mat_Sum!$BJ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17.689178016014278</v>
      </c>
      <c r="K41" s="1648">
        <f>J41</f>
        <v>17.689178016014278</v>
      </c>
      <c r="L41" s="1649">
        <f>((Battery_Sum!H$176*(Mat_Sum!$BO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24.960766536929789</v>
      </c>
      <c r="M41" s="1608"/>
      <c r="N41" s="1608"/>
      <c r="O41" s="1608"/>
      <c r="P41" s="1608"/>
      <c r="Q41" s="1608"/>
    </row>
    <row r="42" spans="2:17" x14ac:dyDescent="0.35">
      <c r="B42" s="1608"/>
      <c r="C42" s="1608"/>
      <c r="D42" s="1608"/>
      <c r="E42" s="1608"/>
      <c r="F42" s="1608"/>
      <c r="G42" s="1608"/>
      <c r="H42" s="1608"/>
      <c r="I42" s="1608"/>
      <c r="J42" s="1608"/>
      <c r="K42" s="1608"/>
      <c r="L42" s="1608"/>
      <c r="M42" s="1608"/>
      <c r="N42" s="1608"/>
      <c r="O42" s="1608"/>
      <c r="P42" s="1608"/>
      <c r="Q42" s="1608"/>
    </row>
    <row r="43" spans="2:17" x14ac:dyDescent="0.35">
      <c r="B43" s="1608" t="s">
        <v>321</v>
      </c>
      <c r="C43" s="1608"/>
      <c r="D43" s="1608"/>
      <c r="E43" s="1608"/>
      <c r="F43" s="1608"/>
      <c r="G43" s="1608"/>
      <c r="H43" s="1608"/>
      <c r="I43" s="1608"/>
      <c r="J43" s="1608"/>
      <c r="K43" s="1608"/>
      <c r="L43" s="1608"/>
      <c r="M43" s="1608"/>
      <c r="N43" s="1608"/>
      <c r="O43" s="1608"/>
      <c r="P43" s="1608"/>
      <c r="Q43" s="1608"/>
    </row>
    <row r="44" spans="2:17" x14ac:dyDescent="0.35">
      <c r="B44" s="1742" t="s">
        <v>310</v>
      </c>
      <c r="C44" s="1737" t="s">
        <v>3390</v>
      </c>
      <c r="D44" s="1738" t="s">
        <v>311</v>
      </c>
      <c r="E44" s="1608"/>
      <c r="F44" s="1608"/>
      <c r="G44" s="1608"/>
      <c r="H44" s="1608"/>
      <c r="I44" s="1608"/>
      <c r="J44" s="1608"/>
      <c r="K44" s="1608"/>
      <c r="L44" s="1608"/>
      <c r="M44" s="1608"/>
      <c r="N44" s="1608"/>
      <c r="O44" s="1608"/>
      <c r="P44" s="1608"/>
      <c r="Q44" s="1608"/>
    </row>
    <row r="45" spans="2:17" x14ac:dyDescent="0.35">
      <c r="B45" s="1643" t="s">
        <v>322</v>
      </c>
      <c r="C45" s="1759">
        <f>Steel_AlSmeltingCoal!$U$113/1000</f>
        <v>2843.5660191643333</v>
      </c>
      <c r="D45" s="1760">
        <f>Steel!$U$113/1000</f>
        <v>2843.5660191643333</v>
      </c>
      <c r="E45" s="1608"/>
      <c r="F45" s="1608"/>
      <c r="G45" s="1608"/>
      <c r="H45" s="1608"/>
      <c r="I45" s="1608"/>
      <c r="J45" s="1608"/>
      <c r="K45" s="1608"/>
      <c r="L45" s="1608"/>
      <c r="M45" s="1608"/>
      <c r="N45" s="1608"/>
      <c r="O45" s="1608"/>
      <c r="P45" s="1608"/>
      <c r="Q45" s="1608"/>
    </row>
    <row r="46" spans="2:17" x14ac:dyDescent="0.35">
      <c r="B46" s="1643" t="s">
        <v>323</v>
      </c>
      <c r="C46" s="1759">
        <f>Steel_AlSmeltingCoal!$E$147/1000</f>
        <v>1287.3398874743875</v>
      </c>
      <c r="D46" s="1760">
        <f>Steel!$E$147/1000</f>
        <v>1287.3398874743875</v>
      </c>
      <c r="E46" s="1608"/>
      <c r="F46" s="1608"/>
      <c r="G46" s="1608"/>
      <c r="H46" s="1608"/>
      <c r="I46" s="1608"/>
      <c r="J46" s="1608"/>
      <c r="K46" s="1608"/>
      <c r="L46" s="1608"/>
      <c r="M46" s="1608"/>
      <c r="N46" s="1608"/>
      <c r="O46" s="1608"/>
      <c r="P46" s="1608"/>
      <c r="Q46" s="1608"/>
    </row>
    <row r="47" spans="2:17" x14ac:dyDescent="0.35">
      <c r="B47" s="1643" t="s">
        <v>323</v>
      </c>
      <c r="C47" s="1759">
        <f>Steel_AlSmeltingCoal!$E$215/1000</f>
        <v>1771.712674307837</v>
      </c>
      <c r="D47" s="1760">
        <f>Steel!$E$215/1000</f>
        <v>1771.712674307837</v>
      </c>
      <c r="E47" s="1608"/>
      <c r="F47" s="1608"/>
      <c r="G47" s="1608"/>
      <c r="H47" s="1608"/>
      <c r="I47" s="1608"/>
      <c r="J47" s="1608"/>
      <c r="K47" s="1608"/>
      <c r="L47" s="1608"/>
      <c r="M47" s="1608"/>
      <c r="N47" s="1608"/>
      <c r="O47" s="1608"/>
      <c r="P47" s="1608"/>
      <c r="Q47" s="1608"/>
    </row>
    <row r="48" spans="2:17" x14ac:dyDescent="0.35">
      <c r="B48" s="1643" t="s">
        <v>324</v>
      </c>
      <c r="C48" s="1759">
        <f>'C.Iron_AlSmeltingCoal'!$J$81/1000</f>
        <v>944.23830205384127</v>
      </c>
      <c r="D48" s="1760">
        <f>'C.Iron'!$J$81/1000</f>
        <v>944.23830205384127</v>
      </c>
      <c r="E48" s="1608"/>
      <c r="F48" s="1608"/>
      <c r="G48" s="1608"/>
      <c r="H48" s="1608"/>
      <c r="I48" s="1608"/>
      <c r="J48" s="1608"/>
      <c r="K48" s="1608"/>
      <c r="L48" s="1608"/>
      <c r="M48" s="1608"/>
      <c r="N48" s="1608"/>
      <c r="O48" s="1608"/>
      <c r="P48" s="1608"/>
      <c r="Q48" s="1608"/>
    </row>
    <row r="49" spans="2:17" x14ac:dyDescent="0.35">
      <c r="B49" s="1643" t="s">
        <v>325</v>
      </c>
      <c r="C49" s="1759">
        <f>W.Al_AlSmeltingCoal!$U$146/1000</f>
        <v>18370.647678120487</v>
      </c>
      <c r="D49" s="1760">
        <f>W.Al!$U$146/1000</f>
        <v>7361.0167462680711</v>
      </c>
      <c r="E49" s="1608"/>
      <c r="F49" s="1608"/>
      <c r="G49" s="1608"/>
      <c r="H49" s="1608"/>
      <c r="I49" s="1608"/>
      <c r="J49" s="1608"/>
      <c r="K49" s="1608"/>
      <c r="L49" s="1608"/>
      <c r="M49" s="1608"/>
      <c r="N49" s="1608"/>
      <c r="O49" s="1608"/>
      <c r="P49" s="1608"/>
      <c r="Q49" s="1608"/>
    </row>
    <row r="50" spans="2:17" x14ac:dyDescent="0.35">
      <c r="B50" s="1643" t="s">
        <v>325</v>
      </c>
      <c r="C50" s="1759">
        <f>W.Al_AlSmeltingCoal!$R$184/1000</f>
        <v>2404.8668850501526</v>
      </c>
      <c r="D50" s="1760">
        <f>W.Al!$R$184/1000</f>
        <v>1524.9408491944328</v>
      </c>
      <c r="E50" s="1608"/>
      <c r="F50" s="1608"/>
      <c r="G50" s="1608"/>
      <c r="H50" s="1608"/>
      <c r="I50" s="1608"/>
      <c r="J50" s="1608"/>
      <c r="K50" s="1608"/>
      <c r="L50" s="1608"/>
      <c r="M50" s="1608"/>
      <c r="N50" s="1608"/>
      <c r="O50" s="1608"/>
      <c r="P50" s="1608"/>
      <c r="Q50" s="1608"/>
    </row>
    <row r="51" spans="2:17" x14ac:dyDescent="0.35">
      <c r="B51" s="1643" t="s">
        <v>326</v>
      </c>
      <c r="C51" s="1759">
        <f>'C.Al_AlSmeltingCoal'!$I$136/1000</f>
        <v>20306.047918456588</v>
      </c>
      <c r="D51" s="1760">
        <f>'C.Al'!$I$136/1000</f>
        <v>8173.5891642277047</v>
      </c>
      <c r="E51" s="1608"/>
      <c r="F51" s="1608"/>
      <c r="G51" s="1608"/>
      <c r="H51" s="1608"/>
      <c r="I51" s="1608"/>
      <c r="J51" s="1608"/>
      <c r="K51" s="1608"/>
      <c r="L51" s="1608"/>
      <c r="M51" s="1608"/>
      <c r="N51" s="1608"/>
      <c r="O51" s="1608"/>
      <c r="P51" s="1608"/>
      <c r="Q51" s="1608"/>
    </row>
    <row r="52" spans="2:17" x14ac:dyDescent="0.35">
      <c r="B52" s="1643" t="s">
        <v>326</v>
      </c>
      <c r="C52" s="1759">
        <f>'C.Al_AlSmeltingCoal'!$F$172/1000</f>
        <v>2711.9815823569807</v>
      </c>
      <c r="D52" s="1760">
        <f>'C.Al'!$F$172/1000</f>
        <v>1742.3154416051198</v>
      </c>
      <c r="E52" s="1608"/>
      <c r="F52" s="1608"/>
      <c r="G52" s="1608"/>
      <c r="H52" s="1608"/>
      <c r="I52" s="1608"/>
      <c r="J52" s="1608"/>
      <c r="K52" s="1608"/>
      <c r="L52" s="1608"/>
      <c r="M52" s="1608"/>
      <c r="N52" s="1608"/>
      <c r="O52" s="1608"/>
      <c r="P52" s="1608"/>
      <c r="Q52" s="1608"/>
    </row>
    <row r="53" spans="2:17" x14ac:dyDescent="0.35">
      <c r="B53" s="1643" t="s">
        <v>327</v>
      </c>
      <c r="C53" s="1759">
        <f>Copper_AlSmeltingCoal!$K$82/1000</f>
        <v>2796.6193423775144</v>
      </c>
      <c r="D53" s="1760">
        <f>Copper!$K$82/1000</f>
        <v>2796.6193423775144</v>
      </c>
      <c r="E53" s="1608"/>
      <c r="F53" s="1608"/>
      <c r="G53" s="1608"/>
      <c r="H53" s="1608"/>
      <c r="I53" s="1608"/>
      <c r="J53" s="1608"/>
      <c r="K53" s="1608"/>
      <c r="L53" s="1608"/>
      <c r="M53" s="1608"/>
      <c r="N53" s="1608"/>
      <c r="O53" s="1608"/>
      <c r="P53" s="1608"/>
      <c r="Q53" s="1608"/>
    </row>
    <row r="54" spans="2:17" x14ac:dyDescent="0.35">
      <c r="B54" s="1643" t="s">
        <v>328</v>
      </c>
      <c r="C54" s="1759">
        <f>Glass_AlSmeltingCoal!$J$90/1000</f>
        <v>1601.0217076242864</v>
      </c>
      <c r="D54" s="1760">
        <f>Glass!$J$90/1000</f>
        <v>1601.0217076242864</v>
      </c>
      <c r="E54" s="1608"/>
      <c r="F54" s="1608"/>
      <c r="G54" s="1608"/>
      <c r="H54" s="1608"/>
      <c r="I54" s="1608"/>
      <c r="J54" s="1608"/>
      <c r="K54" s="1608"/>
      <c r="L54" s="1608"/>
      <c r="M54" s="1608"/>
      <c r="N54" s="1608"/>
      <c r="O54" s="1608"/>
      <c r="P54" s="1608"/>
      <c r="Q54" s="1608"/>
    </row>
    <row r="55" spans="2:17" x14ac:dyDescent="0.35">
      <c r="B55" s="1643" t="s">
        <v>329</v>
      </c>
      <c r="C55" s="1759">
        <f>Plastic_AlSmeltingCoal!$L$116/1000</f>
        <v>4063.7689986647251</v>
      </c>
      <c r="D55" s="1760">
        <f>Plastic!$L$116/1000</f>
        <v>4063.7689986647251</v>
      </c>
      <c r="E55" s="1608"/>
      <c r="F55" s="1608"/>
      <c r="G55" s="1608"/>
      <c r="H55" s="1608"/>
      <c r="I55" s="1608"/>
      <c r="J55" s="1608"/>
      <c r="K55" s="1608"/>
      <c r="L55" s="1608"/>
      <c r="M55" s="1608"/>
      <c r="N55" s="1608"/>
      <c r="O55" s="1608"/>
      <c r="P55" s="1608"/>
      <c r="Q55" s="1608"/>
    </row>
    <row r="56" spans="2:17" x14ac:dyDescent="0.35">
      <c r="B56" s="1643" t="s">
        <v>330</v>
      </c>
      <c r="C56" s="1759">
        <f>Plastic_AlSmeltingCoal!$T$116/1000</f>
        <v>36239.757185398543</v>
      </c>
      <c r="D56" s="1760">
        <f>Plastic!$T$116/1000</f>
        <v>36239.757185398543</v>
      </c>
      <c r="E56" s="1608"/>
      <c r="F56" s="1608"/>
      <c r="G56" s="1608"/>
      <c r="H56" s="1608"/>
      <c r="I56" s="1608"/>
      <c r="J56" s="1608"/>
      <c r="K56" s="1608"/>
      <c r="L56" s="1608"/>
      <c r="M56" s="1608"/>
      <c r="N56" s="1608"/>
      <c r="O56" s="1608"/>
      <c r="P56" s="1608"/>
      <c r="Q56" s="1608"/>
    </row>
    <row r="57" spans="2:17" x14ac:dyDescent="0.35">
      <c r="B57" s="1643" t="s">
        <v>331</v>
      </c>
      <c r="C57" s="1759">
        <f>Rubber_AlSmeltingCoal!$I$84/1000</f>
        <v>3575.2231881817438</v>
      </c>
      <c r="D57" s="1760">
        <f>Rubber!$I$84/1000</f>
        <v>3575.2231881817438</v>
      </c>
      <c r="E57" s="1608"/>
      <c r="F57" s="1608"/>
      <c r="G57" s="1608"/>
      <c r="H57" s="1608"/>
      <c r="I57" s="1608"/>
      <c r="J57" s="1608"/>
      <c r="K57" s="1608"/>
      <c r="L57" s="1608"/>
      <c r="M57" s="1608"/>
      <c r="N57" s="1608"/>
      <c r="O57" s="1608"/>
      <c r="P57" s="1608"/>
      <c r="Q57" s="1608"/>
    </row>
    <row r="58" spans="2:17" x14ac:dyDescent="0.35">
      <c r="B58" s="1746" t="s">
        <v>312</v>
      </c>
      <c r="C58" s="1671">
        <v>9000</v>
      </c>
      <c r="D58" s="1761">
        <v>9000</v>
      </c>
      <c r="E58" s="1608"/>
      <c r="F58" s="1608"/>
      <c r="G58" s="1608"/>
      <c r="H58" s="1608"/>
      <c r="I58" s="1608"/>
      <c r="J58" s="1608"/>
      <c r="K58" s="1608"/>
      <c r="L58" s="1608"/>
      <c r="M58" s="1608"/>
      <c r="N58" s="1608"/>
      <c r="O58" s="1608"/>
      <c r="P58" s="1608"/>
      <c r="Q58" s="1608"/>
    </row>
    <row r="59" spans="2:17" x14ac:dyDescent="0.35">
      <c r="B59" s="1608"/>
      <c r="C59" s="1608"/>
      <c r="D59" s="1608"/>
      <c r="E59" s="1608"/>
      <c r="F59" s="1608"/>
      <c r="G59" s="1608"/>
      <c r="H59" s="1608"/>
      <c r="I59" s="1608"/>
      <c r="J59" s="1608"/>
      <c r="K59" s="1608"/>
      <c r="L59" s="1608"/>
      <c r="M59" s="1608"/>
      <c r="N59" s="1608"/>
      <c r="O59" s="1608"/>
      <c r="P59" s="1608"/>
      <c r="Q59" s="1608"/>
    </row>
    <row r="60" spans="2:17" x14ac:dyDescent="0.35">
      <c r="B60" s="1608" t="s">
        <v>332</v>
      </c>
      <c r="C60" s="1608"/>
      <c r="D60" s="1608"/>
      <c r="E60" s="1608"/>
      <c r="F60" s="1608"/>
      <c r="G60" s="1608"/>
      <c r="H60" s="1608"/>
      <c r="I60" s="1608"/>
      <c r="J60" s="1608"/>
      <c r="K60" s="1608"/>
      <c r="L60" s="1608"/>
      <c r="M60" s="1608"/>
      <c r="N60" s="1608"/>
      <c r="O60" s="1608"/>
      <c r="P60" s="1608"/>
      <c r="Q60" s="1608"/>
    </row>
    <row r="61" spans="2:17" x14ac:dyDescent="0.35">
      <c r="B61" s="1742" t="s">
        <v>310</v>
      </c>
      <c r="C61" s="1737" t="s">
        <v>3390</v>
      </c>
      <c r="D61" s="1738" t="s">
        <v>311</v>
      </c>
      <c r="E61" s="1608"/>
      <c r="F61" s="1608"/>
      <c r="G61" s="1608"/>
      <c r="H61" s="1608"/>
      <c r="I61" s="1608"/>
      <c r="J61" s="1608"/>
      <c r="K61" s="1608"/>
      <c r="L61" s="1608"/>
      <c r="M61" s="1608"/>
      <c r="N61" s="1608"/>
      <c r="O61" s="1608"/>
      <c r="P61" s="1608"/>
      <c r="Q61" s="1608"/>
    </row>
    <row r="62" spans="2:17" x14ac:dyDescent="0.35">
      <c r="B62" s="1643" t="s">
        <v>314</v>
      </c>
      <c r="C62" s="1661">
        <f>SUM(Vehi_ADR_AlSmeltingCoal!$B$125:$H$125)/(Vehi_Inputs_AlSmeltingCoal!$C$18*Convert!$G$10)</f>
        <v>538.63283073745492</v>
      </c>
      <c r="D62" s="1606">
        <f>SUM(Vehi_ADR_AlSmeltingCoal!$B$125:$H$125)/(Vehi_Inputs_AlSmeltingCoal!$C$18*Convert!$G$10)</f>
        <v>538.63283073745492</v>
      </c>
      <c r="E62" s="1608"/>
      <c r="F62" s="1608"/>
      <c r="G62" s="1608"/>
      <c r="H62" s="1608"/>
      <c r="I62" s="1608"/>
      <c r="J62" s="1608"/>
      <c r="K62" s="1608"/>
      <c r="L62" s="1608"/>
      <c r="M62" s="1608"/>
      <c r="N62" s="1608"/>
      <c r="O62" s="1608"/>
      <c r="P62" s="1608"/>
      <c r="Q62" s="1608"/>
    </row>
    <row r="63" spans="2:17" x14ac:dyDescent="0.35">
      <c r="B63" s="1647" t="s">
        <v>314</v>
      </c>
      <c r="C63" s="1709">
        <f>Vehi_ADR_AlSmeltingCoal!$I$125/(Vehi_Inputs_AlSmeltingCoal!$C$18*Convert!$G$10)</f>
        <v>153.35318310942364</v>
      </c>
      <c r="D63" s="1707">
        <f>Vehi_ADR_AlSmeltingCoal!$I$125/(Vehi_Inputs_AlSmeltingCoal!$C$18*Convert!$G$10)</f>
        <v>153.35318310942364</v>
      </c>
      <c r="E63" s="1608"/>
      <c r="F63" s="1608"/>
      <c r="G63" s="1608"/>
      <c r="H63" s="1608"/>
      <c r="I63" s="1608"/>
      <c r="J63" s="1608"/>
      <c r="K63" s="1608"/>
      <c r="L63" s="1608"/>
      <c r="M63" s="1608"/>
      <c r="N63" s="1608"/>
      <c r="O63" s="1608"/>
      <c r="P63" s="1608"/>
      <c r="Q63" s="1608"/>
    </row>
    <row r="64" spans="2:17" x14ac:dyDescent="0.35">
      <c r="B64" s="1608"/>
      <c r="C64" s="1608"/>
      <c r="D64" s="1608"/>
      <c r="E64" s="1608"/>
      <c r="F64" s="1608"/>
      <c r="G64" s="1608"/>
      <c r="H64" s="1608"/>
      <c r="I64" s="1608"/>
      <c r="J64" s="1608"/>
      <c r="K64" s="1608"/>
      <c r="L64" s="1608"/>
      <c r="M64" s="1608"/>
      <c r="N64" s="1608"/>
      <c r="O64" s="1608"/>
      <c r="P64" s="1608"/>
      <c r="Q64" s="1608"/>
    </row>
    <row r="65" spans="2:19" x14ac:dyDescent="0.35">
      <c r="B65" s="1608" t="s">
        <v>333</v>
      </c>
      <c r="C65" s="1608"/>
      <c r="D65" s="1608"/>
      <c r="E65" s="1608"/>
      <c r="F65" s="1608"/>
      <c r="G65" s="1608"/>
      <c r="H65" s="1608"/>
      <c r="I65" s="1608"/>
      <c r="J65" s="1608"/>
      <c r="K65" s="1608"/>
      <c r="L65" s="1608"/>
      <c r="M65" s="1608"/>
      <c r="N65" s="1608"/>
      <c r="O65" s="1608"/>
      <c r="P65" s="1608"/>
      <c r="Q65" s="1608"/>
    </row>
    <row r="66" spans="2:19" x14ac:dyDescent="0.35">
      <c r="B66" s="1742" t="s">
        <v>310</v>
      </c>
      <c r="C66" s="1737" t="s">
        <v>3390</v>
      </c>
      <c r="D66" s="1738" t="s">
        <v>311</v>
      </c>
      <c r="E66" s="1608"/>
      <c r="F66" s="1608"/>
      <c r="G66" s="1608"/>
      <c r="H66" s="1608"/>
      <c r="I66" s="1608"/>
      <c r="J66" s="1608"/>
      <c r="K66" s="1608"/>
      <c r="L66" s="1608"/>
      <c r="M66" s="1608"/>
      <c r="N66" s="1608"/>
      <c r="O66" s="1608"/>
      <c r="P66" s="1608"/>
      <c r="Q66" s="1608"/>
    </row>
    <row r="67" spans="2:19" x14ac:dyDescent="0.35">
      <c r="B67" s="1647" t="s">
        <v>75</v>
      </c>
      <c r="C67" s="1762">
        <f>('Battery Assembly_AlSmeltingCoal'!$F75)</f>
        <v>13854.30547718205</v>
      </c>
      <c r="D67" s="1763">
        <f>('Battery Assembly'!$F75)</f>
        <v>13854.30547718205</v>
      </c>
      <c r="E67" s="1756"/>
      <c r="F67" s="1608"/>
      <c r="G67" s="1608"/>
      <c r="H67" s="1608"/>
      <c r="I67" s="1608"/>
      <c r="J67" s="1608"/>
      <c r="K67" s="1608"/>
      <c r="L67" s="1608"/>
      <c r="M67" s="1608"/>
      <c r="N67" s="1608"/>
      <c r="O67" s="1608"/>
      <c r="P67" s="1608"/>
      <c r="Q67" s="1608"/>
    </row>
    <row r="68" spans="2:19" ht="13.9" x14ac:dyDescent="0.4">
      <c r="B68" s="1608"/>
      <c r="C68" s="1608"/>
      <c r="D68" s="1608"/>
      <c r="E68" s="1608"/>
      <c r="F68" s="1608"/>
      <c r="G68" s="1608"/>
      <c r="H68" s="1764"/>
      <c r="I68" s="1608"/>
      <c r="J68" s="1608"/>
      <c r="K68" s="1608"/>
      <c r="L68" s="1608"/>
      <c r="M68" s="1608"/>
      <c r="N68" s="1608"/>
      <c r="O68" s="1608"/>
      <c r="P68" s="1608"/>
      <c r="Q68" s="1608"/>
    </row>
    <row r="69" spans="2:19" x14ac:dyDescent="0.35">
      <c r="B69" s="1742" t="s">
        <v>334</v>
      </c>
      <c r="C69" s="1737"/>
      <c r="D69" s="1738" t="s">
        <v>101</v>
      </c>
      <c r="E69" s="1608"/>
      <c r="F69" s="1608"/>
      <c r="G69" s="1608"/>
      <c r="H69" s="1608"/>
      <c r="I69" s="1608"/>
      <c r="J69" s="1608"/>
      <c r="K69" s="1608"/>
      <c r="L69" s="1608"/>
      <c r="M69" s="1608"/>
      <c r="N69" s="1608"/>
      <c r="O69" s="1608"/>
      <c r="P69" s="1608"/>
      <c r="Q69" s="1608"/>
    </row>
    <row r="70" spans="2:19" x14ac:dyDescent="0.35">
      <c r="B70" s="1643" t="s">
        <v>310</v>
      </c>
      <c r="C70" s="1608" t="s">
        <v>3390</v>
      </c>
      <c r="D70" s="1644" t="s">
        <v>311</v>
      </c>
      <c r="E70" s="1756"/>
      <c r="F70" s="1608"/>
      <c r="G70" s="1608"/>
      <c r="H70" s="1608"/>
      <c r="I70" s="1608"/>
      <c r="J70" s="1608"/>
      <c r="K70" s="1608"/>
      <c r="L70" s="1608"/>
      <c r="M70" s="1608"/>
      <c r="N70" s="1608"/>
      <c r="O70" s="1608"/>
      <c r="P70" s="1608"/>
      <c r="Q70" s="1608"/>
    </row>
    <row r="71" spans="2:19" x14ac:dyDescent="0.35">
      <c r="B71" s="1647" t="s">
        <v>76</v>
      </c>
      <c r="C71" s="1709">
        <f>Vehi_ADR_AlSmeltingCoal!$I$125/(Vehi_Inputs_AlSmeltingCoal!$C$18*Convert!$G$10)</f>
        <v>153.35318310942364</v>
      </c>
      <c r="D71" s="1707">
        <f>Vehi_ADR_AlSmeltingCoal!$I$125/(Vehi_Inputs_AlSmeltingCoal!$C$18*Convert!$G$10)</f>
        <v>153.35318310942364</v>
      </c>
      <c r="E71" s="1756" t="s">
        <v>318</v>
      </c>
      <c r="F71" s="1608"/>
      <c r="G71" s="1608"/>
      <c r="H71" s="1608"/>
      <c r="I71" s="1608"/>
      <c r="J71" s="1608"/>
      <c r="K71" s="1608"/>
      <c r="L71" s="1608"/>
      <c r="M71" s="1608"/>
      <c r="N71" s="1608"/>
      <c r="O71" s="1608"/>
      <c r="P71" s="1608"/>
      <c r="Q71" s="1608"/>
    </row>
    <row r="72" spans="2:19" x14ac:dyDescent="0.35">
      <c r="B72" s="1608"/>
      <c r="C72" s="1608"/>
      <c r="D72" s="1608"/>
      <c r="E72" s="1608"/>
      <c r="F72" s="1608"/>
      <c r="G72" s="1608"/>
      <c r="H72" s="1608"/>
      <c r="I72" s="1608"/>
      <c r="J72" s="1608"/>
      <c r="K72" s="1608"/>
      <c r="L72" s="1608"/>
      <c r="M72" s="1608"/>
      <c r="N72" s="1608"/>
      <c r="O72" s="1608"/>
      <c r="P72" s="1608"/>
      <c r="Q72" s="1608"/>
    </row>
    <row r="73" spans="2:19" x14ac:dyDescent="0.35">
      <c r="B73" s="1742" t="s">
        <v>319</v>
      </c>
      <c r="C73" s="1737" t="s">
        <v>310</v>
      </c>
      <c r="D73" s="1737" t="s">
        <v>299</v>
      </c>
      <c r="E73" s="1737" t="s">
        <v>300</v>
      </c>
      <c r="F73" s="1737" t="s">
        <v>301</v>
      </c>
      <c r="G73" s="1737" t="s">
        <v>302</v>
      </c>
      <c r="H73" s="1737" t="s">
        <v>303</v>
      </c>
      <c r="I73" s="1737" t="s">
        <v>304</v>
      </c>
      <c r="J73" s="1737" t="s">
        <v>305</v>
      </c>
      <c r="K73" s="1737" t="s">
        <v>306</v>
      </c>
      <c r="L73" s="1738" t="s">
        <v>307</v>
      </c>
      <c r="M73" s="1608"/>
      <c r="N73" s="1608"/>
      <c r="O73" s="1608"/>
      <c r="P73" s="1608"/>
      <c r="Q73" s="1608"/>
    </row>
    <row r="74" spans="2:19" x14ac:dyDescent="0.35">
      <c r="B74" s="1643" t="s">
        <v>335</v>
      </c>
      <c r="C74" s="1608" t="s">
        <v>3390</v>
      </c>
      <c r="D74" s="1608">
        <f>((Battery_Sum_AlSmeltingCoal!H$176*(Mat_Sum_AlSmeltingCoal!$BD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1473442.4041163151</v>
      </c>
      <c r="E74" s="1765">
        <f>((Battery_Sum_AlSmeltingCoal!H$176*(Mat_Sum_AlSmeltingCoal!$BF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2102479.095876358</v>
      </c>
      <c r="F74" s="1608">
        <f>((Battery_Sum_AlSmeltingCoal!H$176*(Mat_Sum_AlSmeltingCoal!$BK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1498720.0654745686</v>
      </c>
      <c r="G74" s="1608">
        <f>((Battery_Sum_AlSmeltingCoal!H$176*(Mat_Sum_AlSmeltingCoal!$BL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1426779.7759854549</v>
      </c>
      <c r="H74" s="1608">
        <f>((Battery_Sum_AlSmeltingCoal!H$176*(Mat_Sum_AlSmeltingCoal!$BG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2109288.5643534851</v>
      </c>
      <c r="I74" s="1608">
        <f>((Battery_Sum_AlSmeltingCoal!H$176*(Mat_Sum_AlSmeltingCoal!$BH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2108573.3561928202</v>
      </c>
      <c r="J74" s="1608">
        <f>((Battery_Sum_AlSmeltingCoal!H$176*(Mat_Sum_AlSmeltingCoal!$BJ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1715155.7425372568</v>
      </c>
      <c r="K74" s="1608">
        <f>J74</f>
        <v>1715155.7425372568</v>
      </c>
      <c r="L74" s="1644">
        <f>((Battery_Sum_AlSmeltingCoal!H$176*(Mat_Sum_AlSmeltingCoal!$BO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2174508.7671961817</v>
      </c>
      <c r="M74" s="1608"/>
      <c r="N74" s="1608"/>
      <c r="O74" s="1608"/>
      <c r="P74" s="1608"/>
      <c r="Q74" s="1608"/>
    </row>
    <row r="75" spans="2:19" x14ac:dyDescent="0.35">
      <c r="B75" s="1647"/>
      <c r="C75" s="1648" t="s">
        <v>311</v>
      </c>
      <c r="D75" s="1648">
        <f>((Battery_Sum!H$176*(Mat_Sum!$BD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982470.28634818969</v>
      </c>
      <c r="E75" s="1766">
        <f>((Battery_Sum!H$176*(Mat_Sum!$BF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1611506.9781082333</v>
      </c>
      <c r="F75" s="1648">
        <f>((Battery_Sum!H$176*(Mat_Sum!$BK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1007747.9477064431</v>
      </c>
      <c r="G75" s="1648">
        <f>((Battery_Sum!H$176*(Mat_Sum!$BL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935807.65821732942</v>
      </c>
      <c r="H75" s="1648">
        <f>((Battery_Sum!H$176*(Mat_Sum!$BG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1618316.4465853602</v>
      </c>
      <c r="I75" s="1648">
        <f>((Battery_Sum!H$176*(Mat_Sum!$BH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1617601.2384246956</v>
      </c>
      <c r="J75" s="1648">
        <f>((Battery_Sum!H$176*(Mat_Sum!$BJ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1224183.6247691314</v>
      </c>
      <c r="K75" s="1648">
        <f>J75</f>
        <v>1224183.6247691314</v>
      </c>
      <c r="L75" s="1649">
        <f>((Battery_Sum!H$176*(Mat_Sum!$BO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1683536.649428057</v>
      </c>
      <c r="M75" s="1608"/>
      <c r="N75" s="1608"/>
      <c r="O75" s="1608"/>
      <c r="P75" s="1608"/>
      <c r="Q75" s="1608"/>
    </row>
    <row r="76" spans="2:19" x14ac:dyDescent="0.35">
      <c r="B76" s="1608"/>
      <c r="C76" s="1608"/>
      <c r="D76" s="1608"/>
      <c r="E76" s="1608"/>
      <c r="F76" s="1608"/>
      <c r="G76" s="1608"/>
      <c r="H76" s="1608"/>
      <c r="I76" s="1608"/>
      <c r="J76" s="1608"/>
      <c r="K76" s="1608"/>
      <c r="L76" s="1608"/>
      <c r="M76" s="1608"/>
      <c r="N76" s="1608"/>
      <c r="O76" s="1608"/>
      <c r="P76" s="1608"/>
      <c r="Q76" s="1608"/>
    </row>
    <row r="77" spans="2:19" x14ac:dyDescent="0.35">
      <c r="B77" s="1608"/>
      <c r="C77" s="1608"/>
      <c r="D77" s="1608"/>
      <c r="E77" s="1608"/>
      <c r="F77" s="1608"/>
      <c r="G77" s="1608"/>
      <c r="H77" s="1608"/>
      <c r="I77" s="1608"/>
      <c r="J77" s="1608"/>
      <c r="K77" s="1608"/>
      <c r="L77" s="1608"/>
      <c r="M77" s="1608"/>
      <c r="N77" s="1608"/>
      <c r="O77" s="1608"/>
      <c r="P77" s="1608"/>
      <c r="Q77" s="1608"/>
    </row>
    <row r="78" spans="2:19" x14ac:dyDescent="0.35">
      <c r="B78" s="1742" t="s">
        <v>89</v>
      </c>
      <c r="C78" s="1737" t="s">
        <v>255</v>
      </c>
      <c r="D78" s="1737" t="s">
        <v>293</v>
      </c>
      <c r="E78" s="1737" t="s">
        <v>295</v>
      </c>
      <c r="F78" s="1737" t="s">
        <v>254</v>
      </c>
      <c r="G78" s="1738"/>
      <c r="H78" s="1608"/>
      <c r="I78" s="1608"/>
      <c r="J78" s="1608"/>
      <c r="K78" s="1608"/>
      <c r="L78" s="1608"/>
      <c r="M78" s="1608"/>
      <c r="N78" s="1608"/>
      <c r="O78" s="1608"/>
      <c r="P78" s="1608"/>
      <c r="Q78" s="1608"/>
      <c r="R78" s="1608"/>
      <c r="S78" s="1608"/>
    </row>
    <row r="79" spans="2:19" x14ac:dyDescent="0.35">
      <c r="B79" s="1643"/>
      <c r="C79" s="1608"/>
      <c r="D79" s="1608"/>
      <c r="E79" s="1608"/>
      <c r="F79" s="1608"/>
      <c r="G79" s="1644"/>
      <c r="H79" s="1608"/>
      <c r="I79" s="1608"/>
      <c r="J79" s="1608"/>
      <c r="K79" s="1608"/>
      <c r="L79" s="1608"/>
      <c r="M79" s="1608"/>
      <c r="N79" s="1608"/>
      <c r="O79" s="1608"/>
      <c r="P79" s="1608"/>
      <c r="Q79" s="1608"/>
    </row>
    <row r="80" spans="2:19" x14ac:dyDescent="0.35">
      <c r="B80" s="1643"/>
      <c r="C80" s="1608"/>
      <c r="D80" s="1608" t="s">
        <v>336</v>
      </c>
      <c r="E80" s="1608"/>
      <c r="F80" s="1608"/>
      <c r="G80" s="1644"/>
      <c r="J80" s="1608"/>
      <c r="K80" s="1608"/>
      <c r="L80" s="1608"/>
      <c r="M80" s="1608"/>
      <c r="N80" s="1608"/>
      <c r="O80" s="1608"/>
      <c r="P80" s="1608"/>
      <c r="Q80" s="1608"/>
    </row>
    <row r="81" spans="2:18" x14ac:dyDescent="0.35">
      <c r="B81" s="1643" t="s">
        <v>90</v>
      </c>
      <c r="C81" s="1608"/>
      <c r="D81" s="1608" t="s">
        <v>255</v>
      </c>
      <c r="E81" s="1608" t="s">
        <v>293</v>
      </c>
      <c r="F81" s="1608" t="s">
        <v>295</v>
      </c>
      <c r="G81" s="1644" t="s">
        <v>254</v>
      </c>
      <c r="H81" s="1608"/>
      <c r="K81" s="1608"/>
      <c r="L81" s="1608"/>
      <c r="M81" s="1608"/>
      <c r="N81" s="1608"/>
      <c r="O81" s="1608"/>
      <c r="P81" s="1608"/>
      <c r="Q81" s="1608"/>
      <c r="R81" s="1608"/>
    </row>
    <row r="82" spans="2:18" x14ac:dyDescent="0.35">
      <c r="B82" s="1643" t="s">
        <v>337</v>
      </c>
      <c r="C82" s="1608" t="s">
        <v>9</v>
      </c>
      <c r="D82" s="1751">
        <f>(Car!$C$6+SUM(Car!$C$17:$C$19))/Convert!$B$4</f>
        <v>1460.3425927605915</v>
      </c>
      <c r="E82" s="1751">
        <f>(Car!$E$6+SUM(Car!$E$17:$E$19))/Convert!$B$4</f>
        <v>1622.0346001393923</v>
      </c>
      <c r="F82" s="1751">
        <f>(Car!$I$6+SUM(Car!$I$17:$I$19))/Convert!$B$4</f>
        <v>2120.5297859623556</v>
      </c>
      <c r="G82" s="1767">
        <f>(Car!$K$6+SUM(Car!$K$17:$K$19))/Convert!$B$4</f>
        <v>1729.9977058566722</v>
      </c>
      <c r="H82" s="1751"/>
      <c r="K82" s="1608"/>
      <c r="L82" s="1608"/>
      <c r="M82" s="1608"/>
      <c r="N82" s="1608"/>
      <c r="O82" s="1608"/>
      <c r="P82" s="1608"/>
      <c r="Q82" s="1608"/>
      <c r="R82" s="1608"/>
    </row>
    <row r="83" spans="2:18" x14ac:dyDescent="0.35">
      <c r="B83" s="1643" t="s">
        <v>338</v>
      </c>
      <c r="C83" s="1608" t="s">
        <v>339</v>
      </c>
      <c r="D83" s="1751">
        <f>SUV!$C$125</f>
        <v>183363</v>
      </c>
      <c r="E83" s="1751">
        <f>SUV!$E$125</f>
        <v>183363</v>
      </c>
      <c r="F83" s="1751">
        <f>SUV!$I$125</f>
        <v>128354.09999999999</v>
      </c>
      <c r="G83" s="1767">
        <f>SUV!$K$125</f>
        <v>183363</v>
      </c>
      <c r="H83" s="1751"/>
      <c r="K83" s="1608"/>
      <c r="L83" s="1608"/>
      <c r="M83" s="1608"/>
      <c r="N83" s="1608"/>
      <c r="O83" s="1608"/>
      <c r="P83" s="1608"/>
      <c r="Q83" s="1608"/>
      <c r="R83" s="1608"/>
    </row>
    <row r="84" spans="2:18" x14ac:dyDescent="0.35">
      <c r="B84" s="1643" t="s">
        <v>91</v>
      </c>
      <c r="C84" s="1608" t="s">
        <v>340</v>
      </c>
      <c r="D84" s="1768">
        <f>D85/D82</f>
        <v>8.614043035296802E-3</v>
      </c>
      <c r="E84" s="1768">
        <f>E85/E82</f>
        <v>7.0837981162835718E-3</v>
      </c>
      <c r="F84" s="1768">
        <f>F85/F82</f>
        <v>1.3606026421613153E-3</v>
      </c>
      <c r="G84" s="1769">
        <f>G85/G82</f>
        <v>1.6677469685622715E-3</v>
      </c>
      <c r="H84" s="1768"/>
      <c r="K84" s="1608"/>
      <c r="L84" s="1608"/>
      <c r="M84" s="1608"/>
      <c r="N84" s="1608"/>
      <c r="O84" s="1608"/>
      <c r="P84" s="1608"/>
      <c r="Q84" s="1608"/>
      <c r="R84" s="1608"/>
    </row>
    <row r="85" spans="2:18" x14ac:dyDescent="0.35">
      <c r="B85" s="1643" t="s">
        <v>92</v>
      </c>
      <c r="C85" s="1608" t="s">
        <v>100</v>
      </c>
      <c r="D85" s="1608">
        <f>Vehi_Fluids!$B$105*Convert!$G$9/1000</f>
        <v>12.579453940316647</v>
      </c>
      <c r="E85" s="1608">
        <f>Vehi_Fluids!$D$105*Convert!$G$9/1000</f>
        <v>11.490165645014203</v>
      </c>
      <c r="F85" s="1608">
        <f>Vehi_Fluids!$F$105*Convert!$G$9/1000</f>
        <v>2.8851984295621493</v>
      </c>
      <c r="G85" s="1644">
        <f>Vehi_Fluids!$G$105*Convert!$G$9/1000</f>
        <v>2.8851984295621493</v>
      </c>
      <c r="H85" s="1608"/>
      <c r="K85" s="1608"/>
      <c r="L85" s="1608"/>
      <c r="M85" s="1608"/>
      <c r="N85" s="1608"/>
      <c r="O85" s="1608"/>
      <c r="P85" s="1608"/>
      <c r="Q85" s="1608"/>
      <c r="R85" s="1608"/>
    </row>
    <row r="86" spans="2:18" x14ac:dyDescent="0.35">
      <c r="B86" s="1643" t="s">
        <v>93</v>
      </c>
      <c r="C86" s="1608" t="s">
        <v>341</v>
      </c>
      <c r="D86" s="1768">
        <f>D87/D82</f>
        <v>561.40671261591751</v>
      </c>
      <c r="E86" s="1768">
        <f>E87/E82</f>
        <v>464.2883741057862</v>
      </c>
      <c r="F86" s="1768">
        <f>F87/F82</f>
        <v>103.16110359316986</v>
      </c>
      <c r="G86" s="1769">
        <f>G87/G82</f>
        <v>126.44883411203119</v>
      </c>
      <c r="H86" s="1768"/>
      <c r="K86" s="1608"/>
      <c r="L86" s="1608"/>
      <c r="M86" s="1608"/>
      <c r="N86" s="1608"/>
      <c r="O86" s="1608"/>
      <c r="P86" s="1608"/>
      <c r="Q86" s="1608"/>
      <c r="R86" s="1608"/>
    </row>
    <row r="87" spans="2:18" x14ac:dyDescent="0.35">
      <c r="B87" s="1643" t="s">
        <v>94</v>
      </c>
      <c r="C87" s="1608" t="s">
        <v>103</v>
      </c>
      <c r="D87" s="1751">
        <f>Vehi_Fluids!$B$124</f>
        <v>819846.13429472921</v>
      </c>
      <c r="E87" s="1751">
        <f>Vehi_Fluids!$D$124</f>
        <v>753091.80724204751</v>
      </c>
      <c r="F87" s="1770">
        <f>Vehi_Fluids!$F$124</f>
        <v>218756.19292206486</v>
      </c>
      <c r="G87" s="1771">
        <f>Vehi_Fluids!$G$124</f>
        <v>218756.19292206486</v>
      </c>
      <c r="H87" s="1770"/>
      <c r="K87" s="1608"/>
      <c r="L87" s="1608"/>
      <c r="M87" s="1608"/>
      <c r="N87" s="1608"/>
      <c r="O87" s="1608"/>
      <c r="P87" s="1608"/>
      <c r="Q87" s="1608"/>
      <c r="R87" s="1608"/>
    </row>
    <row r="88" spans="2:18" x14ac:dyDescent="0.35">
      <c r="B88" s="1643" t="s">
        <v>91</v>
      </c>
      <c r="C88" s="1608" t="s">
        <v>104</v>
      </c>
      <c r="D88" s="1768">
        <f>D84/D83</f>
        <v>4.6978087374752823E-8</v>
      </c>
      <c r="E88" s="1768">
        <f>E84/E83</f>
        <v>3.8632647351338992E-8</v>
      </c>
      <c r="F88" s="1768">
        <f>F84/F83</f>
        <v>1.0600383175615857E-8</v>
      </c>
      <c r="G88" s="1769">
        <f>G84/G83</f>
        <v>9.0953298569628092E-9</v>
      </c>
      <c r="H88" s="1768"/>
      <c r="I88" s="1608"/>
      <c r="K88" s="1608"/>
      <c r="L88" s="1608"/>
      <c r="M88" s="1608"/>
      <c r="N88" s="1608"/>
      <c r="O88" s="1608"/>
      <c r="P88" s="1608"/>
      <c r="Q88" s="1608"/>
      <c r="R88" s="1608"/>
    </row>
    <row r="89" spans="2:18" x14ac:dyDescent="0.35">
      <c r="B89" s="1647" t="s">
        <v>93</v>
      </c>
      <c r="C89" s="1648" t="s">
        <v>105</v>
      </c>
      <c r="D89" s="1772">
        <f>D86/D83</f>
        <v>3.0617229900029861E-3</v>
      </c>
      <c r="E89" s="1772">
        <f>E86/E83</f>
        <v>2.5320723052403493E-3</v>
      </c>
      <c r="F89" s="1772">
        <f>F86/F83</f>
        <v>8.0372269832572438E-4</v>
      </c>
      <c r="G89" s="1773">
        <f>G86/G83</f>
        <v>6.896093220116992E-4</v>
      </c>
      <c r="H89" s="1768"/>
      <c r="I89" s="1608"/>
      <c r="K89" s="1608"/>
      <c r="L89" s="1608"/>
      <c r="M89" s="1608"/>
      <c r="N89" s="1608"/>
      <c r="O89" s="1608"/>
      <c r="P89" s="1608"/>
      <c r="Q89" s="1608"/>
      <c r="R89" s="1608"/>
    </row>
    <row r="93" spans="2:18" x14ac:dyDescent="0.35">
      <c r="E93" s="1622" t="s">
        <v>342</v>
      </c>
    </row>
  </sheetData>
  <mergeCells count="1">
    <mergeCell ref="A1:K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61"/>
  <sheetViews>
    <sheetView workbookViewId="0">
      <selection sqref="A1:AB1"/>
    </sheetView>
  </sheetViews>
  <sheetFormatPr defaultColWidth="8.86328125" defaultRowHeight="13.5" x14ac:dyDescent="0.35"/>
  <cols>
    <col min="1" max="16384" width="8.86328125" style="1622"/>
  </cols>
  <sheetData>
    <row r="1" spans="1:9" ht="17.649999999999999" x14ac:dyDescent="0.5">
      <c r="A1" s="2181" t="s">
        <v>3586</v>
      </c>
      <c r="B1" s="2181"/>
      <c r="C1" s="2181"/>
      <c r="D1" s="2181"/>
      <c r="E1" s="2181"/>
      <c r="F1" s="2181"/>
      <c r="G1" s="2181"/>
      <c r="H1" s="2181"/>
      <c r="I1" s="2181"/>
    </row>
    <row r="3" spans="1:9" s="1764" customFormat="1" ht="13.15" x14ac:dyDescent="0.4">
      <c r="B3" s="1774" t="s">
        <v>343</v>
      </c>
      <c r="C3" s="1775"/>
      <c r="D3" s="1776"/>
    </row>
    <row r="4" spans="1:9" x14ac:dyDescent="0.35">
      <c r="B4" s="1643"/>
      <c r="C4" s="1608"/>
      <c r="D4" s="1644"/>
      <c r="E4" s="1608"/>
      <c r="F4" s="1608"/>
      <c r="G4" s="1608"/>
      <c r="H4" s="1608"/>
    </row>
    <row r="5" spans="1:9" x14ac:dyDescent="0.35">
      <c r="B5" s="1658" t="s">
        <v>344</v>
      </c>
      <c r="C5" s="1608"/>
      <c r="D5" s="1644"/>
      <c r="E5" s="1608"/>
      <c r="F5" s="1608"/>
      <c r="G5" s="1608"/>
      <c r="H5" s="1608"/>
    </row>
    <row r="6" spans="1:9" x14ac:dyDescent="0.35">
      <c r="B6" s="1658" t="s">
        <v>345</v>
      </c>
      <c r="C6" s="1608"/>
      <c r="D6" s="1644"/>
      <c r="E6" s="1608"/>
      <c r="F6" s="1608"/>
      <c r="G6" s="1608"/>
      <c r="H6" s="1608"/>
    </row>
    <row r="7" spans="1:9" x14ac:dyDescent="0.35">
      <c r="B7" s="1643"/>
      <c r="C7" s="1608"/>
      <c r="D7" s="1644"/>
      <c r="E7" s="1608"/>
      <c r="F7" s="1608"/>
      <c r="G7" s="1608"/>
      <c r="H7" s="1608"/>
    </row>
    <row r="8" spans="1:9" x14ac:dyDescent="0.35">
      <c r="B8" s="1643" t="s">
        <v>346</v>
      </c>
      <c r="C8" s="1608">
        <v>11800</v>
      </c>
      <c r="D8" s="1644" t="s">
        <v>260</v>
      </c>
      <c r="E8" s="1608"/>
      <c r="F8" s="1608"/>
      <c r="G8" s="1608"/>
      <c r="H8" s="1608"/>
    </row>
    <row r="9" spans="1:9" x14ac:dyDescent="0.35">
      <c r="B9" s="1643" t="s">
        <v>347</v>
      </c>
      <c r="C9" s="1608">
        <v>4000</v>
      </c>
      <c r="D9" s="1644" t="s">
        <v>260</v>
      </c>
      <c r="E9" s="1608"/>
      <c r="F9" s="1608"/>
      <c r="G9" s="1608"/>
      <c r="H9" s="1608"/>
    </row>
    <row r="10" spans="1:9" x14ac:dyDescent="0.35">
      <c r="B10" s="1647" t="s">
        <v>347</v>
      </c>
      <c r="C10" s="1648">
        <v>4000</v>
      </c>
      <c r="D10" s="1649" t="s">
        <v>348</v>
      </c>
      <c r="E10" s="1608"/>
      <c r="F10" s="1608"/>
      <c r="G10" s="1608"/>
      <c r="H10" s="1608"/>
    </row>
    <row r="11" spans="1:9" x14ac:dyDescent="0.35">
      <c r="B11" s="1608"/>
      <c r="C11" s="1608"/>
      <c r="D11" s="1608"/>
      <c r="E11" s="1608"/>
      <c r="F11" s="1608"/>
      <c r="G11" s="1608"/>
      <c r="H11" s="1608"/>
    </row>
    <row r="12" spans="1:9" s="1764" customFormat="1" ht="13.15" x14ac:dyDescent="0.4">
      <c r="B12" s="1774" t="s">
        <v>1065</v>
      </c>
      <c r="C12" s="1775"/>
      <c r="D12" s="1775"/>
      <c r="E12" s="1775" t="s">
        <v>1066</v>
      </c>
      <c r="F12" s="1775"/>
      <c r="G12" s="1775"/>
      <c r="H12" s="1776"/>
    </row>
    <row r="13" spans="1:9" x14ac:dyDescent="0.35">
      <c r="B13" s="1643"/>
      <c r="C13" s="1608"/>
      <c r="D13" s="1608"/>
      <c r="E13" s="1608"/>
      <c r="F13" s="1608"/>
      <c r="G13" s="1608"/>
      <c r="H13" s="1644"/>
    </row>
    <row r="14" spans="1:9" x14ac:dyDescent="0.35">
      <c r="B14" s="1643" t="s">
        <v>349</v>
      </c>
      <c r="C14" s="1608"/>
      <c r="D14" s="1608"/>
      <c r="E14" s="1608" t="s">
        <v>350</v>
      </c>
      <c r="F14" s="1608"/>
      <c r="G14" s="1608"/>
      <c r="H14" s="1644"/>
    </row>
    <row r="15" spans="1:9" x14ac:dyDescent="0.35">
      <c r="B15" s="1643" t="s">
        <v>350</v>
      </c>
      <c r="C15" s="1608"/>
      <c r="D15" s="1608"/>
      <c r="E15" s="1608" t="s">
        <v>351</v>
      </c>
      <c r="F15" s="1661">
        <v>204.14168237108103</v>
      </c>
      <c r="G15" s="1608" t="s">
        <v>352</v>
      </c>
      <c r="H15" s="1606">
        <v>56.68160495733914</v>
      </c>
    </row>
    <row r="16" spans="1:9" x14ac:dyDescent="0.35">
      <c r="B16" s="1643"/>
      <c r="C16" s="1608"/>
      <c r="D16" s="1608"/>
      <c r="E16" s="1608" t="s">
        <v>351</v>
      </c>
      <c r="F16" s="1777">
        <f>F15/0.75*0.2</f>
        <v>54.43778196562161</v>
      </c>
      <c r="G16" s="1608" t="s">
        <v>352</v>
      </c>
      <c r="H16" s="1778">
        <f>H15/0.75*0.2</f>
        <v>15.115094655290438</v>
      </c>
    </row>
    <row r="17" spans="2:8" x14ac:dyDescent="0.35">
      <c r="B17" s="1647"/>
      <c r="C17" s="1648"/>
      <c r="D17" s="1648"/>
      <c r="E17" s="1648"/>
      <c r="F17" s="1648"/>
      <c r="G17" s="1648"/>
      <c r="H17" s="1707">
        <v>37.116060643453828</v>
      </c>
    </row>
    <row r="18" spans="2:8" x14ac:dyDescent="0.35">
      <c r="B18" s="1608" t="s">
        <v>353</v>
      </c>
      <c r="C18" s="1608"/>
      <c r="D18" s="1608"/>
      <c r="E18" s="1742" t="s">
        <v>354</v>
      </c>
      <c r="F18" s="1737" t="s">
        <v>355</v>
      </c>
      <c r="G18" s="1738" t="e">
        <f>NA()</f>
        <v>#N/A</v>
      </c>
      <c r="H18" s="1608"/>
    </row>
    <row r="19" spans="2:8" x14ac:dyDescent="0.35">
      <c r="B19" s="1608" t="s">
        <v>356</v>
      </c>
      <c r="C19" s="1608"/>
      <c r="D19" s="1608"/>
      <c r="E19" s="1643" t="s">
        <v>357</v>
      </c>
      <c r="F19" s="1608" t="s">
        <v>355</v>
      </c>
      <c r="G19" s="1779">
        <v>1684.8193598191217</v>
      </c>
      <c r="H19" s="1608"/>
    </row>
    <row r="20" spans="2:8" x14ac:dyDescent="0.35">
      <c r="B20" s="1608"/>
      <c r="C20" s="1608"/>
      <c r="D20" s="1608"/>
      <c r="E20" s="1643" t="s">
        <v>358</v>
      </c>
      <c r="F20" s="1608" t="s">
        <v>355</v>
      </c>
      <c r="G20" s="1745">
        <v>15.356381913943803</v>
      </c>
      <c r="H20" s="1608"/>
    </row>
    <row r="21" spans="2:8" x14ac:dyDescent="0.35">
      <c r="B21" s="1608"/>
      <c r="C21" s="1608"/>
      <c r="D21" s="1608"/>
      <c r="E21" s="1643" t="str">
        <f>E20</f>
        <v xml:space="preserve">   Heavy truck</v>
      </c>
      <c r="F21" s="1608" t="s">
        <v>359</v>
      </c>
      <c r="G21" s="1745">
        <v>6.5734769351379487</v>
      </c>
      <c r="H21" s="1608"/>
    </row>
    <row r="22" spans="2:8" x14ac:dyDescent="0.35">
      <c r="B22" s="1608"/>
      <c r="C22" s="1608"/>
      <c r="D22" s="1608"/>
      <c r="E22" s="1643" t="s">
        <v>360</v>
      </c>
      <c r="F22" s="1608" t="s">
        <v>355</v>
      </c>
      <c r="G22" s="1745">
        <v>9.5806790099299466</v>
      </c>
      <c r="H22" s="1608"/>
    </row>
    <row r="23" spans="2:8" x14ac:dyDescent="0.35">
      <c r="B23" s="1608"/>
      <c r="C23" s="1608"/>
      <c r="D23" s="1608"/>
      <c r="E23" s="1643" t="str">
        <f>E22</f>
        <v xml:space="preserve">   Medium truck</v>
      </c>
      <c r="F23" s="1608" t="s">
        <v>359</v>
      </c>
      <c r="G23" s="1745">
        <v>3.9471856730003476</v>
      </c>
      <c r="H23" s="1608"/>
    </row>
    <row r="24" spans="2:8" x14ac:dyDescent="0.35">
      <c r="B24" s="1608"/>
      <c r="C24" s="1608"/>
      <c r="D24" s="1608"/>
      <c r="E24" s="1643" t="s">
        <v>361</v>
      </c>
      <c r="F24" s="1608" t="s">
        <v>355</v>
      </c>
      <c r="G24" s="1745">
        <v>3.0208221379149784</v>
      </c>
      <c r="H24" s="1608"/>
    </row>
    <row r="25" spans="2:8" x14ac:dyDescent="0.35">
      <c r="C25" s="1608"/>
      <c r="D25" s="1608"/>
      <c r="E25" s="1647" t="str">
        <f>E24</f>
        <v xml:space="preserve">   Delivery van</v>
      </c>
      <c r="F25" s="1648" t="s">
        <v>359</v>
      </c>
      <c r="G25" s="1755">
        <v>1.3449326563569486</v>
      </c>
      <c r="H25" s="1608"/>
    </row>
    <row r="26" spans="2:8" x14ac:dyDescent="0.35">
      <c r="B26" s="1608"/>
      <c r="C26" s="1608"/>
      <c r="D26" s="1608"/>
      <c r="E26" s="1608"/>
      <c r="F26" s="1608"/>
      <c r="G26" s="1608"/>
      <c r="H26" s="1608"/>
    </row>
    <row r="27" spans="2:8" s="1764" customFormat="1" ht="13.15" x14ac:dyDescent="0.4">
      <c r="B27" s="1774" t="s">
        <v>1067</v>
      </c>
      <c r="C27" s="1775"/>
      <c r="D27" s="1775"/>
      <c r="E27" s="1775"/>
      <c r="F27" s="1775" t="s">
        <v>1068</v>
      </c>
      <c r="G27" s="1775"/>
      <c r="H27" s="1776"/>
    </row>
    <row r="28" spans="2:8" x14ac:dyDescent="0.35">
      <c r="B28" s="1643"/>
      <c r="C28" s="1608"/>
      <c r="D28" s="1608"/>
      <c r="E28" s="1608"/>
      <c r="F28" s="1608"/>
      <c r="G28" s="1608"/>
      <c r="H28" s="1644"/>
    </row>
    <row r="29" spans="2:8" x14ac:dyDescent="0.35">
      <c r="B29" s="1643" t="s">
        <v>349</v>
      </c>
      <c r="C29" s="1608"/>
      <c r="D29" s="1608"/>
      <c r="E29" s="1608" t="str">
        <f>E14</f>
        <v>Assumptions informed by UIC data</v>
      </c>
      <c r="F29" s="1608"/>
      <c r="G29" s="1608"/>
      <c r="H29" s="1644"/>
    </row>
    <row r="30" spans="2:8" x14ac:dyDescent="0.35">
      <c r="B30" s="1647" t="s">
        <v>350</v>
      </c>
      <c r="C30" s="1648"/>
      <c r="D30" s="1648"/>
      <c r="E30" s="1648" t="s">
        <v>351</v>
      </c>
      <c r="F30" s="1762">
        <v>2813.4158087756191</v>
      </c>
      <c r="G30" s="1648" t="s">
        <v>352</v>
      </c>
      <c r="H30" s="1707">
        <v>654.43228966205663</v>
      </c>
    </row>
    <row r="31" spans="2:8" x14ac:dyDescent="0.35">
      <c r="B31" s="1608"/>
      <c r="C31" s="1608"/>
      <c r="D31" s="1608"/>
      <c r="E31" s="1608"/>
      <c r="F31" s="1608"/>
      <c r="G31" s="1608"/>
      <c r="H31" s="1608"/>
    </row>
    <row r="32" spans="2:8" x14ac:dyDescent="0.35">
      <c r="B32" s="1608"/>
      <c r="C32" s="1608"/>
      <c r="D32" s="1608"/>
      <c r="E32" s="1742" t="s">
        <v>354</v>
      </c>
      <c r="F32" s="1737" t="s">
        <v>355</v>
      </c>
      <c r="G32" s="1738" t="e">
        <f>NA()</f>
        <v>#N/A</v>
      </c>
      <c r="H32" s="1608"/>
    </row>
    <row r="33" spans="2:8" x14ac:dyDescent="0.35">
      <c r="B33" s="1608"/>
      <c r="C33" s="1608"/>
      <c r="D33" s="1608"/>
      <c r="E33" s="1643" t="s">
        <v>357</v>
      </c>
      <c r="F33" s="1608" t="s">
        <v>355</v>
      </c>
      <c r="G33" s="1606">
        <v>20496.072289815271</v>
      </c>
      <c r="H33" s="1608"/>
    </row>
    <row r="34" spans="2:8" x14ac:dyDescent="0.35">
      <c r="B34" s="1608"/>
      <c r="C34" s="1608"/>
      <c r="D34" s="1608"/>
      <c r="E34" s="1643" t="s">
        <v>358</v>
      </c>
      <c r="F34" s="1608" t="s">
        <v>355</v>
      </c>
      <c r="G34" s="1779">
        <v>17.244796517074864</v>
      </c>
      <c r="H34" s="1608"/>
    </row>
    <row r="35" spans="2:8" x14ac:dyDescent="0.35">
      <c r="B35" s="1608"/>
      <c r="C35" s="1608"/>
      <c r="D35" s="1608"/>
      <c r="E35" s="1643" t="str">
        <f>E34</f>
        <v xml:space="preserve">   Heavy truck</v>
      </c>
      <c r="F35" s="1608" t="s">
        <v>359</v>
      </c>
      <c r="G35" s="1779">
        <v>17.244796517074864</v>
      </c>
      <c r="H35" s="1608"/>
    </row>
    <row r="36" spans="2:8" x14ac:dyDescent="0.35">
      <c r="B36" s="1608"/>
      <c r="C36" s="1608"/>
      <c r="D36" s="1608"/>
      <c r="E36" s="1643" t="s">
        <v>360</v>
      </c>
      <c r="F36" s="1608" t="s">
        <v>355</v>
      </c>
      <c r="G36" s="1779">
        <v>7.6125909376422083</v>
      </c>
      <c r="H36" s="1608"/>
    </row>
    <row r="37" spans="2:8" x14ac:dyDescent="0.35">
      <c r="B37" s="1608"/>
      <c r="C37" s="1608"/>
      <c r="D37" s="1608"/>
      <c r="E37" s="1643" t="str">
        <f>E36</f>
        <v xml:space="preserve">   Medium truck</v>
      </c>
      <c r="F37" s="1608" t="s">
        <v>359</v>
      </c>
      <c r="G37" s="1779">
        <v>7.6125909376422083</v>
      </c>
      <c r="H37" s="1608"/>
    </row>
    <row r="38" spans="2:8" x14ac:dyDescent="0.35">
      <c r="B38" s="1608"/>
      <c r="C38" s="1608"/>
      <c r="D38" s="1608"/>
      <c r="E38" s="1643" t="s">
        <v>361</v>
      </c>
      <c r="F38" s="1608" t="s">
        <v>355</v>
      </c>
      <c r="G38" s="1779">
        <v>0.69245735762500715</v>
      </c>
      <c r="H38" s="1608"/>
    </row>
    <row r="39" spans="2:8" x14ac:dyDescent="0.35">
      <c r="B39" s="1608"/>
      <c r="C39" s="1608"/>
      <c r="D39" s="1608"/>
      <c r="E39" s="1647" t="str">
        <f>E38</f>
        <v xml:space="preserve">   Delivery van</v>
      </c>
      <c r="F39" s="1648" t="s">
        <v>359</v>
      </c>
      <c r="G39" s="1780">
        <v>0.69245735762500715</v>
      </c>
      <c r="H39" s="1608"/>
    </row>
    <row r="40" spans="2:8" x14ac:dyDescent="0.35">
      <c r="B40" s="1608"/>
      <c r="C40" s="1608"/>
      <c r="D40" s="1608"/>
      <c r="E40" s="1608"/>
      <c r="F40" s="1608"/>
      <c r="G40" s="1669"/>
      <c r="H40" s="1608"/>
    </row>
    <row r="41" spans="2:8" s="1764" customFormat="1" ht="13.15" x14ac:dyDescent="0.4">
      <c r="B41" s="1774" t="s">
        <v>1065</v>
      </c>
      <c r="C41" s="1775"/>
      <c r="D41" s="1775"/>
      <c r="E41" s="1776" t="s">
        <v>1069</v>
      </c>
    </row>
    <row r="42" spans="2:8" x14ac:dyDescent="0.35">
      <c r="B42" s="1643"/>
      <c r="C42" s="1608"/>
      <c r="D42" s="1608"/>
      <c r="E42" s="1644"/>
      <c r="F42" s="1608"/>
      <c r="G42" s="1608"/>
      <c r="H42" s="1608"/>
    </row>
    <row r="43" spans="2:8" x14ac:dyDescent="0.35">
      <c r="B43" s="1781" t="s">
        <v>362</v>
      </c>
      <c r="C43" s="1648"/>
      <c r="D43" s="1648">
        <v>12.9</v>
      </c>
      <c r="E43" s="1649" t="s">
        <v>363</v>
      </c>
      <c r="F43" s="1608"/>
      <c r="G43" s="1608"/>
      <c r="H43" s="1608"/>
    </row>
    <row r="44" spans="2:8" x14ac:dyDescent="0.35">
      <c r="B44" s="1608"/>
      <c r="C44" s="1608"/>
      <c r="D44" s="1608"/>
      <c r="E44" s="1608"/>
      <c r="F44" s="1608"/>
      <c r="G44" s="1608"/>
      <c r="H44" s="1608"/>
    </row>
    <row r="45" spans="2:8" x14ac:dyDescent="0.35">
      <c r="B45" s="1608" t="s">
        <v>353</v>
      </c>
      <c r="C45" s="1608"/>
      <c r="D45" s="1608"/>
      <c r="E45" s="1608"/>
      <c r="F45" s="1608"/>
      <c r="G45" s="1608"/>
      <c r="H45" s="1608"/>
    </row>
    <row r="46" spans="2:8" x14ac:dyDescent="0.35">
      <c r="B46" s="1608" t="s">
        <v>356</v>
      </c>
      <c r="C46" s="1608"/>
      <c r="D46" s="1608"/>
      <c r="E46" s="1608"/>
      <c r="F46" s="1608"/>
      <c r="G46" s="1608"/>
      <c r="H46" s="1608"/>
    </row>
    <row r="47" spans="2:8" x14ac:dyDescent="0.35">
      <c r="B47" s="1608"/>
      <c r="C47" s="1608"/>
      <c r="D47" s="1608"/>
      <c r="E47" s="1608"/>
      <c r="F47" s="1608"/>
      <c r="G47" s="1608"/>
      <c r="H47" s="1608"/>
    </row>
    <row r="48" spans="2:8" s="1764" customFormat="1" ht="13.15" x14ac:dyDescent="0.4">
      <c r="B48" s="1774" t="s">
        <v>364</v>
      </c>
      <c r="C48" s="1775"/>
      <c r="D48" s="1775"/>
      <c r="E48" s="1776" t="s">
        <v>365</v>
      </c>
    </row>
    <row r="49" spans="2:8" x14ac:dyDescent="0.35">
      <c r="B49" s="1643"/>
      <c r="C49" s="1608"/>
      <c r="D49" s="1608"/>
      <c r="E49" s="1626"/>
      <c r="F49" s="1608"/>
      <c r="G49" s="1608"/>
      <c r="H49" s="1608"/>
    </row>
    <row r="50" spans="2:8" x14ac:dyDescent="0.35">
      <c r="B50" s="1643" t="s">
        <v>366</v>
      </c>
      <c r="C50" s="1608"/>
      <c r="D50" s="1608"/>
      <c r="E50" s="1644">
        <f>Convert!$F$19*1000/Convert!$C$17*WTW_Fuel_properties!$C$96/WTW_Fuel_properties!D96</f>
        <v>86.003378097902967</v>
      </c>
      <c r="F50" s="1608"/>
      <c r="G50" s="1608"/>
      <c r="H50" s="1608"/>
    </row>
    <row r="51" spans="2:8" x14ac:dyDescent="0.35">
      <c r="B51" s="1643" t="s">
        <v>367</v>
      </c>
      <c r="C51" s="1608"/>
      <c r="D51" s="1608"/>
      <c r="E51" s="1644">
        <f>Convert!$F$18*1000/Convert!$C$17*WTW_Fuel_properties!$C$96/WTW_Fuel_properties!$D$96</f>
        <v>89.090678850135376</v>
      </c>
      <c r="F51" s="1608"/>
      <c r="G51" s="1608"/>
      <c r="H51" s="1608"/>
    </row>
    <row r="52" spans="2:8" x14ac:dyDescent="0.35">
      <c r="B52" s="1782" t="s">
        <v>368</v>
      </c>
      <c r="C52" s="1783"/>
      <c r="D52" s="1608"/>
      <c r="E52" s="1644">
        <f>Convert!$F$26*1000/Convert!$C$17*WTW_Fuel_properties!C96/WTW_Fuel_properties!D96</f>
        <v>93.060065531577067</v>
      </c>
      <c r="F52" s="1608"/>
      <c r="G52" s="1608"/>
      <c r="H52" s="1608"/>
    </row>
    <row r="53" spans="2:8" x14ac:dyDescent="0.35">
      <c r="B53" s="1647" t="s">
        <v>369</v>
      </c>
      <c r="C53" s="1648"/>
      <c r="D53" s="1648"/>
      <c r="E53" s="1649">
        <v>143.9</v>
      </c>
      <c r="F53" s="1608"/>
      <c r="G53" s="1608"/>
      <c r="H53" s="1608"/>
    </row>
    <row r="54" spans="2:8" x14ac:dyDescent="0.35">
      <c r="B54" s="1608"/>
      <c r="C54" s="1608"/>
      <c r="D54" s="1608"/>
      <c r="E54" s="1608"/>
      <c r="F54" s="1608"/>
      <c r="G54" s="1608"/>
      <c r="H54" s="1608"/>
    </row>
    <row r="55" spans="2:8" x14ac:dyDescent="0.35">
      <c r="B55" s="1608" t="s">
        <v>353</v>
      </c>
      <c r="C55" s="1608"/>
      <c r="D55" s="1608"/>
      <c r="E55" s="1608"/>
      <c r="F55" s="1608"/>
      <c r="G55" s="1608"/>
      <c r="H55" s="1608"/>
    </row>
    <row r="56" spans="2:8" x14ac:dyDescent="0.35">
      <c r="B56" s="1608" t="s">
        <v>370</v>
      </c>
      <c r="C56" s="1608"/>
      <c r="D56" s="1608"/>
      <c r="E56" s="1608"/>
      <c r="F56" s="1608"/>
      <c r="G56" s="1608"/>
      <c r="H56" s="1608"/>
    </row>
    <row r="57" spans="2:8" x14ac:dyDescent="0.35">
      <c r="B57" s="1608"/>
      <c r="C57" s="1608"/>
      <c r="D57" s="1608"/>
      <c r="E57" s="1608"/>
      <c r="F57" s="1608"/>
      <c r="G57" s="1608"/>
      <c r="H57" s="1608"/>
    </row>
    <row r="58" spans="2:8" x14ac:dyDescent="0.35">
      <c r="B58" s="1608"/>
      <c r="C58" s="1608"/>
      <c r="D58" s="1608"/>
      <c r="E58" s="1608"/>
      <c r="F58" s="1608"/>
      <c r="G58" s="1608"/>
      <c r="H58" s="1608"/>
    </row>
    <row r="59" spans="2:8" x14ac:dyDescent="0.35">
      <c r="B59" s="1608"/>
      <c r="C59" s="1608"/>
      <c r="D59" s="1608"/>
      <c r="E59" s="1608"/>
      <c r="F59" s="1608"/>
      <c r="G59" s="1608"/>
      <c r="H59" s="1608"/>
    </row>
    <row r="60" spans="2:8" x14ac:dyDescent="0.35">
      <c r="B60" s="1608"/>
      <c r="C60" s="1608"/>
      <c r="D60" s="1608"/>
      <c r="E60" s="1608"/>
      <c r="F60" s="1608"/>
      <c r="G60" s="1608"/>
      <c r="H60" s="1608"/>
    </row>
    <row r="61" spans="2:8" x14ac:dyDescent="0.35">
      <c r="B61" s="1608"/>
      <c r="C61" s="1608"/>
      <c r="D61" s="1608"/>
      <c r="E61" s="1608"/>
      <c r="F61" s="1608"/>
      <c r="G61" s="1608"/>
      <c r="H61" s="1608"/>
    </row>
  </sheetData>
  <mergeCells count="1">
    <mergeCell ref="A1:I1"/>
  </mergeCells>
  <hyperlinks>
    <hyperlink ref="B5" r:id="rId1" xr:uid="{00000000-0004-0000-1900-000000000000}"/>
    <hyperlink ref="B6" r:id="rId2" display="Cherry et al., 2009" xr:uid="{00000000-0004-0000-1900-000001000000}"/>
    <hyperlink ref="B43" r:id="rId3" xr:uid="{00000000-0004-0000-1900-000002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AC18"/>
  <sheetViews>
    <sheetView workbookViewId="0">
      <selection sqref="A1:AB1"/>
    </sheetView>
  </sheetViews>
  <sheetFormatPr defaultColWidth="8.86328125" defaultRowHeight="13.5" x14ac:dyDescent="0.35"/>
  <cols>
    <col min="1" max="16384" width="8.86328125" style="1622"/>
  </cols>
  <sheetData>
    <row r="1" spans="2:29" ht="17.649999999999999" x14ac:dyDescent="0.5">
      <c r="B1" s="2181" t="s">
        <v>3587</v>
      </c>
      <c r="C1" s="2181"/>
      <c r="D1" s="2181"/>
      <c r="E1" s="2181"/>
      <c r="F1" s="2181"/>
      <c r="G1" s="2181"/>
      <c r="H1" s="2181"/>
      <c r="I1" s="2181"/>
      <c r="J1" s="2181"/>
      <c r="K1" s="2181"/>
      <c r="L1" s="2181"/>
      <c r="M1" s="2181"/>
      <c r="N1" s="2181"/>
      <c r="O1" s="2181"/>
      <c r="P1" s="2181"/>
      <c r="Q1" s="2181"/>
      <c r="R1" s="2181"/>
      <c r="S1" s="2181"/>
      <c r="T1" s="2181"/>
    </row>
    <row r="3" spans="2:29" x14ac:dyDescent="0.35">
      <c r="B3" s="1742" t="s">
        <v>337</v>
      </c>
      <c r="C3" s="1737"/>
      <c r="D3" s="1737"/>
      <c r="E3" s="1737" t="s">
        <v>48</v>
      </c>
      <c r="F3" s="1737" t="s">
        <v>371</v>
      </c>
      <c r="G3" s="1737" t="s">
        <v>372</v>
      </c>
      <c r="H3" s="1737" t="s">
        <v>373</v>
      </c>
      <c r="I3" s="1737" t="s">
        <v>374</v>
      </c>
      <c r="J3" s="1737" t="s">
        <v>375</v>
      </c>
      <c r="K3" s="1737" t="s">
        <v>376</v>
      </c>
      <c r="L3" s="1737" t="s">
        <v>377</v>
      </c>
      <c r="M3" s="1737" t="s">
        <v>378</v>
      </c>
      <c r="N3" s="1737" t="s">
        <v>379</v>
      </c>
      <c r="O3" s="1737" t="s">
        <v>380</v>
      </c>
      <c r="P3" s="1737" t="s">
        <v>381</v>
      </c>
      <c r="Q3" s="1737" t="s">
        <v>382</v>
      </c>
      <c r="R3" s="1737" t="s">
        <v>383</v>
      </c>
      <c r="S3" s="1737"/>
      <c r="T3" s="1738"/>
      <c r="U3" s="1608"/>
      <c r="V3" s="1608"/>
      <c r="W3" s="1608"/>
      <c r="X3" s="1608"/>
      <c r="Y3" s="1608"/>
      <c r="Z3" s="1608"/>
      <c r="AA3" s="1608"/>
      <c r="AB3" s="1608"/>
      <c r="AC3" s="1608"/>
    </row>
    <row r="4" spans="2:29" x14ac:dyDescent="0.35">
      <c r="B4" s="1643" t="s">
        <v>244</v>
      </c>
      <c r="C4" s="1608"/>
      <c r="D4" s="1608" t="s">
        <v>384</v>
      </c>
      <c r="E4" s="1608"/>
      <c r="F4" s="1608">
        <f>(Tech_Specs_Car!$E$18)/100*Convert!$C$17</f>
        <v>2.2771840000000001</v>
      </c>
      <c r="G4" s="1608">
        <f>Tech_Specs_Car!$E$19/100*Convert!$C$17</f>
        <v>1.6962697142857144</v>
      </c>
      <c r="H4" s="1608">
        <f>Tech_Specs_Car!$E$19/100*Convert!$C$17</f>
        <v>1.6962697142857144</v>
      </c>
      <c r="I4" s="1608"/>
      <c r="J4" s="1608">
        <f>Tech_Specs_Car!$G$18/100*Convert!$C$17</f>
        <v>2.9636879999999999</v>
      </c>
      <c r="K4" s="1608">
        <f>Tech_Specs_Car!$G$19/100*Convert!$C$17</f>
        <v>2.1816949356984479</v>
      </c>
      <c r="L4" s="1608">
        <f>Tech_Specs_Car!$G$19/100*Convert!$C$17</f>
        <v>2.1816949356984479</v>
      </c>
      <c r="M4" s="1608"/>
      <c r="N4" s="1608">
        <f>J4</f>
        <v>2.9636879999999999</v>
      </c>
      <c r="O4" s="1608">
        <f>K4</f>
        <v>2.1816949356984479</v>
      </c>
      <c r="P4" s="1608">
        <f>L4</f>
        <v>2.1816949356984479</v>
      </c>
      <c r="Q4" s="1608"/>
      <c r="R4" s="1608"/>
      <c r="S4" s="1608"/>
      <c r="T4" s="1644"/>
      <c r="U4" s="1608"/>
      <c r="V4" s="1608"/>
      <c r="W4" s="1608"/>
      <c r="X4" s="1608"/>
      <c r="Y4" s="1608"/>
      <c r="Z4" s="1608"/>
      <c r="AA4" s="1608"/>
      <c r="AB4" s="1608"/>
      <c r="AC4" s="1608"/>
    </row>
    <row r="5" spans="2:29" x14ac:dyDescent="0.35">
      <c r="B5" s="1643" t="s">
        <v>385</v>
      </c>
      <c r="C5" s="1608"/>
      <c r="D5" s="1608" t="s">
        <v>384</v>
      </c>
      <c r="E5" s="1608"/>
      <c r="F5" s="1608"/>
      <c r="G5" s="1608"/>
      <c r="H5" s="1608">
        <f>Tech_Specs_Car!$E$12/100*Convert!$B$12</f>
        <v>0.68524649142857141</v>
      </c>
      <c r="I5" s="1608">
        <f>Tech_Specs_Car!$E$12/100*Convert!$B$12</f>
        <v>0.68524649142857141</v>
      </c>
      <c r="J5" s="1608"/>
      <c r="K5" s="1608"/>
      <c r="L5" s="1608">
        <f>Tech_Specs_Car!$G$12/100*Convert!$B$12</f>
        <v>0.72035361099778261</v>
      </c>
      <c r="M5" s="1608">
        <f>Tech_Specs_Car!$G$12/100*Convert!$B$12</f>
        <v>0.72035361099778261</v>
      </c>
      <c r="N5" s="1608"/>
      <c r="O5" s="1608"/>
      <c r="P5" s="1608">
        <f>Tech_Specs_Car!$G$12/100*Convert!$B$12</f>
        <v>0.72035361099778261</v>
      </c>
      <c r="Q5" s="1608">
        <f>Tech_Specs_Car!$G$12/100*Convert!$B$12</f>
        <v>0.72035361099778261</v>
      </c>
      <c r="R5" s="1608">
        <f>Tech_Specs_Car!$G$12/100*Convert!$B$12</f>
        <v>0.72035361099778261</v>
      </c>
      <c r="S5" s="1608"/>
      <c r="T5" s="1644"/>
      <c r="U5" s="1608"/>
      <c r="V5" s="1608"/>
      <c r="W5" s="1608"/>
      <c r="X5" s="1608"/>
      <c r="Y5" s="1608"/>
      <c r="Z5" s="1608"/>
      <c r="AA5" s="1608"/>
      <c r="AB5" s="1608"/>
      <c r="AC5" s="1608"/>
    </row>
    <row r="6" spans="2:29" x14ac:dyDescent="0.35">
      <c r="B6" s="1643"/>
      <c r="C6" s="1608"/>
      <c r="D6" s="1608"/>
      <c r="E6" s="1608"/>
      <c r="F6" s="1608"/>
      <c r="G6" s="1608"/>
      <c r="H6" s="1608"/>
      <c r="I6" s="1608"/>
      <c r="J6" s="1608"/>
      <c r="K6" s="1608"/>
      <c r="L6" s="1608"/>
      <c r="M6" s="1608"/>
      <c r="N6" s="1608"/>
      <c r="O6" s="1608"/>
      <c r="P6" s="1608"/>
      <c r="Q6" s="1608"/>
      <c r="R6" s="1608"/>
      <c r="S6" s="1608"/>
      <c r="T6" s="1644"/>
      <c r="U6" s="1608"/>
      <c r="V6" s="1608"/>
      <c r="W6" s="1608"/>
      <c r="X6" s="1608"/>
      <c r="Y6" s="1608"/>
      <c r="Z6" s="1608"/>
      <c r="AA6" s="1608"/>
      <c r="AB6" s="1608"/>
      <c r="AC6" s="1608"/>
    </row>
    <row r="7" spans="2:29" x14ac:dyDescent="0.35">
      <c r="B7" s="1643" t="s">
        <v>386</v>
      </c>
      <c r="C7" s="1608"/>
      <c r="D7" s="1608"/>
      <c r="E7" s="1608"/>
      <c r="F7" s="1608" t="str">
        <f>WTW_Fuel_properties!A5</f>
        <v>Gasoline (Oil)</v>
      </c>
      <c r="G7" s="1608" t="str">
        <f>F7</f>
        <v>Gasoline (Oil)</v>
      </c>
      <c r="H7" s="1608" t="str">
        <f>G7</f>
        <v>Gasoline (Oil)</v>
      </c>
      <c r="I7" s="1608" t="s">
        <v>387</v>
      </c>
      <c r="J7" s="1608" t="str">
        <f>F7</f>
        <v>Gasoline (Oil)</v>
      </c>
      <c r="K7" s="1608" t="str">
        <f>G7</f>
        <v>Gasoline (Oil)</v>
      </c>
      <c r="L7" s="1608" t="str">
        <f>H7</f>
        <v>Gasoline (Oil)</v>
      </c>
      <c r="M7" s="1608"/>
      <c r="N7" s="1608" t="str">
        <f>J7</f>
        <v>Gasoline (Oil)</v>
      </c>
      <c r="O7" s="1608" t="str">
        <f>K7</f>
        <v>Gasoline (Oil)</v>
      </c>
      <c r="P7" s="1608" t="str">
        <f>L7</f>
        <v>Gasoline (Oil)</v>
      </c>
      <c r="Q7" s="1608"/>
      <c r="R7" s="1608"/>
      <c r="S7" s="1608"/>
      <c r="T7" s="1644"/>
      <c r="U7" s="1608"/>
      <c r="V7" s="1608"/>
      <c r="W7" s="1608"/>
      <c r="X7" s="1608"/>
      <c r="Y7" s="1608"/>
      <c r="Z7" s="1608"/>
      <c r="AA7" s="1608"/>
      <c r="AB7" s="1608"/>
      <c r="AC7" s="1608"/>
    </row>
    <row r="8" spans="2:29" x14ac:dyDescent="0.35">
      <c r="B8" s="1643" t="s">
        <v>388</v>
      </c>
      <c r="C8" s="1608"/>
      <c r="D8" s="1608"/>
      <c r="E8" s="1608"/>
      <c r="F8" s="1608"/>
      <c r="G8" s="1608"/>
      <c r="H8" s="1608" t="s">
        <v>389</v>
      </c>
      <c r="I8" s="1608" t="s">
        <v>389</v>
      </c>
      <c r="J8" s="1608"/>
      <c r="K8" s="1608"/>
      <c r="L8" s="1608" t="s">
        <v>389</v>
      </c>
      <c r="M8" s="1608" t="s">
        <v>389</v>
      </c>
      <c r="N8" s="1608"/>
      <c r="O8" s="1608"/>
      <c r="P8" s="1608" t="s">
        <v>389</v>
      </c>
      <c r="Q8" s="1608" t="s">
        <v>389</v>
      </c>
      <c r="R8" s="1608" t="s">
        <v>389</v>
      </c>
      <c r="S8" s="1608"/>
      <c r="T8" s="1644"/>
      <c r="U8" s="1608"/>
      <c r="V8" s="1608"/>
      <c r="W8" s="1608"/>
      <c r="X8" s="1608"/>
      <c r="Y8" s="1608"/>
      <c r="Z8" s="1608"/>
      <c r="AA8" s="1608"/>
      <c r="AB8" s="1608"/>
      <c r="AC8" s="1608"/>
    </row>
    <row r="9" spans="2:29" x14ac:dyDescent="0.35">
      <c r="B9" s="1643" t="s">
        <v>25</v>
      </c>
      <c r="C9" s="1608"/>
      <c r="D9" s="1608"/>
      <c r="E9" s="1608"/>
      <c r="F9" s="1608"/>
      <c r="G9" s="1608"/>
      <c r="H9" s="1784">
        <v>0.36</v>
      </c>
      <c r="I9" s="1784">
        <v>1</v>
      </c>
      <c r="J9" s="1608"/>
      <c r="K9" s="1608"/>
      <c r="L9" s="1784">
        <v>0.3591431387331247</v>
      </c>
      <c r="M9" s="1784">
        <v>1</v>
      </c>
      <c r="N9" s="1608"/>
      <c r="O9" s="1608"/>
      <c r="P9" s="1608"/>
      <c r="Q9" s="1784">
        <v>1</v>
      </c>
      <c r="R9" s="1784">
        <v>1</v>
      </c>
      <c r="S9" s="1608"/>
      <c r="T9" s="1644"/>
      <c r="U9" s="1608"/>
      <c r="V9" s="1608"/>
      <c r="W9" s="1608"/>
      <c r="X9" s="1608"/>
      <c r="Y9" s="1608"/>
      <c r="Z9" s="1608"/>
      <c r="AA9" s="1608"/>
      <c r="AB9" s="1608"/>
      <c r="AC9" s="1608"/>
    </row>
    <row r="10" spans="2:29" x14ac:dyDescent="0.35">
      <c r="B10" s="1643" t="s">
        <v>390</v>
      </c>
      <c r="C10" s="1608"/>
      <c r="D10" s="1785" t="s">
        <v>3593</v>
      </c>
      <c r="E10" s="1608"/>
      <c r="F10" s="1608">
        <f>IF(F7="",NA(),VLOOKUP(F7,WTW_Fuel_properties!$A$94:$C$109,3,FALSE)/VLOOKUP(F7,WTW_Fuel_properties!$A$94:$D$109,4,FALSE))-1</f>
        <v>0.19415475828519324</v>
      </c>
      <c r="G10" s="1608">
        <f>IF(G7="",NA(),VLOOKUP(G7,WTW_Fuel_properties!$A$94:$C$109,3,FALSE)/VLOOKUP(G7,WTW_Fuel_properties!$A$94:$D$109,4,FALSE))-1</f>
        <v>0.19415475828519324</v>
      </c>
      <c r="H10" s="1608">
        <f>IF(H7="",NA(),VLOOKUP(H7,WTW_Fuel_properties!$A$94:$C$109,3,FALSE)/VLOOKUP(H7,WTW_Fuel_properties!$A$94:$D$109,4,FALSE))-1</f>
        <v>0.19415475828519324</v>
      </c>
      <c r="I10" s="1608"/>
      <c r="J10" s="1608">
        <f>IF(J7="",NA(),VLOOKUP(J7,WTW_Fuel_properties!$A$94:$C$109,3,FALSE)/VLOOKUP(J7,WTW_Fuel_properties!$A$94:$D$109,4,FALSE))-1</f>
        <v>0.19415475828519324</v>
      </c>
      <c r="K10" s="1608">
        <f>IF(K7="",NA(),VLOOKUP(K7,WTW_Fuel_properties!$A$94:$C$109,3,FALSE)/VLOOKUP(K7,WTW_Fuel_properties!$A$94:$D$109,4,FALSE))-1</f>
        <v>0.19415475828519324</v>
      </c>
      <c r="L10" s="1608">
        <f>IF(L7="",NA(),VLOOKUP(L7,WTW_Fuel_properties!$A$94:$C$109,3,FALSE)/VLOOKUP(L7,WTW_Fuel_properties!$A$94:$D$109,4,FALSE))-1</f>
        <v>0.19415475828519324</v>
      </c>
      <c r="M10" s="1608"/>
      <c r="N10" s="1608">
        <f>IF(N7="",NA(),VLOOKUP(N7,WTW_Fuel_properties!$A$94:$C$109,3,FALSE)/VLOOKUP(N7,WTW_Fuel_properties!$A$94:$D$109,4,FALSE))-1</f>
        <v>0.19415475828519324</v>
      </c>
      <c r="O10" s="1608">
        <f>IF(O7="",NA(),VLOOKUP(O7,WTW_Fuel_properties!$A$94:$C$109,3,FALSE)/VLOOKUP(O7,WTW_Fuel_properties!$A$94:$D$109,4,FALSE))-1</f>
        <v>0.19415475828519324</v>
      </c>
      <c r="P10" s="1608">
        <f>IF(P7="",NA(),VLOOKUP(P7,WTW_Fuel_properties!$A$94:$C$109,3,FALSE)/VLOOKUP(P7,WTW_Fuel_properties!$A$94:$D$109,4,FALSE))-1</f>
        <v>0.19415475828519324</v>
      </c>
      <c r="Q10" s="1608"/>
      <c r="R10" s="1608"/>
      <c r="S10" s="1608"/>
      <c r="T10" s="1644"/>
      <c r="U10" s="1608"/>
      <c r="V10" s="1608"/>
      <c r="W10" s="1608"/>
      <c r="X10" s="1608"/>
      <c r="Y10" s="1608"/>
      <c r="Z10" s="1608"/>
      <c r="AA10" s="1608"/>
      <c r="AB10" s="1608"/>
      <c r="AC10" s="1608"/>
    </row>
    <row r="11" spans="2:29" x14ac:dyDescent="0.35">
      <c r="B11" s="1643" t="s">
        <v>391</v>
      </c>
      <c r="C11" s="1608"/>
      <c r="D11" s="1785" t="s">
        <v>3593</v>
      </c>
      <c r="E11" s="1608"/>
      <c r="F11" s="1608"/>
      <c r="G11" s="1608"/>
      <c r="H11" s="1608">
        <f>$T$11</f>
        <v>1.4509817256451867</v>
      </c>
      <c r="I11" s="1608">
        <f>$T$11</f>
        <v>1.4509817256451867</v>
      </c>
      <c r="J11" s="1608"/>
      <c r="K11" s="1608"/>
      <c r="L11" s="1608">
        <f>$T$11</f>
        <v>1.4509817256451867</v>
      </c>
      <c r="M11" s="1608">
        <f>$T$11</f>
        <v>1.4509817256451867</v>
      </c>
      <c r="N11" s="1608"/>
      <c r="O11" s="1608"/>
      <c r="P11" s="1608">
        <f>$T$11</f>
        <v>1.4509817256451867</v>
      </c>
      <c r="Q11" s="1608">
        <f>$T$11</f>
        <v>1.4509817256451867</v>
      </c>
      <c r="R11" s="1608">
        <f>$T$12</f>
        <v>5.1524710830704645E-2</v>
      </c>
      <c r="S11" s="1608"/>
      <c r="T11" s="1644">
        <f>(GPG!N5*WTW_Fuel_properties!$I$47+GPG!N6*WTW_Fuel_properties!$I$48+GPG!N7*WTW_Fuel_properties!$I$49+GPG!N8*WTW_Fuel_properties!$I$50+GPG!N9*WTW_Fuel_properties!$I$51+GPG!N10*WTW_Fuel_properties!$I$52)-1</f>
        <v>1.4509817256451867</v>
      </c>
      <c r="U11" s="1608"/>
      <c r="V11" s="1608"/>
      <c r="W11" s="1608"/>
      <c r="X11" s="1608"/>
      <c r="Y11" s="1608"/>
      <c r="Z11" s="1608"/>
      <c r="AA11" s="1608"/>
      <c r="AB11" s="1608"/>
      <c r="AC11" s="1608"/>
    </row>
    <row r="12" spans="2:29" x14ac:dyDescent="0.35">
      <c r="B12" s="1643" t="s">
        <v>392</v>
      </c>
      <c r="C12" s="1608"/>
      <c r="D12" s="1608" t="s">
        <v>384</v>
      </c>
      <c r="E12" s="1608"/>
      <c r="F12" s="1608">
        <f t="shared" ref="F12:R12" si="0">(F4*(1-F9)*(1+F10)+F9*F5*(1+F11))</f>
        <v>2.7193101090909098</v>
      </c>
      <c r="G12" s="1608">
        <f t="shared" si="0"/>
        <v>2.0256085506493511</v>
      </c>
      <c r="H12" s="1608">
        <f t="shared" si="0"/>
        <v>1.9010190585149922</v>
      </c>
      <c r="I12" s="1608">
        <f t="shared" si="0"/>
        <v>1.6795266280539096</v>
      </c>
      <c r="J12" s="1608">
        <f t="shared" si="0"/>
        <v>3.5391021272727277</v>
      </c>
      <c r="K12" s="1608">
        <f t="shared" si="0"/>
        <v>2.6052813885910102</v>
      </c>
      <c r="L12" s="1608">
        <f t="shared" si="0"/>
        <v>2.3037060749930558</v>
      </c>
      <c r="M12" s="1608">
        <f t="shared" si="0"/>
        <v>1.7655735365580867</v>
      </c>
      <c r="N12" s="1608">
        <f t="shared" si="0"/>
        <v>3.5391021272727277</v>
      </c>
      <c r="O12" s="1608">
        <f t="shared" si="0"/>
        <v>2.6052813885910102</v>
      </c>
      <c r="P12" s="1608">
        <f t="shared" si="0"/>
        <v>2.6052813885910102</v>
      </c>
      <c r="Q12" s="1608">
        <f t="shared" si="0"/>
        <v>1.7655735365580867</v>
      </c>
      <c r="R12" s="1608">
        <f t="shared" si="0"/>
        <v>0.75746962250029726</v>
      </c>
      <c r="S12" s="1608"/>
      <c r="T12" s="1644">
        <f>WTW_Fuel_properties!$I$52-1</f>
        <v>5.1524710830704645E-2</v>
      </c>
      <c r="U12" s="1608" t="s">
        <v>393</v>
      </c>
      <c r="V12" s="1608" t="s">
        <v>394</v>
      </c>
      <c r="W12" s="1608"/>
      <c r="X12" s="1608"/>
      <c r="Y12" s="1608"/>
      <c r="Z12" s="1608"/>
      <c r="AA12" s="1608"/>
      <c r="AB12" s="1608"/>
      <c r="AC12" s="1608"/>
    </row>
    <row r="13" spans="2:29" x14ac:dyDescent="0.35">
      <c r="B13" s="1643" t="s">
        <v>395</v>
      </c>
      <c r="C13" s="1608"/>
      <c r="D13" s="1608" t="s">
        <v>365</v>
      </c>
      <c r="E13" s="1608"/>
      <c r="F13" s="1608">
        <f>IF(F$7="",NA(),VLOOKUP(F$7,WTW_Fuel_properties!$A$94:$C$109,3,FALSE))/Convert!$C$17*1000</f>
        <v>82.754924749163877</v>
      </c>
      <c r="G13" s="1608">
        <f>IF(G$7="",NA(),VLOOKUP(G$7,WTW_Fuel_properties!$A$94:$C$109,3,FALSE))/Convert!$C$17*1000</f>
        <v>82.754924749163877</v>
      </c>
      <c r="H13" s="1608">
        <f>IF(H$7="",NA(),VLOOKUP(H$7,WTW_Fuel_properties!$A$94:$C$109,3,FALSE))/Convert!$C$17*1000</f>
        <v>82.754924749163877</v>
      </c>
      <c r="I13" s="1608" t="e">
        <f>IF(I$7="",NA(),VLOOKUP(I$7,WTW_Fuel_properties!$A$94:$C$109,3,FALSE))/Convert!$C$17*1000</f>
        <v>#N/A</v>
      </c>
      <c r="J13" s="1608">
        <f>IF(J$7="",NA(),VLOOKUP(J$7,WTW_Fuel_properties!$A$94:$C$109,3,FALSE))/Convert!$C$17*1000</f>
        <v>82.754924749163877</v>
      </c>
      <c r="K13" s="1608">
        <f>IF(K$7="",NA(),VLOOKUP(K$7,WTW_Fuel_properties!$A$94:$C$109,3,FALSE))/Convert!$C$17*1000</f>
        <v>82.754924749163877</v>
      </c>
      <c r="L13" s="1608">
        <f>IF(L$7="",NA(),VLOOKUP(L$7,WTW_Fuel_properties!$A$94:$C$109,3,FALSE))/Convert!$C$17*1000</f>
        <v>82.754924749163877</v>
      </c>
      <c r="M13" s="1608" t="e">
        <f>IF(M$7="",NA(),VLOOKUP(M$7,WTW_Fuel_properties!$A$94:$C$109,3,FALSE))/Convert!$C$17*1000</f>
        <v>#N/A</v>
      </c>
      <c r="N13" s="1608">
        <f>IF(N$7="",NA(),VLOOKUP(N$7,WTW_Fuel_properties!$A$94:$C$109,3,FALSE))/Convert!$C$17*1000</f>
        <v>82.754924749163877</v>
      </c>
      <c r="O13" s="1608">
        <f>IF(O$7="",NA(),VLOOKUP(O$7,WTW_Fuel_properties!$A$94:$C$109,3,FALSE))/Convert!$C$17*1000</f>
        <v>82.754924749163877</v>
      </c>
      <c r="P13" s="1608">
        <f>IF(P$7="",NA(),VLOOKUP(P$7,WTW_Fuel_properties!$A$94:$C$109,3,FALSE))/Convert!$C$17*1000</f>
        <v>82.754924749163877</v>
      </c>
      <c r="Q13" s="1608" t="e">
        <f>IF(Q$7="",NA(),VLOOKUP(Q$7,WTW_Fuel_properties!$A$94:$C$109,3,FALSE))/Convert!$C$17*1000</f>
        <v>#N/A</v>
      </c>
      <c r="R13" s="1608" t="e">
        <f>IF(R$7="",NA(),VLOOKUP(R$7,WTW_Fuel_properties!$A$94:$C$109,3,FALSE))/Convert!$C$17*1000</f>
        <v>#N/A</v>
      </c>
      <c r="S13" s="1608"/>
      <c r="T13" s="1644">
        <f>(GPG!N5*WTW_Fuel_properties!$E$47+GPG!N6*WTW_Fuel_properties!$E$48+GPG!N7*WTW_Fuel_properties!$E$49+GPG!N8*WTW_Fuel_properties!$E$50+GPG!N9*WTW_Fuel_properties!$E$51+GPG!N10*WTW_Fuel_properties!$E$52)</f>
        <v>563.72057319937221</v>
      </c>
      <c r="U13" s="1608"/>
      <c r="V13" s="1608"/>
      <c r="W13" s="1608"/>
      <c r="X13" s="1608"/>
      <c r="Y13" s="1608"/>
      <c r="Z13" s="1608"/>
      <c r="AA13" s="1608"/>
      <c r="AB13" s="1608"/>
      <c r="AC13" s="1608"/>
    </row>
    <row r="14" spans="2:29" x14ac:dyDescent="0.35">
      <c r="B14" s="1643" t="s">
        <v>396</v>
      </c>
      <c r="C14" s="1608"/>
      <c r="D14" s="1608" t="s">
        <v>365</v>
      </c>
      <c r="E14" s="1608"/>
      <c r="F14" s="1608">
        <f>$T$13/Convert!$B$12</f>
        <v>156.58904811093672</v>
      </c>
      <c r="G14" s="1608">
        <f>$T$13/Convert!$B$12</f>
        <v>156.58904811093672</v>
      </c>
      <c r="H14" s="1608">
        <f>$T$13/Convert!$B$12</f>
        <v>156.58904811093672</v>
      </c>
      <c r="I14" s="1608">
        <f>$T$13/Convert!$B$12</f>
        <v>156.58904811093672</v>
      </c>
      <c r="J14" s="1608">
        <f>$T$13/Convert!$B$12</f>
        <v>156.58904811093672</v>
      </c>
      <c r="K14" s="1608">
        <f>$T$13/Convert!$B$12</f>
        <v>156.58904811093672</v>
      </c>
      <c r="L14" s="1608">
        <f>$T$13/Convert!$B$12</f>
        <v>156.58904811093672</v>
      </c>
      <c r="M14" s="1608">
        <f>$T$13/Convert!$B$12</f>
        <v>156.58904811093672</v>
      </c>
      <c r="N14" s="1608">
        <f>$T$13/Convert!$B$12</f>
        <v>156.58904811093672</v>
      </c>
      <c r="O14" s="1608">
        <f>$T$13/Convert!$B$12</f>
        <v>156.58904811093672</v>
      </c>
      <c r="P14" s="1608">
        <f>$T$13/Convert!$B$12</f>
        <v>156.58904811093672</v>
      </c>
      <c r="Q14" s="1608">
        <f>$T$13/Convert!$B$12</f>
        <v>156.58904811093672</v>
      </c>
      <c r="R14" s="1751">
        <f>T14</f>
        <v>0</v>
      </c>
      <c r="S14" s="1608"/>
      <c r="T14" s="1767">
        <f>WTW_Fuel_properties!$E$52</f>
        <v>0</v>
      </c>
      <c r="U14" s="1608"/>
      <c r="V14" s="1608" t="s">
        <v>397</v>
      </c>
      <c r="W14" s="1608"/>
      <c r="X14" s="1608"/>
      <c r="Y14" s="1608"/>
      <c r="Z14" s="1608"/>
      <c r="AA14" s="1608"/>
      <c r="AB14" s="1608"/>
      <c r="AC14" s="1608"/>
    </row>
    <row r="15" spans="2:29" x14ac:dyDescent="0.35">
      <c r="B15" s="1647" t="s">
        <v>398</v>
      </c>
      <c r="C15" s="1648"/>
      <c r="D15" s="1648" t="s">
        <v>399</v>
      </c>
      <c r="E15" s="1648"/>
      <c r="F15" s="1648">
        <f t="shared" ref="F15:R15" si="1">IF(F9=1,F5*F14,F4*F13*(1-F9)+F5*F14*F9)</f>
        <v>188.44819056</v>
      </c>
      <c r="G15" s="1648">
        <f t="shared" si="1"/>
        <v>140.37467255999999</v>
      </c>
      <c r="H15" s="1648">
        <f t="shared" si="1"/>
        <v>128.46854493149729</v>
      </c>
      <c r="I15" s="1648">
        <f t="shared" si="1"/>
        <v>107.30209581415916</v>
      </c>
      <c r="J15" s="1648">
        <f t="shared" si="1"/>
        <v>245.25977741999998</v>
      </c>
      <c r="K15" s="1648">
        <f t="shared" si="1"/>
        <v>180.54600022935696</v>
      </c>
      <c r="L15" s="1648">
        <f t="shared" si="1"/>
        <v>156.21530456037445</v>
      </c>
      <c r="M15" s="1648">
        <f t="shared" si="1"/>
        <v>112.79948624941878</v>
      </c>
      <c r="N15" s="1648">
        <f t="shared" si="1"/>
        <v>245.25977741999998</v>
      </c>
      <c r="O15" s="1648">
        <f t="shared" si="1"/>
        <v>180.54600022935696</v>
      </c>
      <c r="P15" s="1648">
        <f t="shared" si="1"/>
        <v>180.54600022935696</v>
      </c>
      <c r="Q15" s="1648">
        <f t="shared" si="1"/>
        <v>112.79948624941878</v>
      </c>
      <c r="R15" s="1648">
        <f t="shared" si="1"/>
        <v>0</v>
      </c>
      <c r="S15" s="1648"/>
      <c r="T15" s="1649"/>
      <c r="U15" s="1608"/>
      <c r="V15" s="1608"/>
      <c r="W15" s="1608"/>
      <c r="X15" s="1608"/>
      <c r="Y15" s="1608"/>
      <c r="Z15" s="1608"/>
      <c r="AA15" s="1608"/>
      <c r="AB15" s="1608"/>
      <c r="AC15" s="1608"/>
    </row>
    <row r="16" spans="2:29" x14ac:dyDescent="0.35">
      <c r="B16" s="1608"/>
      <c r="C16" s="1608"/>
      <c r="D16" s="1608"/>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1608"/>
      <c r="AA16" s="1608"/>
      <c r="AB16" s="1608"/>
      <c r="AC16" s="1608"/>
    </row>
    <row r="17" spans="2:29" x14ac:dyDescent="0.35">
      <c r="B17" s="1608"/>
      <c r="C17" s="1608"/>
      <c r="D17" s="1608"/>
      <c r="E17" s="1608"/>
      <c r="F17" s="1608"/>
      <c r="G17" s="1608"/>
      <c r="H17" s="1608"/>
      <c r="I17" s="1608"/>
      <c r="J17" s="1608"/>
      <c r="K17" s="1608"/>
      <c r="L17" s="1608"/>
      <c r="M17" s="1608"/>
      <c r="N17" s="1608"/>
      <c r="O17" s="1608"/>
      <c r="P17" s="1608"/>
      <c r="Q17" s="1608"/>
      <c r="R17" s="1608"/>
      <c r="S17" s="1608"/>
      <c r="T17" s="1608"/>
      <c r="U17" s="1608"/>
      <c r="V17" s="1608"/>
      <c r="W17" s="1608"/>
      <c r="X17" s="1608"/>
      <c r="Y17" s="1608"/>
      <c r="Z17" s="1608"/>
      <c r="AA17" s="1608"/>
      <c r="AB17" s="1608"/>
      <c r="AC17" s="1608"/>
    </row>
    <row r="18" spans="2:29" x14ac:dyDescent="0.35">
      <c r="B18" s="1608"/>
      <c r="C18" s="1608"/>
      <c r="D18" s="1608"/>
      <c r="E18" s="1608"/>
      <c r="F18" s="1608"/>
      <c r="G18" s="1608"/>
      <c r="H18" s="1608"/>
      <c r="I18" s="1608"/>
      <c r="J18" s="1608"/>
      <c r="K18" s="1608"/>
      <c r="L18" s="1608"/>
      <c r="M18" s="1608"/>
      <c r="N18" s="1608"/>
      <c r="O18" s="1608"/>
      <c r="P18" s="1608"/>
      <c r="Q18" s="1608"/>
      <c r="R18" s="1608"/>
      <c r="S18" s="1608"/>
      <c r="T18" s="1608"/>
      <c r="U18" s="1608"/>
      <c r="V18" s="1608"/>
      <c r="W18" s="1608"/>
      <c r="X18" s="1608"/>
      <c r="Y18" s="1608"/>
      <c r="Z18" s="1608"/>
      <c r="AA18" s="1608"/>
      <c r="AB18" s="1608"/>
      <c r="AC18" s="1608"/>
    </row>
  </sheetData>
  <mergeCells count="1">
    <mergeCell ref="B1:T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5"/>
  <sheetViews>
    <sheetView workbookViewId="0">
      <selection sqref="A1:AB1"/>
    </sheetView>
  </sheetViews>
  <sheetFormatPr defaultColWidth="8.86328125" defaultRowHeight="13.5" x14ac:dyDescent="0.35"/>
  <cols>
    <col min="1" max="1" width="23.796875" style="1622" customWidth="1"/>
    <col min="2" max="16384" width="8.86328125" style="1622"/>
  </cols>
  <sheetData>
    <row r="1" spans="1:13" ht="17.649999999999999" x14ac:dyDescent="0.5">
      <c r="A1" s="2181" t="s">
        <v>3588</v>
      </c>
      <c r="B1" s="2181"/>
      <c r="C1" s="2181"/>
      <c r="D1" s="2181"/>
      <c r="E1" s="2181"/>
      <c r="F1" s="2181"/>
      <c r="G1" s="2181"/>
      <c r="H1" s="2181"/>
      <c r="I1" s="2181"/>
      <c r="J1" s="2181"/>
      <c r="K1" s="2181"/>
      <c r="L1" s="2181"/>
    </row>
    <row r="3" spans="1:13" ht="13.9" x14ac:dyDescent="0.4">
      <c r="A3" s="1774" t="s">
        <v>400</v>
      </c>
      <c r="B3" s="1613"/>
      <c r="C3" s="1613"/>
      <c r="D3" s="1614"/>
      <c r="J3" s="1622" t="s">
        <v>401</v>
      </c>
    </row>
    <row r="4" spans="1:13" x14ac:dyDescent="0.35">
      <c r="A4" s="1625"/>
      <c r="D4" s="1626"/>
      <c r="J4" s="1622" t="str">
        <f>A55</f>
        <v>Personal communication with Operator</v>
      </c>
    </row>
    <row r="5" spans="1:13" x14ac:dyDescent="0.35">
      <c r="A5" s="1625"/>
      <c r="C5" s="1622" t="s">
        <v>235</v>
      </c>
      <c r="D5" s="1626" t="s">
        <v>402</v>
      </c>
      <c r="L5" s="1622" t="str">
        <f>C5</f>
        <v>kg</v>
      </c>
    </row>
    <row r="6" spans="1:13" x14ac:dyDescent="0.35">
      <c r="A6" s="1625" t="s">
        <v>403</v>
      </c>
      <c r="C6" s="1627">
        <f>C7+C12+C13</f>
        <v>9.68147987687259</v>
      </c>
      <c r="D6" s="1786">
        <f>D7+D12+D13</f>
        <v>21.344026960071144</v>
      </c>
      <c r="F6" s="1622">
        <v>0.453592</v>
      </c>
      <c r="G6" s="1622" t="s">
        <v>404</v>
      </c>
      <c r="J6" s="1622" t="str">
        <f>A6</f>
        <v>Body, tyres and other</v>
      </c>
      <c r="K6" s="1627"/>
      <c r="L6" s="1627">
        <f>L7+L12+L13</f>
        <v>20.361668958139131</v>
      </c>
    </row>
    <row r="7" spans="1:13" x14ac:dyDescent="0.35">
      <c r="A7" s="1625" t="s">
        <v>405</v>
      </c>
      <c r="B7" s="1622" t="s">
        <v>127</v>
      </c>
      <c r="C7" s="1622">
        <f>C8+C9</f>
        <v>7.4</v>
      </c>
      <c r="D7" s="1786">
        <f>D8+D9</f>
        <v>16.314220709359954</v>
      </c>
      <c r="F7" s="1622">
        <v>1.6093440000000001</v>
      </c>
      <c r="G7" s="1622" t="s">
        <v>406</v>
      </c>
      <c r="J7" s="1622" t="str">
        <f>A7</f>
        <v>Body</v>
      </c>
      <c r="K7" s="1622" t="str">
        <f>B7</f>
        <v>Total</v>
      </c>
      <c r="L7" s="1627">
        <f>L8+L9</f>
        <v>14.876999999999999</v>
      </c>
    </row>
    <row r="8" spans="1:13" x14ac:dyDescent="0.35">
      <c r="A8" s="1625"/>
      <c r="B8" s="1622" t="s">
        <v>240</v>
      </c>
      <c r="C8" s="1622">
        <v>6</v>
      </c>
      <c r="D8" s="1786">
        <f t="shared" ref="D8:D13" si="0">C8/$F$6</f>
        <v>13.227746521102665</v>
      </c>
      <c r="F8" s="1787">
        <v>3.7850000000000001</v>
      </c>
      <c r="G8" s="1787" t="s">
        <v>407</v>
      </c>
      <c r="K8" s="1622" t="str">
        <f>B8</f>
        <v>Aluminium</v>
      </c>
      <c r="L8" s="1627">
        <f>Tech_Spec_New_Escoot!B83*Tech_Spec_New_Escoot!B25</f>
        <v>12.254999999999999</v>
      </c>
    </row>
    <row r="9" spans="1:13" x14ac:dyDescent="0.35">
      <c r="A9" s="1625"/>
      <c r="B9" s="1622" t="s">
        <v>234</v>
      </c>
      <c r="C9" s="1622">
        <v>1.4</v>
      </c>
      <c r="D9" s="1786">
        <f t="shared" si="0"/>
        <v>3.0864741882572884</v>
      </c>
      <c r="F9" s="1622">
        <f>Convert!$C$17</f>
        <v>33.488</v>
      </c>
      <c r="G9" s="1787" t="s">
        <v>408</v>
      </c>
      <c r="K9" s="1622" t="str">
        <f>B9</f>
        <v>Steel</v>
      </c>
      <c r="L9" s="1627">
        <f>Tech_Spec_New_Escoot!B25*Tech_Spec_New_Escoot!B85</f>
        <v>2.6219999999999999</v>
      </c>
    </row>
    <row r="10" spans="1:13" x14ac:dyDescent="0.35">
      <c r="A10" s="1625" t="s">
        <v>409</v>
      </c>
      <c r="C10" s="1788">
        <f>K60</f>
        <v>2.31379173106005</v>
      </c>
      <c r="D10" s="1786">
        <f t="shared" si="0"/>
        <v>5.1010417535142816</v>
      </c>
      <c r="F10" s="1622">
        <f>Convert!$B$12</f>
        <v>3.6</v>
      </c>
      <c r="G10" s="1787" t="s">
        <v>410</v>
      </c>
      <c r="J10" s="1622" t="str">
        <f t="shared" ref="J10:J15" si="1">A10</f>
        <v>Lithium battery (NMC 111)</v>
      </c>
      <c r="K10" s="1627"/>
      <c r="L10" s="1627">
        <f>K61*Tech_Spec_New_Escoot!B15</f>
        <v>7.7266620837217426</v>
      </c>
      <c r="M10" s="1622" t="s">
        <v>411</v>
      </c>
    </row>
    <row r="11" spans="1:13" x14ac:dyDescent="0.35">
      <c r="A11" s="1625" t="s">
        <v>247</v>
      </c>
      <c r="C11" s="1622">
        <v>1.2</v>
      </c>
      <c r="D11" s="1786">
        <f t="shared" si="0"/>
        <v>2.6455493042205331</v>
      </c>
      <c r="J11" s="1622" t="str">
        <f t="shared" si="1"/>
        <v>Electric motor</v>
      </c>
      <c r="K11" s="1627"/>
      <c r="L11" s="1627">
        <f>Tech_Spec_New_Escoot!B84*Tech_Spec_New_Escoot!$B$25</f>
        <v>4.2749999999999995</v>
      </c>
    </row>
    <row r="12" spans="1:13" x14ac:dyDescent="0.35">
      <c r="A12" s="1625" t="s">
        <v>412</v>
      </c>
      <c r="C12" s="1622">
        <v>0.83</v>
      </c>
      <c r="D12" s="1786">
        <f t="shared" si="0"/>
        <v>1.8298382687525352</v>
      </c>
      <c r="F12" s="1607" t="s">
        <v>344</v>
      </c>
      <c r="J12" s="1622" t="str">
        <f t="shared" si="1"/>
        <v>Tyres</v>
      </c>
      <c r="K12" s="1627"/>
      <c r="L12" s="1627">
        <f>Tech_Spec_New_Escoot!B25*Tech_Spec_New_Escoot!B87</f>
        <v>1.1400000000000001</v>
      </c>
    </row>
    <row r="13" spans="1:13" x14ac:dyDescent="0.35">
      <c r="A13" s="1625" t="s">
        <v>243</v>
      </c>
      <c r="C13" s="1789">
        <f>SUM(C8,C9,C10,C11,C12)/0.89*(1-0.89)</f>
        <v>1.4514798768725901</v>
      </c>
      <c r="D13" s="1786">
        <f t="shared" si="0"/>
        <v>3.1999679819586548</v>
      </c>
      <c r="J13" s="1622" t="str">
        <f t="shared" si="1"/>
        <v>Other</v>
      </c>
      <c r="L13" s="1627">
        <f>Tech_Spec_New_Escoot!B25-L12-L11-K61-L9-L8</f>
        <v>4.3446689581391311</v>
      </c>
    </row>
    <row r="14" spans="1:13" x14ac:dyDescent="0.35">
      <c r="A14" s="1625" t="s">
        <v>127</v>
      </c>
      <c r="C14" s="1627">
        <f>SUM(C8:C13)</f>
        <v>13.195271607932639</v>
      </c>
      <c r="D14" s="1786">
        <f>SUM(D8:D13)</f>
        <v>29.090618017805959</v>
      </c>
      <c r="J14" s="1622" t="str">
        <f t="shared" si="1"/>
        <v>Total</v>
      </c>
      <c r="L14" s="1627">
        <f>SUM(L8:L13)</f>
        <v>32.363331041860874</v>
      </c>
    </row>
    <row r="15" spans="1:13" x14ac:dyDescent="0.35">
      <c r="A15" s="1633" t="s">
        <v>413</v>
      </c>
      <c r="B15" s="1790"/>
      <c r="C15" s="1634">
        <f>C14-C10</f>
        <v>10.881479876872589</v>
      </c>
      <c r="D15" s="1791">
        <f>D14-D10</f>
        <v>23.989576264291678</v>
      </c>
      <c r="J15" s="1622" t="str">
        <f t="shared" si="1"/>
        <v>Total excluding battery</v>
      </c>
      <c r="L15" s="1627">
        <f>L14-L10</f>
        <v>24.636668958139133</v>
      </c>
    </row>
    <row r="16" spans="1:13" x14ac:dyDescent="0.35">
      <c r="C16" s="1627"/>
      <c r="D16" s="1627"/>
    </row>
    <row r="17" spans="1:12" x14ac:dyDescent="0.35">
      <c r="A17" s="1611" t="s">
        <v>247</v>
      </c>
      <c r="B17" s="1613"/>
      <c r="C17" s="1614"/>
      <c r="J17" s="1622" t="str">
        <f>A17</f>
        <v>Electric motor</v>
      </c>
    </row>
    <row r="18" spans="1:12" x14ac:dyDescent="0.35">
      <c r="A18" s="1625"/>
      <c r="C18" s="1626" t="s">
        <v>132</v>
      </c>
    </row>
    <row r="19" spans="1:12" x14ac:dyDescent="0.35">
      <c r="A19" s="1625" t="s">
        <v>234</v>
      </c>
      <c r="C19" s="1792">
        <f>Car!$S$188</f>
        <v>0.36099999999999999</v>
      </c>
      <c r="E19" s="1622" t="s">
        <v>248</v>
      </c>
      <c r="J19" s="1622" t="str">
        <f>A19</f>
        <v>Steel</v>
      </c>
      <c r="L19" s="1793">
        <f>C19</f>
        <v>0.36099999999999999</v>
      </c>
    </row>
    <row r="20" spans="1:12" x14ac:dyDescent="0.35">
      <c r="A20" s="1625" t="s">
        <v>238</v>
      </c>
      <c r="C20" s="1792">
        <f>Car!$S$191</f>
        <v>0.27800000000000002</v>
      </c>
      <c r="J20" s="1622" t="str">
        <f>A20</f>
        <v>Copper</v>
      </c>
      <c r="L20" s="1793">
        <f>C20</f>
        <v>0.27800000000000002</v>
      </c>
    </row>
    <row r="21" spans="1:12" x14ac:dyDescent="0.35">
      <c r="A21" s="1633" t="s">
        <v>249</v>
      </c>
      <c r="B21" s="1790"/>
      <c r="C21" s="1794">
        <f>Car!$S$190</f>
        <v>0.36099999999999999</v>
      </c>
      <c r="J21" s="1622" t="str">
        <f>A21</f>
        <v>Cast aluminium</v>
      </c>
      <c r="L21" s="1793">
        <f>C21</f>
        <v>0.36099999999999999</v>
      </c>
    </row>
    <row r="24" spans="1:12" x14ac:dyDescent="0.35">
      <c r="C24" s="1622" t="s">
        <v>246</v>
      </c>
      <c r="D24" s="1627"/>
      <c r="L24" s="1622" t="str">
        <f>C24</f>
        <v>kWh</v>
      </c>
    </row>
    <row r="25" spans="1:12" x14ac:dyDescent="0.35">
      <c r="A25" s="1622" t="s">
        <v>10</v>
      </c>
      <c r="C25" s="1622">
        <f>G60*C27/100</f>
        <v>0.33</v>
      </c>
      <c r="F25" s="1607"/>
      <c r="J25" s="1622" t="str">
        <f>A25</f>
        <v>Battery capacity</v>
      </c>
      <c r="L25" s="1622">
        <f>E61</f>
        <v>0.55100000000000005</v>
      </c>
    </row>
    <row r="26" spans="1:12" x14ac:dyDescent="0.35">
      <c r="C26" s="1622" t="s">
        <v>260</v>
      </c>
      <c r="D26" s="1622" t="s">
        <v>414</v>
      </c>
      <c r="L26" s="1622" t="str">
        <f>C26</f>
        <v>km</v>
      </c>
    </row>
    <row r="27" spans="1:12" x14ac:dyDescent="0.35">
      <c r="A27" s="1622" t="s">
        <v>259</v>
      </c>
      <c r="C27" s="1627">
        <v>30</v>
      </c>
      <c r="D27" s="1627">
        <f>C27/F7</f>
        <v>18.641135767120019</v>
      </c>
      <c r="J27" s="1622" t="str">
        <f>A27</f>
        <v>Range</v>
      </c>
      <c r="L27" s="1795">
        <f>L25/G61*100</f>
        <v>46.302521008403367</v>
      </c>
    </row>
    <row r="29" spans="1:12" x14ac:dyDescent="0.35">
      <c r="C29" s="1622" t="s">
        <v>415</v>
      </c>
      <c r="L29" s="1622" t="str">
        <f>C29</f>
        <v>Year</v>
      </c>
    </row>
    <row r="30" spans="1:12" x14ac:dyDescent="0.35">
      <c r="A30" s="1622" t="s">
        <v>416</v>
      </c>
      <c r="C30" s="1622">
        <v>1</v>
      </c>
      <c r="F30" s="1622">
        <v>0.5</v>
      </c>
      <c r="G30" s="1622">
        <v>2</v>
      </c>
      <c r="H30" s="1622" t="s">
        <v>417</v>
      </c>
      <c r="J30" s="1622" t="str">
        <f>A30</f>
        <v>Lifetime</v>
      </c>
      <c r="L30" s="1617">
        <f>Tech_Spec_New_Escoot!B21/12</f>
        <v>1.9666666666666668</v>
      </c>
    </row>
    <row r="32" spans="1:12" x14ac:dyDescent="0.35">
      <c r="C32" s="1795"/>
      <c r="D32" s="1795"/>
    </row>
    <row r="33" spans="1:14" ht="13.9" x14ac:dyDescent="0.4">
      <c r="A33" s="1774" t="s">
        <v>418</v>
      </c>
      <c r="B33" s="1613"/>
      <c r="C33" s="1613"/>
      <c r="D33" s="1613"/>
      <c r="E33" s="1613"/>
      <c r="F33" s="1613"/>
      <c r="G33" s="1613"/>
      <c r="H33" s="1613"/>
      <c r="I33" s="1613"/>
      <c r="J33" s="1613"/>
      <c r="K33" s="1613"/>
      <c r="L33" s="1614"/>
    </row>
    <row r="34" spans="1:14" x14ac:dyDescent="0.35">
      <c r="A34" s="1625"/>
      <c r="C34" s="1627"/>
      <c r="L34" s="1626"/>
    </row>
    <row r="35" spans="1:14" x14ac:dyDescent="0.35">
      <c r="A35" s="1658" t="s">
        <v>419</v>
      </c>
      <c r="C35" s="1622">
        <f>G35*I35</f>
        <v>7.5</v>
      </c>
      <c r="D35" s="1622" t="s">
        <v>420</v>
      </c>
      <c r="E35" s="1795">
        <f>C35*$F$7</f>
        <v>12.070080000000001</v>
      </c>
      <c r="F35" s="1622" t="s">
        <v>421</v>
      </c>
      <c r="G35" s="1622">
        <v>5</v>
      </c>
      <c r="H35" s="1622" t="s">
        <v>422</v>
      </c>
      <c r="I35" s="1622">
        <v>1.5</v>
      </c>
      <c r="J35" s="1622" t="s">
        <v>423</v>
      </c>
      <c r="K35" s="1627">
        <f>I35*$F$7</f>
        <v>2.4140160000000002</v>
      </c>
      <c r="L35" s="1626" t="s">
        <v>250</v>
      </c>
    </row>
    <row r="36" spans="1:14" x14ac:dyDescent="0.35">
      <c r="A36" s="1658" t="str">
        <f>F12</f>
        <v>Hollingsworth et al., 2019</v>
      </c>
      <c r="C36" s="1627">
        <f>D27*(1-0.66)</f>
        <v>6.3379861608208063</v>
      </c>
      <c r="D36" s="1622" t="str">
        <f>D35</f>
        <v>miles/day/e-scooter</v>
      </c>
      <c r="E36" s="1795">
        <f>C36*$F$7</f>
        <v>10.200000000000001</v>
      </c>
      <c r="F36" s="1622" t="s">
        <v>421</v>
      </c>
      <c r="K36" s="1627"/>
      <c r="L36" s="1626"/>
    </row>
    <row r="37" spans="1:14" x14ac:dyDescent="0.35">
      <c r="A37" s="1658" t="s">
        <v>424</v>
      </c>
      <c r="C37" s="1796">
        <f>G37*I37</f>
        <v>4.6950000000000003</v>
      </c>
      <c r="D37" s="1622" t="str">
        <f>D35</f>
        <v>miles/day/e-scooter</v>
      </c>
      <c r="E37" s="1795">
        <f>C37*$F$7</f>
        <v>7.5558700800000009</v>
      </c>
      <c r="F37" s="1622" t="str">
        <f>F35</f>
        <v>km/day/e-scooter</v>
      </c>
      <c r="G37" s="1622">
        <f>E77</f>
        <v>3.13</v>
      </c>
      <c r="H37" s="1622" t="str">
        <f>H35</f>
        <v>trips/day/e-scooter</v>
      </c>
      <c r="I37" s="1796">
        <f>I35</f>
        <v>1.5</v>
      </c>
      <c r="J37" s="1622" t="str">
        <f>J35</f>
        <v>miles/trip</v>
      </c>
      <c r="K37" s="1789">
        <f>I37*$F$7</f>
        <v>2.4140160000000002</v>
      </c>
      <c r="L37" s="1626" t="s">
        <v>250</v>
      </c>
    </row>
    <row r="38" spans="1:14" x14ac:dyDescent="0.35">
      <c r="A38" s="1658" t="s">
        <v>425</v>
      </c>
      <c r="C38" s="1797"/>
      <c r="E38" s="1798">
        <v>10.199999999999999</v>
      </c>
      <c r="F38" s="1622" t="str">
        <f>F41</f>
        <v>km/day/e-sccoter</v>
      </c>
      <c r="G38" s="1797"/>
      <c r="H38" s="1799"/>
      <c r="I38" s="1744"/>
      <c r="K38" s="1744"/>
      <c r="L38" s="1626"/>
      <c r="M38" s="1607" t="s">
        <v>426</v>
      </c>
    </row>
    <row r="39" spans="1:14" x14ac:dyDescent="0.35">
      <c r="A39" s="1625" t="s">
        <v>427</v>
      </c>
      <c r="C39" s="1796"/>
      <c r="D39" s="1622" t="s">
        <v>428</v>
      </c>
      <c r="E39" s="1622">
        <f>Tech_Spec_New_Escoot!B7</f>
        <v>7.7</v>
      </c>
      <c r="F39" s="1622" t="str">
        <f>F42</f>
        <v>km/day/e-sccoter in use</v>
      </c>
      <c r="G39" s="1797">
        <f>G42</f>
        <v>3.13</v>
      </c>
      <c r="I39" s="1744"/>
      <c r="K39" s="1800">
        <f>E39/G39</f>
        <v>2.4600638977635785</v>
      </c>
      <c r="L39" s="1626" t="str">
        <f>L42</f>
        <v>km/trip</v>
      </c>
    </row>
    <row r="40" spans="1:14" x14ac:dyDescent="0.35">
      <c r="A40" s="1658" t="s">
        <v>429</v>
      </c>
      <c r="C40" s="1796">
        <f>I40*G40</f>
        <v>10.221556112304143</v>
      </c>
      <c r="D40" s="1622" t="str">
        <f>D37</f>
        <v>miles/day/e-scooter</v>
      </c>
      <c r="E40" s="1795">
        <f>C40*$F$7</f>
        <v>16.45</v>
      </c>
      <c r="F40" s="1622" t="str">
        <f>F37</f>
        <v>km/day/e-scooter</v>
      </c>
      <c r="G40" s="1801">
        <v>3.5</v>
      </c>
      <c r="H40" s="1622" t="str">
        <f>H37</f>
        <v>trips/day/e-scooter</v>
      </c>
      <c r="I40" s="1744">
        <f>K40/F7</f>
        <v>2.9204446035154694</v>
      </c>
      <c r="J40" s="1622" t="str">
        <f>J37</f>
        <v>miles/trip</v>
      </c>
      <c r="K40" s="1765">
        <v>4.7</v>
      </c>
      <c r="L40" s="1626" t="s">
        <v>250</v>
      </c>
      <c r="M40" s="1607" t="s">
        <v>430</v>
      </c>
    </row>
    <row r="41" spans="1:14" x14ac:dyDescent="0.35">
      <c r="A41" s="1658" t="s">
        <v>431</v>
      </c>
      <c r="B41" s="1622" t="s">
        <v>342</v>
      </c>
      <c r="C41" s="1797">
        <f>I41*G41</f>
        <v>4.2</v>
      </c>
      <c r="D41" s="1622" t="str">
        <f>D37</f>
        <v>miles/day/e-scooter</v>
      </c>
      <c r="E41" s="1798">
        <f>C41*$F$7</f>
        <v>6.7592448000000012</v>
      </c>
      <c r="F41" s="1622" t="s">
        <v>432</v>
      </c>
      <c r="G41" s="1801">
        <v>3.5</v>
      </c>
      <c r="H41" s="1799" t="str">
        <f>H40</f>
        <v>trips/day/e-scooter</v>
      </c>
      <c r="I41" s="1744">
        <v>1.2</v>
      </c>
      <c r="J41" s="1622" t="str">
        <f>J40</f>
        <v>miles/trip</v>
      </c>
      <c r="K41" s="1744">
        <f>I41*F7</f>
        <v>1.9312128</v>
      </c>
      <c r="L41" s="1626" t="s">
        <v>250</v>
      </c>
      <c r="M41" s="1622" t="s">
        <v>433</v>
      </c>
      <c r="N41" s="1801" t="s">
        <v>434</v>
      </c>
    </row>
    <row r="42" spans="1:14" x14ac:dyDescent="0.35">
      <c r="A42" s="1633" t="s">
        <v>427</v>
      </c>
      <c r="B42" s="1790"/>
      <c r="C42" s="1743"/>
      <c r="D42" s="1790" t="s">
        <v>435</v>
      </c>
      <c r="E42" s="1790">
        <f>Tech_Spec_New_Escoot!B5</f>
        <v>5.3</v>
      </c>
      <c r="F42" s="1790" t="s">
        <v>436</v>
      </c>
      <c r="G42" s="1802">
        <f>G37</f>
        <v>3.13</v>
      </c>
      <c r="H42" s="1790"/>
      <c r="I42" s="1754"/>
      <c r="J42" s="1790"/>
      <c r="K42" s="1803">
        <f>E42/G42</f>
        <v>1.6932907348242812</v>
      </c>
      <c r="L42" s="1741" t="str">
        <f>L41</f>
        <v>km/trip</v>
      </c>
    </row>
    <row r="43" spans="1:14" x14ac:dyDescent="0.35">
      <c r="A43" s="1607"/>
      <c r="C43" s="1796"/>
      <c r="E43" s="1795"/>
      <c r="G43" s="1796"/>
      <c r="H43" s="1799"/>
      <c r="I43" s="1744"/>
      <c r="K43" s="1744"/>
    </row>
    <row r="44" spans="1:14" ht="13.9" x14ac:dyDescent="0.4">
      <c r="A44" s="1774" t="s">
        <v>437</v>
      </c>
      <c r="B44" s="1613"/>
      <c r="C44" s="1613"/>
      <c r="D44" s="1613"/>
      <c r="E44" s="1613"/>
      <c r="F44" s="1613"/>
      <c r="G44" s="1614"/>
    </row>
    <row r="45" spans="1:14" ht="13.9" x14ac:dyDescent="0.4">
      <c r="A45" s="1804"/>
      <c r="G45" s="1626"/>
    </row>
    <row r="46" spans="1:14" x14ac:dyDescent="0.35">
      <c r="A46" s="1625" t="str">
        <f>A35</f>
        <v>Chester quoting Bird</v>
      </c>
      <c r="C46" s="1796"/>
      <c r="E46" s="1627">
        <f>E35*$E$55*$E$56</f>
        <v>10.033253999999999</v>
      </c>
      <c r="F46" s="1622" t="str">
        <f>F42</f>
        <v>km/day/e-sccoter in use</v>
      </c>
      <c r="G46" s="1805"/>
      <c r="H46" s="1799"/>
      <c r="I46" s="1744"/>
      <c r="K46" s="1744"/>
    </row>
    <row r="47" spans="1:14" x14ac:dyDescent="0.35">
      <c r="A47" s="1625" t="str">
        <f>A36</f>
        <v>Hollingsworth et al., 2019</v>
      </c>
      <c r="C47" s="1796"/>
      <c r="E47" s="1627">
        <f>E36*$E$55*$E$56</f>
        <v>8.4787500000000016</v>
      </c>
      <c r="F47" s="1622" t="str">
        <f>F46</f>
        <v>km/day/e-sccoter in use</v>
      </c>
      <c r="G47" s="1805"/>
      <c r="H47" s="1799"/>
      <c r="I47" s="1744"/>
      <c r="K47" s="1744"/>
    </row>
    <row r="48" spans="1:14" x14ac:dyDescent="0.35">
      <c r="A48" s="1625" t="str">
        <f>A37</f>
        <v>Skip, 2020</v>
      </c>
      <c r="C48" s="1796"/>
      <c r="E48" s="1627">
        <f>E37*$E$55*$E$56</f>
        <v>6.2808170040000002</v>
      </c>
      <c r="F48" s="1622" t="str">
        <f>F47</f>
        <v>km/day/e-sccoter in use</v>
      </c>
      <c r="G48" s="1805"/>
      <c r="H48" s="1799"/>
      <c r="I48" s="1744"/>
      <c r="K48" s="1744"/>
    </row>
    <row r="49" spans="1:14" x14ac:dyDescent="0.35">
      <c r="A49" s="1625" t="str">
        <f>A38</f>
        <v>Paper on Life Cycle Assessment on the mobility service escooter sharing shared by an operator</v>
      </c>
      <c r="C49" s="1796"/>
      <c r="E49" s="1627">
        <f>E38*$E$55*$E$56</f>
        <v>8.4787499999999998</v>
      </c>
      <c r="F49" s="1622" t="str">
        <f>F51</f>
        <v>km/day/e-sccoter in use</v>
      </c>
      <c r="G49" s="1805"/>
      <c r="H49" s="1799"/>
      <c r="I49" s="1744"/>
      <c r="K49" s="1744"/>
    </row>
    <row r="50" spans="1:14" x14ac:dyDescent="0.35">
      <c r="A50" s="1625" t="str">
        <f>A55</f>
        <v>Personal communication with Operator</v>
      </c>
      <c r="C50" s="1796"/>
      <c r="E50" s="1627">
        <f>E39*E$55*$E$56</f>
        <v>6.4006249999999998</v>
      </c>
      <c r="F50" s="1622" t="str">
        <f>F53</f>
        <v>km/day/e-sccoter in use</v>
      </c>
      <c r="G50" s="1805"/>
      <c r="H50" s="1799"/>
      <c r="I50" s="1744"/>
      <c r="K50" s="1744"/>
    </row>
    <row r="51" spans="1:14" x14ac:dyDescent="0.35">
      <c r="A51" s="1625" t="str">
        <f>A40</f>
        <v>6-t, 2019c</v>
      </c>
      <c r="C51" s="1796"/>
      <c r="E51" s="1627">
        <f>E40*$E$55*$E$56</f>
        <v>13.674062499999998</v>
      </c>
      <c r="F51" s="1622" t="str">
        <f>F48</f>
        <v>km/day/e-sccoter in use</v>
      </c>
      <c r="G51" s="1805"/>
      <c r="H51" s="1799"/>
      <c r="I51" s="1744"/>
      <c r="K51" s="1744"/>
    </row>
    <row r="52" spans="1:14" x14ac:dyDescent="0.35">
      <c r="A52" s="1625" t="str">
        <f>A41</f>
        <v>https://www.sae.org/binaries/content/assets/cm/content/topics/micromobility/sae-micromobility-trend-or-fad-report.pdf</v>
      </c>
      <c r="C52" s="1796"/>
      <c r="E52" s="1627">
        <f>E41*$E$55*$E$56</f>
        <v>5.6186222400000005</v>
      </c>
      <c r="F52" s="1622" t="str">
        <f>F51</f>
        <v>km/day/e-sccoter in use</v>
      </c>
      <c r="G52" s="1805"/>
      <c r="H52" s="1799"/>
      <c r="I52" s="1744"/>
      <c r="K52" s="1744"/>
    </row>
    <row r="53" spans="1:14" x14ac:dyDescent="0.35">
      <c r="A53" s="1633" t="s">
        <v>438</v>
      </c>
      <c r="B53" s="1790"/>
      <c r="C53" s="1743"/>
      <c r="D53" s="1790"/>
      <c r="E53" s="1634">
        <f>E42*E$55*$E$56</f>
        <v>4.4056249999999997</v>
      </c>
      <c r="F53" s="1790" t="str">
        <f>F51</f>
        <v>km/day/e-sccoter in use</v>
      </c>
      <c r="G53" s="1806"/>
      <c r="H53" s="1799"/>
      <c r="I53" s="1744"/>
      <c r="K53" s="1744"/>
    </row>
    <row r="54" spans="1:14" x14ac:dyDescent="0.35">
      <c r="A54" s="1607"/>
      <c r="C54" s="1796"/>
      <c r="E54" s="1795"/>
      <c r="G54" s="1796"/>
      <c r="H54" s="1799"/>
      <c r="I54" s="1744"/>
      <c r="K54" s="1744"/>
    </row>
    <row r="55" spans="1:14" x14ac:dyDescent="0.35">
      <c r="A55" s="1611" t="s">
        <v>438</v>
      </c>
      <c r="B55" s="1613"/>
      <c r="C55" s="1613"/>
      <c r="D55" s="1613"/>
      <c r="E55" s="1807">
        <f>Tech_Spec_New_Escoot!B8</f>
        <v>0.95</v>
      </c>
      <c r="F55" s="1613" t="str">
        <f>Tech_Spec_New_Escoot!A8</f>
        <v>Availability rate</v>
      </c>
      <c r="G55" s="1614"/>
    </row>
    <row r="56" spans="1:14" x14ac:dyDescent="0.35">
      <c r="A56" s="1633"/>
      <c r="B56" s="1790"/>
      <c r="C56" s="1790"/>
      <c r="D56" s="1790"/>
      <c r="E56" s="1808">
        <f>Tech_Spec_New_Escoot!B9</f>
        <v>0.875</v>
      </c>
      <c r="F56" s="1790" t="str">
        <f>Tech_Spec_New_Escoot!A9</f>
        <v>Utilisation rate</v>
      </c>
      <c r="G56" s="1741"/>
    </row>
    <row r="59" spans="1:14" x14ac:dyDescent="0.35">
      <c r="A59" s="1736" t="s">
        <v>439</v>
      </c>
      <c r="B59" s="1613"/>
      <c r="C59" s="1613"/>
      <c r="D59" s="1613"/>
      <c r="E59" s="1613">
        <v>0.47399999999999998</v>
      </c>
      <c r="F59" s="1613" t="s">
        <v>246</v>
      </c>
      <c r="G59" s="1613">
        <v>45</v>
      </c>
      <c r="H59" s="1613" t="s">
        <v>260</v>
      </c>
      <c r="I59" s="1613">
        <v>3</v>
      </c>
      <c r="J59" s="1613" t="s">
        <v>440</v>
      </c>
      <c r="K59" s="1809">
        <f>E59/M59</f>
        <v>3.3234463046135256</v>
      </c>
      <c r="L59" s="1810" t="s">
        <v>235</v>
      </c>
      <c r="M59" s="1811">
        <f>M60</f>
        <v>0.14262303541417382</v>
      </c>
      <c r="N59" s="1653" t="s">
        <v>441</v>
      </c>
    </row>
    <row r="60" spans="1:14" x14ac:dyDescent="0.35">
      <c r="A60" s="1658" t="s">
        <v>442</v>
      </c>
      <c r="E60" s="1622">
        <v>30</v>
      </c>
      <c r="F60" s="1622" t="s">
        <v>260</v>
      </c>
      <c r="G60" s="1622">
        <v>1.1000000000000001</v>
      </c>
      <c r="H60" s="1622" t="s">
        <v>443</v>
      </c>
      <c r="K60" s="1812">
        <f>C25/M60</f>
        <v>2.31379173106005</v>
      </c>
      <c r="L60" s="1813" t="str">
        <f>L59</f>
        <v>kg</v>
      </c>
      <c r="M60" s="1814">
        <f>Vehi_Inputs!O116/1000</f>
        <v>0.14262303541417382</v>
      </c>
      <c r="N60" s="1815" t="str">
        <f>N59</f>
        <v>kWh/kg (GREET default, car)</v>
      </c>
    </row>
    <row r="61" spans="1:14" x14ac:dyDescent="0.35">
      <c r="A61" s="1633" t="str">
        <f>A55</f>
        <v>Personal communication with Operator</v>
      </c>
      <c r="B61" s="1790"/>
      <c r="C61" s="1790"/>
      <c r="D61" s="1790"/>
      <c r="E61" s="1790">
        <f>Tech_Spec_New_Escoot!B16/1000</f>
        <v>0.55100000000000005</v>
      </c>
      <c r="F61" s="1790" t="str">
        <f>F59</f>
        <v>kWh</v>
      </c>
      <c r="G61" s="1790">
        <v>1.19</v>
      </c>
      <c r="H61" s="1790" t="str">
        <f>H60</f>
        <v>kWh/100 km</v>
      </c>
      <c r="I61" s="1790"/>
      <c r="J61" s="1790"/>
      <c r="K61" s="1754">
        <f>E61/M61</f>
        <v>3.8633310418608713</v>
      </c>
      <c r="L61" s="1766" t="s">
        <v>235</v>
      </c>
      <c r="M61" s="1816">
        <f>Vehi_Inputs!O116/1000</f>
        <v>0.14262303541417382</v>
      </c>
      <c r="N61" s="1817" t="str">
        <f>N60</f>
        <v>kWh/kg (GREET default, car)</v>
      </c>
    </row>
    <row r="63" spans="1:14" x14ac:dyDescent="0.35">
      <c r="A63" s="1736" t="s">
        <v>444</v>
      </c>
      <c r="B63" s="1613" t="s">
        <v>420</v>
      </c>
      <c r="C63" s="1613" t="s">
        <v>251</v>
      </c>
      <c r="D63" s="1613">
        <f>MIN(D65/D64,D65/F64,F65/D64,F65/F64)</f>
        <v>0.1</v>
      </c>
      <c r="E63" s="1613" t="s">
        <v>252</v>
      </c>
      <c r="F63" s="1613">
        <f>MAX(D65/D64,D65/F64,F65/D64,F65/F64)</f>
        <v>2</v>
      </c>
      <c r="G63" s="1613"/>
      <c r="H63" s="1613"/>
      <c r="I63" s="1613"/>
      <c r="J63" s="1614"/>
    </row>
    <row r="64" spans="1:14" x14ac:dyDescent="0.35">
      <c r="A64" s="1625"/>
      <c r="B64" s="1622" t="s">
        <v>445</v>
      </c>
      <c r="C64" s="1622" t="s">
        <v>251</v>
      </c>
      <c r="D64" s="1622">
        <v>5</v>
      </c>
      <c r="E64" s="1622" t="s">
        <v>252</v>
      </c>
      <c r="F64" s="1622">
        <v>20</v>
      </c>
      <c r="G64" s="1622" t="s">
        <v>446</v>
      </c>
      <c r="J64" s="1626"/>
    </row>
    <row r="65" spans="1:12" x14ac:dyDescent="0.35">
      <c r="A65" s="1625"/>
      <c r="B65" s="1622" t="s">
        <v>447</v>
      </c>
      <c r="C65" s="1622" t="s">
        <v>251</v>
      </c>
      <c r="D65" s="1622">
        <v>2</v>
      </c>
      <c r="E65" s="1622" t="s">
        <v>252</v>
      </c>
      <c r="F65" s="1622">
        <v>10</v>
      </c>
      <c r="G65" s="1622" t="s">
        <v>448</v>
      </c>
      <c r="J65" s="1626"/>
    </row>
    <row r="66" spans="1:12" x14ac:dyDescent="0.35">
      <c r="A66" s="1658" t="s">
        <v>449</v>
      </c>
      <c r="B66" s="1622" t="s">
        <v>450</v>
      </c>
      <c r="D66" s="1622">
        <v>12</v>
      </c>
      <c r="E66" s="1622" t="s">
        <v>451</v>
      </c>
      <c r="F66" s="1622">
        <v>24</v>
      </c>
      <c r="G66" s="1622" t="s">
        <v>452</v>
      </c>
      <c r="J66" s="1626"/>
    </row>
    <row r="67" spans="1:12" x14ac:dyDescent="0.35">
      <c r="A67" s="1658" t="s">
        <v>453</v>
      </c>
      <c r="B67" s="1622" t="s">
        <v>454</v>
      </c>
      <c r="D67" s="1622">
        <v>14</v>
      </c>
      <c r="E67" s="1622" t="s">
        <v>455</v>
      </c>
      <c r="F67" s="1622">
        <v>21</v>
      </c>
      <c r="G67" s="1622" t="s">
        <v>456</v>
      </c>
      <c r="J67" s="1626"/>
    </row>
    <row r="68" spans="1:12" x14ac:dyDescent="0.35">
      <c r="A68" s="1781" t="s">
        <v>457</v>
      </c>
      <c r="B68" s="1790" t="str">
        <f>B67</f>
        <v>e-scooters/charging trip</v>
      </c>
      <c r="C68" s="1790"/>
      <c r="D68" s="1790">
        <v>12</v>
      </c>
      <c r="E68" s="1790" t="s">
        <v>458</v>
      </c>
      <c r="F68" s="1790"/>
      <c r="G68" s="1790"/>
      <c r="H68" s="1790"/>
      <c r="I68" s="1790"/>
      <c r="J68" s="1741"/>
    </row>
    <row r="70" spans="1:12" x14ac:dyDescent="0.35">
      <c r="A70" s="1611">
        <f>AVERAGE(D65,F65)/AVERAGE(D64,F64)</f>
        <v>0.48</v>
      </c>
      <c r="B70" s="1613" t="s">
        <v>459</v>
      </c>
      <c r="C70" s="1613"/>
      <c r="D70" s="1613"/>
      <c r="E70" s="1613"/>
      <c r="F70" s="1613">
        <v>0.6</v>
      </c>
      <c r="G70" s="1614">
        <v>2.5</v>
      </c>
    </row>
    <row r="71" spans="1:12" x14ac:dyDescent="0.35">
      <c r="A71" s="1818">
        <f>A70*F7</f>
        <v>0.77248512000000003</v>
      </c>
      <c r="B71" s="1790" t="s">
        <v>460</v>
      </c>
      <c r="C71" s="1790"/>
      <c r="D71" s="1790"/>
      <c r="E71" s="1790"/>
      <c r="F71" s="1790">
        <f>F70*$F$7</f>
        <v>0.96560639999999998</v>
      </c>
      <c r="G71" s="1741">
        <f>G70*$F$7</f>
        <v>4.0233600000000003</v>
      </c>
    </row>
    <row r="73" spans="1:12" x14ac:dyDescent="0.35">
      <c r="A73" s="1607"/>
    </row>
    <row r="74" spans="1:12" ht="13.9" x14ac:dyDescent="0.4">
      <c r="A74" s="1774" t="s">
        <v>461</v>
      </c>
      <c r="B74" s="1613"/>
      <c r="C74" s="1613"/>
      <c r="D74" s="1613"/>
      <c r="E74" s="1613"/>
      <c r="F74" s="1613"/>
      <c r="G74" s="1613"/>
      <c r="H74" s="1613"/>
      <c r="I74" s="1613"/>
      <c r="J74" s="1613"/>
      <c r="K74" s="1613"/>
      <c r="L74" s="1614"/>
    </row>
    <row r="75" spans="1:12" x14ac:dyDescent="0.35">
      <c r="A75" s="1625" t="s">
        <v>462</v>
      </c>
      <c r="B75" s="1622" t="s">
        <v>463</v>
      </c>
      <c r="C75" s="1622" t="s">
        <v>415</v>
      </c>
      <c r="D75" s="1622" t="s">
        <v>464</v>
      </c>
      <c r="E75" s="1622" t="s">
        <v>465</v>
      </c>
      <c r="G75" s="1622" t="s">
        <v>466</v>
      </c>
      <c r="J75" s="1622" t="s">
        <v>467</v>
      </c>
      <c r="K75" s="1622" t="s">
        <v>416</v>
      </c>
      <c r="L75" s="1626" t="s">
        <v>286</v>
      </c>
    </row>
    <row r="76" spans="1:12" x14ac:dyDescent="0.35">
      <c r="A76" s="1625"/>
      <c r="D76" s="1622" t="s">
        <v>468</v>
      </c>
      <c r="E76" s="1622" t="s">
        <v>469</v>
      </c>
      <c r="F76" s="1622" t="s">
        <v>470</v>
      </c>
      <c r="G76" s="1622" t="s">
        <v>471</v>
      </c>
      <c r="H76" s="1622" t="s">
        <v>472</v>
      </c>
      <c r="I76" s="1622" t="s">
        <v>473</v>
      </c>
      <c r="J76" s="1622" t="s">
        <v>26</v>
      </c>
      <c r="K76" s="1622" t="s">
        <v>1</v>
      </c>
      <c r="L76" s="1626"/>
    </row>
    <row r="77" spans="1:12" x14ac:dyDescent="0.35">
      <c r="A77" s="1625" t="s">
        <v>474</v>
      </c>
      <c r="B77" s="1665" t="s">
        <v>475</v>
      </c>
      <c r="C77" s="1622">
        <v>2018</v>
      </c>
      <c r="D77" s="1622">
        <v>627</v>
      </c>
      <c r="E77" s="1622">
        <v>3.13</v>
      </c>
      <c r="F77" s="1622">
        <f>D77*E77</f>
        <v>1962.51</v>
      </c>
      <c r="G77" s="1622">
        <v>51</v>
      </c>
      <c r="H77" s="1622">
        <f>G77/D77</f>
        <v>8.1339712918660281E-2</v>
      </c>
      <c r="I77" s="1622">
        <f>G77/F77</f>
        <v>2.5987128728006483E-2</v>
      </c>
      <c r="J77" s="1622">
        <f>H77*100</f>
        <v>8.133971291866029</v>
      </c>
      <c r="L77" s="1819" t="s">
        <v>476</v>
      </c>
    </row>
    <row r="78" spans="1:12" x14ac:dyDescent="0.35">
      <c r="A78" s="1625" t="s">
        <v>474</v>
      </c>
      <c r="B78" s="1622" t="s">
        <v>477</v>
      </c>
      <c r="C78" s="1622">
        <v>2019</v>
      </c>
      <c r="D78" s="1796">
        <f t="shared" ref="D78:F79" si="2">D77</f>
        <v>627</v>
      </c>
      <c r="E78" s="1796">
        <f t="shared" si="2"/>
        <v>3.13</v>
      </c>
      <c r="F78" s="1796">
        <f t="shared" si="2"/>
        <v>1962.51</v>
      </c>
      <c r="G78" s="1796">
        <f>I78*F78</f>
        <v>9.3925728600000014</v>
      </c>
      <c r="H78" s="1622">
        <f>G78/D78</f>
        <v>1.4980180000000003E-2</v>
      </c>
      <c r="I78" s="1622">
        <f>0.004786</f>
        <v>4.7860000000000003E-3</v>
      </c>
      <c r="J78" s="1622">
        <f>H78*100</f>
        <v>1.4980180000000003</v>
      </c>
      <c r="L78" s="1819" t="s">
        <v>476</v>
      </c>
    </row>
    <row r="79" spans="1:12" x14ac:dyDescent="0.35">
      <c r="A79" s="1625" t="s">
        <v>474</v>
      </c>
      <c r="B79" s="1622" t="s">
        <v>478</v>
      </c>
      <c r="D79" s="1796">
        <f t="shared" si="2"/>
        <v>627</v>
      </c>
      <c r="E79" s="1796">
        <f t="shared" si="2"/>
        <v>3.13</v>
      </c>
      <c r="F79" s="1796">
        <f t="shared" si="2"/>
        <v>1962.51</v>
      </c>
      <c r="G79" s="1796">
        <f>I79*F79</f>
        <v>3.02422791</v>
      </c>
      <c r="H79" s="1622">
        <f>G79/D79</f>
        <v>4.8233299999999998E-3</v>
      </c>
      <c r="I79" s="1622">
        <v>1.5410000000000001E-3</v>
      </c>
      <c r="J79" s="1622">
        <f>H79*100</f>
        <v>0.48233299999999996</v>
      </c>
      <c r="L79" s="1819" t="s">
        <v>476</v>
      </c>
    </row>
    <row r="80" spans="1:12" x14ac:dyDescent="0.35">
      <c r="A80" s="1625" t="s">
        <v>479</v>
      </c>
      <c r="B80" s="1622" t="s">
        <v>480</v>
      </c>
      <c r="K80" s="1622">
        <f>3.5/12</f>
        <v>0.29166666666666669</v>
      </c>
      <c r="L80" s="1819" t="s">
        <v>481</v>
      </c>
    </row>
    <row r="81" spans="1:12" x14ac:dyDescent="0.35">
      <c r="A81" s="1625" t="s">
        <v>479</v>
      </c>
      <c r="B81" s="1622" t="s">
        <v>480</v>
      </c>
      <c r="K81" s="1622">
        <f>3.5/12</f>
        <v>0.29166666666666669</v>
      </c>
      <c r="L81" s="1819" t="s">
        <v>482</v>
      </c>
    </row>
    <row r="82" spans="1:12" x14ac:dyDescent="0.35">
      <c r="A82" s="1625" t="s">
        <v>479</v>
      </c>
      <c r="B82" s="1622" t="s">
        <v>483</v>
      </c>
      <c r="K82" s="1622">
        <f>10/12</f>
        <v>0.83333333333333337</v>
      </c>
      <c r="L82" s="1819" t="s">
        <v>481</v>
      </c>
    </row>
    <row r="83" spans="1:12" x14ac:dyDescent="0.35">
      <c r="A83" s="1625" t="s">
        <v>479</v>
      </c>
      <c r="B83" s="1622" t="s">
        <v>483</v>
      </c>
      <c r="K83" s="1622">
        <f>K82</f>
        <v>0.83333333333333337</v>
      </c>
      <c r="L83" s="1819" t="s">
        <v>484</v>
      </c>
    </row>
    <row r="84" spans="1:12" x14ac:dyDescent="0.35">
      <c r="A84" s="1625" t="s">
        <v>173</v>
      </c>
      <c r="B84" s="1622" t="s">
        <v>485</v>
      </c>
      <c r="K84" s="1622">
        <f>3/12</f>
        <v>0.25</v>
      </c>
      <c r="L84" s="1819" t="s">
        <v>486</v>
      </c>
    </row>
    <row r="85" spans="1:12" x14ac:dyDescent="0.35">
      <c r="A85" s="1633" t="str">
        <f>A61</f>
        <v>Personal communication with Operator</v>
      </c>
      <c r="B85" s="1790"/>
      <c r="C85" s="1790"/>
      <c r="D85" s="1790"/>
      <c r="E85" s="1790"/>
      <c r="F85" s="1790"/>
      <c r="G85" s="1790"/>
      <c r="H85" s="1790"/>
      <c r="I85" s="1790"/>
      <c r="J85" s="1790"/>
      <c r="K85" s="1790">
        <f>Tech_Spec_New_Escoot!B21/12</f>
        <v>1.9666666666666668</v>
      </c>
      <c r="L85" s="1741"/>
    </row>
  </sheetData>
  <mergeCells count="1">
    <mergeCell ref="A1:L1"/>
  </mergeCells>
  <hyperlinks>
    <hyperlink ref="A35" r:id="rId1" xr:uid="{00000000-0004-0000-1B00-000000000000}"/>
    <hyperlink ref="A59" r:id="rId2" xr:uid="{00000000-0004-0000-1B00-000001000000}"/>
    <hyperlink ref="A63" r:id="rId3" display="Chester quoting Bird" xr:uid="{00000000-0004-0000-1B00-000002000000}"/>
    <hyperlink ref="F12" r:id="rId4" xr:uid="{00000000-0004-0000-1B00-000003000000}"/>
    <hyperlink ref="B77" r:id="rId5" xr:uid="{00000000-0004-0000-1B00-000004000000}"/>
    <hyperlink ref="L77" r:id="rId6" xr:uid="{00000000-0004-0000-1B00-000005000000}"/>
    <hyperlink ref="L78" r:id="rId7" xr:uid="{00000000-0004-0000-1B00-000006000000}"/>
    <hyperlink ref="L79" r:id="rId8" xr:uid="{00000000-0004-0000-1B00-000007000000}"/>
    <hyperlink ref="L84" r:id="rId9" xr:uid="{00000000-0004-0000-1B00-000008000000}"/>
    <hyperlink ref="L82" r:id="rId10" xr:uid="{00000000-0004-0000-1B00-000009000000}"/>
    <hyperlink ref="L80" r:id="rId11" xr:uid="{00000000-0004-0000-1B00-00000A000000}"/>
    <hyperlink ref="L83" r:id="rId12" display="http://www.carbone4.com/wp-content/uploads/2019/09/Carbone-4-for-Bird-E-Scooter-and-Cities-decarbonization.pdf" xr:uid="{00000000-0004-0000-1B00-00000B000000}"/>
    <hyperlink ref="A37" r:id="rId13" display="Skip" xr:uid="{00000000-0004-0000-1B00-00000C000000}"/>
    <hyperlink ref="A60" r:id="rId14" xr:uid="{00000000-0004-0000-1B00-00000D000000}"/>
    <hyperlink ref="A40" r:id="rId15" xr:uid="{00000000-0004-0000-1B00-00000E000000}"/>
    <hyperlink ref="A66" r:id="rId16" xr:uid="{00000000-0004-0000-1B00-00000F000000}"/>
    <hyperlink ref="A67" r:id="rId17" xr:uid="{00000000-0004-0000-1B00-000010000000}"/>
    <hyperlink ref="A68" r:id="rId18" xr:uid="{00000000-0004-0000-1B00-000011000000}"/>
    <hyperlink ref="A41" r:id="rId19" xr:uid="{00000000-0004-0000-1B00-000012000000}"/>
    <hyperlink ref="M40" r:id="rId20" xr:uid="{00000000-0004-0000-1B00-000013000000}"/>
    <hyperlink ref="M38" r:id="rId21" xr:uid="{00000000-0004-0000-1B00-000014000000}"/>
  </hyperlinks>
  <pageMargins left="0.7" right="0.7" top="0.75" bottom="0.75" header="0.3" footer="0.3"/>
  <legacyDrawing r:id="rId2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93"/>
  <sheetViews>
    <sheetView topLeftCell="A38" workbookViewId="0">
      <selection sqref="A1:AB1"/>
    </sheetView>
  </sheetViews>
  <sheetFormatPr defaultColWidth="9" defaultRowHeight="13.5" x14ac:dyDescent="0.35"/>
  <cols>
    <col min="1" max="1" width="63.19921875" style="1622" customWidth="1"/>
    <col min="2" max="2" width="10.46484375" style="1622" customWidth="1"/>
    <col min="3" max="16384" width="9" style="1622"/>
  </cols>
  <sheetData>
    <row r="1" spans="1:8" ht="17.649999999999999" x14ac:dyDescent="0.5">
      <c r="A1" s="2181" t="s">
        <v>3589</v>
      </c>
      <c r="B1" s="2181"/>
      <c r="C1" s="2181"/>
      <c r="D1" s="2181"/>
      <c r="E1" s="2181"/>
      <c r="F1" s="2181"/>
      <c r="G1" s="2181"/>
      <c r="H1" s="2181"/>
    </row>
    <row r="4" spans="1:8" x14ac:dyDescent="0.35">
      <c r="A4" s="1611" t="s">
        <v>487</v>
      </c>
      <c r="B4" s="1613">
        <v>500</v>
      </c>
      <c r="C4" s="1614" t="s">
        <v>488</v>
      </c>
    </row>
    <row r="5" spans="1:8" x14ac:dyDescent="0.35">
      <c r="A5" s="1625" t="s">
        <v>489</v>
      </c>
      <c r="B5" s="1622">
        <v>5.3</v>
      </c>
      <c r="C5" s="1626" t="s">
        <v>490</v>
      </c>
    </row>
    <row r="6" spans="1:8" x14ac:dyDescent="0.35">
      <c r="A6" s="1625" t="s">
        <v>491</v>
      </c>
      <c r="B6" s="1622">
        <f>B7*B8*B9</f>
        <v>6.4006249999999998</v>
      </c>
      <c r="C6" s="1626" t="s">
        <v>492</v>
      </c>
    </row>
    <row r="7" spans="1:8" x14ac:dyDescent="0.35">
      <c r="A7" s="1625" t="s">
        <v>493</v>
      </c>
      <c r="B7" s="1622">
        <v>7.7</v>
      </c>
      <c r="C7" s="1626" t="s">
        <v>494</v>
      </c>
    </row>
    <row r="8" spans="1:8" x14ac:dyDescent="0.35">
      <c r="A8" s="1625" t="s">
        <v>495</v>
      </c>
      <c r="B8" s="1820">
        <v>0.95</v>
      </c>
      <c r="C8" s="1626" t="s">
        <v>496</v>
      </c>
    </row>
    <row r="9" spans="1:8" x14ac:dyDescent="0.35">
      <c r="A9" s="1625" t="s">
        <v>497</v>
      </c>
      <c r="B9" s="1820">
        <f>1-B12</f>
        <v>0.875</v>
      </c>
      <c r="C9" s="1626" t="s">
        <v>498</v>
      </c>
    </row>
    <row r="10" spans="1:8" x14ac:dyDescent="0.35">
      <c r="A10" s="1625" t="s">
        <v>499</v>
      </c>
      <c r="B10" s="1622">
        <v>3.5</v>
      </c>
      <c r="C10" s="1626" t="s">
        <v>500</v>
      </c>
    </row>
    <row r="11" spans="1:8" s="1645" customFormat="1" ht="12.75" x14ac:dyDescent="0.35">
      <c r="A11" s="1821" t="s">
        <v>62</v>
      </c>
      <c r="B11" s="1822">
        <f>(B16/1000*0.7-B10*B7*B18/100)/(B16/1000*0.7)</f>
        <v>0.1685117967332124</v>
      </c>
      <c r="C11" s="1823" t="s">
        <v>501</v>
      </c>
    </row>
    <row r="12" spans="1:8" x14ac:dyDescent="0.35">
      <c r="A12" s="1625" t="s">
        <v>502</v>
      </c>
      <c r="B12" s="1629">
        <f>(0.5/(B10+0.5))</f>
        <v>0.125</v>
      </c>
      <c r="C12" s="1626" t="str">
        <f>"&lt;&lt; assumes 1 charge every "&amp;B10&amp;" days, 0.5 days needed per scooter movements (repositioning) between charges and no time losses for charge (thanks to swapping)"</f>
        <v>&lt;&lt; assumes 1 charge every 3.5 days, 0.5 days needed per scooter movements (repositioning) between charges and no time losses for charge (thanks to swapping)</v>
      </c>
    </row>
    <row r="13" spans="1:8" x14ac:dyDescent="0.35">
      <c r="A13" s="1625" t="s">
        <v>503</v>
      </c>
      <c r="B13" s="1824">
        <f>1-B8*(1-B12)</f>
        <v>0.16875000000000007</v>
      </c>
      <c r="C13" s="1626"/>
    </row>
    <row r="14" spans="1:8" s="1645" customFormat="1" x14ac:dyDescent="0.35">
      <c r="A14" s="1625" t="s">
        <v>504</v>
      </c>
      <c r="B14" s="1825">
        <f>1+B12</f>
        <v>1.125</v>
      </c>
      <c r="C14" s="1823"/>
    </row>
    <row r="15" spans="1:8" x14ac:dyDescent="0.35">
      <c r="A15" s="1625" t="s">
        <v>505</v>
      </c>
      <c r="B15" s="1622">
        <v>2</v>
      </c>
      <c r="C15" s="1626" t="s">
        <v>506</v>
      </c>
      <c r="E15" s="1622" t="s">
        <v>507</v>
      </c>
    </row>
    <row r="16" spans="1:8" x14ac:dyDescent="0.35">
      <c r="A16" s="1625" t="s">
        <v>508</v>
      </c>
      <c r="B16" s="1622">
        <v>551</v>
      </c>
      <c r="C16" s="1626" t="s">
        <v>509</v>
      </c>
    </row>
    <row r="17" spans="1:5" x14ac:dyDescent="0.35">
      <c r="A17" s="1625" t="s">
        <v>510</v>
      </c>
      <c r="B17" s="1622">
        <v>2600</v>
      </c>
      <c r="C17" s="1626" t="s">
        <v>511</v>
      </c>
    </row>
    <row r="18" spans="1:5" x14ac:dyDescent="0.35">
      <c r="A18" s="1625"/>
      <c r="B18" s="1622">
        <v>1.19</v>
      </c>
      <c r="C18" s="1626" t="s">
        <v>443</v>
      </c>
    </row>
    <row r="19" spans="1:5" x14ac:dyDescent="0.35">
      <c r="A19" s="1625" t="s">
        <v>259</v>
      </c>
      <c r="B19" s="1622">
        <f>B16/1000/B18*100</f>
        <v>46.302521008403367</v>
      </c>
      <c r="C19" s="1626" t="s">
        <v>260</v>
      </c>
    </row>
    <row r="20" spans="1:5" x14ac:dyDescent="0.35">
      <c r="A20" s="1625"/>
      <c r="C20" s="1626"/>
    </row>
    <row r="21" spans="1:5" x14ac:dyDescent="0.35">
      <c r="A21" s="1625" t="s">
        <v>512</v>
      </c>
      <c r="B21" s="1622">
        <v>23.6</v>
      </c>
      <c r="C21" s="1626" t="s">
        <v>513</v>
      </c>
      <c r="D21" s="1622" t="s">
        <v>514</v>
      </c>
    </row>
    <row r="22" spans="1:5" x14ac:dyDescent="0.35">
      <c r="A22" s="1633"/>
      <c r="B22" s="1790">
        <f>B21*30*B6</f>
        <v>4531.6424999999999</v>
      </c>
      <c r="C22" s="1741" t="s">
        <v>515</v>
      </c>
    </row>
    <row r="25" spans="1:5" x14ac:dyDescent="0.35">
      <c r="A25" s="1611" t="s">
        <v>516</v>
      </c>
      <c r="B25" s="1613">
        <v>28.5</v>
      </c>
      <c r="C25" s="1613" t="s">
        <v>235</v>
      </c>
      <c r="D25" s="1613"/>
      <c r="E25" s="1614"/>
    </row>
    <row r="26" spans="1:5" x14ac:dyDescent="0.35">
      <c r="A26" s="1625"/>
      <c r="E26" s="1626"/>
    </row>
    <row r="27" spans="1:5" x14ac:dyDescent="0.35">
      <c r="A27" s="1625"/>
      <c r="E27" s="1626"/>
    </row>
    <row r="28" spans="1:5" x14ac:dyDescent="0.35">
      <c r="A28" s="1625" t="s">
        <v>517</v>
      </c>
      <c r="B28" s="1622">
        <v>110</v>
      </c>
      <c r="C28" s="1622" t="s">
        <v>518</v>
      </c>
      <c r="E28" s="1626" t="s">
        <v>519</v>
      </c>
    </row>
    <row r="29" spans="1:5" x14ac:dyDescent="0.35">
      <c r="A29" s="1625"/>
      <c r="B29" s="1622">
        <v>2</v>
      </c>
      <c r="C29" s="1622" t="s">
        <v>520</v>
      </c>
      <c r="E29" s="1626"/>
    </row>
    <row r="30" spans="1:5" x14ac:dyDescent="0.35">
      <c r="A30" s="1625"/>
      <c r="B30" s="1622">
        <v>80</v>
      </c>
      <c r="C30" s="1622" t="s">
        <v>521</v>
      </c>
      <c r="E30" s="1626" t="s">
        <v>519</v>
      </c>
    </row>
    <row r="31" spans="1:5" x14ac:dyDescent="0.35">
      <c r="A31" s="1625"/>
      <c r="B31" s="1622">
        <v>2</v>
      </c>
      <c r="C31" s="1622" t="s">
        <v>520</v>
      </c>
      <c r="E31" s="1626"/>
    </row>
    <row r="32" spans="1:5" x14ac:dyDescent="0.35">
      <c r="A32" s="1625"/>
      <c r="E32" s="1626"/>
    </row>
    <row r="33" spans="1:5" x14ac:dyDescent="0.35">
      <c r="A33" s="1625" t="s">
        <v>522</v>
      </c>
      <c r="E33" s="1626"/>
    </row>
    <row r="34" spans="1:5" x14ac:dyDescent="0.35">
      <c r="A34" s="1625" t="s">
        <v>523</v>
      </c>
      <c r="B34" s="1622">
        <v>55</v>
      </c>
      <c r="C34" s="1622" t="s">
        <v>524</v>
      </c>
      <c r="E34" s="1626" t="s">
        <v>525</v>
      </c>
    </row>
    <row r="35" spans="1:5" x14ac:dyDescent="0.35">
      <c r="A35" s="1625" t="s">
        <v>523</v>
      </c>
      <c r="B35" s="1622">
        <v>74</v>
      </c>
      <c r="C35" s="1622" t="s">
        <v>526</v>
      </c>
      <c r="E35" s="1626"/>
    </row>
    <row r="36" spans="1:5" x14ac:dyDescent="0.35">
      <c r="A36" s="1625" t="s">
        <v>527</v>
      </c>
      <c r="B36" s="1622">
        <v>40</v>
      </c>
      <c r="C36" s="1622" t="s">
        <v>526</v>
      </c>
      <c r="E36" s="1626"/>
    </row>
    <row r="37" spans="1:5" x14ac:dyDescent="0.35">
      <c r="A37" s="1625" t="s">
        <v>528</v>
      </c>
      <c r="B37" s="1622">
        <v>6</v>
      </c>
      <c r="C37" s="1622" t="s">
        <v>524</v>
      </c>
      <c r="D37" s="1622" t="s">
        <v>529</v>
      </c>
      <c r="E37" s="1626"/>
    </row>
    <row r="38" spans="1:5" x14ac:dyDescent="0.35">
      <c r="A38" s="1625" t="s">
        <v>530</v>
      </c>
      <c r="B38" s="1622">
        <v>22</v>
      </c>
      <c r="C38" s="1622" t="s">
        <v>524</v>
      </c>
      <c r="E38" s="1626"/>
    </row>
    <row r="39" spans="1:5" x14ac:dyDescent="0.35">
      <c r="A39" s="1633" t="str">
        <f>A38</f>
        <v>e.g. Nissan EV 200</v>
      </c>
      <c r="B39" s="1790">
        <v>60</v>
      </c>
      <c r="C39" s="1790" t="s">
        <v>526</v>
      </c>
      <c r="D39" s="1790"/>
      <c r="E39" s="1741"/>
    </row>
    <row r="41" spans="1:5" x14ac:dyDescent="0.35">
      <c r="B41" s="1617"/>
    </row>
    <row r="42" spans="1:5" x14ac:dyDescent="0.35">
      <c r="B42" s="1622">
        <v>5000</v>
      </c>
      <c r="C42" s="1622" t="s">
        <v>531</v>
      </c>
    </row>
    <row r="43" spans="1:5" x14ac:dyDescent="0.35">
      <c r="B43" s="1622">
        <v>24</v>
      </c>
      <c r="C43" s="1622" t="s">
        <v>532</v>
      </c>
    </row>
    <row r="44" spans="1:5" x14ac:dyDescent="0.35">
      <c r="B44" s="1622">
        <v>4</v>
      </c>
      <c r="C44" s="1622" t="s">
        <v>533</v>
      </c>
    </row>
    <row r="45" spans="1:5" x14ac:dyDescent="0.35">
      <c r="B45" s="1622">
        <v>10</v>
      </c>
      <c r="C45" s="1622" t="str">
        <f>A34</f>
        <v>Electric van capacity (e.g. Master ZE)</v>
      </c>
    </row>
    <row r="46" spans="1:5" x14ac:dyDescent="0.35">
      <c r="B46" s="1622">
        <v>2</v>
      </c>
      <c r="C46" s="1622" t="str">
        <f>A38</f>
        <v>e.g. Nissan EV 200</v>
      </c>
    </row>
    <row r="48" spans="1:5" x14ac:dyDescent="0.35">
      <c r="A48" s="1622" t="s">
        <v>534</v>
      </c>
      <c r="B48" s="1622">
        <f>(B45+B46)*B28+B43*B30</f>
        <v>3240</v>
      </c>
      <c r="C48" s="1622" t="s">
        <v>260</v>
      </c>
    </row>
    <row r="49" spans="1:19" x14ac:dyDescent="0.35">
      <c r="A49" s="1622" t="s">
        <v>535</v>
      </c>
      <c r="B49" s="1622">
        <f>B48/(B45+B46+B43)</f>
        <v>90</v>
      </c>
      <c r="C49" s="1622" t="s">
        <v>536</v>
      </c>
      <c r="F49" s="1622" t="s">
        <v>537</v>
      </c>
    </row>
    <row r="50" spans="1:19" x14ac:dyDescent="0.35">
      <c r="A50" s="1622" t="s">
        <v>538</v>
      </c>
      <c r="B50" s="1622">
        <f>B49/AVERAGE(B29,B31)</f>
        <v>45</v>
      </c>
      <c r="C50" s="1622" t="s">
        <v>539</v>
      </c>
    </row>
    <row r="51" spans="1:19" x14ac:dyDescent="0.35">
      <c r="A51" s="1622" t="s">
        <v>540</v>
      </c>
      <c r="B51" s="1622">
        <f>B50/(B10+0.5)</f>
        <v>11.25</v>
      </c>
      <c r="C51" s="1622" t="s">
        <v>541</v>
      </c>
    </row>
    <row r="52" spans="1:19" x14ac:dyDescent="0.35">
      <c r="B52" s="1627">
        <f>(AVERAGE(B38:B39)*B46+AVERAGE(B34:B35)*B45+B36*B43)/(B46+B45+B43)*B57</f>
        <v>14.058333333333334</v>
      </c>
      <c r="M52" s="1799" t="str">
        <f>"&gt;&gt; Upper bound/Optimistic (see "&amp;A53&amp;" info below) (San Francisco) &gt;&gt;&gt;"</f>
        <v>&gt;&gt; Upper bound/Optimistic (see service km per e-scooter info below) (San Francisco) &gt;&gt;&gt;</v>
      </c>
      <c r="N52" s="1622">
        <v>42</v>
      </c>
      <c r="O52" s="1622" t="s">
        <v>542</v>
      </c>
      <c r="Q52" s="1622">
        <v>60</v>
      </c>
      <c r="S52" s="1622" t="s">
        <v>543</v>
      </c>
    </row>
    <row r="53" spans="1:19" x14ac:dyDescent="0.35">
      <c r="A53" s="1622" t="s">
        <v>544</v>
      </c>
      <c r="B53" s="1627">
        <f>B51/B52</f>
        <v>0.80023710729104913</v>
      </c>
      <c r="C53" s="1622" t="s">
        <v>545</v>
      </c>
      <c r="I53" s="1826" t="s">
        <v>546</v>
      </c>
    </row>
    <row r="54" spans="1:19" x14ac:dyDescent="0.35">
      <c r="A54" s="1622" t="s">
        <v>547</v>
      </c>
      <c r="B54" s="1622">
        <f>B42*B7*B8*B9</f>
        <v>32003.125</v>
      </c>
      <c r="C54" s="1622" t="str">
        <f>C48</f>
        <v>km</v>
      </c>
    </row>
    <row r="55" spans="1:19" x14ac:dyDescent="0.35">
      <c r="B55" s="1617">
        <f>B48/B54</f>
        <v>0.10124011327018846</v>
      </c>
      <c r="C55" s="1622" t="s">
        <v>548</v>
      </c>
    </row>
    <row r="56" spans="1:19" x14ac:dyDescent="0.35">
      <c r="B56" s="1617" t="e">
        <f>#REF!</f>
        <v>#REF!</v>
      </c>
      <c r="G56" s="1622" t="s">
        <v>549</v>
      </c>
      <c r="H56" s="1827" t="s">
        <v>550</v>
      </c>
      <c r="I56" s="1827" t="s">
        <v>551</v>
      </c>
      <c r="J56" s="1827" t="s">
        <v>552</v>
      </c>
      <c r="K56" s="1827" t="s">
        <v>553</v>
      </c>
      <c r="M56" s="1827" t="s">
        <v>554</v>
      </c>
    </row>
    <row r="57" spans="1:19" ht="13.9" x14ac:dyDescent="0.4">
      <c r="A57" s="1622" t="s">
        <v>555</v>
      </c>
      <c r="B57" s="1828">
        <f>SUM(H57:K57)/COUNT(H57:K57)</f>
        <v>0.3</v>
      </c>
      <c r="C57" s="1622" t="s">
        <v>556</v>
      </c>
      <c r="G57" s="1622" t="s">
        <v>557</v>
      </c>
      <c r="H57" s="1827">
        <f>AVERAGE(0,$M$57)</f>
        <v>0.2</v>
      </c>
      <c r="I57" s="1827">
        <f>M57</f>
        <v>0.4</v>
      </c>
      <c r="J57" s="1827">
        <f>M57</f>
        <v>0.4</v>
      </c>
      <c r="K57" s="1827">
        <f>AVERAGE(0,M57)</f>
        <v>0.2</v>
      </c>
      <c r="M57" s="1622">
        <v>0.4</v>
      </c>
      <c r="N57" s="1622" t="str">
        <f>"&lt;&lt; assumed to make "&amp;A56&amp;" match the empirical value of"&amp;A55</f>
        <v>&lt;&lt; assumed to make  match the empirical value of</v>
      </c>
    </row>
    <row r="58" spans="1:19" x14ac:dyDescent="0.35">
      <c r="B58" s="1627"/>
    </row>
    <row r="60" spans="1:19" x14ac:dyDescent="0.35">
      <c r="A60" s="1622" t="s">
        <v>558</v>
      </c>
    </row>
    <row r="61" spans="1:19" x14ac:dyDescent="0.35">
      <c r="A61" s="1622" t="s">
        <v>559</v>
      </c>
      <c r="B61" s="1622" t="s">
        <v>560</v>
      </c>
    </row>
    <row r="63" spans="1:19" x14ac:dyDescent="0.35">
      <c r="A63" s="1622" t="s">
        <v>561</v>
      </c>
      <c r="B63" s="1820">
        <v>0.8</v>
      </c>
      <c r="E63" s="1622" t="s">
        <v>519</v>
      </c>
    </row>
    <row r="65" spans="1:5" x14ac:dyDescent="0.35">
      <c r="A65" s="1622" t="s">
        <v>562</v>
      </c>
    </row>
    <row r="68" spans="1:5" x14ac:dyDescent="0.35">
      <c r="A68" s="1622" t="s">
        <v>563</v>
      </c>
      <c r="B68" s="1622">
        <v>67</v>
      </c>
      <c r="C68" s="1622" t="s">
        <v>564</v>
      </c>
      <c r="E68" s="1622" t="s">
        <v>565</v>
      </c>
    </row>
    <row r="69" spans="1:5" x14ac:dyDescent="0.35">
      <c r="B69" s="1622">
        <v>35</v>
      </c>
      <c r="C69" s="1622" t="s">
        <v>566</v>
      </c>
      <c r="E69" s="1622" t="s">
        <v>519</v>
      </c>
    </row>
    <row r="70" spans="1:5" x14ac:dyDescent="0.35">
      <c r="B70" s="1622">
        <v>115</v>
      </c>
      <c r="C70" s="1622" t="s">
        <v>564</v>
      </c>
      <c r="E70" s="1622" t="s">
        <v>567</v>
      </c>
    </row>
    <row r="72" spans="1:5" x14ac:dyDescent="0.35">
      <c r="A72" s="1622" t="s">
        <v>568</v>
      </c>
      <c r="B72" s="1820">
        <v>0.11</v>
      </c>
    </row>
    <row r="74" spans="1:5" x14ac:dyDescent="0.35">
      <c r="A74" s="1622" t="s">
        <v>569</v>
      </c>
      <c r="B74" s="1622" t="s">
        <v>570</v>
      </c>
    </row>
    <row r="75" spans="1:5" x14ac:dyDescent="0.35">
      <c r="A75" s="1622" t="s">
        <v>463</v>
      </c>
      <c r="B75" s="1622" t="s">
        <v>571</v>
      </c>
    </row>
    <row r="77" spans="1:5" x14ac:dyDescent="0.35">
      <c r="A77" s="1622" t="s">
        <v>240</v>
      </c>
      <c r="B77" s="1820">
        <v>0.9</v>
      </c>
      <c r="C77" s="1622" t="s">
        <v>572</v>
      </c>
    </row>
    <row r="78" spans="1:5" x14ac:dyDescent="0.35">
      <c r="B78" s="1820">
        <v>0.1</v>
      </c>
      <c r="C78" s="1622" t="s">
        <v>573</v>
      </c>
    </row>
    <row r="80" spans="1:5" x14ac:dyDescent="0.35">
      <c r="A80" s="1611" t="s">
        <v>574</v>
      </c>
      <c r="B80" s="1614"/>
    </row>
    <row r="81" spans="1:2" x14ac:dyDescent="0.35">
      <c r="A81" s="1625"/>
      <c r="B81" s="1626"/>
    </row>
    <row r="82" spans="1:2" x14ac:dyDescent="0.35">
      <c r="A82" s="1625"/>
      <c r="B82" s="1626"/>
    </row>
    <row r="83" spans="1:2" x14ac:dyDescent="0.35">
      <c r="A83" s="1625" t="s">
        <v>575</v>
      </c>
      <c r="B83" s="1891">
        <v>0.43</v>
      </c>
    </row>
    <row r="84" spans="1:2" x14ac:dyDescent="0.35">
      <c r="A84" s="1625" t="s">
        <v>576</v>
      </c>
      <c r="B84" s="1891">
        <v>0.15</v>
      </c>
    </row>
    <row r="85" spans="1:2" x14ac:dyDescent="0.35">
      <c r="A85" s="1625" t="s">
        <v>234</v>
      </c>
      <c r="B85" s="1939">
        <v>9.1999999999999998E-2</v>
      </c>
    </row>
    <row r="86" spans="1:2" x14ac:dyDescent="0.35">
      <c r="A86" s="1625" t="s">
        <v>577</v>
      </c>
      <c r="B86" s="1891">
        <v>7.0000000000000007E-2</v>
      </c>
    </row>
    <row r="87" spans="1:2" x14ac:dyDescent="0.35">
      <c r="A87" s="1625" t="s">
        <v>239</v>
      </c>
      <c r="B87" s="1891">
        <v>0.04</v>
      </c>
    </row>
    <row r="88" spans="1:2" x14ac:dyDescent="0.35">
      <c r="A88" s="1625" t="s">
        <v>238</v>
      </c>
      <c r="B88" s="1939">
        <v>3.3999999999999998E-3</v>
      </c>
    </row>
    <row r="89" spans="1:2" x14ac:dyDescent="0.35">
      <c r="A89" s="1625" t="s">
        <v>578</v>
      </c>
      <c r="B89" s="1891">
        <v>0.09</v>
      </c>
    </row>
    <row r="90" spans="1:2" x14ac:dyDescent="0.35">
      <c r="A90" s="1625" t="s">
        <v>579</v>
      </c>
      <c r="B90" s="1891">
        <v>0.03</v>
      </c>
    </row>
    <row r="91" spans="1:2" x14ac:dyDescent="0.35">
      <c r="A91" s="1625"/>
      <c r="B91" s="1626"/>
    </row>
    <row r="92" spans="1:2" x14ac:dyDescent="0.35">
      <c r="A92" s="1625" t="s">
        <v>580</v>
      </c>
      <c r="B92" s="1626" t="s">
        <v>581</v>
      </c>
    </row>
    <row r="93" spans="1:2" x14ac:dyDescent="0.35">
      <c r="A93" s="1633"/>
      <c r="B93" s="1741" t="s">
        <v>582</v>
      </c>
    </row>
  </sheetData>
  <mergeCells count="1">
    <mergeCell ref="A1:H1"/>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A97"/>
  <sheetViews>
    <sheetView workbookViewId="0">
      <selection sqref="A1:AB1"/>
    </sheetView>
  </sheetViews>
  <sheetFormatPr defaultColWidth="8.86328125" defaultRowHeight="13.5" x14ac:dyDescent="0.35"/>
  <cols>
    <col min="1" max="1" width="27.796875" style="1622" bestFit="1" customWidth="1"/>
    <col min="2" max="22" width="8.86328125" style="1622"/>
    <col min="23" max="24" width="9.19921875" style="1622" customWidth="1"/>
    <col min="25" max="16384" width="8.86328125" style="1622"/>
  </cols>
  <sheetData>
    <row r="1" spans="1:9" ht="17.649999999999999" x14ac:dyDescent="0.5">
      <c r="A1" s="2181" t="s">
        <v>3590</v>
      </c>
      <c r="B1" s="2181"/>
      <c r="C1" s="2181"/>
      <c r="D1" s="2181"/>
      <c r="E1" s="2181"/>
      <c r="F1" s="2181"/>
      <c r="G1" s="2181"/>
      <c r="H1" s="2181"/>
      <c r="I1" s="2181"/>
    </row>
    <row r="3" spans="1:9" ht="13.9" x14ac:dyDescent="0.4">
      <c r="A3" s="1774" t="s">
        <v>585</v>
      </c>
      <c r="B3" s="1613"/>
      <c r="C3" s="1613"/>
      <c r="D3" s="1613"/>
      <c r="E3" s="1613"/>
      <c r="F3" s="1614"/>
    </row>
    <row r="4" spans="1:9" ht="13.9" x14ac:dyDescent="0.4">
      <c r="A4" s="1804"/>
      <c r="F4" s="1626"/>
    </row>
    <row r="5" spans="1:9" x14ac:dyDescent="0.35">
      <c r="A5" s="1625"/>
      <c r="B5" s="1622" t="s">
        <v>586</v>
      </c>
      <c r="C5" s="1622" t="s">
        <v>385</v>
      </c>
      <c r="D5" s="1622" t="s">
        <v>587</v>
      </c>
      <c r="E5" s="1622" t="s">
        <v>245</v>
      </c>
      <c r="F5" s="1626" t="s">
        <v>416</v>
      </c>
    </row>
    <row r="6" spans="1:9" x14ac:dyDescent="0.35">
      <c r="A6" s="1625"/>
      <c r="C6" s="1622" t="s">
        <v>588</v>
      </c>
      <c r="D6" s="1622" t="s">
        <v>235</v>
      </c>
      <c r="E6" s="1622" t="s">
        <v>589</v>
      </c>
      <c r="F6" s="1626" t="s">
        <v>257</v>
      </c>
      <c r="I6" s="1607" t="s">
        <v>256</v>
      </c>
    </row>
    <row r="7" spans="1:9" x14ac:dyDescent="0.35">
      <c r="A7" s="1658" t="s">
        <v>590</v>
      </c>
      <c r="B7" s="1617" t="str">
        <f>B11</f>
        <v>Urban/suburban train</v>
      </c>
      <c r="C7" s="1622">
        <v>2.5499999999999998</v>
      </c>
      <c r="D7" s="1622">
        <v>15500</v>
      </c>
      <c r="E7" s="1622">
        <v>103</v>
      </c>
      <c r="F7" s="1626">
        <v>30</v>
      </c>
    </row>
    <row r="8" spans="1:9" x14ac:dyDescent="0.35">
      <c r="A8" s="1658" t="s">
        <v>591</v>
      </c>
      <c r="B8" s="1622" t="s">
        <v>592</v>
      </c>
      <c r="C8" s="1622">
        <f>8.04/4</f>
        <v>2.0099999999999998</v>
      </c>
      <c r="D8" s="1622">
        <f>227/4*1000</f>
        <v>56750</v>
      </c>
      <c r="E8" s="1795">
        <f>245/4</f>
        <v>61.25</v>
      </c>
      <c r="F8" s="1626">
        <v>25</v>
      </c>
    </row>
    <row r="9" spans="1:9" x14ac:dyDescent="0.35">
      <c r="A9" s="1658" t="s">
        <v>593</v>
      </c>
      <c r="B9" s="1617" t="s">
        <v>594</v>
      </c>
      <c r="C9" s="1617">
        <f>17.83/6</f>
        <v>2.9716666666666662</v>
      </c>
      <c r="D9" s="1795">
        <f>193/6*1000</f>
        <v>32166.666666666664</v>
      </c>
      <c r="E9" s="1795">
        <f>1204/6</f>
        <v>200.66666666666666</v>
      </c>
      <c r="F9" s="1626"/>
    </row>
    <row r="10" spans="1:9" x14ac:dyDescent="0.35">
      <c r="A10" s="1658" t="s">
        <v>595</v>
      </c>
      <c r="B10" s="1617" t="s">
        <v>596</v>
      </c>
      <c r="C10" s="1617">
        <f>26/9</f>
        <v>2.8888888888888888</v>
      </c>
      <c r="D10" s="1795">
        <f>238/9*1000</f>
        <v>26444.444444444442</v>
      </c>
      <c r="E10" s="1622">
        <f>1539/9</f>
        <v>171</v>
      </c>
      <c r="F10" s="1626">
        <v>40</v>
      </c>
    </row>
    <row r="11" spans="1:9" x14ac:dyDescent="0.35">
      <c r="A11" s="1658" t="s">
        <v>597</v>
      </c>
      <c r="B11" s="1617" t="s">
        <v>596</v>
      </c>
      <c r="C11" s="1617">
        <f>(16.1+2)/8</f>
        <v>2.2625000000000002</v>
      </c>
      <c r="D11" s="1622">
        <f>240/8*1000</f>
        <v>30000</v>
      </c>
      <c r="E11" s="1622">
        <f>900/8</f>
        <v>112.5</v>
      </c>
      <c r="F11" s="1626">
        <v>40</v>
      </c>
    </row>
    <row r="12" spans="1:9" x14ac:dyDescent="0.35">
      <c r="A12" s="1658" t="s">
        <v>598</v>
      </c>
      <c r="B12" s="1617" t="str">
        <f>B9</f>
        <v>Metro/Urbanm train</v>
      </c>
      <c r="C12" s="1622">
        <v>2.6</v>
      </c>
      <c r="D12" s="1795">
        <f>54700/3</f>
        <v>18233.333333333332</v>
      </c>
      <c r="E12" s="1627">
        <f>256/3</f>
        <v>85.333333333333329</v>
      </c>
      <c r="F12" s="1626">
        <v>30</v>
      </c>
    </row>
    <row r="13" spans="1:9" x14ac:dyDescent="0.35">
      <c r="A13" s="1658" t="s">
        <v>599</v>
      </c>
      <c r="B13" s="1617" t="str">
        <f>B12</f>
        <v>Metro/Urbanm train</v>
      </c>
      <c r="C13" s="1627">
        <f>0.09*100/3</f>
        <v>3</v>
      </c>
      <c r="D13" s="1795">
        <f>100/3*1000</f>
        <v>33333.333333333336</v>
      </c>
      <c r="E13" s="1622">
        <f>678/3</f>
        <v>226</v>
      </c>
      <c r="F13" s="1626"/>
    </row>
    <row r="14" spans="1:9" x14ac:dyDescent="0.35">
      <c r="A14" s="1658" t="s">
        <v>600</v>
      </c>
      <c r="B14" s="1617" t="str">
        <f>B10</f>
        <v>Urban/suburban train</v>
      </c>
      <c r="C14" s="1627">
        <f>8.15/4</f>
        <v>2.0375000000000001</v>
      </c>
      <c r="D14" s="1795">
        <f>204620/4</f>
        <v>51155</v>
      </c>
      <c r="E14" s="1622">
        <f>920/4</f>
        <v>230</v>
      </c>
      <c r="F14" s="1626"/>
    </row>
    <row r="15" spans="1:9" x14ac:dyDescent="0.35">
      <c r="A15" s="1658" t="s">
        <v>601</v>
      </c>
      <c r="B15" s="1617" t="str">
        <f>B13</f>
        <v>Metro/Urbanm train</v>
      </c>
      <c r="C15" s="1627">
        <f>0.021*564/4</f>
        <v>2.9610000000000003</v>
      </c>
      <c r="D15" s="1795"/>
      <c r="E15" s="1622">
        <f>564/4</f>
        <v>141</v>
      </c>
      <c r="F15" s="1626"/>
    </row>
    <row r="16" spans="1:9" x14ac:dyDescent="0.35">
      <c r="A16" s="1633" t="s">
        <v>602</v>
      </c>
      <c r="B16" s="1829" t="str">
        <f>B11</f>
        <v>Urban/suburban train</v>
      </c>
      <c r="C16" s="1634"/>
      <c r="D16" s="1830"/>
      <c r="E16" s="1790"/>
      <c r="F16" s="1741">
        <v>26</v>
      </c>
    </row>
    <row r="17" spans="1:27" x14ac:dyDescent="0.35">
      <c r="C17" s="1627"/>
    </row>
    <row r="18" spans="1:27" x14ac:dyDescent="0.35">
      <c r="A18" s="1831" t="s">
        <v>603</v>
      </c>
      <c r="B18" s="1614"/>
    </row>
    <row r="19" spans="1:27" x14ac:dyDescent="0.35">
      <c r="A19" s="1625" t="s">
        <v>604</v>
      </c>
      <c r="B19" s="1626" t="s">
        <v>605</v>
      </c>
    </row>
    <row r="20" spans="1:27" x14ac:dyDescent="0.35">
      <c r="A20" s="1633" t="s">
        <v>606</v>
      </c>
      <c r="B20" s="1832" t="s">
        <v>607</v>
      </c>
    </row>
    <row r="24" spans="1:27" x14ac:dyDescent="0.35">
      <c r="A24" s="1833" t="s">
        <v>608</v>
      </c>
      <c r="B24" s="1834">
        <f>AVERAGE(C9,C10,C13)</f>
        <v>2.9535185185185182</v>
      </c>
      <c r="C24" s="1835" t="s">
        <v>588</v>
      </c>
      <c r="D24" s="1835"/>
      <c r="E24" s="1835">
        <f>B24*3.6</f>
        <v>10.632666666666665</v>
      </c>
      <c r="F24" s="1835" t="s">
        <v>609</v>
      </c>
      <c r="G24" s="1835"/>
      <c r="H24" s="1835">
        <v>6</v>
      </c>
      <c r="I24" s="1835" t="s">
        <v>610</v>
      </c>
      <c r="J24" s="1835"/>
      <c r="K24" s="1835">
        <f>H24*E24</f>
        <v>63.795999999999992</v>
      </c>
      <c r="L24" s="1835" t="s">
        <v>611</v>
      </c>
      <c r="M24" s="1835"/>
      <c r="N24" s="1835">
        <f>K24/Convert!B12</f>
        <v>17.72111111111111</v>
      </c>
      <c r="O24" s="1836" t="s">
        <v>612</v>
      </c>
    </row>
    <row r="25" spans="1:27" ht="16.25" customHeight="1" x14ac:dyDescent="0.35"/>
    <row r="26" spans="1:27" ht="13.9" x14ac:dyDescent="0.4">
      <c r="A26" s="1774" t="s">
        <v>613</v>
      </c>
      <c r="B26" s="1613"/>
      <c r="C26" s="1613"/>
      <c r="D26" s="1613"/>
      <c r="E26" s="1613"/>
      <c r="F26" s="1613"/>
      <c r="G26" s="1613"/>
      <c r="H26" s="1613"/>
      <c r="I26" s="1613"/>
      <c r="J26" s="1613"/>
      <c r="K26" s="1613"/>
      <c r="L26" s="1613"/>
      <c r="M26" s="1613"/>
      <c r="N26" s="1613"/>
      <c r="O26" s="1613"/>
      <c r="P26" s="1613"/>
      <c r="Q26" s="1613"/>
      <c r="R26" s="1613"/>
      <c r="S26" s="1613"/>
      <c r="T26" s="1613"/>
      <c r="U26" s="1614"/>
      <c r="W26" s="1622" t="s">
        <v>614</v>
      </c>
      <c r="X26" s="1622" t="s">
        <v>615</v>
      </c>
      <c r="Y26" s="1622" t="s">
        <v>127</v>
      </c>
      <c r="Z26" s="1622" t="s">
        <v>616</v>
      </c>
      <c r="AA26" s="1622" t="s">
        <v>617</v>
      </c>
    </row>
    <row r="27" spans="1:27" x14ac:dyDescent="0.35">
      <c r="A27" s="1625"/>
      <c r="U27" s="1626"/>
      <c r="V27" s="1622" t="s">
        <v>235</v>
      </c>
      <c r="W27" s="1622">
        <f>ROUND(AVERAGE(Tech_Spec_Rail!D9,Tech_Spec_Rail!D10,Tech_Spec_Rail!D116,Tech_Spec_Rail!D13),-3)*Tech_Spec_Rail!H24</f>
        <v>186000</v>
      </c>
      <c r="X27" s="1795">
        <f>(1-AVERAGE(T46:U46))*W27</f>
        <v>113914.8482938995</v>
      </c>
      <c r="Y27" s="1795">
        <f>W27+X27</f>
        <v>299914.8482938995</v>
      </c>
    </row>
    <row r="28" spans="1:27" x14ac:dyDescent="0.35">
      <c r="A28" s="1625" t="s">
        <v>9</v>
      </c>
      <c r="B28" s="1622" t="str">
        <f>A10</f>
        <v>EPD (Bombardier Azur)</v>
      </c>
      <c r="C28" s="1622" t="str">
        <f>A7</f>
        <v>EPD (INNOVIA APM 300)</v>
      </c>
      <c r="D28" s="1622" t="str">
        <f>A11</f>
        <v>EPD (SPACIUM)</v>
      </c>
      <c r="E28" s="1622" t="str">
        <f>A8</f>
        <v>EPD (Regina Intercity X55 train)</v>
      </c>
      <c r="F28" s="1622" t="str">
        <f>A13</f>
        <v>Metro Oslo</v>
      </c>
      <c r="G28" s="1622" t="str">
        <f>A9</f>
        <v>EPD (Metro Rome Line C)</v>
      </c>
      <c r="H28" s="1622" t="str">
        <f>A69</f>
        <v>Hitachi Caravaggio Train</v>
      </c>
      <c r="J28" s="1622" t="str">
        <f>B28</f>
        <v>EPD (Bombardier Azur)</v>
      </c>
      <c r="K28" s="1622" t="str">
        <f>C28</f>
        <v>EPD (INNOVIA APM 300)</v>
      </c>
      <c r="L28" s="1622" t="str">
        <f>D28</f>
        <v>EPD (SPACIUM)</v>
      </c>
      <c r="N28" s="1622" t="str">
        <f>F28</f>
        <v>Metro Oslo</v>
      </c>
      <c r="O28" s="1622" t="str">
        <f>G28</f>
        <v>EPD (Metro Rome Line C)</v>
      </c>
      <c r="P28" s="1622" t="str">
        <f>H28</f>
        <v>Hitachi Caravaggio Train</v>
      </c>
      <c r="Q28" s="1622" t="str">
        <f>A90</f>
        <v>CAF Metro Helsinki</v>
      </c>
      <c r="U28" s="1626"/>
    </row>
    <row r="29" spans="1:27" x14ac:dyDescent="0.35">
      <c r="A29" s="1837" t="s">
        <v>614</v>
      </c>
      <c r="U29" s="1626"/>
      <c r="V29" s="1622" t="s">
        <v>234</v>
      </c>
      <c r="W29" s="1793">
        <f>AVERAGE(J30:Q30)*C81</f>
        <v>0.64959647327963088</v>
      </c>
      <c r="X29" s="1820">
        <f>AVERAGE(L39:M39)</f>
        <v>0.76198134536039031</v>
      </c>
      <c r="Y29" s="1795">
        <f>W$27*W29+X$27*X29</f>
        <v>207625.93338952167</v>
      </c>
      <c r="Z29" s="1793">
        <f>Y29/Y$27</f>
        <v>0.69228294154366132</v>
      </c>
      <c r="AA29" s="1793">
        <f>Y29/(Y$37-Y$34)</f>
        <v>0.69730277707685717</v>
      </c>
    </row>
    <row r="30" spans="1:27" x14ac:dyDescent="0.35">
      <c r="A30" s="1625" t="s">
        <v>618</v>
      </c>
      <c r="B30" s="1622">
        <v>207725</v>
      </c>
      <c r="C30" s="1622">
        <v>11594.4</v>
      </c>
      <c r="D30" s="1622">
        <v>209083</v>
      </c>
      <c r="E30" s="1622">
        <v>179981.3</v>
      </c>
      <c r="F30" s="1622">
        <f>B81+B82</f>
        <v>153926</v>
      </c>
      <c r="G30" s="1622">
        <f t="shared" ref="G30:G36" si="0">G60</f>
        <v>168822</v>
      </c>
      <c r="H30" s="1622">
        <f>G71</f>
        <v>178339</v>
      </c>
      <c r="J30" s="1629">
        <f t="shared" ref="J30:P37" si="1">B30/B$37</f>
        <v>0.87202468410226275</v>
      </c>
      <c r="K30" s="1629">
        <f t="shared" si="1"/>
        <v>0.78643957430356293</v>
      </c>
      <c r="L30" s="1629">
        <f t="shared" si="1"/>
        <v>0.86272446689113358</v>
      </c>
      <c r="M30" s="1629">
        <f t="shared" si="1"/>
        <v>0.79316441582879982</v>
      </c>
      <c r="N30" s="1629">
        <f t="shared" si="1"/>
        <v>0.68820809972190178</v>
      </c>
      <c r="O30" s="1629">
        <f t="shared" si="1"/>
        <v>0.87522875850877968</v>
      </c>
      <c r="P30" s="1629">
        <f t="shared" si="1"/>
        <v>0.87156617909382805</v>
      </c>
      <c r="Q30" s="1629">
        <f>83.84%</f>
        <v>0.83840000000000003</v>
      </c>
      <c r="U30" s="1626"/>
      <c r="V30" s="1622" t="s">
        <v>240</v>
      </c>
      <c r="W30" s="1793">
        <f>AVERAGE(J30:Q30)*C82</f>
        <v>0.17387304902665257</v>
      </c>
      <c r="Y30" s="1795">
        <f>W$27*W30+X$27*X30</f>
        <v>32340.387118957377</v>
      </c>
      <c r="Z30" s="1793">
        <f t="shared" ref="Z30:Z36" si="2">Y30/Y$27</f>
        <v>0.10783189729661412</v>
      </c>
      <c r="AA30" s="1793">
        <f t="shared" ref="AA30:AA36" si="3">Y30/(Y$37-Y$34)</f>
        <v>0.10861380070225703</v>
      </c>
    </row>
    <row r="31" spans="1:27" x14ac:dyDescent="0.35">
      <c r="A31" s="1625" t="s">
        <v>619</v>
      </c>
      <c r="B31" s="1622">
        <v>5003</v>
      </c>
      <c r="C31" s="1622">
        <v>1287.0999999999999</v>
      </c>
      <c r="D31" s="1622">
        <v>13117</v>
      </c>
      <c r="E31" s="1622">
        <v>9157.7999999999993</v>
      </c>
      <c r="F31" s="1622">
        <f>B84</f>
        <v>41565</v>
      </c>
      <c r="G31" s="1622">
        <f t="shared" si="0"/>
        <v>3369</v>
      </c>
      <c r="H31" s="1622">
        <f t="shared" ref="H31:H37" si="4">G72</f>
        <v>7582</v>
      </c>
      <c r="J31" s="1629">
        <f t="shared" si="1"/>
        <v>2.1002476806179421E-2</v>
      </c>
      <c r="K31" s="1629">
        <f t="shared" si="1"/>
        <v>8.7303040785734129E-2</v>
      </c>
      <c r="L31" s="1629">
        <f t="shared" si="1"/>
        <v>5.4123753878655839E-2</v>
      </c>
      <c r="M31" s="1629">
        <f t="shared" si="1"/>
        <v>4.0357754318237411E-2</v>
      </c>
      <c r="N31" s="1629">
        <f t="shared" si="1"/>
        <v>0.18583845266518229</v>
      </c>
      <c r="O31" s="1629">
        <f t="shared" si="1"/>
        <v>1.7466003763822718E-2</v>
      </c>
      <c r="P31" s="1629">
        <f t="shared" si="1"/>
        <v>3.7054232500403191E-2</v>
      </c>
      <c r="Q31" s="1629">
        <f>5.65%</f>
        <v>5.6500000000000002E-2</v>
      </c>
      <c r="U31" s="1626"/>
      <c r="V31" s="1622" t="str">
        <f t="shared" ref="V31:V36" si="5">A31</f>
        <v>Polymers</v>
      </c>
      <c r="W31" s="1820">
        <f t="shared" ref="W31:W36" si="6">AVERAGE(J31:Q31)</f>
        <v>6.2455714339776876E-2</v>
      </c>
      <c r="X31" s="1820">
        <f t="shared" ref="X31:X36" si="7">AVERAGE(L40:M40)</f>
        <v>3.4363264051000118E-2</v>
      </c>
      <c r="Y31" s="1795">
        <f t="shared" ref="Y31:Y36" si="8">W$27*W31+X$27*X31</f>
        <v>15531.248878451388</v>
      </c>
      <c r="Z31" s="1793">
        <f t="shared" si="2"/>
        <v>5.1785528348471922E-2</v>
      </c>
      <c r="AA31" s="1793">
        <f t="shared" si="3"/>
        <v>5.2161032090813644E-2</v>
      </c>
    </row>
    <row r="32" spans="1:27" x14ac:dyDescent="0.35">
      <c r="A32" s="1625" t="s">
        <v>620</v>
      </c>
      <c r="B32" s="1622">
        <v>7429</v>
      </c>
      <c r="C32" s="1622">
        <v>598.4</v>
      </c>
      <c r="D32" s="1622">
        <v>6504</v>
      </c>
      <c r="E32" s="1622">
        <v>7416.4</v>
      </c>
      <c r="G32" s="1622">
        <f t="shared" si="0"/>
        <v>8052</v>
      </c>
      <c r="H32" s="1622">
        <f t="shared" si="4"/>
        <v>6695</v>
      </c>
      <c r="J32" s="1629">
        <f t="shared" si="1"/>
        <v>3.1186767977834685E-2</v>
      </c>
      <c r="K32" s="1629">
        <f t="shared" si="1"/>
        <v>4.058902929545747E-2</v>
      </c>
      <c r="L32" s="1629">
        <f t="shared" si="1"/>
        <v>2.6836997425232718E-2</v>
      </c>
      <c r="M32" s="1629">
        <f t="shared" si="1"/>
        <v>3.2683531975559191E-2</v>
      </c>
      <c r="N32" s="1629">
        <f t="shared" si="1"/>
        <v>0</v>
      </c>
      <c r="O32" s="1629">
        <f t="shared" si="1"/>
        <v>4.1744215585129273E-2</v>
      </c>
      <c r="P32" s="1629">
        <f t="shared" si="1"/>
        <v>3.2719346688235208E-2</v>
      </c>
      <c r="Q32" s="1629">
        <f>3.3%</f>
        <v>3.3000000000000002E-2</v>
      </c>
      <c r="U32" s="1626"/>
      <c r="V32" s="1622" t="str">
        <f t="shared" si="5"/>
        <v>Elastomers</v>
      </c>
      <c r="W32" s="1820">
        <f t="shared" si="6"/>
        <v>2.9844986118431071E-2</v>
      </c>
      <c r="X32" s="1820">
        <f t="shared" si="7"/>
        <v>3.3410440817545947E-2</v>
      </c>
      <c r="Y32" s="1795">
        <f t="shared" si="8"/>
        <v>9357.1127151912333</v>
      </c>
      <c r="Z32" s="1793">
        <f t="shared" si="2"/>
        <v>3.119923127654485E-2</v>
      </c>
      <c r="AA32" s="1793">
        <f t="shared" si="3"/>
        <v>3.1425461045288212E-2</v>
      </c>
    </row>
    <row r="33" spans="1:27" x14ac:dyDescent="0.35">
      <c r="A33" s="1625" t="s">
        <v>242</v>
      </c>
      <c r="B33" s="1622">
        <v>6815</v>
      </c>
      <c r="C33" s="1622">
        <v>37.200000000000003</v>
      </c>
      <c r="D33" s="1622">
        <v>5479</v>
      </c>
      <c r="E33" s="1622">
        <v>7051.5</v>
      </c>
      <c r="G33" s="1622">
        <f t="shared" si="0"/>
        <v>3824</v>
      </c>
      <c r="H33" s="1622">
        <f t="shared" si="4"/>
        <v>4516</v>
      </c>
      <c r="J33" s="1629">
        <f t="shared" si="1"/>
        <v>2.8609210360606187E-2</v>
      </c>
      <c r="K33" s="1629">
        <f t="shared" si="1"/>
        <v>2.5232484789288402E-3</v>
      </c>
      <c r="L33" s="1629">
        <f t="shared" si="1"/>
        <v>2.2607612068396381E-2</v>
      </c>
      <c r="M33" s="1629">
        <f t="shared" si="1"/>
        <v>3.1075444383481966E-2</v>
      </c>
      <c r="N33" s="1629">
        <f t="shared" si="1"/>
        <v>0</v>
      </c>
      <c r="O33" s="1629">
        <f t="shared" si="1"/>
        <v>1.9824873372768795E-2</v>
      </c>
      <c r="P33" s="1629">
        <f t="shared" si="1"/>
        <v>2.2070286728016461E-2</v>
      </c>
      <c r="Q33" s="1629">
        <v>3.04E-2</v>
      </c>
      <c r="U33" s="1626"/>
      <c r="V33" s="1622" t="str">
        <f t="shared" si="5"/>
        <v>Glass</v>
      </c>
      <c r="W33" s="1820">
        <f t="shared" si="6"/>
        <v>1.963883442402483E-2</v>
      </c>
      <c r="X33" s="1820">
        <f t="shared" si="7"/>
        <v>1.1943573249175997E-2</v>
      </c>
      <c r="Y33" s="1795">
        <f t="shared" si="8"/>
        <v>5013.373537635578</v>
      </c>
      <c r="Z33" s="1793">
        <f t="shared" si="2"/>
        <v>1.6715989775613768E-2</v>
      </c>
      <c r="AA33" s="1793">
        <f t="shared" si="3"/>
        <v>1.6837199637091876E-2</v>
      </c>
    </row>
    <row r="34" spans="1:27" x14ac:dyDescent="0.35">
      <c r="A34" s="1625" t="s">
        <v>89</v>
      </c>
      <c r="B34" s="1622">
        <v>1019</v>
      </c>
      <c r="C34" s="1622">
        <v>211.1</v>
      </c>
      <c r="D34" s="1622">
        <v>1800</v>
      </c>
      <c r="E34" s="1622">
        <v>1849.8</v>
      </c>
      <c r="G34" s="1622">
        <f t="shared" si="0"/>
        <v>1650</v>
      </c>
      <c r="H34" s="1622">
        <f t="shared" si="4"/>
        <v>160</v>
      </c>
      <c r="J34" s="1629">
        <f t="shared" si="1"/>
        <v>4.2777381302212336E-3</v>
      </c>
      <c r="K34" s="1629">
        <f t="shared" si="1"/>
        <v>1.4318756825319304E-2</v>
      </c>
      <c r="L34" s="1629">
        <f t="shared" si="1"/>
        <v>7.4272133095662505E-3</v>
      </c>
      <c r="M34" s="1629">
        <f t="shared" si="1"/>
        <v>8.1519332086173058E-3</v>
      </c>
      <c r="N34" s="1629">
        <f t="shared" si="1"/>
        <v>0</v>
      </c>
      <c r="O34" s="1629">
        <f t="shared" si="1"/>
        <v>8.5541425379363264E-3</v>
      </c>
      <c r="P34" s="1629">
        <f t="shared" si="1"/>
        <v>7.8194107096603933E-4</v>
      </c>
      <c r="Q34" s="1629">
        <v>3.0000000000000001E-3</v>
      </c>
      <c r="U34" s="1626"/>
      <c r="V34" s="1622" t="str">
        <f t="shared" si="5"/>
        <v>Fluids</v>
      </c>
      <c r="W34" s="1820">
        <f t="shared" si="6"/>
        <v>5.8139656353283081E-3</v>
      </c>
      <c r="X34" s="1820">
        <f t="shared" si="7"/>
        <v>9.4603040554105365E-3</v>
      </c>
      <c r="Y34" s="1795">
        <f t="shared" si="8"/>
        <v>2159.0667094573187</v>
      </c>
      <c r="Z34" s="1793">
        <f t="shared" si="2"/>
        <v>7.198932369435594E-3</v>
      </c>
      <c r="AA34" s="1793"/>
    </row>
    <row r="35" spans="1:27" x14ac:dyDescent="0.35">
      <c r="A35" s="1625" t="s">
        <v>621</v>
      </c>
      <c r="B35" s="1622">
        <v>123</v>
      </c>
      <c r="C35" s="1622">
        <v>548.6</v>
      </c>
      <c r="D35" s="1622">
        <v>1690</v>
      </c>
      <c r="E35" s="1622">
        <v>6217.4</v>
      </c>
      <c r="F35" s="1622">
        <f>B86</f>
        <v>12141</v>
      </c>
      <c r="G35" s="1622">
        <f t="shared" si="0"/>
        <v>2623</v>
      </c>
      <c r="H35" s="1622">
        <f t="shared" si="4"/>
        <v>5007</v>
      </c>
      <c r="J35" s="1629">
        <f t="shared" si="1"/>
        <v>5.1635111876075727E-4</v>
      </c>
      <c r="K35" s="1629">
        <f t="shared" si="1"/>
        <v>3.7211132138181766E-2</v>
      </c>
      <c r="L35" s="1629">
        <f t="shared" si="1"/>
        <v>6.973328051759424E-3</v>
      </c>
      <c r="M35" s="1629">
        <f t="shared" si="1"/>
        <v>2.7399626733299407E-2</v>
      </c>
      <c r="N35" s="1629">
        <f t="shared" si="1"/>
        <v>5.4282801727606834E-2</v>
      </c>
      <c r="O35" s="1629">
        <f t="shared" si="1"/>
        <v>1.3598494470913323E-2</v>
      </c>
      <c r="P35" s="1629">
        <f t="shared" si="1"/>
        <v>2.4469868389543493E-2</v>
      </c>
      <c r="Q35" s="1629">
        <v>1.8E-3</v>
      </c>
      <c r="U35" s="1626"/>
      <c r="V35" s="1622" t="str">
        <f t="shared" si="5"/>
        <v>Modified organic natural materials</v>
      </c>
      <c r="W35" s="1820">
        <f t="shared" si="6"/>
        <v>2.0781450328758125E-2</v>
      </c>
      <c r="X35" s="1820">
        <f t="shared" si="7"/>
        <v>1.0266811452215901E-2</v>
      </c>
      <c r="Y35" s="1795">
        <f t="shared" si="8"/>
        <v>5034.8920301902554</v>
      </c>
      <c r="Z35" s="1793">
        <f t="shared" si="2"/>
        <v>1.6787738449202581E-2</v>
      </c>
      <c r="AA35" s="1793">
        <f t="shared" si="3"/>
        <v>1.6909468569839953E-2</v>
      </c>
    </row>
    <row r="36" spans="1:27" x14ac:dyDescent="0.35">
      <c r="A36" s="1625" t="s">
        <v>292</v>
      </c>
      <c r="B36" s="1622">
        <v>10096</v>
      </c>
      <c r="C36" s="1622">
        <v>466.1</v>
      </c>
      <c r="D36" s="1622">
        <v>4679</v>
      </c>
      <c r="E36" s="1622">
        <v>15241.3</v>
      </c>
      <c r="F36" s="1622">
        <f>B87+B85+B83</f>
        <v>16030</v>
      </c>
      <c r="G36" s="1622">
        <f t="shared" si="0"/>
        <v>4549</v>
      </c>
      <c r="H36" s="1622">
        <f t="shared" si="4"/>
        <v>2320</v>
      </c>
      <c r="J36" s="1629">
        <f t="shared" si="1"/>
        <v>4.2382771504135004E-2</v>
      </c>
      <c r="K36" s="1629">
        <f t="shared" si="1"/>
        <v>3.1615218172815387E-2</v>
      </c>
      <c r="L36" s="1629">
        <f t="shared" si="1"/>
        <v>1.9306628375255826E-2</v>
      </c>
      <c r="M36" s="1629">
        <f t="shared" si="1"/>
        <v>6.7167293552005056E-2</v>
      </c>
      <c r="N36" s="1629">
        <f t="shared" si="1"/>
        <v>7.1670645885309081E-2</v>
      </c>
      <c r="O36" s="1629">
        <f t="shared" si="1"/>
        <v>2.3583511760649909E-2</v>
      </c>
      <c r="P36" s="1629">
        <f t="shared" si="1"/>
        <v>1.133814552900757E-2</v>
      </c>
      <c r="Q36" s="1629">
        <v>3.6900000000000002E-2</v>
      </c>
      <c r="U36" s="1626"/>
      <c r="V36" s="1622" t="str">
        <f t="shared" si="5"/>
        <v>Others</v>
      </c>
      <c r="W36" s="1820">
        <f t="shared" si="6"/>
        <v>3.799552684739723E-2</v>
      </c>
      <c r="X36" s="1820">
        <f t="shared" si="7"/>
        <v>0.13857426101426118</v>
      </c>
      <c r="Y36" s="1795">
        <f t="shared" si="8"/>
        <v>22852.83391449468</v>
      </c>
      <c r="Z36" s="1793">
        <f t="shared" si="2"/>
        <v>7.619774094045588E-2</v>
      </c>
      <c r="AA36" s="1793">
        <f t="shared" si="3"/>
        <v>7.675026087785207E-2</v>
      </c>
    </row>
    <row r="37" spans="1:27" x14ac:dyDescent="0.35">
      <c r="A37" s="1625" t="s">
        <v>127</v>
      </c>
      <c r="B37" s="1622">
        <f t="shared" ref="B37:G37" si="9">SUM(B30:B36)</f>
        <v>238210</v>
      </c>
      <c r="C37" s="1622">
        <f t="shared" si="9"/>
        <v>14742.900000000001</v>
      </c>
      <c r="D37" s="1622">
        <f t="shared" si="9"/>
        <v>242352</v>
      </c>
      <c r="E37" s="1622">
        <f t="shared" si="9"/>
        <v>226915.49999999994</v>
      </c>
      <c r="F37" s="1622">
        <f t="shared" si="9"/>
        <v>223662</v>
      </c>
      <c r="G37" s="1622">
        <f t="shared" si="9"/>
        <v>192889</v>
      </c>
      <c r="H37" s="1622">
        <f t="shared" si="4"/>
        <v>204619</v>
      </c>
      <c r="J37" s="1629">
        <f t="shared" si="1"/>
        <v>1</v>
      </c>
      <c r="K37" s="1629">
        <f t="shared" si="1"/>
        <v>1</v>
      </c>
      <c r="L37" s="1629">
        <f t="shared" si="1"/>
        <v>1</v>
      </c>
      <c r="M37" s="1629">
        <f t="shared" si="1"/>
        <v>1</v>
      </c>
      <c r="N37" s="1629">
        <f t="shared" si="1"/>
        <v>1</v>
      </c>
      <c r="O37" s="1629">
        <f t="shared" si="1"/>
        <v>1</v>
      </c>
      <c r="P37" s="1629">
        <f t="shared" si="1"/>
        <v>1</v>
      </c>
      <c r="Q37" s="1629">
        <f>SUM(Q30:Q36)</f>
        <v>1</v>
      </c>
      <c r="U37" s="1626"/>
      <c r="V37" s="1622" t="s">
        <v>127</v>
      </c>
      <c r="W37" s="1793">
        <f>SUM(W29:W36)</f>
        <v>1</v>
      </c>
      <c r="X37" s="1793">
        <f>SUM(X29:X36)</f>
        <v>0.99999999999999989</v>
      </c>
      <c r="Y37" s="1795">
        <f>SUM(Y29:Y36)</f>
        <v>299914.8482938995</v>
      </c>
      <c r="Z37" s="1820">
        <f>SUM(Z29:Z36)</f>
        <v>1</v>
      </c>
      <c r="AA37" s="1820">
        <f>SUM(AA29:AA36)</f>
        <v>1</v>
      </c>
    </row>
    <row r="38" spans="1:27" x14ac:dyDescent="0.35">
      <c r="A38" s="1837" t="s">
        <v>615</v>
      </c>
      <c r="U38" s="1626"/>
    </row>
    <row r="39" spans="1:27" x14ac:dyDescent="0.35">
      <c r="A39" s="1625" t="s">
        <v>618</v>
      </c>
      <c r="B39" s="1622">
        <v>11942</v>
      </c>
      <c r="C39" s="1622">
        <v>215.8</v>
      </c>
      <c r="D39" s="1622">
        <v>131387</v>
      </c>
      <c r="E39" s="1622">
        <v>94101.3</v>
      </c>
      <c r="J39" s="1629">
        <f t="shared" ref="J39:M46" si="10">B39/B$46</f>
        <v>9.045667669047637E-2</v>
      </c>
      <c r="K39" s="1629">
        <f t="shared" si="10"/>
        <v>1.8135063363474407E-2</v>
      </c>
      <c r="L39" s="1629">
        <f t="shared" si="10"/>
        <v>0.66156263060105436</v>
      </c>
      <c r="M39" s="1629">
        <f t="shared" si="10"/>
        <v>0.86240006011972625</v>
      </c>
      <c r="R39" s="1838">
        <f t="shared" ref="R39:U46" si="11">B39/B$55</f>
        <v>3.2255712005272413E-2</v>
      </c>
      <c r="S39" s="1838">
        <f t="shared" si="11"/>
        <v>8.0998404804353968E-3</v>
      </c>
      <c r="T39" s="1838">
        <f t="shared" si="11"/>
        <v>0.29796146074524948</v>
      </c>
      <c r="U39" s="1839">
        <f t="shared" si="11"/>
        <v>0.28003747272201895</v>
      </c>
    </row>
    <row r="40" spans="1:27" x14ac:dyDescent="0.35">
      <c r="A40" s="1625" t="s">
        <v>619</v>
      </c>
      <c r="B40" s="1622">
        <v>1806</v>
      </c>
      <c r="C40" s="1622">
        <v>748.1</v>
      </c>
      <c r="D40" s="1622">
        <v>13327</v>
      </c>
      <c r="E40" s="1622">
        <v>177</v>
      </c>
      <c r="J40" s="1629">
        <f t="shared" si="10"/>
        <v>1.3679849112627727E-2</v>
      </c>
      <c r="K40" s="1629">
        <f t="shared" si="10"/>
        <v>6.2867659417123273E-2</v>
      </c>
      <c r="L40" s="1629">
        <f t="shared" si="10"/>
        <v>6.7104395244736936E-2</v>
      </c>
      <c r="M40" s="1629">
        <f t="shared" si="10"/>
        <v>1.622132857263306E-3</v>
      </c>
      <c r="R40" s="1838">
        <f t="shared" si="11"/>
        <v>4.8780619562487004E-3</v>
      </c>
      <c r="S40" s="1838">
        <f t="shared" si="11"/>
        <v>2.8079196772074697E-2</v>
      </c>
      <c r="T40" s="1838">
        <f t="shared" si="11"/>
        <v>3.022317571260429E-2</v>
      </c>
      <c r="U40" s="1839">
        <f t="shared" si="11"/>
        <v>5.2673695976354585E-4</v>
      </c>
    </row>
    <row r="41" spans="1:27" x14ac:dyDescent="0.35">
      <c r="A41" s="1625" t="s">
        <v>620</v>
      </c>
      <c r="B41" s="1622">
        <v>80668</v>
      </c>
      <c r="C41" s="1622">
        <v>9612</v>
      </c>
      <c r="D41" s="1622">
        <v>7169</v>
      </c>
      <c r="E41" s="1622">
        <v>3352.4</v>
      </c>
      <c r="J41" s="1629">
        <f t="shared" si="10"/>
        <v>0.61103326036403849</v>
      </c>
      <c r="K41" s="1629">
        <f t="shared" si="10"/>
        <v>0.80775824397458751</v>
      </c>
      <c r="L41" s="1629">
        <f t="shared" si="10"/>
        <v>3.6097502026676602E-2</v>
      </c>
      <c r="M41" s="1629">
        <f t="shared" si="10"/>
        <v>3.0723379608415296E-2</v>
      </c>
      <c r="R41" s="1838">
        <f t="shared" si="11"/>
        <v>0.21788676737910861</v>
      </c>
      <c r="S41" s="1838">
        <f t="shared" si="11"/>
        <v>0.36077695411466648</v>
      </c>
      <c r="T41" s="1838">
        <f t="shared" si="11"/>
        <v>1.625796853632927E-2</v>
      </c>
      <c r="U41" s="1839">
        <f t="shared" si="11"/>
        <v>9.9764575362220956E-3</v>
      </c>
    </row>
    <row r="42" spans="1:27" x14ac:dyDescent="0.35">
      <c r="A42" s="1625" t="s">
        <v>242</v>
      </c>
      <c r="D42" s="1622">
        <v>4647</v>
      </c>
      <c r="E42" s="1622">
        <v>53.3</v>
      </c>
      <c r="J42" s="1629">
        <f t="shared" si="10"/>
        <v>0</v>
      </c>
      <c r="K42" s="1629">
        <f t="shared" si="10"/>
        <v>0</v>
      </c>
      <c r="L42" s="1629">
        <f t="shared" si="10"/>
        <v>2.3398673722690218E-2</v>
      </c>
      <c r="M42" s="1629">
        <f t="shared" si="10"/>
        <v>4.8847277566177515E-4</v>
      </c>
      <c r="R42" s="1838">
        <f t="shared" si="11"/>
        <v>0</v>
      </c>
      <c r="S42" s="1838">
        <f t="shared" si="11"/>
        <v>0</v>
      </c>
      <c r="T42" s="1838">
        <f t="shared" si="11"/>
        <v>1.0538538120842812E-2</v>
      </c>
      <c r="U42" s="1839">
        <f t="shared" si="11"/>
        <v>1.5861627093444628E-4</v>
      </c>
    </row>
    <row r="43" spans="1:27" x14ac:dyDescent="0.35">
      <c r="A43" s="1625" t="s">
        <v>89</v>
      </c>
      <c r="B43" s="1622">
        <v>17207</v>
      </c>
      <c r="C43" s="1622">
        <v>1320.9</v>
      </c>
      <c r="D43" s="1622">
        <v>3052</v>
      </c>
      <c r="E43" s="1622">
        <v>387.7</v>
      </c>
      <c r="J43" s="1629">
        <f t="shared" si="10"/>
        <v>0.1303372999341004</v>
      </c>
      <c r="K43" s="1629">
        <f t="shared" si="10"/>
        <v>0.11100373121785609</v>
      </c>
      <c r="L43" s="1629">
        <f t="shared" si="10"/>
        <v>1.5367495631945458E-2</v>
      </c>
      <c r="M43" s="1629">
        <f t="shared" si="10"/>
        <v>3.5531124788756143E-3</v>
      </c>
      <c r="R43" s="1838">
        <f t="shared" si="11"/>
        <v>4.6476640133538971E-2</v>
      </c>
      <c r="S43" s="1838">
        <f t="shared" si="11"/>
        <v>4.9578680679365689E-2</v>
      </c>
      <c r="T43" s="1838">
        <f t="shared" si="11"/>
        <v>6.9213725725871013E-3</v>
      </c>
      <c r="U43" s="1839">
        <f t="shared" si="11"/>
        <v>1.1537622559340491E-3</v>
      </c>
    </row>
    <row r="44" spans="1:27" x14ac:dyDescent="0.35">
      <c r="A44" s="1625" t="s">
        <v>621</v>
      </c>
      <c r="B44" s="1622">
        <v>6564</v>
      </c>
      <c r="D44" s="1622">
        <v>3216</v>
      </c>
      <c r="E44" s="1622">
        <v>473.6</v>
      </c>
      <c r="J44" s="1629">
        <f t="shared" si="10"/>
        <v>4.9720116043902772E-2</v>
      </c>
      <c r="K44" s="1629">
        <f t="shared" si="10"/>
        <v>0</v>
      </c>
      <c r="L44" s="1629">
        <f t="shared" si="10"/>
        <v>1.6193271937200718E-2</v>
      </c>
      <c r="M44" s="1629">
        <f t="shared" si="10"/>
        <v>4.3403509672310832E-3</v>
      </c>
      <c r="R44" s="1838">
        <f t="shared" si="11"/>
        <v>1.772956737586737E-2</v>
      </c>
      <c r="S44" s="1838">
        <f t="shared" si="11"/>
        <v>0</v>
      </c>
      <c r="T44" s="1838">
        <f t="shared" si="11"/>
        <v>7.2932942966710736E-3</v>
      </c>
      <c r="U44" s="1839">
        <f t="shared" si="11"/>
        <v>1.4093933567458493E-3</v>
      </c>
    </row>
    <row r="45" spans="1:27" x14ac:dyDescent="0.35">
      <c r="A45" s="1625" t="s">
        <v>292</v>
      </c>
      <c r="B45" s="1622">
        <v>13832</v>
      </c>
      <c r="C45" s="1622">
        <v>2.8</v>
      </c>
      <c r="D45" s="1622">
        <v>35803</v>
      </c>
      <c r="E45" s="1622">
        <v>10570.3</v>
      </c>
      <c r="J45" s="1629">
        <f t="shared" si="10"/>
        <v>0.10477279785485423</v>
      </c>
      <c r="K45" s="1629">
        <f t="shared" si="10"/>
        <v>2.3530202695888939E-4</v>
      </c>
      <c r="L45" s="1629">
        <f t="shared" si="10"/>
        <v>0.18027603083569568</v>
      </c>
      <c r="M45" s="1629">
        <f t="shared" si="10"/>
        <v>9.6872491192826676E-2</v>
      </c>
      <c r="R45" s="1838">
        <f t="shared" si="11"/>
        <v>3.7360660564137331E-2</v>
      </c>
      <c r="S45" s="1838">
        <f t="shared" si="11"/>
        <v>1.0509524256357324E-4</v>
      </c>
      <c r="T45" s="1838">
        <f t="shared" si="11"/>
        <v>8.1194594435234593E-2</v>
      </c>
      <c r="U45" s="1839">
        <f t="shared" si="11"/>
        <v>3.1456314608975189E-2</v>
      </c>
    </row>
    <row r="46" spans="1:27" x14ac:dyDescent="0.35">
      <c r="A46" s="1625" t="s">
        <v>127</v>
      </c>
      <c r="B46" s="1622">
        <f>SUM(B39:B45)</f>
        <v>132019</v>
      </c>
      <c r="C46" s="1622">
        <f>SUM(C39:C45)</f>
        <v>11899.599999999999</v>
      </c>
      <c r="D46" s="1622">
        <f>SUM(D39:D45)</f>
        <v>198601</v>
      </c>
      <c r="E46" s="1622">
        <f>SUM(E39:E45)</f>
        <v>109115.6</v>
      </c>
      <c r="J46" s="1629">
        <f>B46/B$46</f>
        <v>1</v>
      </c>
      <c r="K46" s="1629">
        <f t="shared" si="10"/>
        <v>1</v>
      </c>
      <c r="L46" s="1629">
        <f t="shared" si="10"/>
        <v>1</v>
      </c>
      <c r="M46" s="1629">
        <f t="shared" si="10"/>
        <v>1</v>
      </c>
      <c r="R46" s="1838">
        <f>B46/B$55</f>
        <v>0.35658740941417338</v>
      </c>
      <c r="S46" s="1838">
        <f t="shared" si="11"/>
        <v>0.44663976728910576</v>
      </c>
      <c r="T46" s="1838">
        <f t="shared" si="11"/>
        <v>0.45039040441951861</v>
      </c>
      <c r="U46" s="1839">
        <f t="shared" si="11"/>
        <v>0.32471875371059417</v>
      </c>
    </row>
    <row r="47" spans="1:27" x14ac:dyDescent="0.35">
      <c r="A47" s="1837" t="s">
        <v>127</v>
      </c>
      <c r="U47" s="1626"/>
    </row>
    <row r="48" spans="1:27" x14ac:dyDescent="0.35">
      <c r="A48" s="1625" t="s">
        <v>618</v>
      </c>
      <c r="B48" s="1622">
        <f t="shared" ref="B48:E54" si="12">B30+B39</f>
        <v>219667</v>
      </c>
      <c r="C48" s="1622">
        <f t="shared" si="12"/>
        <v>11810.199999999999</v>
      </c>
      <c r="D48" s="1622">
        <f t="shared" si="12"/>
        <v>340470</v>
      </c>
      <c r="E48" s="1622">
        <f t="shared" si="12"/>
        <v>274082.59999999998</v>
      </c>
      <c r="U48" s="1626"/>
    </row>
    <row r="49" spans="1:21" x14ac:dyDescent="0.35">
      <c r="A49" s="1625" t="s">
        <v>619</v>
      </c>
      <c r="B49" s="1622">
        <f t="shared" si="12"/>
        <v>6809</v>
      </c>
      <c r="C49" s="1622">
        <f t="shared" si="12"/>
        <v>2035.1999999999998</v>
      </c>
      <c r="D49" s="1622">
        <f t="shared" si="12"/>
        <v>26444</v>
      </c>
      <c r="E49" s="1622">
        <f t="shared" si="12"/>
        <v>9334.7999999999993</v>
      </c>
      <c r="U49" s="1626"/>
    </row>
    <row r="50" spans="1:21" x14ac:dyDescent="0.35">
      <c r="A50" s="1625" t="s">
        <v>620</v>
      </c>
      <c r="B50" s="1622">
        <f t="shared" si="12"/>
        <v>88097</v>
      </c>
      <c r="C50" s="1622">
        <f t="shared" si="12"/>
        <v>10210.4</v>
      </c>
      <c r="D50" s="1622">
        <f t="shared" si="12"/>
        <v>13673</v>
      </c>
      <c r="E50" s="1622">
        <f t="shared" si="12"/>
        <v>10768.8</v>
      </c>
      <c r="U50" s="1626"/>
    </row>
    <row r="51" spans="1:21" x14ac:dyDescent="0.35">
      <c r="A51" s="1625" t="s">
        <v>242</v>
      </c>
      <c r="B51" s="1622">
        <f t="shared" si="12"/>
        <v>6815</v>
      </c>
      <c r="C51" s="1622">
        <f t="shared" si="12"/>
        <v>37.200000000000003</v>
      </c>
      <c r="D51" s="1622">
        <f t="shared" si="12"/>
        <v>10126</v>
      </c>
      <c r="E51" s="1622">
        <f t="shared" si="12"/>
        <v>7104.8</v>
      </c>
      <c r="U51" s="1626"/>
    </row>
    <row r="52" spans="1:21" x14ac:dyDescent="0.35">
      <c r="A52" s="1625" t="s">
        <v>89</v>
      </c>
      <c r="B52" s="1622">
        <f t="shared" si="12"/>
        <v>18226</v>
      </c>
      <c r="C52" s="1622">
        <f t="shared" si="12"/>
        <v>1532</v>
      </c>
      <c r="D52" s="1622">
        <f t="shared" si="12"/>
        <v>4852</v>
      </c>
      <c r="E52" s="1622">
        <f t="shared" si="12"/>
        <v>2237.5</v>
      </c>
      <c r="U52" s="1626"/>
    </row>
    <row r="53" spans="1:21" x14ac:dyDescent="0.35">
      <c r="A53" s="1625" t="s">
        <v>621</v>
      </c>
      <c r="B53" s="1622">
        <f t="shared" si="12"/>
        <v>6687</v>
      </c>
      <c r="C53" s="1622">
        <f t="shared" si="12"/>
        <v>548.6</v>
      </c>
      <c r="D53" s="1622">
        <f t="shared" si="12"/>
        <v>4906</v>
      </c>
      <c r="E53" s="1622">
        <f t="shared" si="12"/>
        <v>6691</v>
      </c>
      <c r="U53" s="1626"/>
    </row>
    <row r="54" spans="1:21" x14ac:dyDescent="0.35">
      <c r="A54" s="1625" t="s">
        <v>292</v>
      </c>
      <c r="B54" s="1622">
        <f t="shared" si="12"/>
        <v>23928</v>
      </c>
      <c r="C54" s="1622">
        <f t="shared" si="12"/>
        <v>468.90000000000003</v>
      </c>
      <c r="D54" s="1622">
        <f t="shared" si="12"/>
        <v>40482</v>
      </c>
      <c r="E54" s="1622">
        <f t="shared" si="12"/>
        <v>25811.599999999999</v>
      </c>
      <c r="U54" s="1626"/>
    </row>
    <row r="55" spans="1:21" x14ac:dyDescent="0.35">
      <c r="A55" s="1633" t="s">
        <v>127</v>
      </c>
      <c r="B55" s="1790">
        <f>SUM(B48:B54)</f>
        <v>370229</v>
      </c>
      <c r="C55" s="1790">
        <f>SUM(C48:C54)</f>
        <v>26642.499999999996</v>
      </c>
      <c r="D55" s="1790">
        <f>SUM(D48:D54)</f>
        <v>440953</v>
      </c>
      <c r="E55" s="1790">
        <f>SUM(E48:E54)</f>
        <v>336031.09999999992</v>
      </c>
      <c r="F55" s="1790"/>
      <c r="G55" s="1790"/>
      <c r="H55" s="1790"/>
      <c r="I55" s="1790"/>
      <c r="J55" s="1790"/>
      <c r="K55" s="1790"/>
      <c r="L55" s="1790"/>
      <c r="M55" s="1790"/>
      <c r="N55" s="1790"/>
      <c r="O55" s="1790"/>
      <c r="P55" s="1790"/>
      <c r="Q55" s="1790"/>
      <c r="R55" s="1790"/>
      <c r="S55" s="1790"/>
      <c r="T55" s="1790"/>
      <c r="U55" s="1741"/>
    </row>
    <row r="58" spans="1:21" x14ac:dyDescent="0.35">
      <c r="A58" s="1611" t="str">
        <f>G28</f>
        <v>EPD (Metro Rome Line C)</v>
      </c>
      <c r="B58" s="1613"/>
      <c r="C58" s="1613"/>
      <c r="D58" s="1613"/>
      <c r="E58" s="1613"/>
      <c r="F58" s="1613"/>
      <c r="G58" s="1614"/>
    </row>
    <row r="59" spans="1:21" x14ac:dyDescent="0.35">
      <c r="A59" s="1625"/>
      <c r="B59" s="1622" t="s">
        <v>622</v>
      </c>
      <c r="C59" s="1622" t="s">
        <v>623</v>
      </c>
      <c r="D59" s="1622" t="s">
        <v>624</v>
      </c>
      <c r="E59" s="1622" t="s">
        <v>625</v>
      </c>
      <c r="F59" s="1622" t="s">
        <v>626</v>
      </c>
      <c r="G59" s="1626" t="s">
        <v>127</v>
      </c>
    </row>
    <row r="60" spans="1:21" x14ac:dyDescent="0.35">
      <c r="A60" s="1625" t="str">
        <f t="shared" ref="A60:A66" si="13">A30</f>
        <v>Metals</v>
      </c>
      <c r="B60" s="1622">
        <v>36944</v>
      </c>
      <c r="C60" s="1622">
        <v>21048</v>
      </c>
      <c r="D60" s="1622">
        <v>81484</v>
      </c>
      <c r="E60" s="1622">
        <v>24594</v>
      </c>
      <c r="F60" s="1622">
        <v>4752</v>
      </c>
      <c r="G60" s="1626">
        <f t="shared" ref="G60:G66" si="14">SUM(B60:F60)</f>
        <v>168822</v>
      </c>
    </row>
    <row r="61" spans="1:21" x14ac:dyDescent="0.35">
      <c r="A61" s="1625" t="str">
        <f t="shared" si="13"/>
        <v>Polymers</v>
      </c>
      <c r="B61" s="1622">
        <v>336</v>
      </c>
      <c r="C61" s="1622">
        <v>786</v>
      </c>
      <c r="D61" s="1622">
        <v>28</v>
      </c>
      <c r="E61" s="1622">
        <v>2133</v>
      </c>
      <c r="F61" s="1622">
        <v>86</v>
      </c>
      <c r="G61" s="1626">
        <f t="shared" si="14"/>
        <v>3369</v>
      </c>
    </row>
    <row r="62" spans="1:21" x14ac:dyDescent="0.35">
      <c r="A62" s="1625" t="str">
        <f t="shared" si="13"/>
        <v>Elastomers</v>
      </c>
      <c r="B62" s="1622">
        <v>630</v>
      </c>
      <c r="C62" s="1622">
        <v>2308</v>
      </c>
      <c r="D62" s="1622">
        <v>3371</v>
      </c>
      <c r="E62" s="1622">
        <v>1662</v>
      </c>
      <c r="F62" s="1622">
        <v>81</v>
      </c>
      <c r="G62" s="1626">
        <f t="shared" si="14"/>
        <v>8052</v>
      </c>
    </row>
    <row r="63" spans="1:21" x14ac:dyDescent="0.35">
      <c r="A63" s="1625" t="str">
        <f t="shared" si="13"/>
        <v>Glass</v>
      </c>
      <c r="B63" s="1622">
        <v>12</v>
      </c>
      <c r="C63" s="1622">
        <v>3542</v>
      </c>
      <c r="D63" s="1622">
        <v>37</v>
      </c>
      <c r="E63" s="1622">
        <v>233</v>
      </c>
      <c r="G63" s="1626">
        <f t="shared" si="14"/>
        <v>3824</v>
      </c>
    </row>
    <row r="64" spans="1:21" x14ac:dyDescent="0.35">
      <c r="A64" s="1625" t="str">
        <f t="shared" si="13"/>
        <v>Fluids</v>
      </c>
      <c r="B64" s="1622">
        <v>4</v>
      </c>
      <c r="C64" s="1622">
        <v>74</v>
      </c>
      <c r="D64" s="1622">
        <v>124</v>
      </c>
      <c r="E64" s="1622">
        <v>1342</v>
      </c>
      <c r="F64" s="1622">
        <v>106</v>
      </c>
      <c r="G64" s="1626">
        <f t="shared" si="14"/>
        <v>1650</v>
      </c>
    </row>
    <row r="65" spans="1:7" x14ac:dyDescent="0.35">
      <c r="A65" s="1625" t="str">
        <f t="shared" si="13"/>
        <v>Modified organic natural materials</v>
      </c>
      <c r="C65" s="1622">
        <v>2604</v>
      </c>
      <c r="D65" s="1622">
        <v>19</v>
      </c>
      <c r="G65" s="1626">
        <f t="shared" si="14"/>
        <v>2623</v>
      </c>
    </row>
    <row r="66" spans="1:7" x14ac:dyDescent="0.35">
      <c r="A66" s="1625" t="str">
        <f t="shared" si="13"/>
        <v>Others</v>
      </c>
      <c r="B66" s="1622">
        <v>47</v>
      </c>
      <c r="C66" s="1622">
        <v>2307</v>
      </c>
      <c r="D66" s="1622">
        <v>242</v>
      </c>
      <c r="E66" s="1622">
        <v>1937</v>
      </c>
      <c r="F66" s="1622">
        <v>16</v>
      </c>
      <c r="G66" s="1626">
        <f t="shared" si="14"/>
        <v>4549</v>
      </c>
    </row>
    <row r="67" spans="1:7" x14ac:dyDescent="0.35">
      <c r="A67" s="1625" t="s">
        <v>127</v>
      </c>
      <c r="B67" s="1622">
        <f t="shared" ref="B67:G67" si="15">SUM(B60:B66)</f>
        <v>37973</v>
      </c>
      <c r="C67" s="1622">
        <f t="shared" si="15"/>
        <v>32669</v>
      </c>
      <c r="D67" s="1622">
        <f t="shared" si="15"/>
        <v>85305</v>
      </c>
      <c r="E67" s="1622">
        <f t="shared" si="15"/>
        <v>31901</v>
      </c>
      <c r="F67" s="1622">
        <f t="shared" si="15"/>
        <v>5041</v>
      </c>
      <c r="G67" s="1626">
        <f t="shared" si="15"/>
        <v>192889</v>
      </c>
    </row>
    <row r="68" spans="1:7" x14ac:dyDescent="0.35">
      <c r="A68" s="1625"/>
      <c r="G68" s="1626"/>
    </row>
    <row r="69" spans="1:7" x14ac:dyDescent="0.35">
      <c r="A69" s="1625" t="str">
        <f>A14</f>
        <v>Hitachi Caravaggio Train</v>
      </c>
      <c r="G69" s="1626"/>
    </row>
    <row r="70" spans="1:7" x14ac:dyDescent="0.35">
      <c r="A70" s="1625"/>
      <c r="B70" s="1622" t="s">
        <v>622</v>
      </c>
      <c r="C70" s="1622" t="s">
        <v>623</v>
      </c>
      <c r="D70" s="1622" t="s">
        <v>624</v>
      </c>
      <c r="E70" s="1622" t="s">
        <v>625</v>
      </c>
      <c r="F70" s="1622" t="s">
        <v>626</v>
      </c>
      <c r="G70" s="1626" t="s">
        <v>127</v>
      </c>
    </row>
    <row r="71" spans="1:7" x14ac:dyDescent="0.35">
      <c r="A71" s="1625" t="str">
        <f t="shared" ref="A71:A77" si="16">A41</f>
        <v>Elastomers</v>
      </c>
      <c r="B71" s="1622">
        <v>54084</v>
      </c>
      <c r="C71" s="1622">
        <v>23544</v>
      </c>
      <c r="D71" s="1622">
        <v>72360</v>
      </c>
      <c r="E71" s="1622">
        <v>20726</v>
      </c>
      <c r="F71" s="1622">
        <v>7625</v>
      </c>
      <c r="G71" s="1626">
        <f t="shared" ref="G71:G77" si="17">SUM(B71:F71)</f>
        <v>178339</v>
      </c>
    </row>
    <row r="72" spans="1:7" x14ac:dyDescent="0.35">
      <c r="A72" s="1625" t="str">
        <f t="shared" si="16"/>
        <v>Glass</v>
      </c>
      <c r="B72" s="1622">
        <v>37</v>
      </c>
      <c r="C72" s="1622">
        <v>5001</v>
      </c>
      <c r="D72" s="1622">
        <v>200</v>
      </c>
      <c r="E72" s="1622">
        <v>2331</v>
      </c>
      <c r="F72" s="1622">
        <v>13</v>
      </c>
      <c r="G72" s="1626">
        <f t="shared" si="17"/>
        <v>7582</v>
      </c>
    </row>
    <row r="73" spans="1:7" x14ac:dyDescent="0.35">
      <c r="A73" s="1625" t="str">
        <f t="shared" si="16"/>
        <v>Fluids</v>
      </c>
      <c r="B73" s="1622">
        <v>33</v>
      </c>
      <c r="C73" s="1622">
        <v>2825</v>
      </c>
      <c r="D73" s="1622">
        <v>2341</v>
      </c>
      <c r="E73" s="1622">
        <v>1474</v>
      </c>
      <c r="F73" s="1622">
        <v>22</v>
      </c>
      <c r="G73" s="1626">
        <f t="shared" si="17"/>
        <v>6695</v>
      </c>
    </row>
    <row r="74" spans="1:7" x14ac:dyDescent="0.35">
      <c r="A74" s="1625" t="str">
        <f t="shared" si="16"/>
        <v>Modified organic natural materials</v>
      </c>
      <c r="C74" s="1622">
        <v>4307</v>
      </c>
      <c r="D74" s="1622">
        <v>2</v>
      </c>
      <c r="E74" s="1622">
        <v>207</v>
      </c>
      <c r="F74" s="1622">
        <v>0</v>
      </c>
      <c r="G74" s="1626">
        <f t="shared" si="17"/>
        <v>4516</v>
      </c>
    </row>
    <row r="75" spans="1:7" x14ac:dyDescent="0.35">
      <c r="A75" s="1625" t="str">
        <f t="shared" si="16"/>
        <v>Others</v>
      </c>
      <c r="B75" s="1622">
        <v>1</v>
      </c>
      <c r="E75" s="1622">
        <v>100</v>
      </c>
      <c r="F75" s="1622">
        <v>59</v>
      </c>
      <c r="G75" s="1626">
        <f t="shared" si="17"/>
        <v>160</v>
      </c>
    </row>
    <row r="76" spans="1:7" x14ac:dyDescent="0.35">
      <c r="A76" s="1625" t="str">
        <f t="shared" si="16"/>
        <v>Total</v>
      </c>
      <c r="C76" s="1622">
        <v>5007</v>
      </c>
      <c r="G76" s="1626">
        <f t="shared" si="17"/>
        <v>5007</v>
      </c>
    </row>
    <row r="77" spans="1:7" x14ac:dyDescent="0.35">
      <c r="A77" s="1625" t="str">
        <f t="shared" si="16"/>
        <v>Total</v>
      </c>
      <c r="B77" s="1622">
        <v>11</v>
      </c>
      <c r="C77" s="1622">
        <v>1260</v>
      </c>
      <c r="D77" s="1622">
        <v>461</v>
      </c>
      <c r="E77" s="1622">
        <v>568</v>
      </c>
      <c r="F77" s="1622">
        <v>20</v>
      </c>
      <c r="G77" s="1626">
        <f t="shared" si="17"/>
        <v>2320</v>
      </c>
    </row>
    <row r="78" spans="1:7" x14ac:dyDescent="0.35">
      <c r="A78" s="1633" t="s">
        <v>127</v>
      </c>
      <c r="B78" s="1790">
        <f t="shared" ref="B78:G78" si="18">SUM(B71:B77)</f>
        <v>54166</v>
      </c>
      <c r="C78" s="1790">
        <f t="shared" si="18"/>
        <v>41944</v>
      </c>
      <c r="D78" s="1790">
        <f t="shared" si="18"/>
        <v>75364</v>
      </c>
      <c r="E78" s="1790">
        <f t="shared" si="18"/>
        <v>25406</v>
      </c>
      <c r="F78" s="1790">
        <f t="shared" si="18"/>
        <v>7739</v>
      </c>
      <c r="G78" s="1741">
        <f t="shared" si="18"/>
        <v>204619</v>
      </c>
    </row>
    <row r="80" spans="1:7" x14ac:dyDescent="0.35">
      <c r="A80" s="1611"/>
      <c r="B80" s="1614" t="str">
        <f>F28</f>
        <v>Metro Oslo</v>
      </c>
    </row>
    <row r="81" spans="1:6" x14ac:dyDescent="0.35">
      <c r="A81" s="1625" t="s">
        <v>627</v>
      </c>
      <c r="B81" s="1626">
        <v>121425</v>
      </c>
      <c r="C81" s="1793">
        <f>B81/SUM(B81:B82)</f>
        <v>0.78885308524875586</v>
      </c>
      <c r="E81" s="1622" t="s">
        <v>602</v>
      </c>
    </row>
    <row r="82" spans="1:6" x14ac:dyDescent="0.35">
      <c r="A82" s="1625" t="s">
        <v>628</v>
      </c>
      <c r="B82" s="1626">
        <v>32501</v>
      </c>
      <c r="C82" s="1820">
        <f>1-C81</f>
        <v>0.21114691475124414</v>
      </c>
      <c r="E82" s="1793">
        <f>14/63</f>
        <v>0.22222222222222221</v>
      </c>
      <c r="F82" s="1622" t="s">
        <v>629</v>
      </c>
    </row>
    <row r="83" spans="1:6" x14ac:dyDescent="0.35">
      <c r="A83" s="1625" t="s">
        <v>630</v>
      </c>
      <c r="B83" s="1626">
        <v>2222</v>
      </c>
    </row>
    <row r="84" spans="1:6" x14ac:dyDescent="0.35">
      <c r="A84" s="1625" t="s">
        <v>631</v>
      </c>
      <c r="B84" s="1626">
        <v>41565</v>
      </c>
    </row>
    <row r="85" spans="1:6" x14ac:dyDescent="0.35">
      <c r="A85" s="1625" t="s">
        <v>632</v>
      </c>
      <c r="B85" s="1626">
        <v>7590</v>
      </c>
    </row>
    <row r="86" spans="1:6" x14ac:dyDescent="0.35">
      <c r="A86" s="1625" t="s">
        <v>633</v>
      </c>
      <c r="B86" s="1626">
        <v>12141</v>
      </c>
    </row>
    <row r="87" spans="1:6" x14ac:dyDescent="0.35">
      <c r="A87" s="1625" t="s">
        <v>634</v>
      </c>
      <c r="B87" s="1626">
        <v>6218</v>
      </c>
    </row>
    <row r="88" spans="1:6" x14ac:dyDescent="0.35">
      <c r="A88" s="1625" t="s">
        <v>127</v>
      </c>
      <c r="B88" s="1626">
        <f>SUM(B81:B87)</f>
        <v>223662</v>
      </c>
    </row>
    <row r="89" spans="1:6" x14ac:dyDescent="0.35">
      <c r="A89" s="1625"/>
      <c r="B89" s="1626"/>
    </row>
    <row r="90" spans="1:6" x14ac:dyDescent="0.35">
      <c r="A90" s="1625" t="str">
        <f>A15</f>
        <v>CAF Metro Helsinki</v>
      </c>
      <c r="B90" s="1626"/>
    </row>
    <row r="91" spans="1:6" x14ac:dyDescent="0.35">
      <c r="A91" s="1625" t="s">
        <v>618</v>
      </c>
      <c r="B91" s="1792">
        <f>83.84%</f>
        <v>0.83840000000000003</v>
      </c>
    </row>
    <row r="92" spans="1:6" x14ac:dyDescent="0.35">
      <c r="A92" s="1625" t="s">
        <v>619</v>
      </c>
      <c r="B92" s="1792">
        <f>5.65%</f>
        <v>5.6500000000000002E-2</v>
      </c>
    </row>
    <row r="93" spans="1:6" x14ac:dyDescent="0.35">
      <c r="A93" s="1625" t="s">
        <v>620</v>
      </c>
      <c r="B93" s="1792">
        <f>3.3%</f>
        <v>3.3000000000000002E-2</v>
      </c>
    </row>
    <row r="94" spans="1:6" x14ac:dyDescent="0.35">
      <c r="A94" s="1625" t="s">
        <v>242</v>
      </c>
      <c r="B94" s="1792">
        <v>3.04E-2</v>
      </c>
    </row>
    <row r="95" spans="1:6" x14ac:dyDescent="0.35">
      <c r="A95" s="1625" t="s">
        <v>89</v>
      </c>
      <c r="B95" s="1792">
        <v>3.0000000000000001E-3</v>
      </c>
    </row>
    <row r="96" spans="1:6" x14ac:dyDescent="0.35">
      <c r="A96" s="1625" t="s">
        <v>621</v>
      </c>
      <c r="B96" s="1792">
        <v>1.8E-3</v>
      </c>
    </row>
    <row r="97" spans="1:2" x14ac:dyDescent="0.35">
      <c r="A97" s="1633" t="s">
        <v>292</v>
      </c>
      <c r="B97" s="1794">
        <v>3.6900000000000002E-2</v>
      </c>
    </row>
  </sheetData>
  <mergeCells count="1">
    <mergeCell ref="A1:I1"/>
  </mergeCells>
  <hyperlinks>
    <hyperlink ref="A7" r:id="rId1" display="Environmental Produc Declaration for INNOVIA APM 300" xr:uid="{00000000-0004-0000-1E00-000000000000}"/>
    <hyperlink ref="A8" r:id="rId2" xr:uid="{00000000-0004-0000-1E00-000001000000}"/>
    <hyperlink ref="A9" r:id="rId3" display="EPD Metro Rome Line C" xr:uid="{00000000-0004-0000-1E00-000002000000}"/>
    <hyperlink ref="A10" r:id="rId4" display="EPD (Bombarider Azur)" xr:uid="{00000000-0004-0000-1E00-000003000000}"/>
    <hyperlink ref="A11" r:id="rId5" xr:uid="{00000000-0004-0000-1E00-000004000000}"/>
    <hyperlink ref="A12" r:id="rId6" xr:uid="{00000000-0004-0000-1E00-000005000000}"/>
    <hyperlink ref="B20" r:id="rId7" xr:uid="{00000000-0004-0000-1E00-000006000000}"/>
    <hyperlink ref="A13" r:id="rId8" xr:uid="{00000000-0004-0000-1E00-000007000000}"/>
    <hyperlink ref="A14" r:id="rId9" xr:uid="{00000000-0004-0000-1E00-000008000000}"/>
    <hyperlink ref="A15" r:id="rId10" xr:uid="{00000000-0004-0000-1E00-000009000000}"/>
    <hyperlink ref="I6" r:id="rId11" xr:uid="{00000000-0004-0000-1E00-00000A000000}"/>
  </hyperlinks>
  <pageMargins left="0.7" right="0.7" top="0.75" bottom="0.75" header="0.3" footer="0.3"/>
  <legacyDrawing r:id="rId1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20"/>
  <sheetViews>
    <sheetView workbookViewId="0">
      <selection sqref="A1:AB1"/>
    </sheetView>
  </sheetViews>
  <sheetFormatPr defaultColWidth="9.19921875" defaultRowHeight="13.5" x14ac:dyDescent="0.35"/>
  <cols>
    <col min="1" max="1" width="9.19921875" style="1592"/>
    <col min="2" max="2" width="43.19921875" style="1592" customWidth="1"/>
    <col min="3" max="16384" width="9.19921875" style="1592"/>
  </cols>
  <sheetData>
    <row r="1" spans="1:8" ht="17.649999999999999" x14ac:dyDescent="0.5">
      <c r="A1" s="2180" t="s">
        <v>3591</v>
      </c>
      <c r="B1" s="2180"/>
      <c r="C1" s="2180"/>
      <c r="D1" s="2180"/>
      <c r="E1" s="2180"/>
      <c r="F1" s="2180"/>
      <c r="G1" s="2180"/>
      <c r="H1" s="2180"/>
    </row>
    <row r="3" spans="1:8" x14ac:dyDescent="0.35">
      <c r="B3" s="1602"/>
      <c r="C3" s="1612" t="s">
        <v>635</v>
      </c>
      <c r="D3" s="1612"/>
      <c r="E3" s="1612"/>
      <c r="F3" s="1612"/>
      <c r="G3" s="1612"/>
      <c r="H3" s="1599"/>
    </row>
    <row r="4" spans="1:8" x14ac:dyDescent="0.35">
      <c r="B4" s="1591"/>
      <c r="H4" s="1594"/>
    </row>
    <row r="5" spans="1:8" x14ac:dyDescent="0.35">
      <c r="B5" s="1591"/>
      <c r="C5" s="2182" t="s">
        <v>636</v>
      </c>
      <c r="D5" s="2182"/>
      <c r="E5" s="2182" t="s">
        <v>637</v>
      </c>
      <c r="F5" s="2182"/>
      <c r="G5" s="2182" t="s">
        <v>638</v>
      </c>
      <c r="H5" s="2183"/>
    </row>
    <row r="6" spans="1:8" x14ac:dyDescent="0.35">
      <c r="B6" s="1591" t="s">
        <v>639</v>
      </c>
      <c r="C6" s="1592">
        <v>70</v>
      </c>
      <c r="E6" s="1592">
        <v>110</v>
      </c>
      <c r="G6" s="1592">
        <v>200</v>
      </c>
      <c r="H6" s="1594"/>
    </row>
    <row r="7" spans="1:8" x14ac:dyDescent="0.35">
      <c r="B7" s="1591" t="s">
        <v>640</v>
      </c>
      <c r="C7" s="1592">
        <v>1100</v>
      </c>
      <c r="E7" s="1592">
        <v>1450</v>
      </c>
      <c r="G7" s="1592">
        <v>1900</v>
      </c>
      <c r="H7" s="1594"/>
    </row>
    <row r="8" spans="1:8" x14ac:dyDescent="0.35">
      <c r="B8" s="1591" t="s">
        <v>641</v>
      </c>
      <c r="C8" s="1592">
        <v>200</v>
      </c>
      <c r="D8" s="1592">
        <v>400</v>
      </c>
      <c r="E8" s="1592">
        <v>200</v>
      </c>
      <c r="F8" s="1592">
        <v>400</v>
      </c>
      <c r="G8" s="1592">
        <v>200</v>
      </c>
      <c r="H8" s="1594">
        <v>400</v>
      </c>
    </row>
    <row r="9" spans="1:8" x14ac:dyDescent="0.35">
      <c r="B9" s="1591" t="s">
        <v>642</v>
      </c>
      <c r="C9" s="1840">
        <v>36</v>
      </c>
      <c r="D9" s="1840">
        <v>75</v>
      </c>
      <c r="E9" s="1840">
        <v>38</v>
      </c>
      <c r="F9" s="1840">
        <v>78</v>
      </c>
      <c r="G9" s="1840">
        <v>39</v>
      </c>
      <c r="H9" s="1841">
        <v>80</v>
      </c>
    </row>
    <row r="10" spans="1:8" x14ac:dyDescent="0.35">
      <c r="B10" s="1591" t="s">
        <v>643</v>
      </c>
      <c r="C10" s="1840">
        <f t="shared" ref="C10:H10" si="0">C12*C8/100</f>
        <v>36.476297508896799</v>
      </c>
      <c r="D10" s="1840">
        <f t="shared" si="0"/>
        <v>74.558469750889671</v>
      </c>
      <c r="E10" s="1840">
        <f t="shared" si="0"/>
        <v>38.069249523809525</v>
      </c>
      <c r="F10" s="1840">
        <f t="shared" si="0"/>
        <v>77.610148571428567</v>
      </c>
      <c r="G10" s="1840">
        <f t="shared" si="0"/>
        <v>40.01964505543237</v>
      </c>
      <c r="H10" s="1841">
        <f t="shared" si="0"/>
        <v>80.039290110864741</v>
      </c>
    </row>
    <row r="11" spans="1:8" x14ac:dyDescent="0.35">
      <c r="B11" s="1591" t="s">
        <v>644</v>
      </c>
      <c r="C11" s="1710">
        <v>1.960622775800712</v>
      </c>
      <c r="D11" s="1710">
        <v>2.0037811387900355</v>
      </c>
      <c r="E11" s="1710">
        <v>2.0462448979591841</v>
      </c>
      <c r="F11" s="1710">
        <v>2.0857959183673471</v>
      </c>
      <c r="G11" s="1710">
        <v>2.1510798226164081</v>
      </c>
      <c r="H11" s="1630">
        <v>2.1510798226164081</v>
      </c>
    </row>
    <row r="12" spans="1:8" x14ac:dyDescent="0.35">
      <c r="B12" s="1591" t="s">
        <v>645</v>
      </c>
      <c r="C12" s="1628">
        <f>C11*Convert!$B$13</f>
        <v>18.2381487544484</v>
      </c>
      <c r="D12" s="1628">
        <f>D11*Convert!$B$13</f>
        <v>18.639617437722418</v>
      </c>
      <c r="E12" s="1628">
        <f>E11*Convert!$B$13</f>
        <v>19.034624761904762</v>
      </c>
      <c r="F12" s="1628">
        <f>F11*Convert!$B$13</f>
        <v>19.402537142857142</v>
      </c>
      <c r="G12" s="1628">
        <f>G11*Convert!$B$13</f>
        <v>20.009822527716185</v>
      </c>
      <c r="H12" s="1630">
        <f>H11*Convert!$B$13</f>
        <v>20.009822527716185</v>
      </c>
    </row>
    <row r="13" spans="1:8" x14ac:dyDescent="0.35">
      <c r="B13" s="1591" t="s">
        <v>646</v>
      </c>
      <c r="C13" s="1592">
        <v>55</v>
      </c>
      <c r="E13" s="1592">
        <v>55</v>
      </c>
      <c r="G13" s="1592">
        <v>55</v>
      </c>
      <c r="H13" s="1594"/>
    </row>
    <row r="14" spans="1:8" x14ac:dyDescent="0.35">
      <c r="B14" s="1591" t="s">
        <v>647</v>
      </c>
      <c r="C14" s="1628">
        <v>10</v>
      </c>
      <c r="E14" s="1592">
        <v>10.5</v>
      </c>
      <c r="G14" s="1592">
        <v>11</v>
      </c>
      <c r="H14" s="1594"/>
    </row>
    <row r="15" spans="1:8" x14ac:dyDescent="0.35">
      <c r="B15" s="1591" t="s">
        <v>648</v>
      </c>
      <c r="C15" s="1628">
        <f>C17*C13/100</f>
        <v>10.030981814946619</v>
      </c>
      <c r="D15" s="1628"/>
      <c r="E15" s="1628">
        <f>E17*E13/100</f>
        <v>10.469043619047619</v>
      </c>
      <c r="F15" s="1628"/>
      <c r="G15" s="1628">
        <f>G17*G13/100</f>
        <v>11.005402390243901</v>
      </c>
      <c r="H15" s="1594"/>
    </row>
    <row r="16" spans="1:8" x14ac:dyDescent="0.35">
      <c r="B16" s="1591" t="s">
        <v>649</v>
      </c>
      <c r="C16" s="1710">
        <f>C11</f>
        <v>1.960622775800712</v>
      </c>
      <c r="E16" s="1710">
        <f>E11</f>
        <v>2.0462448979591841</v>
      </c>
      <c r="G16" s="1710">
        <f>G11</f>
        <v>2.1510798226164081</v>
      </c>
      <c r="H16" s="1594"/>
    </row>
    <row r="17" spans="2:8" x14ac:dyDescent="0.35">
      <c r="B17" s="1591" t="s">
        <v>650</v>
      </c>
      <c r="C17" s="1628">
        <f>C16*Convert!$B$13</f>
        <v>18.2381487544484</v>
      </c>
      <c r="E17" s="1628">
        <f>E16*Convert!$B$13</f>
        <v>19.034624761904762</v>
      </c>
      <c r="G17" s="1628">
        <f>G16*Convert!$B$13</f>
        <v>20.009822527716185</v>
      </c>
      <c r="H17" s="1594"/>
    </row>
    <row r="18" spans="2:8" x14ac:dyDescent="0.35">
      <c r="B18" s="1591" t="s">
        <v>651</v>
      </c>
      <c r="C18" s="1592">
        <v>5.5</v>
      </c>
      <c r="E18" s="1592">
        <v>6.8</v>
      </c>
      <c r="G18" s="1628">
        <v>8.85</v>
      </c>
      <c r="H18" s="1594"/>
    </row>
    <row r="19" spans="2:8" x14ac:dyDescent="0.35">
      <c r="B19" s="1591" t="s">
        <v>652</v>
      </c>
      <c r="C19" s="1628">
        <v>3.8852313167259789</v>
      </c>
      <c r="E19" s="1628">
        <v>5.0653061224489804</v>
      </c>
      <c r="G19" s="1628">
        <v>6.5148558758314854</v>
      </c>
      <c r="H19" s="1594"/>
    </row>
    <row r="20" spans="2:8" x14ac:dyDescent="0.35">
      <c r="B20" s="1595" t="s">
        <v>653</v>
      </c>
      <c r="C20" s="1636">
        <v>3.0000000000000004</v>
      </c>
      <c r="D20" s="1596"/>
      <c r="E20" s="1636">
        <v>3.7090909090909094</v>
      </c>
      <c r="F20" s="1596"/>
      <c r="G20" s="1636">
        <v>4.827272727272728</v>
      </c>
      <c r="H20" s="1597"/>
    </row>
  </sheetData>
  <mergeCells count="4">
    <mergeCell ref="C5:D5"/>
    <mergeCell ref="E5:F5"/>
    <mergeCell ref="G5:H5"/>
    <mergeCell ref="A1:H1"/>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458"/>
  <sheetViews>
    <sheetView workbookViewId="0">
      <selection sqref="A1:AB1"/>
    </sheetView>
  </sheetViews>
  <sheetFormatPr defaultColWidth="9.19921875" defaultRowHeight="13.5" x14ac:dyDescent="0.35"/>
  <cols>
    <col min="1" max="1" width="25" style="1592" customWidth="1"/>
    <col min="2" max="2" width="25" style="1592" bestFit="1" customWidth="1"/>
    <col min="3" max="3" width="11" style="1592" customWidth="1"/>
    <col min="4" max="4" width="16.46484375" style="1592" customWidth="1"/>
    <col min="5" max="5" width="11" style="1592" customWidth="1"/>
    <col min="6" max="6" width="19.46484375" style="1592" bestFit="1" customWidth="1"/>
    <col min="7" max="7" width="9.19921875" style="1592"/>
    <col min="8" max="8" width="140.33203125" style="1592" customWidth="1"/>
    <col min="9" max="16384" width="9.19921875" style="1592"/>
  </cols>
  <sheetData>
    <row r="1" spans="1:8" ht="17.649999999999999" x14ac:dyDescent="0.5">
      <c r="A1" s="2184" t="s">
        <v>3592</v>
      </c>
      <c r="B1" s="2184"/>
      <c r="C1" s="2184"/>
      <c r="D1" s="2184"/>
      <c r="E1" s="2184"/>
      <c r="F1" s="2184"/>
      <c r="G1" s="2184"/>
      <c r="H1" s="2184"/>
    </row>
    <row r="2" spans="1:8" s="1622" customFormat="1" ht="13.8" customHeight="1" x14ac:dyDescent="0.4">
      <c r="A2" s="1774" t="s">
        <v>654</v>
      </c>
      <c r="B2" s="1613"/>
      <c r="C2" s="1613"/>
      <c r="D2" s="1613"/>
      <c r="E2" s="1613"/>
      <c r="F2" s="1613"/>
      <c r="G2" s="1613"/>
      <c r="H2" s="1614"/>
    </row>
    <row r="3" spans="1:8" s="1622" customFormat="1" x14ac:dyDescent="0.35">
      <c r="A3" s="1625" t="str">
        <f>E65</f>
        <v>t/km of one-way lane or track</v>
      </c>
      <c r="H3" s="1626"/>
    </row>
    <row r="4" spans="1:8" s="1622" customFormat="1" x14ac:dyDescent="0.35">
      <c r="A4" s="1625"/>
      <c r="C4" s="1622" t="s">
        <v>655</v>
      </c>
      <c r="D4" s="1622" t="s">
        <v>656</v>
      </c>
      <c r="E4" s="1622" t="s">
        <v>657</v>
      </c>
      <c r="F4" s="1622" t="s">
        <v>234</v>
      </c>
      <c r="H4" s="1626"/>
    </row>
    <row r="5" spans="1:8" s="1622" customFormat="1" x14ac:dyDescent="0.35">
      <c r="A5" s="1625" t="s">
        <v>658</v>
      </c>
      <c r="C5" s="1622">
        <f>C13</f>
        <v>0.12</v>
      </c>
      <c r="D5" s="1622">
        <f>D13</f>
        <v>180</v>
      </c>
      <c r="E5" s="1622">
        <f>E13</f>
        <v>22.5</v>
      </c>
      <c r="F5" s="1622">
        <f>F13</f>
        <v>0</v>
      </c>
      <c r="H5" s="1626"/>
    </row>
    <row r="6" spans="1:8" s="1622" customFormat="1" x14ac:dyDescent="0.35">
      <c r="A6" s="1625" t="s">
        <v>659</v>
      </c>
      <c r="C6" s="1622">
        <f>C15</f>
        <v>1</v>
      </c>
      <c r="D6" s="1622">
        <f>D15</f>
        <v>1700</v>
      </c>
      <c r="E6" s="1622">
        <f>E15</f>
        <v>212.5</v>
      </c>
      <c r="F6" s="1622">
        <f>F15</f>
        <v>0.1</v>
      </c>
      <c r="H6" s="1626"/>
    </row>
    <row r="7" spans="1:8" s="1622" customFormat="1" x14ac:dyDescent="0.35">
      <c r="A7" s="1625" t="s">
        <v>660</v>
      </c>
      <c r="C7" s="1622">
        <f>C15+C16</f>
        <v>1.1599999999999999</v>
      </c>
      <c r="D7" s="1622">
        <f>D15+D16</f>
        <v>1930</v>
      </c>
      <c r="E7" s="1622">
        <f>E15+E16</f>
        <v>241.25</v>
      </c>
      <c r="F7" s="1622">
        <f>F15+F16</f>
        <v>0.1</v>
      </c>
      <c r="H7" s="1626"/>
    </row>
    <row r="8" spans="1:8" s="1622" customFormat="1" x14ac:dyDescent="0.35">
      <c r="A8" s="1591" t="s">
        <v>661</v>
      </c>
      <c r="C8" s="1622">
        <f t="shared" ref="C8:F9" si="0">C$15</f>
        <v>1</v>
      </c>
      <c r="D8" s="1622">
        <f t="shared" si="0"/>
        <v>1700</v>
      </c>
      <c r="E8" s="1622">
        <f t="shared" si="0"/>
        <v>212.5</v>
      </c>
      <c r="F8" s="1622">
        <f t="shared" si="0"/>
        <v>0.1</v>
      </c>
      <c r="H8" s="1626" t="s">
        <v>662</v>
      </c>
    </row>
    <row r="9" spans="1:8" s="1622" customFormat="1" x14ac:dyDescent="0.35">
      <c r="A9" s="1625" t="s">
        <v>663</v>
      </c>
      <c r="C9" s="1622">
        <f t="shared" si="0"/>
        <v>1</v>
      </c>
      <c r="D9" s="1622">
        <f t="shared" si="0"/>
        <v>1700</v>
      </c>
      <c r="E9" s="1622">
        <f t="shared" si="0"/>
        <v>212.5</v>
      </c>
      <c r="F9" s="1622">
        <f t="shared" si="0"/>
        <v>0.1</v>
      </c>
      <c r="H9" s="1626" t="s">
        <v>662</v>
      </c>
    </row>
    <row r="10" spans="1:8" s="1622" customFormat="1" x14ac:dyDescent="0.35">
      <c r="A10" s="1625" t="s">
        <v>664</v>
      </c>
      <c r="C10" s="1622">
        <f t="shared" ref="C10:F11" si="1">C17</f>
        <v>0</v>
      </c>
      <c r="D10" s="1622">
        <f t="shared" si="1"/>
        <v>6700</v>
      </c>
      <c r="E10" s="1622">
        <f t="shared" si="1"/>
        <v>837.5</v>
      </c>
      <c r="F10" s="1622">
        <f t="shared" si="1"/>
        <v>260</v>
      </c>
      <c r="H10" s="1626"/>
    </row>
    <row r="11" spans="1:8" s="1622" customFormat="1" x14ac:dyDescent="0.35">
      <c r="A11" s="1625" t="s">
        <v>665</v>
      </c>
      <c r="C11" s="1622">
        <f t="shared" si="1"/>
        <v>0</v>
      </c>
      <c r="D11" s="1622">
        <f t="shared" si="1"/>
        <v>20100</v>
      </c>
      <c r="E11" s="1622">
        <f t="shared" si="1"/>
        <v>2512.5</v>
      </c>
      <c r="F11" s="1622">
        <f t="shared" si="1"/>
        <v>960</v>
      </c>
      <c r="H11" s="1626"/>
    </row>
    <row r="12" spans="1:8" s="1622" customFormat="1" x14ac:dyDescent="0.35">
      <c r="A12" s="1625"/>
      <c r="H12" s="1626"/>
    </row>
    <row r="13" spans="1:8" s="1622" customFormat="1" x14ac:dyDescent="0.35">
      <c r="A13" s="1625" t="s">
        <v>658</v>
      </c>
      <c r="C13" s="1617">
        <f>ROUND((C15/C120*C121*C118*C122/1000)*1000/(AVERAGE($P$99,$C$118)*$C$122)*1/$C$120,2)</f>
        <v>0.12</v>
      </c>
      <c r="D13" s="1795">
        <f>ROUND((D108/100*C121*C122*C39*AVERAGE(P99,C118))*1000/(AVERAGE($P$99,$C$118)*$C$122)*1/$C$120,-1)</f>
        <v>180</v>
      </c>
      <c r="E13" s="1627">
        <f>D13*$B$49</f>
        <v>22.5</v>
      </c>
      <c r="F13" s="1617"/>
      <c r="H13" s="1626" t="s">
        <v>666</v>
      </c>
    </row>
    <row r="14" spans="1:8" s="1622" customFormat="1" x14ac:dyDescent="0.35">
      <c r="A14" s="1625" t="s">
        <v>667</v>
      </c>
      <c r="H14" s="1626"/>
    </row>
    <row r="15" spans="1:8" s="1622" customFormat="1" x14ac:dyDescent="0.35">
      <c r="A15" s="1625"/>
      <c r="B15" s="1622" t="s">
        <v>668</v>
      </c>
      <c r="C15" s="1622">
        <f>E66</f>
        <v>1</v>
      </c>
      <c r="D15" s="1622">
        <f>ROUND(AVERAGE(E67:E69),-2)</f>
        <v>1700</v>
      </c>
      <c r="E15" s="1622">
        <f>D15*$B$49</f>
        <v>212.5</v>
      </c>
      <c r="F15" s="1627">
        <f>ROUND(AVERAGE(E70:E72),1)</f>
        <v>0.1</v>
      </c>
      <c r="H15" s="1626" t="s">
        <v>669</v>
      </c>
    </row>
    <row r="16" spans="1:8" s="1622" customFormat="1" x14ac:dyDescent="0.35">
      <c r="A16" s="1625"/>
      <c r="B16" s="1622" t="s">
        <v>670</v>
      </c>
      <c r="C16" s="1617">
        <f>ROUND(C15/C120*C121*C118*C122/1000,2)</f>
        <v>0.16</v>
      </c>
      <c r="D16" s="1795">
        <f>ROUND(D108/100*C121*C122*C39*AVERAGE(P99,C118),-1)</f>
        <v>230</v>
      </c>
      <c r="E16" s="1627">
        <f>D16*$B$49</f>
        <v>28.75</v>
      </c>
      <c r="H16" s="1626" t="s">
        <v>671</v>
      </c>
    </row>
    <row r="17" spans="1:10" s="1622" customFormat="1" x14ac:dyDescent="0.35">
      <c r="A17" s="1625" t="s">
        <v>672</v>
      </c>
      <c r="B17" s="1622" t="s">
        <v>673</v>
      </c>
      <c r="D17" s="1795">
        <f>ROUND(AVERAGE(E176:E178),-2)</f>
        <v>6700</v>
      </c>
      <c r="E17" s="1627">
        <f>D17*$B$49</f>
        <v>837.5</v>
      </c>
      <c r="F17" s="1795">
        <f>ROUND(AVERAGE(E180:E183),-1)</f>
        <v>260</v>
      </c>
      <c r="H17" s="1626" t="s">
        <v>674</v>
      </c>
    </row>
    <row r="18" spans="1:10" s="1622" customFormat="1" x14ac:dyDescent="0.35">
      <c r="A18" s="1633"/>
      <c r="B18" s="1790" t="s">
        <v>675</v>
      </c>
      <c r="C18" s="1790"/>
      <c r="D18" s="1830">
        <f>ROUND(AVERAGE(E204:E206,E200:E202),-2)</f>
        <v>20100</v>
      </c>
      <c r="E18" s="1634">
        <f>D18*$B$49</f>
        <v>2512.5</v>
      </c>
      <c r="F18" s="1830">
        <f>ROUND(AVERAGE(E208,E209,E211,E212,E210,E213),-1)</f>
        <v>960</v>
      </c>
      <c r="G18" s="1790"/>
      <c r="H18" s="1741" t="s">
        <v>676</v>
      </c>
    </row>
    <row r="19" spans="1:10" s="1622" customFormat="1" x14ac:dyDescent="0.35"/>
    <row r="20" spans="1:10" s="1622" customFormat="1" ht="13.9" x14ac:dyDescent="0.4">
      <c r="A20" s="1774" t="s">
        <v>677</v>
      </c>
      <c r="B20" s="1613"/>
      <c r="C20" s="1613"/>
      <c r="D20" s="1613"/>
      <c r="E20" s="1613"/>
      <c r="F20" s="1614"/>
      <c r="J20" s="1608"/>
    </row>
    <row r="21" spans="1:10" s="1622" customFormat="1" x14ac:dyDescent="0.35">
      <c r="A21" s="1625"/>
      <c r="F21" s="1626"/>
      <c r="G21" s="1608"/>
      <c r="H21" s="1608"/>
      <c r="I21" s="1607"/>
      <c r="J21" s="1608"/>
    </row>
    <row r="22" spans="1:10" s="1622" customFormat="1" x14ac:dyDescent="0.35">
      <c r="A22" s="1625" t="s">
        <v>658</v>
      </c>
      <c r="B22" s="1617">
        <f>$B$33</f>
        <v>0.67045454545454541</v>
      </c>
      <c r="F22" s="1626"/>
      <c r="G22" s="1608"/>
      <c r="H22" s="1608"/>
      <c r="I22" s="1607"/>
      <c r="J22" s="1608"/>
    </row>
    <row r="23" spans="1:10" s="1622" customFormat="1" x14ac:dyDescent="0.35">
      <c r="A23" s="1625" t="s">
        <v>659</v>
      </c>
      <c r="B23" s="1617">
        <f>$B$33</f>
        <v>0.67045454545454541</v>
      </c>
      <c r="F23" s="1626"/>
      <c r="G23" s="1608"/>
      <c r="H23" s="1608"/>
      <c r="I23" s="1607"/>
      <c r="J23" s="1608"/>
    </row>
    <row r="24" spans="1:10" s="1622" customFormat="1" x14ac:dyDescent="0.35">
      <c r="A24" s="1625" t="s">
        <v>660</v>
      </c>
      <c r="B24" s="1617">
        <f>$B$33</f>
        <v>0.67045454545454541</v>
      </c>
      <c r="F24" s="1626"/>
      <c r="G24" s="1608"/>
      <c r="H24" s="1608"/>
      <c r="I24" s="1607"/>
      <c r="J24" s="1608"/>
    </row>
    <row r="25" spans="1:10" s="1622" customFormat="1" x14ac:dyDescent="0.35">
      <c r="A25" s="1591" t="s">
        <v>661</v>
      </c>
      <c r="B25" s="1617">
        <f>B30</f>
        <v>0.4</v>
      </c>
      <c r="F25" s="1626"/>
      <c r="G25" s="1608"/>
      <c r="H25" s="1608"/>
      <c r="I25" s="1607"/>
      <c r="J25" s="1608"/>
    </row>
    <row r="26" spans="1:10" s="1622" customFormat="1" x14ac:dyDescent="0.35">
      <c r="A26" s="1625" t="s">
        <v>663</v>
      </c>
      <c r="B26" s="1617">
        <f>$B$33</f>
        <v>0.67045454545454541</v>
      </c>
      <c r="F26" s="1626"/>
      <c r="G26" s="1608"/>
      <c r="H26" s="1608"/>
      <c r="I26" s="1607"/>
      <c r="J26" s="1608"/>
    </row>
    <row r="27" spans="1:10" s="1622" customFormat="1" x14ac:dyDescent="0.35">
      <c r="A27" s="1625" t="s">
        <v>664</v>
      </c>
      <c r="B27" s="1622">
        <f>B28</f>
        <v>0.57999999999999996</v>
      </c>
      <c r="F27" s="1626"/>
      <c r="G27" s="1608"/>
      <c r="H27" s="1608"/>
      <c r="I27" s="1607"/>
      <c r="J27" s="1608"/>
    </row>
    <row r="28" spans="1:10" s="1622" customFormat="1" x14ac:dyDescent="0.35">
      <c r="A28" s="1625" t="s">
        <v>665</v>
      </c>
      <c r="B28" s="1608">
        <f>+ROUND(0.576,2)</f>
        <v>0.57999999999999996</v>
      </c>
      <c r="C28" s="1608"/>
      <c r="D28" s="1665" t="s">
        <v>678</v>
      </c>
      <c r="F28" s="1626"/>
      <c r="G28" s="1608"/>
      <c r="H28" s="1608"/>
      <c r="I28" s="1607"/>
      <c r="J28" s="1608"/>
    </row>
    <row r="29" spans="1:10" s="1622" customFormat="1" x14ac:dyDescent="0.35">
      <c r="A29" s="1625"/>
      <c r="F29" s="1626"/>
      <c r="G29" s="1608"/>
      <c r="H29" s="1608"/>
      <c r="I29" s="1607"/>
      <c r="J29" s="1608"/>
    </row>
    <row r="30" spans="1:10" s="1622" customFormat="1" x14ac:dyDescent="0.35">
      <c r="A30" s="1625" t="s">
        <v>679</v>
      </c>
      <c r="B30" s="1608">
        <v>0.4</v>
      </c>
      <c r="C30" s="1608"/>
      <c r="D30" s="1665" t="s">
        <v>680</v>
      </c>
      <c r="F30" s="1626" t="s">
        <v>681</v>
      </c>
      <c r="G30" s="1608"/>
      <c r="H30" s="1608"/>
      <c r="I30" s="1607"/>
      <c r="J30" s="1608"/>
    </row>
    <row r="31" spans="1:10" s="1622" customFormat="1" x14ac:dyDescent="0.35">
      <c r="A31" s="1625" t="s">
        <v>221</v>
      </c>
      <c r="B31" s="1608">
        <v>0.4</v>
      </c>
      <c r="C31" s="1608"/>
      <c r="D31" s="1665" t="s">
        <v>682</v>
      </c>
      <c r="F31" s="1626" t="s">
        <v>683</v>
      </c>
      <c r="G31" s="1608"/>
      <c r="H31" s="1608"/>
      <c r="I31" s="1607"/>
      <c r="J31" s="1608"/>
    </row>
    <row r="32" spans="1:10" s="1622" customFormat="1" x14ac:dyDescent="0.35">
      <c r="A32" s="1625"/>
      <c r="B32" s="1668">
        <f>111/206.56</f>
        <v>0.53737412858249423</v>
      </c>
      <c r="D32" s="1842" t="s">
        <v>684</v>
      </c>
      <c r="F32" s="1626" t="s">
        <v>685</v>
      </c>
      <c r="G32" s="1608"/>
      <c r="H32" s="1608"/>
      <c r="I32" s="1607"/>
      <c r="J32" s="1608"/>
    </row>
    <row r="33" spans="1:10" s="1622" customFormat="1" x14ac:dyDescent="0.35">
      <c r="A33" s="1633"/>
      <c r="B33" s="1673">
        <f>AVERAGE(6/11,6/7.5,3.5/5.5,3.5/5)</f>
        <v>0.67045454545454541</v>
      </c>
      <c r="C33" s="1790"/>
      <c r="D33" s="1843" t="s">
        <v>686</v>
      </c>
      <c r="E33" s="1790"/>
      <c r="F33" s="1741"/>
      <c r="G33" s="1608"/>
      <c r="H33" s="1608"/>
      <c r="I33" s="1607"/>
      <c r="J33" s="1608"/>
    </row>
    <row r="34" spans="1:10" s="1622" customFormat="1" x14ac:dyDescent="0.35">
      <c r="G34" s="1608"/>
      <c r="H34" s="1608"/>
      <c r="I34" s="1607"/>
      <c r="J34" s="1608"/>
    </row>
    <row r="35" spans="1:10" s="1622" customFormat="1" ht="13.9" x14ac:dyDescent="0.4">
      <c r="A35" s="1844" t="s">
        <v>687</v>
      </c>
      <c r="B35" s="1613"/>
      <c r="C35" s="1613"/>
      <c r="D35" s="1614"/>
    </row>
    <row r="36" spans="1:10" s="1622" customFormat="1" ht="13.9" x14ac:dyDescent="0.4">
      <c r="A36" s="1845"/>
      <c r="D36" s="1626"/>
    </row>
    <row r="37" spans="1:10" s="1622" customFormat="1" x14ac:dyDescent="0.35">
      <c r="A37" s="1625">
        <v>1</v>
      </c>
      <c r="B37" s="1622" t="s">
        <v>688</v>
      </c>
      <c r="C37" s="1622">
        <v>0.90718500000000002</v>
      </c>
      <c r="D37" s="1626" t="s">
        <v>689</v>
      </c>
    </row>
    <row r="38" spans="1:10" s="1622" customFormat="1" x14ac:dyDescent="0.35">
      <c r="A38" s="1625">
        <v>1</v>
      </c>
      <c r="B38" s="1622" t="s">
        <v>690</v>
      </c>
      <c r="C38" s="1622">
        <v>1.60934</v>
      </c>
      <c r="D38" s="1626" t="s">
        <v>260</v>
      </c>
    </row>
    <row r="39" spans="1:10" s="1622" customFormat="1" x14ac:dyDescent="0.35">
      <c r="A39" s="1625">
        <v>1</v>
      </c>
      <c r="B39" s="1622" t="s">
        <v>691</v>
      </c>
      <c r="C39" s="1622">
        <v>2.4065300000000001</v>
      </c>
      <c r="D39" s="1626" t="s">
        <v>692</v>
      </c>
    </row>
    <row r="40" spans="1:10" s="1622" customFormat="1" x14ac:dyDescent="0.35">
      <c r="A40" s="1625">
        <v>1</v>
      </c>
      <c r="B40" s="1622" t="s">
        <v>693</v>
      </c>
      <c r="C40" s="1622">
        <v>0.764554858</v>
      </c>
      <c r="D40" s="1626" t="s">
        <v>694</v>
      </c>
    </row>
    <row r="41" spans="1:10" s="1622" customFormat="1" x14ac:dyDescent="0.35">
      <c r="A41" s="1625">
        <v>1</v>
      </c>
      <c r="B41" s="1622" t="s">
        <v>695</v>
      </c>
      <c r="C41" s="1622">
        <v>2.83168E-2</v>
      </c>
      <c r="D41" s="1626" t="s">
        <v>696</v>
      </c>
    </row>
    <row r="42" spans="1:10" s="1622" customFormat="1" x14ac:dyDescent="0.35">
      <c r="A42" s="1625">
        <v>1</v>
      </c>
      <c r="B42" s="1622" t="s">
        <v>693</v>
      </c>
      <c r="C42" s="1622">
        <v>0.764554858</v>
      </c>
      <c r="D42" s="1626" t="s">
        <v>694</v>
      </c>
    </row>
    <row r="43" spans="1:10" s="1622" customFormat="1" x14ac:dyDescent="0.35">
      <c r="A43" s="1625">
        <v>1</v>
      </c>
      <c r="B43" s="1622" t="s">
        <v>688</v>
      </c>
      <c r="C43" s="1622">
        <v>0.90718500000000002</v>
      </c>
      <c r="D43" s="1626" t="s">
        <v>689</v>
      </c>
    </row>
    <row r="44" spans="1:10" s="1622" customFormat="1" x14ac:dyDescent="0.35">
      <c r="A44" s="1625">
        <v>1</v>
      </c>
      <c r="B44" s="1622" t="s">
        <v>235</v>
      </c>
      <c r="C44" s="1622">
        <v>1E-3</v>
      </c>
      <c r="D44" s="1626" t="s">
        <v>689</v>
      </c>
    </row>
    <row r="45" spans="1:10" s="1622" customFormat="1" x14ac:dyDescent="0.35">
      <c r="A45" s="1625">
        <v>1</v>
      </c>
      <c r="B45" s="1622" t="s">
        <v>697</v>
      </c>
      <c r="C45" s="1622">
        <v>1E-3</v>
      </c>
      <c r="D45" s="1626" t="s">
        <v>260</v>
      </c>
    </row>
    <row r="46" spans="1:10" s="1622" customFormat="1" x14ac:dyDescent="0.35">
      <c r="A46" s="1633">
        <v>1</v>
      </c>
      <c r="B46" s="1790" t="s">
        <v>402</v>
      </c>
      <c r="C46" s="1790">
        <v>4.53592E-4</v>
      </c>
      <c r="D46" s="1741" t="s">
        <v>689</v>
      </c>
    </row>
    <row r="47" spans="1:10" s="1622" customFormat="1" x14ac:dyDescent="0.35"/>
    <row r="48" spans="1:10" s="1622" customFormat="1" x14ac:dyDescent="0.35">
      <c r="A48" s="1611" t="s">
        <v>698</v>
      </c>
      <c r="B48" s="1613"/>
      <c r="C48" s="1613"/>
      <c r="D48" s="1613"/>
      <c r="E48" s="1613"/>
      <c r="F48" s="1613"/>
      <c r="G48" s="1613"/>
      <c r="H48" s="1614"/>
    </row>
    <row r="49" spans="1:13" s="1622" customFormat="1" x14ac:dyDescent="0.35">
      <c r="A49" s="1625"/>
      <c r="B49" s="1846">
        <f>B51</f>
        <v>0.125</v>
      </c>
      <c r="C49" s="1622" t="s">
        <v>699</v>
      </c>
      <c r="H49" s="1626"/>
    </row>
    <row r="50" spans="1:13" s="1622" customFormat="1" x14ac:dyDescent="0.35">
      <c r="A50" s="1625"/>
      <c r="B50" s="1847">
        <f>Cement_Concrete!$B$5</f>
        <v>0.21</v>
      </c>
      <c r="C50" s="1622" t="s">
        <v>248</v>
      </c>
      <c r="H50" s="1626"/>
    </row>
    <row r="51" spans="1:13" s="1622" customFormat="1" x14ac:dyDescent="0.35">
      <c r="A51" s="1625"/>
      <c r="B51" s="1847">
        <v>0.125</v>
      </c>
      <c r="C51" s="1848" t="s">
        <v>700</v>
      </c>
      <c r="H51" s="1626"/>
    </row>
    <row r="52" spans="1:13" s="1622" customFormat="1" x14ac:dyDescent="0.35">
      <c r="A52" s="1633"/>
      <c r="B52" s="1849">
        <v>7.0000000000000007E-2</v>
      </c>
      <c r="C52" s="1850" t="s">
        <v>701</v>
      </c>
      <c r="D52" s="1790"/>
      <c r="E52" s="1790"/>
      <c r="F52" s="1790"/>
      <c r="G52" s="1790"/>
      <c r="H52" s="1741"/>
    </row>
    <row r="53" spans="1:13" s="1622" customFormat="1" x14ac:dyDescent="0.35">
      <c r="B53" s="1851"/>
      <c r="C53" s="1848"/>
    </row>
    <row r="54" spans="1:13" s="1622" customFormat="1" x14ac:dyDescent="0.35">
      <c r="A54" s="1852" t="s">
        <v>667</v>
      </c>
      <c r="B54" s="1613"/>
      <c r="C54" s="1613"/>
      <c r="D54" s="1613"/>
      <c r="E54" s="1613"/>
      <c r="F54" s="1613"/>
      <c r="G54" s="1613"/>
      <c r="H54" s="1613"/>
      <c r="I54" s="1613"/>
      <c r="J54" s="1613"/>
      <c r="K54" s="1613"/>
      <c r="L54" s="1614"/>
    </row>
    <row r="55" spans="1:13" s="1622" customFormat="1" x14ac:dyDescent="0.35">
      <c r="A55" s="1625"/>
      <c r="L55" s="1626"/>
    </row>
    <row r="56" spans="1:13" s="1622" customFormat="1" ht="13.9" x14ac:dyDescent="0.4">
      <c r="A56" s="1853" t="s">
        <v>702</v>
      </c>
      <c r="L56" s="1626"/>
    </row>
    <row r="57" spans="1:13" s="1622" customFormat="1" ht="13.9" x14ac:dyDescent="0.4">
      <c r="A57" s="1853"/>
      <c r="L57" s="1626"/>
    </row>
    <row r="58" spans="1:13" s="1622" customFormat="1" ht="13.9" x14ac:dyDescent="0.4">
      <c r="A58" s="1845" t="s">
        <v>703</v>
      </c>
      <c r="B58" s="1854" t="s">
        <v>704</v>
      </c>
      <c r="C58" s="1854" t="s">
        <v>705</v>
      </c>
      <c r="D58" s="1854" t="s">
        <v>706</v>
      </c>
      <c r="E58" s="1854" t="s">
        <v>286</v>
      </c>
      <c r="F58" s="1854" t="s">
        <v>707</v>
      </c>
      <c r="K58" s="1854"/>
      <c r="L58" s="1626"/>
      <c r="M58" s="1854"/>
    </row>
    <row r="59" spans="1:13" s="1622" customFormat="1" x14ac:dyDescent="0.35">
      <c r="A59" s="1625" t="s">
        <v>708</v>
      </c>
      <c r="B59" s="1622" t="s">
        <v>709</v>
      </c>
      <c r="C59" s="1622">
        <v>90</v>
      </c>
      <c r="D59" s="1622" t="s">
        <v>132</v>
      </c>
      <c r="E59" s="1848" t="s">
        <v>710</v>
      </c>
      <c r="L59" s="1626"/>
    </row>
    <row r="60" spans="1:13" s="1622" customFormat="1" x14ac:dyDescent="0.35">
      <c r="A60" s="1625" t="s">
        <v>708</v>
      </c>
      <c r="B60" s="1622" t="s">
        <v>352</v>
      </c>
      <c r="C60" s="1622">
        <v>90</v>
      </c>
      <c r="D60" s="1622" t="s">
        <v>132</v>
      </c>
      <c r="E60" s="1848" t="s">
        <v>711</v>
      </c>
      <c r="L60" s="1626"/>
    </row>
    <row r="61" spans="1:13" s="1622" customFormat="1" x14ac:dyDescent="0.35">
      <c r="A61" s="1633" t="s">
        <v>712</v>
      </c>
      <c r="B61" s="1790" t="s">
        <v>709</v>
      </c>
      <c r="C61" s="1790">
        <v>60</v>
      </c>
      <c r="D61" s="1790" t="s">
        <v>132</v>
      </c>
      <c r="E61" s="1850" t="s">
        <v>713</v>
      </c>
      <c r="F61" s="1790"/>
      <c r="G61" s="1790"/>
      <c r="H61" s="1790"/>
      <c r="I61" s="1790"/>
      <c r="J61" s="1790"/>
      <c r="K61" s="1790"/>
      <c r="L61" s="1741"/>
    </row>
    <row r="62" spans="1:13" s="1622" customFormat="1" x14ac:dyDescent="0.35">
      <c r="E62" s="1855"/>
    </row>
    <row r="63" spans="1:13" s="1622" customFormat="1" x14ac:dyDescent="0.35">
      <c r="A63" s="1831" t="s">
        <v>714</v>
      </c>
      <c r="B63" s="1613"/>
      <c r="C63" s="1613"/>
      <c r="D63" s="1613"/>
      <c r="E63" s="1613"/>
      <c r="F63" s="1613"/>
      <c r="G63" s="1613"/>
      <c r="H63" s="1614"/>
    </row>
    <row r="64" spans="1:13" s="1622" customFormat="1" ht="12" customHeight="1" x14ac:dyDescent="0.35">
      <c r="A64" s="1625"/>
      <c r="H64" s="1626"/>
    </row>
    <row r="65" spans="1:20" s="1622" customFormat="1" ht="13.9" x14ac:dyDescent="0.4">
      <c r="A65" s="1845" t="s">
        <v>703</v>
      </c>
      <c r="B65" s="1854" t="s">
        <v>704</v>
      </c>
      <c r="C65" s="1854" t="s">
        <v>715</v>
      </c>
      <c r="D65" s="1854" t="s">
        <v>706</v>
      </c>
      <c r="E65" s="1854" t="s">
        <v>716</v>
      </c>
      <c r="F65" s="1854" t="s">
        <v>415</v>
      </c>
      <c r="G65" s="1854" t="s">
        <v>286</v>
      </c>
      <c r="H65" s="1856" t="s">
        <v>707</v>
      </c>
      <c r="I65" s="1854"/>
      <c r="J65" s="1592"/>
    </row>
    <row r="66" spans="1:20" s="1622" customFormat="1" x14ac:dyDescent="0.35">
      <c r="A66" s="1625" t="s">
        <v>655</v>
      </c>
      <c r="B66" s="1622" t="s">
        <v>709</v>
      </c>
      <c r="C66" s="1622">
        <v>4</v>
      </c>
      <c r="D66" s="1622" t="s">
        <v>717</v>
      </c>
      <c r="E66" s="1857">
        <f>C66/4</f>
        <v>1</v>
      </c>
      <c r="F66" s="1622">
        <v>2017</v>
      </c>
      <c r="G66" s="1848" t="s">
        <v>718</v>
      </c>
      <c r="H66" s="1626" t="s">
        <v>719</v>
      </c>
      <c r="K66" s="1857"/>
      <c r="L66" s="1857"/>
      <c r="M66" s="1857"/>
      <c r="N66" s="1857"/>
      <c r="O66" s="1857"/>
      <c r="P66" s="1857"/>
      <c r="Q66" s="1858"/>
      <c r="S66" s="1855"/>
    </row>
    <row r="67" spans="1:20" s="1622" customFormat="1" x14ac:dyDescent="0.35">
      <c r="A67" s="1625" t="s">
        <v>656</v>
      </c>
      <c r="B67" s="1622" t="s">
        <v>709</v>
      </c>
      <c r="C67" s="1622">
        <v>174.64224494038038</v>
      </c>
      <c r="D67" s="1622" t="s">
        <v>720</v>
      </c>
      <c r="E67" s="1857">
        <f>C67/$B$49</f>
        <v>1397.137959523043</v>
      </c>
      <c r="F67" s="1622">
        <v>2013</v>
      </c>
      <c r="G67" s="1848" t="s">
        <v>721</v>
      </c>
      <c r="H67" s="1626"/>
      <c r="I67" s="1859"/>
      <c r="K67" s="1859"/>
      <c r="N67" s="1859"/>
      <c r="O67" s="1858"/>
    </row>
    <row r="68" spans="1:20" s="1622" customFormat="1" x14ac:dyDescent="0.35">
      <c r="A68" s="1625" t="str">
        <f>A67</f>
        <v>Concrete</v>
      </c>
      <c r="B68" s="1622" t="s">
        <v>351</v>
      </c>
      <c r="C68" s="1622">
        <v>1842.5</v>
      </c>
      <c r="D68" s="1622" t="s">
        <v>722</v>
      </c>
      <c r="E68" s="1858">
        <f>C68</f>
        <v>1842.5</v>
      </c>
      <c r="F68" s="1622">
        <v>2006</v>
      </c>
      <c r="G68" s="1848" t="s">
        <v>723</v>
      </c>
      <c r="H68" s="1626" t="s">
        <v>724</v>
      </c>
      <c r="I68" s="1858"/>
      <c r="K68" s="1858"/>
      <c r="L68" s="1858"/>
      <c r="M68" s="1858"/>
      <c r="N68" s="1858"/>
      <c r="O68" s="1858"/>
    </row>
    <row r="69" spans="1:20" s="1622" customFormat="1" x14ac:dyDescent="0.35">
      <c r="A69" s="1625" t="str">
        <f>A68</f>
        <v>Concrete</v>
      </c>
      <c r="B69" s="1622" t="s">
        <v>709</v>
      </c>
      <c r="C69" s="1622">
        <v>1939.6631799999998</v>
      </c>
      <c r="D69" s="1622" t="s">
        <v>722</v>
      </c>
      <c r="E69" s="1858">
        <f>C69</f>
        <v>1939.6631799999998</v>
      </c>
      <c r="F69" s="1622">
        <v>2013</v>
      </c>
      <c r="G69" s="1848" t="s">
        <v>725</v>
      </c>
      <c r="H69" s="1626"/>
      <c r="I69" s="1858"/>
      <c r="K69" s="1858"/>
      <c r="L69" s="1858"/>
      <c r="M69" s="1858"/>
      <c r="N69" s="1858"/>
      <c r="O69" s="1858"/>
    </row>
    <row r="70" spans="1:20" s="1622" customFormat="1" x14ac:dyDescent="0.35">
      <c r="A70" s="1625" t="s">
        <v>234</v>
      </c>
      <c r="B70" s="1622" t="s">
        <v>709</v>
      </c>
      <c r="C70" s="1795">
        <v>0</v>
      </c>
      <c r="D70" s="1622" t="s">
        <v>726</v>
      </c>
      <c r="E70" s="1858">
        <f>C70</f>
        <v>0</v>
      </c>
      <c r="F70" s="1622">
        <v>2013</v>
      </c>
      <c r="G70" s="1848" t="s">
        <v>721</v>
      </c>
      <c r="H70" s="1860"/>
      <c r="I70" s="1858"/>
      <c r="J70" s="1858"/>
      <c r="K70" s="1858"/>
      <c r="L70" s="1858"/>
    </row>
    <row r="71" spans="1:20" s="1622" customFormat="1" x14ac:dyDescent="0.35">
      <c r="A71" s="1625" t="str">
        <f>A70</f>
        <v>Steel</v>
      </c>
      <c r="B71" s="1622" t="s">
        <v>351</v>
      </c>
      <c r="C71" s="1622">
        <v>0</v>
      </c>
      <c r="D71" s="1622" t="s">
        <v>727</v>
      </c>
      <c r="E71" s="1858">
        <f>C71/2</f>
        <v>0</v>
      </c>
      <c r="F71" s="1622">
        <v>2006</v>
      </c>
      <c r="G71" s="1848" t="s">
        <v>723</v>
      </c>
      <c r="H71" s="1626" t="s">
        <v>728</v>
      </c>
      <c r="I71" s="1858"/>
      <c r="J71" s="1858"/>
      <c r="K71" s="1858"/>
      <c r="L71" s="1858"/>
    </row>
    <row r="72" spans="1:20" s="1622" customFormat="1" x14ac:dyDescent="0.35">
      <c r="A72" s="1633" t="str">
        <f>A71</f>
        <v>Steel</v>
      </c>
      <c r="B72" s="1790" t="s">
        <v>47</v>
      </c>
      <c r="C72" s="1790">
        <f>1/6</f>
        <v>0.16666666666666666</v>
      </c>
      <c r="D72" s="1790" t="s">
        <v>729</v>
      </c>
      <c r="E72" s="1861">
        <f>C72</f>
        <v>0.16666666666666666</v>
      </c>
      <c r="F72" s="1790">
        <v>2012</v>
      </c>
      <c r="G72" s="1850" t="s">
        <v>730</v>
      </c>
      <c r="H72" s="1741" t="s">
        <v>731</v>
      </c>
      <c r="I72" s="1858"/>
      <c r="J72" s="1858"/>
      <c r="K72" s="1858"/>
    </row>
    <row r="73" spans="1:20" s="1622" customFormat="1" ht="12" customHeight="1" x14ac:dyDescent="0.35"/>
    <row r="74" spans="1:20" s="1622" customFormat="1" ht="12" customHeight="1" x14ac:dyDescent="0.35">
      <c r="A74" s="1831" t="s">
        <v>732</v>
      </c>
      <c r="B74" s="1613"/>
      <c r="C74" s="1613"/>
      <c r="D74" s="1613"/>
      <c r="E74" s="1613"/>
      <c r="F74" s="1613"/>
      <c r="G74" s="1613"/>
      <c r="H74" s="1613"/>
      <c r="I74" s="1613"/>
      <c r="J74" s="1613"/>
      <c r="K74" s="1613"/>
      <c r="L74" s="1613"/>
      <c r="M74" s="1613"/>
      <c r="N74" s="1613"/>
      <c r="O74" s="1613"/>
      <c r="P74" s="1613"/>
      <c r="Q74" s="1613"/>
      <c r="R74" s="1613"/>
      <c r="S74" s="1613"/>
      <c r="T74" s="1614"/>
    </row>
    <row r="75" spans="1:20" s="1622" customFormat="1" ht="12" customHeight="1" x14ac:dyDescent="0.35">
      <c r="A75" s="1625"/>
      <c r="T75" s="1626"/>
    </row>
    <row r="76" spans="1:20" s="1622" customFormat="1" ht="13.9" x14ac:dyDescent="0.4">
      <c r="A76" s="1853" t="s">
        <v>733</v>
      </c>
      <c r="T76" s="1626"/>
    </row>
    <row r="77" spans="1:20" s="1622" customFormat="1" ht="13.9" x14ac:dyDescent="0.4">
      <c r="A77" s="1853"/>
      <c r="T77" s="1626"/>
    </row>
    <row r="78" spans="1:20" s="1622" customFormat="1" ht="13.9" x14ac:dyDescent="0.4">
      <c r="A78" s="1845" t="s">
        <v>703</v>
      </c>
      <c r="B78" s="1854" t="s">
        <v>704</v>
      </c>
      <c r="C78" s="1854" t="s">
        <v>734</v>
      </c>
      <c r="D78" s="1854" t="s">
        <v>706</v>
      </c>
      <c r="E78" s="1854" t="s">
        <v>415</v>
      </c>
      <c r="F78" s="1854" t="s">
        <v>286</v>
      </c>
      <c r="G78" s="1854" t="s">
        <v>707</v>
      </c>
      <c r="J78" s="1592"/>
      <c r="T78" s="1626"/>
    </row>
    <row r="79" spans="1:20" s="1622" customFormat="1" x14ac:dyDescent="0.35">
      <c r="A79" s="1625" t="s">
        <v>670</v>
      </c>
      <c r="B79" s="1622" t="s">
        <v>709</v>
      </c>
      <c r="C79" s="1622">
        <v>2.2000000000000002</v>
      </c>
      <c r="D79" s="1622" t="s">
        <v>735</v>
      </c>
      <c r="E79" s="1622">
        <v>2010</v>
      </c>
      <c r="F79" s="1665" t="s">
        <v>736</v>
      </c>
      <c r="K79" s="1857"/>
      <c r="L79" s="1857"/>
      <c r="M79" s="1857"/>
      <c r="N79" s="1857"/>
      <c r="O79" s="1857"/>
      <c r="P79" s="1857"/>
      <c r="Q79" s="1858"/>
      <c r="S79" s="1848"/>
      <c r="T79" s="1626"/>
    </row>
    <row r="80" spans="1:20" s="1622" customFormat="1" x14ac:dyDescent="0.35">
      <c r="A80" s="1633" t="s">
        <v>670</v>
      </c>
      <c r="B80" s="1790" t="s">
        <v>709</v>
      </c>
      <c r="C80" s="1790">
        <v>4.5</v>
      </c>
      <c r="D80" s="1790" t="s">
        <v>735</v>
      </c>
      <c r="E80" s="1790">
        <v>1999</v>
      </c>
      <c r="F80" s="1862" t="s">
        <v>737</v>
      </c>
      <c r="G80" s="1790" t="s">
        <v>738</v>
      </c>
      <c r="H80" s="1790"/>
      <c r="I80" s="1790"/>
      <c r="J80" s="1790"/>
      <c r="K80" s="1863"/>
      <c r="L80" s="1863"/>
      <c r="M80" s="1863"/>
      <c r="N80" s="1863"/>
      <c r="O80" s="1863"/>
      <c r="P80" s="1863"/>
      <c r="Q80" s="1861"/>
      <c r="R80" s="1790"/>
      <c r="S80" s="1850"/>
      <c r="T80" s="1741"/>
    </row>
    <row r="81" spans="1:19" s="1622" customFormat="1" x14ac:dyDescent="0.35">
      <c r="K81" s="1857"/>
      <c r="L81" s="1857"/>
      <c r="M81" s="1857"/>
      <c r="N81" s="1857"/>
      <c r="O81" s="1857"/>
      <c r="P81" s="1857"/>
      <c r="Q81" s="1858"/>
      <c r="S81" s="1855"/>
    </row>
    <row r="82" spans="1:19" s="1622" customFormat="1" ht="13.9" x14ac:dyDescent="0.4">
      <c r="A82" s="1864" t="s">
        <v>739</v>
      </c>
      <c r="K82" s="1858"/>
      <c r="L82" s="1858"/>
    </row>
    <row r="83" spans="1:19" s="1622" customFormat="1" ht="13.9" x14ac:dyDescent="0.4">
      <c r="A83" s="1864"/>
      <c r="K83" s="1858"/>
      <c r="L83" s="1858"/>
    </row>
    <row r="84" spans="1:19" s="1622" customFormat="1" ht="13.9" x14ac:dyDescent="0.4">
      <c r="A84" s="1854" t="s">
        <v>703</v>
      </c>
      <c r="B84" s="1854" t="s">
        <v>704</v>
      </c>
      <c r="C84" s="1854" t="s">
        <v>734</v>
      </c>
      <c r="D84" s="1854" t="s">
        <v>706</v>
      </c>
      <c r="E84" s="1854" t="s">
        <v>740</v>
      </c>
      <c r="F84" s="1854" t="s">
        <v>415</v>
      </c>
      <c r="G84" s="1854" t="s">
        <v>286</v>
      </c>
      <c r="H84" s="1854" t="s">
        <v>707</v>
      </c>
      <c r="K84" s="1857"/>
      <c r="L84" s="1857"/>
    </row>
    <row r="85" spans="1:19" s="1622" customFormat="1" x14ac:dyDescent="0.35">
      <c r="A85" s="1622" t="s">
        <v>741</v>
      </c>
      <c r="B85" s="1622" t="s">
        <v>709</v>
      </c>
      <c r="C85" s="1622">
        <v>17</v>
      </c>
      <c r="D85" s="1622" t="s">
        <v>742</v>
      </c>
      <c r="E85" s="1622">
        <f>C85</f>
        <v>17</v>
      </c>
      <c r="F85" s="1622">
        <v>2010</v>
      </c>
      <c r="G85" s="1855" t="s">
        <v>713</v>
      </c>
      <c r="K85" s="1857"/>
      <c r="L85" s="1857"/>
    </row>
    <row r="86" spans="1:19" s="1622" customFormat="1" x14ac:dyDescent="0.35">
      <c r="A86" s="1622" t="s">
        <v>741</v>
      </c>
      <c r="B86" s="1622" t="s">
        <v>352</v>
      </c>
      <c r="C86" s="1622">
        <f>2*6</f>
        <v>12</v>
      </c>
      <c r="D86" s="1622" t="s">
        <v>742</v>
      </c>
      <c r="E86" s="1622">
        <f>C86</f>
        <v>12</v>
      </c>
      <c r="H86" s="1622" t="s">
        <v>743</v>
      </c>
      <c r="K86" s="1857"/>
      <c r="L86" s="1857"/>
    </row>
    <row r="87" spans="1:19" s="1622" customFormat="1" x14ac:dyDescent="0.35">
      <c r="A87" s="1622" t="s">
        <v>744</v>
      </c>
      <c r="B87" s="1622" t="s">
        <v>709</v>
      </c>
      <c r="C87" s="1622">
        <f>14000/500</f>
        <v>28</v>
      </c>
      <c r="E87" s="1622">
        <f>C87</f>
        <v>28</v>
      </c>
      <c r="F87" s="1622">
        <v>2010</v>
      </c>
      <c r="G87" s="1855" t="s">
        <v>713</v>
      </c>
      <c r="H87" s="1622" t="s">
        <v>745</v>
      </c>
      <c r="K87" s="1857"/>
      <c r="L87" s="1857"/>
    </row>
    <row r="88" spans="1:19" s="1622" customFormat="1" x14ac:dyDescent="0.35">
      <c r="A88" s="1622" t="s">
        <v>712</v>
      </c>
      <c r="B88" s="1622" t="s">
        <v>709</v>
      </c>
      <c r="C88" s="1622">
        <f>17+25</f>
        <v>42</v>
      </c>
      <c r="E88" s="1622">
        <f>C88</f>
        <v>42</v>
      </c>
      <c r="F88" s="1622">
        <v>2010</v>
      </c>
      <c r="G88" s="1855" t="s">
        <v>713</v>
      </c>
      <c r="J88" s="1858"/>
    </row>
    <row r="89" spans="1:19" s="1622" customFormat="1" x14ac:dyDescent="0.35">
      <c r="A89" s="1622" t="s">
        <v>342</v>
      </c>
      <c r="G89" s="1855"/>
      <c r="J89" s="1858"/>
    </row>
    <row r="90" spans="1:19" s="1622" customFormat="1" x14ac:dyDescent="0.35">
      <c r="A90" s="1831" t="s">
        <v>746</v>
      </c>
      <c r="B90" s="1613"/>
      <c r="C90" s="1613"/>
      <c r="D90" s="1613"/>
      <c r="E90" s="1613"/>
      <c r="F90" s="1613"/>
      <c r="G90" s="1865"/>
      <c r="H90" s="1613"/>
      <c r="I90" s="1613"/>
      <c r="J90" s="1866"/>
      <c r="K90" s="1613"/>
      <c r="L90" s="1613"/>
      <c r="M90" s="1613"/>
      <c r="N90" s="1613"/>
      <c r="O90" s="1613"/>
      <c r="P90" s="1613"/>
      <c r="Q90" s="1614"/>
    </row>
    <row r="91" spans="1:19" s="1622" customFormat="1" x14ac:dyDescent="0.35">
      <c r="A91" s="1625" t="s">
        <v>175</v>
      </c>
      <c r="B91" s="1848" t="s">
        <v>713</v>
      </c>
      <c r="G91" s="1848"/>
      <c r="J91" s="1858"/>
      <c r="Q91" s="1626"/>
    </row>
    <row r="92" spans="1:19" s="1622" customFormat="1" x14ac:dyDescent="0.35">
      <c r="A92" s="1625"/>
      <c r="B92" s="1848"/>
      <c r="G92" s="1848"/>
      <c r="J92" s="1858"/>
      <c r="Q92" s="1626"/>
    </row>
    <row r="93" spans="1:19" s="1622" customFormat="1" ht="13.9" x14ac:dyDescent="0.4">
      <c r="A93" s="1625"/>
      <c r="B93" s="1854" t="s">
        <v>747</v>
      </c>
      <c r="G93" s="1854" t="s">
        <v>748</v>
      </c>
      <c r="Q93" s="1626"/>
    </row>
    <row r="94" spans="1:19" s="1622" customFormat="1" ht="13.9" x14ac:dyDescent="0.4">
      <c r="A94" s="1845" t="s">
        <v>749</v>
      </c>
      <c r="B94" s="1622" t="s">
        <v>111</v>
      </c>
      <c r="C94" s="1622" t="s">
        <v>118</v>
      </c>
      <c r="D94" s="1622" t="s">
        <v>120</v>
      </c>
      <c r="E94" s="1622" t="s">
        <v>121</v>
      </c>
      <c r="F94" s="1622" t="s">
        <v>122</v>
      </c>
      <c r="G94" s="1622" t="s">
        <v>111</v>
      </c>
      <c r="H94" s="1622" t="s">
        <v>118</v>
      </c>
      <c r="I94" s="1622" t="s">
        <v>120</v>
      </c>
      <c r="J94" s="1622" t="s">
        <v>121</v>
      </c>
      <c r="K94" s="1622" t="s">
        <v>122</v>
      </c>
      <c r="M94" s="1854" t="s">
        <v>750</v>
      </c>
      <c r="O94" s="1622" t="s">
        <v>751</v>
      </c>
      <c r="P94" s="1622" t="str">
        <f>A103</f>
        <v>Ratio parking spaces/lane km</v>
      </c>
      <c r="Q94" s="1626"/>
    </row>
    <row r="95" spans="1:19" s="1622" customFormat="1" x14ac:dyDescent="0.35">
      <c r="A95" s="1625" t="s">
        <v>752</v>
      </c>
      <c r="B95" s="1622">
        <v>35</v>
      </c>
      <c r="C95" s="1622">
        <v>92</v>
      </c>
      <c r="D95" s="1622">
        <v>180</v>
      </c>
      <c r="E95" s="1622">
        <v>150</v>
      </c>
      <c r="F95" s="1622">
        <v>1100</v>
      </c>
      <c r="G95" s="1846">
        <f t="shared" ref="G95:K99" si="2">B95/B$99</f>
        <v>0.33333333333333331</v>
      </c>
      <c r="H95" s="1846">
        <f t="shared" si="2"/>
        <v>0.12602739726027398</v>
      </c>
      <c r="I95" s="1846">
        <f t="shared" si="2"/>
        <v>0.21951219512195122</v>
      </c>
      <c r="J95" s="1846">
        <f t="shared" si="2"/>
        <v>0.17857142857142858</v>
      </c>
      <c r="K95" s="1846">
        <f t="shared" si="2"/>
        <v>0.55000000000000004</v>
      </c>
      <c r="L95" s="1617"/>
      <c r="M95" s="1846">
        <f>AVERAGE(H95:J95)</f>
        <v>0.17470367365121794</v>
      </c>
      <c r="N95" s="1627"/>
      <c r="O95" s="1617">
        <f>AVERAGE(C95:E95)/$B$100</f>
        <v>0.56266666666666665</v>
      </c>
      <c r="P95" s="1627">
        <f>C95/$B$101</f>
        <v>7.0769230769230766</v>
      </c>
      <c r="Q95" s="1786"/>
    </row>
    <row r="96" spans="1:19" s="1622" customFormat="1" x14ac:dyDescent="0.35">
      <c r="A96" s="1625" t="s">
        <v>753</v>
      </c>
      <c r="B96" s="1622">
        <v>36</v>
      </c>
      <c r="C96" s="1622">
        <f>520-C98</f>
        <v>374.79999999999995</v>
      </c>
      <c r="D96" s="1622">
        <f>520-D98</f>
        <v>374.79999999999995</v>
      </c>
      <c r="E96" s="1622">
        <f>610-E98</f>
        <v>464.79999999999995</v>
      </c>
      <c r="F96" s="1622">
        <f>790-F98</f>
        <v>644.79999999999995</v>
      </c>
      <c r="G96" s="1846">
        <f t="shared" si="2"/>
        <v>0.34285714285714286</v>
      </c>
      <c r="H96" s="1846">
        <f t="shared" si="2"/>
        <v>0.51342465753424649</v>
      </c>
      <c r="I96" s="1846">
        <f t="shared" si="2"/>
        <v>0.45707317073170728</v>
      </c>
      <c r="J96" s="1846">
        <f t="shared" si="2"/>
        <v>0.55333333333333323</v>
      </c>
      <c r="K96" s="1846">
        <f t="shared" si="2"/>
        <v>0.32239999999999996</v>
      </c>
      <c r="L96" s="1617"/>
      <c r="M96" s="1846">
        <f>AVERAGE(H96:J96)</f>
        <v>0.50794372053309567</v>
      </c>
      <c r="N96" s="1627"/>
      <c r="O96" s="1617">
        <f>AVERAGE(C96:E96)/$B$100</f>
        <v>1.6191999999999998</v>
      </c>
      <c r="P96" s="1627">
        <f>C96/$B$101</f>
        <v>28.830769230769228</v>
      </c>
      <c r="Q96" s="1786"/>
    </row>
    <row r="97" spans="1:17" s="1622" customFormat="1" x14ac:dyDescent="0.35">
      <c r="A97" s="1625" t="s">
        <v>754</v>
      </c>
      <c r="B97" s="1622">
        <v>34</v>
      </c>
      <c r="C97" s="1622">
        <v>110</v>
      </c>
      <c r="D97" s="1622">
        <v>110</v>
      </c>
      <c r="E97" s="1622">
        <v>84</v>
      </c>
      <c r="F97" s="1622">
        <v>120</v>
      </c>
      <c r="G97" s="1846">
        <f t="shared" si="2"/>
        <v>0.32380952380952382</v>
      </c>
      <c r="H97" s="1846">
        <f t="shared" si="2"/>
        <v>0.15068493150684931</v>
      </c>
      <c r="I97" s="1846">
        <f t="shared" si="2"/>
        <v>0.13414634146341464</v>
      </c>
      <c r="J97" s="1846">
        <f t="shared" si="2"/>
        <v>0.1</v>
      </c>
      <c r="K97" s="1846">
        <f t="shared" si="2"/>
        <v>0.06</v>
      </c>
      <c r="L97" s="1617"/>
      <c r="M97" s="1846">
        <f>AVERAGE(H97:J97)</f>
        <v>0.12827709099008799</v>
      </c>
      <c r="N97" s="1627"/>
      <c r="O97" s="1617">
        <f>AVERAGE(C97:E97)/$B$100</f>
        <v>0.40533333333333332</v>
      </c>
      <c r="P97" s="1627">
        <f>C97/$B$101</f>
        <v>8.4615384615384617</v>
      </c>
      <c r="Q97" s="1786"/>
    </row>
    <row r="98" spans="1:17" s="1622" customFormat="1" x14ac:dyDescent="0.35">
      <c r="A98" s="1625" t="s">
        <v>583</v>
      </c>
      <c r="C98" s="1622">
        <f>220*0.66</f>
        <v>145.20000000000002</v>
      </c>
      <c r="D98" s="1622">
        <f>220*0.66</f>
        <v>145.20000000000002</v>
      </c>
      <c r="E98" s="1622">
        <f>220*0.66</f>
        <v>145.20000000000002</v>
      </c>
      <c r="F98" s="1622">
        <f>220*0.66</f>
        <v>145.20000000000002</v>
      </c>
      <c r="G98" s="1846">
        <f t="shared" si="2"/>
        <v>0</v>
      </c>
      <c r="H98" s="1846">
        <f t="shared" si="2"/>
        <v>0.19890410958904112</v>
      </c>
      <c r="I98" s="1846">
        <f t="shared" si="2"/>
        <v>0.17707317073170734</v>
      </c>
      <c r="J98" s="1846">
        <f t="shared" si="2"/>
        <v>0.17285714285714288</v>
      </c>
      <c r="K98" s="1846">
        <f t="shared" si="2"/>
        <v>7.2600000000000012E-2</v>
      </c>
      <c r="L98" s="1617"/>
      <c r="M98" s="1846">
        <f>AVERAGE(H98:J98)</f>
        <v>0.18294480772596378</v>
      </c>
      <c r="N98" s="1627"/>
      <c r="O98" s="1617">
        <f>AVERAGE(C98:E98)/$B$100</f>
        <v>0.58080000000000009</v>
      </c>
      <c r="P98" s="1627">
        <f>C98/$B$101</f>
        <v>11.16923076923077</v>
      </c>
      <c r="Q98" s="1786"/>
    </row>
    <row r="99" spans="1:17" s="1622" customFormat="1" x14ac:dyDescent="0.35">
      <c r="A99" s="1625" t="s">
        <v>127</v>
      </c>
      <c r="B99" s="1622">
        <v>105</v>
      </c>
      <c r="C99" s="1622">
        <v>730</v>
      </c>
      <c r="D99" s="1622">
        <v>820</v>
      </c>
      <c r="E99" s="1622">
        <v>840</v>
      </c>
      <c r="F99" s="1622">
        <v>2000</v>
      </c>
      <c r="G99" s="1846">
        <f t="shared" si="2"/>
        <v>1</v>
      </c>
      <c r="H99" s="1846">
        <f t="shared" si="2"/>
        <v>1</v>
      </c>
      <c r="I99" s="1846">
        <f t="shared" si="2"/>
        <v>1</v>
      </c>
      <c r="J99" s="1846">
        <f t="shared" si="2"/>
        <v>1</v>
      </c>
      <c r="K99" s="1846">
        <f t="shared" si="2"/>
        <v>1</v>
      </c>
      <c r="L99" s="1617"/>
      <c r="M99" s="1617">
        <f>SUM(M95:M98)</f>
        <v>0.99386929290036541</v>
      </c>
      <c r="N99" s="1627"/>
      <c r="O99" s="1617">
        <f>AVERAGE(C99:E99)/$B$100</f>
        <v>3.1866666666666665</v>
      </c>
      <c r="P99" s="1627">
        <f>C99/$B$101</f>
        <v>56.153846153846153</v>
      </c>
      <c r="Q99" s="1786"/>
    </row>
    <row r="100" spans="1:17" s="1622" customFormat="1" x14ac:dyDescent="0.35">
      <c r="A100" s="1625" t="s">
        <v>755</v>
      </c>
      <c r="B100" s="1622">
        <v>250</v>
      </c>
      <c r="G100" s="1846">
        <f>B100/B$99</f>
        <v>2.3809523809523809</v>
      </c>
      <c r="H100" s="1846"/>
      <c r="I100" s="1846"/>
      <c r="J100" s="1846"/>
      <c r="K100" s="1846"/>
      <c r="L100" s="1617"/>
      <c r="M100" s="1617"/>
      <c r="N100" s="1627"/>
      <c r="P100" s="1627"/>
      <c r="Q100" s="1786"/>
    </row>
    <row r="101" spans="1:17" s="1622" customFormat="1" x14ac:dyDescent="0.35">
      <c r="A101" s="1625" t="s">
        <v>756</v>
      </c>
      <c r="B101" s="1622">
        <v>13</v>
      </c>
      <c r="G101" s="1846">
        <f>B101/B$99</f>
        <v>0.12380952380952381</v>
      </c>
      <c r="H101" s="1846"/>
      <c r="I101" s="1846"/>
      <c r="J101" s="1846"/>
      <c r="K101" s="1846"/>
      <c r="L101" s="1617"/>
      <c r="M101" s="1617"/>
      <c r="N101" s="1627"/>
      <c r="P101" s="1627"/>
      <c r="Q101" s="1786"/>
    </row>
    <row r="102" spans="1:17" s="1622" customFormat="1" ht="13.9" x14ac:dyDescent="0.4">
      <c r="A102" s="1625" t="s">
        <v>751</v>
      </c>
      <c r="B102" s="1764"/>
      <c r="C102" s="1617">
        <f>C99/$B$100</f>
        <v>2.92</v>
      </c>
      <c r="D102" s="1617">
        <f>D99/$B$100</f>
        <v>3.28</v>
      </c>
      <c r="E102" s="1617">
        <f>E99/$B$100</f>
        <v>3.36</v>
      </c>
      <c r="F102" s="1617">
        <f>F99/$B$100</f>
        <v>8</v>
      </c>
      <c r="G102" s="1848"/>
      <c r="J102" s="1858"/>
      <c r="Q102" s="1626"/>
    </row>
    <row r="103" spans="1:17" s="1622" customFormat="1" ht="13.9" x14ac:dyDescent="0.4">
      <c r="A103" s="1633" t="s">
        <v>757</v>
      </c>
      <c r="B103" s="1867"/>
      <c r="C103" s="1829">
        <f>C99/$B$101</f>
        <v>56.153846153846153</v>
      </c>
      <c r="D103" s="1829">
        <f>D99/$B$101</f>
        <v>63.07692307692308</v>
      </c>
      <c r="E103" s="1829">
        <f>E99/$B$101</f>
        <v>64.615384615384613</v>
      </c>
      <c r="F103" s="1829">
        <f>F99/$B$101</f>
        <v>153.84615384615384</v>
      </c>
      <c r="G103" s="1850"/>
      <c r="H103" s="1790"/>
      <c r="I103" s="1790"/>
      <c r="J103" s="1861"/>
      <c r="K103" s="1790"/>
      <c r="L103" s="1790"/>
      <c r="M103" s="1790"/>
      <c r="N103" s="1790"/>
      <c r="O103" s="1790"/>
      <c r="P103" s="1790"/>
      <c r="Q103" s="1741"/>
    </row>
    <row r="104" spans="1:17" s="1622" customFormat="1" x14ac:dyDescent="0.35">
      <c r="G104" s="1855"/>
      <c r="J104" s="1858"/>
    </row>
    <row r="105" spans="1:17" s="1622" customFormat="1" ht="13.9" x14ac:dyDescent="0.4">
      <c r="A105" s="1868" t="s">
        <v>758</v>
      </c>
      <c r="B105" s="1613"/>
      <c r="C105" s="1613"/>
      <c r="D105" s="1613"/>
      <c r="E105" s="1614"/>
      <c r="G105" s="1855"/>
      <c r="J105" s="1858"/>
    </row>
    <row r="106" spans="1:17" s="1622" customFormat="1" x14ac:dyDescent="0.35">
      <c r="A106" s="1625"/>
      <c r="E106" s="1626"/>
      <c r="G106" s="1855"/>
      <c r="J106" s="1858"/>
    </row>
    <row r="107" spans="1:17" s="1622" customFormat="1" x14ac:dyDescent="0.35">
      <c r="A107" s="1625"/>
      <c r="D107" s="1622" t="s">
        <v>656</v>
      </c>
      <c r="E107" s="1626" t="s">
        <v>234</v>
      </c>
      <c r="G107" s="1855"/>
      <c r="J107" s="1858"/>
    </row>
    <row r="108" spans="1:17" s="1622" customFormat="1" x14ac:dyDescent="0.35">
      <c r="A108" s="1625" t="s">
        <v>759</v>
      </c>
      <c r="B108" s="1622" t="s">
        <v>760</v>
      </c>
      <c r="C108" s="1622" t="s">
        <v>761</v>
      </c>
      <c r="D108" s="1622">
        <v>15</v>
      </c>
      <c r="E108" s="1626"/>
      <c r="G108" s="1855"/>
      <c r="J108" s="1858"/>
    </row>
    <row r="109" spans="1:17" s="1622" customFormat="1" x14ac:dyDescent="0.35">
      <c r="A109" s="1625" t="s">
        <v>762</v>
      </c>
      <c r="D109" s="1622" t="s">
        <v>656</v>
      </c>
      <c r="E109" s="1626" t="s">
        <v>234</v>
      </c>
      <c r="G109" s="1855"/>
      <c r="J109" s="1858"/>
    </row>
    <row r="110" spans="1:17" s="1622" customFormat="1" x14ac:dyDescent="0.35">
      <c r="A110" s="1625" t="s">
        <v>763</v>
      </c>
      <c r="B110" s="1622" t="s">
        <v>764</v>
      </c>
      <c r="C110" s="1622" t="s">
        <v>764</v>
      </c>
      <c r="D110" s="1622">
        <v>0.16300000000000001</v>
      </c>
      <c r="E110" s="1626">
        <v>6.7000000000000004E-2</v>
      </c>
      <c r="G110" s="1855"/>
      <c r="H110" s="1611" t="s">
        <v>63</v>
      </c>
      <c r="I110" s="1613"/>
      <c r="J110" s="1866"/>
      <c r="K110" s="1614"/>
    </row>
    <row r="111" spans="1:17" s="1622" customFormat="1" x14ac:dyDescent="0.35">
      <c r="A111" s="1633" t="s">
        <v>765</v>
      </c>
      <c r="B111" s="1790" t="s">
        <v>764</v>
      </c>
      <c r="C111" s="1790" t="s">
        <v>764</v>
      </c>
      <c r="D111" s="1790">
        <v>6.7000000000000004E-2</v>
      </c>
      <c r="E111" s="1741">
        <v>6.2E-2</v>
      </c>
      <c r="G111" s="1855"/>
      <c r="H111" s="1625" t="s">
        <v>51</v>
      </c>
      <c r="I111" s="1629">
        <f>Mat_Inputs!$D$171</f>
        <v>0.26400000000000001</v>
      </c>
      <c r="K111" s="1626" t="s">
        <v>766</v>
      </c>
    </row>
    <row r="112" spans="1:17" s="1622" customFormat="1" ht="13.9" x14ac:dyDescent="0.4">
      <c r="C112" s="1854"/>
      <c r="D112" s="1854"/>
      <c r="G112" s="1855"/>
      <c r="H112" s="1625"/>
      <c r="K112" s="1626"/>
    </row>
    <row r="113" spans="1:11" s="1622" customFormat="1" ht="13.9" x14ac:dyDescent="0.4">
      <c r="A113" s="1831" t="s">
        <v>767</v>
      </c>
      <c r="B113" s="1613"/>
      <c r="C113" s="1869"/>
      <c r="D113" s="1854"/>
      <c r="G113" s="1855"/>
      <c r="H113" s="1625" t="s">
        <v>67</v>
      </c>
      <c r="I113" s="1622" t="s">
        <v>98</v>
      </c>
      <c r="K113" s="1626"/>
    </row>
    <row r="114" spans="1:11" s="1622" customFormat="1" ht="13.9" x14ac:dyDescent="0.4">
      <c r="A114" s="1625"/>
      <c r="C114" s="1856"/>
      <c r="D114" s="1854"/>
      <c r="G114" s="1855"/>
      <c r="H114" s="1625" t="s">
        <v>768</v>
      </c>
      <c r="I114" s="1744">
        <f>AVERAGE(1.9-1.823,1.41-0.9919)</f>
        <v>0.24754999999999994</v>
      </c>
      <c r="K114" s="1626"/>
    </row>
    <row r="115" spans="1:11" s="1622" customFormat="1" ht="13.9" x14ac:dyDescent="0.4">
      <c r="A115" s="1625"/>
      <c r="C115" s="1626" t="str">
        <f>C124</f>
        <v>Barcelona</v>
      </c>
      <c r="D115" s="1854"/>
      <c r="G115" s="1855"/>
      <c r="H115" s="1625" t="s">
        <v>769</v>
      </c>
      <c r="I115" s="1744">
        <f>Cement_Concrete!$B$63*Convert!$G$9/1000</f>
        <v>5.0601071792155432</v>
      </c>
      <c r="K115" s="1626" t="s">
        <v>766</v>
      </c>
    </row>
    <row r="116" spans="1:11" s="1622" customFormat="1" ht="13.9" x14ac:dyDescent="0.4">
      <c r="A116" s="1625" t="s">
        <v>770</v>
      </c>
      <c r="B116" s="1622" t="s">
        <v>771</v>
      </c>
      <c r="C116" s="1626">
        <f>C125*2+C126*4</f>
        <v>64</v>
      </c>
      <c r="D116" s="1854"/>
      <c r="G116" s="1855"/>
      <c r="H116" s="1625" t="s">
        <v>68</v>
      </c>
      <c r="I116" s="1744">
        <f>Steel!$I$94*Convert!$G$9/1000</f>
        <v>24.183271295973196</v>
      </c>
      <c r="K116" s="1626"/>
    </row>
    <row r="117" spans="1:11" s="1622" customFormat="1" ht="13.9" x14ac:dyDescent="0.4">
      <c r="A117" s="1625" t="s">
        <v>772</v>
      </c>
      <c r="B117" s="1622" t="s">
        <v>773</v>
      </c>
      <c r="C117" s="1870">
        <f>C125*1000/C122</f>
        <v>3333.3333333333335</v>
      </c>
      <c r="D117" s="1854"/>
      <c r="G117" s="1855"/>
      <c r="H117" s="1625" t="s">
        <v>69</v>
      </c>
      <c r="I117" s="1744">
        <f>Steel!$E$128*Convert!$G$9/1000</f>
        <v>19.061663037236091</v>
      </c>
      <c r="K117" s="1626"/>
    </row>
    <row r="118" spans="1:11" s="1622" customFormat="1" ht="13.9" x14ac:dyDescent="0.4">
      <c r="A118" s="1625" t="s">
        <v>772</v>
      </c>
      <c r="B118" s="1622" t="s">
        <v>774</v>
      </c>
      <c r="C118" s="1870">
        <f>C117/C116</f>
        <v>52.083333333333336</v>
      </c>
      <c r="D118" s="1854"/>
      <c r="G118" s="1855"/>
      <c r="H118" s="1625"/>
      <c r="K118" s="1626"/>
    </row>
    <row r="119" spans="1:11" s="1622" customFormat="1" ht="13.9" x14ac:dyDescent="0.4">
      <c r="A119" s="1625"/>
      <c r="C119" s="1626"/>
      <c r="D119" s="1854"/>
      <c r="G119" s="1855"/>
      <c r="H119" s="1643" t="s">
        <v>83</v>
      </c>
      <c r="K119" s="1626"/>
    </row>
    <row r="120" spans="1:11" s="1622" customFormat="1" x14ac:dyDescent="0.35">
      <c r="A120" s="1625" t="s">
        <v>775</v>
      </c>
      <c r="B120" s="1622" t="s">
        <v>776</v>
      </c>
      <c r="C120" s="1626">
        <v>4</v>
      </c>
      <c r="G120" s="1855"/>
      <c r="H120" s="1625" t="s">
        <v>768</v>
      </c>
      <c r="I120" s="1744">
        <f>AVERAGE(35.9,58.6)</f>
        <v>47.25</v>
      </c>
      <c r="K120" s="1626"/>
    </row>
    <row r="121" spans="1:11" s="1622" customFormat="1" x14ac:dyDescent="0.35">
      <c r="A121" s="1625" t="s">
        <v>777</v>
      </c>
      <c r="B121" s="1622" t="s">
        <v>776</v>
      </c>
      <c r="C121" s="1626">
        <v>2</v>
      </c>
      <c r="G121" s="1855"/>
      <c r="H121" s="1625" t="s">
        <v>769</v>
      </c>
      <c r="I121" s="1744">
        <f>Cement_Concrete!$B$82/1000</f>
        <v>1731.8663440531363</v>
      </c>
      <c r="K121" s="1626" t="s">
        <v>766</v>
      </c>
    </row>
    <row r="122" spans="1:11" s="1622" customFormat="1" x14ac:dyDescent="0.35">
      <c r="A122" s="1625" t="s">
        <v>778</v>
      </c>
      <c r="B122" s="1622" t="s">
        <v>776</v>
      </c>
      <c r="C122" s="1626">
        <v>6</v>
      </c>
      <c r="G122" s="1855"/>
      <c r="H122" s="1625" t="s">
        <v>68</v>
      </c>
      <c r="I122" s="1744">
        <f>Steel!$I$113/1000</f>
        <v>2302.1493157612831</v>
      </c>
      <c r="K122" s="1626"/>
    </row>
    <row r="123" spans="1:11" s="1622" customFormat="1" ht="13.9" x14ac:dyDescent="0.4">
      <c r="A123" s="1625"/>
      <c r="C123" s="1626"/>
      <c r="D123" s="1854"/>
      <c r="G123" s="1855"/>
      <c r="H123" s="1633" t="s">
        <v>69</v>
      </c>
      <c r="I123" s="1754">
        <f>Steel!$E$147/1000</f>
        <v>1287.3398874743875</v>
      </c>
      <c r="J123" s="1861"/>
      <c r="K123" s="1741"/>
    </row>
    <row r="124" spans="1:11" s="1622" customFormat="1" ht="13.9" x14ac:dyDescent="0.4">
      <c r="A124" s="1625"/>
      <c r="C124" s="1626" t="s">
        <v>779</v>
      </c>
      <c r="D124" s="1854"/>
      <c r="G124" s="1855"/>
      <c r="J124" s="1858"/>
    </row>
    <row r="125" spans="1:11" s="1622" customFormat="1" ht="13.9" x14ac:dyDescent="0.4">
      <c r="A125" s="1625" t="s">
        <v>780</v>
      </c>
      <c r="B125" s="1622" t="s">
        <v>781</v>
      </c>
      <c r="C125" s="1626">
        <f>10+10</f>
        <v>20</v>
      </c>
      <c r="D125" s="1854"/>
      <c r="G125" s="1855"/>
      <c r="J125" s="1858"/>
    </row>
    <row r="126" spans="1:11" s="1622" customFormat="1" ht="13.9" x14ac:dyDescent="0.4">
      <c r="A126" s="1633" t="s">
        <v>782</v>
      </c>
      <c r="B126" s="1790" t="s">
        <v>781</v>
      </c>
      <c r="C126" s="1741">
        <f>3+3</f>
        <v>6</v>
      </c>
      <c r="D126" s="1854"/>
      <c r="G126" s="1855"/>
      <c r="J126" s="1858"/>
    </row>
    <row r="127" spans="1:11" s="1622" customFormat="1" ht="13.9" x14ac:dyDescent="0.4">
      <c r="C127" s="1854"/>
      <c r="D127" s="1854"/>
      <c r="G127" s="1855"/>
      <c r="J127" s="1858"/>
    </row>
    <row r="128" spans="1:11" s="1622" customFormat="1" x14ac:dyDescent="0.35">
      <c r="A128" s="1831" t="s">
        <v>783</v>
      </c>
      <c r="B128" s="1613"/>
      <c r="C128" s="1613"/>
      <c r="D128" s="1613"/>
      <c r="E128" s="1613"/>
      <c r="F128" s="1613"/>
      <c r="G128" s="1613"/>
      <c r="H128" s="1613"/>
      <c r="I128" s="1614"/>
      <c r="J128" s="1858"/>
    </row>
    <row r="129" spans="1:14" s="1622" customFormat="1" x14ac:dyDescent="0.35">
      <c r="A129" s="1625"/>
      <c r="I129" s="1626"/>
    </row>
    <row r="130" spans="1:14" s="1622" customFormat="1" ht="13.9" x14ac:dyDescent="0.4">
      <c r="A130" s="1845" t="s">
        <v>703</v>
      </c>
      <c r="B130" s="1854" t="s">
        <v>704</v>
      </c>
      <c r="C130" s="1854" t="s">
        <v>715</v>
      </c>
      <c r="D130" s="1854" t="s">
        <v>706</v>
      </c>
      <c r="E130" s="1854" t="s">
        <v>716</v>
      </c>
      <c r="F130" s="1854" t="s">
        <v>415</v>
      </c>
      <c r="G130" s="1854" t="s">
        <v>286</v>
      </c>
      <c r="H130" s="1854" t="s">
        <v>707</v>
      </c>
      <c r="I130" s="1856"/>
      <c r="J130" s="1858"/>
      <c r="K130" s="1871"/>
    </row>
    <row r="131" spans="1:14" s="1622" customFormat="1" x14ac:dyDescent="0.35">
      <c r="A131" s="1625" t="s">
        <v>655</v>
      </c>
      <c r="B131" s="1622" t="s">
        <v>709</v>
      </c>
      <c r="C131" s="1622">
        <v>11</v>
      </c>
      <c r="D131" s="1622" t="s">
        <v>784</v>
      </c>
      <c r="E131" s="1857">
        <f>C131/4</f>
        <v>2.75</v>
      </c>
      <c r="F131" s="1622">
        <v>2017</v>
      </c>
      <c r="G131" s="1848" t="s">
        <v>718</v>
      </c>
      <c r="H131" s="1622" t="s">
        <v>785</v>
      </c>
      <c r="I131" s="1626"/>
      <c r="J131" s="1857"/>
      <c r="K131" s="1871"/>
    </row>
    <row r="132" spans="1:14" s="1622" customFormat="1" x14ac:dyDescent="0.35">
      <c r="A132" s="1625" t="s">
        <v>655</v>
      </c>
      <c r="B132" s="1622" t="s">
        <v>709</v>
      </c>
      <c r="C132" s="1622">
        <v>19</v>
      </c>
      <c r="D132" s="1622" t="s">
        <v>784</v>
      </c>
      <c r="E132" s="1857">
        <f>C132/4</f>
        <v>4.75</v>
      </c>
      <c r="F132" s="1622">
        <v>2017</v>
      </c>
      <c r="G132" s="1848" t="s">
        <v>718</v>
      </c>
      <c r="H132" s="1622" t="s">
        <v>785</v>
      </c>
      <c r="I132" s="1626"/>
      <c r="J132" s="1858"/>
      <c r="K132" s="1857"/>
    </row>
    <row r="133" spans="1:14" s="1622" customFormat="1" x14ac:dyDescent="0.35">
      <c r="A133" s="1625" t="s">
        <v>655</v>
      </c>
      <c r="B133" s="1622" t="s">
        <v>709</v>
      </c>
      <c r="C133" s="1622">
        <v>27</v>
      </c>
      <c r="D133" s="1622" t="s">
        <v>784</v>
      </c>
      <c r="E133" s="1857">
        <f>C133/4</f>
        <v>6.75</v>
      </c>
      <c r="F133" s="1622">
        <v>2017</v>
      </c>
      <c r="G133" s="1848" t="s">
        <v>718</v>
      </c>
      <c r="H133" s="1622" t="s">
        <v>785</v>
      </c>
      <c r="I133" s="1626"/>
      <c r="J133" s="1858"/>
      <c r="K133" s="1857"/>
    </row>
    <row r="134" spans="1:14" s="1622" customFormat="1" x14ac:dyDescent="0.35">
      <c r="A134" s="1625" t="s">
        <v>656</v>
      </c>
      <c r="B134" s="1622" t="s">
        <v>351</v>
      </c>
      <c r="C134" s="1622">
        <v>2361.59375</v>
      </c>
      <c r="D134" s="1622" t="s">
        <v>722</v>
      </c>
      <c r="E134" s="1858">
        <f>C134</f>
        <v>2361.59375</v>
      </c>
      <c r="F134" s="1622">
        <v>2006</v>
      </c>
      <c r="G134" s="1848" t="s">
        <v>723</v>
      </c>
      <c r="H134" s="1622" t="s">
        <v>724</v>
      </c>
      <c r="I134" s="1860"/>
      <c r="J134" s="1858"/>
      <c r="K134" s="1857"/>
    </row>
    <row r="135" spans="1:14" s="1622" customFormat="1" x14ac:dyDescent="0.35">
      <c r="A135" s="1625" t="str">
        <f>A134</f>
        <v>Concrete</v>
      </c>
      <c r="B135" s="1622" t="s">
        <v>709</v>
      </c>
      <c r="C135" s="1622">
        <v>2765.1029699999999</v>
      </c>
      <c r="D135" s="1622" t="s">
        <v>722</v>
      </c>
      <c r="E135" s="1858">
        <f>C135</f>
        <v>2765.1029699999999</v>
      </c>
      <c r="F135" s="1622">
        <v>2013</v>
      </c>
      <c r="G135" s="1848" t="s">
        <v>725</v>
      </c>
      <c r="I135" s="1860"/>
      <c r="J135" s="1858"/>
      <c r="K135" s="1857"/>
    </row>
    <row r="136" spans="1:14" s="1622" customFormat="1" x14ac:dyDescent="0.35">
      <c r="A136" s="1625" t="str">
        <f>A135</f>
        <v>Concrete</v>
      </c>
      <c r="B136" s="1622" t="s">
        <v>709</v>
      </c>
      <c r="C136" s="1622">
        <v>4020.1752130555556</v>
      </c>
      <c r="D136" s="1622" t="s">
        <v>722</v>
      </c>
      <c r="E136" s="1858">
        <f>C136</f>
        <v>4020.1752130555556</v>
      </c>
      <c r="F136" s="1622">
        <v>2013</v>
      </c>
      <c r="G136" s="1848" t="s">
        <v>725</v>
      </c>
      <c r="I136" s="1860"/>
      <c r="J136" s="1858"/>
      <c r="K136" s="1857"/>
    </row>
    <row r="137" spans="1:14" s="1622" customFormat="1" x14ac:dyDescent="0.35">
      <c r="A137" s="1625" t="str">
        <f>A136</f>
        <v>Concrete</v>
      </c>
      <c r="B137" s="1622" t="s">
        <v>709</v>
      </c>
      <c r="C137" s="1622">
        <v>3164.8888888888887</v>
      </c>
      <c r="D137" s="1622" t="s">
        <v>722</v>
      </c>
      <c r="E137" s="1857">
        <f>C137</f>
        <v>3164.8888888888887</v>
      </c>
      <c r="F137" s="1622">
        <v>2006</v>
      </c>
      <c r="G137" s="1848" t="s">
        <v>723</v>
      </c>
      <c r="H137" s="1622" t="s">
        <v>786</v>
      </c>
      <c r="I137" s="1872"/>
      <c r="J137" s="1592"/>
    </row>
    <row r="138" spans="1:14" s="1622" customFormat="1" x14ac:dyDescent="0.35">
      <c r="A138" s="1625" t="str">
        <f>A137</f>
        <v>Concrete</v>
      </c>
      <c r="B138" s="1622" t="s">
        <v>787</v>
      </c>
      <c r="C138" s="1622">
        <f>37.1/10^3*10^3*30</f>
        <v>1113</v>
      </c>
      <c r="D138" s="1622" t="s">
        <v>788</v>
      </c>
      <c r="E138" s="1857">
        <f>C138</f>
        <v>1113</v>
      </c>
      <c r="G138" s="1622" t="s">
        <v>789</v>
      </c>
      <c r="I138" s="1872"/>
      <c r="K138" s="1857"/>
      <c r="L138" s="1857"/>
      <c r="M138" s="1857"/>
      <c r="N138" s="1857"/>
    </row>
    <row r="139" spans="1:14" s="1622" customFormat="1" x14ac:dyDescent="0.35">
      <c r="A139" s="1625" t="str">
        <f>A138</f>
        <v>Concrete</v>
      </c>
      <c r="B139" s="1622" t="s">
        <v>709</v>
      </c>
      <c r="C139" s="1622">
        <v>442.3380726698262</v>
      </c>
      <c r="D139" s="1622" t="s">
        <v>790</v>
      </c>
      <c r="E139" s="1857">
        <f>C139/2/$B$49</f>
        <v>1769.3522906793048</v>
      </c>
      <c r="F139" s="1622">
        <v>2005</v>
      </c>
      <c r="G139" s="1848" t="s">
        <v>791</v>
      </c>
      <c r="I139" s="1872"/>
      <c r="K139" s="1592"/>
      <c r="L139" s="1592"/>
      <c r="M139" s="1592"/>
      <c r="N139" s="1592"/>
    </row>
    <row r="140" spans="1:14" s="1622" customFormat="1" x14ac:dyDescent="0.35">
      <c r="A140" s="1625" t="s">
        <v>234</v>
      </c>
      <c r="B140" s="1622">
        <v>17.688440567066522</v>
      </c>
      <c r="C140" s="1622" t="s">
        <v>726</v>
      </c>
      <c r="D140" s="1858">
        <f>B140</f>
        <v>17.688440567066522</v>
      </c>
      <c r="E140" s="1622">
        <v>2013</v>
      </c>
      <c r="F140" s="1848" t="s">
        <v>721</v>
      </c>
      <c r="G140" s="1858"/>
      <c r="H140" s="1858"/>
      <c r="I140" s="1860"/>
      <c r="K140" s="1873"/>
      <c r="L140" s="1873"/>
    </row>
    <row r="141" spans="1:14" s="1622" customFormat="1" x14ac:dyDescent="0.35">
      <c r="A141" s="1625" t="s">
        <v>234</v>
      </c>
      <c r="B141" s="1622">
        <v>6.25</v>
      </c>
      <c r="C141" s="1622" t="s">
        <v>729</v>
      </c>
      <c r="D141" s="1858">
        <f>B141</f>
        <v>6.25</v>
      </c>
      <c r="E141" s="1622">
        <v>2006</v>
      </c>
      <c r="F141" s="1848" t="s">
        <v>723</v>
      </c>
      <c r="G141" s="1622" t="s">
        <v>728</v>
      </c>
      <c r="H141" s="1858"/>
      <c r="I141" s="1860"/>
      <c r="K141" s="1858"/>
      <c r="L141" s="1858"/>
    </row>
    <row r="142" spans="1:14" s="1622" customFormat="1" x14ac:dyDescent="0.35">
      <c r="A142" s="1625" t="s">
        <v>234</v>
      </c>
      <c r="B142" s="1622">
        <f>141.12/4</f>
        <v>35.28</v>
      </c>
      <c r="C142" s="1622" t="s">
        <v>729</v>
      </c>
      <c r="D142" s="1622">
        <f>B142</f>
        <v>35.28</v>
      </c>
      <c r="E142" s="1622">
        <v>2012</v>
      </c>
      <c r="F142" s="1848" t="s">
        <v>730</v>
      </c>
      <c r="G142" s="1622" t="s">
        <v>792</v>
      </c>
      <c r="I142" s="1626"/>
      <c r="J142" s="1858"/>
      <c r="K142" s="1857"/>
    </row>
    <row r="143" spans="1:14" s="1622" customFormat="1" x14ac:dyDescent="0.35">
      <c r="A143" s="1625" t="s">
        <v>234</v>
      </c>
      <c r="B143" s="1622">
        <v>21.072939881141885</v>
      </c>
      <c r="C143" s="1622" t="s">
        <v>726</v>
      </c>
      <c r="D143" s="1858">
        <f>B143</f>
        <v>21.072939881141885</v>
      </c>
      <c r="E143" s="1622">
        <v>2013</v>
      </c>
      <c r="F143" s="1848" t="s">
        <v>721</v>
      </c>
      <c r="G143" s="1858"/>
      <c r="H143" s="1858"/>
      <c r="I143" s="1860"/>
      <c r="J143" s="1858"/>
      <c r="K143" s="1857"/>
    </row>
    <row r="144" spans="1:14" s="1622" customFormat="1" x14ac:dyDescent="0.35">
      <c r="A144" s="1625" t="s">
        <v>234</v>
      </c>
      <c r="B144" s="1622">
        <v>13.644309675602006</v>
      </c>
      <c r="C144" s="1622" t="s">
        <v>729</v>
      </c>
      <c r="D144" s="1857">
        <f>B144</f>
        <v>13.644309675602006</v>
      </c>
      <c r="E144" s="1622">
        <v>2006</v>
      </c>
      <c r="F144" s="1848" t="s">
        <v>723</v>
      </c>
      <c r="G144" s="1622" t="s">
        <v>793</v>
      </c>
      <c r="H144" s="1857"/>
      <c r="I144" s="1872"/>
      <c r="J144" s="1858"/>
      <c r="K144" s="1857"/>
    </row>
    <row r="145" spans="1:14" s="1622" customFormat="1" x14ac:dyDescent="0.35">
      <c r="A145" s="1633" t="s">
        <v>234</v>
      </c>
      <c r="B145" s="1790">
        <v>18.3</v>
      </c>
      <c r="C145" s="1790" t="s">
        <v>794</v>
      </c>
      <c r="D145" s="1861">
        <f>B145*$C$43/$C$38</f>
        <v>10.315710477587087</v>
      </c>
      <c r="E145" s="1790">
        <v>2010</v>
      </c>
      <c r="F145" s="1874" t="s">
        <v>795</v>
      </c>
      <c r="G145" s="1861"/>
      <c r="H145" s="1861"/>
      <c r="I145" s="1875"/>
      <c r="J145" s="1592"/>
    </row>
    <row r="146" spans="1:14" s="1622" customFormat="1" x14ac:dyDescent="0.35">
      <c r="D146" s="1858"/>
      <c r="F146" s="1848"/>
      <c r="G146" s="1858"/>
      <c r="H146" s="1858"/>
      <c r="I146" s="1858"/>
      <c r="K146" s="1592"/>
      <c r="L146" s="1592"/>
      <c r="M146" s="1592"/>
      <c r="N146" s="1592"/>
    </row>
    <row r="147" spans="1:14" ht="13.9" x14ac:dyDescent="0.4">
      <c r="A147" s="1844" t="s">
        <v>672</v>
      </c>
      <c r="B147" s="1613"/>
      <c r="C147" s="1613"/>
      <c r="D147" s="1613"/>
      <c r="E147" s="1613"/>
      <c r="F147" s="1612"/>
      <c r="G147" s="1612"/>
      <c r="H147" s="1612"/>
      <c r="I147" s="1612"/>
      <c r="J147" s="1612"/>
      <c r="K147" s="1612"/>
      <c r="L147" s="1599"/>
    </row>
    <row r="148" spans="1:14" ht="13.9" x14ac:dyDescent="0.4">
      <c r="A148" s="1845"/>
      <c r="B148" s="1622"/>
      <c r="C148" s="1622"/>
      <c r="D148" s="1622"/>
      <c r="E148" s="1622"/>
      <c r="L148" s="1594"/>
    </row>
    <row r="149" spans="1:14" ht="13.9" x14ac:dyDescent="0.4">
      <c r="A149" s="1845" t="s">
        <v>796</v>
      </c>
      <c r="B149" s="1854" t="s">
        <v>797</v>
      </c>
      <c r="C149" s="1854" t="s">
        <v>798</v>
      </c>
      <c r="D149" s="1854" t="s">
        <v>415</v>
      </c>
      <c r="E149" s="1854" t="s">
        <v>286</v>
      </c>
      <c r="F149" s="1854" t="s">
        <v>707</v>
      </c>
      <c r="L149" s="1594"/>
    </row>
    <row r="150" spans="1:14" x14ac:dyDescent="0.35">
      <c r="A150" s="1625" t="s">
        <v>675</v>
      </c>
      <c r="B150" s="1622">
        <v>13218504</v>
      </c>
      <c r="C150" s="1622">
        <v>1596660</v>
      </c>
      <c r="D150" s="1592">
        <v>2010</v>
      </c>
      <c r="E150" s="1848" t="s">
        <v>799</v>
      </c>
      <c r="F150" s="1622" t="s">
        <v>800</v>
      </c>
      <c r="L150" s="1594"/>
    </row>
    <row r="151" spans="1:14" x14ac:dyDescent="0.35">
      <c r="A151" s="1625" t="s">
        <v>675</v>
      </c>
      <c r="B151" s="1622">
        <v>26349857</v>
      </c>
      <c r="C151" s="1622">
        <v>1024206</v>
      </c>
      <c r="D151" s="1592">
        <v>2010</v>
      </c>
      <c r="E151" s="1848" t="s">
        <v>799</v>
      </c>
      <c r="F151" s="1622" t="s">
        <v>801</v>
      </c>
      <c r="L151" s="1594"/>
    </row>
    <row r="152" spans="1:14" x14ac:dyDescent="0.35">
      <c r="A152" s="1625" t="s">
        <v>802</v>
      </c>
      <c r="B152" s="1622">
        <v>7036447</v>
      </c>
      <c r="C152" s="1622">
        <v>393646</v>
      </c>
      <c r="D152" s="1592">
        <v>2009</v>
      </c>
      <c r="E152" s="1848" t="s">
        <v>803</v>
      </c>
      <c r="F152" s="1622" t="s">
        <v>804</v>
      </c>
      <c r="L152" s="1594"/>
    </row>
    <row r="153" spans="1:14" x14ac:dyDescent="0.35">
      <c r="A153" s="1625" t="s">
        <v>675</v>
      </c>
      <c r="B153" s="1622">
        <v>12832027</v>
      </c>
      <c r="C153" s="1622">
        <v>229664</v>
      </c>
      <c r="D153" s="1592">
        <v>2010</v>
      </c>
      <c r="E153" s="1848" t="s">
        <v>799</v>
      </c>
      <c r="F153" s="1622" t="s">
        <v>805</v>
      </c>
      <c r="L153" s="1594"/>
    </row>
    <row r="154" spans="1:14" x14ac:dyDescent="0.35">
      <c r="A154" s="1625" t="s">
        <v>802</v>
      </c>
      <c r="B154" s="1622">
        <v>8685220</v>
      </c>
      <c r="C154" s="1622">
        <v>227772</v>
      </c>
      <c r="D154" s="1592">
        <v>2009</v>
      </c>
      <c r="E154" s="1848" t="s">
        <v>803</v>
      </c>
      <c r="F154" s="1622" t="s">
        <v>806</v>
      </c>
      <c r="L154" s="1594"/>
    </row>
    <row r="155" spans="1:14" x14ac:dyDescent="0.35">
      <c r="A155" s="1625" t="s">
        <v>802</v>
      </c>
      <c r="B155" s="1622">
        <v>6470290</v>
      </c>
      <c r="C155" s="1622">
        <v>206277</v>
      </c>
      <c r="D155" s="1592">
        <v>2013</v>
      </c>
      <c r="E155" s="1848" t="s">
        <v>807</v>
      </c>
      <c r="F155" s="1622" t="s">
        <v>808</v>
      </c>
      <c r="L155" s="1594"/>
    </row>
    <row r="156" spans="1:14" x14ac:dyDescent="0.35">
      <c r="A156" s="1625" t="s">
        <v>802</v>
      </c>
      <c r="B156" s="1622">
        <v>1872728</v>
      </c>
      <c r="C156" s="1622">
        <v>229664</v>
      </c>
      <c r="D156" s="1592">
        <v>2009</v>
      </c>
      <c r="E156" s="1848" t="s">
        <v>803</v>
      </c>
      <c r="F156" s="1622" t="s">
        <v>809</v>
      </c>
      <c r="L156" s="1594"/>
    </row>
    <row r="157" spans="1:14" x14ac:dyDescent="0.35">
      <c r="A157" s="1625" t="s">
        <v>810</v>
      </c>
      <c r="B157" s="1622">
        <v>258979</v>
      </c>
      <c r="C157" s="1622">
        <v>224951</v>
      </c>
      <c r="D157" s="1592">
        <v>2010</v>
      </c>
      <c r="E157" s="1848" t="s">
        <v>799</v>
      </c>
      <c r="F157" s="1622" t="s">
        <v>811</v>
      </c>
      <c r="L157" s="1594"/>
    </row>
    <row r="158" spans="1:14" x14ac:dyDescent="0.35">
      <c r="A158" s="1625" t="s">
        <v>810</v>
      </c>
      <c r="B158" s="1622">
        <v>2989967</v>
      </c>
      <c r="C158" s="1622">
        <v>200097</v>
      </c>
      <c r="D158" s="1592">
        <v>2010</v>
      </c>
      <c r="E158" s="1848" t="s">
        <v>799</v>
      </c>
      <c r="F158" s="1622" t="s">
        <v>812</v>
      </c>
      <c r="L158" s="1594"/>
    </row>
    <row r="159" spans="1:14" x14ac:dyDescent="0.35">
      <c r="A159" s="1633" t="s">
        <v>813</v>
      </c>
      <c r="B159" s="1790">
        <v>6982782</v>
      </c>
      <c r="C159" s="1790">
        <v>200342</v>
      </c>
      <c r="D159" s="1596">
        <v>2010</v>
      </c>
      <c r="E159" s="1850" t="s">
        <v>814</v>
      </c>
      <c r="F159" s="1790" t="s">
        <v>815</v>
      </c>
      <c r="G159" s="1596"/>
      <c r="H159" s="1596"/>
      <c r="I159" s="1596"/>
      <c r="J159" s="1596"/>
      <c r="K159" s="1596"/>
      <c r="L159" s="1597"/>
    </row>
    <row r="160" spans="1:14" x14ac:dyDescent="0.35">
      <c r="A160" s="1622"/>
      <c r="B160" s="1622"/>
      <c r="C160" s="1622"/>
      <c r="E160" s="1622"/>
      <c r="F160" s="1622"/>
    </row>
    <row r="161" spans="1:16" ht="13.9" x14ac:dyDescent="0.4">
      <c r="A161" s="1876" t="s">
        <v>816</v>
      </c>
      <c r="B161" s="1612"/>
      <c r="C161" s="1612"/>
      <c r="D161" s="1612"/>
      <c r="E161" s="1612"/>
      <c r="F161" s="1612"/>
      <c r="G161" s="1612"/>
      <c r="H161" s="1612"/>
      <c r="I161" s="1612"/>
      <c r="J161" s="1612"/>
      <c r="K161" s="1612"/>
      <c r="L161" s="1612"/>
      <c r="M161" s="1612"/>
      <c r="N161" s="1612"/>
      <c r="O161" s="1612"/>
      <c r="P161" s="1599"/>
    </row>
    <row r="162" spans="1:16" x14ac:dyDescent="0.35">
      <c r="A162" s="1877" t="s">
        <v>817</v>
      </c>
      <c r="P162" s="1594"/>
    </row>
    <row r="163" spans="1:16" s="1622" customFormat="1" ht="13.9" x14ac:dyDescent="0.4">
      <c r="A163" s="1845" t="s">
        <v>818</v>
      </c>
      <c r="C163" s="1857"/>
      <c r="D163" s="1857"/>
      <c r="E163" s="1857"/>
      <c r="F163" s="1857"/>
      <c r="G163" s="1857"/>
      <c r="P163" s="1626"/>
    </row>
    <row r="164" spans="1:16" s="1622" customFormat="1" x14ac:dyDescent="0.35">
      <c r="A164" s="1625"/>
      <c r="C164" s="1857"/>
      <c r="D164" s="1857" t="s">
        <v>819</v>
      </c>
      <c r="E164" s="1857"/>
      <c r="F164" s="1857" t="s">
        <v>820</v>
      </c>
      <c r="G164" s="1857"/>
      <c r="P164" s="1626"/>
    </row>
    <row r="165" spans="1:16" s="1622" customFormat="1" ht="13.9" x14ac:dyDescent="0.4">
      <c r="A165" s="1625"/>
      <c r="D165" s="1864" t="s">
        <v>821</v>
      </c>
      <c r="F165" s="1878" t="s">
        <v>822</v>
      </c>
      <c r="G165" s="1878"/>
      <c r="H165" s="1857"/>
      <c r="J165" s="1864" t="s">
        <v>823</v>
      </c>
      <c r="P165" s="1626"/>
    </row>
    <row r="166" spans="1:16" s="1622" customFormat="1" ht="13.9" x14ac:dyDescent="0.4">
      <c r="A166" s="1625"/>
      <c r="B166" s="1864" t="s">
        <v>824</v>
      </c>
      <c r="C166" s="1864" t="s">
        <v>749</v>
      </c>
      <c r="D166" s="1854" t="s">
        <v>825</v>
      </c>
      <c r="E166" s="1879" t="s">
        <v>826</v>
      </c>
      <c r="F166" s="1854" t="s">
        <v>825</v>
      </c>
      <c r="G166" s="1854"/>
      <c r="H166" s="1879" t="s">
        <v>827</v>
      </c>
      <c r="J166" s="1854" t="s">
        <v>825</v>
      </c>
      <c r="K166" s="1879" t="s">
        <v>827</v>
      </c>
      <c r="L166" s="1879"/>
      <c r="P166" s="1626"/>
    </row>
    <row r="167" spans="1:16" s="1622" customFormat="1" x14ac:dyDescent="0.35">
      <c r="A167" s="1625" t="s">
        <v>602</v>
      </c>
      <c r="B167" s="1622">
        <f>44+23+21</f>
        <v>88</v>
      </c>
      <c r="C167" s="1622" t="s">
        <v>828</v>
      </c>
      <c r="D167" s="1622">
        <v>26</v>
      </c>
      <c r="E167" s="1857">
        <v>810</v>
      </c>
      <c r="F167" s="1857">
        <v>16</v>
      </c>
      <c r="G167" s="1857"/>
      <c r="H167" s="1857">
        <v>16</v>
      </c>
      <c r="J167" s="1622">
        <f>(D167+F167)/B167</f>
        <v>0.47727272727272729</v>
      </c>
      <c r="K167" s="1622">
        <f>(E167/10^3+H167)/B167</f>
        <v>0.19102272727272726</v>
      </c>
      <c r="P167" s="1626"/>
    </row>
    <row r="168" spans="1:16" s="1622" customFormat="1" x14ac:dyDescent="0.35">
      <c r="A168" s="1625" t="s">
        <v>829</v>
      </c>
      <c r="B168" s="1622">
        <v>77</v>
      </c>
      <c r="C168" s="1622" t="s">
        <v>828</v>
      </c>
      <c r="D168" s="1622">
        <v>0.6</v>
      </c>
      <c r="E168" s="1857">
        <v>18</v>
      </c>
      <c r="F168" s="1857">
        <v>2.4</v>
      </c>
      <c r="G168" s="1857"/>
      <c r="H168" s="1857">
        <v>27</v>
      </c>
      <c r="J168" s="1622">
        <f>(D168+F168)/B168</f>
        <v>3.896103896103896E-2</v>
      </c>
      <c r="K168" s="1622">
        <f>(E168/10^3+H168)/B168</f>
        <v>0.35088311688311691</v>
      </c>
      <c r="M168" s="1622" t="s">
        <v>830</v>
      </c>
      <c r="P168" s="1626"/>
    </row>
    <row r="169" spans="1:16" s="1622" customFormat="1" x14ac:dyDescent="0.35">
      <c r="A169" s="1625" t="s">
        <v>831</v>
      </c>
      <c r="B169" s="1622">
        <v>64</v>
      </c>
      <c r="C169" s="1622" t="s">
        <v>802</v>
      </c>
      <c r="D169" s="1622">
        <v>6.8</v>
      </c>
      <c r="E169" s="1857">
        <v>210</v>
      </c>
      <c r="F169" s="1857">
        <v>0</v>
      </c>
      <c r="G169" s="1857"/>
      <c r="H169" s="1857">
        <v>22</v>
      </c>
      <c r="J169" s="1622">
        <f>(D169+F169)/B169</f>
        <v>0.10625</v>
      </c>
      <c r="K169" s="1622">
        <f>(E169/10^3+H169)/B169</f>
        <v>0.34703125000000001</v>
      </c>
      <c r="M169" s="1622" t="s">
        <v>832</v>
      </c>
      <c r="N169" s="1847"/>
      <c r="P169" s="1626" t="s">
        <v>833</v>
      </c>
    </row>
    <row r="170" spans="1:16" s="1622" customFormat="1" x14ac:dyDescent="0.35">
      <c r="A170" s="1625" t="s">
        <v>834</v>
      </c>
      <c r="B170" s="1622">
        <v>39</v>
      </c>
      <c r="C170" s="1622" t="s">
        <v>802</v>
      </c>
      <c r="D170" s="1622">
        <v>5.9</v>
      </c>
      <c r="E170" s="1857">
        <v>180</v>
      </c>
      <c r="F170" s="1857">
        <v>0</v>
      </c>
      <c r="G170" s="1857"/>
      <c r="H170" s="1857">
        <v>37</v>
      </c>
      <c r="J170" s="1622">
        <f>(D170+F170)/B170</f>
        <v>0.1512820512820513</v>
      </c>
      <c r="K170" s="1622">
        <f>(E170/10^3+H170)/B170</f>
        <v>0.95333333333333337</v>
      </c>
      <c r="M170" s="1622" t="s">
        <v>835</v>
      </c>
      <c r="P170" s="1626"/>
    </row>
    <row r="171" spans="1:16" s="1622" customFormat="1" x14ac:dyDescent="0.35">
      <c r="A171" s="1633" t="s">
        <v>836</v>
      </c>
      <c r="B171" s="1790">
        <v>800</v>
      </c>
      <c r="C171" s="1790" t="s">
        <v>837</v>
      </c>
      <c r="D171" s="1790">
        <v>1.1000000000000001</v>
      </c>
      <c r="E171" s="1863">
        <v>32</v>
      </c>
      <c r="F171" s="1863">
        <v>340</v>
      </c>
      <c r="G171" s="1863"/>
      <c r="H171" s="1863">
        <v>260</v>
      </c>
      <c r="I171" s="1790"/>
      <c r="J171" s="1790">
        <f>(D171+F171)/B171</f>
        <v>0.426375</v>
      </c>
      <c r="K171" s="1790">
        <f>(E171/10^3+H171)/B171</f>
        <v>0.32504</v>
      </c>
      <c r="L171" s="1790"/>
      <c r="M171" s="1790" t="s">
        <v>830</v>
      </c>
      <c r="N171" s="1790"/>
      <c r="O171" s="1790"/>
      <c r="P171" s="1741"/>
    </row>
    <row r="172" spans="1:16" s="1622" customFormat="1" x14ac:dyDescent="0.35">
      <c r="E172" s="1859"/>
      <c r="F172" s="1859"/>
      <c r="G172" s="1859"/>
      <c r="H172" s="1859"/>
    </row>
    <row r="173" spans="1:16" s="1622" customFormat="1" x14ac:dyDescent="0.35">
      <c r="A173" s="1831" t="s">
        <v>802</v>
      </c>
      <c r="B173" s="1613"/>
      <c r="C173" s="1613"/>
      <c r="D173" s="1866"/>
      <c r="E173" s="1613"/>
      <c r="F173" s="1865"/>
      <c r="G173" s="1866"/>
      <c r="H173" s="1880"/>
      <c r="I173" s="1858"/>
      <c r="K173" s="1592"/>
      <c r="L173" s="1592"/>
      <c r="M173" s="1592"/>
      <c r="N173" s="1592"/>
    </row>
    <row r="174" spans="1:16" s="1622" customFormat="1" x14ac:dyDescent="0.35">
      <c r="A174" s="1625"/>
      <c r="D174" s="1858"/>
      <c r="F174" s="1848"/>
      <c r="G174" s="1858"/>
      <c r="H174" s="1860"/>
      <c r="I174" s="1858"/>
      <c r="K174" s="1592"/>
      <c r="L174" s="1592"/>
      <c r="M174" s="1592"/>
      <c r="N174" s="1592"/>
    </row>
    <row r="175" spans="1:16" s="1622" customFormat="1" ht="13.9" x14ac:dyDescent="0.4">
      <c r="A175" s="1845" t="s">
        <v>703</v>
      </c>
      <c r="B175" s="1854" t="s">
        <v>704</v>
      </c>
      <c r="C175" s="1854" t="s">
        <v>715</v>
      </c>
      <c r="D175" s="1854" t="s">
        <v>706</v>
      </c>
      <c r="E175" s="1854" t="s">
        <v>716</v>
      </c>
      <c r="F175" s="1854" t="s">
        <v>415</v>
      </c>
      <c r="G175" s="1854" t="s">
        <v>286</v>
      </c>
      <c r="H175" s="1856" t="s">
        <v>707</v>
      </c>
      <c r="I175" s="1854"/>
      <c r="K175" s="1592"/>
      <c r="L175" s="1592"/>
      <c r="M175" s="1592"/>
      <c r="N175" s="1592"/>
    </row>
    <row r="176" spans="1:16" s="1622" customFormat="1" x14ac:dyDescent="0.35">
      <c r="A176" s="1625" t="s">
        <v>656</v>
      </c>
      <c r="B176" s="1622" t="s">
        <v>709</v>
      </c>
      <c r="C176" s="1622">
        <f>AVERAGE(J169,J170)</f>
        <v>0.12876602564102566</v>
      </c>
      <c r="D176" s="1622" t="s">
        <v>838</v>
      </c>
      <c r="E176" s="1881">
        <f>C176*10^6*$C$41*$C$39/$C$38</f>
        <v>5452.4154414932964</v>
      </c>
      <c r="F176" s="1622">
        <v>2008</v>
      </c>
      <c r="G176" s="1848" t="s">
        <v>839</v>
      </c>
      <c r="H176" s="1872"/>
      <c r="I176" s="1857"/>
      <c r="J176" s="1858"/>
      <c r="K176" s="1858"/>
      <c r="L176" s="1858"/>
      <c r="M176" s="1592"/>
      <c r="N176" s="1592"/>
    </row>
    <row r="177" spans="1:14" s="1622" customFormat="1" x14ac:dyDescent="0.35">
      <c r="A177" s="1625" t="str">
        <f>A176</f>
        <v>Concrete</v>
      </c>
      <c r="B177" s="1622" t="s">
        <v>709</v>
      </c>
      <c r="C177" s="1857">
        <f>MAX(B152,B154:B155)</f>
        <v>8685220</v>
      </c>
      <c r="D177" s="1622" t="s">
        <v>840</v>
      </c>
      <c r="E177" s="1881">
        <f>C177/1000</f>
        <v>8685.2199999999993</v>
      </c>
      <c r="F177" s="1622">
        <v>2009</v>
      </c>
      <c r="G177" s="1622" t="s">
        <v>841</v>
      </c>
      <c r="H177" s="1626" t="s">
        <v>842</v>
      </c>
      <c r="I177" s="1857"/>
      <c r="J177" s="1858"/>
      <c r="K177" s="1858"/>
      <c r="L177" s="1858"/>
      <c r="M177" s="1592"/>
      <c r="N177" s="1592"/>
    </row>
    <row r="178" spans="1:14" s="1622" customFormat="1" x14ac:dyDescent="0.35">
      <c r="A178" s="1625" t="str">
        <f>A176</f>
        <v>Concrete</v>
      </c>
      <c r="B178" s="1622" t="s">
        <v>709</v>
      </c>
      <c r="C178" s="1857">
        <f>AVERAGEIF($A$150:$A$159,$A173,$B$150:$B$159)</f>
        <v>6016171.25</v>
      </c>
      <c r="D178" s="1622" t="s">
        <v>840</v>
      </c>
      <c r="E178" s="1881">
        <f>C178/1000</f>
        <v>6016.1712500000003</v>
      </c>
      <c r="F178" s="1622">
        <v>2009</v>
      </c>
      <c r="G178" s="1622" t="s">
        <v>841</v>
      </c>
      <c r="H178" s="1626" t="s">
        <v>843</v>
      </c>
      <c r="I178" s="1857"/>
      <c r="J178" s="1858"/>
      <c r="K178" s="1858"/>
      <c r="L178" s="1858"/>
      <c r="M178" s="1592"/>
      <c r="N178" s="1592"/>
    </row>
    <row r="179" spans="1:14" s="1622" customFormat="1" x14ac:dyDescent="0.35">
      <c r="A179" s="1625" t="str">
        <f>A177</f>
        <v>Concrete</v>
      </c>
      <c r="B179" s="1622" t="s">
        <v>709</v>
      </c>
      <c r="C179" s="1857">
        <f>MIN(B152,B154:B155,B156)</f>
        <v>1872728</v>
      </c>
      <c r="D179" s="1622" t="s">
        <v>840</v>
      </c>
      <c r="E179" s="1881">
        <f>C179/1000</f>
        <v>1872.7280000000001</v>
      </c>
      <c r="F179" s="1622">
        <v>2009</v>
      </c>
      <c r="G179" s="1622" t="s">
        <v>841</v>
      </c>
      <c r="H179" s="1626" t="s">
        <v>844</v>
      </c>
      <c r="I179" s="1857"/>
      <c r="J179" s="1858"/>
      <c r="K179" s="1858"/>
      <c r="L179" s="1858"/>
      <c r="M179" s="1592"/>
      <c r="N179" s="1592"/>
    </row>
    <row r="180" spans="1:14" s="1622" customFormat="1" x14ac:dyDescent="0.35">
      <c r="A180" s="1625" t="s">
        <v>234</v>
      </c>
      <c r="B180" s="1622" t="s">
        <v>709</v>
      </c>
      <c r="C180" s="1622">
        <f>AVERAGE(K169,K170)</f>
        <v>0.65018229166666663</v>
      </c>
      <c r="D180" s="1622" t="s">
        <v>845</v>
      </c>
      <c r="E180" s="1882">
        <f>C180*10^6*$C$46/$C$38</f>
        <v>183.25368538759162</v>
      </c>
      <c r="F180" s="1622">
        <v>2008</v>
      </c>
      <c r="G180" s="1848" t="s">
        <v>839</v>
      </c>
      <c r="H180" s="1883"/>
      <c r="K180" s="1857"/>
      <c r="L180" s="1857"/>
      <c r="M180" s="1592"/>
      <c r="N180" s="1592"/>
    </row>
    <row r="181" spans="1:14" s="1622" customFormat="1" x14ac:dyDescent="0.35">
      <c r="A181" s="1625" t="str">
        <f>A180</f>
        <v>Steel</v>
      </c>
      <c r="B181" s="1622" t="s">
        <v>709</v>
      </c>
      <c r="C181" s="1857">
        <f>MAX(C152,C154:C155)</f>
        <v>393646</v>
      </c>
      <c r="D181" s="1622" t="s">
        <v>840</v>
      </c>
      <c r="E181" s="1881">
        <f>C181/1000</f>
        <v>393.64600000000002</v>
      </c>
      <c r="F181" s="1622">
        <v>2009</v>
      </c>
      <c r="G181" s="1622" t="s">
        <v>841</v>
      </c>
      <c r="H181" s="1626" t="s">
        <v>842</v>
      </c>
      <c r="J181" s="1858"/>
      <c r="K181" s="1857"/>
      <c r="L181" s="1857"/>
      <c r="M181" s="1592"/>
      <c r="N181" s="1592"/>
    </row>
    <row r="182" spans="1:14" s="1622" customFormat="1" x14ac:dyDescent="0.35">
      <c r="A182" s="1625" t="s">
        <v>234</v>
      </c>
      <c r="B182" s="1622" t="s">
        <v>709</v>
      </c>
      <c r="C182" s="1857">
        <f>AVERAGEIF($A$150:$A$159,$A173,$C$150:$C$159)</f>
        <v>264339.75</v>
      </c>
      <c r="D182" s="1622" t="s">
        <v>840</v>
      </c>
      <c r="E182" s="1881">
        <f>C182/1000</f>
        <v>264.33974999999998</v>
      </c>
      <c r="F182" s="1622">
        <v>2009</v>
      </c>
      <c r="G182" s="1622" t="s">
        <v>841</v>
      </c>
      <c r="H182" s="1626" t="s">
        <v>843</v>
      </c>
      <c r="J182" s="1858"/>
      <c r="K182" s="1858"/>
      <c r="L182" s="1858"/>
      <c r="M182" s="1592"/>
      <c r="N182" s="1592"/>
    </row>
    <row r="183" spans="1:14" s="1622" customFormat="1" x14ac:dyDescent="0.35">
      <c r="A183" s="1633" t="str">
        <f>A182</f>
        <v>Steel</v>
      </c>
      <c r="B183" s="1790" t="s">
        <v>709</v>
      </c>
      <c r="C183" s="1863">
        <f>MIN(C152,C154:C155)</f>
        <v>206277</v>
      </c>
      <c r="D183" s="1790" t="s">
        <v>840</v>
      </c>
      <c r="E183" s="1884">
        <f>C183/1000</f>
        <v>206.27699999999999</v>
      </c>
      <c r="F183" s="1790">
        <v>2009</v>
      </c>
      <c r="G183" s="1790" t="s">
        <v>841</v>
      </c>
      <c r="H183" s="1741" t="s">
        <v>844</v>
      </c>
      <c r="J183" s="1858"/>
      <c r="K183" s="1858"/>
      <c r="L183" s="1858"/>
      <c r="M183" s="1592"/>
      <c r="N183" s="1592"/>
    </row>
    <row r="184" spans="1:14" s="1622" customFormat="1" ht="13.9" x14ac:dyDescent="0.4">
      <c r="D184" s="1858"/>
      <c r="F184" s="1848"/>
      <c r="G184" s="1858"/>
      <c r="H184" s="1858"/>
      <c r="I184" s="1858"/>
      <c r="J184" s="1857"/>
      <c r="K184" s="1857"/>
      <c r="L184" s="1879"/>
      <c r="M184" s="1592"/>
      <c r="N184" s="1592"/>
    </row>
    <row r="185" spans="1:14" s="1622" customFormat="1" x14ac:dyDescent="0.35">
      <c r="A185" s="1831" t="s">
        <v>675</v>
      </c>
      <c r="B185" s="1613"/>
      <c r="C185" s="1613"/>
      <c r="D185" s="1866"/>
      <c r="E185" s="1613"/>
      <c r="F185" s="1865"/>
      <c r="G185" s="1866"/>
      <c r="H185" s="1880"/>
      <c r="I185" s="1858"/>
      <c r="K185" s="1592"/>
      <c r="L185" s="1592"/>
      <c r="M185" s="1592"/>
      <c r="N185" s="1592"/>
    </row>
    <row r="186" spans="1:14" s="1622" customFormat="1" x14ac:dyDescent="0.35">
      <c r="A186" s="1625"/>
      <c r="D186" s="1858"/>
      <c r="F186" s="1848"/>
      <c r="G186" s="1858"/>
      <c r="H186" s="1860"/>
      <c r="I186" s="1858"/>
      <c r="K186" s="1592"/>
      <c r="L186" s="1592"/>
      <c r="M186" s="1592"/>
      <c r="N186" s="1592"/>
    </row>
    <row r="187" spans="1:14" s="1622" customFormat="1" ht="13.9" x14ac:dyDescent="0.4">
      <c r="A187" s="1845" t="s">
        <v>846</v>
      </c>
      <c r="H187" s="1626"/>
    </row>
    <row r="188" spans="1:14" s="1622" customFormat="1" x14ac:dyDescent="0.35">
      <c r="A188" s="1625" t="s">
        <v>175</v>
      </c>
      <c r="B188" s="1848" t="s">
        <v>847</v>
      </c>
      <c r="H188" s="1626"/>
    </row>
    <row r="189" spans="1:14" s="1622" customFormat="1" x14ac:dyDescent="0.35">
      <c r="A189" s="1625"/>
      <c r="B189" s="1848" t="s">
        <v>848</v>
      </c>
      <c r="H189" s="1626"/>
    </row>
    <row r="190" spans="1:14" s="1622" customFormat="1" x14ac:dyDescent="0.35">
      <c r="A190" s="1625" t="s">
        <v>849</v>
      </c>
      <c r="H190" s="1626"/>
    </row>
    <row r="191" spans="1:14" s="1622" customFormat="1" ht="13.9" x14ac:dyDescent="0.4">
      <c r="A191" s="1885" t="s">
        <v>850</v>
      </c>
      <c r="E191" s="1886" t="s">
        <v>851</v>
      </c>
      <c r="F191" s="1886" t="s">
        <v>852</v>
      </c>
      <c r="G191" s="1886" t="s">
        <v>853</v>
      </c>
      <c r="H191" s="1626"/>
    </row>
    <row r="192" spans="1:14" s="1622" customFormat="1" ht="13.9" x14ac:dyDescent="0.4">
      <c r="A192" s="1885" t="s">
        <v>854</v>
      </c>
      <c r="D192" s="1864" t="s">
        <v>173</v>
      </c>
      <c r="E192" s="1847">
        <v>0.73</v>
      </c>
      <c r="F192" s="1847">
        <v>0.1</v>
      </c>
      <c r="G192" s="1847">
        <v>0.16</v>
      </c>
      <c r="H192" s="1626"/>
    </row>
    <row r="193" spans="1:14" s="1622" customFormat="1" ht="13.9" x14ac:dyDescent="0.4">
      <c r="A193" s="1625"/>
      <c r="D193" s="1864" t="s">
        <v>170</v>
      </c>
      <c r="E193" s="1847">
        <v>0.92</v>
      </c>
      <c r="F193" s="1847">
        <v>0.02</v>
      </c>
      <c r="G193" s="1847">
        <v>0.05</v>
      </c>
      <c r="H193" s="1626"/>
    </row>
    <row r="194" spans="1:14" s="1622" customFormat="1" ht="13.9" x14ac:dyDescent="0.4">
      <c r="A194" s="1885" t="s">
        <v>855</v>
      </c>
      <c r="D194" s="1864" t="s">
        <v>173</v>
      </c>
      <c r="E194" s="1847">
        <v>0.19</v>
      </c>
      <c r="F194" s="1847">
        <v>0.23</v>
      </c>
      <c r="G194" s="1847">
        <v>0.63</v>
      </c>
      <c r="H194" s="1626"/>
    </row>
    <row r="195" spans="1:14" s="1622" customFormat="1" ht="13.9" x14ac:dyDescent="0.4">
      <c r="A195" s="1625"/>
      <c r="D195" s="1864" t="s">
        <v>170</v>
      </c>
      <c r="E195" s="1847">
        <v>7.0000000000000007E-2</v>
      </c>
      <c r="F195" s="1847">
        <v>0.1</v>
      </c>
      <c r="G195" s="1847">
        <v>0.78</v>
      </c>
      <c r="H195" s="1626"/>
    </row>
    <row r="196" spans="1:14" s="1622" customFormat="1" ht="13.9" x14ac:dyDescent="0.4">
      <c r="A196" s="1885" t="s">
        <v>856</v>
      </c>
      <c r="D196" s="1864" t="s">
        <v>173</v>
      </c>
      <c r="E196" s="1847">
        <v>0.87</v>
      </c>
      <c r="F196" s="1847">
        <v>0.27</v>
      </c>
      <c r="G196" s="1847">
        <v>0.1</v>
      </c>
      <c r="H196" s="1626"/>
    </row>
    <row r="197" spans="1:14" s="1622" customFormat="1" ht="13.9" x14ac:dyDescent="0.4">
      <c r="A197" s="1633"/>
      <c r="B197" s="1790"/>
      <c r="C197" s="1790"/>
      <c r="D197" s="1887" t="s">
        <v>170</v>
      </c>
      <c r="E197" s="1849">
        <v>0.98</v>
      </c>
      <c r="F197" s="1849">
        <v>0.02</v>
      </c>
      <c r="G197" s="1849">
        <v>0.09</v>
      </c>
      <c r="H197" s="1741"/>
    </row>
    <row r="198" spans="1:14" s="1622" customFormat="1" x14ac:dyDescent="0.35"/>
    <row r="199" spans="1:14" s="1622" customFormat="1" ht="13.9" x14ac:dyDescent="0.4">
      <c r="A199" s="1844" t="s">
        <v>703</v>
      </c>
      <c r="B199" s="1888" t="s">
        <v>704</v>
      </c>
      <c r="C199" s="1888" t="s">
        <v>715</v>
      </c>
      <c r="D199" s="1888" t="s">
        <v>706</v>
      </c>
      <c r="E199" s="1888" t="s">
        <v>716</v>
      </c>
      <c r="F199" s="1888" t="s">
        <v>415</v>
      </c>
      <c r="G199" s="1888" t="s">
        <v>286</v>
      </c>
      <c r="H199" s="1869" t="s">
        <v>707</v>
      </c>
      <c r="I199" s="1854"/>
      <c r="K199" s="1592"/>
      <c r="L199" s="1592"/>
      <c r="M199" s="1592"/>
      <c r="N199" s="1592"/>
    </row>
    <row r="200" spans="1:14" s="1622" customFormat="1" x14ac:dyDescent="0.35">
      <c r="A200" s="1625" t="s">
        <v>656</v>
      </c>
      <c r="B200" s="1622" t="s">
        <v>709</v>
      </c>
      <c r="C200" s="1622">
        <f>AVERAGE(K167,K168)</f>
        <v>0.2709529220779221</v>
      </c>
      <c r="D200" s="1622" t="s">
        <v>838</v>
      </c>
      <c r="E200" s="1881">
        <f>C200*10^6*$C$41*$C$39/$C$38</f>
        <v>11473.118696494892</v>
      </c>
      <c r="F200" s="1622">
        <v>2008</v>
      </c>
      <c r="G200" s="1848" t="s">
        <v>839</v>
      </c>
      <c r="H200" s="1872"/>
      <c r="I200" s="1857"/>
      <c r="K200" s="1592"/>
      <c r="L200" s="1592"/>
      <c r="M200" s="1592"/>
      <c r="N200" s="1592"/>
    </row>
    <row r="201" spans="1:14" s="1622" customFormat="1" x14ac:dyDescent="0.35">
      <c r="A201" s="1625" t="s">
        <v>656</v>
      </c>
      <c r="B201" s="1622" t="s">
        <v>709</v>
      </c>
      <c r="C201" s="1857">
        <f>MAX(B150:B151,B153,B156:B158)</f>
        <v>26349857</v>
      </c>
      <c r="D201" s="1622" t="s">
        <v>840</v>
      </c>
      <c r="E201" s="1881">
        <f>C201/1000</f>
        <v>26349.857</v>
      </c>
      <c r="F201" s="1889" t="s">
        <v>857</v>
      </c>
      <c r="G201" s="1622" t="s">
        <v>841</v>
      </c>
      <c r="H201" s="1626" t="s">
        <v>842</v>
      </c>
      <c r="J201" s="1858"/>
      <c r="K201" s="1857"/>
    </row>
    <row r="202" spans="1:14" s="1622" customFormat="1" x14ac:dyDescent="0.35">
      <c r="A202" s="1625" t="s">
        <v>656</v>
      </c>
      <c r="B202" s="1622" t="s">
        <v>709</v>
      </c>
      <c r="C202" s="1857">
        <f>AVERAGEIF($A$150:$A$159,$A185,$B$150:$B$159)</f>
        <v>17466796</v>
      </c>
      <c r="D202" s="1622" t="s">
        <v>840</v>
      </c>
      <c r="E202" s="1881">
        <f>C202/1000</f>
        <v>17466.795999999998</v>
      </c>
      <c r="F202" s="1889" t="s">
        <v>857</v>
      </c>
      <c r="G202" s="1622" t="s">
        <v>841</v>
      </c>
      <c r="H202" s="1626" t="s">
        <v>843</v>
      </c>
      <c r="J202" s="1858"/>
      <c r="K202" s="1857"/>
    </row>
    <row r="203" spans="1:14" s="1622" customFormat="1" x14ac:dyDescent="0.35">
      <c r="A203" s="1625" t="s">
        <v>656</v>
      </c>
      <c r="B203" s="1622" t="s">
        <v>709</v>
      </c>
      <c r="C203" s="1857">
        <f>MIN(B150:B151,B153,B156:B158)</f>
        <v>258979</v>
      </c>
      <c r="D203" s="1622" t="s">
        <v>840</v>
      </c>
      <c r="E203" s="1881">
        <f>C203/1000</f>
        <v>258.97899999999998</v>
      </c>
      <c r="F203" s="1889" t="s">
        <v>857</v>
      </c>
      <c r="G203" s="1622" t="s">
        <v>841</v>
      </c>
      <c r="H203" s="1626" t="s">
        <v>844</v>
      </c>
      <c r="J203" s="1858"/>
      <c r="K203" s="1857"/>
    </row>
    <row r="204" spans="1:14" s="1622" customFormat="1" x14ac:dyDescent="0.35">
      <c r="A204" s="1625" t="s">
        <v>656</v>
      </c>
      <c r="B204" s="1622" t="s">
        <v>351</v>
      </c>
      <c r="C204" s="1857">
        <f>358851*C39/11/2</f>
        <v>39253.89531954546</v>
      </c>
      <c r="D204" s="1857" t="s">
        <v>858</v>
      </c>
      <c r="E204" s="1881">
        <f>C204</f>
        <v>39253.89531954546</v>
      </c>
      <c r="F204" s="1622">
        <v>2017</v>
      </c>
      <c r="G204" s="1848" t="s">
        <v>859</v>
      </c>
      <c r="H204" s="1626" t="s">
        <v>860</v>
      </c>
      <c r="J204" s="1858"/>
      <c r="K204" s="1857"/>
    </row>
    <row r="205" spans="1:14" s="1622" customFormat="1" x14ac:dyDescent="0.35">
      <c r="A205" s="1625" t="s">
        <v>656</v>
      </c>
      <c r="B205" s="1622" t="s">
        <v>263</v>
      </c>
      <c r="C205" s="1622">
        <f>(20614.56+1564.66*0.125)/18.448</f>
        <v>1128.043283824805</v>
      </c>
      <c r="D205" s="1622" t="s">
        <v>861</v>
      </c>
      <c r="E205" s="1857">
        <f>C205/B49</f>
        <v>9024.3462705984402</v>
      </c>
      <c r="F205" s="1622">
        <v>2018</v>
      </c>
      <c r="G205" s="1848" t="s">
        <v>862</v>
      </c>
      <c r="H205" s="1626" t="s">
        <v>852</v>
      </c>
      <c r="I205" s="1857"/>
    </row>
    <row r="206" spans="1:14" s="1622" customFormat="1" x14ac:dyDescent="0.35">
      <c r="A206" s="1625" t="s">
        <v>656</v>
      </c>
      <c r="B206" s="1622" t="s">
        <v>47</v>
      </c>
      <c r="C206" s="1622">
        <v>4210.62</v>
      </c>
      <c r="D206" s="1622" t="s">
        <v>863</v>
      </c>
      <c r="E206" s="1857">
        <f>C206/2/B49</f>
        <v>16842.48</v>
      </c>
      <c r="F206" s="1622">
        <v>2012</v>
      </c>
      <c r="G206" s="1848" t="s">
        <v>730</v>
      </c>
      <c r="H206" s="1626" t="s">
        <v>852</v>
      </c>
    </row>
    <row r="207" spans="1:14" s="1622" customFormat="1" x14ac:dyDescent="0.35">
      <c r="A207" s="1625" t="s">
        <v>234</v>
      </c>
      <c r="B207" s="1622" t="s">
        <v>709</v>
      </c>
      <c r="C207" s="1622">
        <f>AVERAGE(K167,K168)</f>
        <v>0.2709529220779221</v>
      </c>
      <c r="D207" s="1622" t="s">
        <v>864</v>
      </c>
      <c r="E207" s="1858">
        <f>C207*10^6*$C$46/$C$38</f>
        <v>76.368000441900932</v>
      </c>
      <c r="F207" s="1622">
        <v>2008</v>
      </c>
      <c r="G207" s="1848" t="s">
        <v>839</v>
      </c>
      <c r="H207" s="1626"/>
    </row>
    <row r="208" spans="1:14" s="1622" customFormat="1" x14ac:dyDescent="0.35">
      <c r="A208" s="1625" t="s">
        <v>234</v>
      </c>
      <c r="B208" s="1622" t="s">
        <v>709</v>
      </c>
      <c r="C208" s="1857">
        <f>MAX(C150:C151,C153,C156:C158)</f>
        <v>1596660</v>
      </c>
      <c r="D208" s="1622" t="s">
        <v>840</v>
      </c>
      <c r="E208" s="1881">
        <f>C208/1000</f>
        <v>1596.66</v>
      </c>
      <c r="F208" s="1889" t="s">
        <v>857</v>
      </c>
      <c r="G208" s="1622" t="s">
        <v>841</v>
      </c>
      <c r="H208" s="1626" t="s">
        <v>842</v>
      </c>
    </row>
    <row r="209" spans="1:13" x14ac:dyDescent="0.35">
      <c r="A209" s="1625" t="s">
        <v>234</v>
      </c>
      <c r="B209" s="1622" t="s">
        <v>709</v>
      </c>
      <c r="C209" s="1857">
        <f>AVERAGEIF($A$150:$A$159,$A185,$C$150:$C$159)</f>
        <v>950176.66666666663</v>
      </c>
      <c r="D209" s="1622" t="s">
        <v>840</v>
      </c>
      <c r="E209" s="1881">
        <f>C209/1000</f>
        <v>950.17666666666662</v>
      </c>
      <c r="F209" s="1889" t="s">
        <v>857</v>
      </c>
      <c r="G209" s="1622" t="s">
        <v>841</v>
      </c>
      <c r="H209" s="1626" t="s">
        <v>843</v>
      </c>
      <c r="I209" s="1622"/>
    </row>
    <row r="210" spans="1:13" x14ac:dyDescent="0.35">
      <c r="A210" s="1625" t="s">
        <v>234</v>
      </c>
      <c r="B210" s="1622" t="s">
        <v>709</v>
      </c>
      <c r="C210" s="1857">
        <f>MIN(C150:C151,C153,C156:C158)</f>
        <v>200097</v>
      </c>
      <c r="D210" s="1622" t="s">
        <v>840</v>
      </c>
      <c r="E210" s="1881">
        <f>C210/1000</f>
        <v>200.09700000000001</v>
      </c>
      <c r="F210" s="1889" t="s">
        <v>857</v>
      </c>
      <c r="G210" s="1622" t="s">
        <v>841</v>
      </c>
      <c r="H210" s="1626" t="s">
        <v>844</v>
      </c>
      <c r="I210" s="1622"/>
    </row>
    <row r="211" spans="1:13" s="1622" customFormat="1" x14ac:dyDescent="0.35">
      <c r="A211" s="1625" t="s">
        <v>234</v>
      </c>
      <c r="B211" s="1622" t="s">
        <v>351</v>
      </c>
      <c r="C211" s="1857">
        <f>40000/11/2</f>
        <v>1818.1818181818182</v>
      </c>
      <c r="E211" s="1857">
        <f>C211</f>
        <v>1818.1818181818182</v>
      </c>
      <c r="F211" s="1622">
        <v>2017</v>
      </c>
      <c r="G211" s="1848" t="s">
        <v>859</v>
      </c>
      <c r="H211" s="1626"/>
    </row>
    <row r="212" spans="1:13" s="1622" customFormat="1" x14ac:dyDescent="0.35">
      <c r="A212" s="1625" t="s">
        <v>234</v>
      </c>
      <c r="B212" s="1622" t="s">
        <v>263</v>
      </c>
      <c r="C212" s="1622">
        <f>(4281.9+1564.66)/18.448</f>
        <v>316.92107545533389</v>
      </c>
      <c r="D212" s="1622" t="s">
        <v>858</v>
      </c>
      <c r="E212" s="1858">
        <f>C212</f>
        <v>316.92107545533389</v>
      </c>
      <c r="F212" s="1622">
        <v>2018</v>
      </c>
      <c r="G212" s="1848" t="s">
        <v>862</v>
      </c>
      <c r="H212" s="1626" t="s">
        <v>852</v>
      </c>
    </row>
    <row r="213" spans="1:13" s="1622" customFormat="1" x14ac:dyDescent="0.35">
      <c r="A213" s="1633" t="s">
        <v>234</v>
      </c>
      <c r="B213" s="1790" t="s">
        <v>47</v>
      </c>
      <c r="C213" s="1790">
        <v>1721.38</v>
      </c>
      <c r="D213" s="1790" t="s">
        <v>865</v>
      </c>
      <c r="E213" s="1863">
        <f>C213/2</f>
        <v>860.69</v>
      </c>
      <c r="F213" s="1790">
        <v>2012</v>
      </c>
      <c r="G213" s="1850" t="s">
        <v>730</v>
      </c>
      <c r="H213" s="1741" t="s">
        <v>852</v>
      </c>
    </row>
    <row r="214" spans="1:13" s="1622" customFormat="1" ht="13.9" x14ac:dyDescent="0.4">
      <c r="E214" s="1857"/>
      <c r="G214" s="1848"/>
      <c r="K214" s="1854"/>
      <c r="M214" s="1854"/>
    </row>
    <row r="215" spans="1:13" s="1622" customFormat="1" ht="13.9" x14ac:dyDescent="0.4">
      <c r="A215" s="1774" t="s">
        <v>866</v>
      </c>
      <c r="B215" s="1613"/>
      <c r="C215" s="1613"/>
      <c r="D215" s="1613"/>
      <c r="E215" s="1890"/>
      <c r="G215" s="1848"/>
    </row>
    <row r="216" spans="1:13" s="1622" customFormat="1" x14ac:dyDescent="0.35">
      <c r="A216" s="1625"/>
      <c r="E216" s="1872"/>
      <c r="G216" s="1848"/>
    </row>
    <row r="217" spans="1:13" s="1622" customFormat="1" x14ac:dyDescent="0.35">
      <c r="A217" s="1625" t="s">
        <v>285</v>
      </c>
      <c r="B217" s="1622" t="s">
        <v>867</v>
      </c>
      <c r="D217" s="1622" t="s">
        <v>868</v>
      </c>
      <c r="E217" s="1626"/>
    </row>
    <row r="218" spans="1:13" s="1622" customFormat="1" x14ac:dyDescent="0.35">
      <c r="A218" s="1625"/>
      <c r="B218" s="1622" t="s">
        <v>869</v>
      </c>
      <c r="C218" s="1622" t="s">
        <v>870</v>
      </c>
      <c r="D218" s="1622" t="str">
        <f>B218</f>
        <v>Item 1</v>
      </c>
      <c r="E218" s="1626" t="str">
        <f>C218</f>
        <v>Item 2</v>
      </c>
      <c r="K218" s="1858"/>
    </row>
    <row r="219" spans="1:13" s="1622" customFormat="1" x14ac:dyDescent="0.35">
      <c r="A219" s="1625" t="s">
        <v>871</v>
      </c>
      <c r="B219" s="1622" t="str">
        <f>A230</f>
        <v>Bike lane</v>
      </c>
      <c r="C219" s="1622" t="str">
        <f>A231</f>
        <v>Urban road</v>
      </c>
      <c r="D219" s="1820">
        <f>C303</f>
        <v>0.2</v>
      </c>
      <c r="E219" s="1891">
        <f>1-D219</f>
        <v>0.8</v>
      </c>
      <c r="J219" s="1628"/>
      <c r="K219" s="1858"/>
    </row>
    <row r="220" spans="1:13" s="1622" customFormat="1" ht="13.9" x14ac:dyDescent="0.4">
      <c r="A220" s="1625" t="s">
        <v>872</v>
      </c>
      <c r="B220" s="1622" t="str">
        <f>A231</f>
        <v>Urban road</v>
      </c>
      <c r="D220" s="1820">
        <v>1</v>
      </c>
      <c r="E220" s="1626"/>
      <c r="J220" s="1628"/>
      <c r="M220" s="1854"/>
    </row>
    <row r="221" spans="1:13" s="1622" customFormat="1" x14ac:dyDescent="0.35">
      <c r="A221" s="1625" t="s">
        <v>873</v>
      </c>
      <c r="B221" s="1622" t="str">
        <f>A232</f>
        <v>Urban road including parking</v>
      </c>
      <c r="C221" s="1622" t="s">
        <v>661</v>
      </c>
      <c r="D221" s="1820">
        <v>0.6</v>
      </c>
      <c r="E221" s="1891">
        <v>0.4</v>
      </c>
      <c r="J221" s="1628"/>
    </row>
    <row r="222" spans="1:13" s="1622" customFormat="1" x14ac:dyDescent="0.35">
      <c r="A222" s="1625" t="s">
        <v>874</v>
      </c>
      <c r="B222" s="1622" t="s">
        <v>659</v>
      </c>
      <c r="D222" s="1820">
        <v>1</v>
      </c>
      <c r="E222" s="1626"/>
      <c r="J222" s="1628"/>
    </row>
    <row r="223" spans="1:13" s="1622" customFormat="1" x14ac:dyDescent="0.35">
      <c r="A223" s="1625" t="s">
        <v>875</v>
      </c>
      <c r="B223" s="1622" t="str">
        <f>A234</f>
        <v>Bus lane</v>
      </c>
      <c r="C223" s="1622" t="str">
        <f>A231</f>
        <v>Urban road</v>
      </c>
      <c r="D223" s="1629">
        <f>C247/C246</f>
        <v>3.3560222898722659E-2</v>
      </c>
      <c r="E223" s="1891">
        <f>1-D223</f>
        <v>0.96643977710127738</v>
      </c>
      <c r="J223" s="1628"/>
    </row>
    <row r="224" spans="1:13" s="1622" customFormat="1" x14ac:dyDescent="0.35">
      <c r="A224" s="1625" t="s">
        <v>876</v>
      </c>
      <c r="B224" s="1622" t="s">
        <v>661</v>
      </c>
      <c r="C224" s="1622" t="s">
        <v>659</v>
      </c>
      <c r="D224" s="1629">
        <v>0.95</v>
      </c>
      <c r="E224" s="1891">
        <v>0.05</v>
      </c>
      <c r="J224" s="1628"/>
    </row>
    <row r="225" spans="1:10" x14ac:dyDescent="0.35">
      <c r="A225" s="1625" t="s">
        <v>877</v>
      </c>
      <c r="B225" s="1622" t="str">
        <f>A235</f>
        <v>Light rail track</v>
      </c>
      <c r="D225" s="1721">
        <v>1</v>
      </c>
      <c r="E225" s="1594"/>
      <c r="F225" s="1622"/>
      <c r="I225" s="1622"/>
      <c r="J225" s="1628"/>
    </row>
    <row r="226" spans="1:10" x14ac:dyDescent="0.35">
      <c r="A226" s="1633" t="s">
        <v>675</v>
      </c>
      <c r="B226" s="1790" t="str">
        <f>A236</f>
        <v>Metro track</v>
      </c>
      <c r="C226" s="1596"/>
      <c r="D226" s="1892">
        <v>1</v>
      </c>
      <c r="E226" s="1597"/>
      <c r="F226" s="1622"/>
      <c r="I226" s="1622"/>
      <c r="J226" s="1628"/>
    </row>
    <row r="227" spans="1:10" x14ac:dyDescent="0.35">
      <c r="F227" s="1622"/>
    </row>
    <row r="228" spans="1:10" x14ac:dyDescent="0.35">
      <c r="A228" s="1602" t="s">
        <v>878</v>
      </c>
      <c r="B228" s="1613" t="s">
        <v>879</v>
      </c>
      <c r="C228" s="1613" t="s">
        <v>880</v>
      </c>
      <c r="D228" s="1599"/>
    </row>
    <row r="229" spans="1:10" x14ac:dyDescent="0.35">
      <c r="A229" s="1591"/>
      <c r="B229" s="1622" t="s">
        <v>881</v>
      </c>
      <c r="C229" s="1622" t="s">
        <v>257</v>
      </c>
      <c r="D229" s="1626" t="s">
        <v>882</v>
      </c>
    </row>
    <row r="230" spans="1:10" x14ac:dyDescent="0.35">
      <c r="A230" s="1591" t="str">
        <f>A5</f>
        <v>Bike lane</v>
      </c>
      <c r="B230" s="1628">
        <f>C304</f>
        <v>459.81142857142868</v>
      </c>
      <c r="C230" s="1592">
        <v>30</v>
      </c>
      <c r="D230" s="1630">
        <f t="shared" ref="D230:D236" si="3">B230*C230/10^3</f>
        <v>13.79434285714286</v>
      </c>
    </row>
    <row r="231" spans="1:10" x14ac:dyDescent="0.35">
      <c r="A231" s="1591" t="str">
        <f>A6</f>
        <v>Urban road</v>
      </c>
      <c r="B231" s="1840">
        <f>C320</f>
        <v>1115.6852216454868</v>
      </c>
      <c r="C231" s="1592">
        <v>30</v>
      </c>
      <c r="D231" s="1630">
        <f t="shared" si="3"/>
        <v>33.470556649364603</v>
      </c>
    </row>
    <row r="232" spans="1:10" x14ac:dyDescent="0.35">
      <c r="A232" s="1591" t="str">
        <f>A7</f>
        <v>Urban road including parking</v>
      </c>
      <c r="B232" s="1840">
        <f>C320</f>
        <v>1115.6852216454868</v>
      </c>
      <c r="C232" s="1592">
        <v>30</v>
      </c>
      <c r="D232" s="1630">
        <f t="shared" si="3"/>
        <v>33.470556649364603</v>
      </c>
    </row>
    <row r="233" spans="1:10" x14ac:dyDescent="0.35">
      <c r="A233" s="1591" t="s">
        <v>661</v>
      </c>
      <c r="B233" s="1840">
        <f>C353</f>
        <v>638.34454037615444</v>
      </c>
      <c r="C233" s="1592">
        <v>30</v>
      </c>
      <c r="D233" s="1630">
        <f>B233*C233/10^3</f>
        <v>19.150336211284632</v>
      </c>
    </row>
    <row r="234" spans="1:10" x14ac:dyDescent="0.35">
      <c r="A234" s="1591" t="str">
        <f>A9</f>
        <v>Bus lane</v>
      </c>
      <c r="B234" s="1840">
        <f>C262</f>
        <v>230.64687168610814</v>
      </c>
      <c r="C234" s="1592">
        <v>30</v>
      </c>
      <c r="D234" s="1630">
        <f t="shared" si="3"/>
        <v>6.919406150583244</v>
      </c>
    </row>
    <row r="235" spans="1:10" x14ac:dyDescent="0.35">
      <c r="A235" s="1591" t="str">
        <f>A10</f>
        <v>Light rail track</v>
      </c>
      <c r="B235" s="1840">
        <f>B234/4*1.25</f>
        <v>72.077147401908789</v>
      </c>
      <c r="C235" s="1592">
        <v>50</v>
      </c>
      <c r="D235" s="1630">
        <f t="shared" si="3"/>
        <v>3.6038573700954393</v>
      </c>
    </row>
    <row r="236" spans="1:10" x14ac:dyDescent="0.35">
      <c r="A236" s="1595" t="str">
        <f>A11</f>
        <v>Metro track</v>
      </c>
      <c r="B236" s="1893">
        <f>C286</f>
        <v>103.98009950248756</v>
      </c>
      <c r="C236" s="1596">
        <v>50</v>
      </c>
      <c r="D236" s="1638">
        <f t="shared" si="3"/>
        <v>5.1990049751243781</v>
      </c>
    </row>
    <row r="238" spans="1:10" ht="13.9" x14ac:dyDescent="0.4">
      <c r="A238" s="1894" t="s">
        <v>584</v>
      </c>
      <c r="B238" s="1612"/>
      <c r="C238" s="1612"/>
      <c r="D238" s="1612"/>
      <c r="E238" s="1599"/>
    </row>
    <row r="239" spans="1:10" ht="13.9" x14ac:dyDescent="0.4">
      <c r="A239" s="1895"/>
      <c r="E239" s="1594"/>
    </row>
    <row r="240" spans="1:10" ht="13.9" x14ac:dyDescent="0.4">
      <c r="A240" s="1896" t="s">
        <v>875</v>
      </c>
      <c r="E240" s="1594"/>
    </row>
    <row r="241" spans="1:7" ht="13.9" x14ac:dyDescent="0.4">
      <c r="A241" s="1591"/>
      <c r="C241" s="1666" t="s">
        <v>883</v>
      </c>
      <c r="D241" s="1666" t="s">
        <v>286</v>
      </c>
      <c r="E241" s="1601" t="s">
        <v>707</v>
      </c>
    </row>
    <row r="242" spans="1:7" x14ac:dyDescent="0.35">
      <c r="A242" s="1591" t="s">
        <v>884</v>
      </c>
      <c r="B242" s="1592" t="s">
        <v>734</v>
      </c>
      <c r="C242" s="1628">
        <v>736</v>
      </c>
      <c r="D242" s="1848" t="s">
        <v>885</v>
      </c>
      <c r="E242" s="1594" t="s">
        <v>886</v>
      </c>
    </row>
    <row r="243" spans="1:7" x14ac:dyDescent="0.35">
      <c r="A243" s="1591" t="s">
        <v>887</v>
      </c>
      <c r="B243" s="1592" t="s">
        <v>888</v>
      </c>
      <c r="C243" s="1628">
        <f>8.2*C38</f>
        <v>13.196587999999998</v>
      </c>
      <c r="D243" s="1848" t="s">
        <v>885</v>
      </c>
      <c r="E243" s="1594" t="s">
        <v>889</v>
      </c>
    </row>
    <row r="244" spans="1:7" x14ac:dyDescent="0.35">
      <c r="A244" s="1591" t="s">
        <v>890</v>
      </c>
      <c r="B244" s="1592" t="s">
        <v>891</v>
      </c>
      <c r="C244" s="1840">
        <f>C242*C243*2</f>
        <v>19425.377535999996</v>
      </c>
      <c r="D244" s="1848"/>
      <c r="E244" s="1594" t="s">
        <v>27</v>
      </c>
      <c r="F244" s="1592" t="s">
        <v>892</v>
      </c>
    </row>
    <row r="245" spans="1:7" x14ac:dyDescent="0.35">
      <c r="A245" s="1591" t="s">
        <v>893</v>
      </c>
      <c r="B245" s="1592" t="s">
        <v>894</v>
      </c>
      <c r="C245" s="1628">
        <f>0.33*4+0.33*2+0.34</f>
        <v>2.3199999999999998</v>
      </c>
      <c r="D245" s="1848"/>
      <c r="E245" s="1594" t="s">
        <v>895</v>
      </c>
      <c r="F245" s="1592" t="s">
        <v>896</v>
      </c>
    </row>
    <row r="246" spans="1:7" x14ac:dyDescent="0.35">
      <c r="A246" s="1591" t="s">
        <v>897</v>
      </c>
      <c r="B246" s="1592" t="s">
        <v>898</v>
      </c>
      <c r="C246" s="1840">
        <f>C244/C245</f>
        <v>8373.0075586206895</v>
      </c>
      <c r="D246" s="1848"/>
      <c r="E246" s="1594" t="s">
        <v>27</v>
      </c>
      <c r="F246" s="1592" t="s">
        <v>899</v>
      </c>
    </row>
    <row r="247" spans="1:7" x14ac:dyDescent="0.35">
      <c r="A247" s="1591" t="s">
        <v>900</v>
      </c>
      <c r="B247" s="1592" t="s">
        <v>898</v>
      </c>
      <c r="C247" s="1840">
        <v>281</v>
      </c>
      <c r="D247" s="1848" t="s">
        <v>901</v>
      </c>
      <c r="E247" s="1594" t="s">
        <v>902</v>
      </c>
      <c r="F247" s="1592" t="s">
        <v>899</v>
      </c>
    </row>
    <row r="248" spans="1:7" x14ac:dyDescent="0.35">
      <c r="A248" s="1591" t="s">
        <v>903</v>
      </c>
      <c r="B248" s="1592" t="s">
        <v>132</v>
      </c>
      <c r="C248" s="1629">
        <f>C247/C246</f>
        <v>3.3560222898722659E-2</v>
      </c>
      <c r="D248" s="1848"/>
      <c r="E248" s="1594" t="s">
        <v>27</v>
      </c>
    </row>
    <row r="249" spans="1:7" x14ac:dyDescent="0.35">
      <c r="A249" s="1591" t="s">
        <v>904</v>
      </c>
      <c r="B249" s="1592" t="s">
        <v>905</v>
      </c>
      <c r="C249" s="1628">
        <f>C316*1000</f>
        <v>482.80199999999996</v>
      </c>
      <c r="D249" s="1848" t="s">
        <v>906</v>
      </c>
      <c r="E249" s="1897" t="s">
        <v>907</v>
      </c>
    </row>
    <row r="250" spans="1:7" x14ac:dyDescent="0.35">
      <c r="A250" s="1591" t="s">
        <v>908</v>
      </c>
      <c r="B250" s="1592" t="s">
        <v>909</v>
      </c>
      <c r="C250" s="1840">
        <f>C249*10^6/C243</f>
        <v>36585365.853658535</v>
      </c>
      <c r="E250" s="1594" t="s">
        <v>910</v>
      </c>
    </row>
    <row r="251" spans="1:7" x14ac:dyDescent="0.35">
      <c r="A251" s="1591" t="s">
        <v>908</v>
      </c>
      <c r="B251" s="1592" t="s">
        <v>911</v>
      </c>
      <c r="C251" s="1840">
        <f>C250/365</f>
        <v>100233.87905111928</v>
      </c>
      <c r="E251" s="1594" t="s">
        <v>910</v>
      </c>
      <c r="G251" s="1793"/>
    </row>
    <row r="252" spans="1:7" x14ac:dyDescent="0.35">
      <c r="A252" s="1591" t="s">
        <v>912</v>
      </c>
      <c r="B252" s="1592" t="s">
        <v>913</v>
      </c>
      <c r="C252" s="1840">
        <f>24+1-5</f>
        <v>20</v>
      </c>
      <c r="E252" s="1594" t="s">
        <v>895</v>
      </c>
    </row>
    <row r="253" spans="1:7" x14ac:dyDescent="0.35">
      <c r="A253" s="1591" t="s">
        <v>908</v>
      </c>
      <c r="B253" s="1592" t="s">
        <v>914</v>
      </c>
      <c r="C253" s="1628">
        <f>C251/C252</f>
        <v>5011.6939525559637</v>
      </c>
      <c r="E253" s="1594" t="s">
        <v>915</v>
      </c>
    </row>
    <row r="254" spans="1:7" x14ac:dyDescent="0.35">
      <c r="A254" s="1591" t="s">
        <v>908</v>
      </c>
      <c r="B254" s="1592" t="s">
        <v>916</v>
      </c>
      <c r="C254" s="1628">
        <f>C253/C242</f>
        <v>6.809366783364081</v>
      </c>
      <c r="E254" s="1594" t="s">
        <v>915</v>
      </c>
    </row>
    <row r="255" spans="1:7" x14ac:dyDescent="0.35">
      <c r="A255" s="1591" t="s">
        <v>917</v>
      </c>
      <c r="B255" s="1592" t="s">
        <v>918</v>
      </c>
      <c r="C255" s="1628">
        <f>60/C254</f>
        <v>8.8113920000000014</v>
      </c>
      <c r="E255" s="1594" t="s">
        <v>27</v>
      </c>
    </row>
    <row r="256" spans="1:7" x14ac:dyDescent="0.35">
      <c r="A256" s="1591" t="s">
        <v>919</v>
      </c>
      <c r="B256" s="1592" t="s">
        <v>920</v>
      </c>
      <c r="C256" s="1592">
        <v>5</v>
      </c>
      <c r="D256" s="1848" t="s">
        <v>921</v>
      </c>
      <c r="E256" s="1594" t="s">
        <v>922</v>
      </c>
    </row>
    <row r="257" spans="1:8" x14ac:dyDescent="0.35">
      <c r="A257" s="1591" t="s">
        <v>919</v>
      </c>
      <c r="B257" s="1592" t="s">
        <v>920</v>
      </c>
      <c r="C257" s="1592">
        <f>1/(6/60)</f>
        <v>10</v>
      </c>
      <c r="D257" s="1848" t="s">
        <v>921</v>
      </c>
      <c r="E257" s="1594" t="s">
        <v>923</v>
      </c>
    </row>
    <row r="258" spans="1:8" x14ac:dyDescent="0.35">
      <c r="A258" s="1591" t="s">
        <v>919</v>
      </c>
      <c r="B258" s="1592" t="s">
        <v>920</v>
      </c>
      <c r="C258" s="1628">
        <f>1/(82.3/60)</f>
        <v>0.72904009720534635</v>
      </c>
      <c r="D258" s="1848" t="s">
        <v>921</v>
      </c>
      <c r="E258" s="1594" t="s">
        <v>924</v>
      </c>
    </row>
    <row r="259" spans="1:8" x14ac:dyDescent="0.35">
      <c r="A259" s="1591" t="s">
        <v>917</v>
      </c>
      <c r="B259" s="1592" t="s">
        <v>925</v>
      </c>
      <c r="C259" s="1628">
        <f>60/C256</f>
        <v>12</v>
      </c>
      <c r="E259" s="1594" t="s">
        <v>922</v>
      </c>
    </row>
    <row r="260" spans="1:8" x14ac:dyDescent="0.35">
      <c r="A260" s="1591" t="s">
        <v>917</v>
      </c>
      <c r="B260" s="1592" t="s">
        <v>925</v>
      </c>
      <c r="C260" s="1628">
        <f>60/C257</f>
        <v>6</v>
      </c>
      <c r="E260" s="1594" t="s">
        <v>923</v>
      </c>
    </row>
    <row r="261" spans="1:8" x14ac:dyDescent="0.35">
      <c r="A261" s="1591" t="s">
        <v>917</v>
      </c>
      <c r="B261" s="1592" t="s">
        <v>925</v>
      </c>
      <c r="C261" s="1628">
        <f>60/C258</f>
        <v>82.3</v>
      </c>
      <c r="E261" s="1594" t="s">
        <v>924</v>
      </c>
    </row>
    <row r="262" spans="1:8" x14ac:dyDescent="0.35">
      <c r="A262" s="1591" t="s">
        <v>926</v>
      </c>
      <c r="B262" s="1592" t="s">
        <v>927</v>
      </c>
      <c r="C262" s="1628">
        <f>C249*C247*G262/C246*10^6/C247/10^3</f>
        <v>230.64687168610814</v>
      </c>
      <c r="E262" s="1594" t="s">
        <v>27</v>
      </c>
      <c r="F262" s="1720" t="s">
        <v>928</v>
      </c>
      <c r="G262" s="1592">
        <v>4</v>
      </c>
      <c r="H262" s="1592" t="s">
        <v>929</v>
      </c>
    </row>
    <row r="263" spans="1:8" x14ac:dyDescent="0.35">
      <c r="A263" s="1591" t="s">
        <v>930</v>
      </c>
      <c r="B263" s="1592" t="s">
        <v>931</v>
      </c>
      <c r="C263" s="1898">
        <f>C264*10^3/C249</f>
        <v>69.593746504778366</v>
      </c>
      <c r="D263" s="1899"/>
      <c r="E263" s="1594" t="s">
        <v>27</v>
      </c>
    </row>
    <row r="264" spans="1:8" x14ac:dyDescent="0.35">
      <c r="A264" s="1591" t="s">
        <v>932</v>
      </c>
      <c r="B264" s="1592" t="s">
        <v>933</v>
      </c>
      <c r="C264" s="1592">
        <v>33.6</v>
      </c>
      <c r="D264" s="1848" t="s">
        <v>921</v>
      </c>
      <c r="E264" s="1594" t="s">
        <v>934</v>
      </c>
    </row>
    <row r="265" spans="1:8" x14ac:dyDescent="0.35">
      <c r="A265" s="1591" t="s">
        <v>935</v>
      </c>
      <c r="B265" s="1592" t="s">
        <v>936</v>
      </c>
      <c r="C265" s="1628">
        <f>6.2*365/10^3</f>
        <v>2.2629999999999999</v>
      </c>
      <c r="D265" s="1848" t="s">
        <v>921</v>
      </c>
      <c r="E265" s="1594" t="s">
        <v>937</v>
      </c>
    </row>
    <row r="266" spans="1:8" x14ac:dyDescent="0.35">
      <c r="A266" s="1591" t="s">
        <v>938</v>
      </c>
      <c r="B266" s="1592" t="s">
        <v>250</v>
      </c>
      <c r="C266" s="1628">
        <f>C267/C265</f>
        <v>3.9770216526734425</v>
      </c>
      <c r="D266" s="1848"/>
      <c r="E266" s="1594" t="str">
        <f>"Caculated assuming # of trips is the same of # of passengers - Roughly 1/"&amp;ROUND(1/(C266/C243),1)&amp;" of average route length"</f>
        <v>Caculated assuming # of trips is the same of # of passengers - Roughly 1/3.3 of average route length</v>
      </c>
    </row>
    <row r="267" spans="1:8" x14ac:dyDescent="0.35">
      <c r="A267" s="1591" t="s">
        <v>939</v>
      </c>
      <c r="B267" s="1592" t="s">
        <v>940</v>
      </c>
      <c r="C267" s="1628">
        <v>9</v>
      </c>
      <c r="D267" s="1848" t="s">
        <v>901</v>
      </c>
      <c r="E267" s="1594" t="s">
        <v>941</v>
      </c>
    </row>
    <row r="268" spans="1:8" x14ac:dyDescent="0.35">
      <c r="A268" s="1591" t="s">
        <v>942</v>
      </c>
      <c r="B268" s="1592" t="s">
        <v>943</v>
      </c>
      <c r="C268" s="1629">
        <f>C267/C264</f>
        <v>0.26785714285714285</v>
      </c>
      <c r="E268" s="1594" t="s">
        <v>27</v>
      </c>
    </row>
    <row r="269" spans="1:8" x14ac:dyDescent="0.35">
      <c r="A269" s="1591" t="s">
        <v>944</v>
      </c>
      <c r="B269" s="1592" t="s">
        <v>945</v>
      </c>
      <c r="C269" s="1840">
        <f>C267*10^9/(C255*10^6)</f>
        <v>1021.405017504612</v>
      </c>
      <c r="E269" s="1594" t="s">
        <v>27</v>
      </c>
    </row>
    <row r="270" spans="1:8" x14ac:dyDescent="0.35">
      <c r="A270" s="1591" t="s">
        <v>946</v>
      </c>
      <c r="B270" s="1592" t="s">
        <v>947</v>
      </c>
      <c r="C270" s="1840">
        <f>C267*10^9/C246/10^3</f>
        <v>1074.8825839448539</v>
      </c>
      <c r="E270" s="1594" t="s">
        <v>27</v>
      </c>
    </row>
    <row r="271" spans="1:8" x14ac:dyDescent="0.35">
      <c r="A271" s="1591" t="s">
        <v>948</v>
      </c>
      <c r="B271" s="1592" t="s">
        <v>253</v>
      </c>
      <c r="C271" s="1840">
        <f>9.6*C38</f>
        <v>15.449663999999999</v>
      </c>
      <c r="D271" s="1848" t="s">
        <v>921</v>
      </c>
      <c r="E271" s="1594"/>
    </row>
    <row r="272" spans="1:8" x14ac:dyDescent="0.35">
      <c r="A272" s="1595" t="s">
        <v>949</v>
      </c>
      <c r="B272" s="1596" t="s">
        <v>950</v>
      </c>
      <c r="C272" s="1636">
        <f>C266/C271</f>
        <v>0.25741800292054523</v>
      </c>
      <c r="D272" s="1596"/>
      <c r="E272" s="1597" t="s">
        <v>27</v>
      </c>
    </row>
    <row r="273" spans="1:5" x14ac:dyDescent="0.35">
      <c r="C273" s="1628"/>
    </row>
    <row r="274" spans="1:5" ht="13.9" x14ac:dyDescent="0.4">
      <c r="A274" s="1876" t="s">
        <v>675</v>
      </c>
      <c r="B274" s="1612"/>
      <c r="C274" s="1699"/>
      <c r="D274" s="1612"/>
      <c r="E274" s="1599"/>
    </row>
    <row r="275" spans="1:5" ht="13.9" x14ac:dyDescent="0.4">
      <c r="A275" s="1591"/>
      <c r="C275" s="1666" t="s">
        <v>883</v>
      </c>
      <c r="D275" s="1666" t="s">
        <v>286</v>
      </c>
      <c r="E275" s="1601" t="s">
        <v>707</v>
      </c>
    </row>
    <row r="276" spans="1:5" x14ac:dyDescent="0.35">
      <c r="A276" s="1591" t="s">
        <v>951</v>
      </c>
      <c r="B276" s="1592" t="s">
        <v>952</v>
      </c>
      <c r="C276" s="1592">
        <f>402*2</f>
        <v>804</v>
      </c>
      <c r="D276" s="1848" t="s">
        <v>953</v>
      </c>
      <c r="E276" s="1594" t="s">
        <v>954</v>
      </c>
    </row>
    <row r="277" spans="1:5" x14ac:dyDescent="0.35">
      <c r="A277" s="1591" t="s">
        <v>955</v>
      </c>
      <c r="B277" s="1592" t="s">
        <v>734</v>
      </c>
      <c r="C277" s="1592">
        <v>11</v>
      </c>
      <c r="D277" s="1848" t="s">
        <v>953</v>
      </c>
      <c r="E277" s="1594"/>
    </row>
    <row r="278" spans="1:5" x14ac:dyDescent="0.35">
      <c r="A278" s="1591" t="s">
        <v>956</v>
      </c>
      <c r="B278" s="1592" t="s">
        <v>957</v>
      </c>
      <c r="C278" s="1628">
        <f>C276/C277</f>
        <v>73.090909090909093</v>
      </c>
      <c r="D278" s="1848"/>
      <c r="E278" s="1594" t="s">
        <v>958</v>
      </c>
    </row>
    <row r="279" spans="1:5" x14ac:dyDescent="0.35">
      <c r="A279" s="1591" t="s">
        <v>959</v>
      </c>
      <c r="B279" s="1592" t="s">
        <v>960</v>
      </c>
      <c r="C279" s="1592">
        <v>83.6</v>
      </c>
      <c r="D279" s="1848" t="s">
        <v>953</v>
      </c>
      <c r="E279" s="1594"/>
    </row>
    <row r="280" spans="1:5" x14ac:dyDescent="0.35">
      <c r="A280" s="1591" t="s">
        <v>961</v>
      </c>
      <c r="B280" s="1592" t="s">
        <v>962</v>
      </c>
      <c r="C280" s="1840">
        <f>C279*10^6/C278</f>
        <v>1143781.0945273631</v>
      </c>
      <c r="E280" s="1594" t="s">
        <v>910</v>
      </c>
    </row>
    <row r="281" spans="1:5" x14ac:dyDescent="0.35">
      <c r="A281" s="1591" t="s">
        <v>961</v>
      </c>
      <c r="B281" s="1592" t="s">
        <v>963</v>
      </c>
      <c r="C281" s="1840">
        <f>C280/365</f>
        <v>3133.6468343215429</v>
      </c>
      <c r="E281" s="1594" t="s">
        <v>910</v>
      </c>
    </row>
    <row r="282" spans="1:5" x14ac:dyDescent="0.35">
      <c r="A282" s="1591" t="s">
        <v>964</v>
      </c>
      <c r="B282" s="1592" t="s">
        <v>913</v>
      </c>
      <c r="C282" s="1840">
        <f>24+1-5</f>
        <v>20</v>
      </c>
      <c r="E282" s="1594" t="s">
        <v>895</v>
      </c>
    </row>
    <row r="283" spans="1:5" x14ac:dyDescent="0.35">
      <c r="A283" s="1591" t="s">
        <v>961</v>
      </c>
      <c r="B283" s="1592" t="s">
        <v>965</v>
      </c>
      <c r="C283" s="1628">
        <f>C281/C282</f>
        <v>156.68234171607713</v>
      </c>
      <c r="E283" s="1594" t="s">
        <v>915</v>
      </c>
    </row>
    <row r="284" spans="1:5" x14ac:dyDescent="0.35">
      <c r="A284" s="1591" t="s">
        <v>961</v>
      </c>
      <c r="B284" s="1592" t="s">
        <v>966</v>
      </c>
      <c r="C284" s="1628">
        <f>C283/C277</f>
        <v>14.243849246916103</v>
      </c>
      <c r="E284" s="1594" t="s">
        <v>915</v>
      </c>
    </row>
    <row r="285" spans="1:5" x14ac:dyDescent="0.35">
      <c r="A285" s="1591" t="s">
        <v>967</v>
      </c>
      <c r="B285" s="1592" t="s">
        <v>918</v>
      </c>
      <c r="C285" s="1628">
        <f>60/C284</f>
        <v>4.2123444976076563</v>
      </c>
      <c r="E285" s="1594" t="s">
        <v>27</v>
      </c>
    </row>
    <row r="286" spans="1:5" x14ac:dyDescent="0.35">
      <c r="A286" s="1591" t="s">
        <v>926</v>
      </c>
      <c r="B286" s="1592" t="s">
        <v>968</v>
      </c>
      <c r="C286" s="1840">
        <f>C279*10^6/C276/10^3</f>
        <v>103.98009950248756</v>
      </c>
      <c r="E286" s="1594" t="s">
        <v>27</v>
      </c>
    </row>
    <row r="287" spans="1:5" x14ac:dyDescent="0.35">
      <c r="A287" s="1591" t="s">
        <v>969</v>
      </c>
      <c r="B287" s="1592" t="s">
        <v>970</v>
      </c>
      <c r="C287" s="1592">
        <v>823</v>
      </c>
      <c r="D287" s="1848" t="s">
        <v>953</v>
      </c>
      <c r="E287" s="1594" t="s">
        <v>971</v>
      </c>
    </row>
    <row r="288" spans="1:5" x14ac:dyDescent="0.35">
      <c r="A288" s="1591" t="s">
        <v>972</v>
      </c>
      <c r="B288" s="1592" t="s">
        <v>973</v>
      </c>
      <c r="C288" s="1628">
        <f>C287*C279/1000</f>
        <v>68.802799999999991</v>
      </c>
      <c r="D288" s="1848" t="s">
        <v>921</v>
      </c>
      <c r="E288" s="1594" t="s">
        <v>974</v>
      </c>
    </row>
    <row r="289" spans="1:6" x14ac:dyDescent="0.35">
      <c r="A289" s="1591" t="s">
        <v>975</v>
      </c>
      <c r="B289" s="1592" t="s">
        <v>936</v>
      </c>
      <c r="C289" s="1592">
        <v>1.35</v>
      </c>
      <c r="D289" s="1848" t="s">
        <v>953</v>
      </c>
      <c r="E289" s="1594" t="s">
        <v>976</v>
      </c>
    </row>
    <row r="290" spans="1:6" x14ac:dyDescent="0.35">
      <c r="A290" s="1591" t="s">
        <v>977</v>
      </c>
      <c r="B290" s="1592" t="s">
        <v>250</v>
      </c>
      <c r="C290" s="1628">
        <f>C295*C296</f>
        <v>14.355</v>
      </c>
      <c r="D290" s="1848"/>
      <c r="E290" s="1594" t="str">
        <f>"Corresponds to 1/"&amp;ROUND(C278/C290,1)&amp;" of average line length"</f>
        <v>Corresponds to 1/5.1 of average line length</v>
      </c>
    </row>
    <row r="291" spans="1:6" x14ac:dyDescent="0.35">
      <c r="A291" s="1591" t="s">
        <v>978</v>
      </c>
      <c r="B291" s="1592" t="s">
        <v>940</v>
      </c>
      <c r="C291" s="1628">
        <f>C289*C290</f>
        <v>19.379250000000003</v>
      </c>
      <c r="E291" s="1594" t="s">
        <v>27</v>
      </c>
    </row>
    <row r="292" spans="1:6" x14ac:dyDescent="0.35">
      <c r="A292" s="1591" t="s">
        <v>979</v>
      </c>
      <c r="B292" s="1592" t="s">
        <v>943</v>
      </c>
      <c r="C292" s="1629">
        <v>0.48</v>
      </c>
      <c r="E292" s="1594" t="s">
        <v>3438</v>
      </c>
    </row>
    <row r="293" spans="1:6" x14ac:dyDescent="0.35">
      <c r="A293" s="1591" t="s">
        <v>980</v>
      </c>
      <c r="B293" s="1592" t="s">
        <v>981</v>
      </c>
      <c r="C293" s="1840">
        <f>C291*10^9/(C279*10^6)</f>
        <v>231.80921052631584</v>
      </c>
      <c r="E293" s="1594" t="s">
        <v>27</v>
      </c>
    </row>
    <row r="294" spans="1:6" x14ac:dyDescent="0.35">
      <c r="A294" s="1591" t="s">
        <v>946</v>
      </c>
      <c r="B294" s="1592" t="s">
        <v>947</v>
      </c>
      <c r="C294" s="1840">
        <f>C291*10^9/C276/10^3</f>
        <v>24103.544776119408</v>
      </c>
      <c r="E294" s="1594" t="s">
        <v>27</v>
      </c>
    </row>
    <row r="295" spans="1:6" x14ac:dyDescent="0.35">
      <c r="A295" s="1591" t="s">
        <v>982</v>
      </c>
      <c r="B295" s="1592" t="s">
        <v>253</v>
      </c>
      <c r="C295" s="1840">
        <v>33</v>
      </c>
      <c r="D295" s="1848" t="s">
        <v>953</v>
      </c>
      <c r="E295" s="1594"/>
    </row>
    <row r="296" spans="1:6" x14ac:dyDescent="0.35">
      <c r="A296" s="1595" t="s">
        <v>983</v>
      </c>
      <c r="B296" s="1596" t="s">
        <v>950</v>
      </c>
      <c r="C296" s="1596">
        <f>26.1/60</f>
        <v>0.435</v>
      </c>
      <c r="D296" s="1850" t="s">
        <v>921</v>
      </c>
      <c r="E296" s="1597" t="s">
        <v>984</v>
      </c>
    </row>
    <row r="298" spans="1:6" ht="13.9" x14ac:dyDescent="0.4">
      <c r="A298" s="1876" t="s">
        <v>985</v>
      </c>
      <c r="B298" s="1612"/>
      <c r="C298" s="1612"/>
      <c r="D298" s="1612"/>
      <c r="E298" s="1599"/>
    </row>
    <row r="299" spans="1:6" x14ac:dyDescent="0.35">
      <c r="A299" s="1591" t="s">
        <v>342</v>
      </c>
      <c r="E299" s="1594"/>
    </row>
    <row r="300" spans="1:6" x14ac:dyDescent="0.35">
      <c r="A300" s="1591" t="s">
        <v>986</v>
      </c>
      <c r="B300" s="1592" t="s">
        <v>260</v>
      </c>
      <c r="C300" s="1592">
        <v>140</v>
      </c>
      <c r="D300" s="1848" t="s">
        <v>921</v>
      </c>
      <c r="E300" s="1594" t="s">
        <v>987</v>
      </c>
    </row>
    <row r="301" spans="1:6" x14ac:dyDescent="0.35">
      <c r="A301" s="1591" t="s">
        <v>988</v>
      </c>
      <c r="B301" s="1592" t="s">
        <v>898</v>
      </c>
      <c r="C301" s="1592">
        <f>C300*2</f>
        <v>280</v>
      </c>
      <c r="E301" s="1594" t="s">
        <v>989</v>
      </c>
    </row>
    <row r="302" spans="1:6" x14ac:dyDescent="0.35">
      <c r="A302" s="1591" t="s">
        <v>990</v>
      </c>
      <c r="B302" s="1592" t="s">
        <v>991</v>
      </c>
      <c r="C302" s="1628">
        <f>0.4*C38</f>
        <v>0.64373600000000009</v>
      </c>
      <c r="D302" s="1848" t="s">
        <v>906</v>
      </c>
      <c r="E302" s="1594"/>
    </row>
    <row r="303" spans="1:6" x14ac:dyDescent="0.35">
      <c r="A303" s="1591" t="s">
        <v>992</v>
      </c>
      <c r="B303" s="1592" t="s">
        <v>132</v>
      </c>
      <c r="C303" s="1629">
        <v>0.2</v>
      </c>
      <c r="D303" s="1848"/>
      <c r="E303" s="1594" t="s">
        <v>895</v>
      </c>
    </row>
    <row r="304" spans="1:6" x14ac:dyDescent="0.35">
      <c r="A304" s="1595" t="s">
        <v>926</v>
      </c>
      <c r="B304" s="1596" t="s">
        <v>993</v>
      </c>
      <c r="C304" s="1636">
        <f>C302*C303*10^9/C301/10^3</f>
        <v>459.81142857142868</v>
      </c>
      <c r="D304" s="1596"/>
      <c r="E304" s="1597" t="s">
        <v>27</v>
      </c>
      <c r="F304" s="1592" t="s">
        <v>994</v>
      </c>
    </row>
    <row r="305" spans="1:6" x14ac:dyDescent="0.35">
      <c r="B305" s="1592" t="s">
        <v>342</v>
      </c>
    </row>
    <row r="306" spans="1:6" ht="13.9" x14ac:dyDescent="0.4">
      <c r="A306" s="1876" t="s">
        <v>995</v>
      </c>
      <c r="B306" s="1612"/>
      <c r="C306" s="1612"/>
      <c r="D306" s="1612"/>
      <c r="E306" s="1599"/>
    </row>
    <row r="307" spans="1:6" x14ac:dyDescent="0.35">
      <c r="A307" s="1591"/>
      <c r="E307" s="1594"/>
    </row>
    <row r="308" spans="1:6" x14ac:dyDescent="0.35">
      <c r="A308" s="1591" t="s">
        <v>996</v>
      </c>
      <c r="B308" s="1592" t="s">
        <v>898</v>
      </c>
      <c r="C308" s="1900">
        <f>C309*2*2+C310*2*2+C311*1.5</f>
        <v>26974.147739999997</v>
      </c>
      <c r="E308" s="1594" t="s">
        <v>997</v>
      </c>
    </row>
    <row r="309" spans="1:6" x14ac:dyDescent="0.35">
      <c r="A309" s="1591" t="s">
        <v>998</v>
      </c>
      <c r="B309" s="1592" t="s">
        <v>260</v>
      </c>
      <c r="C309" s="1840">
        <f>38*C38</f>
        <v>61.154919999999997</v>
      </c>
      <c r="D309" s="1848" t="s">
        <v>999</v>
      </c>
      <c r="E309" s="1594" t="s">
        <v>1000</v>
      </c>
    </row>
    <row r="310" spans="1:6" x14ac:dyDescent="0.35">
      <c r="A310" s="1591" t="s">
        <v>1001</v>
      </c>
      <c r="B310" s="1592" t="s">
        <v>260</v>
      </c>
      <c r="C310" s="1840">
        <f>1123*C38</f>
        <v>1807.28882</v>
      </c>
      <c r="D310" s="1848" t="s">
        <v>999</v>
      </c>
      <c r="E310" s="1594" t="s">
        <v>1000</v>
      </c>
    </row>
    <row r="311" spans="1:6" x14ac:dyDescent="0.35">
      <c r="A311" s="1591" t="s">
        <v>1002</v>
      </c>
      <c r="B311" s="1592" t="s">
        <v>260</v>
      </c>
      <c r="C311" s="1840">
        <f>8078*C38</f>
        <v>13000.248519999999</v>
      </c>
      <c r="D311" s="1848" t="s">
        <v>999</v>
      </c>
      <c r="E311" s="1594" t="s">
        <v>1000</v>
      </c>
    </row>
    <row r="312" spans="1:6" x14ac:dyDescent="0.35">
      <c r="A312" s="1591"/>
      <c r="E312" s="1594"/>
    </row>
    <row r="313" spans="1:6" x14ac:dyDescent="0.35">
      <c r="A313" s="1591" t="s">
        <v>1003</v>
      </c>
      <c r="B313" s="1592" t="s">
        <v>991</v>
      </c>
      <c r="C313" s="1628">
        <f>14*C38</f>
        <v>22.530760000000001</v>
      </c>
      <c r="D313" s="1848" t="s">
        <v>906</v>
      </c>
      <c r="E313" s="1594" t="s">
        <v>1000</v>
      </c>
    </row>
    <row r="314" spans="1:6" x14ac:dyDescent="0.35">
      <c r="A314" s="1591" t="s">
        <v>1004</v>
      </c>
      <c r="B314" s="1592" t="s">
        <v>991</v>
      </c>
      <c r="C314" s="1628">
        <f>3*$C$38</f>
        <v>4.8280200000000004</v>
      </c>
      <c r="D314" s="1848" t="s">
        <v>906</v>
      </c>
      <c r="E314" s="1594"/>
    </row>
    <row r="315" spans="1:6" x14ac:dyDescent="0.35">
      <c r="A315" s="1591" t="s">
        <v>1005</v>
      </c>
      <c r="B315" s="1592" t="s">
        <v>991</v>
      </c>
      <c r="C315" s="1628">
        <f>0.6*$C$38</f>
        <v>0.96560399999999991</v>
      </c>
      <c r="D315" s="1848" t="s">
        <v>906</v>
      </c>
      <c r="E315" s="1594"/>
    </row>
    <row r="316" spans="1:6" x14ac:dyDescent="0.35">
      <c r="A316" s="1591" t="s">
        <v>1006</v>
      </c>
      <c r="B316" s="1592" t="s">
        <v>991</v>
      </c>
      <c r="C316" s="1628">
        <f>0.3*$C$38</f>
        <v>0.48280199999999995</v>
      </c>
      <c r="D316" s="1848" t="s">
        <v>906</v>
      </c>
      <c r="E316" s="1594"/>
    </row>
    <row r="317" spans="1:6" x14ac:dyDescent="0.35">
      <c r="A317" s="1591" t="s">
        <v>1007</v>
      </c>
      <c r="B317" s="1592" t="s">
        <v>991</v>
      </c>
      <c r="C317" s="1628">
        <f>0.4*$C$38</f>
        <v>0.64373600000000009</v>
      </c>
      <c r="D317" s="1848" t="s">
        <v>906</v>
      </c>
      <c r="E317" s="1594"/>
    </row>
    <row r="318" spans="1:6" x14ac:dyDescent="0.35">
      <c r="A318" s="1595" t="s">
        <v>1008</v>
      </c>
      <c r="B318" s="1596" t="s">
        <v>991</v>
      </c>
      <c r="C318" s="1636">
        <f>C302</f>
        <v>0.64373600000000009</v>
      </c>
      <c r="D318" s="1850" t="s">
        <v>906</v>
      </c>
      <c r="E318" s="1597"/>
    </row>
    <row r="320" spans="1:6" x14ac:dyDescent="0.35">
      <c r="A320" s="1592" t="s">
        <v>1009</v>
      </c>
      <c r="B320" s="1592" t="s">
        <v>1010</v>
      </c>
      <c r="C320" s="1840">
        <f>SUM(C313:C318)*10^9/C308/10^3</f>
        <v>1115.6852216454868</v>
      </c>
      <c r="E320" s="1592" t="s">
        <v>27</v>
      </c>
      <c r="F320" s="1592" t="s">
        <v>1011</v>
      </c>
    </row>
    <row r="321" spans="1:7" x14ac:dyDescent="0.35">
      <c r="C321" s="1840"/>
    </row>
    <row r="322" spans="1:7" ht="13.9" x14ac:dyDescent="0.4">
      <c r="A322" s="1876" t="s">
        <v>1012</v>
      </c>
      <c r="B322" s="1612"/>
      <c r="C322" s="1612"/>
      <c r="D322" s="1612"/>
      <c r="E322" s="1612"/>
      <c r="F322" s="1599"/>
    </row>
    <row r="323" spans="1:7" x14ac:dyDescent="0.35">
      <c r="A323" s="1591"/>
      <c r="F323" s="1594"/>
    </row>
    <row r="324" spans="1:7" ht="13.9" x14ac:dyDescent="0.4">
      <c r="A324" s="1901" t="s">
        <v>996</v>
      </c>
      <c r="F324" s="1594"/>
    </row>
    <row r="325" spans="1:7" x14ac:dyDescent="0.35">
      <c r="A325" s="1591" t="s">
        <v>342</v>
      </c>
      <c r="D325" s="1592" t="s">
        <v>1013</v>
      </c>
      <c r="E325" s="1592" t="s">
        <v>668</v>
      </c>
      <c r="F325" s="1594"/>
    </row>
    <row r="326" spans="1:7" x14ac:dyDescent="0.35">
      <c r="A326" s="1591" t="s">
        <v>127</v>
      </c>
      <c r="B326" s="1592" t="s">
        <v>260</v>
      </c>
      <c r="C326" s="1840">
        <f>C327+C328+C329</f>
        <v>396863.24399999995</v>
      </c>
      <c r="D326" s="1840">
        <f>D327+D328+D329</f>
        <v>248377.4889</v>
      </c>
      <c r="E326" s="1840">
        <f>E327+E328+E329</f>
        <v>148485.75509999995</v>
      </c>
      <c r="F326" s="1594"/>
    </row>
    <row r="327" spans="1:7" x14ac:dyDescent="0.35">
      <c r="A327" s="1591" t="s">
        <v>998</v>
      </c>
      <c r="B327" s="1592" t="s">
        <v>260</v>
      </c>
      <c r="C327" s="1840">
        <f>2300*C38</f>
        <v>3701.482</v>
      </c>
      <c r="D327" s="1592">
        <f>0.76*C327</f>
        <v>2813.1263199999999</v>
      </c>
      <c r="E327" s="1840">
        <f>C327-D327</f>
        <v>888.35568000000012</v>
      </c>
      <c r="F327" s="1897" t="s">
        <v>999</v>
      </c>
    </row>
    <row r="328" spans="1:7" x14ac:dyDescent="0.35">
      <c r="A328" s="1591" t="s">
        <v>1001</v>
      </c>
      <c r="B328" s="1592" t="s">
        <v>260</v>
      </c>
      <c r="C328" s="1840">
        <f>29400*C38</f>
        <v>47314.595999999998</v>
      </c>
      <c r="D328" s="1592">
        <f>0.81*C328</f>
        <v>38324.822760000003</v>
      </c>
      <c r="E328" s="1840">
        <f>C328-D328</f>
        <v>8989.773239999995</v>
      </c>
      <c r="F328" s="1897" t="s">
        <v>999</v>
      </c>
    </row>
    <row r="329" spans="1:7" x14ac:dyDescent="0.35">
      <c r="A329" s="1591" t="s">
        <v>1002</v>
      </c>
      <c r="B329" s="1592" t="s">
        <v>260</v>
      </c>
      <c r="C329" s="1840">
        <f>(18.8+53.4+142.7)*1000*C38</f>
        <v>345847.16599999997</v>
      </c>
      <c r="D329" s="1592">
        <f>(18.8*0.81+53.4*0.71+142.7*0.53)*1000*C38</f>
        <v>207239.53982000001</v>
      </c>
      <c r="E329" s="1840">
        <f>C329-D329</f>
        <v>138607.62617999996</v>
      </c>
      <c r="F329" s="1897" t="s">
        <v>999</v>
      </c>
    </row>
    <row r="330" spans="1:7" x14ac:dyDescent="0.35">
      <c r="A330" s="1591"/>
      <c r="C330" s="1840"/>
      <c r="E330" s="1840"/>
      <c r="F330" s="1897"/>
    </row>
    <row r="331" spans="1:7" x14ac:dyDescent="0.35">
      <c r="A331" s="1591" t="s">
        <v>127</v>
      </c>
      <c r="B331" s="1592" t="s">
        <v>898</v>
      </c>
      <c r="C331" s="1900">
        <f>C332+C333+C334</f>
        <v>722835.06099999999</v>
      </c>
      <c r="D331" s="1900">
        <f>D332+D333+D334</f>
        <v>475411.10605</v>
      </c>
      <c r="E331" s="1900">
        <f>E332+E333+E334</f>
        <v>247423.95494999996</v>
      </c>
      <c r="F331" s="1897"/>
      <c r="G331" s="1592" t="s">
        <v>1014</v>
      </c>
    </row>
    <row r="332" spans="1:7" x14ac:dyDescent="0.35">
      <c r="A332" s="1591" t="s">
        <v>998</v>
      </c>
      <c r="B332" s="1592" t="s">
        <v>898</v>
      </c>
      <c r="C332" s="1840">
        <f>C327*2*2</f>
        <v>14805.928</v>
      </c>
      <c r="D332" s="1840">
        <f>D327*2*2</f>
        <v>11252.505279999999</v>
      </c>
      <c r="E332" s="1840">
        <f>C332-D332</f>
        <v>3553.4227200000005</v>
      </c>
      <c r="F332" s="1897" t="s">
        <v>999</v>
      </c>
    </row>
    <row r="333" spans="1:7" x14ac:dyDescent="0.35">
      <c r="A333" s="1591" t="s">
        <v>1001</v>
      </c>
      <c r="B333" s="1592" t="s">
        <v>898</v>
      </c>
      <c r="C333" s="1840">
        <f>C328*2*2</f>
        <v>189258.38399999999</v>
      </c>
      <c r="D333" s="1840">
        <f>D328*2*2</f>
        <v>153299.29104000001</v>
      </c>
      <c r="E333" s="1840">
        <f>C333-D333</f>
        <v>35959.09295999998</v>
      </c>
      <c r="F333" s="1897" t="s">
        <v>999</v>
      </c>
    </row>
    <row r="334" spans="1:7" x14ac:dyDescent="0.35">
      <c r="A334" s="1591" t="s">
        <v>1002</v>
      </c>
      <c r="B334" s="1592" t="s">
        <v>898</v>
      </c>
      <c r="C334" s="1840">
        <f>C329*1.5</f>
        <v>518770.74899999995</v>
      </c>
      <c r="D334" s="1840">
        <f>D329*1.5</f>
        <v>310859.30972999998</v>
      </c>
      <c r="E334" s="1840">
        <f>C334-D334</f>
        <v>207911.43926999997</v>
      </c>
      <c r="F334" s="1897" t="s">
        <v>999</v>
      </c>
    </row>
    <row r="335" spans="1:7" x14ac:dyDescent="0.35">
      <c r="A335" s="1591"/>
      <c r="C335" s="1840"/>
      <c r="F335" s="1897"/>
    </row>
    <row r="336" spans="1:7" ht="13.9" x14ac:dyDescent="0.4">
      <c r="A336" s="1901" t="s">
        <v>1015</v>
      </c>
      <c r="C336" s="1840"/>
      <c r="F336" s="1897"/>
    </row>
    <row r="337" spans="1:7" x14ac:dyDescent="0.35">
      <c r="A337" s="1591"/>
      <c r="C337" s="1840"/>
      <c r="F337" s="1897"/>
    </row>
    <row r="338" spans="1:7" x14ac:dyDescent="0.35">
      <c r="A338" s="1591" t="s">
        <v>127</v>
      </c>
      <c r="B338" s="1592" t="s">
        <v>991</v>
      </c>
      <c r="C338" s="1840">
        <f>C339+C340+C341</f>
        <v>573.72970999999995</v>
      </c>
      <c r="F338" s="1897"/>
    </row>
    <row r="339" spans="1:7" x14ac:dyDescent="0.35">
      <c r="A339" s="1591" t="s">
        <v>998</v>
      </c>
      <c r="B339" s="1592" t="s">
        <v>991</v>
      </c>
      <c r="C339" s="1840">
        <f>C38*70.5</f>
        <v>113.45847000000001</v>
      </c>
      <c r="F339" s="1897" t="s">
        <v>1016</v>
      </c>
    </row>
    <row r="340" spans="1:7" x14ac:dyDescent="0.35">
      <c r="A340" s="1591" t="s">
        <v>1001</v>
      </c>
      <c r="B340" s="1592" t="s">
        <v>991</v>
      </c>
      <c r="C340" s="1840">
        <f>C38*135.8</f>
        <v>218.54837200000003</v>
      </c>
      <c r="F340" s="1897" t="s">
        <v>1016</v>
      </c>
    </row>
    <row r="341" spans="1:7" x14ac:dyDescent="0.35">
      <c r="A341" s="1591" t="s">
        <v>1002</v>
      </c>
      <c r="B341" s="1592" t="s">
        <v>991</v>
      </c>
      <c r="C341" s="1840">
        <f>C38*150.2</f>
        <v>241.72286799999998</v>
      </c>
      <c r="F341" s="1897" t="s">
        <v>1016</v>
      </c>
    </row>
    <row r="342" spans="1:7" x14ac:dyDescent="0.35">
      <c r="A342" s="1591"/>
      <c r="F342" s="1594"/>
    </row>
    <row r="343" spans="1:7" x14ac:dyDescent="0.35">
      <c r="A343" s="1591" t="s">
        <v>1017</v>
      </c>
      <c r="B343" s="1592" t="s">
        <v>991</v>
      </c>
      <c r="C343" s="1840">
        <f>SUM(C344:C348)</f>
        <v>573.89064400000007</v>
      </c>
      <c r="F343" s="1897"/>
    </row>
    <row r="344" spans="1:7" x14ac:dyDescent="0.35">
      <c r="A344" s="1591" t="s">
        <v>1003</v>
      </c>
      <c r="B344" s="1592" t="s">
        <v>991</v>
      </c>
      <c r="C344" s="1628">
        <f>C38*278.2</f>
        <v>447.718388</v>
      </c>
      <c r="F344" s="1897" t="s">
        <v>1016</v>
      </c>
    </row>
    <row r="345" spans="1:7" x14ac:dyDescent="0.35">
      <c r="A345" s="1591" t="s">
        <v>1004</v>
      </c>
      <c r="B345" s="1592" t="s">
        <v>991</v>
      </c>
      <c r="C345" s="1628">
        <f>C38*55.5</f>
        <v>89.318370000000002</v>
      </c>
      <c r="F345" s="1897" t="s">
        <v>1016</v>
      </c>
    </row>
    <row r="346" spans="1:7" x14ac:dyDescent="0.35">
      <c r="A346" s="1591" t="s">
        <v>1005</v>
      </c>
      <c r="B346" s="1592" t="s">
        <v>991</v>
      </c>
      <c r="C346" s="1628">
        <f>C38*17.4</f>
        <v>28.002515999999996</v>
      </c>
      <c r="F346" s="1897" t="s">
        <v>1016</v>
      </c>
    </row>
    <row r="347" spans="1:7" x14ac:dyDescent="0.35">
      <c r="A347" s="1591" t="s">
        <v>1006</v>
      </c>
      <c r="B347" s="1592" t="s">
        <v>991</v>
      </c>
      <c r="C347" s="1628">
        <f>C38*2.5</f>
        <v>4.0233499999999998</v>
      </c>
      <c r="F347" s="1897" t="s">
        <v>1016</v>
      </c>
    </row>
    <row r="348" spans="1:7" x14ac:dyDescent="0.35">
      <c r="A348" s="1591" t="s">
        <v>1007</v>
      </c>
      <c r="B348" s="1592" t="s">
        <v>991</v>
      </c>
      <c r="C348" s="1628">
        <f>C38*3</f>
        <v>4.8280200000000004</v>
      </c>
      <c r="F348" s="1897" t="s">
        <v>1016</v>
      </c>
    </row>
    <row r="349" spans="1:7" x14ac:dyDescent="0.35">
      <c r="A349" s="1591" t="s">
        <v>1008</v>
      </c>
      <c r="B349" s="1592" t="s">
        <v>991</v>
      </c>
      <c r="C349" s="1628">
        <f>C38*3.5</f>
        <v>5.6326900000000002</v>
      </c>
      <c r="F349" s="1897" t="s">
        <v>1016</v>
      </c>
    </row>
    <row r="350" spans="1:7" x14ac:dyDescent="0.35">
      <c r="A350" s="1591"/>
      <c r="F350" s="1594"/>
    </row>
    <row r="351" spans="1:7" x14ac:dyDescent="0.35">
      <c r="A351" s="1591" t="s">
        <v>1018</v>
      </c>
      <c r="B351" s="1592" t="s">
        <v>1010</v>
      </c>
      <c r="C351" s="1840">
        <f>SUM(C344:C349)*10^9/C331/10^3</f>
        <v>801.73661360347342</v>
      </c>
      <c r="F351" s="1594" t="s">
        <v>27</v>
      </c>
      <c r="G351" s="1592" t="s">
        <v>1011</v>
      </c>
    </row>
    <row r="352" spans="1:7" x14ac:dyDescent="0.35">
      <c r="A352" s="1591"/>
      <c r="F352" s="1594"/>
    </row>
    <row r="353" spans="1:7" x14ac:dyDescent="0.35">
      <c r="A353" s="1595" t="s">
        <v>1019</v>
      </c>
      <c r="B353" s="1596" t="s">
        <v>1010</v>
      </c>
      <c r="C353" s="1893">
        <f>(C331*C351-E331*C320)/D331</f>
        <v>638.34454037615444</v>
      </c>
      <c r="D353" s="1596"/>
      <c r="E353" s="1596"/>
      <c r="F353" s="1597" t="s">
        <v>27</v>
      </c>
      <c r="G353" s="1592" t="s">
        <v>1020</v>
      </c>
    </row>
    <row r="359" spans="1:7" ht="15" x14ac:dyDescent="0.35">
      <c r="A359" s="1902">
        <v>0</v>
      </c>
    </row>
    <row r="360" spans="1:7" ht="15" x14ac:dyDescent="0.35">
      <c r="A360" s="1902">
        <v>0.01</v>
      </c>
    </row>
    <row r="361" spans="1:7" ht="15" x14ac:dyDescent="0.35">
      <c r="A361" s="1902">
        <v>0.02</v>
      </c>
    </row>
    <row r="362" spans="1:7" ht="15" x14ac:dyDescent="0.35">
      <c r="A362" s="1902">
        <v>0.03</v>
      </c>
    </row>
    <row r="363" spans="1:7" ht="15" x14ac:dyDescent="0.35">
      <c r="A363" s="1902">
        <v>0.04</v>
      </c>
    </row>
    <row r="364" spans="1:7" ht="15" x14ac:dyDescent="0.35">
      <c r="A364" s="1902">
        <v>0.05</v>
      </c>
    </row>
    <row r="365" spans="1:7" ht="15" x14ac:dyDescent="0.35">
      <c r="A365" s="1902">
        <v>0.06</v>
      </c>
    </row>
    <row r="366" spans="1:7" ht="15" x14ac:dyDescent="0.35">
      <c r="A366" s="1902">
        <v>7.0000000000000007E-2</v>
      </c>
    </row>
    <row r="367" spans="1:7" ht="15" x14ac:dyDescent="0.35">
      <c r="A367" s="1902">
        <v>0.08</v>
      </c>
    </row>
    <row r="368" spans="1:7" ht="15" x14ac:dyDescent="0.35">
      <c r="A368" s="1902">
        <v>0.09</v>
      </c>
    </row>
    <row r="369" spans="1:1" ht="15" x14ac:dyDescent="0.35">
      <c r="A369" s="1902">
        <v>0.1</v>
      </c>
    </row>
    <row r="370" spans="1:1" ht="15" x14ac:dyDescent="0.35">
      <c r="A370" s="1902">
        <v>0.11</v>
      </c>
    </row>
    <row r="371" spans="1:1" ht="15" x14ac:dyDescent="0.35">
      <c r="A371" s="1902">
        <v>0.12</v>
      </c>
    </row>
    <row r="372" spans="1:1" ht="15" x14ac:dyDescent="0.35">
      <c r="A372" s="1902">
        <v>0.13</v>
      </c>
    </row>
    <row r="373" spans="1:1" ht="15" x14ac:dyDescent="0.35">
      <c r="A373" s="1902">
        <v>0.14000000000000001</v>
      </c>
    </row>
    <row r="374" spans="1:1" ht="15" x14ac:dyDescent="0.35">
      <c r="A374" s="1902">
        <v>0.15</v>
      </c>
    </row>
    <row r="375" spans="1:1" ht="15" x14ac:dyDescent="0.35">
      <c r="A375" s="1902">
        <v>0.16</v>
      </c>
    </row>
    <row r="376" spans="1:1" ht="15" x14ac:dyDescent="0.35">
      <c r="A376" s="1902">
        <v>0.17</v>
      </c>
    </row>
    <row r="377" spans="1:1" ht="15" x14ac:dyDescent="0.35">
      <c r="A377" s="1902">
        <v>0.18</v>
      </c>
    </row>
    <row r="378" spans="1:1" ht="15" x14ac:dyDescent="0.35">
      <c r="A378" s="1902">
        <v>0.19</v>
      </c>
    </row>
    <row r="379" spans="1:1" ht="15" x14ac:dyDescent="0.35">
      <c r="A379" s="1902">
        <v>0.2</v>
      </c>
    </row>
    <row r="380" spans="1:1" ht="15" x14ac:dyDescent="0.35">
      <c r="A380" s="1902">
        <v>0.21</v>
      </c>
    </row>
    <row r="381" spans="1:1" ht="15" x14ac:dyDescent="0.35">
      <c r="A381" s="1902">
        <v>0.22</v>
      </c>
    </row>
    <row r="382" spans="1:1" ht="15" x14ac:dyDescent="0.35">
      <c r="A382" s="1902">
        <v>0.23</v>
      </c>
    </row>
    <row r="383" spans="1:1" ht="15" x14ac:dyDescent="0.35">
      <c r="A383" s="1902">
        <v>0.24</v>
      </c>
    </row>
    <row r="384" spans="1:1" ht="15" x14ac:dyDescent="0.35">
      <c r="A384" s="1902">
        <v>0.25</v>
      </c>
    </row>
    <row r="385" spans="1:1" ht="15" x14ac:dyDescent="0.35">
      <c r="A385" s="1902">
        <v>0.26</v>
      </c>
    </row>
    <row r="386" spans="1:1" ht="15" x14ac:dyDescent="0.35">
      <c r="A386" s="1902">
        <v>0.27</v>
      </c>
    </row>
    <row r="387" spans="1:1" ht="15" x14ac:dyDescent="0.35">
      <c r="A387" s="1902">
        <v>0.28000000000000003</v>
      </c>
    </row>
    <row r="388" spans="1:1" ht="15" x14ac:dyDescent="0.35">
      <c r="A388" s="1902">
        <v>0.28999999999999998</v>
      </c>
    </row>
    <row r="389" spans="1:1" ht="15" x14ac:dyDescent="0.35">
      <c r="A389" s="1902">
        <v>0.3</v>
      </c>
    </row>
    <row r="390" spans="1:1" ht="15" x14ac:dyDescent="0.35">
      <c r="A390" s="1902">
        <v>0.31</v>
      </c>
    </row>
    <row r="391" spans="1:1" ht="15" x14ac:dyDescent="0.35">
      <c r="A391" s="1902">
        <v>0.32</v>
      </c>
    </row>
    <row r="392" spans="1:1" ht="15" x14ac:dyDescent="0.35">
      <c r="A392" s="1902">
        <v>0.33</v>
      </c>
    </row>
    <row r="393" spans="1:1" ht="15" x14ac:dyDescent="0.35">
      <c r="A393" s="1902">
        <v>0.34</v>
      </c>
    </row>
    <row r="394" spans="1:1" ht="15" x14ac:dyDescent="0.35">
      <c r="A394" s="1902">
        <v>0.35</v>
      </c>
    </row>
    <row r="395" spans="1:1" ht="15" x14ac:dyDescent="0.35">
      <c r="A395" s="1902">
        <v>0.37</v>
      </c>
    </row>
    <row r="396" spans="1:1" ht="15" x14ac:dyDescent="0.35">
      <c r="A396" s="1902">
        <v>0.38</v>
      </c>
    </row>
    <row r="397" spans="1:1" ht="15" x14ac:dyDescent="0.35">
      <c r="A397" s="1902">
        <v>0.39</v>
      </c>
    </row>
    <row r="398" spans="1:1" ht="15" x14ac:dyDescent="0.35">
      <c r="A398" s="1902">
        <v>0.4</v>
      </c>
    </row>
    <row r="399" spans="1:1" ht="15" x14ac:dyDescent="0.35">
      <c r="A399" s="1902">
        <v>0.41</v>
      </c>
    </row>
    <row r="400" spans="1:1" ht="15" x14ac:dyDescent="0.35">
      <c r="A400" s="1902">
        <v>0.42</v>
      </c>
    </row>
    <row r="401" spans="1:1" ht="15" x14ac:dyDescent="0.35">
      <c r="A401" s="1902">
        <v>0.43</v>
      </c>
    </row>
    <row r="402" spans="1:1" ht="15" x14ac:dyDescent="0.35">
      <c r="A402" s="1902">
        <v>0.44</v>
      </c>
    </row>
    <row r="403" spans="1:1" ht="15" x14ac:dyDescent="0.35">
      <c r="A403" s="1902">
        <v>0.45</v>
      </c>
    </row>
    <row r="404" spans="1:1" ht="15" x14ac:dyDescent="0.35">
      <c r="A404" s="1902">
        <v>0.46</v>
      </c>
    </row>
    <row r="405" spans="1:1" ht="15" x14ac:dyDescent="0.35">
      <c r="A405" s="1902">
        <v>0.47</v>
      </c>
    </row>
    <row r="406" spans="1:1" ht="15" x14ac:dyDescent="0.35">
      <c r="A406" s="1902">
        <v>0.48</v>
      </c>
    </row>
    <row r="407" spans="1:1" ht="15" x14ac:dyDescent="0.35">
      <c r="A407" s="1902">
        <v>0.49</v>
      </c>
    </row>
    <row r="408" spans="1:1" ht="15" x14ac:dyDescent="0.35">
      <c r="A408" s="1902">
        <v>0.5</v>
      </c>
    </row>
    <row r="409" spans="1:1" ht="15" x14ac:dyDescent="0.35">
      <c r="A409" s="1902">
        <v>0.51</v>
      </c>
    </row>
    <row r="410" spans="1:1" ht="15" x14ac:dyDescent="0.35">
      <c r="A410" s="1902">
        <v>0.52</v>
      </c>
    </row>
    <row r="411" spans="1:1" ht="15" x14ac:dyDescent="0.35">
      <c r="A411" s="1902">
        <v>0.53</v>
      </c>
    </row>
    <row r="412" spans="1:1" ht="15" x14ac:dyDescent="0.35">
      <c r="A412" s="1902">
        <v>0.54</v>
      </c>
    </row>
    <row r="413" spans="1:1" ht="15" x14ac:dyDescent="0.35">
      <c r="A413" s="1902">
        <v>0.55000000000000004</v>
      </c>
    </row>
    <row r="414" spans="1:1" ht="15" x14ac:dyDescent="0.35">
      <c r="A414" s="1902">
        <v>0.56000000000000005</v>
      </c>
    </row>
    <row r="415" spans="1:1" ht="15" x14ac:dyDescent="0.35">
      <c r="A415" s="1902">
        <v>0.56999999999999995</v>
      </c>
    </row>
    <row r="416" spans="1:1" ht="15" x14ac:dyDescent="0.35">
      <c r="A416" s="1902">
        <v>0.57999999999999996</v>
      </c>
    </row>
    <row r="417" spans="1:1" ht="15" x14ac:dyDescent="0.35">
      <c r="A417" s="1902">
        <v>0.59</v>
      </c>
    </row>
    <row r="418" spans="1:1" ht="15" x14ac:dyDescent="0.35">
      <c r="A418" s="1902">
        <v>0.6</v>
      </c>
    </row>
    <row r="419" spans="1:1" ht="15" x14ac:dyDescent="0.35">
      <c r="A419" s="1902">
        <v>0.61</v>
      </c>
    </row>
    <row r="420" spans="1:1" ht="15" x14ac:dyDescent="0.35">
      <c r="A420" s="1902">
        <v>0.62</v>
      </c>
    </row>
    <row r="421" spans="1:1" ht="15" x14ac:dyDescent="0.35">
      <c r="A421" s="1902">
        <v>0.63</v>
      </c>
    </row>
    <row r="422" spans="1:1" ht="15" x14ac:dyDescent="0.35">
      <c r="A422" s="1902">
        <v>0.64</v>
      </c>
    </row>
    <row r="423" spans="1:1" ht="15" x14ac:dyDescent="0.35">
      <c r="A423" s="1902">
        <v>0.65</v>
      </c>
    </row>
    <row r="424" spans="1:1" ht="15" x14ac:dyDescent="0.35">
      <c r="A424" s="1902">
        <v>0.66</v>
      </c>
    </row>
    <row r="425" spans="1:1" ht="15" x14ac:dyDescent="0.35">
      <c r="A425" s="1902">
        <v>0.67</v>
      </c>
    </row>
    <row r="426" spans="1:1" ht="15" x14ac:dyDescent="0.35">
      <c r="A426" s="1902">
        <v>0.68</v>
      </c>
    </row>
    <row r="427" spans="1:1" ht="15" x14ac:dyDescent="0.35">
      <c r="A427" s="1902">
        <v>0.69</v>
      </c>
    </row>
    <row r="428" spans="1:1" ht="15" x14ac:dyDescent="0.35">
      <c r="A428" s="1902">
        <v>0.7</v>
      </c>
    </row>
    <row r="429" spans="1:1" ht="15" x14ac:dyDescent="0.35">
      <c r="A429" s="1902">
        <v>0.71</v>
      </c>
    </row>
    <row r="430" spans="1:1" ht="15" x14ac:dyDescent="0.35">
      <c r="A430" s="1902">
        <v>0.72</v>
      </c>
    </row>
    <row r="431" spans="1:1" ht="15" x14ac:dyDescent="0.35">
      <c r="A431" s="1902">
        <v>0.73</v>
      </c>
    </row>
    <row r="432" spans="1:1" ht="15" x14ac:dyDescent="0.35">
      <c r="A432" s="1902">
        <v>0.74</v>
      </c>
    </row>
    <row r="433" spans="1:1" ht="15" x14ac:dyDescent="0.35">
      <c r="A433" s="1902">
        <v>0.75</v>
      </c>
    </row>
    <row r="434" spans="1:1" ht="15" x14ac:dyDescent="0.35">
      <c r="A434" s="1902">
        <v>0.76</v>
      </c>
    </row>
    <row r="435" spans="1:1" ht="15" x14ac:dyDescent="0.35">
      <c r="A435" s="1902">
        <v>0.77</v>
      </c>
    </row>
    <row r="436" spans="1:1" ht="15" x14ac:dyDescent="0.35">
      <c r="A436" s="1902">
        <v>0.78</v>
      </c>
    </row>
    <row r="437" spans="1:1" ht="15" x14ac:dyDescent="0.35">
      <c r="A437" s="1902">
        <v>0.79</v>
      </c>
    </row>
    <row r="438" spans="1:1" ht="15" x14ac:dyDescent="0.35">
      <c r="A438" s="1902">
        <v>0.8</v>
      </c>
    </row>
    <row r="439" spans="1:1" ht="15" x14ac:dyDescent="0.35">
      <c r="A439" s="1902">
        <v>0.8</v>
      </c>
    </row>
    <row r="440" spans="1:1" ht="15" x14ac:dyDescent="0.35">
      <c r="A440" s="1902">
        <v>0.82</v>
      </c>
    </row>
    <row r="441" spans="1:1" ht="15" x14ac:dyDescent="0.35">
      <c r="A441" s="1902">
        <v>0.83</v>
      </c>
    </row>
    <row r="442" spans="1:1" ht="15" x14ac:dyDescent="0.35">
      <c r="A442" s="1902">
        <v>0.84</v>
      </c>
    </row>
    <row r="443" spans="1:1" ht="15" x14ac:dyDescent="0.35">
      <c r="A443" s="1902">
        <v>0.85</v>
      </c>
    </row>
    <row r="444" spans="1:1" ht="15" x14ac:dyDescent="0.35">
      <c r="A444" s="1902">
        <v>0.86</v>
      </c>
    </row>
    <row r="445" spans="1:1" ht="15" x14ac:dyDescent="0.35">
      <c r="A445" s="1902">
        <v>0.87</v>
      </c>
    </row>
    <row r="446" spans="1:1" ht="15" x14ac:dyDescent="0.35">
      <c r="A446" s="1902">
        <v>0.88</v>
      </c>
    </row>
    <row r="447" spans="1:1" ht="15" x14ac:dyDescent="0.35">
      <c r="A447" s="1902">
        <v>0.89</v>
      </c>
    </row>
    <row r="448" spans="1:1" ht="15" x14ac:dyDescent="0.35">
      <c r="A448" s="1902">
        <v>0.9</v>
      </c>
    </row>
    <row r="449" spans="1:1" ht="15" x14ac:dyDescent="0.35">
      <c r="A449" s="1902">
        <v>0.91</v>
      </c>
    </row>
    <row r="450" spans="1:1" ht="15" x14ac:dyDescent="0.35">
      <c r="A450" s="1902">
        <v>0.92</v>
      </c>
    </row>
    <row r="451" spans="1:1" ht="15" x14ac:dyDescent="0.35">
      <c r="A451" s="1902">
        <v>0.93</v>
      </c>
    </row>
    <row r="452" spans="1:1" ht="15" x14ac:dyDescent="0.35">
      <c r="A452" s="1902">
        <v>0.94</v>
      </c>
    </row>
    <row r="453" spans="1:1" ht="15" x14ac:dyDescent="0.35">
      <c r="A453" s="1902">
        <v>0.95</v>
      </c>
    </row>
    <row r="454" spans="1:1" ht="15" x14ac:dyDescent="0.35">
      <c r="A454" s="1902">
        <v>0.96</v>
      </c>
    </row>
    <row r="455" spans="1:1" ht="15" x14ac:dyDescent="0.35">
      <c r="A455" s="1902">
        <v>0.97</v>
      </c>
    </row>
    <row r="456" spans="1:1" ht="15" x14ac:dyDescent="0.35">
      <c r="A456" s="1902">
        <v>0.98</v>
      </c>
    </row>
    <row r="457" spans="1:1" ht="15" x14ac:dyDescent="0.35">
      <c r="A457" s="1902">
        <v>0.99</v>
      </c>
    </row>
    <row r="458" spans="1:1" ht="15" x14ac:dyDescent="0.35">
      <c r="A458" s="1902">
        <v>1</v>
      </c>
    </row>
  </sheetData>
  <mergeCells count="1">
    <mergeCell ref="A1:H1"/>
  </mergeCells>
  <hyperlinks>
    <hyperlink ref="G67" r:id="rId1" xr:uid="{00000000-0004-0000-2000-000000000000}"/>
    <hyperlink ref="G69" r:id="rId2" xr:uid="{00000000-0004-0000-2000-000001000000}"/>
    <hyperlink ref="G134" r:id="rId3" xr:uid="{00000000-0004-0000-2000-000002000000}"/>
    <hyperlink ref="G68" r:id="rId4" xr:uid="{00000000-0004-0000-2000-000003000000}"/>
    <hyperlink ref="G135" r:id="rId5" xr:uid="{00000000-0004-0000-2000-000004000000}"/>
    <hyperlink ref="G136" r:id="rId6" xr:uid="{00000000-0004-0000-2000-000005000000}"/>
    <hyperlink ref="G137" r:id="rId7" xr:uid="{00000000-0004-0000-2000-000006000000}"/>
    <hyperlink ref="G176" r:id="rId8" xr:uid="{00000000-0004-0000-2000-000007000000}"/>
    <hyperlink ref="G200" r:id="rId9" xr:uid="{00000000-0004-0000-2000-000008000000}"/>
    <hyperlink ref="G204" r:id="rId10" tooltip="Persistent link using digital object identifier" xr:uid="{00000000-0004-0000-2000-000009000000}"/>
    <hyperlink ref="G205" r:id="rId11" xr:uid="{00000000-0004-0000-2000-00000A000000}"/>
    <hyperlink ref="G206" r:id="rId12" xr:uid="{00000000-0004-0000-2000-00000B000000}"/>
    <hyperlink ref="G72" r:id="rId13" xr:uid="{00000000-0004-0000-2000-00000C000000}"/>
    <hyperlink ref="G71" r:id="rId14" xr:uid="{00000000-0004-0000-2000-00000D000000}"/>
    <hyperlink ref="G70" r:id="rId15" tooltip="Persistent link using digital object identifier" xr:uid="{00000000-0004-0000-2000-00000E000000}"/>
    <hyperlink ref="F140" r:id="rId16" tooltip="Persistent link using digital object identifier" xr:uid="{00000000-0004-0000-2000-00000F000000}"/>
    <hyperlink ref="F141" r:id="rId17" xr:uid="{00000000-0004-0000-2000-000010000000}"/>
    <hyperlink ref="F142" r:id="rId18" xr:uid="{00000000-0004-0000-2000-000011000000}"/>
    <hyperlink ref="F143" r:id="rId19" tooltip="Persistent link using digital object identifier" xr:uid="{00000000-0004-0000-2000-000012000000}"/>
    <hyperlink ref="F144" r:id="rId20" xr:uid="{00000000-0004-0000-2000-000013000000}"/>
    <hyperlink ref="F145" r:id="rId21" xr:uid="{00000000-0004-0000-2000-000014000000}"/>
    <hyperlink ref="G180" r:id="rId22" xr:uid="{00000000-0004-0000-2000-000015000000}"/>
    <hyperlink ref="G207" r:id="rId23" xr:uid="{00000000-0004-0000-2000-000016000000}"/>
    <hyperlink ref="G211" r:id="rId24" tooltip="Persistent link using digital object identifier" xr:uid="{00000000-0004-0000-2000-000017000000}"/>
    <hyperlink ref="G212" r:id="rId25" xr:uid="{00000000-0004-0000-2000-000018000000}"/>
    <hyperlink ref="G213" r:id="rId26" xr:uid="{00000000-0004-0000-2000-000019000000}"/>
    <hyperlink ref="G132" r:id="rId27" tooltip="Persistent link using digital object identifier" xr:uid="{00000000-0004-0000-2000-00001A000000}"/>
    <hyperlink ref="G133" r:id="rId28" tooltip="Persistent link using digital object identifier" xr:uid="{00000000-0004-0000-2000-00001B000000}"/>
    <hyperlink ref="G131" r:id="rId29" tooltip="Persistent link using digital object identifier" xr:uid="{00000000-0004-0000-2000-00001C000000}"/>
    <hyperlink ref="G66" r:id="rId30" tooltip="Persistent link using digital object identifier" xr:uid="{00000000-0004-0000-2000-00001D000000}"/>
    <hyperlink ref="E59" r:id="rId31" xr:uid="{00000000-0004-0000-2000-00001E000000}"/>
    <hyperlink ref="E60" r:id="rId32" xr:uid="{00000000-0004-0000-2000-00001F000000}"/>
    <hyperlink ref="F79" r:id="rId33" tooltip="Persistent link using digital object identifier" xr:uid="{00000000-0004-0000-2000-000020000000}"/>
    <hyperlink ref="F80" r:id="rId34" tooltip="Persistent link using digital object identifier" xr:uid="{00000000-0004-0000-2000-000021000000}"/>
    <hyperlink ref="G85" r:id="rId35" xr:uid="{00000000-0004-0000-2000-000022000000}"/>
    <hyperlink ref="E61" r:id="rId36" xr:uid="{00000000-0004-0000-2000-000023000000}"/>
    <hyperlink ref="G88" r:id="rId37" xr:uid="{00000000-0004-0000-2000-000024000000}"/>
    <hyperlink ref="E158" r:id="rId38" xr:uid="{00000000-0004-0000-2000-000025000000}"/>
    <hyperlink ref="E157" r:id="rId39" xr:uid="{00000000-0004-0000-2000-000026000000}"/>
    <hyperlink ref="E153" r:id="rId40" xr:uid="{00000000-0004-0000-2000-000027000000}"/>
    <hyperlink ref="E150" r:id="rId41" xr:uid="{00000000-0004-0000-2000-000028000000}"/>
    <hyperlink ref="E151" r:id="rId42" xr:uid="{00000000-0004-0000-2000-000029000000}"/>
    <hyperlink ref="E152" r:id="rId43" xr:uid="{00000000-0004-0000-2000-00002A000000}"/>
    <hyperlink ref="E154" r:id="rId44" xr:uid="{00000000-0004-0000-2000-00002B000000}"/>
    <hyperlink ref="E156" r:id="rId45" xr:uid="{00000000-0004-0000-2000-00002C000000}"/>
    <hyperlink ref="E159" r:id="rId46" xr:uid="{00000000-0004-0000-2000-00002D000000}"/>
    <hyperlink ref="E155" r:id="rId47" xr:uid="{00000000-0004-0000-2000-00002E000000}"/>
    <hyperlink ref="A162" r:id="rId48" xr:uid="{00000000-0004-0000-2000-00002F000000}"/>
    <hyperlink ref="B91" r:id="rId49" xr:uid="{00000000-0004-0000-2000-000030000000}"/>
    <hyperlink ref="G87" r:id="rId50" xr:uid="{00000000-0004-0000-2000-000031000000}"/>
    <hyperlink ref="B189" r:id="rId51" xr:uid="{00000000-0004-0000-2000-000032000000}"/>
    <hyperlink ref="B188" r:id="rId52" xr:uid="{00000000-0004-0000-2000-000033000000}"/>
    <hyperlink ref="C51" r:id="rId53" xr:uid="{00000000-0004-0000-2000-000034000000}"/>
    <hyperlink ref="D256" r:id="rId54" xr:uid="{00000000-0004-0000-2000-000035000000}"/>
    <hyperlink ref="D257" r:id="rId55" xr:uid="{00000000-0004-0000-2000-000036000000}"/>
    <hyperlink ref="D258" r:id="rId56" xr:uid="{00000000-0004-0000-2000-000037000000}"/>
    <hyperlink ref="D276" r:id="rId57" xr:uid="{00000000-0004-0000-2000-000038000000}"/>
    <hyperlink ref="D279" r:id="rId58" xr:uid="{00000000-0004-0000-2000-000039000000}"/>
    <hyperlink ref="D289" r:id="rId59" xr:uid="{00000000-0004-0000-2000-00003A000000}"/>
    <hyperlink ref="D277" r:id="rId60" xr:uid="{00000000-0004-0000-2000-00003B000000}"/>
    <hyperlink ref="D267" r:id="rId61" xr:uid="{00000000-0004-0000-2000-00003C000000}"/>
    <hyperlink ref="D265" r:id="rId62" xr:uid="{00000000-0004-0000-2000-00003D000000}"/>
    <hyperlink ref="D288" r:id="rId63" xr:uid="{00000000-0004-0000-2000-00003E000000}"/>
    <hyperlink ref="D264" r:id="rId64" xr:uid="{00000000-0004-0000-2000-00003F000000}"/>
    <hyperlink ref="D287" r:id="rId65" xr:uid="{00000000-0004-0000-2000-000040000000}"/>
    <hyperlink ref="D271" r:id="rId66" xr:uid="{00000000-0004-0000-2000-000041000000}"/>
    <hyperlink ref="D295" r:id="rId67" xr:uid="{00000000-0004-0000-2000-000042000000}"/>
    <hyperlink ref="D296" r:id="rId68" xr:uid="{00000000-0004-0000-2000-000043000000}"/>
    <hyperlink ref="D311" r:id="rId69" xr:uid="{00000000-0004-0000-2000-000044000000}"/>
    <hyperlink ref="D310" r:id="rId70" xr:uid="{00000000-0004-0000-2000-000045000000}"/>
    <hyperlink ref="D309" r:id="rId71" xr:uid="{00000000-0004-0000-2000-000046000000}"/>
    <hyperlink ref="E249" r:id="rId72" xr:uid="{00000000-0004-0000-2000-000047000000}"/>
    <hyperlink ref="D249" r:id="rId73" xr:uid="{00000000-0004-0000-2000-000048000000}"/>
    <hyperlink ref="D302" r:id="rId74" xr:uid="{00000000-0004-0000-2000-000049000000}"/>
    <hyperlink ref="D300" r:id="rId75" xr:uid="{00000000-0004-0000-2000-00004A000000}"/>
    <hyperlink ref="D28" r:id="rId76" xr:uid="{00000000-0004-0000-2000-00004B000000}"/>
    <hyperlink ref="D30" r:id="rId77" display="https://www.mdpi.com/2071-1050/11/2/377/pdf" xr:uid="{00000000-0004-0000-2000-00004C000000}"/>
    <hyperlink ref="D31" r:id="rId78" xr:uid="{00000000-0004-0000-2000-00004D000000}"/>
    <hyperlink ref="D32" r:id="rId79" xr:uid="{00000000-0004-0000-2000-00004E000000}"/>
    <hyperlink ref="D247" r:id="rId80" xr:uid="{00000000-0004-0000-2000-00004F000000}"/>
    <hyperlink ref="D33" r:id="rId81" xr:uid="{00000000-0004-0000-2000-000050000000}"/>
    <hyperlink ref="F329" r:id="rId82" xr:uid="{00000000-0004-0000-2000-000051000000}"/>
    <hyperlink ref="F328" r:id="rId83" xr:uid="{00000000-0004-0000-2000-000052000000}"/>
    <hyperlink ref="F327" r:id="rId84" xr:uid="{00000000-0004-0000-2000-000053000000}"/>
    <hyperlink ref="F339" r:id="rId85" xr:uid="{00000000-0004-0000-2000-000054000000}"/>
    <hyperlink ref="F344" r:id="rId86" xr:uid="{00000000-0004-0000-2000-000055000000}"/>
    <hyperlink ref="F334" r:id="rId87" xr:uid="{00000000-0004-0000-2000-000056000000}"/>
    <hyperlink ref="F333" r:id="rId88" xr:uid="{00000000-0004-0000-2000-000057000000}"/>
    <hyperlink ref="F332" r:id="rId89" xr:uid="{00000000-0004-0000-2000-000058000000}"/>
  </hyperlinks>
  <pageMargins left="0.7" right="0.7" top="0.75" bottom="0.75" header="0.3" footer="0.3"/>
  <legacyDrawing r:id="rId9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33"/>
  <sheetViews>
    <sheetView workbookViewId="0">
      <selection sqref="A1:AB1"/>
    </sheetView>
  </sheetViews>
  <sheetFormatPr defaultColWidth="8.86328125" defaultRowHeight="13.5" x14ac:dyDescent="0.35"/>
  <cols>
    <col min="1" max="1" width="8.86328125" style="1622"/>
    <col min="2" max="2" width="9.1328125" style="1622" bestFit="1" customWidth="1"/>
    <col min="3" max="3" width="9.33203125" style="1622" bestFit="1" customWidth="1"/>
    <col min="4" max="6" width="9.1328125" style="1622" bestFit="1" customWidth="1"/>
    <col min="7" max="7" width="11.53125" style="1622" bestFit="1" customWidth="1"/>
    <col min="8" max="8" width="8.86328125" style="1622"/>
    <col min="9" max="9" width="9.1328125" style="1622" bestFit="1" customWidth="1"/>
    <col min="10" max="10" width="8.86328125" style="1622"/>
    <col min="11" max="12" width="9.46484375" style="1622" bestFit="1" customWidth="1"/>
    <col min="13" max="14" width="8.86328125" style="1622"/>
    <col min="15" max="15" width="9.1328125" style="1622" bestFit="1" customWidth="1"/>
    <col min="16" max="16384" width="8.86328125" style="1622"/>
  </cols>
  <sheetData>
    <row r="1" spans="1:17" ht="17.649999999999999" x14ac:dyDescent="0.5">
      <c r="A1" s="2185" t="s">
        <v>1021</v>
      </c>
      <c r="B1" s="2185"/>
      <c r="C1" s="2185"/>
      <c r="D1" s="2185"/>
      <c r="E1" s="2185"/>
      <c r="F1" s="2185"/>
      <c r="G1" s="2185"/>
      <c r="H1" s="2185"/>
      <c r="I1" s="2185"/>
      <c r="J1" s="2185"/>
      <c r="K1" s="2185"/>
      <c r="L1" s="2185"/>
      <c r="M1" s="2185"/>
      <c r="N1" s="2185"/>
      <c r="O1" s="2185"/>
      <c r="P1" s="2185"/>
      <c r="Q1" s="1787"/>
    </row>
    <row r="2" spans="1:17" ht="15" x14ac:dyDescent="0.4">
      <c r="A2" s="1903" t="s">
        <v>1022</v>
      </c>
      <c r="B2" s="1787"/>
      <c r="C2" s="1787"/>
      <c r="D2" s="1787"/>
      <c r="E2" s="1787"/>
      <c r="F2" s="1787"/>
      <c r="G2" s="1787"/>
      <c r="H2" s="1787"/>
      <c r="I2" s="1787"/>
      <c r="J2" s="1787"/>
      <c r="K2" s="1787"/>
      <c r="L2" s="1787"/>
      <c r="M2" s="1787"/>
      <c r="N2" s="1787"/>
      <c r="O2" s="1787"/>
      <c r="P2" s="1787"/>
      <c r="Q2" s="1787"/>
    </row>
    <row r="3" spans="1:17" ht="15" x14ac:dyDescent="0.4">
      <c r="A3" s="1903"/>
      <c r="B3" s="1787"/>
      <c r="C3" s="1787"/>
      <c r="D3" s="1787"/>
      <c r="E3" s="1787"/>
      <c r="F3" s="1787"/>
      <c r="G3" s="1787"/>
      <c r="H3" s="1787"/>
      <c r="I3" s="1787"/>
      <c r="J3" s="1787"/>
      <c r="K3" s="1787">
        <f>K4*0.75</f>
        <v>26.581610504774901</v>
      </c>
      <c r="L3" s="1787"/>
      <c r="M3" s="1787"/>
      <c r="N3" s="1787"/>
      <c r="O3" s="1787"/>
      <c r="P3" s="1787"/>
      <c r="Q3" s="1787"/>
    </row>
    <row r="4" spans="1:17" ht="13.9" x14ac:dyDescent="0.4">
      <c r="A4" s="1904" t="s">
        <v>1023</v>
      </c>
      <c r="B4" s="1905">
        <v>2.2046000000000001</v>
      </c>
      <c r="C4" s="1905" t="s">
        <v>1024</v>
      </c>
      <c r="D4" s="1905"/>
      <c r="E4" s="1906"/>
      <c r="F4" s="1787"/>
      <c r="G4" s="1611">
        <v>1</v>
      </c>
      <c r="H4" s="1613" t="s">
        <v>1025</v>
      </c>
      <c r="I4" s="1613">
        <f>B9/1000</f>
        <v>3.3487999999999997E-2</v>
      </c>
      <c r="J4" s="1905"/>
      <c r="K4" s="1907">
        <f>K5/G7*G4</f>
        <v>35.442147339699865</v>
      </c>
      <c r="L4" s="1908">
        <f>K4/18*6</f>
        <v>11.814049113233288</v>
      </c>
      <c r="M4" s="1905" t="str">
        <f>H4</f>
        <v>EJ</v>
      </c>
      <c r="N4" s="1905"/>
      <c r="O4" s="1905"/>
      <c r="P4" s="1906"/>
      <c r="Q4" s="1787"/>
    </row>
    <row r="5" spans="1:17" ht="13.9" x14ac:dyDescent="0.4">
      <c r="A5" s="1909"/>
      <c r="B5" s="1787"/>
      <c r="C5" s="1787"/>
      <c r="D5" s="1787"/>
      <c r="E5" s="1910"/>
      <c r="F5" s="1787"/>
      <c r="G5" s="1625">
        <f>1000/B6</f>
        <v>23.884589662749594</v>
      </c>
      <c r="H5" s="1622" t="s">
        <v>1026</v>
      </c>
      <c r="I5" s="1622">
        <f>1000/B8</f>
        <v>0.79984713862615842</v>
      </c>
      <c r="J5" s="1787"/>
      <c r="K5" s="1911">
        <v>17</v>
      </c>
      <c r="L5" s="1627">
        <f>L4/G4*G7</f>
        <v>5.666666666666667</v>
      </c>
      <c r="M5" s="1787" t="str">
        <f>H7</f>
        <v>mboe/d</v>
      </c>
      <c r="N5" s="1787"/>
      <c r="O5" s="1787"/>
      <c r="P5" s="1910"/>
      <c r="Q5" s="1787"/>
    </row>
    <row r="6" spans="1:17" x14ac:dyDescent="0.35">
      <c r="A6" s="1909" t="s">
        <v>1027</v>
      </c>
      <c r="B6" s="1787">
        <v>41.868000000000002</v>
      </c>
      <c r="C6" s="1787" t="s">
        <v>1028</v>
      </c>
      <c r="D6" s="1787"/>
      <c r="E6" s="1910"/>
      <c r="F6" s="1787"/>
      <c r="G6" s="1625">
        <f>1000/B9</f>
        <v>29.861442904921166</v>
      </c>
      <c r="H6" s="1622" t="s">
        <v>1029</v>
      </c>
      <c r="I6" s="1622">
        <v>1</v>
      </c>
      <c r="J6" s="1787"/>
      <c r="K6" s="1787"/>
      <c r="L6" s="1787"/>
      <c r="M6" s="1787"/>
      <c r="N6" s="1787" t="s">
        <v>1030</v>
      </c>
      <c r="O6" s="1787">
        <v>41.868000000000002</v>
      </c>
      <c r="P6" s="1910" t="s">
        <v>1031</v>
      </c>
      <c r="Q6" s="1787"/>
    </row>
    <row r="7" spans="1:17" x14ac:dyDescent="0.35">
      <c r="A7" s="1909" t="s">
        <v>1032</v>
      </c>
      <c r="B7" s="1787">
        <v>1055</v>
      </c>
      <c r="C7" s="1787" t="s">
        <v>1033</v>
      </c>
      <c r="D7" s="1787"/>
      <c r="E7" s="1910"/>
      <c r="F7" s="1787"/>
      <c r="G7" s="1625">
        <f>1000/B6*7.33/365</f>
        <v>0.47965491021357404</v>
      </c>
      <c r="H7" s="1622" t="s">
        <v>1034</v>
      </c>
      <c r="J7" s="1787"/>
      <c r="K7" s="1787"/>
      <c r="L7" s="1787"/>
      <c r="M7" s="1787"/>
      <c r="N7" s="1787"/>
      <c r="O7" s="1787">
        <f>O6*10^3</f>
        <v>41868</v>
      </c>
      <c r="P7" s="1910" t="s">
        <v>1035</v>
      </c>
      <c r="Q7" s="1787"/>
    </row>
    <row r="8" spans="1:17" x14ac:dyDescent="0.35">
      <c r="A8" s="1909" t="s">
        <v>1036</v>
      </c>
      <c r="B8" s="1787">
        <f>B6/B9*10^3</f>
        <v>1250.2388915432393</v>
      </c>
      <c r="C8" s="1787" t="s">
        <v>1037</v>
      </c>
      <c r="D8" s="1787"/>
      <c r="E8" s="1910"/>
      <c r="F8" s="1787"/>
      <c r="G8" s="1909">
        <f>(1/10^9)/(0.0373/10^9)</f>
        <v>26.809651474530831</v>
      </c>
      <c r="H8" s="1787" t="s">
        <v>1038</v>
      </c>
      <c r="I8" s="1787"/>
      <c r="J8" s="1787"/>
      <c r="K8" s="1787"/>
      <c r="L8" s="1787"/>
      <c r="M8" s="1787"/>
      <c r="N8" s="1787"/>
      <c r="O8" s="1787">
        <f>O7*10^3</f>
        <v>41868000</v>
      </c>
      <c r="P8" s="1910" t="s">
        <v>1039</v>
      </c>
      <c r="Q8" s="1787"/>
    </row>
    <row r="9" spans="1:17" x14ac:dyDescent="0.35">
      <c r="A9" s="1909" t="s">
        <v>1040</v>
      </c>
      <c r="B9" s="1787">
        <f>C17</f>
        <v>33.488</v>
      </c>
      <c r="C9" s="1787" t="s">
        <v>1041</v>
      </c>
      <c r="D9" s="1787"/>
      <c r="E9" s="1912"/>
      <c r="F9" s="1913"/>
      <c r="G9" s="1643">
        <f>2110.11170524/2</f>
        <v>1055.05585262</v>
      </c>
      <c r="H9" s="1608" t="s">
        <v>1042</v>
      </c>
      <c r="I9" s="1787"/>
      <c r="J9" s="1787"/>
      <c r="K9" s="1787"/>
      <c r="L9" s="1787"/>
      <c r="M9" s="1787"/>
      <c r="N9" s="1787"/>
      <c r="O9" s="1787"/>
      <c r="P9" s="1910"/>
      <c r="Q9" s="1787"/>
    </row>
    <row r="10" spans="1:17" x14ac:dyDescent="0.35">
      <c r="A10" s="1909" t="s">
        <v>1043</v>
      </c>
      <c r="B10" s="1787">
        <v>3.7850000000000001</v>
      </c>
      <c r="C10" s="1787" t="s">
        <v>1044</v>
      </c>
      <c r="D10" s="1787"/>
      <c r="E10" s="1910"/>
      <c r="F10" s="1787"/>
      <c r="G10" s="1647">
        <f>Tech_Spec_Escoot!F6</f>
        <v>0.453592</v>
      </c>
      <c r="H10" s="1648" t="str">
        <f>Tech_Spec_Escoot!G6</f>
        <v>kg/lb</v>
      </c>
      <c r="I10" s="1914"/>
      <c r="J10" s="1914"/>
      <c r="K10" s="1914"/>
      <c r="L10" s="1914"/>
      <c r="M10" s="1914"/>
      <c r="N10" s="1914"/>
      <c r="O10" s="1914"/>
      <c r="P10" s="1915"/>
      <c r="Q10" s="1787"/>
    </row>
    <row r="11" spans="1:17" x14ac:dyDescent="0.35">
      <c r="A11" s="1909" t="s">
        <v>1045</v>
      </c>
      <c r="B11" s="1787">
        <v>235.24</v>
      </c>
      <c r="C11" s="1787" t="s">
        <v>1046</v>
      </c>
      <c r="D11" s="1787"/>
      <c r="E11" s="1910"/>
      <c r="F11" s="1787"/>
      <c r="G11" s="1787"/>
      <c r="H11" s="1787"/>
      <c r="I11" s="1787"/>
      <c r="J11" s="1787"/>
      <c r="K11" s="1787"/>
      <c r="L11" s="1787"/>
      <c r="M11" s="1787"/>
      <c r="N11" s="1787"/>
      <c r="O11" s="1787"/>
      <c r="P11" s="1787"/>
      <c r="Q11" s="1787"/>
    </row>
    <row r="12" spans="1:17" x14ac:dyDescent="0.35">
      <c r="A12" s="1625" t="s">
        <v>1047</v>
      </c>
      <c r="B12" s="1622">
        <v>3.6</v>
      </c>
      <c r="C12" s="1916" t="s">
        <v>1039</v>
      </c>
      <c r="D12" s="1787"/>
      <c r="E12" s="1910"/>
      <c r="F12" s="1787"/>
      <c r="G12" s="1787"/>
      <c r="H12" s="1787"/>
      <c r="I12" s="1787"/>
      <c r="J12" s="1787"/>
      <c r="K12" s="1787"/>
      <c r="L12" s="1787"/>
      <c r="M12" s="1787"/>
      <c r="N12" s="1787"/>
      <c r="O12" s="1787"/>
      <c r="P12" s="1787"/>
      <c r="Q12" s="1787"/>
    </row>
    <row r="13" spans="1:17" x14ac:dyDescent="0.35">
      <c r="A13" s="1633" t="s">
        <v>1048</v>
      </c>
      <c r="B13" s="1790">
        <f>B9/B12</f>
        <v>9.3022222222222215</v>
      </c>
      <c r="C13" s="1790" t="s">
        <v>246</v>
      </c>
      <c r="D13" s="1914"/>
      <c r="E13" s="1915"/>
      <c r="F13" s="1787"/>
      <c r="O13" s="1787"/>
      <c r="P13" s="1787"/>
      <c r="Q13" s="1787"/>
    </row>
    <row r="14" spans="1:17" ht="15" x14ac:dyDescent="0.4">
      <c r="A14" s="1903" t="s">
        <v>1049</v>
      </c>
      <c r="B14" s="1787"/>
      <c r="C14" s="1787"/>
      <c r="D14" s="1787"/>
      <c r="E14" s="1787"/>
      <c r="F14" s="1787"/>
      <c r="O14" s="1787"/>
      <c r="P14" s="1787"/>
      <c r="Q14" s="1787"/>
    </row>
    <row r="15" spans="1:17" x14ac:dyDescent="0.35">
      <c r="A15" s="1917"/>
      <c r="B15" s="1787"/>
      <c r="C15" s="1787"/>
      <c r="D15" s="1787"/>
      <c r="E15" s="1787"/>
      <c r="F15" s="1787"/>
      <c r="O15" s="1787"/>
      <c r="P15" s="1787"/>
      <c r="Q15" s="1787"/>
    </row>
    <row r="16" spans="1:17" ht="81" x14ac:dyDescent="0.35">
      <c r="A16" s="1904"/>
      <c r="B16" s="1918"/>
      <c r="C16" s="1918" t="s">
        <v>1050</v>
      </c>
      <c r="D16" s="1918" t="s">
        <v>1051</v>
      </c>
      <c r="E16" s="1918"/>
      <c r="F16" s="1919" t="s">
        <v>1052</v>
      </c>
      <c r="G16" s="1906"/>
      <c r="H16" s="1913"/>
      <c r="I16" s="1913"/>
      <c r="J16" s="1913"/>
      <c r="K16" s="1913" t="s">
        <v>1050</v>
      </c>
      <c r="L16" s="1913" t="s">
        <v>1051</v>
      </c>
      <c r="M16" s="1787"/>
      <c r="N16" s="1787"/>
      <c r="O16" s="1787"/>
      <c r="P16" s="1787"/>
      <c r="Q16" s="1787"/>
    </row>
    <row r="17" spans="1:17" x14ac:dyDescent="0.35">
      <c r="A17" s="1909" t="s">
        <v>225</v>
      </c>
      <c r="B17" s="1920"/>
      <c r="C17" s="1744">
        <v>33.488</v>
      </c>
      <c r="D17" s="1617">
        <v>44.8</v>
      </c>
      <c r="E17" s="1913"/>
      <c r="F17" s="1921">
        <v>2.3207183999999996</v>
      </c>
      <c r="G17" s="1912">
        <f t="shared" ref="G17:G27" si="0">F17/B$13</f>
        <v>0.24947999999999998</v>
      </c>
      <c r="H17" s="1913"/>
      <c r="I17" s="1913"/>
      <c r="J17" s="1913"/>
      <c r="K17" s="1913"/>
      <c r="L17" s="1913"/>
      <c r="N17" s="1787"/>
      <c r="O17" s="1787"/>
      <c r="P17" s="1787"/>
      <c r="Q17" s="1787"/>
    </row>
    <row r="18" spans="1:17" x14ac:dyDescent="0.35">
      <c r="A18" s="1909" t="s">
        <v>1053</v>
      </c>
      <c r="B18" s="1920"/>
      <c r="C18" s="1744">
        <v>36.072224999999996</v>
      </c>
      <c r="D18" s="1617">
        <v>43.33</v>
      </c>
      <c r="E18" s="1913"/>
      <c r="F18" s="1921">
        <v>2.4803445333333332</v>
      </c>
      <c r="G18" s="1912">
        <f t="shared" si="0"/>
        <v>0.26663999999999999</v>
      </c>
      <c r="H18" s="1913"/>
      <c r="I18" s="1913"/>
      <c r="J18" s="1913"/>
      <c r="N18" s="1787"/>
      <c r="O18" s="1787"/>
      <c r="P18" s="1787"/>
      <c r="Q18" s="1787"/>
    </row>
    <row r="19" spans="1:17" x14ac:dyDescent="0.35">
      <c r="A19" s="1909" t="s">
        <v>1054</v>
      </c>
      <c r="B19" s="1920"/>
      <c r="C19" s="1744">
        <v>37.121175000000001</v>
      </c>
      <c r="D19" s="1617">
        <v>44.59</v>
      </c>
      <c r="E19" s="1913"/>
      <c r="F19" s="1921">
        <v>2.3943919999999999</v>
      </c>
      <c r="G19" s="1912">
        <f t="shared" si="0"/>
        <v>0.25740000000000002</v>
      </c>
      <c r="H19" s="1913"/>
      <c r="I19" s="1913"/>
      <c r="J19" s="1913"/>
      <c r="N19" s="1787"/>
      <c r="O19" s="1787"/>
      <c r="P19" s="1787"/>
      <c r="Q19" s="1787"/>
    </row>
    <row r="20" spans="1:17" x14ac:dyDescent="0.35">
      <c r="A20" s="1909" t="s">
        <v>113</v>
      </c>
      <c r="B20" s="1787"/>
      <c r="C20" s="1744">
        <v>8.3886000000000021</v>
      </c>
      <c r="D20" s="1617">
        <v>45.1</v>
      </c>
      <c r="E20" s="1913"/>
      <c r="F20" s="1921">
        <v>1.8786768</v>
      </c>
      <c r="G20" s="1912">
        <f t="shared" si="0"/>
        <v>0.20196000000000003</v>
      </c>
      <c r="H20" s="1913"/>
      <c r="I20" s="1913"/>
      <c r="J20" s="1913"/>
      <c r="N20" s="1787"/>
      <c r="O20" s="1787"/>
      <c r="P20" s="1787"/>
      <c r="Q20" s="1787"/>
    </row>
    <row r="21" spans="1:17" x14ac:dyDescent="0.35">
      <c r="A21" s="1909" t="s">
        <v>1055</v>
      </c>
      <c r="B21" s="1920"/>
      <c r="C21" s="1744">
        <v>26.351670000000002</v>
      </c>
      <c r="D21" s="1617">
        <v>47.31</v>
      </c>
      <c r="E21" s="1913"/>
      <c r="F21" s="1921">
        <v>2.1119765333333329</v>
      </c>
      <c r="G21" s="1912">
        <f t="shared" si="0"/>
        <v>0.22703999999999996</v>
      </c>
      <c r="H21" s="1913"/>
      <c r="I21" s="1913"/>
      <c r="J21" s="1913"/>
      <c r="N21" s="1787"/>
      <c r="O21" s="1787"/>
      <c r="P21" s="1787"/>
      <c r="Q21" s="1787"/>
    </row>
    <row r="22" spans="1:17" x14ac:dyDescent="0.35">
      <c r="A22" s="1909"/>
      <c r="B22" s="1787"/>
      <c r="E22" s="1913"/>
      <c r="G22" s="1912">
        <f t="shared" si="0"/>
        <v>0</v>
      </c>
      <c r="H22" s="1913"/>
      <c r="I22" s="1913"/>
      <c r="J22" s="1913"/>
      <c r="N22" s="1787"/>
      <c r="O22" s="1787"/>
      <c r="P22" s="1787"/>
      <c r="Q22" s="1787"/>
    </row>
    <row r="23" spans="1:17" x14ac:dyDescent="0.35">
      <c r="A23" s="1909" t="s">
        <v>151</v>
      </c>
      <c r="B23" s="1787"/>
      <c r="C23" s="1744">
        <v>2.7022500000000003</v>
      </c>
      <c r="D23" s="1617">
        <v>120.1</v>
      </c>
      <c r="E23" s="1913"/>
      <c r="F23" s="1921">
        <v>0</v>
      </c>
      <c r="G23" s="1912">
        <f t="shared" si="0"/>
        <v>0</v>
      </c>
      <c r="H23" s="1913"/>
      <c r="I23" s="1913"/>
      <c r="J23" s="1913"/>
      <c r="N23" s="1787"/>
      <c r="O23" s="1787"/>
      <c r="P23" s="1787"/>
      <c r="Q23" s="1787"/>
    </row>
    <row r="24" spans="1:17" x14ac:dyDescent="0.35">
      <c r="A24" s="1909" t="s">
        <v>1056</v>
      </c>
      <c r="B24" s="1920"/>
      <c r="C24" s="1744">
        <v>21.133049999999997</v>
      </c>
      <c r="D24" s="1617">
        <v>26.7</v>
      </c>
      <c r="E24" s="1913"/>
      <c r="F24" s="1921">
        <v>2.3360074906367041</v>
      </c>
      <c r="G24" s="1912">
        <f t="shared" si="0"/>
        <v>0.25112359550561797</v>
      </c>
      <c r="H24" s="1913"/>
      <c r="I24" s="1787"/>
      <c r="J24" s="1787"/>
      <c r="K24" s="1787"/>
      <c r="L24" s="1787"/>
      <c r="N24" s="1787"/>
      <c r="O24" s="1787"/>
      <c r="P24" s="1787"/>
      <c r="Q24" s="1787"/>
    </row>
    <row r="25" spans="1:17" x14ac:dyDescent="0.35">
      <c r="A25" s="1909" t="s">
        <v>1057</v>
      </c>
      <c r="B25" s="1920"/>
      <c r="C25" s="1744">
        <v>32.692</v>
      </c>
      <c r="D25" s="1617">
        <v>37.15</v>
      </c>
      <c r="E25" s="1913"/>
      <c r="F25" s="1921">
        <v>2.5249952000000002</v>
      </c>
      <c r="G25" s="1912">
        <f t="shared" si="0"/>
        <v>0.27144000000000007</v>
      </c>
      <c r="H25" s="1913"/>
      <c r="I25" s="1922"/>
      <c r="J25" s="1923" t="s">
        <v>1058</v>
      </c>
      <c r="K25" s="1924">
        <v>34.4</v>
      </c>
      <c r="L25" s="1925">
        <v>44.102564102564102</v>
      </c>
      <c r="N25" s="1787"/>
      <c r="O25" s="1787"/>
      <c r="P25" s="1787"/>
      <c r="Q25" s="1787"/>
    </row>
    <row r="26" spans="1:17" x14ac:dyDescent="0.35">
      <c r="A26" s="1909" t="s">
        <v>1059</v>
      </c>
      <c r="B26" s="1787"/>
      <c r="C26" s="1744">
        <v>33.458174999999997</v>
      </c>
      <c r="D26" s="1617">
        <v>40.19</v>
      </c>
      <c r="E26" s="1913"/>
      <c r="F26" s="1921">
        <v>2.5908549333333335</v>
      </c>
      <c r="G26" s="1912">
        <f t="shared" si="0"/>
        <v>0.27852000000000005</v>
      </c>
      <c r="H26" s="1913"/>
      <c r="I26" s="1913"/>
      <c r="J26" s="1913"/>
      <c r="K26" s="1787"/>
      <c r="L26" s="1787"/>
      <c r="N26" s="1787"/>
      <c r="O26" s="1787"/>
      <c r="P26" s="1787"/>
      <c r="Q26" s="1787"/>
    </row>
    <row r="27" spans="1:17" x14ac:dyDescent="0.35">
      <c r="A27" s="1625" t="s">
        <v>1060</v>
      </c>
      <c r="C27" s="1744">
        <v>15.9</v>
      </c>
      <c r="D27" s="1617">
        <v>20.100000000000001</v>
      </c>
      <c r="E27" s="1913"/>
      <c r="F27" s="1921">
        <v>1.993334222470031</v>
      </c>
      <c r="G27" s="1912">
        <f t="shared" si="0"/>
        <v>0.21428580986897133</v>
      </c>
      <c r="H27" s="1913"/>
      <c r="I27" s="1913"/>
      <c r="J27" s="1913"/>
      <c r="L27" s="1787"/>
    </row>
    <row r="28" spans="1:17" x14ac:dyDescent="0.35">
      <c r="A28" s="1625"/>
      <c r="G28" s="1626"/>
    </row>
    <row r="29" spans="1:17" x14ac:dyDescent="0.35">
      <c r="A29" s="1625"/>
      <c r="G29" s="1626"/>
    </row>
    <row r="30" spans="1:17" x14ac:dyDescent="0.35">
      <c r="A30" s="1625" t="s">
        <v>3542</v>
      </c>
      <c r="B30" s="1622" t="s">
        <v>1048</v>
      </c>
      <c r="C30" s="1926">
        <f>B12*B13/C17</f>
        <v>1</v>
      </c>
      <c r="D30" s="1622" t="s">
        <v>3543</v>
      </c>
      <c r="E30" s="1622">
        <f>1/C30</f>
        <v>1</v>
      </c>
      <c r="F30" s="1622" t="s">
        <v>3544</v>
      </c>
      <c r="G30" s="1626"/>
    </row>
    <row r="31" spans="1:17" x14ac:dyDescent="0.35">
      <c r="A31" s="1625" t="s">
        <v>230</v>
      </c>
      <c r="B31" s="1622" t="s">
        <v>1048</v>
      </c>
      <c r="C31" s="1622">
        <f>B13*B12/C18</f>
        <v>0.92835970057294781</v>
      </c>
      <c r="D31" s="1622" t="s">
        <v>3543</v>
      </c>
      <c r="E31" s="1622">
        <f>1/C31</f>
        <v>1.0771686872909698</v>
      </c>
      <c r="F31" s="1622" t="s">
        <v>3544</v>
      </c>
      <c r="G31" s="1626"/>
    </row>
    <row r="32" spans="1:17" x14ac:dyDescent="0.35">
      <c r="A32" s="1625" t="s">
        <v>297</v>
      </c>
      <c r="B32" s="1622" t="s">
        <v>1048</v>
      </c>
      <c r="C32" s="1926">
        <f>B12*B13/D20</f>
        <v>0.74252771618625268</v>
      </c>
      <c r="D32" s="1622" t="s">
        <v>3545</v>
      </c>
      <c r="E32" s="1622">
        <f>1/C32</f>
        <v>1.3467510750119447</v>
      </c>
      <c r="F32" s="1622" t="s">
        <v>3544</v>
      </c>
      <c r="G32" s="1626"/>
    </row>
    <row r="33" spans="1:7" x14ac:dyDescent="0.35">
      <c r="A33" s="1633" t="s">
        <v>151</v>
      </c>
      <c r="B33" s="1790" t="s">
        <v>1048</v>
      </c>
      <c r="C33" s="1790">
        <f>B12*B13/D23</f>
        <v>0.27883430474604498</v>
      </c>
      <c r="D33" s="1790" t="s">
        <v>3545</v>
      </c>
      <c r="E33" s="1790">
        <f>1/C33</f>
        <v>3.5863592928810317</v>
      </c>
      <c r="F33" s="1790" t="s">
        <v>3544</v>
      </c>
      <c r="G33" s="1741"/>
    </row>
  </sheetData>
  <mergeCells count="1">
    <mergeCell ref="A1:P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sheetPr>
  <dimension ref="C4:I7"/>
  <sheetViews>
    <sheetView showGridLines="0" workbookViewId="0">
      <selection sqref="A1:AB1"/>
    </sheetView>
  </sheetViews>
  <sheetFormatPr defaultRowHeight="14.25" x14ac:dyDescent="0.45"/>
  <sheetData>
    <row r="4" spans="3:9" x14ac:dyDescent="0.45">
      <c r="C4" s="17" t="s">
        <v>3431</v>
      </c>
      <c r="D4" s="17"/>
      <c r="E4" s="17"/>
      <c r="F4" s="17"/>
      <c r="G4" s="17"/>
      <c r="H4" s="17"/>
      <c r="I4" s="17"/>
    </row>
    <row r="5" spans="3:9" x14ac:dyDescent="0.45">
      <c r="C5" s="17"/>
      <c r="D5" s="17"/>
      <c r="E5" s="17"/>
      <c r="F5" s="17"/>
      <c r="G5" s="17"/>
      <c r="H5" s="17"/>
      <c r="I5" s="17"/>
    </row>
    <row r="6" spans="3:9" x14ac:dyDescent="0.45">
      <c r="C6" s="1403" t="s">
        <v>3432</v>
      </c>
      <c r="D6" s="17"/>
      <c r="E6" s="17"/>
      <c r="F6" s="17"/>
      <c r="G6" s="17"/>
      <c r="H6" s="17"/>
      <c r="I6" s="17"/>
    </row>
    <row r="7" spans="3:9" x14ac:dyDescent="0.45">
      <c r="C7" s="17" t="s">
        <v>3433</v>
      </c>
      <c r="D7" s="17"/>
      <c r="E7" s="17"/>
      <c r="F7" s="17"/>
      <c r="G7" s="17"/>
      <c r="H7" s="17"/>
      <c r="I7" s="1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E60"/>
  <sheetViews>
    <sheetView showGridLines="0" zoomScale="70" zoomScaleNormal="70" workbookViewId="0">
      <pane xSplit="2" ySplit="2" topLeftCell="C3" activePane="bottomRight" state="frozen"/>
      <selection sqref="A1:AB1"/>
      <selection pane="topRight" sqref="A1:AB1"/>
      <selection pane="bottomLeft" sqref="A1:AB1"/>
      <selection pane="bottomRight" activeCell="C7" sqref="C7"/>
    </sheetView>
  </sheetViews>
  <sheetFormatPr defaultColWidth="0" defaultRowHeight="15.75" zeroHeight="1" x14ac:dyDescent="0.45"/>
  <cols>
    <col min="1" max="1" width="44" style="1477" customWidth="1"/>
    <col min="2" max="2" width="20.796875" style="1451" customWidth="1"/>
    <col min="3" max="3" width="12" style="1451" customWidth="1"/>
    <col min="4" max="4" width="12.53125" style="1451" customWidth="1"/>
    <col min="5" max="5" width="11.19921875" style="1451" customWidth="1"/>
    <col min="6" max="6" width="11.53125" style="1451" customWidth="1"/>
    <col min="7" max="8" width="11.796875" style="1451" customWidth="1"/>
    <col min="9" max="9" width="11.6640625" style="1451" customWidth="1"/>
    <col min="10" max="10" width="12.46484375" style="1451" customWidth="1"/>
    <col min="11" max="11" width="9.796875" style="1451" customWidth="1"/>
    <col min="12" max="12" width="11.53125" style="1451" bestFit="1" customWidth="1"/>
    <col min="13" max="16" width="10.53125" style="1966" customWidth="1"/>
    <col min="17" max="21" width="9" style="1451" customWidth="1"/>
    <col min="22" max="23" width="9.86328125" style="1451" customWidth="1"/>
    <col min="24" max="25" width="11.53125" style="1451" bestFit="1" customWidth="1"/>
    <col min="26" max="27" width="9" style="1451" bestFit="1" customWidth="1"/>
    <col min="28" max="28" width="11.46484375" style="23" customWidth="1"/>
    <col min="29" max="31" width="0" style="1451" hidden="1" customWidth="1"/>
    <col min="32" max="16384" width="8.86328125" style="1451" hidden="1"/>
  </cols>
  <sheetData>
    <row r="1" spans="1:31" ht="18" x14ac:dyDescent="0.45">
      <c r="A1" s="2150" t="s">
        <v>3597</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2"/>
    </row>
    <row r="2" spans="1:31" s="1414" customFormat="1" ht="39.4"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9.5" x14ac:dyDescent="0.45">
      <c r="A3" s="1438" t="s">
        <v>1177</v>
      </c>
      <c r="B3" s="1450"/>
      <c r="C3" s="1450"/>
      <c r="D3" s="1450"/>
      <c r="E3" s="1450"/>
      <c r="F3" s="1450"/>
      <c r="G3" s="1450"/>
      <c r="H3" s="1450"/>
      <c r="I3" s="1450"/>
      <c r="J3" s="1450"/>
      <c r="K3" s="1450"/>
      <c r="L3" s="1450"/>
      <c r="M3" s="1953"/>
      <c r="N3" s="1953"/>
      <c r="O3" s="1953"/>
      <c r="P3" s="1953"/>
      <c r="Q3" s="1450"/>
      <c r="R3" s="1450"/>
      <c r="S3" s="1450"/>
      <c r="T3" s="1450"/>
      <c r="U3" s="1450"/>
      <c r="V3" s="1450"/>
      <c r="W3" s="1575"/>
      <c r="X3" s="1450"/>
      <c r="Y3" s="1450"/>
      <c r="Z3" s="1450"/>
      <c r="AA3" s="1450"/>
      <c r="AB3" s="25"/>
    </row>
    <row r="4" spans="1:31" s="1454" customFormat="1" x14ac:dyDescent="0.45">
      <c r="A4" s="1452" t="s">
        <v>3397</v>
      </c>
      <c r="B4" s="1453"/>
      <c r="C4" s="1453" t="s">
        <v>255</v>
      </c>
      <c r="D4" s="1453" t="s">
        <v>295</v>
      </c>
      <c r="E4" s="1453" t="s">
        <v>255</v>
      </c>
      <c r="F4" s="1453" t="s">
        <v>295</v>
      </c>
      <c r="G4" s="1453" t="str">
        <f t="shared" ref="G4:AB4" si="0">+Default_value</f>
        <v>ICE</v>
      </c>
      <c r="H4" s="1453" t="str">
        <f t="shared" si="0"/>
        <v>BEV</v>
      </c>
      <c r="I4" s="1453" t="str">
        <f t="shared" si="0"/>
        <v>ICE</v>
      </c>
      <c r="J4" s="1453" t="str">
        <f t="shared" si="0"/>
        <v>BEV</v>
      </c>
      <c r="K4" s="1453" t="str">
        <f t="shared" si="0"/>
        <v>ICE</v>
      </c>
      <c r="L4" s="1453" t="str">
        <f t="shared" si="0"/>
        <v>BEV</v>
      </c>
      <c r="M4" s="1453" t="str">
        <f t="shared" si="0"/>
        <v>ICE</v>
      </c>
      <c r="N4" s="1453" t="str">
        <f t="shared" si="0"/>
        <v>ICE</v>
      </c>
      <c r="O4" s="1453" t="str">
        <f t="shared" si="0"/>
        <v>ICE</v>
      </c>
      <c r="P4" s="1453" t="str">
        <f t="shared" si="0"/>
        <v>ICE</v>
      </c>
      <c r="Q4" s="1453" t="str">
        <f t="shared" si="0"/>
        <v>BEV</v>
      </c>
      <c r="R4" s="1453" t="str">
        <f t="shared" si="0"/>
        <v>BEV</v>
      </c>
      <c r="S4" s="1453" t="str">
        <f t="shared" si="0"/>
        <v>BEV</v>
      </c>
      <c r="T4" s="1453" t="str">
        <f t="shared" si="0"/>
        <v>BEV</v>
      </c>
      <c r="U4" s="1453" t="str">
        <f t="shared" si="0"/>
        <v>ICE</v>
      </c>
      <c r="V4" s="1453" t="str">
        <f t="shared" si="0"/>
        <v>BEV</v>
      </c>
      <c r="W4" s="1453" t="str">
        <f t="shared" si="0"/>
        <v>FCEV</v>
      </c>
      <c r="X4" s="1453" t="str">
        <f t="shared" si="0"/>
        <v>ICE</v>
      </c>
      <c r="Y4" s="1453" t="str">
        <f t="shared" si="0"/>
        <v>BEV</v>
      </c>
      <c r="Z4" s="1453" t="str">
        <f t="shared" si="0"/>
        <v>ICE</v>
      </c>
      <c r="AA4" s="1453" t="str">
        <f t="shared" si="0"/>
        <v>BEV</v>
      </c>
      <c r="AB4" s="1453" t="str">
        <f t="shared" si="0"/>
        <v>BEV</v>
      </c>
    </row>
    <row r="5" spans="1:31" ht="19.25" customHeight="1" x14ac:dyDescent="0.45">
      <c r="A5" s="34" t="s">
        <v>1146</v>
      </c>
      <c r="B5" s="1450"/>
      <c r="C5" s="1450"/>
      <c r="D5" s="1450"/>
      <c r="E5" s="1450"/>
      <c r="F5" s="1450"/>
      <c r="G5" s="1450"/>
      <c r="H5" s="1450"/>
      <c r="I5" s="1450"/>
      <c r="J5" s="1450"/>
      <c r="K5" s="1450"/>
      <c r="L5" s="1450"/>
      <c r="M5" s="1953"/>
      <c r="N5" s="1953"/>
      <c r="O5" s="1953"/>
      <c r="P5" s="1953"/>
      <c r="Q5" s="1450"/>
      <c r="R5" s="1450"/>
      <c r="S5" s="1450"/>
      <c r="T5" s="1450"/>
      <c r="U5" s="1450"/>
      <c r="V5" s="1450"/>
      <c r="W5" s="1450"/>
      <c r="X5" s="1450"/>
      <c r="Y5" s="1450"/>
      <c r="Z5" s="1450"/>
      <c r="AA5" s="1450"/>
      <c r="AB5" s="26"/>
    </row>
    <row r="6" spans="1:31" s="1966" customFormat="1" ht="42.75" x14ac:dyDescent="0.45">
      <c r="A6" s="1574" t="s">
        <v>1073</v>
      </c>
      <c r="B6" s="2072"/>
      <c r="C6" s="2072" t="s">
        <v>125</v>
      </c>
      <c r="D6" s="2072"/>
      <c r="E6" s="2072" t="s">
        <v>125</v>
      </c>
      <c r="F6" s="2072"/>
      <c r="G6" s="2072" t="s">
        <v>125</v>
      </c>
      <c r="H6" s="2072"/>
      <c r="I6" s="2072" t="s">
        <v>125</v>
      </c>
      <c r="J6" s="2072"/>
      <c r="K6" s="2072" t="s">
        <v>196</v>
      </c>
      <c r="L6" s="2072"/>
      <c r="M6" s="2072" t="s">
        <v>126</v>
      </c>
      <c r="N6" s="2072" t="s">
        <v>126</v>
      </c>
      <c r="O6" s="2072" t="s">
        <v>126</v>
      </c>
      <c r="P6" s="2072" t="s">
        <v>126</v>
      </c>
      <c r="Q6" s="2072"/>
      <c r="R6" s="2072"/>
      <c r="S6" s="2072"/>
      <c r="T6" s="2072"/>
      <c r="U6" s="2072" t="s">
        <v>126</v>
      </c>
      <c r="V6" s="2072"/>
      <c r="W6" s="2072"/>
      <c r="X6" s="2072" t="s">
        <v>125</v>
      </c>
      <c r="Y6" s="2072"/>
      <c r="Z6" s="2072" t="s">
        <v>126</v>
      </c>
      <c r="AA6" s="2072"/>
      <c r="AB6" s="2072"/>
    </row>
    <row r="7" spans="1:31" ht="16.25" customHeight="1" x14ac:dyDescent="0.45">
      <c r="A7" s="1455" t="s">
        <v>125</v>
      </c>
      <c r="B7" s="1456" t="s">
        <v>3540</v>
      </c>
      <c r="C7" s="1457">
        <f>+Default_value</f>
        <v>50</v>
      </c>
      <c r="D7" s="1457"/>
      <c r="E7" s="1457">
        <f>+Default_value</f>
        <v>60</v>
      </c>
      <c r="F7" s="1457"/>
      <c r="G7" s="1457">
        <f>+Default_value</f>
        <v>50</v>
      </c>
      <c r="H7" s="1457"/>
      <c r="I7" s="1457">
        <f>+Default_value</f>
        <v>60</v>
      </c>
      <c r="J7" s="1457"/>
      <c r="K7" s="1457">
        <f>+Default_value</f>
        <v>0</v>
      </c>
      <c r="L7" s="1457"/>
      <c r="M7" s="1457" t="str">
        <f t="shared" ref="M7:P8" si="1">+Default_value</f>
        <v>NA</v>
      </c>
      <c r="N7" s="1457" t="str">
        <f t="shared" si="1"/>
        <v>NA</v>
      </c>
      <c r="O7" s="1457" t="str">
        <f t="shared" si="1"/>
        <v>NA</v>
      </c>
      <c r="P7" s="1457" t="str">
        <f t="shared" si="1"/>
        <v>NA</v>
      </c>
      <c r="Q7" s="1457"/>
      <c r="R7" s="1457"/>
      <c r="S7" s="1457"/>
      <c r="T7" s="1457"/>
      <c r="U7" s="1457" t="str">
        <f>+Default_value</f>
        <v>NA</v>
      </c>
      <c r="V7" s="1457"/>
      <c r="W7" s="1457" t="str">
        <f t="shared" ref="W7:X9" si="2">+Default_value</f>
        <v>NA</v>
      </c>
      <c r="X7" s="1457">
        <f t="shared" si="2"/>
        <v>15</v>
      </c>
      <c r="Y7" s="1457"/>
      <c r="Z7" s="1457">
        <f>+Default_value</f>
        <v>13</v>
      </c>
      <c r="AA7" s="1457"/>
      <c r="AB7" s="1458"/>
    </row>
    <row r="8" spans="1:31" ht="15" customHeight="1" x14ac:dyDescent="0.45">
      <c r="A8" s="1455" t="s">
        <v>126</v>
      </c>
      <c r="B8" s="1456" t="s">
        <v>3540</v>
      </c>
      <c r="C8" s="1457" t="str">
        <f>+Default_value</f>
        <v>NA</v>
      </c>
      <c r="D8" s="1457"/>
      <c r="E8" s="1457" t="str">
        <f>+Default_value</f>
        <v>NA</v>
      </c>
      <c r="F8" s="1457"/>
      <c r="G8" s="1457" t="str">
        <f>+Default_value</f>
        <v>NA</v>
      </c>
      <c r="H8" s="1457"/>
      <c r="I8" s="1457" t="str">
        <f>+Default_value</f>
        <v>NA</v>
      </c>
      <c r="J8" s="1457"/>
      <c r="K8" s="1457">
        <f>+Default_value</f>
        <v>20.2</v>
      </c>
      <c r="L8" s="1457"/>
      <c r="M8" s="1457">
        <f t="shared" si="1"/>
        <v>3.4285700000000001</v>
      </c>
      <c r="N8" s="1457">
        <f t="shared" si="1"/>
        <v>2.2999999999999998</v>
      </c>
      <c r="O8" s="1457">
        <f t="shared" si="1"/>
        <v>4.8</v>
      </c>
      <c r="P8" s="1457">
        <f t="shared" si="1"/>
        <v>4</v>
      </c>
      <c r="Q8" s="1457"/>
      <c r="R8" s="1457"/>
      <c r="S8" s="1457"/>
      <c r="T8" s="1457"/>
      <c r="U8" s="1457">
        <f>+Default_value</f>
        <v>2.2999999999999998</v>
      </c>
      <c r="V8" s="1457"/>
      <c r="W8" s="1457" t="str">
        <f t="shared" si="2"/>
        <v>NA</v>
      </c>
      <c r="X8" s="1457">
        <f t="shared" si="2"/>
        <v>14</v>
      </c>
      <c r="Y8" s="1457"/>
      <c r="Z8" s="1457">
        <f>+Default_value</f>
        <v>14</v>
      </c>
      <c r="AA8" s="1457"/>
      <c r="AB8" s="1458"/>
    </row>
    <row r="9" spans="1:31" ht="15" customHeight="1" x14ac:dyDescent="0.45">
      <c r="A9" s="1571" t="s">
        <v>196</v>
      </c>
      <c r="B9" s="1456" t="s">
        <v>3541</v>
      </c>
      <c r="C9" s="1457" t="str">
        <f>+Default_value</f>
        <v>NA</v>
      </c>
      <c r="D9" s="1572"/>
      <c r="E9" s="1457" t="str">
        <f>+Default_value</f>
        <v>NA</v>
      </c>
      <c r="F9" s="1572"/>
      <c r="G9" s="1457" t="str">
        <f>+Default_value</f>
        <v>NA</v>
      </c>
      <c r="H9" s="1572"/>
      <c r="I9" s="1457" t="str">
        <f>+Default_value</f>
        <v>NA</v>
      </c>
      <c r="J9" s="1572"/>
      <c r="K9" s="1457">
        <f>+Default_value</f>
        <v>29.5</v>
      </c>
      <c r="L9" s="1572"/>
      <c r="M9" s="1457">
        <f>+Default_value</f>
        <v>3.2</v>
      </c>
      <c r="N9" s="1457">
        <f>+Default_value</f>
        <v>2.4</v>
      </c>
      <c r="O9" s="1457">
        <f>+Default_value</f>
        <v>4</v>
      </c>
      <c r="P9" s="1457">
        <f>+Default_value</f>
        <v>3</v>
      </c>
      <c r="Q9" s="1572"/>
      <c r="R9" s="1572"/>
      <c r="S9" s="1572"/>
      <c r="T9" s="1572"/>
      <c r="U9" s="1457">
        <f>+Default_value</f>
        <v>2.4</v>
      </c>
      <c r="V9" s="1572"/>
      <c r="W9" s="1457" t="str">
        <f t="shared" si="2"/>
        <v>NA</v>
      </c>
      <c r="X9" s="1457" t="str">
        <f t="shared" si="2"/>
        <v>NA</v>
      </c>
      <c r="Y9" s="1572"/>
      <c r="Z9" s="1457" t="str">
        <f>+Default_value</f>
        <v>NA</v>
      </c>
      <c r="AA9" s="1572"/>
      <c r="AB9" s="1573"/>
    </row>
    <row r="10" spans="1:31" x14ac:dyDescent="0.45">
      <c r="A10" s="1455" t="s">
        <v>1161</v>
      </c>
      <c r="B10" s="1456" t="s">
        <v>23</v>
      </c>
      <c r="C10" s="1456"/>
      <c r="D10" s="1459">
        <f>+Default_value</f>
        <v>2.8000000000000001E-2</v>
      </c>
      <c r="E10" s="1456"/>
      <c r="F10" s="1459">
        <f>+Default_value</f>
        <v>2.8000000000000001E-2</v>
      </c>
      <c r="G10" s="1459"/>
      <c r="H10" s="1459">
        <f>+Default_value</f>
        <v>2.8000000000000001E-2</v>
      </c>
      <c r="I10" s="1456"/>
      <c r="J10" s="1459">
        <f>+Default_value</f>
        <v>2.8000000000000001E-2</v>
      </c>
      <c r="K10" s="1459"/>
      <c r="L10" s="1459">
        <f>+Default_value</f>
        <v>7.8E-2</v>
      </c>
      <c r="M10" s="2072"/>
      <c r="N10" s="2072"/>
      <c r="O10" s="2072"/>
      <c r="P10" s="2072"/>
      <c r="Q10" s="1459">
        <f>+Default_value</f>
        <v>1.1000000000000001</v>
      </c>
      <c r="R10" s="1459">
        <f>+Default_value</f>
        <v>1.3</v>
      </c>
      <c r="S10" s="1459">
        <f>+Default_value</f>
        <v>0.9</v>
      </c>
      <c r="T10" s="1459">
        <f>+Default_value</f>
        <v>1.1000000000000001</v>
      </c>
      <c r="U10" s="1459"/>
      <c r="V10" s="1459">
        <f>+Default_value</f>
        <v>1.1000000000000001</v>
      </c>
      <c r="W10" s="1459"/>
      <c r="X10" s="1459"/>
      <c r="Y10" s="1459">
        <f>+Default_value</f>
        <v>0.13800000000000001</v>
      </c>
      <c r="Z10" s="1459"/>
      <c r="AA10" s="1459">
        <f>+Default_value</f>
        <v>0.13800000000000001</v>
      </c>
      <c r="AB10" s="1459">
        <f>Tech_Spec_Rail!$K$24/Convert!$B$12</f>
        <v>17.72111111111111</v>
      </c>
    </row>
    <row r="11" spans="1:31" x14ac:dyDescent="0.45">
      <c r="A11" s="1455" t="s">
        <v>1148</v>
      </c>
      <c r="B11" s="1456" t="s">
        <v>3541</v>
      </c>
      <c r="C11" s="1457"/>
      <c r="D11" s="1459"/>
      <c r="E11" s="1459"/>
      <c r="F11" s="1459"/>
      <c r="G11" s="1459"/>
      <c r="H11" s="1459"/>
      <c r="I11" s="1459"/>
      <c r="J11" s="1459"/>
      <c r="K11" s="1459"/>
      <c r="L11" s="1459"/>
      <c r="M11" s="2072"/>
      <c r="N11" s="2072"/>
      <c r="O11" s="2072"/>
      <c r="P11" s="2072"/>
      <c r="Q11" s="1459"/>
      <c r="R11" s="1459"/>
      <c r="S11" s="1459"/>
      <c r="T11" s="1459"/>
      <c r="U11" s="1459"/>
      <c r="V11" s="1459"/>
      <c r="W11" s="1459">
        <f>+Default_value</f>
        <v>12</v>
      </c>
      <c r="X11" s="1459"/>
      <c r="Y11" s="1459"/>
      <c r="Z11" s="1459"/>
      <c r="AA11" s="1459"/>
      <c r="AB11" s="1459"/>
    </row>
    <row r="12" spans="1:31" x14ac:dyDescent="0.45">
      <c r="A12" s="1455" t="s">
        <v>25</v>
      </c>
      <c r="B12" s="1456" t="s">
        <v>26</v>
      </c>
      <c r="C12" s="1456"/>
      <c r="D12" s="1460">
        <f>+Default_value</f>
        <v>1</v>
      </c>
      <c r="E12" s="1461"/>
      <c r="F12" s="1460">
        <f>+Default_value</f>
        <v>1</v>
      </c>
      <c r="G12" s="1461"/>
      <c r="H12" s="1460">
        <f>+Default_value</f>
        <v>1</v>
      </c>
      <c r="I12" s="1461"/>
      <c r="J12" s="1460">
        <f>+Default_value</f>
        <v>1</v>
      </c>
      <c r="K12" s="1456"/>
      <c r="L12" s="1460">
        <f>+Default_value</f>
        <v>1</v>
      </c>
      <c r="M12" s="2072"/>
      <c r="N12" s="2072"/>
      <c r="O12" s="2072"/>
      <c r="P12" s="2072"/>
      <c r="Q12" s="1460">
        <f t="shared" ref="Q12:W16" si="3">+Default_value</f>
        <v>1</v>
      </c>
      <c r="R12" s="1460">
        <f t="shared" si="3"/>
        <v>1</v>
      </c>
      <c r="S12" s="1460">
        <f t="shared" si="3"/>
        <v>1</v>
      </c>
      <c r="T12" s="1460">
        <f t="shared" si="3"/>
        <v>1</v>
      </c>
      <c r="U12" s="1461"/>
      <c r="V12" s="1460">
        <f t="shared" si="3"/>
        <v>1</v>
      </c>
      <c r="W12" s="1461"/>
      <c r="X12" s="1461"/>
      <c r="Y12" s="1460">
        <f t="shared" ref="Y12:AB16" si="4">+Default_value</f>
        <v>1</v>
      </c>
      <c r="Z12" s="1460">
        <f t="shared" si="4"/>
        <v>0</v>
      </c>
      <c r="AA12" s="1460">
        <f t="shared" si="4"/>
        <v>1</v>
      </c>
      <c r="AB12" s="1460">
        <f t="shared" si="4"/>
        <v>1</v>
      </c>
    </row>
    <row r="13" spans="1:31" x14ac:dyDescent="0.45">
      <c r="A13" s="1462" t="s">
        <v>0</v>
      </c>
      <c r="B13" s="1456" t="s">
        <v>1</v>
      </c>
      <c r="C13" s="1457">
        <f>+Default_value</f>
        <v>10</v>
      </c>
      <c r="D13" s="1457">
        <f>+Default_value</f>
        <v>10</v>
      </c>
      <c r="E13" s="1457">
        <f t="shared" ref="E13:G16" si="5">+Default_value</f>
        <v>10</v>
      </c>
      <c r="F13" s="1457">
        <f t="shared" si="5"/>
        <v>10</v>
      </c>
      <c r="G13" s="1457">
        <f t="shared" si="5"/>
        <v>6</v>
      </c>
      <c r="H13" s="1457">
        <f>+Default_value</f>
        <v>6</v>
      </c>
      <c r="I13" s="1457">
        <f>+Default_value</f>
        <v>6</v>
      </c>
      <c r="J13" s="1457">
        <f t="shared" ref="I13:K16" si="6">+Default_value</f>
        <v>6</v>
      </c>
      <c r="K13" s="1457">
        <f t="shared" si="6"/>
        <v>8</v>
      </c>
      <c r="L13" s="1457">
        <f>+Default_value</f>
        <v>8</v>
      </c>
      <c r="M13" s="1457">
        <f t="shared" ref="M13:P16" si="7">+Default_value</f>
        <v>12</v>
      </c>
      <c r="N13" s="1457">
        <f t="shared" si="7"/>
        <v>12</v>
      </c>
      <c r="O13" s="1457">
        <f t="shared" si="7"/>
        <v>12</v>
      </c>
      <c r="P13" s="1457">
        <f t="shared" si="7"/>
        <v>12</v>
      </c>
      <c r="Q13" s="1457">
        <f t="shared" si="3"/>
        <v>12</v>
      </c>
      <c r="R13" s="1457">
        <f t="shared" si="3"/>
        <v>12</v>
      </c>
      <c r="S13" s="1457">
        <f t="shared" si="3"/>
        <v>12</v>
      </c>
      <c r="T13" s="1457">
        <f t="shared" si="3"/>
        <v>12</v>
      </c>
      <c r="U13" s="1457">
        <f t="shared" si="3"/>
        <v>12</v>
      </c>
      <c r="V13" s="1457">
        <f t="shared" si="3"/>
        <v>12</v>
      </c>
      <c r="W13" s="1457">
        <f t="shared" si="3"/>
        <v>12</v>
      </c>
      <c r="X13" s="1457">
        <f>+Default_value</f>
        <v>15</v>
      </c>
      <c r="Y13" s="1457">
        <f t="shared" si="4"/>
        <v>15</v>
      </c>
      <c r="Z13" s="1457">
        <f t="shared" si="4"/>
        <v>10</v>
      </c>
      <c r="AA13" s="1457">
        <f t="shared" si="4"/>
        <v>10</v>
      </c>
      <c r="AB13" s="1457">
        <f t="shared" si="4"/>
        <v>40</v>
      </c>
    </row>
    <row r="14" spans="1:31" ht="26.25" x14ac:dyDescent="0.45">
      <c r="A14" s="1462" t="s">
        <v>2</v>
      </c>
      <c r="B14" s="1456" t="s">
        <v>3</v>
      </c>
      <c r="C14" s="1457">
        <f>+Default_value</f>
        <v>6500</v>
      </c>
      <c r="D14" s="1457">
        <f>+Default_value</f>
        <v>6500</v>
      </c>
      <c r="E14" s="1457">
        <f t="shared" si="5"/>
        <v>6500</v>
      </c>
      <c r="F14" s="1457">
        <f t="shared" si="5"/>
        <v>6500</v>
      </c>
      <c r="G14" s="1457">
        <f t="shared" si="5"/>
        <v>18000</v>
      </c>
      <c r="H14" s="1457">
        <f>+Default_value</f>
        <v>18000</v>
      </c>
      <c r="I14" s="1457">
        <f t="shared" si="6"/>
        <v>18000</v>
      </c>
      <c r="J14" s="1457">
        <f t="shared" si="6"/>
        <v>18000</v>
      </c>
      <c r="K14" s="1457">
        <f t="shared" si="6"/>
        <v>35000</v>
      </c>
      <c r="L14" s="1457">
        <f>+Default_value</f>
        <v>35000</v>
      </c>
      <c r="M14" s="1457">
        <f t="shared" si="7"/>
        <v>60000</v>
      </c>
      <c r="N14" s="1457">
        <f t="shared" si="7"/>
        <v>70000</v>
      </c>
      <c r="O14" s="1457">
        <f t="shared" si="7"/>
        <v>60000</v>
      </c>
      <c r="P14" s="1457">
        <f t="shared" si="7"/>
        <v>70000</v>
      </c>
      <c r="Q14" s="1457">
        <f t="shared" si="3"/>
        <v>60000</v>
      </c>
      <c r="R14" s="1457">
        <f t="shared" si="3"/>
        <v>70000</v>
      </c>
      <c r="S14" s="1457">
        <f t="shared" si="3"/>
        <v>60000</v>
      </c>
      <c r="T14" s="1457">
        <f t="shared" si="3"/>
        <v>70000</v>
      </c>
      <c r="U14" s="1457">
        <f t="shared" si="3"/>
        <v>122500</v>
      </c>
      <c r="V14" s="1457">
        <f t="shared" si="3"/>
        <v>122500</v>
      </c>
      <c r="W14" s="1457">
        <f t="shared" si="3"/>
        <v>122500</v>
      </c>
      <c r="X14" s="1457">
        <f>+Default_value</f>
        <v>12100</v>
      </c>
      <c r="Y14" s="1457">
        <f t="shared" si="4"/>
        <v>12100</v>
      </c>
      <c r="Z14" s="1457">
        <f t="shared" si="4"/>
        <v>48000</v>
      </c>
      <c r="AA14" s="1457">
        <f t="shared" si="4"/>
        <v>48000</v>
      </c>
      <c r="AB14" s="1457">
        <f t="shared" si="4"/>
        <v>179200</v>
      </c>
    </row>
    <row r="15" spans="1:31" ht="15" customHeight="1" x14ac:dyDescent="0.45">
      <c r="A15" s="1462" t="s">
        <v>12</v>
      </c>
      <c r="B15" s="1456" t="s">
        <v>13</v>
      </c>
      <c r="C15" s="1457">
        <f>+Default_value</f>
        <v>1</v>
      </c>
      <c r="D15" s="1457">
        <f>+Default_value</f>
        <v>1</v>
      </c>
      <c r="E15" s="1457">
        <f t="shared" si="5"/>
        <v>1</v>
      </c>
      <c r="F15" s="1457">
        <f t="shared" si="5"/>
        <v>1</v>
      </c>
      <c r="G15" s="1457">
        <f t="shared" si="5"/>
        <v>1</v>
      </c>
      <c r="H15" s="1457">
        <f>+Default_value</f>
        <v>1</v>
      </c>
      <c r="I15" s="1457">
        <f t="shared" si="6"/>
        <v>1</v>
      </c>
      <c r="J15" s="1457">
        <f t="shared" si="6"/>
        <v>1</v>
      </c>
      <c r="K15" s="1457">
        <f t="shared" si="6"/>
        <v>2</v>
      </c>
      <c r="L15" s="1457">
        <f>+Default_value</f>
        <v>2</v>
      </c>
      <c r="M15" s="1457">
        <f t="shared" si="7"/>
        <v>25</v>
      </c>
      <c r="N15" s="1457">
        <f t="shared" si="7"/>
        <v>34</v>
      </c>
      <c r="O15" s="1457">
        <f t="shared" si="7"/>
        <v>25</v>
      </c>
      <c r="P15" s="1457">
        <f t="shared" si="7"/>
        <v>34</v>
      </c>
      <c r="Q15" s="1457">
        <f t="shared" si="3"/>
        <v>25</v>
      </c>
      <c r="R15" s="1457">
        <f t="shared" si="3"/>
        <v>34</v>
      </c>
      <c r="S15" s="1457">
        <f t="shared" si="3"/>
        <v>25</v>
      </c>
      <c r="T15" s="1457">
        <f t="shared" si="3"/>
        <v>34</v>
      </c>
      <c r="U15" s="1457">
        <f t="shared" si="3"/>
        <v>25</v>
      </c>
      <c r="V15" s="1457">
        <f t="shared" si="3"/>
        <v>25</v>
      </c>
      <c r="W15" s="1457">
        <f t="shared" si="3"/>
        <v>25</v>
      </c>
      <c r="X15" s="1457">
        <f>+Default_value</f>
        <v>1.5</v>
      </c>
      <c r="Y15" s="1457">
        <f t="shared" si="4"/>
        <v>1.5</v>
      </c>
      <c r="Z15" s="1457">
        <f t="shared" si="4"/>
        <v>0.95188235294117651</v>
      </c>
      <c r="AA15" s="1457">
        <f t="shared" si="4"/>
        <v>0.95188235294117651</v>
      </c>
      <c r="AB15" s="1457">
        <f t="shared" si="4"/>
        <v>400</v>
      </c>
    </row>
    <row r="16" spans="1:31" x14ac:dyDescent="0.45">
      <c r="A16" s="1463" t="s">
        <v>8</v>
      </c>
      <c r="B16" s="1464" t="s">
        <v>9</v>
      </c>
      <c r="C16" s="1465">
        <f>+Default_value</f>
        <v>99</v>
      </c>
      <c r="D16" s="1465">
        <f>+Default_value</f>
        <v>83.3</v>
      </c>
      <c r="E16" s="1465">
        <f t="shared" si="5"/>
        <v>104.4</v>
      </c>
      <c r="F16" s="2073">
        <f t="shared" si="5"/>
        <v>83</v>
      </c>
      <c r="G16" s="1465">
        <f t="shared" si="5"/>
        <v>99</v>
      </c>
      <c r="H16" s="1465">
        <f>+Default_value</f>
        <v>83.3</v>
      </c>
      <c r="I16" s="1465">
        <f t="shared" si="6"/>
        <v>104.4</v>
      </c>
      <c r="J16" s="1465">
        <f t="shared" si="6"/>
        <v>83</v>
      </c>
      <c r="K16" s="1465">
        <f t="shared" si="6"/>
        <v>350</v>
      </c>
      <c r="L16" s="1465">
        <f>+Default_value</f>
        <v>300</v>
      </c>
      <c r="M16" s="1465">
        <f t="shared" si="7"/>
        <v>6805</v>
      </c>
      <c r="N16" s="1465">
        <f t="shared" si="7"/>
        <v>9950</v>
      </c>
      <c r="O16" s="1465">
        <f t="shared" si="7"/>
        <v>6805</v>
      </c>
      <c r="P16" s="1465">
        <f t="shared" si="7"/>
        <v>9950</v>
      </c>
      <c r="Q16" s="1465">
        <f>+Default_value</f>
        <v>8500</v>
      </c>
      <c r="R16" s="1465">
        <f t="shared" si="3"/>
        <v>10800</v>
      </c>
      <c r="S16" s="1465">
        <f t="shared" si="3"/>
        <v>8500</v>
      </c>
      <c r="T16" s="1465">
        <f t="shared" si="3"/>
        <v>10800</v>
      </c>
      <c r="U16" s="1465">
        <f t="shared" si="3"/>
        <v>9950</v>
      </c>
      <c r="V16" s="1465">
        <f t="shared" si="3"/>
        <v>10800</v>
      </c>
      <c r="W16" s="1465">
        <f t="shared" si="3"/>
        <v>9950</v>
      </c>
      <c r="X16" s="1465">
        <f>+Default_value</f>
        <v>1300</v>
      </c>
      <c r="Y16" s="1465">
        <f t="shared" si="4"/>
        <v>1240</v>
      </c>
      <c r="Z16" s="1465">
        <f t="shared" si="4"/>
        <v>1300</v>
      </c>
      <c r="AA16" s="1465">
        <f t="shared" si="4"/>
        <v>1240</v>
      </c>
      <c r="AB16" s="1465">
        <f t="shared" si="4"/>
        <v>186000</v>
      </c>
    </row>
    <row r="17" spans="1:28" x14ac:dyDescent="0.45">
      <c r="A17" s="34" t="s">
        <v>50</v>
      </c>
      <c r="B17" s="27" t="s">
        <v>26</v>
      </c>
      <c r="C17" s="29"/>
      <c r="D17" s="29"/>
      <c r="E17" s="29"/>
      <c r="F17" s="29"/>
      <c r="G17" s="29"/>
      <c r="H17" s="30"/>
      <c r="I17" s="30"/>
      <c r="J17" s="30"/>
      <c r="K17" s="29"/>
      <c r="L17" s="29"/>
      <c r="M17" s="1955"/>
      <c r="N17" s="1955"/>
      <c r="O17" s="1955"/>
      <c r="P17" s="1955"/>
      <c r="Q17" s="30"/>
      <c r="R17" s="30"/>
      <c r="S17" s="30"/>
      <c r="T17" s="30"/>
      <c r="U17" s="30"/>
      <c r="V17" s="30"/>
      <c r="W17" s="30"/>
      <c r="X17" s="30"/>
      <c r="Y17" s="30"/>
      <c r="Z17" s="30"/>
      <c r="AA17" s="30"/>
      <c r="AB17" s="26"/>
    </row>
    <row r="18" spans="1:28" x14ac:dyDescent="0.45">
      <c r="A18" s="1452" t="s">
        <v>51</v>
      </c>
      <c r="B18" s="1466"/>
      <c r="C18" s="1467">
        <f t="shared" ref="C18:Q18" si="8">+Default_value</f>
        <v>0.38181818181818183</v>
      </c>
      <c r="D18" s="1467">
        <f t="shared" si="8"/>
        <v>0.45378151260504196</v>
      </c>
      <c r="E18" s="1467">
        <f t="shared" si="8"/>
        <v>0.45951219512195118</v>
      </c>
      <c r="F18" s="1467">
        <f t="shared" si="8"/>
        <v>0.41445783132530117</v>
      </c>
      <c r="G18" s="1467">
        <f t="shared" si="8"/>
        <v>0.38181818181818183</v>
      </c>
      <c r="H18" s="1467">
        <f t="shared" si="8"/>
        <v>0.45378151260504196</v>
      </c>
      <c r="I18" s="1467">
        <f t="shared" si="8"/>
        <v>0.45951219512195118</v>
      </c>
      <c r="J18" s="1467">
        <f t="shared" si="8"/>
        <v>0.41445783132530117</v>
      </c>
      <c r="K18" s="1467">
        <f t="shared" si="8"/>
        <v>0.67046855733662147</v>
      </c>
      <c r="L18" s="1467">
        <f t="shared" si="8"/>
        <v>0.67674418604651154</v>
      </c>
      <c r="M18" s="1467">
        <f t="shared" si="8"/>
        <v>0.53747902293492456</v>
      </c>
      <c r="N18" s="1467">
        <f t="shared" si="8"/>
        <v>0.53747902293492456</v>
      </c>
      <c r="O18" s="1467">
        <f t="shared" si="8"/>
        <v>0.53747902293492456</v>
      </c>
      <c r="P18" s="1467">
        <f t="shared" si="8"/>
        <v>0.53747902293492456</v>
      </c>
      <c r="Q18" s="1467">
        <f t="shared" si="8"/>
        <v>0.55105357066995209</v>
      </c>
      <c r="R18" s="1467">
        <f t="shared" ref="R18:AB28" si="9">+Default_value</f>
        <v>0.55105357066995209</v>
      </c>
      <c r="S18" s="1467">
        <f t="shared" si="9"/>
        <v>0.55105357066995209</v>
      </c>
      <c r="T18" s="1467">
        <f t="shared" si="9"/>
        <v>0.55105357066995209</v>
      </c>
      <c r="U18" s="1467">
        <f t="shared" si="9"/>
        <v>0.53747902293492456</v>
      </c>
      <c r="V18" s="1467">
        <f t="shared" si="9"/>
        <v>0.55105357066995209</v>
      </c>
      <c r="W18" s="1467">
        <f t="shared" si="9"/>
        <v>0.53747902293492456</v>
      </c>
      <c r="X18" s="1467">
        <f t="shared" si="9"/>
        <v>0.68549411465831156</v>
      </c>
      <c r="Y18" s="1467">
        <f t="shared" si="9"/>
        <v>0.76330532212885149</v>
      </c>
      <c r="Z18" s="1467">
        <f t="shared" si="9"/>
        <v>0.68549411465831156</v>
      </c>
      <c r="AA18" s="1467">
        <f t="shared" si="9"/>
        <v>0.76330532212885149</v>
      </c>
      <c r="AB18" s="1467">
        <f t="shared" si="9"/>
        <v>0.69228294154366132</v>
      </c>
    </row>
    <row r="19" spans="1:28" x14ac:dyDescent="0.45">
      <c r="A19" s="1452" t="s">
        <v>52</v>
      </c>
      <c r="B19" s="1466"/>
      <c r="C19" s="1467">
        <f t="shared" ref="C19:L28" si="10">+Default_value</f>
        <v>6.464646464646466E-2</v>
      </c>
      <c r="D19" s="1467">
        <f t="shared" si="10"/>
        <v>7.6830732292917175E-2</v>
      </c>
      <c r="E19" s="1467">
        <f t="shared" si="10"/>
        <v>4.7804878048780489E-2</v>
      </c>
      <c r="F19" s="1467">
        <f t="shared" si="10"/>
        <v>5.9036144578313257E-2</v>
      </c>
      <c r="G19" s="1467">
        <f t="shared" si="10"/>
        <v>6.464646464646466E-2</v>
      </c>
      <c r="H19" s="1467">
        <f t="shared" si="10"/>
        <v>7.6830732292917175E-2</v>
      </c>
      <c r="I19" s="1467">
        <f t="shared" si="10"/>
        <v>4.7804878048780489E-2</v>
      </c>
      <c r="J19" s="1467">
        <f t="shared" si="10"/>
        <v>5.9036144578313257E-2</v>
      </c>
      <c r="K19" s="1467">
        <f t="shared" si="10"/>
        <v>8.6313193588162754E-3</v>
      </c>
      <c r="L19" s="1467">
        <f t="shared" si="10"/>
        <v>9.3023255813953487E-3</v>
      </c>
      <c r="M19" s="1467">
        <f t="shared" ref="M19:Q28" si="11">+Default_value</f>
        <v>9.2195495887459344E-3</v>
      </c>
      <c r="N19" s="1467">
        <f t="shared" si="11"/>
        <v>9.2195495887459344E-3</v>
      </c>
      <c r="O19" s="1467">
        <f t="shared" si="11"/>
        <v>9.2195495887459344E-3</v>
      </c>
      <c r="P19" s="1467">
        <f t="shared" si="11"/>
        <v>9.2195495887459344E-3</v>
      </c>
      <c r="Q19" s="1467">
        <f t="shared" si="11"/>
        <v>8.3478482518373771E-3</v>
      </c>
      <c r="R19" s="1467">
        <f t="shared" si="9"/>
        <v>8.3478482518373771E-3</v>
      </c>
      <c r="S19" s="1467">
        <f t="shared" si="9"/>
        <v>8.3478482518373771E-3</v>
      </c>
      <c r="T19" s="1467">
        <f t="shared" si="9"/>
        <v>8.3478482518373771E-3</v>
      </c>
      <c r="U19" s="1467">
        <f t="shared" si="9"/>
        <v>9.2195495887459344E-3</v>
      </c>
      <c r="V19" s="1467">
        <f t="shared" si="9"/>
        <v>8.3478482518373771E-3</v>
      </c>
      <c r="W19" s="1467">
        <f t="shared" si="9"/>
        <v>9.2195495887459344E-3</v>
      </c>
      <c r="X19" s="1467">
        <f t="shared" si="9"/>
        <v>1.7783046828689981E-2</v>
      </c>
      <c r="Y19" s="1467">
        <f t="shared" si="9"/>
        <v>1.4328808446455505E-2</v>
      </c>
      <c r="Z19" s="1467">
        <f t="shared" si="9"/>
        <v>1.7783046828689981E-2</v>
      </c>
      <c r="AA19" s="1467">
        <f t="shared" si="9"/>
        <v>1.4328808446455505E-2</v>
      </c>
      <c r="AB19" s="1467">
        <f t="shared" si="9"/>
        <v>0</v>
      </c>
    </row>
    <row r="20" spans="1:28" x14ac:dyDescent="0.45">
      <c r="A20" s="1452" t="s">
        <v>53</v>
      </c>
      <c r="B20" s="1466"/>
      <c r="C20" s="1467">
        <f t="shared" si="10"/>
        <v>3.6363636363636369E-2</v>
      </c>
      <c r="D20" s="1467">
        <f t="shared" si="10"/>
        <v>0</v>
      </c>
      <c r="E20" s="1467">
        <f t="shared" si="10"/>
        <v>3.3170731707317068E-2</v>
      </c>
      <c r="F20" s="1467">
        <f t="shared" si="10"/>
        <v>0</v>
      </c>
      <c r="G20" s="1467">
        <f t="shared" si="10"/>
        <v>3.6363636363636369E-2</v>
      </c>
      <c r="H20" s="1467">
        <f t="shared" si="10"/>
        <v>0</v>
      </c>
      <c r="I20" s="1467">
        <f t="shared" si="10"/>
        <v>3.3170731707317068E-2</v>
      </c>
      <c r="J20" s="1467">
        <f t="shared" si="10"/>
        <v>0</v>
      </c>
      <c r="K20" s="1467">
        <f t="shared" si="10"/>
        <v>3.2675709001233046E-2</v>
      </c>
      <c r="L20" s="1467">
        <f t="shared" si="10"/>
        <v>2.0930232558139535E-2</v>
      </c>
      <c r="M20" s="1467">
        <f t="shared" si="11"/>
        <v>0.17243665444299419</v>
      </c>
      <c r="N20" s="1467">
        <f t="shared" si="11"/>
        <v>0.17243665444299419</v>
      </c>
      <c r="O20" s="1467">
        <f t="shared" si="11"/>
        <v>0.17243665444299419</v>
      </c>
      <c r="P20" s="1467">
        <f t="shared" si="11"/>
        <v>0.17243665444299419</v>
      </c>
      <c r="Q20" s="1467">
        <f t="shared" si="11"/>
        <v>0.13995921661922767</v>
      </c>
      <c r="R20" s="1467">
        <f t="shared" si="9"/>
        <v>0.13995921661922767</v>
      </c>
      <c r="S20" s="1467">
        <f t="shared" si="9"/>
        <v>0.13995921661922767</v>
      </c>
      <c r="T20" s="1467">
        <f t="shared" si="9"/>
        <v>0.13995921661922767</v>
      </c>
      <c r="U20" s="1467">
        <f t="shared" si="9"/>
        <v>0.17243665444299419</v>
      </c>
      <c r="V20" s="1467">
        <f t="shared" si="9"/>
        <v>0.13995921661922767</v>
      </c>
      <c r="W20" s="1467">
        <f t="shared" si="9"/>
        <v>0.17243665444299419</v>
      </c>
      <c r="X20" s="1467">
        <f t="shared" si="9"/>
        <v>0.13100177830468288</v>
      </c>
      <c r="Y20" s="1467">
        <f t="shared" si="9"/>
        <v>4.686489980607627E-2</v>
      </c>
      <c r="Z20" s="1467">
        <f t="shared" si="9"/>
        <v>0.13100177830468288</v>
      </c>
      <c r="AA20" s="1467">
        <f t="shared" si="9"/>
        <v>4.686489980607627E-2</v>
      </c>
      <c r="AB20" s="1467">
        <f t="shared" si="9"/>
        <v>0</v>
      </c>
    </row>
    <row r="21" spans="1:28" x14ac:dyDescent="0.45">
      <c r="A21" s="1452" t="s">
        <v>54</v>
      </c>
      <c r="B21" s="1466"/>
      <c r="C21" s="1467">
        <f t="shared" si="10"/>
        <v>0</v>
      </c>
      <c r="D21" s="1467">
        <f t="shared" si="10"/>
        <v>0</v>
      </c>
      <c r="E21" s="1467">
        <f t="shared" si="10"/>
        <v>0</v>
      </c>
      <c r="F21" s="1467">
        <f t="shared" si="10"/>
        <v>0</v>
      </c>
      <c r="G21" s="1467">
        <f t="shared" si="10"/>
        <v>0</v>
      </c>
      <c r="H21" s="1467">
        <f t="shared" si="10"/>
        <v>0</v>
      </c>
      <c r="I21" s="1467">
        <f t="shared" si="10"/>
        <v>0</v>
      </c>
      <c r="J21" s="1467">
        <f t="shared" si="10"/>
        <v>0</v>
      </c>
      <c r="K21" s="1467">
        <f t="shared" si="10"/>
        <v>0</v>
      </c>
      <c r="L21" s="1467">
        <f t="shared" si="10"/>
        <v>0</v>
      </c>
      <c r="M21" s="1467">
        <f t="shared" si="11"/>
        <v>0.18925974268133508</v>
      </c>
      <c r="N21" s="1467">
        <f t="shared" si="11"/>
        <v>0.18925974268133508</v>
      </c>
      <c r="O21" s="1467">
        <f t="shared" si="11"/>
        <v>0.18925974268133508</v>
      </c>
      <c r="P21" s="1467">
        <f t="shared" si="11"/>
        <v>0.18925974268133508</v>
      </c>
      <c r="Q21" s="1467">
        <f t="shared" si="11"/>
        <v>0.19329623178554742</v>
      </c>
      <c r="R21" s="1467">
        <f t="shared" si="9"/>
        <v>0.19329623178554742</v>
      </c>
      <c r="S21" s="1467">
        <f t="shared" si="9"/>
        <v>0.19329623178554742</v>
      </c>
      <c r="T21" s="1467">
        <f t="shared" si="9"/>
        <v>0.19329623178554742</v>
      </c>
      <c r="U21" s="1467">
        <f t="shared" si="9"/>
        <v>0.18925974268133508</v>
      </c>
      <c r="V21" s="1467">
        <f t="shared" si="9"/>
        <v>0.19329623178554742</v>
      </c>
      <c r="W21" s="1467">
        <f t="shared" si="9"/>
        <v>0.18925974268133508</v>
      </c>
      <c r="X21" s="1467">
        <f t="shared" si="9"/>
        <v>0</v>
      </c>
      <c r="Y21" s="1467">
        <f t="shared" si="9"/>
        <v>0</v>
      </c>
      <c r="Z21" s="1467">
        <f t="shared" si="9"/>
        <v>0</v>
      </c>
      <c r="AA21" s="1467">
        <f t="shared" si="9"/>
        <v>0</v>
      </c>
      <c r="AB21" s="1467">
        <f t="shared" si="9"/>
        <v>0.10783189729661412</v>
      </c>
    </row>
    <row r="22" spans="1:28" x14ac:dyDescent="0.45">
      <c r="A22" s="1452" t="s">
        <v>55</v>
      </c>
      <c r="B22" s="1466"/>
      <c r="C22" s="1467">
        <f t="shared" si="10"/>
        <v>0.28888888888888897</v>
      </c>
      <c r="D22" s="1467">
        <f t="shared" si="10"/>
        <v>0.24129651860744297</v>
      </c>
      <c r="E22" s="1467">
        <f t="shared" si="10"/>
        <v>0.23121951219512193</v>
      </c>
      <c r="F22" s="1467">
        <f t="shared" si="10"/>
        <v>0.29277108433734939</v>
      </c>
      <c r="G22" s="1467">
        <f t="shared" si="10"/>
        <v>0.28888888888888897</v>
      </c>
      <c r="H22" s="1467">
        <f t="shared" si="10"/>
        <v>0.24129651860744297</v>
      </c>
      <c r="I22" s="1467">
        <f t="shared" si="10"/>
        <v>0.23121951219512193</v>
      </c>
      <c r="J22" s="1467">
        <f t="shared" si="10"/>
        <v>0.29277108433734939</v>
      </c>
      <c r="K22" s="1467">
        <f t="shared" si="10"/>
        <v>7.9839704069050554E-2</v>
      </c>
      <c r="L22" s="1467">
        <f t="shared" si="10"/>
        <v>9.867109634551495E-2</v>
      </c>
      <c r="M22" s="1467">
        <f t="shared" si="11"/>
        <v>1.1218845173721176E-2</v>
      </c>
      <c r="N22" s="1467">
        <f t="shared" si="11"/>
        <v>1.1218845173721176E-2</v>
      </c>
      <c r="O22" s="1467">
        <f t="shared" si="11"/>
        <v>1.1218845173721176E-2</v>
      </c>
      <c r="P22" s="1467">
        <f t="shared" si="11"/>
        <v>1.1218845173721176E-2</v>
      </c>
      <c r="Q22" s="1467">
        <f t="shared" si="11"/>
        <v>9.8772250307999493E-3</v>
      </c>
      <c r="R22" s="1467">
        <f t="shared" si="9"/>
        <v>9.8772250307999493E-3</v>
      </c>
      <c r="S22" s="1467">
        <f t="shared" si="9"/>
        <v>9.8772250307999493E-3</v>
      </c>
      <c r="T22" s="1467">
        <f t="shared" si="9"/>
        <v>9.8772250307999493E-3</v>
      </c>
      <c r="U22" s="1467">
        <f t="shared" si="9"/>
        <v>1.1218845173721176E-2</v>
      </c>
      <c r="V22" s="1467">
        <f t="shared" si="9"/>
        <v>9.8772250307999493E-3</v>
      </c>
      <c r="W22" s="1467">
        <f t="shared" si="9"/>
        <v>1.1218845173721176E-2</v>
      </c>
      <c r="X22" s="1467">
        <f t="shared" si="9"/>
        <v>3.7683123041747826E-2</v>
      </c>
      <c r="Y22" s="1467">
        <f t="shared" si="9"/>
        <v>3.0596854126265886E-2</v>
      </c>
      <c r="Z22" s="1467">
        <f t="shared" si="9"/>
        <v>3.7683123041747826E-2</v>
      </c>
      <c r="AA22" s="1467">
        <f t="shared" si="9"/>
        <v>3.0596854126265886E-2</v>
      </c>
      <c r="AB22" s="1467">
        <f t="shared" si="9"/>
        <v>0</v>
      </c>
    </row>
    <row r="23" spans="1:28" x14ac:dyDescent="0.45">
      <c r="A23" s="1452" t="s">
        <v>56</v>
      </c>
      <c r="B23" s="1466"/>
      <c r="C23" s="1467">
        <f t="shared" si="10"/>
        <v>0</v>
      </c>
      <c r="D23" s="1467">
        <f t="shared" si="10"/>
        <v>0</v>
      </c>
      <c r="E23" s="1467">
        <f t="shared" si="10"/>
        <v>0</v>
      </c>
      <c r="F23" s="1467">
        <f t="shared" si="10"/>
        <v>0</v>
      </c>
      <c r="G23" s="1467">
        <f t="shared" si="10"/>
        <v>0</v>
      </c>
      <c r="H23" s="1467">
        <f t="shared" si="10"/>
        <v>0</v>
      </c>
      <c r="I23" s="1467">
        <f t="shared" si="10"/>
        <v>0</v>
      </c>
      <c r="J23" s="1467">
        <f t="shared" si="10"/>
        <v>0</v>
      </c>
      <c r="K23" s="1467">
        <f t="shared" si="10"/>
        <v>0</v>
      </c>
      <c r="L23" s="1467">
        <f t="shared" si="10"/>
        <v>0</v>
      </c>
      <c r="M23" s="1467">
        <f t="shared" si="11"/>
        <v>0</v>
      </c>
      <c r="N23" s="1467">
        <f t="shared" si="11"/>
        <v>0</v>
      </c>
      <c r="O23" s="1467">
        <f t="shared" si="11"/>
        <v>0</v>
      </c>
      <c r="P23" s="1467">
        <f t="shared" si="11"/>
        <v>0</v>
      </c>
      <c r="Q23" s="1467">
        <f t="shared" si="11"/>
        <v>0</v>
      </c>
      <c r="R23" s="1467">
        <f t="shared" si="9"/>
        <v>0</v>
      </c>
      <c r="S23" s="1467">
        <f t="shared" si="9"/>
        <v>0</v>
      </c>
      <c r="T23" s="1467">
        <f t="shared" si="9"/>
        <v>0</v>
      </c>
      <c r="U23" s="1467">
        <f t="shared" si="9"/>
        <v>0</v>
      </c>
      <c r="V23" s="1467">
        <f t="shared" si="9"/>
        <v>0</v>
      </c>
      <c r="W23" s="1467">
        <f t="shared" si="9"/>
        <v>0</v>
      </c>
      <c r="X23" s="1467">
        <f t="shared" si="9"/>
        <v>0</v>
      </c>
      <c r="Y23" s="1467">
        <f t="shared" si="9"/>
        <v>0</v>
      </c>
      <c r="Z23" s="1467">
        <f t="shared" si="9"/>
        <v>0</v>
      </c>
      <c r="AA23" s="1467">
        <f t="shared" si="9"/>
        <v>0</v>
      </c>
      <c r="AB23" s="1467">
        <f t="shared" si="9"/>
        <v>0</v>
      </c>
    </row>
    <row r="24" spans="1:28" x14ac:dyDescent="0.45">
      <c r="A24" s="1452" t="s">
        <v>57</v>
      </c>
      <c r="B24" s="1466"/>
      <c r="C24" s="1467">
        <f t="shared" si="10"/>
        <v>0</v>
      </c>
      <c r="D24" s="1467">
        <f t="shared" si="10"/>
        <v>0</v>
      </c>
      <c r="E24" s="1467">
        <f t="shared" si="10"/>
        <v>0</v>
      </c>
      <c r="F24" s="1467">
        <f t="shared" si="10"/>
        <v>0</v>
      </c>
      <c r="G24" s="1467">
        <f t="shared" si="10"/>
        <v>0</v>
      </c>
      <c r="H24" s="1467">
        <f t="shared" si="10"/>
        <v>0</v>
      </c>
      <c r="I24" s="1467">
        <f t="shared" si="10"/>
        <v>0</v>
      </c>
      <c r="J24" s="1467">
        <f t="shared" si="10"/>
        <v>0</v>
      </c>
      <c r="K24" s="1467">
        <f t="shared" si="10"/>
        <v>1.7570900123304561E-2</v>
      </c>
      <c r="L24" s="1467">
        <f t="shared" si="10"/>
        <v>1.8936877076411961E-2</v>
      </c>
      <c r="M24" s="1467">
        <f t="shared" si="11"/>
        <v>1.8024737398222388E-2</v>
      </c>
      <c r="N24" s="1467">
        <f t="shared" si="11"/>
        <v>1.8024737398222388E-2</v>
      </c>
      <c r="O24" s="1467">
        <f t="shared" si="11"/>
        <v>1.8024737398222388E-2</v>
      </c>
      <c r="P24" s="1467">
        <f t="shared" si="11"/>
        <v>1.8024737398222388E-2</v>
      </c>
      <c r="Q24" s="1467">
        <f t="shared" si="11"/>
        <v>1.8479969412464423E-2</v>
      </c>
      <c r="R24" s="1467">
        <f t="shared" si="9"/>
        <v>1.8479969412464423E-2</v>
      </c>
      <c r="S24" s="1467">
        <f t="shared" si="9"/>
        <v>1.8479969412464423E-2</v>
      </c>
      <c r="T24" s="1467">
        <f t="shared" si="9"/>
        <v>1.8479969412464423E-2</v>
      </c>
      <c r="U24" s="1467">
        <f t="shared" si="9"/>
        <v>1.8024737398222388E-2</v>
      </c>
      <c r="V24" s="1467">
        <f t="shared" si="9"/>
        <v>1.8479969412464423E-2</v>
      </c>
      <c r="W24" s="1467">
        <f t="shared" si="9"/>
        <v>1.8024737398222388E-2</v>
      </c>
      <c r="X24" s="1467">
        <f t="shared" si="9"/>
        <v>0</v>
      </c>
      <c r="Y24" s="1467">
        <f t="shared" si="9"/>
        <v>0</v>
      </c>
      <c r="Z24" s="1467">
        <f t="shared" si="9"/>
        <v>0</v>
      </c>
      <c r="AA24" s="1467">
        <f t="shared" si="9"/>
        <v>0</v>
      </c>
      <c r="AB24" s="1467">
        <f t="shared" si="9"/>
        <v>1.6715989775613768E-2</v>
      </c>
    </row>
    <row r="25" spans="1:28" x14ac:dyDescent="0.45">
      <c r="A25" s="1452" t="s">
        <v>58</v>
      </c>
      <c r="B25" s="1466"/>
      <c r="C25" s="1467">
        <f t="shared" si="10"/>
        <v>0.1484848484848485</v>
      </c>
      <c r="D25" s="1467">
        <f t="shared" si="10"/>
        <v>0.15726290516206479</v>
      </c>
      <c r="E25" s="1467">
        <f t="shared" si="10"/>
        <v>0.10926829268292682</v>
      </c>
      <c r="F25" s="1467">
        <f t="shared" si="10"/>
        <v>0.11445783132530121</v>
      </c>
      <c r="G25" s="1467">
        <f t="shared" si="10"/>
        <v>0.1484848484848485</v>
      </c>
      <c r="H25" s="1467">
        <f t="shared" si="10"/>
        <v>0.15726290516206479</v>
      </c>
      <c r="I25" s="1467">
        <f t="shared" si="10"/>
        <v>0.10926829268292682</v>
      </c>
      <c r="J25" s="1467">
        <f t="shared" si="10"/>
        <v>0.11445783132530121</v>
      </c>
      <c r="K25" s="1467">
        <f t="shared" si="10"/>
        <v>0.10511713933415537</v>
      </c>
      <c r="L25" s="1467">
        <f t="shared" si="10"/>
        <v>0.10066445182724253</v>
      </c>
      <c r="M25" s="1467">
        <f t="shared" si="11"/>
        <v>1.9972237760788946E-2</v>
      </c>
      <c r="N25" s="1467">
        <f t="shared" si="11"/>
        <v>1.9972237760788946E-2</v>
      </c>
      <c r="O25" s="1467">
        <f t="shared" si="11"/>
        <v>1.9972237760788946E-2</v>
      </c>
      <c r="P25" s="1467">
        <f t="shared" si="11"/>
        <v>1.9972237760788946E-2</v>
      </c>
      <c r="Q25" s="1467">
        <f t="shared" si="11"/>
        <v>1.9595139980457966E-2</v>
      </c>
      <c r="R25" s="1467">
        <f t="shared" si="9"/>
        <v>1.9595139980457966E-2</v>
      </c>
      <c r="S25" s="1467">
        <f t="shared" si="9"/>
        <v>1.9595139980457966E-2</v>
      </c>
      <c r="T25" s="1467">
        <f t="shared" si="9"/>
        <v>1.9595139980457966E-2</v>
      </c>
      <c r="U25" s="1467">
        <f t="shared" si="9"/>
        <v>1.9972237760788946E-2</v>
      </c>
      <c r="V25" s="1467">
        <f t="shared" si="9"/>
        <v>1.9595139980457966E-2</v>
      </c>
      <c r="W25" s="1467">
        <f t="shared" si="9"/>
        <v>1.9972237760788946E-2</v>
      </c>
      <c r="X25" s="1467">
        <f t="shared" si="9"/>
        <v>4.0731645355237531E-2</v>
      </c>
      <c r="Y25" s="1467">
        <f t="shared" si="9"/>
        <v>4.611075199310493E-2</v>
      </c>
      <c r="Z25" s="1467">
        <f t="shared" si="9"/>
        <v>4.0731645355237531E-2</v>
      </c>
      <c r="AA25" s="1467">
        <f t="shared" si="9"/>
        <v>4.611075199310493E-2</v>
      </c>
      <c r="AB25" s="1467">
        <f t="shared" si="9"/>
        <v>5.1785528348471922E-2</v>
      </c>
    </row>
    <row r="26" spans="1:28" x14ac:dyDescent="0.45">
      <c r="A26" s="1452" t="s">
        <v>59</v>
      </c>
      <c r="B26" s="1466"/>
      <c r="C26" s="1467">
        <f t="shared" si="10"/>
        <v>0</v>
      </c>
      <c r="D26" s="1467">
        <f t="shared" si="10"/>
        <v>0</v>
      </c>
      <c r="E26" s="1467">
        <f t="shared" si="10"/>
        <v>0</v>
      </c>
      <c r="F26" s="1467">
        <f t="shared" si="10"/>
        <v>0</v>
      </c>
      <c r="G26" s="1467">
        <f t="shared" si="10"/>
        <v>0</v>
      </c>
      <c r="H26" s="1467">
        <f t="shared" si="10"/>
        <v>0</v>
      </c>
      <c r="I26" s="1467">
        <f t="shared" si="10"/>
        <v>0</v>
      </c>
      <c r="J26" s="1467">
        <f t="shared" si="10"/>
        <v>0</v>
      </c>
      <c r="K26" s="1467">
        <f t="shared" si="10"/>
        <v>0</v>
      </c>
      <c r="L26" s="1467">
        <f t="shared" si="10"/>
        <v>0</v>
      </c>
      <c r="M26" s="1467">
        <f t="shared" si="11"/>
        <v>0</v>
      </c>
      <c r="N26" s="1467">
        <f t="shared" si="11"/>
        <v>0</v>
      </c>
      <c r="O26" s="1467">
        <f t="shared" si="11"/>
        <v>0</v>
      </c>
      <c r="P26" s="1467">
        <f t="shared" si="11"/>
        <v>0</v>
      </c>
      <c r="Q26" s="1467">
        <f t="shared" si="11"/>
        <v>0</v>
      </c>
      <c r="R26" s="1467">
        <f t="shared" si="9"/>
        <v>0</v>
      </c>
      <c r="S26" s="1467">
        <f t="shared" si="9"/>
        <v>0</v>
      </c>
      <c r="T26" s="1467">
        <f t="shared" si="9"/>
        <v>0</v>
      </c>
      <c r="U26" s="1467">
        <f t="shared" si="9"/>
        <v>0</v>
      </c>
      <c r="V26" s="1467">
        <f t="shared" si="9"/>
        <v>0</v>
      </c>
      <c r="W26" s="1467">
        <f t="shared" si="9"/>
        <v>0</v>
      </c>
      <c r="X26" s="1467">
        <f t="shared" si="9"/>
        <v>0</v>
      </c>
      <c r="Y26" s="1467">
        <f t="shared" si="9"/>
        <v>0</v>
      </c>
      <c r="Z26" s="1467">
        <f t="shared" si="9"/>
        <v>0</v>
      </c>
      <c r="AA26" s="1467">
        <f t="shared" si="9"/>
        <v>0</v>
      </c>
      <c r="AB26" s="1467">
        <f t="shared" si="9"/>
        <v>0</v>
      </c>
    </row>
    <row r="27" spans="1:28" x14ac:dyDescent="0.45">
      <c r="A27" s="1452" t="s">
        <v>60</v>
      </c>
      <c r="B27" s="1466"/>
      <c r="C27" s="1467">
        <f t="shared" si="10"/>
        <v>5.9595959595959605E-2</v>
      </c>
      <c r="D27" s="1467">
        <f t="shared" si="10"/>
        <v>7.0828331332533009E-2</v>
      </c>
      <c r="E27" s="1467">
        <f t="shared" si="10"/>
        <v>9.9512195121951211E-2</v>
      </c>
      <c r="F27" s="1467">
        <f t="shared" si="10"/>
        <v>0.11927710843373496</v>
      </c>
      <c r="G27" s="1467">
        <f t="shared" si="10"/>
        <v>5.9595959595959605E-2</v>
      </c>
      <c r="H27" s="1467">
        <f t="shared" si="10"/>
        <v>7.0828331332533009E-2</v>
      </c>
      <c r="I27" s="1467">
        <f t="shared" si="10"/>
        <v>9.9512195121951211E-2</v>
      </c>
      <c r="J27" s="1467">
        <f t="shared" si="10"/>
        <v>0.11927710843373496</v>
      </c>
      <c r="K27" s="1467">
        <f t="shared" si="10"/>
        <v>7.6448828606658456E-2</v>
      </c>
      <c r="L27" s="1467">
        <f t="shared" si="10"/>
        <v>6.9767441860465115E-2</v>
      </c>
      <c r="M27" s="1467">
        <f t="shared" si="11"/>
        <v>4.2389210019267827E-2</v>
      </c>
      <c r="N27" s="1467">
        <f t="shared" si="11"/>
        <v>4.2389210019267827E-2</v>
      </c>
      <c r="O27" s="1467">
        <f t="shared" si="11"/>
        <v>4.2389210019267827E-2</v>
      </c>
      <c r="P27" s="1467">
        <f t="shared" si="11"/>
        <v>4.2389210019267827E-2</v>
      </c>
      <c r="Q27" s="1467">
        <f t="shared" si="11"/>
        <v>4.0804622116487534E-2</v>
      </c>
      <c r="R27" s="1467">
        <f t="shared" si="9"/>
        <v>4.0804622116487534E-2</v>
      </c>
      <c r="S27" s="1467">
        <f t="shared" si="9"/>
        <v>4.0804622116487534E-2</v>
      </c>
      <c r="T27" s="1467">
        <f t="shared" si="9"/>
        <v>4.0804622116487534E-2</v>
      </c>
      <c r="U27" s="1467">
        <f t="shared" si="9"/>
        <v>4.2389210019267827E-2</v>
      </c>
      <c r="V27" s="1467">
        <f t="shared" si="9"/>
        <v>4.0804622116487534E-2</v>
      </c>
      <c r="W27" s="1467">
        <f t="shared" si="9"/>
        <v>4.2389210019267827E-2</v>
      </c>
      <c r="X27" s="1467">
        <f t="shared" si="9"/>
        <v>8.3072233042594631E-2</v>
      </c>
      <c r="Y27" s="1467">
        <f t="shared" si="9"/>
        <v>9.6099978452919635E-2</v>
      </c>
      <c r="Z27" s="1467">
        <f t="shared" si="9"/>
        <v>8.3072233042594631E-2</v>
      </c>
      <c r="AA27" s="1467">
        <f t="shared" si="9"/>
        <v>9.6099978452919635E-2</v>
      </c>
      <c r="AB27" s="1467">
        <f t="shared" si="9"/>
        <v>3.119923127654485E-2</v>
      </c>
    </row>
    <row r="28" spans="1:28" x14ac:dyDescent="0.45">
      <c r="A28" s="1452" t="s">
        <v>61</v>
      </c>
      <c r="B28" s="1466"/>
      <c r="C28" s="1467">
        <f t="shared" si="10"/>
        <v>2.0202020202020204E-2</v>
      </c>
      <c r="D28" s="1467">
        <f t="shared" si="10"/>
        <v>0</v>
      </c>
      <c r="E28" s="1467">
        <f t="shared" si="10"/>
        <v>1.9512195121951216E-2</v>
      </c>
      <c r="F28" s="1467">
        <f t="shared" si="10"/>
        <v>0</v>
      </c>
      <c r="G28" s="1467">
        <f t="shared" si="10"/>
        <v>2.0202020202020204E-2</v>
      </c>
      <c r="H28" s="1467">
        <f t="shared" si="10"/>
        <v>0</v>
      </c>
      <c r="I28" s="1467">
        <f t="shared" si="10"/>
        <v>1.9512195121951216E-2</v>
      </c>
      <c r="J28" s="1467">
        <f t="shared" si="10"/>
        <v>0</v>
      </c>
      <c r="K28" s="1467">
        <f t="shared" si="10"/>
        <v>9.2478421701602965E-3</v>
      </c>
      <c r="L28" s="1467">
        <f t="shared" si="10"/>
        <v>4.9833887043189374E-3</v>
      </c>
      <c r="M28" s="1467">
        <f t="shared" si="11"/>
        <v>0</v>
      </c>
      <c r="N28" s="1467">
        <f t="shared" si="11"/>
        <v>0</v>
      </c>
      <c r="O28" s="1467">
        <f t="shared" si="11"/>
        <v>0</v>
      </c>
      <c r="P28" s="1467">
        <f t="shared" si="11"/>
        <v>0</v>
      </c>
      <c r="Q28" s="1467">
        <f t="shared" si="11"/>
        <v>1.8586176133225711E-2</v>
      </c>
      <c r="R28" s="1467">
        <f t="shared" si="9"/>
        <v>1.8586176133225711E-2</v>
      </c>
      <c r="S28" s="1467">
        <f t="shared" si="9"/>
        <v>1.8586176133225711E-2</v>
      </c>
      <c r="T28" s="1467">
        <f t="shared" si="9"/>
        <v>1.8586176133225711E-2</v>
      </c>
      <c r="U28" s="1467">
        <f t="shared" si="9"/>
        <v>0</v>
      </c>
      <c r="V28" s="1467">
        <f t="shared" si="9"/>
        <v>1.8586176133225711E-2</v>
      </c>
      <c r="W28" s="1467">
        <f t="shared" si="9"/>
        <v>0</v>
      </c>
      <c r="X28" s="1467">
        <f t="shared" si="9"/>
        <v>4.2340587687357103E-3</v>
      </c>
      <c r="Y28" s="1467">
        <f t="shared" si="9"/>
        <v>2.6933850463262223E-3</v>
      </c>
      <c r="Z28" s="1467">
        <f t="shared" si="9"/>
        <v>4.2340587687357103E-3</v>
      </c>
      <c r="AA28" s="1467">
        <f t="shared" si="9"/>
        <v>2.6933850463262223E-3</v>
      </c>
      <c r="AB28" s="1467">
        <f t="shared" si="9"/>
        <v>9.2985479389658454E-2</v>
      </c>
    </row>
    <row r="29" spans="1:28" x14ac:dyDescent="0.45">
      <c r="A29" s="1452" t="s">
        <v>62</v>
      </c>
      <c r="B29" s="1466"/>
      <c r="C29" s="1468">
        <f>C18+C19+C20+C21+C22+C23+C24+C25+C26+C27+C28</f>
        <v>1</v>
      </c>
      <c r="D29" s="1468">
        <f>D18+D19+D20+D21+D22+D23+D24+D25+D26+D27+D28</f>
        <v>0.99999999999999978</v>
      </c>
      <c r="E29" s="2074">
        <v>1</v>
      </c>
      <c r="F29" s="2074">
        <v>1</v>
      </c>
      <c r="G29" s="1468">
        <f t="shared" ref="G29:AB29" si="12">G18+G19+G20+G21+G22+G23+G24+G25+G26+G27+G28</f>
        <v>1</v>
      </c>
      <c r="H29" s="1468">
        <f t="shared" si="12"/>
        <v>0.99999999999999978</v>
      </c>
      <c r="I29" s="1468">
        <f t="shared" si="12"/>
        <v>1</v>
      </c>
      <c r="J29" s="1468">
        <f t="shared" si="12"/>
        <v>0.99999999999999989</v>
      </c>
      <c r="K29" s="1468">
        <f t="shared" si="12"/>
        <v>1</v>
      </c>
      <c r="L29" s="1468">
        <f t="shared" si="12"/>
        <v>0.99999999999999989</v>
      </c>
      <c r="M29" s="1468">
        <f t="shared" si="12"/>
        <v>1</v>
      </c>
      <c r="N29" s="1468">
        <f t="shared" si="12"/>
        <v>1</v>
      </c>
      <c r="O29" s="1468">
        <f t="shared" si="12"/>
        <v>1</v>
      </c>
      <c r="P29" s="1468">
        <f t="shared" si="12"/>
        <v>1</v>
      </c>
      <c r="Q29" s="1468">
        <f t="shared" si="12"/>
        <v>1</v>
      </c>
      <c r="R29" s="1468">
        <f t="shared" si="12"/>
        <v>1</v>
      </c>
      <c r="S29" s="1468">
        <f t="shared" si="12"/>
        <v>1</v>
      </c>
      <c r="T29" s="1468">
        <f t="shared" si="12"/>
        <v>1</v>
      </c>
      <c r="U29" s="1468">
        <f>U18+U19+U20+U21+U22+U23+U24+U25+U26+U27+U28</f>
        <v>1</v>
      </c>
      <c r="V29" s="1468">
        <f>V18+V19+V20+V21+V22+V23+V24+V25+V26+V27+V28</f>
        <v>1</v>
      </c>
      <c r="W29" s="1468">
        <f>W18+W19+W20+W21+W22+W23+W24+W25+W26+W27+W28</f>
        <v>1</v>
      </c>
      <c r="X29" s="1468">
        <f t="shared" si="12"/>
        <v>1</v>
      </c>
      <c r="Y29" s="1468">
        <f t="shared" si="12"/>
        <v>0.99999999999999978</v>
      </c>
      <c r="Z29" s="1468">
        <f t="shared" si="12"/>
        <v>1</v>
      </c>
      <c r="AA29" s="1468">
        <f t="shared" si="12"/>
        <v>0.99999999999999978</v>
      </c>
      <c r="AB29" s="1468">
        <f t="shared" si="12"/>
        <v>0.99280106763056453</v>
      </c>
    </row>
    <row r="30" spans="1:28" ht="57" x14ac:dyDescent="0.45">
      <c r="A30" s="1469" t="s">
        <v>30</v>
      </c>
      <c r="B30" s="1466"/>
      <c r="C30" s="2075" t="str">
        <f t="shared" ref="C30:AB30" si="13">+Default_value</f>
        <v>With Al smelting mostly from coal</v>
      </c>
      <c r="D30" s="2075" t="str">
        <f t="shared" si="13"/>
        <v>With Al smelting mostly from coal</v>
      </c>
      <c r="E30" s="2075" t="str">
        <f t="shared" si="13"/>
        <v>With Al smelting mostly from coal</v>
      </c>
      <c r="F30" s="2075" t="str">
        <f t="shared" si="13"/>
        <v>With Al smelting mostly from coal</v>
      </c>
      <c r="G30" s="2075" t="str">
        <f t="shared" si="13"/>
        <v>With Al smelting mostly from coal</v>
      </c>
      <c r="H30" s="2075" t="str">
        <f t="shared" si="13"/>
        <v>With Al smelting mostly from coal</v>
      </c>
      <c r="I30" s="2075" t="str">
        <f t="shared" si="13"/>
        <v>With Al smelting mostly from coal</v>
      </c>
      <c r="J30" s="2075" t="str">
        <f t="shared" si="13"/>
        <v>With Al smelting mostly from coal</v>
      </c>
      <c r="K30" s="2075" t="str">
        <f t="shared" si="13"/>
        <v>With Al smelting mostly from coal</v>
      </c>
      <c r="L30" s="2075" t="str">
        <f t="shared" si="13"/>
        <v>With Al smelting mostly from coal</v>
      </c>
      <c r="M30" s="2075" t="str">
        <f t="shared" si="13"/>
        <v>With Al smelting mostly from coal</v>
      </c>
      <c r="N30" s="2075" t="str">
        <f t="shared" si="13"/>
        <v>With Al smelting mostly from coal</v>
      </c>
      <c r="O30" s="2075" t="str">
        <f t="shared" si="13"/>
        <v>With Al smelting mostly from coal</v>
      </c>
      <c r="P30" s="2075" t="str">
        <f t="shared" si="13"/>
        <v>With Al smelting mostly from coal</v>
      </c>
      <c r="Q30" s="2075" t="str">
        <f t="shared" si="13"/>
        <v>With Al smelting mostly from coal</v>
      </c>
      <c r="R30" s="2075" t="str">
        <f t="shared" si="13"/>
        <v>With Al smelting mostly from coal</v>
      </c>
      <c r="S30" s="2075" t="str">
        <f t="shared" si="13"/>
        <v>With Al smelting mostly from coal</v>
      </c>
      <c r="T30" s="2075" t="str">
        <f t="shared" si="13"/>
        <v>With Al smelting mostly from coal</v>
      </c>
      <c r="U30" s="2075" t="str">
        <f t="shared" si="13"/>
        <v>With Al smelting mostly from coal</v>
      </c>
      <c r="V30" s="2075" t="str">
        <f t="shared" si="13"/>
        <v>With Al smelting mostly from coal</v>
      </c>
      <c r="W30" s="2075" t="str">
        <f t="shared" si="13"/>
        <v>With Al smelting mostly from coal</v>
      </c>
      <c r="X30" s="2075" t="str">
        <f t="shared" si="13"/>
        <v>With Al smelting mostly from coal</v>
      </c>
      <c r="Y30" s="2075" t="str">
        <f t="shared" si="13"/>
        <v>With Al smelting mostly from coal</v>
      </c>
      <c r="Z30" s="2075" t="str">
        <f t="shared" si="13"/>
        <v>With Al smelting mostly from coal</v>
      </c>
      <c r="AA30" s="2075" t="str">
        <f t="shared" si="13"/>
        <v>With Al smelting mostly from coal</v>
      </c>
      <c r="AB30" s="2075" t="str">
        <f t="shared" si="13"/>
        <v>With Al smelting mostly from coal</v>
      </c>
    </row>
    <row r="31" spans="1:28" x14ac:dyDescent="0.45">
      <c r="A31" s="33"/>
      <c r="B31" s="27"/>
      <c r="C31" s="32"/>
      <c r="D31" s="32"/>
      <c r="E31" s="1967"/>
      <c r="F31" s="1967"/>
      <c r="G31" s="32"/>
      <c r="H31" s="32"/>
      <c r="I31" s="32"/>
      <c r="J31" s="32"/>
      <c r="K31" s="32"/>
      <c r="L31" s="32"/>
      <c r="M31" s="32"/>
      <c r="N31" s="32"/>
      <c r="O31" s="32"/>
      <c r="P31" s="32"/>
      <c r="Q31" s="32"/>
      <c r="R31" s="32"/>
      <c r="S31" s="32"/>
      <c r="T31" s="32"/>
      <c r="U31" s="32"/>
      <c r="V31" s="32"/>
      <c r="W31" s="32"/>
      <c r="X31" s="32"/>
      <c r="Y31" s="32"/>
      <c r="Z31" s="32"/>
      <c r="AA31" s="32"/>
      <c r="AB31" s="32"/>
    </row>
    <row r="32" spans="1:28" x14ac:dyDescent="0.45">
      <c r="A32" s="34" t="s">
        <v>3391</v>
      </c>
      <c r="B32" s="34"/>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6"/>
    </row>
    <row r="33" spans="1:28" x14ac:dyDescent="0.45">
      <c r="A33" s="1469" t="s">
        <v>28</v>
      </c>
      <c r="B33" s="1466"/>
      <c r="C33" s="1466"/>
      <c r="D33" s="1470">
        <f>+Default_value</f>
        <v>1</v>
      </c>
      <c r="E33" s="1466"/>
      <c r="F33" s="1470">
        <f>+Default_value</f>
        <v>1</v>
      </c>
      <c r="G33" s="1466"/>
      <c r="H33" s="1470">
        <f>+Default_value</f>
        <v>1</v>
      </c>
      <c r="I33" s="1466"/>
      <c r="J33" s="1470">
        <f>+Default_value</f>
        <v>1</v>
      </c>
      <c r="K33" s="1466"/>
      <c r="L33" s="1470">
        <f>+Default_value</f>
        <v>1</v>
      </c>
      <c r="M33" s="1466"/>
      <c r="N33" s="1466"/>
      <c r="O33" s="1466"/>
      <c r="P33" s="1466"/>
      <c r="Q33" s="1470">
        <f t="shared" ref="Q33:T35" si="14">+Default_value</f>
        <v>1</v>
      </c>
      <c r="R33" s="1470">
        <f t="shared" si="14"/>
        <v>1</v>
      </c>
      <c r="S33" s="1470">
        <f t="shared" si="14"/>
        <v>1</v>
      </c>
      <c r="T33" s="1470">
        <f t="shared" si="14"/>
        <v>1</v>
      </c>
      <c r="U33" s="1466"/>
      <c r="V33" s="1470">
        <f t="shared" ref="V33:W35" si="15">+Default_value</f>
        <v>2</v>
      </c>
      <c r="W33" s="1470">
        <f t="shared" si="15"/>
        <v>2</v>
      </c>
      <c r="X33" s="1466"/>
      <c r="Y33" s="1470">
        <f>+Default_value</f>
        <v>1</v>
      </c>
      <c r="Z33" s="1466"/>
      <c r="AA33" s="1470">
        <f>+Default_value</f>
        <v>1</v>
      </c>
      <c r="AB33" s="1466"/>
    </row>
    <row r="34" spans="1:28" x14ac:dyDescent="0.45">
      <c r="A34" s="1469" t="s">
        <v>3396</v>
      </c>
      <c r="B34" s="1466" t="s">
        <v>11</v>
      </c>
      <c r="C34" s="1466"/>
      <c r="D34" s="1471">
        <f>+Default_value</f>
        <v>3.7</v>
      </c>
      <c r="E34" s="1466"/>
      <c r="F34" s="1471">
        <f>+Default_value</f>
        <v>4</v>
      </c>
      <c r="G34" s="1466"/>
      <c r="H34" s="1471">
        <f>+Default_value</f>
        <v>3.7</v>
      </c>
      <c r="I34" s="1466"/>
      <c r="J34" s="1471">
        <f>+Default_value</f>
        <v>3.7</v>
      </c>
      <c r="K34" s="1466"/>
      <c r="L34" s="1471">
        <f>+Default_value</f>
        <v>10</v>
      </c>
      <c r="M34" s="1466"/>
      <c r="N34" s="1466"/>
      <c r="O34" s="1466"/>
      <c r="P34" s="1466"/>
      <c r="Q34" s="1471">
        <f t="shared" si="14"/>
        <v>180</v>
      </c>
      <c r="R34" s="1471">
        <f t="shared" si="14"/>
        <v>324</v>
      </c>
      <c r="S34" s="1471">
        <f t="shared" si="14"/>
        <v>180</v>
      </c>
      <c r="T34" s="1471">
        <f t="shared" si="14"/>
        <v>324</v>
      </c>
      <c r="U34" s="1466"/>
      <c r="V34" s="1471">
        <f t="shared" si="15"/>
        <v>365</v>
      </c>
      <c r="W34" s="1471">
        <f t="shared" si="15"/>
        <v>24</v>
      </c>
      <c r="X34" s="1466"/>
      <c r="Y34" s="1471">
        <f>+Default_value</f>
        <v>40</v>
      </c>
      <c r="Z34" s="1466"/>
      <c r="AA34" s="1471">
        <f>+Default_value</f>
        <v>50</v>
      </c>
      <c r="AB34" s="1466"/>
    </row>
    <row r="35" spans="1:28" ht="26.25" x14ac:dyDescent="0.45">
      <c r="A35" s="1469" t="s">
        <v>3395</v>
      </c>
      <c r="B35" s="1466"/>
      <c r="C35" s="1470"/>
      <c r="D35" s="1470" t="str">
        <f>+Default_value</f>
        <v>NMC111</v>
      </c>
      <c r="E35" s="1470"/>
      <c r="F35" s="1470" t="str">
        <f>+Default_value</f>
        <v>NMC111</v>
      </c>
      <c r="G35" s="1470"/>
      <c r="H35" s="1470" t="str">
        <f>+Default_value</f>
        <v>NMC111</v>
      </c>
      <c r="I35" s="1470"/>
      <c r="J35" s="1470" t="str">
        <f>+Default_value</f>
        <v>NMC111</v>
      </c>
      <c r="K35" s="1470"/>
      <c r="L35" s="1470" t="str">
        <f>+Default_value</f>
        <v>NMC111</v>
      </c>
      <c r="M35" s="1470"/>
      <c r="N35" s="1470"/>
      <c r="O35" s="1470"/>
      <c r="P35" s="1470"/>
      <c r="Q35" s="1470" t="str">
        <f t="shared" si="14"/>
        <v>LFP: solid state</v>
      </c>
      <c r="R35" s="1470" t="str">
        <f t="shared" si="14"/>
        <v>LFP: solid state</v>
      </c>
      <c r="S35" s="1470" t="str">
        <f t="shared" si="14"/>
        <v>LFP: solid state</v>
      </c>
      <c r="T35" s="1470" t="str">
        <f t="shared" si="14"/>
        <v>LFP: solid state</v>
      </c>
      <c r="U35" s="1470"/>
      <c r="V35" s="1470" t="str">
        <f t="shared" si="15"/>
        <v>LFP: solid state</v>
      </c>
      <c r="W35" s="1470" t="str">
        <f t="shared" si="15"/>
        <v>LFP: solid state</v>
      </c>
      <c r="X35" s="1470"/>
      <c r="Y35" s="1470" t="str">
        <f>+Default_value</f>
        <v>NMC111</v>
      </c>
      <c r="Z35" s="1470"/>
      <c r="AA35" s="1470" t="str">
        <f>+Default_value</f>
        <v>NMC111</v>
      </c>
      <c r="AB35" s="1470"/>
    </row>
    <row r="36" spans="1:28" x14ac:dyDescent="0.45">
      <c r="A36" s="33"/>
      <c r="B36" s="27"/>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18" x14ac:dyDescent="0.45">
      <c r="A37" s="1438" t="s">
        <v>1178</v>
      </c>
      <c r="B37" s="1968" t="s">
        <v>1061</v>
      </c>
      <c r="C37" s="1968"/>
      <c r="D37" s="1968"/>
      <c r="E37" s="1968"/>
      <c r="F37" s="1968"/>
      <c r="G37" s="1968"/>
      <c r="H37" s="1968"/>
      <c r="I37" s="1968"/>
      <c r="J37" s="1968"/>
      <c r="K37" s="1968"/>
      <c r="L37" s="1968"/>
      <c r="M37" s="1968"/>
      <c r="N37" s="1968"/>
      <c r="O37" s="1968"/>
      <c r="P37" s="1968"/>
      <c r="Q37" s="1968"/>
      <c r="R37" s="1968"/>
      <c r="S37" s="1968"/>
      <c r="T37" s="1968"/>
      <c r="U37" s="1968"/>
      <c r="V37" s="1968"/>
      <c r="W37" s="1968"/>
      <c r="X37" s="1968"/>
      <c r="Y37" s="1968"/>
      <c r="Z37" s="1968"/>
      <c r="AA37" s="1968"/>
      <c r="AB37" s="1968"/>
    </row>
    <row r="38" spans="1:28" x14ac:dyDescent="0.45">
      <c r="A38" s="1472" t="s">
        <v>3402</v>
      </c>
      <c r="B38" s="1968"/>
      <c r="C38" s="1968"/>
      <c r="D38" s="1968"/>
      <c r="E38" s="1968"/>
      <c r="F38" s="1968"/>
      <c r="G38" s="1968"/>
      <c r="H38" s="1968"/>
      <c r="I38" s="1968"/>
      <c r="J38" s="1968"/>
      <c r="K38" s="1968"/>
      <c r="L38" s="1968"/>
      <c r="M38" s="1968"/>
      <c r="N38" s="1968"/>
      <c r="O38" s="1968"/>
      <c r="P38" s="1968"/>
      <c r="Q38" s="1968"/>
      <c r="R38" s="1968"/>
      <c r="S38" s="1968"/>
      <c r="T38" s="1968"/>
      <c r="U38" s="1968"/>
      <c r="V38" s="1968"/>
      <c r="W38" s="1968"/>
      <c r="X38" s="1968"/>
      <c r="Y38" s="1968"/>
      <c r="Z38" s="1968"/>
      <c r="AA38" s="1968"/>
      <c r="AB38" s="1968"/>
    </row>
    <row r="39" spans="1:28" x14ac:dyDescent="0.45">
      <c r="A39" s="1473" t="s">
        <v>357</v>
      </c>
      <c r="B39" s="2076" t="s">
        <v>355</v>
      </c>
      <c r="C39" s="1465">
        <f>+Default_value</f>
        <v>0</v>
      </c>
      <c r="D39" s="1465">
        <f t="shared" ref="C39:P47" si="16">+Default_value</f>
        <v>0</v>
      </c>
      <c r="E39" s="1465">
        <f t="shared" si="16"/>
        <v>0</v>
      </c>
      <c r="F39" s="1465">
        <f t="shared" si="16"/>
        <v>0</v>
      </c>
      <c r="G39" s="1465">
        <f t="shared" si="16"/>
        <v>0</v>
      </c>
      <c r="H39" s="1465">
        <f t="shared" si="16"/>
        <v>0</v>
      </c>
      <c r="I39" s="1465">
        <f t="shared" si="16"/>
        <v>0</v>
      </c>
      <c r="J39" s="1465">
        <f t="shared" si="16"/>
        <v>0</v>
      </c>
      <c r="K39" s="1465">
        <f t="shared" si="16"/>
        <v>0</v>
      </c>
      <c r="L39" s="1465">
        <f t="shared" si="16"/>
        <v>0</v>
      </c>
      <c r="M39" s="1465">
        <f t="shared" si="16"/>
        <v>0</v>
      </c>
      <c r="N39" s="1465">
        <f t="shared" si="16"/>
        <v>0</v>
      </c>
      <c r="O39" s="1465">
        <f t="shared" si="16"/>
        <v>0</v>
      </c>
      <c r="P39" s="1465">
        <f t="shared" si="16"/>
        <v>0</v>
      </c>
      <c r="Q39" s="1465">
        <f t="shared" ref="Q39:AB47" si="17">+Default_value</f>
        <v>0</v>
      </c>
      <c r="R39" s="1465">
        <f t="shared" si="17"/>
        <v>0</v>
      </c>
      <c r="S39" s="1465">
        <f t="shared" si="17"/>
        <v>0</v>
      </c>
      <c r="T39" s="1465">
        <f t="shared" si="17"/>
        <v>0</v>
      </c>
      <c r="U39" s="1465">
        <f t="shared" si="17"/>
        <v>0</v>
      </c>
      <c r="V39" s="1465">
        <f t="shared" si="17"/>
        <v>0</v>
      </c>
      <c r="W39" s="1465">
        <f t="shared" si="17"/>
        <v>0</v>
      </c>
      <c r="X39" s="1465">
        <f t="shared" si="17"/>
        <v>0</v>
      </c>
      <c r="Y39" s="1465">
        <f t="shared" si="17"/>
        <v>0</v>
      </c>
      <c r="Z39" s="1465">
        <f t="shared" si="17"/>
        <v>0</v>
      </c>
      <c r="AA39" s="1465">
        <f t="shared" si="17"/>
        <v>0</v>
      </c>
      <c r="AB39" s="1465">
        <f t="shared" si="17"/>
        <v>0</v>
      </c>
    </row>
    <row r="40" spans="1:28" x14ac:dyDescent="0.45">
      <c r="A40" s="1473" t="s">
        <v>1062</v>
      </c>
      <c r="B40" s="2076" t="s">
        <v>355</v>
      </c>
      <c r="C40" s="1465">
        <f t="shared" si="16"/>
        <v>0</v>
      </c>
      <c r="D40" s="1465">
        <f t="shared" si="16"/>
        <v>0</v>
      </c>
      <c r="E40" s="1465">
        <f t="shared" si="16"/>
        <v>0</v>
      </c>
      <c r="F40" s="1465">
        <f t="shared" si="16"/>
        <v>0</v>
      </c>
      <c r="G40" s="1465">
        <f t="shared" si="16"/>
        <v>0</v>
      </c>
      <c r="H40" s="1465">
        <f t="shared" si="16"/>
        <v>0</v>
      </c>
      <c r="I40" s="1465">
        <f t="shared" si="16"/>
        <v>0</v>
      </c>
      <c r="J40" s="1465">
        <f t="shared" si="16"/>
        <v>0</v>
      </c>
      <c r="K40" s="1465">
        <f t="shared" si="16"/>
        <v>0</v>
      </c>
      <c r="L40" s="1465">
        <f t="shared" si="16"/>
        <v>0</v>
      </c>
      <c r="M40" s="1465">
        <f t="shared" si="16"/>
        <v>5000</v>
      </c>
      <c r="N40" s="1465">
        <f t="shared" si="16"/>
        <v>5000</v>
      </c>
      <c r="O40" s="1465">
        <f t="shared" si="16"/>
        <v>5000</v>
      </c>
      <c r="P40" s="1465">
        <f t="shared" si="16"/>
        <v>5000</v>
      </c>
      <c r="Q40" s="1465">
        <f t="shared" si="17"/>
        <v>5000</v>
      </c>
      <c r="R40" s="1465">
        <f t="shared" si="17"/>
        <v>5000</v>
      </c>
      <c r="S40" s="1465">
        <f t="shared" si="17"/>
        <v>5000</v>
      </c>
      <c r="T40" s="1465">
        <f t="shared" si="17"/>
        <v>5000</v>
      </c>
      <c r="U40" s="1465">
        <f t="shared" si="17"/>
        <v>5000</v>
      </c>
      <c r="V40" s="1465">
        <f t="shared" si="17"/>
        <v>5000</v>
      </c>
      <c r="W40" s="1465">
        <f t="shared" si="17"/>
        <v>5000</v>
      </c>
      <c r="X40" s="1465">
        <f t="shared" si="17"/>
        <v>5000</v>
      </c>
      <c r="Y40" s="1465">
        <f t="shared" si="17"/>
        <v>5000</v>
      </c>
      <c r="Z40" s="1465">
        <f t="shared" si="17"/>
        <v>5000</v>
      </c>
      <c r="AA40" s="1465">
        <f t="shared" si="17"/>
        <v>5000</v>
      </c>
      <c r="AB40" s="1465">
        <f t="shared" si="17"/>
        <v>5000</v>
      </c>
    </row>
    <row r="41" spans="1:28" x14ac:dyDescent="0.45">
      <c r="A41" s="1473" t="s">
        <v>1062</v>
      </c>
      <c r="B41" s="2076" t="s">
        <v>359</v>
      </c>
      <c r="C41" s="1465">
        <f t="shared" si="16"/>
        <v>0</v>
      </c>
      <c r="D41" s="1465">
        <f t="shared" si="16"/>
        <v>0</v>
      </c>
      <c r="E41" s="1465">
        <f t="shared" si="16"/>
        <v>0</v>
      </c>
      <c r="F41" s="1465">
        <f t="shared" si="16"/>
        <v>0</v>
      </c>
      <c r="G41" s="1465">
        <f t="shared" si="16"/>
        <v>0</v>
      </c>
      <c r="H41" s="1465">
        <f t="shared" si="16"/>
        <v>0</v>
      </c>
      <c r="I41" s="1465">
        <f t="shared" si="16"/>
        <v>0</v>
      </c>
      <c r="J41" s="1465">
        <f t="shared" si="16"/>
        <v>0</v>
      </c>
      <c r="K41" s="1465">
        <f t="shared" si="16"/>
        <v>0</v>
      </c>
      <c r="L41" s="1465">
        <f t="shared" si="16"/>
        <v>0</v>
      </c>
      <c r="M41" s="1465">
        <f t="shared" si="16"/>
        <v>0</v>
      </c>
      <c r="N41" s="1465">
        <f t="shared" si="16"/>
        <v>0</v>
      </c>
      <c r="O41" s="1465">
        <f t="shared" si="16"/>
        <v>0</v>
      </c>
      <c r="P41" s="1465">
        <f t="shared" si="16"/>
        <v>0</v>
      </c>
      <c r="Q41" s="1465">
        <f t="shared" si="17"/>
        <v>0</v>
      </c>
      <c r="R41" s="1465">
        <f t="shared" si="17"/>
        <v>0</v>
      </c>
      <c r="S41" s="1465">
        <f t="shared" si="17"/>
        <v>0</v>
      </c>
      <c r="T41" s="1465">
        <f t="shared" si="17"/>
        <v>0</v>
      </c>
      <c r="U41" s="1465">
        <f t="shared" si="17"/>
        <v>0</v>
      </c>
      <c r="V41" s="1465">
        <f t="shared" si="17"/>
        <v>0</v>
      </c>
      <c r="W41" s="1465">
        <f t="shared" si="17"/>
        <v>0</v>
      </c>
      <c r="X41" s="1465">
        <f t="shared" si="17"/>
        <v>0</v>
      </c>
      <c r="Y41" s="1465">
        <f t="shared" si="17"/>
        <v>0</v>
      </c>
      <c r="Z41" s="1465">
        <f t="shared" si="17"/>
        <v>0</v>
      </c>
      <c r="AA41" s="1465">
        <f t="shared" si="17"/>
        <v>0</v>
      </c>
      <c r="AB41" s="1465">
        <f t="shared" si="17"/>
        <v>0</v>
      </c>
    </row>
    <row r="42" spans="1:28" x14ac:dyDescent="0.45">
      <c r="A42" s="1473" t="s">
        <v>358</v>
      </c>
      <c r="B42" s="2076" t="s">
        <v>355</v>
      </c>
      <c r="C42" s="1465">
        <f t="shared" si="16"/>
        <v>0</v>
      </c>
      <c r="D42" s="1465">
        <f t="shared" si="16"/>
        <v>0</v>
      </c>
      <c r="E42" s="1465">
        <f t="shared" si="16"/>
        <v>0</v>
      </c>
      <c r="F42" s="1465">
        <f t="shared" si="16"/>
        <v>0</v>
      </c>
      <c r="G42" s="1465">
        <f t="shared" si="16"/>
        <v>0</v>
      </c>
      <c r="H42" s="1465">
        <f t="shared" si="16"/>
        <v>0</v>
      </c>
      <c r="I42" s="1465">
        <f t="shared" si="16"/>
        <v>0</v>
      </c>
      <c r="J42" s="1465">
        <f t="shared" si="16"/>
        <v>0</v>
      </c>
      <c r="K42" s="1465">
        <f t="shared" si="16"/>
        <v>0</v>
      </c>
      <c r="L42" s="1465">
        <f t="shared" si="16"/>
        <v>0</v>
      </c>
      <c r="M42" s="1465">
        <f t="shared" si="16"/>
        <v>0</v>
      </c>
      <c r="N42" s="1465">
        <f t="shared" si="16"/>
        <v>0</v>
      </c>
      <c r="O42" s="1465">
        <f t="shared" si="16"/>
        <v>0</v>
      </c>
      <c r="P42" s="1465">
        <f t="shared" si="16"/>
        <v>0</v>
      </c>
      <c r="Q42" s="1465">
        <f t="shared" si="17"/>
        <v>0</v>
      </c>
      <c r="R42" s="1465">
        <f t="shared" si="17"/>
        <v>0</v>
      </c>
      <c r="S42" s="1465">
        <f t="shared" si="17"/>
        <v>0</v>
      </c>
      <c r="T42" s="1465">
        <f t="shared" si="17"/>
        <v>0</v>
      </c>
      <c r="U42" s="1465">
        <f t="shared" si="17"/>
        <v>0</v>
      </c>
      <c r="V42" s="1465">
        <f t="shared" si="17"/>
        <v>0</v>
      </c>
      <c r="W42" s="1465">
        <f t="shared" si="17"/>
        <v>0</v>
      </c>
      <c r="X42" s="1465">
        <f t="shared" si="17"/>
        <v>0</v>
      </c>
      <c r="Y42" s="1465">
        <f t="shared" si="17"/>
        <v>0</v>
      </c>
      <c r="Z42" s="1465">
        <f t="shared" si="17"/>
        <v>0</v>
      </c>
      <c r="AA42" s="1465">
        <f t="shared" si="17"/>
        <v>0</v>
      </c>
      <c r="AB42" s="1465">
        <f t="shared" si="17"/>
        <v>0</v>
      </c>
    </row>
    <row r="43" spans="1:28" ht="15" customHeight="1" x14ac:dyDescent="0.45">
      <c r="A43" s="1473" t="s">
        <v>358</v>
      </c>
      <c r="B43" s="2076" t="s">
        <v>359</v>
      </c>
      <c r="C43" s="1465">
        <f>+Default_value</f>
        <v>0</v>
      </c>
      <c r="D43" s="1465">
        <f t="shared" si="16"/>
        <v>0</v>
      </c>
      <c r="E43" s="1465">
        <f t="shared" si="16"/>
        <v>0</v>
      </c>
      <c r="F43" s="1465">
        <f t="shared" si="16"/>
        <v>0</v>
      </c>
      <c r="G43" s="1465">
        <f t="shared" si="16"/>
        <v>0</v>
      </c>
      <c r="H43" s="1465">
        <f t="shared" si="16"/>
        <v>0</v>
      </c>
      <c r="I43" s="1465">
        <f t="shared" si="16"/>
        <v>0</v>
      </c>
      <c r="J43" s="1465">
        <f t="shared" si="16"/>
        <v>0</v>
      </c>
      <c r="K43" s="1465">
        <f t="shared" si="16"/>
        <v>0</v>
      </c>
      <c r="L43" s="1465">
        <f t="shared" si="16"/>
        <v>0</v>
      </c>
      <c r="M43" s="1465">
        <f t="shared" si="16"/>
        <v>1000</v>
      </c>
      <c r="N43" s="1465">
        <f t="shared" si="16"/>
        <v>1000</v>
      </c>
      <c r="O43" s="1465">
        <f t="shared" si="16"/>
        <v>1000</v>
      </c>
      <c r="P43" s="1465">
        <f t="shared" si="16"/>
        <v>1000</v>
      </c>
      <c r="Q43" s="1465">
        <f t="shared" si="17"/>
        <v>1000</v>
      </c>
      <c r="R43" s="1465">
        <f t="shared" si="17"/>
        <v>1000</v>
      </c>
      <c r="S43" s="1465">
        <f t="shared" si="17"/>
        <v>1000</v>
      </c>
      <c r="T43" s="1465">
        <f t="shared" si="17"/>
        <v>1000</v>
      </c>
      <c r="U43" s="1465">
        <f t="shared" si="17"/>
        <v>1000</v>
      </c>
      <c r="V43" s="1465">
        <f t="shared" si="17"/>
        <v>1000</v>
      </c>
      <c r="W43" s="1465">
        <f t="shared" si="17"/>
        <v>1000</v>
      </c>
      <c r="X43" s="1465">
        <f t="shared" si="17"/>
        <v>1000</v>
      </c>
      <c r="Y43" s="1465">
        <f t="shared" si="17"/>
        <v>1000</v>
      </c>
      <c r="Z43" s="1465">
        <f t="shared" si="17"/>
        <v>1000</v>
      </c>
      <c r="AA43" s="1465">
        <f t="shared" si="17"/>
        <v>1000</v>
      </c>
      <c r="AB43" s="1465">
        <f t="shared" si="17"/>
        <v>1000</v>
      </c>
    </row>
    <row r="44" spans="1:28" x14ac:dyDescent="0.45">
      <c r="A44" s="1473" t="s">
        <v>360</v>
      </c>
      <c r="B44" s="2076" t="s">
        <v>355</v>
      </c>
      <c r="C44" s="1465">
        <f>+Default_value</f>
        <v>4000</v>
      </c>
      <c r="D44" s="1465">
        <f t="shared" si="16"/>
        <v>4000</v>
      </c>
      <c r="E44" s="1465">
        <f t="shared" si="16"/>
        <v>4000</v>
      </c>
      <c r="F44" s="1465">
        <f t="shared" si="16"/>
        <v>4000</v>
      </c>
      <c r="G44" s="1465">
        <f t="shared" si="16"/>
        <v>4000</v>
      </c>
      <c r="H44" s="1465">
        <f t="shared" si="16"/>
        <v>4000</v>
      </c>
      <c r="I44" s="1465">
        <f t="shared" si="16"/>
        <v>4000</v>
      </c>
      <c r="J44" s="1465">
        <f t="shared" si="16"/>
        <v>4000</v>
      </c>
      <c r="K44" s="1465">
        <f t="shared" si="16"/>
        <v>4000</v>
      </c>
      <c r="L44" s="1465">
        <f t="shared" si="16"/>
        <v>4000</v>
      </c>
      <c r="M44" s="1465">
        <f t="shared" si="16"/>
        <v>0</v>
      </c>
      <c r="N44" s="1465">
        <f t="shared" si="16"/>
        <v>0</v>
      </c>
      <c r="O44" s="1465">
        <f t="shared" si="16"/>
        <v>0</v>
      </c>
      <c r="P44" s="1465">
        <f t="shared" si="16"/>
        <v>0</v>
      </c>
      <c r="Q44" s="1465">
        <f t="shared" si="17"/>
        <v>0</v>
      </c>
      <c r="R44" s="1465">
        <f t="shared" si="17"/>
        <v>0</v>
      </c>
      <c r="S44" s="1465">
        <f t="shared" si="17"/>
        <v>0</v>
      </c>
      <c r="T44" s="1465">
        <f t="shared" si="17"/>
        <v>0</v>
      </c>
      <c r="U44" s="1465">
        <f t="shared" si="17"/>
        <v>0</v>
      </c>
      <c r="V44" s="1465">
        <f t="shared" si="17"/>
        <v>0</v>
      </c>
      <c r="W44" s="1465">
        <f t="shared" si="17"/>
        <v>0</v>
      </c>
      <c r="X44" s="1465">
        <f t="shared" si="17"/>
        <v>0</v>
      </c>
      <c r="Y44" s="1465">
        <f t="shared" si="17"/>
        <v>0</v>
      </c>
      <c r="Z44" s="1465">
        <f t="shared" si="17"/>
        <v>0</v>
      </c>
      <c r="AA44" s="1465">
        <f t="shared" si="17"/>
        <v>0</v>
      </c>
      <c r="AB44" s="1465">
        <f t="shared" si="17"/>
        <v>0</v>
      </c>
    </row>
    <row r="45" spans="1:28" x14ac:dyDescent="0.45">
      <c r="A45" s="1473" t="s">
        <v>360</v>
      </c>
      <c r="B45" s="2076" t="s">
        <v>359</v>
      </c>
      <c r="C45" s="1465">
        <f t="shared" si="16"/>
        <v>0</v>
      </c>
      <c r="D45" s="1465">
        <f t="shared" si="16"/>
        <v>0</v>
      </c>
      <c r="E45" s="1465">
        <f t="shared" si="16"/>
        <v>0</v>
      </c>
      <c r="F45" s="1465">
        <f t="shared" si="16"/>
        <v>0</v>
      </c>
      <c r="G45" s="1465">
        <f t="shared" si="16"/>
        <v>0</v>
      </c>
      <c r="H45" s="1465">
        <f t="shared" si="16"/>
        <v>0</v>
      </c>
      <c r="I45" s="1465">
        <f t="shared" si="16"/>
        <v>0</v>
      </c>
      <c r="J45" s="1465">
        <f t="shared" si="16"/>
        <v>0</v>
      </c>
      <c r="K45" s="1465">
        <f t="shared" si="16"/>
        <v>0</v>
      </c>
      <c r="L45" s="1465">
        <f t="shared" si="16"/>
        <v>0</v>
      </c>
      <c r="M45" s="1465">
        <f t="shared" si="16"/>
        <v>0</v>
      </c>
      <c r="N45" s="1465">
        <f t="shared" si="16"/>
        <v>0</v>
      </c>
      <c r="O45" s="1465">
        <f t="shared" si="16"/>
        <v>0</v>
      </c>
      <c r="P45" s="1465">
        <f t="shared" si="16"/>
        <v>0</v>
      </c>
      <c r="Q45" s="1465">
        <f t="shared" si="17"/>
        <v>0</v>
      </c>
      <c r="R45" s="1465">
        <f t="shared" si="17"/>
        <v>0</v>
      </c>
      <c r="S45" s="1465">
        <f t="shared" si="17"/>
        <v>0</v>
      </c>
      <c r="T45" s="1465">
        <f t="shared" si="17"/>
        <v>0</v>
      </c>
      <c r="U45" s="1465">
        <f t="shared" si="17"/>
        <v>0</v>
      </c>
      <c r="V45" s="1465">
        <f t="shared" si="17"/>
        <v>0</v>
      </c>
      <c r="W45" s="1465">
        <f t="shared" si="17"/>
        <v>0</v>
      </c>
      <c r="X45" s="1465">
        <f t="shared" si="17"/>
        <v>0</v>
      </c>
      <c r="Y45" s="1465">
        <f t="shared" si="17"/>
        <v>0</v>
      </c>
      <c r="Z45" s="1465">
        <f t="shared" si="17"/>
        <v>0</v>
      </c>
      <c r="AA45" s="1465">
        <f t="shared" si="17"/>
        <v>0</v>
      </c>
      <c r="AB45" s="1465">
        <f t="shared" si="17"/>
        <v>0</v>
      </c>
    </row>
    <row r="46" spans="1:28" x14ac:dyDescent="0.45">
      <c r="A46" s="1473" t="s">
        <v>361</v>
      </c>
      <c r="B46" s="2076" t="s">
        <v>355</v>
      </c>
      <c r="C46" s="1465">
        <f t="shared" si="16"/>
        <v>0</v>
      </c>
      <c r="D46" s="1465">
        <f t="shared" si="16"/>
        <v>0</v>
      </c>
      <c r="E46" s="1465">
        <f t="shared" si="16"/>
        <v>0</v>
      </c>
      <c r="F46" s="1465">
        <f t="shared" si="16"/>
        <v>0</v>
      </c>
      <c r="G46" s="1465">
        <f t="shared" si="16"/>
        <v>0</v>
      </c>
      <c r="H46" s="1465">
        <f t="shared" si="16"/>
        <v>0</v>
      </c>
      <c r="I46" s="1465">
        <f t="shared" si="16"/>
        <v>0</v>
      </c>
      <c r="J46" s="1465">
        <f t="shared" si="16"/>
        <v>0</v>
      </c>
      <c r="K46" s="1465">
        <f t="shared" si="16"/>
        <v>0</v>
      </c>
      <c r="L46" s="1465">
        <f t="shared" si="16"/>
        <v>0</v>
      </c>
      <c r="M46" s="1465">
        <f t="shared" si="16"/>
        <v>0</v>
      </c>
      <c r="N46" s="1465">
        <f t="shared" si="16"/>
        <v>0</v>
      </c>
      <c r="O46" s="1465">
        <f t="shared" si="16"/>
        <v>0</v>
      </c>
      <c r="P46" s="1465">
        <f t="shared" si="16"/>
        <v>0</v>
      </c>
      <c r="Q46" s="1465">
        <f t="shared" si="17"/>
        <v>0</v>
      </c>
      <c r="R46" s="1465">
        <f t="shared" si="17"/>
        <v>0</v>
      </c>
      <c r="S46" s="1465">
        <f t="shared" si="17"/>
        <v>0</v>
      </c>
      <c r="T46" s="1465">
        <f t="shared" si="17"/>
        <v>0</v>
      </c>
      <c r="U46" s="1465">
        <f t="shared" si="17"/>
        <v>0</v>
      </c>
      <c r="V46" s="1465">
        <f t="shared" si="17"/>
        <v>0</v>
      </c>
      <c r="W46" s="1465">
        <f t="shared" si="17"/>
        <v>0</v>
      </c>
      <c r="X46" s="1465">
        <f t="shared" si="17"/>
        <v>0</v>
      </c>
      <c r="Y46" s="1465">
        <f t="shared" si="17"/>
        <v>0</v>
      </c>
      <c r="Z46" s="1465">
        <f t="shared" si="17"/>
        <v>0</v>
      </c>
      <c r="AA46" s="1465">
        <f t="shared" si="17"/>
        <v>0</v>
      </c>
      <c r="AB46" s="1465">
        <f t="shared" si="17"/>
        <v>0</v>
      </c>
    </row>
    <row r="47" spans="1:28" x14ac:dyDescent="0.45">
      <c r="A47" s="1473" t="s">
        <v>361</v>
      </c>
      <c r="B47" s="2076" t="s">
        <v>359</v>
      </c>
      <c r="C47" s="1465">
        <f t="shared" si="16"/>
        <v>0</v>
      </c>
      <c r="D47" s="1465">
        <f t="shared" si="16"/>
        <v>0</v>
      </c>
      <c r="E47" s="1465">
        <f t="shared" si="16"/>
        <v>0</v>
      </c>
      <c r="F47" s="1465">
        <f t="shared" si="16"/>
        <v>0</v>
      </c>
      <c r="G47" s="1465">
        <f t="shared" si="16"/>
        <v>0</v>
      </c>
      <c r="H47" s="1465">
        <f t="shared" si="16"/>
        <v>0</v>
      </c>
      <c r="I47" s="1465">
        <f t="shared" si="16"/>
        <v>0</v>
      </c>
      <c r="J47" s="1465">
        <f t="shared" si="16"/>
        <v>0</v>
      </c>
      <c r="K47" s="1465">
        <f t="shared" si="16"/>
        <v>0</v>
      </c>
      <c r="L47" s="1465">
        <f t="shared" si="16"/>
        <v>0</v>
      </c>
      <c r="M47" s="1465">
        <f t="shared" si="16"/>
        <v>0</v>
      </c>
      <c r="N47" s="1465">
        <f t="shared" si="16"/>
        <v>0</v>
      </c>
      <c r="O47" s="1465">
        <f t="shared" si="16"/>
        <v>0</v>
      </c>
      <c r="P47" s="1465">
        <f t="shared" si="16"/>
        <v>0</v>
      </c>
      <c r="Q47" s="1465">
        <f t="shared" si="17"/>
        <v>0</v>
      </c>
      <c r="R47" s="1465">
        <f t="shared" si="17"/>
        <v>0</v>
      </c>
      <c r="S47" s="1465">
        <f t="shared" si="17"/>
        <v>0</v>
      </c>
      <c r="T47" s="1465">
        <f t="shared" si="17"/>
        <v>0</v>
      </c>
      <c r="U47" s="1465">
        <f t="shared" si="17"/>
        <v>0</v>
      </c>
      <c r="V47" s="1465">
        <f t="shared" si="17"/>
        <v>0</v>
      </c>
      <c r="W47" s="1465">
        <f t="shared" si="17"/>
        <v>0</v>
      </c>
      <c r="X47" s="1465">
        <f t="shared" si="17"/>
        <v>0</v>
      </c>
      <c r="Y47" s="1465">
        <f t="shared" si="17"/>
        <v>0</v>
      </c>
      <c r="Z47" s="1465">
        <f t="shared" si="17"/>
        <v>0</v>
      </c>
      <c r="AA47" s="1465">
        <f t="shared" si="17"/>
        <v>0</v>
      </c>
      <c r="AB47" s="1465">
        <f t="shared" si="17"/>
        <v>0</v>
      </c>
    </row>
    <row r="48" spans="1:28" x14ac:dyDescent="0.45">
      <c r="A48" s="33"/>
      <c r="B48" s="27"/>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8" x14ac:dyDescent="0.45">
      <c r="A49" s="1438" t="s">
        <v>1131</v>
      </c>
      <c r="B49" s="2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x14ac:dyDescent="0.45">
      <c r="A50" s="1474" t="s">
        <v>34</v>
      </c>
      <c r="B50" s="2077" t="s">
        <v>40</v>
      </c>
      <c r="C50" s="2077" t="str">
        <f>+Default_value</f>
        <v>None</v>
      </c>
      <c r="D50" s="2077" t="str">
        <f t="shared" ref="D50:AB50" si="18">+Default_value</f>
        <v>None</v>
      </c>
      <c r="E50" s="2077" t="str">
        <f t="shared" si="18"/>
        <v>None</v>
      </c>
      <c r="F50" s="2077" t="str">
        <f t="shared" si="18"/>
        <v>None</v>
      </c>
      <c r="G50" s="2077" t="str">
        <f t="shared" si="18"/>
        <v>Van - ICE</v>
      </c>
      <c r="H50" s="2077" t="str">
        <f t="shared" si="18"/>
        <v>Van - ICE</v>
      </c>
      <c r="I50" s="2077" t="str">
        <f t="shared" si="18"/>
        <v>Van - ICE</v>
      </c>
      <c r="J50" s="2077" t="str">
        <f t="shared" si="18"/>
        <v>Van - ICE</v>
      </c>
      <c r="K50" s="2077" t="s">
        <v>48</v>
      </c>
      <c r="L50" s="2077" t="s">
        <v>48</v>
      </c>
      <c r="M50" s="2077" t="s">
        <v>48</v>
      </c>
      <c r="N50" s="2077" t="s">
        <v>48</v>
      </c>
      <c r="O50" s="2077" t="s">
        <v>48</v>
      </c>
      <c r="P50" s="2077" t="s">
        <v>48</v>
      </c>
      <c r="Q50" s="2077" t="s">
        <v>48</v>
      </c>
      <c r="R50" s="2077" t="s">
        <v>48</v>
      </c>
      <c r="S50" s="2077" t="s">
        <v>48</v>
      </c>
      <c r="T50" s="2077" t="s">
        <v>48</v>
      </c>
      <c r="U50" s="2077" t="s">
        <v>48</v>
      </c>
      <c r="V50" s="2077" t="s">
        <v>48</v>
      </c>
      <c r="W50" s="2077" t="s">
        <v>48</v>
      </c>
      <c r="X50" s="2077" t="str">
        <f t="shared" si="18"/>
        <v>None</v>
      </c>
      <c r="Y50" s="2077" t="str">
        <f t="shared" si="18"/>
        <v>None</v>
      </c>
      <c r="Z50" s="2077" t="str">
        <f t="shared" si="18"/>
        <v>None</v>
      </c>
      <c r="AA50" s="2077" t="str">
        <f t="shared" si="18"/>
        <v>None</v>
      </c>
      <c r="AB50" s="2077" t="str">
        <f t="shared" si="18"/>
        <v>None</v>
      </c>
    </row>
    <row r="51" spans="1:28" ht="28.5" x14ac:dyDescent="0.45">
      <c r="A51" s="1474" t="s">
        <v>35</v>
      </c>
      <c r="B51" s="2077" t="s">
        <v>41</v>
      </c>
      <c r="C51" s="2078">
        <f t="shared" ref="C51:P52" si="19">+Default_value</f>
        <v>0</v>
      </c>
      <c r="D51" s="2078">
        <f t="shared" si="19"/>
        <v>0</v>
      </c>
      <c r="E51" s="2078">
        <f t="shared" si="19"/>
        <v>0</v>
      </c>
      <c r="F51" s="2078">
        <f t="shared" si="19"/>
        <v>0</v>
      </c>
      <c r="G51" s="2078">
        <f t="shared" si="19"/>
        <v>0</v>
      </c>
      <c r="H51" s="2078">
        <f t="shared" si="19"/>
        <v>11.25</v>
      </c>
      <c r="I51" s="2078">
        <f t="shared" si="19"/>
        <v>0</v>
      </c>
      <c r="J51" s="2078">
        <f t="shared" si="19"/>
        <v>11.25</v>
      </c>
      <c r="K51" s="2078">
        <f t="shared" si="19"/>
        <v>11.25</v>
      </c>
      <c r="L51" s="2078">
        <f t="shared" si="19"/>
        <v>11.25</v>
      </c>
      <c r="M51" s="2078">
        <f t="shared" si="19"/>
        <v>0.5</v>
      </c>
      <c r="N51" s="2078">
        <f t="shared" si="19"/>
        <v>0.5</v>
      </c>
      <c r="O51" s="2078">
        <f t="shared" si="19"/>
        <v>0.5</v>
      </c>
      <c r="P51" s="2078">
        <f t="shared" si="19"/>
        <v>0.5</v>
      </c>
      <c r="Q51" s="2078">
        <f>+Default_value</f>
        <v>0.5</v>
      </c>
      <c r="R51" s="2078">
        <f t="shared" ref="R51:AB52" si="20">+Default_value</f>
        <v>0.5</v>
      </c>
      <c r="S51" s="2078">
        <f t="shared" si="20"/>
        <v>0.5</v>
      </c>
      <c r="T51" s="2078">
        <f t="shared" si="20"/>
        <v>0.5</v>
      </c>
      <c r="U51" s="2078">
        <f t="shared" si="20"/>
        <v>0.5</v>
      </c>
      <c r="V51" s="2078">
        <f t="shared" si="20"/>
        <v>0.5</v>
      </c>
      <c r="W51" s="2078">
        <f t="shared" si="20"/>
        <v>0.5</v>
      </c>
      <c r="X51" s="2078">
        <f t="shared" si="20"/>
        <v>0</v>
      </c>
      <c r="Y51" s="2078">
        <f t="shared" si="20"/>
        <v>0</v>
      </c>
      <c r="Z51" s="2078">
        <f t="shared" si="20"/>
        <v>23.420596293311849</v>
      </c>
      <c r="AA51" s="2078">
        <f t="shared" si="20"/>
        <v>23.420596293311849</v>
      </c>
      <c r="AB51" s="2078">
        <f t="shared" si="20"/>
        <v>0</v>
      </c>
    </row>
    <row r="52" spans="1:28" ht="28.5" x14ac:dyDescent="0.45">
      <c r="A52" s="1474" t="s">
        <v>36</v>
      </c>
      <c r="B52" s="2077" t="s">
        <v>42</v>
      </c>
      <c r="C52" s="2078">
        <f t="shared" si="19"/>
        <v>0</v>
      </c>
      <c r="D52" s="2078">
        <f t="shared" si="19"/>
        <v>0</v>
      </c>
      <c r="E52" s="2078">
        <f t="shared" si="19"/>
        <v>0</v>
      </c>
      <c r="F52" s="2078">
        <f t="shared" si="19"/>
        <v>0</v>
      </c>
      <c r="G52" s="2078">
        <f t="shared" si="19"/>
        <v>0</v>
      </c>
      <c r="H52" s="2078">
        <f t="shared" si="19"/>
        <v>14.058333333333334</v>
      </c>
      <c r="I52" s="2078">
        <f t="shared" si="19"/>
        <v>0</v>
      </c>
      <c r="J52" s="2078">
        <f t="shared" si="19"/>
        <v>14.058333333333334</v>
      </c>
      <c r="K52" s="2078">
        <f t="shared" si="19"/>
        <v>11.25</v>
      </c>
      <c r="L52" s="2078">
        <f t="shared" si="19"/>
        <v>14.058333333333334</v>
      </c>
      <c r="M52" s="2078">
        <f t="shared" si="19"/>
        <v>1.0638297872340425</v>
      </c>
      <c r="N52" s="2078">
        <f t="shared" si="19"/>
        <v>1.0638297872340425</v>
      </c>
      <c r="O52" s="2078">
        <f t="shared" si="19"/>
        <v>1.0638297872340425</v>
      </c>
      <c r="P52" s="2078">
        <f t="shared" si="19"/>
        <v>1.0638297872340425</v>
      </c>
      <c r="Q52" s="2078">
        <f>+Default_value</f>
        <v>1.0638297872340425</v>
      </c>
      <c r="R52" s="2078">
        <f t="shared" si="20"/>
        <v>1.0638297872340425</v>
      </c>
      <c r="S52" s="2078">
        <f t="shared" si="20"/>
        <v>1.0638297872340425</v>
      </c>
      <c r="T52" s="2078">
        <f t="shared" si="20"/>
        <v>1.0638297872340425</v>
      </c>
      <c r="U52" s="2078">
        <f t="shared" si="20"/>
        <v>1.0638297872340425</v>
      </c>
      <c r="V52" s="2078">
        <f t="shared" si="20"/>
        <v>1.0638297872340425</v>
      </c>
      <c r="W52" s="2078">
        <f t="shared" si="20"/>
        <v>1.0638297872340425</v>
      </c>
      <c r="X52" s="2078">
        <f t="shared" si="20"/>
        <v>0</v>
      </c>
      <c r="Y52" s="2078">
        <f t="shared" si="20"/>
        <v>0</v>
      </c>
      <c r="Z52" s="2078">
        <f t="shared" si="20"/>
        <v>1</v>
      </c>
      <c r="AA52" s="2078">
        <f t="shared" si="20"/>
        <v>1</v>
      </c>
      <c r="AB52" s="2078">
        <f t="shared" si="20"/>
        <v>0</v>
      </c>
    </row>
    <row r="53" spans="1:28" x14ac:dyDescent="0.45">
      <c r="A53" s="33"/>
      <c r="B53" s="1953"/>
      <c r="C53" s="1955"/>
      <c r="D53" s="1955"/>
      <c r="E53" s="1955"/>
      <c r="F53" s="1955"/>
      <c r="G53" s="1955"/>
      <c r="H53" s="1955"/>
      <c r="I53" s="1955"/>
      <c r="J53" s="1955"/>
      <c r="K53" s="1955"/>
      <c r="L53" s="1955"/>
      <c r="M53" s="1955"/>
      <c r="N53" s="1955"/>
      <c r="O53" s="1955"/>
      <c r="P53" s="1955"/>
      <c r="Q53" s="1955"/>
      <c r="R53" s="1955"/>
      <c r="S53" s="1955"/>
      <c r="T53" s="1955"/>
      <c r="U53" s="1955"/>
      <c r="V53" s="1955"/>
      <c r="W53" s="1955"/>
      <c r="X53" s="1955"/>
      <c r="Y53" s="1955"/>
      <c r="Z53" s="1955"/>
      <c r="AA53" s="1955"/>
      <c r="AB53" s="1955"/>
    </row>
    <row r="54" spans="1:28" ht="36" x14ac:dyDescent="0.45">
      <c r="A54" s="1438" t="s">
        <v>3556</v>
      </c>
      <c r="B54" s="1953"/>
      <c r="C54" s="1955"/>
      <c r="D54" s="1955"/>
      <c r="E54" s="1955"/>
      <c r="F54" s="1955"/>
      <c r="G54" s="1955"/>
      <c r="H54" s="1955"/>
      <c r="I54" s="1955"/>
      <c r="J54" s="1955"/>
      <c r="K54" s="1955"/>
      <c r="L54" s="1955"/>
      <c r="M54" s="1955"/>
      <c r="N54" s="1955"/>
      <c r="O54" s="1955"/>
      <c r="P54" s="1955"/>
      <c r="Q54" s="1955"/>
      <c r="R54" s="1955"/>
      <c r="S54" s="1955"/>
      <c r="T54" s="1955"/>
      <c r="U54" s="1955"/>
      <c r="V54" s="1955"/>
      <c r="W54" s="1955"/>
      <c r="X54" s="1955"/>
      <c r="Y54" s="1955"/>
      <c r="Z54" s="1955"/>
      <c r="AA54" s="1955"/>
      <c r="AB54" s="1955"/>
    </row>
    <row r="55" spans="1:28" ht="26.25" x14ac:dyDescent="0.45">
      <c r="A55" s="1462" t="s">
        <v>29</v>
      </c>
      <c r="B55" s="1456"/>
      <c r="C55" s="1457" t="s">
        <v>284</v>
      </c>
      <c r="D55" s="1457" t="s">
        <v>284</v>
      </c>
      <c r="E55" s="1457" t="str">
        <f t="shared" ref="E55:R55" si="21">+Default_value</f>
        <v>Region-specific</v>
      </c>
      <c r="F55" s="1457" t="str">
        <f t="shared" si="21"/>
        <v>Region-specific</v>
      </c>
      <c r="G55" s="1457" t="str">
        <f t="shared" si="21"/>
        <v>Region-specific</v>
      </c>
      <c r="H55" s="1457" t="str">
        <f t="shared" si="21"/>
        <v>Region-specific</v>
      </c>
      <c r="I55" s="1457" t="s">
        <v>284</v>
      </c>
      <c r="J55" s="1457" t="str">
        <f t="shared" si="21"/>
        <v>Region-specific</v>
      </c>
      <c r="K55" s="1457" t="s">
        <v>284</v>
      </c>
      <c r="L55" s="1457" t="s">
        <v>284</v>
      </c>
      <c r="M55" s="1457" t="str">
        <f t="shared" si="21"/>
        <v>Region-specific</v>
      </c>
      <c r="N55" s="1457" t="str">
        <f t="shared" si="21"/>
        <v>Region-specific</v>
      </c>
      <c r="O55" s="1457" t="str">
        <f t="shared" si="21"/>
        <v>Region-specific</v>
      </c>
      <c r="P55" s="1457" t="str">
        <f t="shared" si="21"/>
        <v>Region-specific</v>
      </c>
      <c r="Q55" s="1457" t="str">
        <f t="shared" si="21"/>
        <v>Region-specific</v>
      </c>
      <c r="R55" s="1457" t="str">
        <f t="shared" si="21"/>
        <v>Region-specific</v>
      </c>
      <c r="S55" s="1457" t="str">
        <f t="shared" ref="S55:AB55" si="22">+Default_value</f>
        <v>Region-specific</v>
      </c>
      <c r="T55" s="1457" t="str">
        <f t="shared" si="22"/>
        <v>Region-specific</v>
      </c>
      <c r="U55" s="1457" t="str">
        <f t="shared" si="22"/>
        <v>Region-specific</v>
      </c>
      <c r="V55" s="1457" t="str">
        <f t="shared" si="22"/>
        <v>Region-specific</v>
      </c>
      <c r="W55" s="1457" t="str">
        <f t="shared" si="22"/>
        <v>Region-specific</v>
      </c>
      <c r="X55" s="1457" t="s">
        <v>283</v>
      </c>
      <c r="Y55" s="1457" t="str">
        <f t="shared" si="22"/>
        <v>Region-specific</v>
      </c>
      <c r="Z55" s="1457" t="str">
        <f t="shared" si="22"/>
        <v>Region-specific</v>
      </c>
      <c r="AA55" s="1457" t="str">
        <f t="shared" si="22"/>
        <v>Region-specific</v>
      </c>
      <c r="AB55" s="1457" t="str">
        <f t="shared" si="22"/>
        <v>Region-specific</v>
      </c>
    </row>
    <row r="56" spans="1:28" ht="39.4" x14ac:dyDescent="0.45">
      <c r="A56" s="1462" t="s">
        <v>45</v>
      </c>
      <c r="B56" s="1456"/>
      <c r="C56" s="1457" t="s">
        <v>46</v>
      </c>
      <c r="D56" s="1457" t="s">
        <v>46</v>
      </c>
      <c r="E56" s="1457" t="s">
        <v>46</v>
      </c>
      <c r="F56" s="1457" t="s">
        <v>46</v>
      </c>
      <c r="G56" s="1457" t="s">
        <v>46</v>
      </c>
      <c r="H56" s="1457" t="s">
        <v>46</v>
      </c>
      <c r="I56" s="1457" t="s">
        <v>46</v>
      </c>
      <c r="J56" s="1457" t="s">
        <v>46</v>
      </c>
      <c r="K56" s="1457" t="s">
        <v>46</v>
      </c>
      <c r="L56" s="1457" t="s">
        <v>46</v>
      </c>
      <c r="M56" s="1457" t="s">
        <v>46</v>
      </c>
      <c r="N56" s="1457" t="s">
        <v>46</v>
      </c>
      <c r="O56" s="1457" t="s">
        <v>46</v>
      </c>
      <c r="P56" s="1457" t="s">
        <v>46</v>
      </c>
      <c r="Q56" s="1457" t="s">
        <v>46</v>
      </c>
      <c r="R56" s="1457" t="s">
        <v>46</v>
      </c>
      <c r="S56" s="1457" t="s">
        <v>46</v>
      </c>
      <c r="T56" s="1457" t="s">
        <v>46</v>
      </c>
      <c r="U56" s="1457" t="s">
        <v>46</v>
      </c>
      <c r="V56" s="1457" t="s">
        <v>46</v>
      </c>
      <c r="W56" s="1457" t="s">
        <v>46</v>
      </c>
      <c r="X56" s="1457" t="s">
        <v>46</v>
      </c>
      <c r="Y56" s="1457" t="s">
        <v>46</v>
      </c>
      <c r="Z56" s="1457" t="s">
        <v>46</v>
      </c>
      <c r="AA56" s="1457" t="s">
        <v>46</v>
      </c>
      <c r="AB56" s="1457" t="s">
        <v>46</v>
      </c>
    </row>
    <row r="57" spans="1:28" x14ac:dyDescent="0.45">
      <c r="A57" s="1462" t="s">
        <v>14</v>
      </c>
      <c r="B57" s="1456"/>
      <c r="C57" s="1456">
        <v>2022</v>
      </c>
      <c r="D57" s="1456">
        <v>2022</v>
      </c>
      <c r="E57" s="1456">
        <v>2022</v>
      </c>
      <c r="F57" s="1456">
        <v>2022</v>
      </c>
      <c r="G57" s="1456">
        <v>2022</v>
      </c>
      <c r="H57" s="1456">
        <v>2022</v>
      </c>
      <c r="I57" s="1456">
        <v>2022</v>
      </c>
      <c r="J57" s="1456">
        <v>2022</v>
      </c>
      <c r="K57" s="1456">
        <v>2022</v>
      </c>
      <c r="L57" s="1456">
        <v>2022</v>
      </c>
      <c r="M57" s="1456">
        <v>2022</v>
      </c>
      <c r="N57" s="1456">
        <v>2022</v>
      </c>
      <c r="O57" s="1456">
        <v>2022</v>
      </c>
      <c r="P57" s="1456">
        <v>2022</v>
      </c>
      <c r="Q57" s="1456">
        <v>2022</v>
      </c>
      <c r="R57" s="1456">
        <v>2022</v>
      </c>
      <c r="S57" s="1456">
        <v>2022</v>
      </c>
      <c r="T57" s="1456">
        <v>2022</v>
      </c>
      <c r="U57" s="1456">
        <f>+Default_value</f>
        <v>2022</v>
      </c>
      <c r="V57" s="1456">
        <f>+Default_value</f>
        <v>2022</v>
      </c>
      <c r="W57" s="1456">
        <f>+Default_value</f>
        <v>2022</v>
      </c>
      <c r="X57" s="1456">
        <v>2022</v>
      </c>
      <c r="Y57" s="1456">
        <v>2022</v>
      </c>
      <c r="Z57" s="1456">
        <v>2022</v>
      </c>
      <c r="AA57" s="1456">
        <v>2022</v>
      </c>
      <c r="AB57" s="1456">
        <v>2022</v>
      </c>
    </row>
    <row r="58" spans="1:28" ht="42.75" x14ac:dyDescent="0.45">
      <c r="A58" s="1475" t="s">
        <v>43</v>
      </c>
      <c r="B58" s="2079"/>
      <c r="C58" s="2079" t="s">
        <v>1171</v>
      </c>
      <c r="D58" s="2079" t="s">
        <v>119</v>
      </c>
      <c r="E58" s="2079" t="s">
        <v>1171</v>
      </c>
      <c r="F58" s="2079" t="s">
        <v>119</v>
      </c>
      <c r="G58" s="2079" t="s">
        <v>1171</v>
      </c>
      <c r="H58" s="2079" t="s">
        <v>119</v>
      </c>
      <c r="I58" s="2079" t="s">
        <v>1171</v>
      </c>
      <c r="J58" s="2079" t="s">
        <v>119</v>
      </c>
      <c r="K58" s="2079" t="s">
        <v>1171</v>
      </c>
      <c r="L58" s="2079" t="s">
        <v>119</v>
      </c>
      <c r="M58" s="2079" t="s">
        <v>1171</v>
      </c>
      <c r="N58" s="2079" t="s">
        <v>1171</v>
      </c>
      <c r="O58" s="2079" t="s">
        <v>119</v>
      </c>
      <c r="P58" s="2079" t="s">
        <v>119</v>
      </c>
      <c r="Q58" s="2079" t="s">
        <v>119</v>
      </c>
      <c r="R58" s="2079" t="s">
        <v>119</v>
      </c>
      <c r="S58" s="2079" t="s">
        <v>119</v>
      </c>
      <c r="T58" s="2079" t="s">
        <v>119</v>
      </c>
      <c r="U58" s="2079" t="s">
        <v>119</v>
      </c>
      <c r="V58" s="2079" t="s">
        <v>119</v>
      </c>
      <c r="W58" s="2079" t="s">
        <v>119</v>
      </c>
      <c r="X58" s="2079" t="s">
        <v>1171</v>
      </c>
      <c r="Y58" s="2079" t="s">
        <v>119</v>
      </c>
      <c r="Z58" s="2079" t="s">
        <v>1171</v>
      </c>
      <c r="AA58" s="2079" t="s">
        <v>119</v>
      </c>
      <c r="AB58" s="2079" t="s">
        <v>119</v>
      </c>
    </row>
    <row r="59" spans="1:28" ht="85.5" x14ac:dyDescent="0.45">
      <c r="A59" s="1580" t="s">
        <v>32</v>
      </c>
      <c r="B59" s="2080"/>
      <c r="C59" s="2080" t="s">
        <v>113</v>
      </c>
      <c r="D59" s="2080" t="s">
        <v>3539</v>
      </c>
      <c r="E59" s="2080" t="s">
        <v>3539</v>
      </c>
      <c r="F59" s="2080" t="s">
        <v>3539</v>
      </c>
      <c r="G59" s="2080" t="s">
        <v>3539</v>
      </c>
      <c r="H59" s="2080" t="s">
        <v>3539</v>
      </c>
      <c r="I59" s="2080" t="s">
        <v>3539</v>
      </c>
      <c r="J59" s="2080" t="s">
        <v>3539</v>
      </c>
      <c r="K59" s="2080" t="s">
        <v>3539</v>
      </c>
      <c r="L59" s="2080" t="s">
        <v>3539</v>
      </c>
      <c r="M59" s="2080" t="s">
        <v>3539</v>
      </c>
      <c r="N59" s="2080" t="s">
        <v>3539</v>
      </c>
      <c r="O59" s="2080" t="s">
        <v>3539</v>
      </c>
      <c r="P59" s="2080" t="s">
        <v>3539</v>
      </c>
      <c r="Q59" s="2080" t="s">
        <v>3539</v>
      </c>
      <c r="R59" s="2080" t="s">
        <v>3539</v>
      </c>
      <c r="S59" s="2080" t="s">
        <v>3539</v>
      </c>
      <c r="T59" s="2080" t="s">
        <v>3539</v>
      </c>
      <c r="U59" s="2080" t="s">
        <v>3539</v>
      </c>
      <c r="V59" s="2080" t="s">
        <v>3539</v>
      </c>
      <c r="W59" s="2080" t="s">
        <v>3539</v>
      </c>
      <c r="X59" s="2080" t="s">
        <v>3539</v>
      </c>
      <c r="Y59" s="2080" t="s">
        <v>3539</v>
      </c>
      <c r="Z59" s="2080" t="s">
        <v>3539</v>
      </c>
      <c r="AA59" s="2080" t="s">
        <v>3539</v>
      </c>
      <c r="AB59" s="2080" t="s">
        <v>3539</v>
      </c>
    </row>
    <row r="60" spans="1:28" x14ac:dyDescent="0.45">
      <c r="A60" s="1462" t="s">
        <v>44</v>
      </c>
      <c r="B60" s="1476"/>
      <c r="C60" s="2081" t="str">
        <f t="shared" ref="C60:AB60" si="23">+Default_value</f>
        <v>India</v>
      </c>
      <c r="D60" s="2081" t="str">
        <f>+Default_value</f>
        <v>India</v>
      </c>
      <c r="E60" s="2081" t="str">
        <f t="shared" si="23"/>
        <v>India</v>
      </c>
      <c r="F60" s="2081" t="str">
        <f t="shared" si="23"/>
        <v>India</v>
      </c>
      <c r="G60" s="2081" t="str">
        <f t="shared" si="23"/>
        <v>India</v>
      </c>
      <c r="H60" s="2081" t="str">
        <f t="shared" si="23"/>
        <v>India</v>
      </c>
      <c r="I60" s="2081" t="str">
        <f t="shared" si="23"/>
        <v>India</v>
      </c>
      <c r="J60" s="2081" t="str">
        <f t="shared" si="23"/>
        <v>India</v>
      </c>
      <c r="K60" s="2081" t="str">
        <f t="shared" si="23"/>
        <v>India</v>
      </c>
      <c r="L60" s="2081" t="str">
        <f t="shared" si="23"/>
        <v>India</v>
      </c>
      <c r="M60" s="2081" t="str">
        <f t="shared" si="23"/>
        <v>India</v>
      </c>
      <c r="N60" s="2081" t="str">
        <f t="shared" si="23"/>
        <v>India</v>
      </c>
      <c r="O60" s="2081" t="str">
        <f t="shared" si="23"/>
        <v>India</v>
      </c>
      <c r="P60" s="2081" t="str">
        <f t="shared" si="23"/>
        <v>India</v>
      </c>
      <c r="Q60" s="2081" t="str">
        <f t="shared" si="23"/>
        <v>India</v>
      </c>
      <c r="R60" s="2081" t="str">
        <f t="shared" si="23"/>
        <v>India</v>
      </c>
      <c r="S60" s="2081" t="str">
        <f t="shared" si="23"/>
        <v>India</v>
      </c>
      <c r="T60" s="2081" t="str">
        <f t="shared" si="23"/>
        <v>India</v>
      </c>
      <c r="U60" s="2081" t="str">
        <f t="shared" si="23"/>
        <v>India</v>
      </c>
      <c r="V60" s="2081" t="str">
        <f t="shared" si="23"/>
        <v>India</v>
      </c>
      <c r="W60" s="2081" t="str">
        <f t="shared" si="23"/>
        <v>India</v>
      </c>
      <c r="X60" s="2081" t="str">
        <f t="shared" si="23"/>
        <v>India</v>
      </c>
      <c r="Y60" s="2081" t="str">
        <f t="shared" si="23"/>
        <v>India</v>
      </c>
      <c r="Z60" s="2081" t="str">
        <f t="shared" si="23"/>
        <v>India</v>
      </c>
      <c r="AA60" s="2081" t="str">
        <f t="shared" si="23"/>
        <v>India</v>
      </c>
      <c r="AB60" s="2081" t="str">
        <f t="shared" si="23"/>
        <v>India</v>
      </c>
    </row>
  </sheetData>
  <mergeCells count="1">
    <mergeCell ref="A1:AB1"/>
  </mergeCells>
  <conditionalFormatting sqref="C4">
    <cfRule type="expression" dxfId="16" priority="22">
      <formula>IF($C$4="ICE",TRUE,FALSE)</formula>
    </cfRule>
  </conditionalFormatting>
  <conditionalFormatting sqref="C6:AB6">
    <cfRule type="expression" dxfId="15" priority="21">
      <formula>IF(C$4="ICE",FALSE,TRUE)</formula>
    </cfRule>
  </conditionalFormatting>
  <conditionalFormatting sqref="C7:AB7">
    <cfRule type="expression" dxfId="14" priority="19">
      <formula>OR(C$4="BEV",C$4="FCEV",C$6="Diesel (Oil)",C$6="Natural Gas (fossil, EU mix)")</formula>
    </cfRule>
  </conditionalFormatting>
  <conditionalFormatting sqref="C8:AB8">
    <cfRule type="expression" dxfId="13" priority="18">
      <formula>OR(C$4="BEV",C$4="FCEV",C$6="Gasoline (Oil)",C$6="Natural Gas (fossil, EU mix)")</formula>
    </cfRule>
  </conditionalFormatting>
  <conditionalFormatting sqref="C9:AB9">
    <cfRule type="expression" dxfId="12" priority="17">
      <formula>OR(C$4="BEV",C$4="FCEV",C$6="Gasoline (Oil)",C$6="Diesel (Oil)")</formula>
    </cfRule>
  </conditionalFormatting>
  <conditionalFormatting sqref="C10:AB10">
    <cfRule type="expression" dxfId="11" priority="16">
      <formula>IF(C$4="BEV",FALSE,TRUE)</formula>
    </cfRule>
  </conditionalFormatting>
  <conditionalFormatting sqref="C11:AB11">
    <cfRule type="expression" dxfId="10" priority="15">
      <formula>IF(C$4="FCEV",FALSE,TRUE)</formula>
    </cfRule>
  </conditionalFormatting>
  <conditionalFormatting sqref="C33:AB35">
    <cfRule type="expression" dxfId="9" priority="12">
      <formula>IF(C$4="ICE",TRUE,FALSE)</formula>
    </cfRule>
  </conditionalFormatting>
  <conditionalFormatting sqref="C51:AB52">
    <cfRule type="expression" dxfId="8" priority="1">
      <formula>IF(C$50="None",TRUE,FALSE)</formula>
    </cfRule>
  </conditionalFormatting>
  <conditionalFormatting sqref="C55:AB55">
    <cfRule type="expression" dxfId="7" priority="10">
      <formula>IF(C$4="BEV",FALSE,TRUE)</formula>
    </cfRule>
  </conditionalFormatting>
  <conditionalFormatting sqref="C56:AB56">
    <cfRule type="expression" dxfId="6" priority="6">
      <formula>OR(C$4="ICE",C$4="FCEV",C$55="Region-specific")</formula>
    </cfRule>
  </conditionalFormatting>
  <conditionalFormatting sqref="C57:AB58">
    <cfRule type="expression" dxfId="5" priority="4">
      <formula>OR(C$4="ICE",C$4="FCEV",C$55="Fuel-specific")</formula>
    </cfRule>
  </conditionalFormatting>
  <conditionalFormatting sqref="C59:AB59">
    <cfRule type="expression" dxfId="4" priority="2">
      <formula>IF(C$4="FCEV",FALSE,TRUE)</formula>
    </cfRule>
  </conditionalFormatting>
  <conditionalFormatting sqref="C60:AB60">
    <cfRule type="expression" dxfId="3" priority="3">
      <formula>OR(C$4="ICE",C$4="FCEV",C$55="Fuel-specific")</formula>
    </cfRule>
  </conditionalFormatting>
  <conditionalFormatting sqref="D6">
    <cfRule type="expression" dxfId="2" priority="20">
      <formula>IF($D$4="ICE",FALSE,TRUE)</formula>
    </cfRule>
  </conditionalFormatting>
  <conditionalFormatting sqref="E56">
    <cfRule type="expression" dxfId="1" priority="8">
      <formula>IF(E$4="BEV",FALSE,TRUE)</formula>
    </cfRule>
  </conditionalFormatting>
  <conditionalFormatting sqref="G56">
    <cfRule type="expression" dxfId="0" priority="7">
      <formula>IF(G$4="BEV",FALSE,TRUE)</formula>
    </cfRule>
  </conditionalFormatting>
  <dataValidations count="8">
    <dataValidation type="list" allowBlank="1" showInputMessage="1" sqref="D12 U35 C7:C9 E7:E9 G7:G9 I7:I9 U7:U9 D10 F10 H10 J10 L10 H12 L12 Y12:AB12 Y10 AA10 K7:K9 V12 M7:P9 C35 AB35 J12 E35 L33:L34 D33:D34 G35 Y33:Y34 F33:F34 I35 Z35 H33:H34 K35 X35 J33:J34 M35:P35 F12 AA33:AA34 Q10:T10 Q12:T12 Q33:T34 Z7:Z9 V10 W7:X9 W11 V33:W34 C13:AB16 C39:AB47 C60:AB60 C18:AB28 C51:AB52 C57:AB57" xr:uid="{00000000-0002-0000-0200-000000000000}">
      <formula1>"+Default_value"</formula1>
    </dataValidation>
    <dataValidation allowBlank="1" showInputMessage="1" sqref="M33:P34 AB33:AB34 E33:E34 G33:G34 I33:I34 K33:K34 X33:X34 Z33:Z34 C33:C34 U33:U34 C11 C48:AB49 C36:AB36 C53:AB54" xr:uid="{00000000-0002-0000-0200-000001000000}"/>
    <dataValidation type="list" allowBlank="1" showInputMessage="1" sqref="D35 F35 H35 J35 L35 AA35 Y35 Q35:T35 V35:W35" xr:uid="{00000000-0002-0000-0200-000002000000}">
      <formula1>"+Default_value, LMO, NMC111, LFP: hydrothermal, LFP: solid state, NMC622, NMC811, LMR-NMC:Gr, LMR-NMC:Gr-SI, NCA"</formula1>
    </dataValidation>
    <dataValidation type="list" allowBlank="1" showInputMessage="1" showErrorMessage="1" sqref="C50:AB50" xr:uid="{00000000-0002-0000-0200-000003000000}">
      <formula1>"+Default_value,None, Car - ICE, Car- BEV, Large car - ICE,  Large car - BEV, Van - ICE, Van -BEV, Bus - ICE, Bus -BEV, Coach Bus AC ICE 12 m, Coach Bus AC BEV 12 m, Taxi-ICE, Taxi-BEV"</formula1>
    </dataValidation>
    <dataValidation type="list" allowBlank="1" showInputMessage="1" sqref="C30:AB30" xr:uid="{00000000-0002-0000-0200-000005000000}">
      <formula1>"+Default_value, With Al smelting mostly from coal, Default"</formula1>
    </dataValidation>
    <dataValidation type="list" allowBlank="1" showInputMessage="1" sqref="C55:AB55" xr:uid="{00000000-0002-0000-0200-000006000000}">
      <formula1>"+Default_value, Region-specific, Fuel-specific"</formula1>
    </dataValidation>
    <dataValidation type="list" showInputMessage="1" showErrorMessage="1" sqref="C58:AB58" xr:uid="{00000000-0002-0000-0200-000007000000}">
      <formula1>"Constant, Switch to Renewables, High ambition Scenario, User defined scenario"</formula1>
    </dataValidation>
    <dataValidation type="list" allowBlank="1" showInputMessage="1" showErrorMessage="1" sqref="C4:AB4" xr:uid="{00000000-0002-0000-0200-000008000000}">
      <formula1>"+Default_value, ICE, BEV, FCEV"</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9000000}">
          <x14:formula1>
            <xm:f>WTW_Fuel_properties!$A$5:$A$7</xm:f>
          </x14:formula1>
          <xm:sqref>X6 K6 Z6</xm:sqref>
        </x14:dataValidation>
        <x14:dataValidation type="list" showInputMessage="1" showErrorMessage="1" xr:uid="{00000000-0002-0000-0200-00000A000000}">
          <x14:formula1>
            <xm:f>WTW_Fuel_properties!$C$60:$C$67</xm:f>
          </x14:formula1>
          <xm:sqref>C59:AB59</xm:sqref>
        </x14:dataValidation>
        <x14:dataValidation type="list" allowBlank="1" showInputMessage="1" xr:uid="{00000000-0002-0000-0200-00000B000000}">
          <x14:formula1>
            <xm:f>GPG!$A$5:$A$11</xm:f>
          </x14:formula1>
          <xm:sqref>C56:AB56</xm:sqref>
        </x14:dataValidation>
        <x14:dataValidation type="list" allowBlank="1" showInputMessage="1" showErrorMessage="1" xr:uid="{00000000-0002-0000-0200-00000C000000}">
          <x14:formula1>
            <xm:f>WTW_Fuel_properties!$A$6:$A$7</xm:f>
          </x14:formula1>
          <xm:sqref>M6:P6 U6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autoPageBreaks="0" fitToPage="1"/>
  </sheetPr>
  <dimension ref="A1:AO255"/>
  <sheetViews>
    <sheetView showGridLines="0" zoomScale="85" zoomScaleNormal="85" workbookViewId="0">
      <selection activeCell="C30" sqref="C30"/>
    </sheetView>
  </sheetViews>
  <sheetFormatPr defaultColWidth="9.1328125" defaultRowHeight="14.25" x14ac:dyDescent="0.45"/>
  <cols>
    <col min="1" max="1" width="24.19921875" style="39" customWidth="1"/>
    <col min="2" max="2" width="11" style="39" customWidth="1"/>
    <col min="3" max="3" width="11.46484375" style="39" customWidth="1"/>
    <col min="4" max="4" width="11" style="39" customWidth="1"/>
    <col min="5" max="5" width="14.19921875" style="39" customWidth="1"/>
    <col min="6" max="6" width="11.46484375" style="39" customWidth="1"/>
    <col min="7" max="7" width="12.19921875" style="39" customWidth="1"/>
    <col min="8" max="8" width="15.19921875" style="39" bestFit="1" customWidth="1"/>
    <col min="9" max="9" width="14.1328125" style="39" bestFit="1" customWidth="1"/>
    <col min="10" max="10" width="16.46484375" style="39" bestFit="1" customWidth="1"/>
    <col min="11" max="11" width="15.19921875" style="39" bestFit="1" customWidth="1"/>
    <col min="12" max="12" width="11.796875" style="39" customWidth="1"/>
    <col min="13" max="13" width="24.19921875" customWidth="1"/>
    <col min="14" max="14" width="11" customWidth="1"/>
    <col min="15" max="15" width="11.46484375" customWidth="1"/>
    <col min="16" max="16" width="11" customWidth="1"/>
    <col min="17" max="17" width="14.19921875" customWidth="1"/>
    <col min="18" max="18" width="11.46484375" customWidth="1"/>
    <col min="19" max="19" width="12.19921875" customWidth="1"/>
    <col min="20" max="20" width="15.19921875" bestFit="1" customWidth="1"/>
    <col min="21" max="21" width="14.1328125" bestFit="1" customWidth="1"/>
    <col min="22" max="22" width="16.46484375" bestFit="1" customWidth="1"/>
    <col min="23" max="23" width="15.19921875" bestFit="1" customWidth="1"/>
    <col min="25" max="16384" width="9.1328125" style="39"/>
  </cols>
  <sheetData>
    <row r="1" spans="1:8" ht="15.4" x14ac:dyDescent="0.45">
      <c r="A1" s="140" t="s">
        <v>1559</v>
      </c>
      <c r="G1" s="230" t="s">
        <v>1561</v>
      </c>
      <c r="H1" s="230"/>
    </row>
    <row r="3" spans="1:8" x14ac:dyDescent="0.45">
      <c r="A3" s="72" t="s">
        <v>1558</v>
      </c>
    </row>
    <row r="4" spans="1:8" x14ac:dyDescent="0.45">
      <c r="A4" s="39" t="s">
        <v>1557</v>
      </c>
    </row>
    <row r="5" spans="1:8" x14ac:dyDescent="0.45">
      <c r="A5" s="220" t="s">
        <v>293</v>
      </c>
      <c r="B5" s="54">
        <v>1</v>
      </c>
      <c r="C5" s="39" t="s">
        <v>1556</v>
      </c>
    </row>
    <row r="6" spans="1:8" x14ac:dyDescent="0.45">
      <c r="A6" s="217" t="s">
        <v>294</v>
      </c>
      <c r="B6" s="229">
        <v>2</v>
      </c>
      <c r="C6" s="39" t="s">
        <v>1555</v>
      </c>
    </row>
    <row r="7" spans="1:8" x14ac:dyDescent="0.45">
      <c r="A7" s="217" t="s">
        <v>1453</v>
      </c>
      <c r="B7" s="229">
        <v>2</v>
      </c>
      <c r="C7" s="216"/>
      <c r="D7" s="216"/>
      <c r="E7" s="216"/>
    </row>
    <row r="8" spans="1:8" x14ac:dyDescent="0.45">
      <c r="A8" s="214" t="s">
        <v>1548</v>
      </c>
      <c r="B8" s="51">
        <v>1</v>
      </c>
      <c r="C8" s="216"/>
      <c r="D8" s="216"/>
      <c r="E8" s="216"/>
    </row>
    <row r="9" spans="1:8" x14ac:dyDescent="0.45">
      <c r="A9" s="41"/>
      <c r="C9" s="216"/>
      <c r="D9" s="216"/>
      <c r="E9" s="216"/>
    </row>
    <row r="10" spans="1:8" x14ac:dyDescent="0.45">
      <c r="A10" s="41"/>
    </row>
    <row r="11" spans="1:8" x14ac:dyDescent="0.45">
      <c r="A11" s="39" t="s">
        <v>1554</v>
      </c>
    </row>
    <row r="12" spans="1:8" x14ac:dyDescent="0.45">
      <c r="A12" s="221"/>
      <c r="B12" s="219" t="s">
        <v>1465</v>
      </c>
      <c r="C12" s="218" t="s">
        <v>1456</v>
      </c>
    </row>
    <row r="13" spans="1:8" x14ac:dyDescent="0.45">
      <c r="A13" s="220" t="s">
        <v>1479</v>
      </c>
      <c r="B13" s="228">
        <v>32.319000000000003</v>
      </c>
      <c r="C13" s="227">
        <v>32.319000000000003</v>
      </c>
    </row>
    <row r="14" spans="1:8" x14ac:dyDescent="0.45">
      <c r="A14" s="217" t="s">
        <v>1478</v>
      </c>
      <c r="B14" s="226">
        <v>27.316800000000004</v>
      </c>
      <c r="C14" s="225">
        <v>27.316800000000004</v>
      </c>
    </row>
    <row r="15" spans="1:8" x14ac:dyDescent="0.45">
      <c r="A15" s="217" t="s">
        <v>1473</v>
      </c>
      <c r="B15" s="226">
        <v>38.304000000000002</v>
      </c>
      <c r="C15" s="225">
        <v>38.304000000000002</v>
      </c>
    </row>
    <row r="16" spans="1:8" x14ac:dyDescent="0.45">
      <c r="A16" s="214" t="s">
        <v>1472</v>
      </c>
      <c r="B16" s="224">
        <v>34.146000000000001</v>
      </c>
      <c r="C16" s="223">
        <v>34.146000000000001</v>
      </c>
    </row>
    <row r="17" spans="1:4" x14ac:dyDescent="0.45">
      <c r="A17" s="222"/>
      <c r="B17" s="216"/>
      <c r="C17" s="216"/>
    </row>
    <row r="18" spans="1:4" x14ac:dyDescent="0.45">
      <c r="A18" s="39" t="s">
        <v>1553</v>
      </c>
    </row>
    <row r="19" spans="1:4" x14ac:dyDescent="0.45">
      <c r="A19" s="221"/>
      <c r="B19" s="219" t="s">
        <v>1465</v>
      </c>
      <c r="C19" s="218" t="s">
        <v>1456</v>
      </c>
    </row>
    <row r="20" spans="1:4" x14ac:dyDescent="0.45">
      <c r="A20" s="220" t="s">
        <v>1477</v>
      </c>
      <c r="B20" s="228">
        <v>15.273378000000001</v>
      </c>
      <c r="C20" s="227">
        <v>15.273378000000001</v>
      </c>
    </row>
    <row r="21" spans="1:4" x14ac:dyDescent="0.45">
      <c r="A21" s="217" t="s">
        <v>1476</v>
      </c>
      <c r="B21" s="226">
        <v>11.9198445</v>
      </c>
      <c r="C21" s="225">
        <v>11.9198445</v>
      </c>
    </row>
    <row r="22" spans="1:4" x14ac:dyDescent="0.45">
      <c r="A22" s="217" t="s">
        <v>1475</v>
      </c>
      <c r="B22" s="226">
        <v>26.914588235294119</v>
      </c>
      <c r="C22" s="225">
        <v>26.914588235294119</v>
      </c>
    </row>
    <row r="23" spans="1:4" x14ac:dyDescent="0.45">
      <c r="A23" s="214" t="s">
        <v>1474</v>
      </c>
      <c r="B23" s="224">
        <v>21.684972000000002</v>
      </c>
      <c r="C23" s="223">
        <v>21.684972000000002</v>
      </c>
    </row>
    <row r="24" spans="1:4" x14ac:dyDescent="0.45">
      <c r="A24" s="222"/>
      <c r="B24" s="216"/>
      <c r="C24" s="216"/>
    </row>
    <row r="25" spans="1:4" x14ac:dyDescent="0.45">
      <c r="A25" s="39" t="s">
        <v>1552</v>
      </c>
    </row>
    <row r="26" spans="1:4" x14ac:dyDescent="0.45">
      <c r="A26" s="221"/>
      <c r="B26" s="219" t="s">
        <v>1471</v>
      </c>
      <c r="C26" s="219" t="s">
        <v>1465</v>
      </c>
      <c r="D26" s="218" t="s">
        <v>1456</v>
      </c>
    </row>
    <row r="27" spans="1:4" x14ac:dyDescent="0.45">
      <c r="A27" s="220" t="s">
        <v>1551</v>
      </c>
      <c r="B27" s="219">
        <v>2</v>
      </c>
      <c r="C27" s="219"/>
      <c r="D27" s="218"/>
    </row>
    <row r="28" spans="1:4" x14ac:dyDescent="0.45">
      <c r="A28" s="217" t="s">
        <v>293</v>
      </c>
      <c r="B28" s="216">
        <v>2</v>
      </c>
      <c r="C28" s="216">
        <v>0</v>
      </c>
      <c r="D28" s="215">
        <v>0</v>
      </c>
    </row>
    <row r="29" spans="1:4" x14ac:dyDescent="0.45">
      <c r="A29" s="217" t="s">
        <v>294</v>
      </c>
      <c r="B29" s="216">
        <v>2</v>
      </c>
      <c r="C29" s="216">
        <v>0</v>
      </c>
      <c r="D29" s="215">
        <v>0</v>
      </c>
    </row>
    <row r="30" spans="1:4" x14ac:dyDescent="0.45">
      <c r="A30" s="217" t="s">
        <v>1453</v>
      </c>
      <c r="B30" s="216">
        <v>2</v>
      </c>
      <c r="C30" s="216">
        <v>0</v>
      </c>
      <c r="D30" s="215">
        <v>0</v>
      </c>
    </row>
    <row r="31" spans="1:4" x14ac:dyDescent="0.45">
      <c r="A31" s="214" t="s">
        <v>1548</v>
      </c>
      <c r="B31" s="213">
        <v>2</v>
      </c>
      <c r="C31" s="213">
        <v>0</v>
      </c>
      <c r="D31" s="212">
        <v>0</v>
      </c>
    </row>
    <row r="33" spans="1:11" x14ac:dyDescent="0.45">
      <c r="A33" s="39" t="s">
        <v>1550</v>
      </c>
    </row>
    <row r="34" spans="1:11" x14ac:dyDescent="0.45">
      <c r="A34" s="91"/>
      <c r="B34" s="69" t="s">
        <v>1465</v>
      </c>
      <c r="C34" s="68" t="s">
        <v>1456</v>
      </c>
    </row>
    <row r="35" spans="1:11" x14ac:dyDescent="0.45">
      <c r="A35" s="59" t="s">
        <v>293</v>
      </c>
      <c r="B35" s="39">
        <v>800</v>
      </c>
      <c r="C35" s="211">
        <v>1995.1401634938038</v>
      </c>
    </row>
    <row r="36" spans="1:11" x14ac:dyDescent="0.45">
      <c r="A36" s="57" t="s">
        <v>1548</v>
      </c>
      <c r="B36" s="77">
        <v>800</v>
      </c>
      <c r="C36" s="208">
        <v>1995.1401634938038</v>
      </c>
    </row>
    <row r="38" spans="1:11" x14ac:dyDescent="0.45">
      <c r="A38" s="39" t="s">
        <v>1549</v>
      </c>
    </row>
    <row r="39" spans="1:11" x14ac:dyDescent="0.45">
      <c r="A39" s="91"/>
      <c r="B39" s="69" t="s">
        <v>1465</v>
      </c>
      <c r="C39" s="68" t="s">
        <v>1456</v>
      </c>
    </row>
    <row r="40" spans="1:11" x14ac:dyDescent="0.45">
      <c r="A40" s="59" t="s">
        <v>293</v>
      </c>
      <c r="B40" s="210">
        <v>53</v>
      </c>
      <c r="C40" s="185">
        <v>140.55504896103585</v>
      </c>
    </row>
    <row r="41" spans="1:11" x14ac:dyDescent="0.45">
      <c r="A41" s="57" t="s">
        <v>1548</v>
      </c>
      <c r="B41" s="209">
        <v>65</v>
      </c>
      <c r="C41" s="208">
        <v>142.62303541417381</v>
      </c>
    </row>
    <row r="43" spans="1:11" x14ac:dyDescent="0.45">
      <c r="A43" s="39" t="s">
        <v>1547</v>
      </c>
    </row>
    <row r="44" spans="1:11" ht="36" customHeight="1" x14ac:dyDescent="0.45">
      <c r="A44" s="61"/>
      <c r="B44" s="134" t="s">
        <v>1481</v>
      </c>
      <c r="C44" s="134" t="s">
        <v>1480</v>
      </c>
      <c r="D44" s="134" t="s">
        <v>1479</v>
      </c>
      <c r="E44" s="134" t="s">
        <v>1478</v>
      </c>
      <c r="F44" s="134" t="s">
        <v>1477</v>
      </c>
      <c r="G44" s="134" t="s">
        <v>1476</v>
      </c>
      <c r="H44" s="134" t="s">
        <v>1475</v>
      </c>
      <c r="I44" s="134" t="s">
        <v>1474</v>
      </c>
      <c r="J44" s="134" t="s">
        <v>1473</v>
      </c>
      <c r="K44" s="133" t="s">
        <v>1472</v>
      </c>
    </row>
    <row r="45" spans="1:11" x14ac:dyDescent="0.45">
      <c r="A45" s="59" t="s">
        <v>1471</v>
      </c>
      <c r="B45" s="207">
        <v>36</v>
      </c>
      <c r="C45" s="207">
        <v>23.400000000000002</v>
      </c>
      <c r="D45" s="207">
        <v>22.1</v>
      </c>
      <c r="E45" s="207">
        <v>14.365000000000002</v>
      </c>
      <c r="F45" s="207">
        <v>22.1</v>
      </c>
      <c r="G45" s="207">
        <v>14.365000000000002</v>
      </c>
      <c r="H45" s="207">
        <v>22.1</v>
      </c>
      <c r="I45" s="207">
        <v>14.365000000000002</v>
      </c>
      <c r="J45" s="207">
        <v>22.1</v>
      </c>
      <c r="K45" s="206">
        <v>14.365000000000002</v>
      </c>
    </row>
    <row r="46" spans="1:11" x14ac:dyDescent="0.45">
      <c r="A46" s="59" t="s">
        <v>1465</v>
      </c>
      <c r="B46" s="207"/>
      <c r="C46" s="207"/>
      <c r="D46" s="207">
        <v>89.063084250000017</v>
      </c>
      <c r="E46" s="207">
        <v>75.278271600000011</v>
      </c>
      <c r="F46" s="207">
        <v>635.31488941132079</v>
      </c>
      <c r="G46" s="207">
        <v>495.82055065471695</v>
      </c>
      <c r="H46" s="207">
        <v>912.86001882352946</v>
      </c>
      <c r="I46" s="207">
        <v>735.48752724923088</v>
      </c>
      <c r="J46" s="207">
        <v>105.55624800000001</v>
      </c>
      <c r="K46" s="206">
        <v>94.097839500000006</v>
      </c>
    </row>
    <row r="47" spans="1:11" x14ac:dyDescent="0.45">
      <c r="A47" s="57" t="s">
        <v>1456</v>
      </c>
      <c r="B47" s="205"/>
      <c r="C47" s="205"/>
      <c r="D47" s="205">
        <v>35.712010967304302</v>
      </c>
      <c r="E47" s="205">
        <v>30.184654883865775</v>
      </c>
      <c r="F47" s="205">
        <v>239.56228814045909</v>
      </c>
      <c r="G47" s="205">
        <v>186.96225698718817</v>
      </c>
      <c r="H47" s="205">
        <v>416.03308365454018</v>
      </c>
      <c r="I47" s="205">
        <v>335.19612825775687</v>
      </c>
      <c r="J47" s="205">
        <v>42.325346331619905</v>
      </c>
      <c r="K47" s="204">
        <v>37.730818604832216</v>
      </c>
    </row>
    <row r="49" spans="1:11" x14ac:dyDescent="0.45">
      <c r="A49" s="39" t="s">
        <v>1546</v>
      </c>
      <c r="B49" s="192"/>
      <c r="C49" s="192"/>
      <c r="D49" s="192"/>
      <c r="E49" s="192"/>
    </row>
    <row r="50" spans="1:11" ht="39" x14ac:dyDescent="0.45">
      <c r="A50" s="61"/>
      <c r="B50" s="134" t="s">
        <v>1481</v>
      </c>
      <c r="C50" s="134" t="s">
        <v>1480</v>
      </c>
      <c r="D50" s="134" t="s">
        <v>1479</v>
      </c>
      <c r="E50" s="134" t="s">
        <v>1478</v>
      </c>
      <c r="F50" s="134" t="s">
        <v>1477</v>
      </c>
      <c r="G50" s="134" t="s">
        <v>1476</v>
      </c>
      <c r="H50" s="134" t="s">
        <v>1475</v>
      </c>
      <c r="I50" s="134" t="s">
        <v>1474</v>
      </c>
      <c r="J50" s="134" t="s">
        <v>1473</v>
      </c>
      <c r="K50" s="133" t="s">
        <v>1472</v>
      </c>
    </row>
    <row r="51" spans="1:11" x14ac:dyDescent="0.45">
      <c r="A51" s="61" t="s">
        <v>1471</v>
      </c>
      <c r="B51" s="203"/>
      <c r="C51" s="203"/>
      <c r="D51" s="203"/>
      <c r="E51" s="203"/>
      <c r="F51" s="203"/>
      <c r="G51" s="203"/>
      <c r="H51" s="203"/>
      <c r="I51" s="203"/>
      <c r="J51" s="203"/>
      <c r="K51" s="202"/>
    </row>
    <row r="52" spans="1:11" x14ac:dyDescent="0.45">
      <c r="A52" s="59" t="s">
        <v>1543</v>
      </c>
      <c r="B52" s="197">
        <v>6.0999999999999999E-2</v>
      </c>
      <c r="C52" s="197">
        <v>6.0999999999999999E-2</v>
      </c>
      <c r="D52" s="197">
        <v>6.0999999999999999E-2</v>
      </c>
      <c r="E52" s="197">
        <v>6.0999999999999999E-2</v>
      </c>
      <c r="F52" s="197">
        <v>6.0999999999999999E-2</v>
      </c>
      <c r="G52" s="197">
        <v>6.0999999999999999E-2</v>
      </c>
      <c r="H52" s="197">
        <v>6.0999999999999999E-2</v>
      </c>
      <c r="I52" s="197">
        <v>6.0999999999999999E-2</v>
      </c>
      <c r="J52" s="197">
        <v>6.0999999999999999E-2</v>
      </c>
      <c r="K52" s="196">
        <v>6.0999999999999999E-2</v>
      </c>
    </row>
    <row r="53" spans="1:11" x14ac:dyDescent="0.45">
      <c r="A53" s="59" t="s">
        <v>1470</v>
      </c>
      <c r="B53" s="197">
        <v>0.69</v>
      </c>
      <c r="C53" s="197">
        <v>0.69</v>
      </c>
      <c r="D53" s="197">
        <v>0.69</v>
      </c>
      <c r="E53" s="197">
        <v>0.69</v>
      </c>
      <c r="F53" s="197">
        <v>0.69</v>
      </c>
      <c r="G53" s="197">
        <v>0.69</v>
      </c>
      <c r="H53" s="197">
        <v>0.69</v>
      </c>
      <c r="I53" s="197">
        <v>0.69</v>
      </c>
      <c r="J53" s="197">
        <v>0.69</v>
      </c>
      <c r="K53" s="196">
        <v>0.69</v>
      </c>
    </row>
    <row r="54" spans="1:11" x14ac:dyDescent="0.45">
      <c r="A54" s="59" t="s">
        <v>1469</v>
      </c>
      <c r="B54" s="197">
        <v>7.9000000000000001E-2</v>
      </c>
      <c r="C54" s="197">
        <v>7.9000000000000001E-2</v>
      </c>
      <c r="D54" s="197">
        <v>7.9000000000000001E-2</v>
      </c>
      <c r="E54" s="197">
        <v>7.9000000000000001E-2</v>
      </c>
      <c r="F54" s="197">
        <v>7.9000000000000001E-2</v>
      </c>
      <c r="G54" s="197">
        <v>7.9000000000000001E-2</v>
      </c>
      <c r="H54" s="197">
        <v>7.9000000000000001E-2</v>
      </c>
      <c r="I54" s="197">
        <v>7.9000000000000001E-2</v>
      </c>
      <c r="J54" s="197">
        <v>7.9000000000000001E-2</v>
      </c>
      <c r="K54" s="196">
        <v>7.9000000000000001E-2</v>
      </c>
    </row>
    <row r="55" spans="1:11" x14ac:dyDescent="0.45">
      <c r="A55" s="59" t="s">
        <v>1468</v>
      </c>
      <c r="B55" s="197">
        <v>2.1000000000000001E-2</v>
      </c>
      <c r="C55" s="197">
        <v>2.1000000000000001E-2</v>
      </c>
      <c r="D55" s="197">
        <v>2.1000000000000001E-2</v>
      </c>
      <c r="E55" s="197">
        <v>2.1000000000000001E-2</v>
      </c>
      <c r="F55" s="197">
        <v>2.1000000000000001E-2</v>
      </c>
      <c r="G55" s="197">
        <v>2.1000000000000001E-2</v>
      </c>
      <c r="H55" s="197">
        <v>2.1000000000000001E-2</v>
      </c>
      <c r="I55" s="197">
        <v>2.1000000000000001E-2</v>
      </c>
      <c r="J55" s="197">
        <v>2.1000000000000001E-2</v>
      </c>
      <c r="K55" s="196">
        <v>2.1000000000000001E-2</v>
      </c>
    </row>
    <row r="56" spans="1:11" x14ac:dyDescent="0.45">
      <c r="A56" s="59" t="s">
        <v>1467</v>
      </c>
      <c r="B56" s="197">
        <v>0.14099999999999999</v>
      </c>
      <c r="C56" s="197">
        <v>0.14099999999999999</v>
      </c>
      <c r="D56" s="197">
        <v>0.14099999999999999</v>
      </c>
      <c r="E56" s="197">
        <v>0.14099999999999999</v>
      </c>
      <c r="F56" s="197">
        <v>0.14099999999999999</v>
      </c>
      <c r="G56" s="197">
        <v>0.14099999999999999</v>
      </c>
      <c r="H56" s="197">
        <v>0.14099999999999999</v>
      </c>
      <c r="I56" s="197">
        <v>0.14099999999999999</v>
      </c>
      <c r="J56" s="197">
        <v>0.14099999999999999</v>
      </c>
      <c r="K56" s="196">
        <v>0.14099999999999999</v>
      </c>
    </row>
    <row r="57" spans="1:11" x14ac:dyDescent="0.45">
      <c r="A57" s="57" t="s">
        <v>1466</v>
      </c>
      <c r="B57" s="194">
        <v>8.0000000000001181E-3</v>
      </c>
      <c r="C57" s="194">
        <v>8.0000000000001181E-3</v>
      </c>
      <c r="D57" s="194">
        <v>8.0000000000001181E-3</v>
      </c>
      <c r="E57" s="194">
        <v>8.0000000000001181E-3</v>
      </c>
      <c r="F57" s="194">
        <v>8.0000000000001181E-3</v>
      </c>
      <c r="G57" s="194">
        <v>8.0000000000001181E-3</v>
      </c>
      <c r="H57" s="194">
        <v>8.0000000000001181E-3</v>
      </c>
      <c r="I57" s="194">
        <v>8.0000000000001181E-3</v>
      </c>
      <c r="J57" s="194">
        <v>8.0000000000001181E-3</v>
      </c>
      <c r="K57" s="193">
        <v>8.0000000000001181E-3</v>
      </c>
    </row>
    <row r="58" spans="1:11" x14ac:dyDescent="0.45">
      <c r="A58" s="59" t="s">
        <v>1465</v>
      </c>
      <c r="B58" s="198"/>
      <c r="C58" s="198"/>
      <c r="D58" s="198"/>
      <c r="E58" s="198"/>
      <c r="F58" s="198"/>
      <c r="G58" s="198"/>
      <c r="H58" s="198"/>
      <c r="I58" s="198"/>
      <c r="J58" s="198"/>
      <c r="K58" s="201"/>
    </row>
    <row r="59" spans="1:11" x14ac:dyDescent="0.45">
      <c r="A59" s="59" t="s">
        <v>1464</v>
      </c>
      <c r="B59" s="198"/>
      <c r="C59" s="198"/>
      <c r="D59" s="197">
        <v>0.12</v>
      </c>
      <c r="E59" s="197">
        <v>0.12</v>
      </c>
      <c r="F59" s="197">
        <v>0.12</v>
      </c>
      <c r="G59" s="197">
        <v>0.12</v>
      </c>
      <c r="H59" s="197">
        <v>0.12</v>
      </c>
      <c r="I59" s="197">
        <v>0.12</v>
      </c>
      <c r="J59" s="197">
        <v>0.12</v>
      </c>
      <c r="K59" s="196">
        <v>0.12</v>
      </c>
    </row>
    <row r="60" spans="1:11" x14ac:dyDescent="0.45">
      <c r="A60" s="59" t="s">
        <v>1438</v>
      </c>
      <c r="B60" s="198"/>
      <c r="C60" s="198"/>
      <c r="D60" s="197">
        <v>0.23699999999999999</v>
      </c>
      <c r="E60" s="197">
        <v>0.23699999999999999</v>
      </c>
      <c r="F60" s="197">
        <v>0.23699999999999999</v>
      </c>
      <c r="G60" s="197">
        <v>0.23699999999999999</v>
      </c>
      <c r="H60" s="197">
        <v>0.23699999999999999</v>
      </c>
      <c r="I60" s="197">
        <v>0.23699999999999999</v>
      </c>
      <c r="J60" s="197">
        <v>0.23699999999999999</v>
      </c>
      <c r="K60" s="196">
        <v>0.23699999999999999</v>
      </c>
    </row>
    <row r="61" spans="1:11" x14ac:dyDescent="0.45">
      <c r="A61" s="59" t="s">
        <v>1463</v>
      </c>
      <c r="B61" s="198"/>
      <c r="C61" s="198"/>
      <c r="D61" s="197">
        <v>5.0000000000000001E-3</v>
      </c>
      <c r="E61" s="197">
        <v>5.0000000000000001E-3</v>
      </c>
      <c r="F61" s="197">
        <v>5.0000000000000001E-3</v>
      </c>
      <c r="G61" s="197">
        <v>5.0000000000000001E-3</v>
      </c>
      <c r="H61" s="197">
        <v>5.0000000000000001E-3</v>
      </c>
      <c r="I61" s="197">
        <v>5.0000000000000001E-3</v>
      </c>
      <c r="J61" s="197">
        <v>5.0000000000000001E-3</v>
      </c>
      <c r="K61" s="196">
        <v>5.0000000000000001E-3</v>
      </c>
    </row>
    <row r="62" spans="1:11" x14ac:dyDescent="0.45">
      <c r="A62" s="59" t="s">
        <v>1447</v>
      </c>
      <c r="B62" s="198"/>
      <c r="C62" s="198"/>
      <c r="D62" s="197">
        <v>3.9E-2</v>
      </c>
      <c r="E62" s="197">
        <v>3.9E-2</v>
      </c>
      <c r="F62" s="197">
        <v>3.9E-2</v>
      </c>
      <c r="G62" s="197">
        <v>3.9E-2</v>
      </c>
      <c r="H62" s="197">
        <v>3.9E-2</v>
      </c>
      <c r="I62" s="197">
        <v>3.9E-2</v>
      </c>
      <c r="J62" s="197">
        <v>3.9E-2</v>
      </c>
      <c r="K62" s="196">
        <v>3.9E-2</v>
      </c>
    </row>
    <row r="63" spans="1:11" x14ac:dyDescent="0.45">
      <c r="A63" s="59" t="s">
        <v>1462</v>
      </c>
      <c r="B63" s="198"/>
      <c r="C63" s="198"/>
      <c r="D63" s="197">
        <v>0.01</v>
      </c>
      <c r="E63" s="197">
        <v>0.01</v>
      </c>
      <c r="F63" s="197">
        <v>0.01</v>
      </c>
      <c r="G63" s="197">
        <v>0.01</v>
      </c>
      <c r="H63" s="197">
        <v>0.01</v>
      </c>
      <c r="I63" s="197">
        <v>0.01</v>
      </c>
      <c r="J63" s="197">
        <v>0.01</v>
      </c>
      <c r="K63" s="196">
        <v>0.01</v>
      </c>
    </row>
    <row r="64" spans="1:11" x14ac:dyDescent="0.45">
      <c r="A64" s="59" t="s">
        <v>1461</v>
      </c>
      <c r="B64" s="198"/>
      <c r="C64" s="198"/>
      <c r="D64" s="197">
        <v>1.7999999999999999E-2</v>
      </c>
      <c r="E64" s="197">
        <v>1.7999999999999999E-2</v>
      </c>
      <c r="F64" s="197">
        <v>1.7999999999999999E-2</v>
      </c>
      <c r="G64" s="197">
        <v>1.7999999999999999E-2</v>
      </c>
      <c r="H64" s="197">
        <v>1.7999999999999999E-2</v>
      </c>
      <c r="I64" s="197">
        <v>1.7999999999999999E-2</v>
      </c>
      <c r="J64" s="197">
        <v>1.7999999999999999E-2</v>
      </c>
      <c r="K64" s="196">
        <v>1.7999999999999999E-2</v>
      </c>
    </row>
    <row r="65" spans="1:11" x14ac:dyDescent="0.45">
      <c r="A65" s="59" t="s">
        <v>1460</v>
      </c>
      <c r="B65" s="198"/>
      <c r="C65" s="198"/>
      <c r="D65" s="197">
        <v>0.28199999999999997</v>
      </c>
      <c r="E65" s="197">
        <v>0.28199999999999997</v>
      </c>
      <c r="F65" s="197">
        <v>0.28199999999999997</v>
      </c>
      <c r="G65" s="197">
        <v>0.28199999999999997</v>
      </c>
      <c r="H65" s="197">
        <v>0.28199999999999997</v>
      </c>
      <c r="I65" s="197">
        <v>0.28199999999999997</v>
      </c>
      <c r="J65" s="197">
        <v>0.28199999999999997</v>
      </c>
      <c r="K65" s="196">
        <v>0.28199999999999997</v>
      </c>
    </row>
    <row r="66" spans="1:11" x14ac:dyDescent="0.45">
      <c r="A66" s="59" t="s">
        <v>1459</v>
      </c>
      <c r="B66" s="198"/>
      <c r="C66" s="198"/>
      <c r="D66" s="197">
        <v>6.3E-2</v>
      </c>
      <c r="E66" s="197">
        <v>6.3E-2</v>
      </c>
      <c r="F66" s="197">
        <v>6.3E-2</v>
      </c>
      <c r="G66" s="197">
        <v>6.3E-2</v>
      </c>
      <c r="H66" s="197">
        <v>6.3E-2</v>
      </c>
      <c r="I66" s="197">
        <v>6.3E-2</v>
      </c>
      <c r="J66" s="197">
        <v>6.3E-2</v>
      </c>
      <c r="K66" s="196">
        <v>6.3E-2</v>
      </c>
    </row>
    <row r="67" spans="1:11" x14ac:dyDescent="0.45">
      <c r="A67" s="59" t="s">
        <v>1497</v>
      </c>
      <c r="B67" s="198"/>
      <c r="C67" s="198"/>
      <c r="D67" s="197">
        <v>0.22500000000000001</v>
      </c>
      <c r="E67" s="197">
        <v>0.22500000000000001</v>
      </c>
      <c r="F67" s="197">
        <v>0.22500000000000001</v>
      </c>
      <c r="G67" s="197">
        <v>0.22500000000000001</v>
      </c>
      <c r="H67" s="197">
        <v>0.22500000000000001</v>
      </c>
      <c r="I67" s="197">
        <v>0.22500000000000001</v>
      </c>
      <c r="J67" s="197">
        <v>0.22500000000000001</v>
      </c>
      <c r="K67" s="196">
        <v>0.22500000000000001</v>
      </c>
    </row>
    <row r="68" spans="1:11" x14ac:dyDescent="0.45">
      <c r="A68" s="59" t="s">
        <v>1457</v>
      </c>
      <c r="B68" s="198"/>
      <c r="C68" s="198"/>
      <c r="D68" s="197">
        <v>1.0000000000000009E-3</v>
      </c>
      <c r="E68" s="197">
        <v>1.0000000000000009E-3</v>
      </c>
      <c r="F68" s="197">
        <v>1.0000000000000009E-3</v>
      </c>
      <c r="G68" s="197">
        <v>1.0000000000000009E-3</v>
      </c>
      <c r="H68" s="197">
        <v>1.0000000000000009E-3</v>
      </c>
      <c r="I68" s="197">
        <v>1.0000000000000009E-3</v>
      </c>
      <c r="J68" s="197">
        <v>1.0000000000000009E-3</v>
      </c>
      <c r="K68" s="196">
        <v>1.0000000000000009E-3</v>
      </c>
    </row>
    <row r="69" spans="1:11" x14ac:dyDescent="0.45">
      <c r="A69" s="61" t="s">
        <v>1456</v>
      </c>
      <c r="B69" s="200"/>
      <c r="C69" s="200"/>
      <c r="D69" s="200"/>
      <c r="E69" s="200"/>
      <c r="F69" s="200"/>
      <c r="G69" s="200"/>
      <c r="H69" s="200"/>
      <c r="I69" s="200"/>
      <c r="J69" s="200"/>
      <c r="K69" s="199"/>
    </row>
    <row r="70" spans="1:11" x14ac:dyDescent="0.45">
      <c r="A70" s="59" t="s">
        <v>1451</v>
      </c>
      <c r="B70" s="198"/>
      <c r="C70" s="198"/>
      <c r="D70" s="197">
        <v>0.16262083323711099</v>
      </c>
      <c r="E70" s="197">
        <v>0.16262083323711099</v>
      </c>
      <c r="F70" s="197">
        <v>0.24784312730705699</v>
      </c>
      <c r="G70" s="197">
        <v>0.24784312730705699</v>
      </c>
      <c r="H70" s="197">
        <v>0.25166563505797701</v>
      </c>
      <c r="I70" s="197">
        <v>0.25166563505797701</v>
      </c>
      <c r="J70" s="197">
        <v>0.16262083323711099</v>
      </c>
      <c r="K70" s="196">
        <v>0.16262083323711099</v>
      </c>
    </row>
    <row r="71" spans="1:11" x14ac:dyDescent="0.45">
      <c r="A71" s="59" t="s">
        <v>1450</v>
      </c>
      <c r="B71" s="198"/>
      <c r="C71" s="198"/>
      <c r="D71" s="197">
        <v>0.102534491476213</v>
      </c>
      <c r="E71" s="197">
        <v>0.102534491476213</v>
      </c>
      <c r="F71" s="197">
        <v>0.15345400280798999</v>
      </c>
      <c r="G71" s="197">
        <v>0.15345400280798999</v>
      </c>
      <c r="H71" s="197">
        <v>0.15745210403031401</v>
      </c>
      <c r="I71" s="197">
        <v>0.15745210403031401</v>
      </c>
      <c r="J71" s="197">
        <v>0.102534491476213</v>
      </c>
      <c r="K71" s="196">
        <v>0.102534491476213</v>
      </c>
    </row>
    <row r="72" spans="1:11" x14ac:dyDescent="0.45">
      <c r="A72" s="59" t="s">
        <v>1449</v>
      </c>
      <c r="B72" s="198"/>
      <c r="C72" s="198"/>
      <c r="D72" s="197">
        <v>0</v>
      </c>
      <c r="E72" s="197">
        <v>0</v>
      </c>
      <c r="F72" s="197">
        <v>0</v>
      </c>
      <c r="G72" s="197">
        <v>0</v>
      </c>
      <c r="H72" s="197">
        <v>0</v>
      </c>
      <c r="I72" s="197">
        <v>0</v>
      </c>
      <c r="J72" s="197">
        <v>0</v>
      </c>
      <c r="K72" s="196">
        <v>0</v>
      </c>
    </row>
    <row r="73" spans="1:11" x14ac:dyDescent="0.45">
      <c r="A73" s="59" t="s">
        <v>1448</v>
      </c>
      <c r="B73" s="198"/>
      <c r="C73" s="198"/>
      <c r="D73" s="197">
        <v>1.3955543405964501E-2</v>
      </c>
      <c r="E73" s="197">
        <v>1.3955543405964501E-2</v>
      </c>
      <c r="F73" s="197">
        <v>2.1120901584998401E-2</v>
      </c>
      <c r="G73" s="197">
        <v>2.1120901584998401E-2</v>
      </c>
      <c r="H73" s="197">
        <v>2.1532512583594302E-2</v>
      </c>
      <c r="I73" s="197">
        <v>2.1532512583594302E-2</v>
      </c>
      <c r="J73" s="197">
        <v>1.3955543405964501E-2</v>
      </c>
      <c r="K73" s="196">
        <v>1.3955543405964501E-2</v>
      </c>
    </row>
    <row r="74" spans="1:11" x14ac:dyDescent="0.45">
      <c r="A74" s="59" t="s">
        <v>1447</v>
      </c>
      <c r="B74" s="198"/>
      <c r="C74" s="198"/>
      <c r="D74" s="197">
        <v>0.23213169761182301</v>
      </c>
      <c r="E74" s="197">
        <v>0.23213169761182301</v>
      </c>
      <c r="F74" s="197">
        <v>0.16437235080384799</v>
      </c>
      <c r="G74" s="197">
        <v>0.16437235080384799</v>
      </c>
      <c r="H74" s="197">
        <v>0.11734846603878001</v>
      </c>
      <c r="I74" s="197">
        <v>0.11734846603878001</v>
      </c>
      <c r="J74" s="197">
        <v>0.23213169761182301</v>
      </c>
      <c r="K74" s="196">
        <v>0.23213169761182301</v>
      </c>
    </row>
    <row r="75" spans="1:11" x14ac:dyDescent="0.45">
      <c r="A75" s="59" t="s">
        <v>1446</v>
      </c>
      <c r="B75" s="198"/>
      <c r="C75" s="198"/>
      <c r="D75" s="197">
        <v>0.19532339202445401</v>
      </c>
      <c r="E75" s="197">
        <v>0.19532339202445401</v>
      </c>
      <c r="F75" s="197">
        <v>0.186540406195461</v>
      </c>
      <c r="G75" s="197">
        <v>0.186540406195461</v>
      </c>
      <c r="H75" s="197">
        <v>0.23852132293342199</v>
      </c>
      <c r="I75" s="197">
        <v>0.23852132293342199</v>
      </c>
      <c r="J75" s="197">
        <v>0.19532339202445401</v>
      </c>
      <c r="K75" s="196">
        <v>0.19532339202445401</v>
      </c>
    </row>
    <row r="76" spans="1:11" x14ac:dyDescent="0.45">
      <c r="A76" s="59" t="s">
        <v>1445</v>
      </c>
      <c r="B76" s="198"/>
      <c r="C76" s="198"/>
      <c r="D76" s="197">
        <v>0</v>
      </c>
      <c r="E76" s="197">
        <v>0</v>
      </c>
      <c r="F76" s="197">
        <v>0</v>
      </c>
      <c r="G76" s="197">
        <v>0</v>
      </c>
      <c r="H76" s="197">
        <v>0</v>
      </c>
      <c r="I76" s="197">
        <v>0</v>
      </c>
      <c r="J76" s="197">
        <v>0</v>
      </c>
      <c r="K76" s="196">
        <v>0</v>
      </c>
    </row>
    <row r="77" spans="1:11" ht="15" x14ac:dyDescent="0.5">
      <c r="A77" s="59" t="s">
        <v>1539</v>
      </c>
      <c r="B77" s="198"/>
      <c r="C77" s="198"/>
      <c r="D77" s="197">
        <v>1.2521658402665699E-2</v>
      </c>
      <c r="E77" s="197">
        <v>1.2521658402665699E-2</v>
      </c>
      <c r="F77" s="197">
        <v>1.65018967218367E-2</v>
      </c>
      <c r="G77" s="197">
        <v>1.65018967218367E-2</v>
      </c>
      <c r="H77" s="197">
        <v>1.6126946263199601E-2</v>
      </c>
      <c r="I77" s="197">
        <v>1.6126946263199601E-2</v>
      </c>
      <c r="J77" s="197">
        <v>1.2521658402665699E-2</v>
      </c>
      <c r="K77" s="196">
        <v>1.2521658402665699E-2</v>
      </c>
    </row>
    <row r="78" spans="1:11" x14ac:dyDescent="0.45">
      <c r="A78" s="59" t="s">
        <v>1443</v>
      </c>
      <c r="B78" s="198"/>
      <c r="C78" s="198"/>
      <c r="D78" s="197">
        <v>3.4955410224960702E-2</v>
      </c>
      <c r="E78" s="197">
        <v>3.4955410224960702E-2</v>
      </c>
      <c r="F78" s="197">
        <v>4.6066627187253101E-2</v>
      </c>
      <c r="G78" s="197">
        <v>4.6066627187253101E-2</v>
      </c>
      <c r="H78" s="197">
        <v>4.50199170252105E-2</v>
      </c>
      <c r="I78" s="197">
        <v>4.50199170252105E-2</v>
      </c>
      <c r="J78" s="197">
        <v>3.4955410224960702E-2</v>
      </c>
      <c r="K78" s="196">
        <v>3.4955410224960702E-2</v>
      </c>
    </row>
    <row r="79" spans="1:11" x14ac:dyDescent="0.45">
      <c r="A79" s="59" t="s">
        <v>1442</v>
      </c>
      <c r="B79" s="198"/>
      <c r="C79" s="198"/>
      <c r="D79" s="197">
        <v>3.495541022496066E-2</v>
      </c>
      <c r="E79" s="197">
        <v>3.495541022496066E-2</v>
      </c>
      <c r="F79" s="197">
        <v>4.6066627187253101E-2</v>
      </c>
      <c r="G79" s="197">
        <v>4.6066627187253101E-2</v>
      </c>
      <c r="H79" s="197">
        <v>4.50199170252105E-2</v>
      </c>
      <c r="I79" s="197">
        <v>4.50199170252105E-2</v>
      </c>
      <c r="J79" s="197">
        <v>3.495541022496066E-2</v>
      </c>
      <c r="K79" s="196">
        <v>3.495541022496066E-2</v>
      </c>
    </row>
    <row r="80" spans="1:11" x14ac:dyDescent="0.45">
      <c r="A80" s="59" t="s">
        <v>1441</v>
      </c>
      <c r="B80" s="198"/>
      <c r="C80" s="198"/>
      <c r="D80" s="197">
        <v>1.54440385354183E-2</v>
      </c>
      <c r="E80" s="197">
        <v>1.54440385354183E-2</v>
      </c>
      <c r="F80" s="197">
        <v>1.3506611478959299E-2</v>
      </c>
      <c r="G80" s="197">
        <v>1.3506611478959299E-2</v>
      </c>
      <c r="H80" s="197">
        <v>1.1037567619927901E-2</v>
      </c>
      <c r="I80" s="197">
        <v>1.1037567619927901E-2</v>
      </c>
      <c r="J80" s="197">
        <v>1.54440385354183E-2</v>
      </c>
      <c r="K80" s="196">
        <v>1.54440385354183E-2</v>
      </c>
    </row>
    <row r="81" spans="1:41" x14ac:dyDescent="0.45">
      <c r="A81" s="59" t="s">
        <v>1440</v>
      </c>
      <c r="B81" s="198"/>
      <c r="C81" s="198"/>
      <c r="D81" s="197">
        <v>4.8440277379864297E-3</v>
      </c>
      <c r="E81" s="197">
        <v>4.8440277379864297E-3</v>
      </c>
      <c r="F81" s="197">
        <v>3.6449162575518399E-3</v>
      </c>
      <c r="G81" s="197">
        <v>3.6449162575518399E-3</v>
      </c>
      <c r="H81" s="197">
        <v>3.6105331664017899E-3</v>
      </c>
      <c r="I81" s="197">
        <v>3.6105331664017899E-3</v>
      </c>
      <c r="J81" s="197">
        <v>4.8440277379864297E-3</v>
      </c>
      <c r="K81" s="196">
        <v>4.8440277379864297E-3</v>
      </c>
    </row>
    <row r="82" spans="1:41" x14ac:dyDescent="0.45">
      <c r="A82" s="59" t="s">
        <v>1439</v>
      </c>
      <c r="B82" s="198"/>
      <c r="C82" s="198"/>
      <c r="D82" s="197">
        <v>2.59439525129201E-3</v>
      </c>
      <c r="E82" s="197">
        <v>2.59439525129201E-3</v>
      </c>
      <c r="F82" s="197">
        <v>2.1569342081906198E-3</v>
      </c>
      <c r="G82" s="197">
        <v>2.1569342081906198E-3</v>
      </c>
      <c r="H82" s="197">
        <v>2.0592672049988699E-3</v>
      </c>
      <c r="I82" s="197">
        <v>2.0592672049988699E-3</v>
      </c>
      <c r="J82" s="197">
        <v>2.59439525129201E-3</v>
      </c>
      <c r="K82" s="196">
        <v>2.59439525129201E-3</v>
      </c>
    </row>
    <row r="83" spans="1:41" x14ac:dyDescent="0.45">
      <c r="A83" s="59" t="s">
        <v>1438</v>
      </c>
      <c r="B83" s="198"/>
      <c r="C83" s="198"/>
      <c r="D83" s="197">
        <v>1.2786179375867301E-2</v>
      </c>
      <c r="E83" s="197">
        <v>1.2786179375867301E-2</v>
      </c>
      <c r="F83" s="197">
        <v>1.00769652656567E-2</v>
      </c>
      <c r="G83" s="197">
        <v>1.00769652656567E-2</v>
      </c>
      <c r="H83" s="197">
        <v>6.1877267563183597E-3</v>
      </c>
      <c r="I83" s="197">
        <v>6.1877267563183597E-3</v>
      </c>
      <c r="J83" s="197">
        <v>1.2786179375867301E-2</v>
      </c>
      <c r="K83" s="196">
        <v>1.2786179375867301E-2</v>
      </c>
    </row>
    <row r="84" spans="1:41" x14ac:dyDescent="0.45">
      <c r="A84" s="59" t="s">
        <v>1437</v>
      </c>
      <c r="B84" s="198"/>
      <c r="C84" s="198"/>
      <c r="D84" s="197">
        <v>9.1901306307179305E-3</v>
      </c>
      <c r="E84" s="197">
        <v>9.1901306307179305E-3</v>
      </c>
      <c r="F84" s="197">
        <v>4.3901105099765298E-3</v>
      </c>
      <c r="G84" s="197">
        <v>4.3901105099765298E-3</v>
      </c>
      <c r="H84" s="197">
        <v>4.8514138103970001E-3</v>
      </c>
      <c r="I84" s="197">
        <v>4.8514138103970001E-3</v>
      </c>
      <c r="J84" s="197">
        <v>9.1901306307179305E-3</v>
      </c>
      <c r="K84" s="196">
        <v>9.1901306307179305E-3</v>
      </c>
    </row>
    <row r="85" spans="1:41" x14ac:dyDescent="0.45">
      <c r="A85" s="59" t="s">
        <v>1436</v>
      </c>
      <c r="B85" s="198"/>
      <c r="C85" s="198"/>
      <c r="D85" s="197">
        <v>7.0436032876330198E-2</v>
      </c>
      <c r="E85" s="197">
        <v>7.0436032876330198E-2</v>
      </c>
      <c r="F85" s="197">
        <v>3.4503198184749298E-2</v>
      </c>
      <c r="G85" s="197">
        <v>3.4503198184749298E-2</v>
      </c>
      <c r="H85" s="197">
        <v>4.3006838267339399E-2</v>
      </c>
      <c r="I85" s="197">
        <v>4.3006838267339399E-2</v>
      </c>
      <c r="J85" s="197">
        <v>7.0436032876330198E-2</v>
      </c>
      <c r="K85" s="196">
        <v>7.0436032876330198E-2</v>
      </c>
    </row>
    <row r="86" spans="1:41" x14ac:dyDescent="0.45">
      <c r="A86" s="57" t="s">
        <v>1435</v>
      </c>
      <c r="B86" s="195"/>
      <c r="C86" s="195"/>
      <c r="D86" s="194">
        <v>9.5706758984235196E-2</v>
      </c>
      <c r="E86" s="194">
        <v>9.5706758984235196E-2</v>
      </c>
      <c r="F86" s="194">
        <v>4.9755324299218584E-2</v>
      </c>
      <c r="G86" s="194">
        <v>4.9755324299218584E-2</v>
      </c>
      <c r="H86" s="194">
        <v>3.6559832216908839E-2</v>
      </c>
      <c r="I86" s="194">
        <v>3.6559832216908839E-2</v>
      </c>
      <c r="J86" s="194">
        <v>9.5706758984235196E-2</v>
      </c>
      <c r="K86" s="193">
        <v>9.5706758984235196E-2</v>
      </c>
    </row>
    <row r="87" spans="1:41" x14ac:dyDescent="0.45">
      <c r="B87" s="192"/>
      <c r="C87" s="192"/>
      <c r="D87" s="192"/>
      <c r="E87" s="192"/>
    </row>
    <row r="88" spans="1:41" x14ac:dyDescent="0.45">
      <c r="A88" s="72" t="s">
        <v>1545</v>
      </c>
      <c r="B88" s="192"/>
      <c r="C88" s="192"/>
      <c r="D88" s="192"/>
      <c r="E88" s="192"/>
    </row>
    <row r="89" spans="1:41" x14ac:dyDescent="0.45">
      <c r="A89" s="41" t="s">
        <v>1544</v>
      </c>
      <c r="B89" s="192"/>
      <c r="C89" s="192"/>
      <c r="D89" s="192"/>
      <c r="E89" s="192"/>
    </row>
    <row r="90" spans="1:41" ht="39.75" x14ac:dyDescent="0.45">
      <c r="A90" s="55"/>
      <c r="B90" s="180" t="s">
        <v>1481</v>
      </c>
      <c r="C90" s="180" t="s">
        <v>1480</v>
      </c>
      <c r="D90" s="180" t="s">
        <v>1479</v>
      </c>
      <c r="E90" s="180" t="s">
        <v>1478</v>
      </c>
      <c r="F90" s="180" t="s">
        <v>1477</v>
      </c>
      <c r="G90" s="180" t="s">
        <v>1476</v>
      </c>
      <c r="H90" s="180" t="s">
        <v>1475</v>
      </c>
      <c r="I90" s="180" t="s">
        <v>1474</v>
      </c>
      <c r="J90" s="180" t="s">
        <v>1473</v>
      </c>
      <c r="K90" s="179" t="s">
        <v>1472</v>
      </c>
    </row>
    <row r="91" spans="1:41" x14ac:dyDescent="0.45">
      <c r="A91" s="178" t="s">
        <v>1540</v>
      </c>
      <c r="B91" s="177"/>
      <c r="C91" s="177"/>
      <c r="D91" s="177"/>
      <c r="E91" s="177"/>
      <c r="F91" s="177"/>
      <c r="G91" s="177"/>
      <c r="H91" s="177"/>
      <c r="I91" s="177"/>
      <c r="J91" s="177"/>
      <c r="K91" s="185"/>
    </row>
    <row r="92" spans="1:41" s="186" customFormat="1" x14ac:dyDescent="0.45">
      <c r="A92" s="191" t="s">
        <v>1543</v>
      </c>
      <c r="B92" s="186">
        <v>2.1959999999999997</v>
      </c>
      <c r="C92" s="186">
        <v>1.4274</v>
      </c>
      <c r="D92" s="186">
        <v>1.3481000000000001</v>
      </c>
      <c r="E92" s="186">
        <v>0.87626500000000007</v>
      </c>
      <c r="F92" s="186">
        <v>1.3481000000000001</v>
      </c>
      <c r="G92" s="186">
        <v>0.87626500000000007</v>
      </c>
      <c r="H92" s="186">
        <v>1.3481000000000001</v>
      </c>
      <c r="I92" s="186">
        <v>0.87626500000000007</v>
      </c>
      <c r="J92" s="186">
        <v>1.3481000000000001</v>
      </c>
      <c r="K92" s="190">
        <v>0.87626500000000007</v>
      </c>
      <c r="M92"/>
      <c r="N92"/>
      <c r="O92"/>
      <c r="P92"/>
      <c r="Q92"/>
      <c r="R92"/>
      <c r="S92"/>
      <c r="T92"/>
      <c r="U92"/>
      <c r="V92"/>
      <c r="W92"/>
      <c r="X92"/>
      <c r="Y92" s="39"/>
      <c r="Z92" s="39"/>
      <c r="AA92" s="39"/>
      <c r="AB92" s="39"/>
      <c r="AC92" s="39"/>
      <c r="AD92" s="39"/>
      <c r="AE92" s="39"/>
      <c r="AF92" s="39"/>
      <c r="AG92" s="39"/>
      <c r="AH92" s="39"/>
      <c r="AI92" s="39"/>
      <c r="AJ92" s="39"/>
      <c r="AK92" s="39"/>
      <c r="AL92" s="39"/>
      <c r="AM92" s="39"/>
      <c r="AN92" s="39"/>
      <c r="AO92" s="39"/>
    </row>
    <row r="93" spans="1:41" s="186" customFormat="1" x14ac:dyDescent="0.45">
      <c r="A93" s="191" t="s">
        <v>1470</v>
      </c>
      <c r="B93" s="186">
        <v>24.839999999999996</v>
      </c>
      <c r="C93" s="186">
        <v>16.146000000000001</v>
      </c>
      <c r="D93" s="186">
        <v>15.249000000000001</v>
      </c>
      <c r="E93" s="186">
        <v>9.9118500000000012</v>
      </c>
      <c r="F93" s="186">
        <v>15.249000000000001</v>
      </c>
      <c r="G93" s="186">
        <v>9.9118500000000012</v>
      </c>
      <c r="H93" s="186">
        <v>15.249000000000001</v>
      </c>
      <c r="I93" s="186">
        <v>9.9118500000000012</v>
      </c>
      <c r="J93" s="186">
        <v>15.249000000000001</v>
      </c>
      <c r="K93" s="190">
        <v>9.9118500000000012</v>
      </c>
      <c r="M93"/>
      <c r="N93"/>
      <c r="O93"/>
      <c r="P93"/>
      <c r="Q93"/>
      <c r="R93"/>
      <c r="S93"/>
      <c r="T93"/>
      <c r="U93"/>
      <c r="V93"/>
      <c r="W93"/>
      <c r="X93"/>
      <c r="Y93" s="39"/>
      <c r="Z93" s="39"/>
      <c r="AA93" s="39"/>
      <c r="AB93" s="39"/>
      <c r="AC93" s="39"/>
      <c r="AD93" s="39"/>
      <c r="AE93" s="39"/>
      <c r="AF93" s="39"/>
      <c r="AG93" s="39"/>
      <c r="AH93" s="39"/>
      <c r="AI93" s="39"/>
      <c r="AJ93" s="39"/>
      <c r="AK93" s="39"/>
      <c r="AL93" s="39"/>
      <c r="AM93" s="39"/>
      <c r="AN93" s="39"/>
      <c r="AO93" s="39"/>
    </row>
    <row r="94" spans="1:41" s="186" customFormat="1" x14ac:dyDescent="0.45">
      <c r="A94" s="191" t="s">
        <v>1469</v>
      </c>
      <c r="B94" s="186">
        <v>2.8439999999999999</v>
      </c>
      <c r="C94" s="186">
        <v>1.8486000000000002</v>
      </c>
      <c r="D94" s="186">
        <v>1.7459000000000002</v>
      </c>
      <c r="E94" s="186">
        <v>1.1348350000000003</v>
      </c>
      <c r="F94" s="186">
        <v>1.7459000000000002</v>
      </c>
      <c r="G94" s="186">
        <v>1.1348350000000003</v>
      </c>
      <c r="H94" s="186">
        <v>1.7459000000000002</v>
      </c>
      <c r="I94" s="186">
        <v>1.1348350000000003</v>
      </c>
      <c r="J94" s="186">
        <v>1.7459000000000002</v>
      </c>
      <c r="K94" s="190">
        <v>1.1348350000000003</v>
      </c>
      <c r="M94"/>
      <c r="N94"/>
      <c r="O94"/>
      <c r="P94"/>
      <c r="Q94"/>
      <c r="R94"/>
      <c r="S94"/>
      <c r="T94"/>
      <c r="U94"/>
      <c r="V94"/>
      <c r="W94"/>
      <c r="X94"/>
      <c r="Y94" s="39"/>
      <c r="Z94" s="39"/>
      <c r="AA94" s="39"/>
      <c r="AB94" s="39"/>
      <c r="AC94" s="39"/>
      <c r="AD94" s="39"/>
      <c r="AE94" s="39"/>
      <c r="AF94" s="39"/>
      <c r="AG94" s="39"/>
      <c r="AH94" s="39"/>
      <c r="AI94" s="39"/>
      <c r="AJ94" s="39"/>
      <c r="AK94" s="39"/>
      <c r="AL94" s="39"/>
      <c r="AM94" s="39"/>
      <c r="AN94" s="39"/>
      <c r="AO94" s="39"/>
    </row>
    <row r="95" spans="1:41" s="186" customFormat="1" x14ac:dyDescent="0.45">
      <c r="A95" s="191" t="s">
        <v>1468</v>
      </c>
      <c r="B95" s="186">
        <v>0.75600000000000001</v>
      </c>
      <c r="C95" s="186">
        <v>0.49140000000000006</v>
      </c>
      <c r="D95" s="186">
        <v>0.46410000000000007</v>
      </c>
      <c r="E95" s="186">
        <v>0.30166500000000007</v>
      </c>
      <c r="F95" s="186">
        <v>0.46410000000000007</v>
      </c>
      <c r="G95" s="186">
        <v>0.30166500000000007</v>
      </c>
      <c r="H95" s="186">
        <v>0.46410000000000007</v>
      </c>
      <c r="I95" s="186">
        <v>0.30166500000000007</v>
      </c>
      <c r="J95" s="186">
        <v>0.46410000000000007</v>
      </c>
      <c r="K95" s="190">
        <v>0.30166500000000007</v>
      </c>
      <c r="M95"/>
      <c r="N95"/>
      <c r="O95"/>
      <c r="P95"/>
      <c r="Q95"/>
      <c r="R95"/>
      <c r="S95"/>
      <c r="T95"/>
      <c r="U95"/>
      <c r="V95"/>
      <c r="W95"/>
      <c r="X95"/>
      <c r="Y95" s="39"/>
      <c r="Z95" s="39"/>
      <c r="AA95" s="39"/>
      <c r="AB95" s="39"/>
      <c r="AC95" s="39"/>
      <c r="AD95" s="39"/>
      <c r="AE95" s="39"/>
      <c r="AF95" s="39"/>
      <c r="AG95" s="39"/>
      <c r="AH95" s="39"/>
      <c r="AI95" s="39"/>
      <c r="AJ95" s="39"/>
      <c r="AK95" s="39"/>
      <c r="AL95" s="39"/>
      <c r="AM95" s="39"/>
      <c r="AN95" s="39"/>
      <c r="AO95" s="39"/>
    </row>
    <row r="96" spans="1:41" s="186" customFormat="1" x14ac:dyDescent="0.45">
      <c r="A96" s="191" t="s">
        <v>1467</v>
      </c>
      <c r="B96" s="186">
        <v>5.0759999999999996</v>
      </c>
      <c r="C96" s="186">
        <v>3.2993999999999999</v>
      </c>
      <c r="D96" s="186">
        <v>3.1160999999999999</v>
      </c>
      <c r="E96" s="186">
        <v>2.0254650000000001</v>
      </c>
      <c r="F96" s="186">
        <v>3.1160999999999999</v>
      </c>
      <c r="G96" s="186">
        <v>2.0254650000000001</v>
      </c>
      <c r="H96" s="186">
        <v>3.1160999999999999</v>
      </c>
      <c r="I96" s="186">
        <v>2.0254650000000001</v>
      </c>
      <c r="J96" s="186">
        <v>3.1160999999999999</v>
      </c>
      <c r="K96" s="190">
        <v>2.0254650000000001</v>
      </c>
      <c r="M96"/>
      <c r="N96"/>
      <c r="O96"/>
      <c r="P96"/>
      <c r="Q96"/>
      <c r="R96"/>
      <c r="S96"/>
      <c r="T96"/>
      <c r="U96"/>
      <c r="V96"/>
      <c r="W96"/>
      <c r="X96"/>
      <c r="Y96" s="39"/>
      <c r="Z96" s="39"/>
      <c r="AA96" s="39"/>
      <c r="AB96" s="39"/>
      <c r="AC96" s="39"/>
      <c r="AD96" s="39"/>
      <c r="AE96" s="39"/>
      <c r="AF96" s="39"/>
      <c r="AG96" s="39"/>
      <c r="AH96" s="39"/>
      <c r="AI96" s="39"/>
      <c r="AJ96" s="39"/>
      <c r="AK96" s="39"/>
      <c r="AL96" s="39"/>
      <c r="AM96" s="39"/>
      <c r="AN96" s="39"/>
      <c r="AO96" s="39"/>
    </row>
    <row r="97" spans="1:41" s="186" customFormat="1" x14ac:dyDescent="0.45">
      <c r="A97" s="189" t="s">
        <v>1466</v>
      </c>
      <c r="B97" s="188">
        <v>0.28800000000000425</v>
      </c>
      <c r="C97" s="188">
        <v>0.18720000000000278</v>
      </c>
      <c r="D97" s="188">
        <v>0.17680000000000262</v>
      </c>
      <c r="E97" s="188">
        <v>0.11492000000000172</v>
      </c>
      <c r="F97" s="188">
        <v>0.17680000000000262</v>
      </c>
      <c r="G97" s="188">
        <v>0.11492000000000172</v>
      </c>
      <c r="H97" s="188">
        <v>0.17680000000000262</v>
      </c>
      <c r="I97" s="188">
        <v>0.11492000000000172</v>
      </c>
      <c r="J97" s="188">
        <v>0.17680000000000262</v>
      </c>
      <c r="K97" s="187">
        <v>0.11492000000000172</v>
      </c>
      <c r="M97"/>
      <c r="N97"/>
      <c r="O97"/>
      <c r="P97"/>
      <c r="Q97"/>
      <c r="R97"/>
      <c r="S97"/>
      <c r="T97"/>
      <c r="U97"/>
      <c r="V97"/>
      <c r="W97"/>
      <c r="X97"/>
      <c r="Y97" s="39"/>
      <c r="Z97" s="39"/>
      <c r="AA97" s="39"/>
      <c r="AB97" s="39"/>
      <c r="AC97" s="39"/>
      <c r="AD97" s="39"/>
      <c r="AE97" s="39"/>
      <c r="AF97" s="39"/>
      <c r="AG97" s="39"/>
      <c r="AH97" s="39"/>
      <c r="AI97" s="39"/>
      <c r="AJ97" s="39"/>
      <c r="AK97" s="39"/>
      <c r="AL97" s="39"/>
      <c r="AM97" s="39"/>
      <c r="AN97" s="39"/>
      <c r="AO97" s="39"/>
    </row>
    <row r="98" spans="1:41" s="145" customFormat="1" x14ac:dyDescent="0.45">
      <c r="A98" s="158" t="s">
        <v>320</v>
      </c>
      <c r="K98" s="144"/>
      <c r="M98"/>
      <c r="N98"/>
      <c r="O98"/>
      <c r="P98"/>
      <c r="Q98"/>
      <c r="R98"/>
      <c r="S98"/>
      <c r="T98"/>
      <c r="U98"/>
      <c r="V98"/>
      <c r="W98"/>
      <c r="X98"/>
      <c r="Y98" s="39"/>
      <c r="Z98" s="39"/>
      <c r="AA98" s="39"/>
      <c r="AB98" s="39"/>
      <c r="AC98" s="39"/>
      <c r="AD98" s="39"/>
      <c r="AE98" s="39"/>
      <c r="AF98" s="39"/>
      <c r="AG98" s="39"/>
      <c r="AH98" s="39"/>
      <c r="AI98" s="39"/>
      <c r="AJ98" s="39"/>
      <c r="AK98" s="39"/>
      <c r="AL98" s="39"/>
      <c r="AM98" s="39"/>
      <c r="AN98" s="39"/>
      <c r="AO98" s="39"/>
    </row>
    <row r="99" spans="1:41" s="145" customFormat="1" x14ac:dyDescent="0.45">
      <c r="A99" s="146" t="s">
        <v>1537</v>
      </c>
      <c r="B99" s="145">
        <v>0.78065467342840877</v>
      </c>
      <c r="C99" s="145">
        <v>0.50742553772846566</v>
      </c>
      <c r="D99" s="145">
        <v>0.47923523007688429</v>
      </c>
      <c r="E99" s="145">
        <v>0.31150289954997479</v>
      </c>
      <c r="F99" s="145">
        <v>0.47923523007688429</v>
      </c>
      <c r="G99" s="145">
        <v>0.31150289954997479</v>
      </c>
      <c r="H99" s="145">
        <v>0.47923523007688429</v>
      </c>
      <c r="I99" s="145">
        <v>0.31150289954997479</v>
      </c>
      <c r="J99" s="145">
        <v>0.47923523007688429</v>
      </c>
      <c r="K99" s="144">
        <v>0.31150289954997479</v>
      </c>
      <c r="M99"/>
      <c r="N99"/>
      <c r="O99"/>
      <c r="P99"/>
      <c r="Q99"/>
      <c r="R99"/>
      <c r="S99"/>
      <c r="T99"/>
      <c r="U99"/>
      <c r="V99"/>
      <c r="W99"/>
      <c r="X99"/>
      <c r="Y99" s="39"/>
      <c r="Z99" s="39"/>
      <c r="AA99" s="39"/>
      <c r="AB99" s="39"/>
      <c r="AC99" s="39"/>
      <c r="AD99" s="39"/>
      <c r="AE99" s="39"/>
      <c r="AF99" s="39"/>
      <c r="AG99" s="39"/>
      <c r="AH99" s="39"/>
      <c r="AI99" s="39"/>
      <c r="AJ99" s="39"/>
      <c r="AK99" s="39"/>
      <c r="AL99" s="39"/>
      <c r="AM99" s="39"/>
      <c r="AN99" s="39"/>
      <c r="AO99" s="39"/>
    </row>
    <row r="100" spans="1:41" s="145" customFormat="1" x14ac:dyDescent="0.45">
      <c r="A100" s="146" t="s">
        <v>1536</v>
      </c>
      <c r="B100" s="145">
        <v>0.74472577177292543</v>
      </c>
      <c r="C100" s="145">
        <v>0.48407175165240168</v>
      </c>
      <c r="D100" s="145">
        <v>0.45717887656060152</v>
      </c>
      <c r="E100" s="145">
        <v>0.29716626976439098</v>
      </c>
      <c r="F100" s="145">
        <v>0.45717887656060152</v>
      </c>
      <c r="G100" s="145">
        <v>0.29716626976439098</v>
      </c>
      <c r="H100" s="145">
        <v>0.45717887656060152</v>
      </c>
      <c r="I100" s="145">
        <v>0.29716626976439098</v>
      </c>
      <c r="J100" s="145">
        <v>0.45717887656060152</v>
      </c>
      <c r="K100" s="144">
        <v>0.29716626976439098</v>
      </c>
      <c r="M100"/>
      <c r="N100"/>
      <c r="O100"/>
      <c r="P100"/>
      <c r="Q100"/>
      <c r="R100"/>
      <c r="S100"/>
      <c r="T100"/>
      <c r="U100"/>
      <c r="V100"/>
      <c r="W100"/>
      <c r="X100"/>
      <c r="Y100" s="39"/>
      <c r="Z100" s="39"/>
      <c r="AA100" s="39"/>
      <c r="AB100" s="39"/>
      <c r="AC100" s="39"/>
      <c r="AD100" s="39"/>
      <c r="AE100" s="39"/>
      <c r="AF100" s="39"/>
      <c r="AG100" s="39"/>
      <c r="AH100" s="39"/>
      <c r="AI100" s="39"/>
      <c r="AJ100" s="39"/>
      <c r="AK100" s="39"/>
      <c r="AL100" s="39"/>
      <c r="AM100" s="39"/>
      <c r="AN100" s="39"/>
      <c r="AO100" s="39"/>
    </row>
    <row r="101" spans="1:41" s="145" customFormat="1" x14ac:dyDescent="0.45">
      <c r="A101" s="146" t="s">
        <v>1535</v>
      </c>
      <c r="B101" s="145">
        <v>0.37500000917348464</v>
      </c>
      <c r="C101" s="145">
        <v>0.24375000596276508</v>
      </c>
      <c r="D101" s="145">
        <v>0.2302083389648337</v>
      </c>
      <c r="E101" s="145">
        <v>0.14963542032714189</v>
      </c>
      <c r="F101" s="145">
        <v>0.2302083389648337</v>
      </c>
      <c r="G101" s="145">
        <v>0.14963542032714189</v>
      </c>
      <c r="H101" s="145">
        <v>0.2302083389648337</v>
      </c>
      <c r="I101" s="145">
        <v>0.14963542032714189</v>
      </c>
      <c r="J101" s="145">
        <v>0.2302083389648337</v>
      </c>
      <c r="K101" s="144">
        <v>0.14963542032714189</v>
      </c>
      <c r="M101"/>
      <c r="N101"/>
      <c r="O101"/>
      <c r="P101"/>
      <c r="Q101"/>
      <c r="R101"/>
      <c r="S101"/>
      <c r="T101"/>
      <c r="U101"/>
      <c r="V101"/>
      <c r="W101"/>
      <c r="X101"/>
      <c r="Y101" s="39"/>
      <c r="Z101" s="39"/>
      <c r="AA101" s="39"/>
      <c r="AB101" s="39"/>
      <c r="AC101" s="39"/>
      <c r="AD101" s="39"/>
      <c r="AE101" s="39"/>
      <c r="AF101" s="39"/>
      <c r="AG101" s="39"/>
      <c r="AH101" s="39"/>
      <c r="AI101" s="39"/>
      <c r="AJ101" s="39"/>
      <c r="AK101" s="39"/>
      <c r="AL101" s="39"/>
      <c r="AM101" s="39"/>
      <c r="AN101" s="39"/>
      <c r="AO101" s="39"/>
    </row>
    <row r="102" spans="1:41" s="145" customFormat="1" x14ac:dyDescent="0.45">
      <c r="A102" s="146" t="s">
        <v>1534</v>
      </c>
      <c r="B102" s="145">
        <v>0.30177406329371614</v>
      </c>
      <c r="C102" s="145">
        <v>0.19615314114091559</v>
      </c>
      <c r="D102" s="145">
        <v>0.18525574441086465</v>
      </c>
      <c r="E102" s="145">
        <v>0.12041623386706202</v>
      </c>
      <c r="F102" s="145">
        <v>0.18525574441086465</v>
      </c>
      <c r="G102" s="145">
        <v>0.12041623386706202</v>
      </c>
      <c r="H102" s="145">
        <v>0.18525574441086465</v>
      </c>
      <c r="I102" s="145">
        <v>0.12041623386706202</v>
      </c>
      <c r="J102" s="145">
        <v>0.18525574441086465</v>
      </c>
      <c r="K102" s="144">
        <v>0.12041623386706202</v>
      </c>
      <c r="M102"/>
      <c r="N102"/>
      <c r="O102"/>
      <c r="P102"/>
      <c r="Q102"/>
      <c r="R102"/>
      <c r="S102"/>
      <c r="T102"/>
      <c r="U102"/>
      <c r="V102"/>
      <c r="W102"/>
      <c r="X102"/>
      <c r="Y102" s="39"/>
      <c r="Z102" s="39"/>
      <c r="AA102" s="39"/>
      <c r="AB102" s="39"/>
      <c r="AC102" s="39"/>
      <c r="AD102" s="39"/>
      <c r="AE102" s="39"/>
      <c r="AF102" s="39"/>
      <c r="AG102" s="39"/>
      <c r="AH102" s="39"/>
      <c r="AI102" s="39"/>
      <c r="AJ102" s="39"/>
      <c r="AK102" s="39"/>
      <c r="AL102" s="39"/>
      <c r="AM102" s="39"/>
      <c r="AN102" s="39"/>
      <c r="AO102" s="39"/>
    </row>
    <row r="103" spans="1:41" s="145" customFormat="1" x14ac:dyDescent="0.45">
      <c r="A103" s="146" t="s">
        <v>1533</v>
      </c>
      <c r="B103" s="145">
        <v>6.7951699305724617E-2</v>
      </c>
      <c r="C103" s="145">
        <v>4.4168604548721013E-2</v>
      </c>
      <c r="D103" s="145">
        <v>4.1714793184903176E-2</v>
      </c>
      <c r="E103" s="145">
        <v>2.7114615570187073E-2</v>
      </c>
      <c r="F103" s="145">
        <v>4.1714793184903176E-2</v>
      </c>
      <c r="G103" s="145">
        <v>2.7114615570187073E-2</v>
      </c>
      <c r="H103" s="145">
        <v>4.1714793184903176E-2</v>
      </c>
      <c r="I103" s="145">
        <v>2.7114615570187073E-2</v>
      </c>
      <c r="J103" s="145">
        <v>4.1714793184903176E-2</v>
      </c>
      <c r="K103" s="144">
        <v>2.7114615570187073E-2</v>
      </c>
      <c r="M103"/>
      <c r="N103"/>
      <c r="O103"/>
      <c r="P103"/>
      <c r="Q103"/>
      <c r="R103"/>
      <c r="S103"/>
      <c r="T103"/>
      <c r="U103"/>
      <c r="V103"/>
      <c r="W103"/>
      <c r="X103"/>
      <c r="Y103" s="39"/>
      <c r="Z103" s="39"/>
      <c r="AA103" s="39"/>
      <c r="AB103" s="39"/>
      <c r="AC103" s="39"/>
      <c r="AD103" s="39"/>
      <c r="AE103" s="39"/>
      <c r="AF103" s="39"/>
      <c r="AG103" s="39"/>
      <c r="AH103" s="39"/>
      <c r="AI103" s="39"/>
      <c r="AJ103" s="39"/>
      <c r="AK103" s="39"/>
      <c r="AL103" s="39"/>
      <c r="AM103" s="39"/>
      <c r="AN103" s="39"/>
      <c r="AO103" s="39"/>
    </row>
    <row r="104" spans="1:41" s="48" customFormat="1" x14ac:dyDescent="0.45">
      <c r="A104" s="155" t="s">
        <v>1532</v>
      </c>
      <c r="B104" s="48">
        <v>32.921200656154738</v>
      </c>
      <c r="C104" s="48">
        <v>21.398780426500586</v>
      </c>
      <c r="D104" s="48">
        <v>20.209959291694993</v>
      </c>
      <c r="E104" s="48">
        <v>13.136473539601747</v>
      </c>
      <c r="F104" s="48">
        <v>20.209959291694993</v>
      </c>
      <c r="G104" s="48">
        <v>13.136473539601747</v>
      </c>
      <c r="H104" s="48">
        <v>20.209959291694993</v>
      </c>
      <c r="I104" s="48">
        <v>13.136473539601747</v>
      </c>
      <c r="J104" s="48">
        <v>20.209959291694993</v>
      </c>
      <c r="K104" s="47">
        <v>13.136473539601747</v>
      </c>
      <c r="M104"/>
      <c r="N104"/>
      <c r="O104"/>
      <c r="P104"/>
      <c r="Q104"/>
      <c r="R104"/>
      <c r="S104"/>
      <c r="T104"/>
      <c r="U104"/>
      <c r="V104"/>
      <c r="W104"/>
      <c r="X104"/>
      <c r="Y104" s="39"/>
      <c r="Z104" s="39"/>
      <c r="AA104" s="39"/>
      <c r="AB104" s="39"/>
      <c r="AC104" s="39"/>
      <c r="AD104" s="39"/>
      <c r="AE104" s="39"/>
      <c r="AF104" s="39"/>
      <c r="AG104" s="39"/>
      <c r="AH104" s="39"/>
      <c r="AI104" s="39"/>
      <c r="AJ104" s="39"/>
      <c r="AK104" s="39"/>
      <c r="AL104" s="39"/>
      <c r="AM104" s="39"/>
      <c r="AN104" s="39"/>
      <c r="AO104" s="39"/>
    </row>
    <row r="105" spans="1:41" s="145" customFormat="1" x14ac:dyDescent="0.45">
      <c r="A105" s="158" t="s">
        <v>335</v>
      </c>
      <c r="B105" s="157"/>
      <c r="C105" s="157"/>
      <c r="D105" s="157"/>
      <c r="E105" s="157"/>
      <c r="F105" s="157"/>
      <c r="G105" s="157"/>
      <c r="H105" s="157"/>
      <c r="I105" s="157"/>
      <c r="J105" s="157"/>
      <c r="K105" s="156"/>
      <c r="M105"/>
      <c r="N105"/>
      <c r="O105"/>
      <c r="P105"/>
      <c r="Q105"/>
      <c r="R105"/>
      <c r="S105"/>
      <c r="T105"/>
      <c r="U105"/>
      <c r="V105"/>
      <c r="W105"/>
      <c r="X105"/>
      <c r="Y105" s="39"/>
      <c r="Z105" s="39"/>
      <c r="AA105" s="39"/>
      <c r="AB105" s="39"/>
      <c r="AC105" s="39"/>
      <c r="AD105" s="39"/>
      <c r="AE105" s="39"/>
      <c r="AF105" s="39"/>
      <c r="AG105" s="39"/>
      <c r="AH105" s="39"/>
      <c r="AI105" s="39"/>
      <c r="AJ105" s="39"/>
      <c r="AK105" s="39"/>
      <c r="AL105" s="39"/>
      <c r="AM105" s="39"/>
      <c r="AN105" s="39"/>
      <c r="AO105" s="39"/>
    </row>
    <row r="106" spans="1:41" s="145" customFormat="1" x14ac:dyDescent="0.45">
      <c r="A106" s="146" t="s">
        <v>1525</v>
      </c>
      <c r="B106" s="145">
        <v>23.685398046040163</v>
      </c>
      <c r="C106" s="145">
        <v>15.395508729926108</v>
      </c>
      <c r="D106" s="145">
        <v>14.540202689374658</v>
      </c>
      <c r="E106" s="145">
        <v>9.4511317480935286</v>
      </c>
      <c r="F106" s="145">
        <v>14.540202689374658</v>
      </c>
      <c r="G106" s="145">
        <v>9.4511317480935286</v>
      </c>
      <c r="H106" s="145">
        <v>14.540202689374658</v>
      </c>
      <c r="I106" s="145">
        <v>9.4511317480935286</v>
      </c>
      <c r="J106" s="145">
        <v>14.540202689374658</v>
      </c>
      <c r="K106" s="144">
        <v>9.4511317480935286</v>
      </c>
      <c r="M106"/>
      <c r="N106"/>
      <c r="O106"/>
      <c r="P106"/>
      <c r="Q106"/>
      <c r="R106"/>
      <c r="S106"/>
      <c r="T106"/>
      <c r="U106"/>
      <c r="V106"/>
      <c r="W106"/>
      <c r="X106"/>
      <c r="Y106" s="39"/>
      <c r="Z106" s="39"/>
      <c r="AA106" s="39"/>
      <c r="AB106" s="39"/>
      <c r="AC106" s="39"/>
      <c r="AD106" s="39"/>
      <c r="AE106" s="39"/>
      <c r="AF106" s="39"/>
      <c r="AG106" s="39"/>
      <c r="AH106" s="39"/>
      <c r="AI106" s="39"/>
      <c r="AJ106" s="39"/>
      <c r="AK106" s="39"/>
      <c r="AL106" s="39"/>
      <c r="AM106" s="39"/>
      <c r="AN106" s="39"/>
      <c r="AO106" s="39"/>
    </row>
    <row r="107" spans="1:41" s="145" customFormat="1" x14ac:dyDescent="0.45">
      <c r="A107" s="146" t="s">
        <v>1524</v>
      </c>
      <c r="B107" s="145">
        <v>41.624082946282527</v>
      </c>
      <c r="C107" s="145">
        <v>27.055653915083646</v>
      </c>
      <c r="D107" s="145">
        <v>25.552562030912338</v>
      </c>
      <c r="E107" s="145">
        <v>16.60916532009302</v>
      </c>
      <c r="F107" s="145">
        <v>25.552562030912338</v>
      </c>
      <c r="G107" s="145">
        <v>16.60916532009302</v>
      </c>
      <c r="H107" s="145">
        <v>25.552562030912338</v>
      </c>
      <c r="I107" s="145">
        <v>16.60916532009302</v>
      </c>
      <c r="J107" s="145">
        <v>25.552562030912338</v>
      </c>
      <c r="K107" s="144">
        <v>16.60916532009302</v>
      </c>
      <c r="M107"/>
      <c r="N107"/>
      <c r="O107"/>
      <c r="P107"/>
      <c r="Q107"/>
      <c r="R107"/>
      <c r="S107"/>
      <c r="T107"/>
      <c r="U107"/>
      <c r="V107"/>
      <c r="W107"/>
      <c r="X107"/>
      <c r="Y107" s="39"/>
      <c r="Z107" s="39"/>
      <c r="AA107" s="39"/>
      <c r="AB107" s="39"/>
      <c r="AC107" s="39"/>
      <c r="AD107" s="39"/>
      <c r="AE107" s="39"/>
      <c r="AF107" s="39"/>
      <c r="AG107" s="39"/>
      <c r="AH107" s="39"/>
      <c r="AI107" s="39"/>
      <c r="AJ107" s="39"/>
      <c r="AK107" s="39"/>
      <c r="AL107" s="39"/>
      <c r="AM107" s="39"/>
      <c r="AN107" s="39"/>
      <c r="AO107" s="39"/>
    </row>
    <row r="108" spans="1:41" s="145" customFormat="1" x14ac:dyDescent="0.45">
      <c r="A108" s="146" t="s">
        <v>1523</v>
      </c>
      <c r="B108" s="145">
        <v>52.222576598629303</v>
      </c>
      <c r="C108" s="145">
        <v>33.944674789109058</v>
      </c>
      <c r="D108" s="145">
        <v>32.058859523047438</v>
      </c>
      <c r="E108" s="145">
        <v>20.838258689980837</v>
      </c>
      <c r="F108" s="145">
        <v>32.058859523047438</v>
      </c>
      <c r="G108" s="145">
        <v>20.838258689980837</v>
      </c>
      <c r="H108" s="145">
        <v>32.058859523047438</v>
      </c>
      <c r="I108" s="145">
        <v>20.838258689980837</v>
      </c>
      <c r="J108" s="145">
        <v>32.058859523047438</v>
      </c>
      <c r="K108" s="144">
        <v>20.838258689980837</v>
      </c>
      <c r="M108"/>
      <c r="N108"/>
      <c r="O108"/>
      <c r="P108"/>
      <c r="Q108"/>
      <c r="R108"/>
      <c r="S108"/>
      <c r="T108"/>
      <c r="U108"/>
      <c r="V108"/>
      <c r="W108"/>
      <c r="X108"/>
      <c r="Y108" s="39"/>
      <c r="Z108" s="39"/>
      <c r="AA108" s="39"/>
      <c r="AB108" s="39"/>
      <c r="AC108" s="39"/>
      <c r="AD108" s="39"/>
      <c r="AE108" s="39"/>
      <c r="AF108" s="39"/>
      <c r="AG108" s="39"/>
      <c r="AH108" s="39"/>
      <c r="AI108" s="39"/>
      <c r="AJ108" s="39"/>
      <c r="AK108" s="39"/>
      <c r="AL108" s="39"/>
      <c r="AM108" s="39"/>
      <c r="AN108" s="39"/>
      <c r="AO108" s="39"/>
    </row>
    <row r="109" spans="1:41" s="145" customFormat="1" x14ac:dyDescent="0.45">
      <c r="A109" s="146" t="s">
        <v>1522</v>
      </c>
      <c r="B109" s="145">
        <v>51.710817574782908</v>
      </c>
      <c r="C109" s="145">
        <v>33.612031423608897</v>
      </c>
      <c r="D109" s="145">
        <v>31.744696344519507</v>
      </c>
      <c r="E109" s="145">
        <v>20.634052623937684</v>
      </c>
      <c r="F109" s="145">
        <v>31.744696344519507</v>
      </c>
      <c r="G109" s="145">
        <v>20.634052623937684</v>
      </c>
      <c r="H109" s="145">
        <v>31.744696344519507</v>
      </c>
      <c r="I109" s="145">
        <v>20.634052623937684</v>
      </c>
      <c r="J109" s="145">
        <v>31.744696344519507</v>
      </c>
      <c r="K109" s="144">
        <v>20.634052623937684</v>
      </c>
      <c r="M109"/>
      <c r="N109"/>
      <c r="O109"/>
      <c r="P109"/>
      <c r="Q109"/>
      <c r="R109"/>
      <c r="S109"/>
      <c r="T109"/>
      <c r="U109"/>
      <c r="V109"/>
      <c r="W109"/>
      <c r="X109"/>
      <c r="Y109" s="39"/>
      <c r="Z109" s="39"/>
      <c r="AA109" s="39"/>
      <c r="AB109" s="39"/>
      <c r="AC109" s="39"/>
      <c r="AD109" s="39"/>
      <c r="AE109" s="39"/>
      <c r="AF109" s="39"/>
      <c r="AG109" s="39"/>
      <c r="AH109" s="39"/>
      <c r="AI109" s="39"/>
      <c r="AJ109" s="39"/>
      <c r="AK109" s="39"/>
      <c r="AL109" s="39"/>
      <c r="AM109" s="39"/>
      <c r="AN109" s="39"/>
      <c r="AO109" s="39"/>
    </row>
    <row r="110" spans="1:41" s="145" customFormat="1" x14ac:dyDescent="0.45">
      <c r="A110" s="146" t="s">
        <v>1521</v>
      </c>
      <c r="B110" s="145">
        <v>25.331222962078712</v>
      </c>
      <c r="C110" s="145">
        <v>16.465294925351166</v>
      </c>
      <c r="D110" s="145">
        <v>15.550556318387214</v>
      </c>
      <c r="E110" s="145">
        <v>10.107861606951687</v>
      </c>
      <c r="F110" s="145">
        <v>15.550556318387214</v>
      </c>
      <c r="G110" s="145">
        <v>10.107861606951687</v>
      </c>
      <c r="H110" s="145">
        <v>15.550556318387214</v>
      </c>
      <c r="I110" s="145">
        <v>10.107861606951687</v>
      </c>
      <c r="J110" s="145">
        <v>15.550556318387214</v>
      </c>
      <c r="K110" s="144">
        <v>10.107861606951687</v>
      </c>
      <c r="M110"/>
      <c r="N110"/>
      <c r="O110"/>
      <c r="P110"/>
      <c r="Q110"/>
      <c r="R110"/>
      <c r="S110"/>
      <c r="T110"/>
      <c r="U110"/>
      <c r="V110"/>
      <c r="W110"/>
      <c r="X110"/>
      <c r="Y110" s="39"/>
      <c r="Z110" s="39"/>
      <c r="AA110" s="39"/>
      <c r="AB110" s="39"/>
      <c r="AC110" s="39"/>
      <c r="AD110" s="39"/>
      <c r="AE110" s="39"/>
      <c r="AF110" s="39"/>
      <c r="AG110" s="39"/>
      <c r="AH110" s="39"/>
      <c r="AI110" s="39"/>
      <c r="AJ110" s="39"/>
      <c r="AK110" s="39"/>
      <c r="AL110" s="39"/>
      <c r="AM110" s="39"/>
      <c r="AN110" s="39"/>
      <c r="AO110" s="39"/>
    </row>
    <row r="111" spans="1:41" s="145" customFormat="1" x14ac:dyDescent="0.45">
      <c r="A111" s="146" t="s">
        <v>1520</v>
      </c>
      <c r="B111" s="145">
        <v>605.47547881043738</v>
      </c>
      <c r="C111" s="145">
        <v>393.55906122678437</v>
      </c>
      <c r="D111" s="145">
        <v>371.69466893640742</v>
      </c>
      <c r="E111" s="145">
        <v>241.60153480866489</v>
      </c>
      <c r="F111" s="145">
        <v>371.69466893640742</v>
      </c>
      <c r="G111" s="145">
        <v>241.60153480866489</v>
      </c>
      <c r="H111" s="145">
        <v>371.69466893640742</v>
      </c>
      <c r="I111" s="145">
        <v>241.60153480866489</v>
      </c>
      <c r="J111" s="145">
        <v>371.69466893640742</v>
      </c>
      <c r="K111" s="144">
        <v>241.60153480866489</v>
      </c>
      <c r="M111"/>
      <c r="N111"/>
      <c r="O111"/>
      <c r="P111"/>
      <c r="Q111"/>
      <c r="R111"/>
      <c r="S111"/>
      <c r="T111"/>
      <c r="U111"/>
      <c r="V111"/>
      <c r="W111"/>
      <c r="X111"/>
      <c r="Y111" s="39"/>
      <c r="Z111" s="39"/>
      <c r="AA111" s="39"/>
      <c r="AB111" s="39"/>
      <c r="AC111" s="39"/>
      <c r="AD111" s="39"/>
      <c r="AE111" s="39"/>
      <c r="AF111" s="39"/>
      <c r="AG111" s="39"/>
      <c r="AH111" s="39"/>
      <c r="AI111" s="39"/>
      <c r="AJ111" s="39"/>
      <c r="AK111" s="39"/>
      <c r="AL111" s="39"/>
      <c r="AM111" s="39"/>
      <c r="AN111" s="39"/>
      <c r="AO111" s="39"/>
    </row>
    <row r="112" spans="1:41" s="145" customFormat="1" x14ac:dyDescent="0.45">
      <c r="A112" s="146" t="s">
        <v>1519</v>
      </c>
      <c r="B112" s="145">
        <v>0.31296089264008292</v>
      </c>
      <c r="C112" s="145">
        <v>0.20342458021605392</v>
      </c>
      <c r="D112" s="145">
        <v>0.19212321464849536</v>
      </c>
      <c r="E112" s="145">
        <v>0.12488008952152199</v>
      </c>
      <c r="F112" s="145">
        <v>0.19212321464849536</v>
      </c>
      <c r="G112" s="145">
        <v>0.12488008952152199</v>
      </c>
      <c r="H112" s="145">
        <v>0.19212321464849536</v>
      </c>
      <c r="I112" s="145">
        <v>0.12488008952152199</v>
      </c>
      <c r="J112" s="145">
        <v>0.19212321464849536</v>
      </c>
      <c r="K112" s="144">
        <v>0.12488008952152199</v>
      </c>
      <c r="M112"/>
      <c r="N112"/>
      <c r="O112"/>
      <c r="P112"/>
      <c r="Q112"/>
      <c r="R112"/>
      <c r="S112"/>
      <c r="T112"/>
      <c r="U112"/>
      <c r="V112"/>
      <c r="W112"/>
      <c r="X112"/>
      <c r="Y112" s="39"/>
      <c r="Z112" s="39"/>
      <c r="AA112" s="39"/>
      <c r="AB112" s="39"/>
      <c r="AC112" s="39"/>
      <c r="AD112" s="39"/>
      <c r="AE112" s="39"/>
      <c r="AF112" s="39"/>
      <c r="AG112" s="39"/>
      <c r="AH112" s="39"/>
      <c r="AI112" s="39"/>
      <c r="AJ112" s="39"/>
      <c r="AK112" s="39"/>
      <c r="AL112" s="39"/>
      <c r="AM112" s="39"/>
      <c r="AN112" s="39"/>
      <c r="AO112" s="39"/>
    </row>
    <row r="113" spans="1:41" s="145" customFormat="1" x14ac:dyDescent="0.45">
      <c r="A113" s="146" t="s">
        <v>1518</v>
      </c>
      <c r="B113" s="145">
        <v>0.54158600199414453</v>
      </c>
      <c r="C113" s="145">
        <v>0.35203090129619397</v>
      </c>
      <c r="D113" s="145">
        <v>0.33247362900196098</v>
      </c>
      <c r="E113" s="145">
        <v>0.21610785885127468</v>
      </c>
      <c r="F113" s="145">
        <v>0.33247362900196098</v>
      </c>
      <c r="G113" s="145">
        <v>0.21610785885127468</v>
      </c>
      <c r="H113" s="145">
        <v>0.33247362900196098</v>
      </c>
      <c r="I113" s="145">
        <v>0.21610785885127468</v>
      </c>
      <c r="J113" s="145">
        <v>0.33247362900196098</v>
      </c>
      <c r="K113" s="144">
        <v>0.21610785885127468</v>
      </c>
      <c r="M113"/>
      <c r="N113"/>
      <c r="O113"/>
      <c r="P113"/>
      <c r="Q113"/>
      <c r="R113"/>
      <c r="S113"/>
      <c r="T113"/>
      <c r="U113"/>
      <c r="V113"/>
      <c r="W113"/>
      <c r="X113"/>
      <c r="Y113" s="39"/>
      <c r="Z113" s="39"/>
      <c r="AA113" s="39"/>
      <c r="AB113" s="39"/>
      <c r="AC113" s="39"/>
      <c r="AD113" s="39"/>
      <c r="AE113" s="39"/>
      <c r="AF113" s="39"/>
      <c r="AG113" s="39"/>
      <c r="AH113" s="39"/>
      <c r="AI113" s="39"/>
      <c r="AJ113" s="39"/>
      <c r="AK113" s="39"/>
      <c r="AL113" s="39"/>
      <c r="AM113" s="39"/>
      <c r="AN113" s="39"/>
      <c r="AO113" s="39"/>
    </row>
    <row r="114" spans="1:41" s="145" customFormat="1" x14ac:dyDescent="0.45">
      <c r="A114" s="146" t="s">
        <v>1531</v>
      </c>
      <c r="B114" s="145">
        <v>194.56880771569513</v>
      </c>
      <c r="C114" s="145">
        <v>126.46972501520185</v>
      </c>
      <c r="D114" s="145">
        <v>119.44362918102399</v>
      </c>
      <c r="E114" s="145">
        <v>77.638358967665582</v>
      </c>
      <c r="F114" s="145">
        <v>119.44362918102399</v>
      </c>
      <c r="G114" s="145">
        <v>77.638358967665582</v>
      </c>
      <c r="H114" s="145">
        <v>119.44362918102399</v>
      </c>
      <c r="I114" s="145">
        <v>77.638358967665582</v>
      </c>
      <c r="J114" s="145">
        <v>119.44362918102399</v>
      </c>
      <c r="K114" s="144">
        <v>77.638358967665582</v>
      </c>
      <c r="M114"/>
      <c r="N114"/>
      <c r="O114"/>
      <c r="P114"/>
      <c r="Q114"/>
      <c r="R114"/>
      <c r="S114"/>
      <c r="T114"/>
      <c r="U114"/>
      <c r="V114"/>
      <c r="W114"/>
      <c r="X114"/>
      <c r="Y114" s="39"/>
      <c r="Z114" s="39"/>
      <c r="AA114" s="39"/>
      <c r="AB114" s="39"/>
      <c r="AC114" s="39"/>
      <c r="AD114" s="39"/>
      <c r="AE114" s="39"/>
      <c r="AF114" s="39"/>
      <c r="AG114" s="39"/>
      <c r="AH114" s="39"/>
      <c r="AI114" s="39"/>
      <c r="AJ114" s="39"/>
      <c r="AK114" s="39"/>
      <c r="AL114" s="39"/>
      <c r="AM114" s="39"/>
      <c r="AN114" s="39"/>
      <c r="AO114" s="39"/>
    </row>
    <row r="115" spans="1:41" s="145" customFormat="1" x14ac:dyDescent="0.45">
      <c r="A115" s="146" t="s">
        <v>1530</v>
      </c>
      <c r="B115" s="145">
        <v>0.73907862098617216</v>
      </c>
      <c r="C115" s="145">
        <v>0.48040110364101185</v>
      </c>
      <c r="D115" s="145">
        <v>0.4537121534387335</v>
      </c>
      <c r="E115" s="145">
        <v>0.29491289973517676</v>
      </c>
      <c r="F115" s="145">
        <v>0.4537121534387335</v>
      </c>
      <c r="G115" s="145">
        <v>0.29491289973517676</v>
      </c>
      <c r="H115" s="145">
        <v>0.4537121534387335</v>
      </c>
      <c r="I115" s="145">
        <v>0.29491289973517676</v>
      </c>
      <c r="J115" s="145">
        <v>0.4537121534387335</v>
      </c>
      <c r="K115" s="144">
        <v>0.29491289973517676</v>
      </c>
      <c r="M115"/>
      <c r="N115"/>
      <c r="O115"/>
      <c r="P115"/>
      <c r="Q115"/>
      <c r="R115"/>
      <c r="S115"/>
      <c r="T115"/>
      <c r="U115"/>
      <c r="V115"/>
      <c r="W115"/>
      <c r="X115"/>
      <c r="Y115" s="39"/>
      <c r="Z115" s="39"/>
      <c r="AA115" s="39"/>
      <c r="AB115" s="39"/>
      <c r="AC115" s="39"/>
      <c r="AD115" s="39"/>
      <c r="AE115" s="39"/>
      <c r="AF115" s="39"/>
      <c r="AG115" s="39"/>
      <c r="AH115" s="39"/>
      <c r="AI115" s="39"/>
      <c r="AJ115" s="39"/>
      <c r="AK115" s="39"/>
      <c r="AL115" s="39"/>
      <c r="AM115" s="39"/>
      <c r="AN115" s="39"/>
      <c r="AO115" s="39"/>
    </row>
    <row r="116" spans="1:41" s="48" customFormat="1" x14ac:dyDescent="0.45">
      <c r="A116" s="155" t="s">
        <v>1529</v>
      </c>
      <c r="B116" s="154">
        <v>35798.482057311194</v>
      </c>
      <c r="C116" s="154">
        <v>23269.013337252283</v>
      </c>
      <c r="D116" s="154">
        <v>21976.290374071603</v>
      </c>
      <c r="E116" s="154">
        <v>14284.588743146542</v>
      </c>
      <c r="F116" s="154">
        <v>21976.290374071603</v>
      </c>
      <c r="G116" s="154">
        <v>14284.588743146542</v>
      </c>
      <c r="H116" s="154">
        <v>21976.290374071603</v>
      </c>
      <c r="I116" s="154">
        <v>14284.588743146542</v>
      </c>
      <c r="J116" s="154">
        <v>21976.290374071603</v>
      </c>
      <c r="K116" s="153">
        <v>14284.588743146542</v>
      </c>
      <c r="M116"/>
      <c r="N116"/>
      <c r="O116"/>
      <c r="P116"/>
      <c r="Q116"/>
      <c r="R116"/>
      <c r="S116"/>
      <c r="T116"/>
      <c r="U116"/>
      <c r="V116"/>
      <c r="W116"/>
      <c r="X116"/>
      <c r="Y116" s="39"/>
      <c r="Z116" s="39"/>
      <c r="AA116" s="39"/>
      <c r="AB116" s="39"/>
      <c r="AC116" s="39"/>
      <c r="AD116" s="39"/>
      <c r="AE116" s="39"/>
      <c r="AF116" s="39"/>
      <c r="AG116" s="39"/>
      <c r="AH116" s="39"/>
      <c r="AI116" s="39"/>
      <c r="AJ116" s="39"/>
      <c r="AK116" s="39"/>
      <c r="AL116" s="39"/>
      <c r="AM116" s="39"/>
      <c r="AN116" s="39"/>
      <c r="AO116" s="39"/>
    </row>
    <row r="117" spans="1:41" s="48" customFormat="1" x14ac:dyDescent="0.45">
      <c r="A117" s="155" t="s">
        <v>1528</v>
      </c>
      <c r="B117" s="154">
        <v>35937.71082108932</v>
      </c>
      <c r="C117" s="154">
        <v>23359.512033708063</v>
      </c>
      <c r="D117" s="154">
        <v>22061.761365168728</v>
      </c>
      <c r="E117" s="154">
        <v>14340.144887359675</v>
      </c>
      <c r="F117" s="154">
        <v>22061.761365168728</v>
      </c>
      <c r="G117" s="154">
        <v>14340.144887359675</v>
      </c>
      <c r="H117" s="154">
        <v>22061.761365168728</v>
      </c>
      <c r="I117" s="154">
        <v>14340.144887359675</v>
      </c>
      <c r="J117" s="154">
        <v>22061.761365168728</v>
      </c>
      <c r="K117" s="153">
        <v>14340.144887359675</v>
      </c>
      <c r="M117"/>
      <c r="N117"/>
      <c r="O117"/>
      <c r="P117"/>
      <c r="Q117"/>
      <c r="R117"/>
      <c r="S117"/>
      <c r="T117"/>
      <c r="U117"/>
      <c r="V117"/>
      <c r="W117"/>
      <c r="X117"/>
      <c r="Y117" s="39"/>
      <c r="Z117" s="39"/>
      <c r="AA117" s="39"/>
      <c r="AB117" s="39"/>
      <c r="AC117" s="39"/>
      <c r="AD117" s="39"/>
      <c r="AE117" s="39"/>
      <c r="AF117" s="39"/>
      <c r="AG117" s="39"/>
      <c r="AH117" s="39"/>
      <c r="AI117" s="39"/>
      <c r="AJ117" s="39"/>
      <c r="AK117" s="39"/>
      <c r="AL117" s="39"/>
      <c r="AM117" s="39"/>
      <c r="AN117" s="39"/>
      <c r="AO117" s="39"/>
    </row>
    <row r="118" spans="1:41" s="48" customFormat="1" x14ac:dyDescent="0.45">
      <c r="A118" s="152" t="s">
        <v>1527</v>
      </c>
      <c r="B118" s="151">
        <v>41970.630887121508</v>
      </c>
      <c r="C118" s="151">
        <v>27280.910076628985</v>
      </c>
      <c r="D118" s="151">
        <v>25765.303961260714</v>
      </c>
      <c r="E118" s="151">
        <v>16747.447574819467</v>
      </c>
      <c r="F118" s="151">
        <v>25765.303961260714</v>
      </c>
      <c r="G118" s="151">
        <v>16747.447574819467</v>
      </c>
      <c r="H118" s="151">
        <v>25765.303961260714</v>
      </c>
      <c r="I118" s="151">
        <v>16747.447574819467</v>
      </c>
      <c r="J118" s="151">
        <v>25765.303961260714</v>
      </c>
      <c r="K118" s="150">
        <v>16747.447574819467</v>
      </c>
      <c r="M118"/>
      <c r="N118"/>
      <c r="O118"/>
      <c r="P118"/>
      <c r="Q118"/>
      <c r="R118"/>
      <c r="S118"/>
      <c r="T118"/>
      <c r="U118"/>
      <c r="V118"/>
      <c r="W118"/>
      <c r="X118"/>
      <c r="Y118" s="39"/>
      <c r="Z118" s="39"/>
      <c r="AA118" s="39"/>
      <c r="AB118" s="39"/>
      <c r="AC118" s="39"/>
      <c r="AD118" s="39"/>
      <c r="AE118" s="39"/>
      <c r="AF118" s="39"/>
      <c r="AG118" s="39"/>
      <c r="AH118" s="39"/>
      <c r="AI118" s="39"/>
      <c r="AJ118" s="39"/>
      <c r="AK118" s="39"/>
      <c r="AL118" s="39"/>
      <c r="AM118" s="39"/>
      <c r="AN118" s="39"/>
      <c r="AO118" s="39"/>
    </row>
    <row r="119" spans="1:41" s="145" customFormat="1" x14ac:dyDescent="0.45">
      <c r="A119" s="149" t="s">
        <v>1526</v>
      </c>
      <c r="B119" s="148"/>
      <c r="C119" s="148"/>
      <c r="D119" s="148"/>
      <c r="E119" s="148"/>
      <c r="F119" s="148"/>
      <c r="G119" s="148"/>
      <c r="H119" s="148"/>
      <c r="I119" s="148"/>
      <c r="J119" s="148"/>
      <c r="K119" s="147"/>
      <c r="M119"/>
      <c r="N119"/>
      <c r="O119"/>
      <c r="P119"/>
      <c r="Q119"/>
      <c r="R119"/>
      <c r="S119"/>
      <c r="T119"/>
      <c r="U119"/>
      <c r="V119"/>
      <c r="W119"/>
      <c r="X119"/>
      <c r="Y119" s="39"/>
      <c r="Z119" s="39"/>
      <c r="AA119" s="39"/>
      <c r="AB119" s="39"/>
      <c r="AC119" s="39"/>
      <c r="AD119" s="39"/>
      <c r="AE119" s="39"/>
      <c r="AF119" s="39"/>
      <c r="AG119" s="39"/>
      <c r="AH119" s="39"/>
      <c r="AI119" s="39"/>
      <c r="AJ119" s="39"/>
      <c r="AK119" s="39"/>
      <c r="AL119" s="39"/>
      <c r="AM119" s="39"/>
      <c r="AN119" s="39"/>
      <c r="AO119" s="39"/>
    </row>
    <row r="120" spans="1:41" s="145" customFormat="1" x14ac:dyDescent="0.45">
      <c r="A120" s="146" t="s">
        <v>1525</v>
      </c>
      <c r="B120" s="145">
        <v>0.30801347468476559</v>
      </c>
      <c r="C120" s="145">
        <v>0.2002087585450977</v>
      </c>
      <c r="D120" s="145">
        <v>0.18908604973703669</v>
      </c>
      <c r="E120" s="145">
        <v>0.12290593232907385</v>
      </c>
      <c r="F120" s="145">
        <v>0.18908604973703669</v>
      </c>
      <c r="G120" s="145">
        <v>0.12290593232907385</v>
      </c>
      <c r="H120" s="145">
        <v>0.18908604973703669</v>
      </c>
      <c r="I120" s="145">
        <v>0.12290593232907385</v>
      </c>
      <c r="J120" s="145">
        <v>0.18908604973703669</v>
      </c>
      <c r="K120" s="144">
        <v>0.12290593232907385</v>
      </c>
      <c r="M120"/>
      <c r="N120"/>
      <c r="O120"/>
      <c r="P120"/>
      <c r="Q120"/>
      <c r="R120"/>
      <c r="S120"/>
      <c r="T120"/>
      <c r="U120"/>
      <c r="V120"/>
      <c r="W120"/>
      <c r="X120"/>
      <c r="Y120" s="39"/>
      <c r="Z120" s="39"/>
      <c r="AA120" s="39"/>
      <c r="AB120" s="39"/>
      <c r="AC120" s="39"/>
      <c r="AD120" s="39"/>
      <c r="AE120" s="39"/>
      <c r="AF120" s="39"/>
      <c r="AG120" s="39"/>
      <c r="AH120" s="39"/>
      <c r="AI120" s="39"/>
      <c r="AJ120" s="39"/>
      <c r="AK120" s="39"/>
      <c r="AL120" s="39"/>
      <c r="AM120" s="39"/>
      <c r="AN120" s="39"/>
      <c r="AO120" s="39"/>
    </row>
    <row r="121" spans="1:41" s="145" customFormat="1" x14ac:dyDescent="0.45">
      <c r="A121" s="146" t="s">
        <v>1524</v>
      </c>
      <c r="B121" s="145">
        <v>1.4523464409943783</v>
      </c>
      <c r="C121" s="145">
        <v>0.94402518664634605</v>
      </c>
      <c r="D121" s="145">
        <v>0.89157934294377117</v>
      </c>
      <c r="E121" s="145">
        <v>0.57952657291345133</v>
      </c>
      <c r="F121" s="145">
        <v>0.89157934294377117</v>
      </c>
      <c r="G121" s="145">
        <v>0.57952657291345133</v>
      </c>
      <c r="H121" s="145">
        <v>0.89157934294377117</v>
      </c>
      <c r="I121" s="145">
        <v>0.57952657291345133</v>
      </c>
      <c r="J121" s="145">
        <v>0.89157934294377117</v>
      </c>
      <c r="K121" s="144">
        <v>0.57952657291345133</v>
      </c>
      <c r="M121"/>
      <c r="N121"/>
      <c r="O121"/>
      <c r="P121"/>
      <c r="Q121"/>
      <c r="R121"/>
      <c r="S121"/>
      <c r="T121"/>
      <c r="U121"/>
      <c r="V121"/>
      <c r="W121"/>
      <c r="X121"/>
      <c r="Y121" s="39"/>
      <c r="Z121" s="39"/>
      <c r="AA121" s="39"/>
      <c r="AB121" s="39"/>
      <c r="AC121" s="39"/>
      <c r="AD121" s="39"/>
      <c r="AE121" s="39"/>
      <c r="AF121" s="39"/>
      <c r="AG121" s="39"/>
      <c r="AH121" s="39"/>
      <c r="AI121" s="39"/>
      <c r="AJ121" s="39"/>
      <c r="AK121" s="39"/>
      <c r="AL121" s="39"/>
      <c r="AM121" s="39"/>
      <c r="AN121" s="39"/>
      <c r="AO121" s="39"/>
    </row>
    <row r="122" spans="1:41" s="145" customFormat="1" x14ac:dyDescent="0.45">
      <c r="A122" s="146" t="s">
        <v>1523</v>
      </c>
      <c r="B122" s="145">
        <v>3.0756704332246168</v>
      </c>
      <c r="C122" s="145">
        <v>1.9991857815960008</v>
      </c>
      <c r="D122" s="145">
        <v>1.8881199048406676</v>
      </c>
      <c r="E122" s="145">
        <v>1.2272779381464343</v>
      </c>
      <c r="F122" s="145">
        <v>1.8881199048406676</v>
      </c>
      <c r="G122" s="145">
        <v>1.2272779381464343</v>
      </c>
      <c r="H122" s="145">
        <v>1.8881199048406676</v>
      </c>
      <c r="I122" s="145">
        <v>1.2272779381464343</v>
      </c>
      <c r="J122" s="145">
        <v>1.8881199048406676</v>
      </c>
      <c r="K122" s="144">
        <v>1.2272779381464343</v>
      </c>
      <c r="M122"/>
      <c r="N122"/>
      <c r="O122"/>
      <c r="P122"/>
      <c r="Q122"/>
      <c r="R122"/>
      <c r="S122"/>
      <c r="T122"/>
      <c r="U122"/>
      <c r="V122"/>
      <c r="W122"/>
      <c r="X122"/>
      <c r="Y122" s="39"/>
      <c r="Z122" s="39"/>
      <c r="AA122" s="39"/>
      <c r="AB122" s="39"/>
      <c r="AC122" s="39"/>
      <c r="AD122" s="39"/>
      <c r="AE122" s="39"/>
      <c r="AF122" s="39"/>
      <c r="AG122" s="39"/>
      <c r="AH122" s="39"/>
      <c r="AI122" s="39"/>
      <c r="AJ122" s="39"/>
      <c r="AK122" s="39"/>
      <c r="AL122" s="39"/>
      <c r="AM122" s="39"/>
      <c r="AN122" s="39"/>
      <c r="AO122" s="39"/>
    </row>
    <row r="123" spans="1:41" s="145" customFormat="1" x14ac:dyDescent="0.45">
      <c r="A123" s="146" t="s">
        <v>1522</v>
      </c>
      <c r="B123" s="145">
        <v>0.26668057570533482</v>
      </c>
      <c r="C123" s="145">
        <v>0.17334237420846768</v>
      </c>
      <c r="D123" s="145">
        <v>0.16371224230799725</v>
      </c>
      <c r="E123" s="145">
        <v>0.10641295750019822</v>
      </c>
      <c r="F123" s="145">
        <v>0.16371224230799725</v>
      </c>
      <c r="G123" s="145">
        <v>0.10641295750019822</v>
      </c>
      <c r="H123" s="145">
        <v>0.16371224230799725</v>
      </c>
      <c r="I123" s="145">
        <v>0.10641295750019822</v>
      </c>
      <c r="J123" s="145">
        <v>0.16371224230799725</v>
      </c>
      <c r="K123" s="144">
        <v>0.10641295750019822</v>
      </c>
      <c r="M123"/>
      <c r="N123"/>
      <c r="O123"/>
      <c r="P123"/>
      <c r="Q123"/>
      <c r="R123"/>
      <c r="S123"/>
      <c r="T123"/>
      <c r="U123"/>
      <c r="V123"/>
      <c r="W123"/>
      <c r="X123"/>
      <c r="Y123" s="39"/>
      <c r="Z123" s="39"/>
      <c r="AA123" s="39"/>
      <c r="AB123" s="39"/>
      <c r="AC123" s="39"/>
      <c r="AD123" s="39"/>
      <c r="AE123" s="39"/>
      <c r="AF123" s="39"/>
      <c r="AG123" s="39"/>
      <c r="AH123" s="39"/>
      <c r="AI123" s="39"/>
      <c r="AJ123" s="39"/>
      <c r="AK123" s="39"/>
      <c r="AL123" s="39"/>
      <c r="AM123" s="39"/>
      <c r="AN123" s="39"/>
      <c r="AO123" s="39"/>
    </row>
    <row r="124" spans="1:41" s="145" customFormat="1" x14ac:dyDescent="0.45">
      <c r="A124" s="146" t="s">
        <v>1521</v>
      </c>
      <c r="B124" s="145">
        <v>0.19969526200613835</v>
      </c>
      <c r="C124" s="145">
        <v>0.12980192030398993</v>
      </c>
      <c r="D124" s="145">
        <v>0.12259070250932384</v>
      </c>
      <c r="E124" s="145">
        <v>7.968395663106051E-2</v>
      </c>
      <c r="F124" s="145">
        <v>0.12259070250932384</v>
      </c>
      <c r="G124" s="145">
        <v>7.968395663106051E-2</v>
      </c>
      <c r="H124" s="145">
        <v>0.12259070250932384</v>
      </c>
      <c r="I124" s="145">
        <v>7.968395663106051E-2</v>
      </c>
      <c r="J124" s="145">
        <v>0.12259070250932384</v>
      </c>
      <c r="K124" s="144">
        <v>7.968395663106051E-2</v>
      </c>
      <c r="M124"/>
      <c r="N124"/>
      <c r="O124"/>
      <c r="P124"/>
      <c r="Q124"/>
      <c r="R124"/>
      <c r="S124"/>
      <c r="T124"/>
      <c r="U124"/>
      <c r="V124"/>
      <c r="W124"/>
      <c r="X124"/>
      <c r="Y124" s="39"/>
      <c r="Z124" s="39"/>
      <c r="AA124" s="39"/>
      <c r="AB124" s="39"/>
      <c r="AC124" s="39"/>
      <c r="AD124" s="39"/>
      <c r="AE124" s="39"/>
      <c r="AF124" s="39"/>
      <c r="AG124" s="39"/>
      <c r="AH124" s="39"/>
      <c r="AI124" s="39"/>
      <c r="AJ124" s="39"/>
      <c r="AK124" s="39"/>
      <c r="AL124" s="39"/>
      <c r="AM124" s="39"/>
      <c r="AN124" s="39"/>
      <c r="AO124" s="39"/>
    </row>
    <row r="125" spans="1:41" s="145" customFormat="1" x14ac:dyDescent="0.45">
      <c r="A125" s="146" t="s">
        <v>1520</v>
      </c>
      <c r="B125" s="145">
        <v>8.319259800141765</v>
      </c>
      <c r="C125" s="145">
        <v>5.4075188700921473</v>
      </c>
      <c r="D125" s="145">
        <v>5.1071011550870278</v>
      </c>
      <c r="E125" s="145">
        <v>3.3196157508065687</v>
      </c>
      <c r="F125" s="145">
        <v>5.1071011550870278</v>
      </c>
      <c r="G125" s="145">
        <v>3.3196157508065687</v>
      </c>
      <c r="H125" s="145">
        <v>5.1071011550870278</v>
      </c>
      <c r="I125" s="145">
        <v>3.3196157508065687</v>
      </c>
      <c r="J125" s="145">
        <v>5.1071011550870278</v>
      </c>
      <c r="K125" s="144">
        <v>3.3196157508065687</v>
      </c>
      <c r="M125"/>
      <c r="N125"/>
      <c r="O125"/>
      <c r="P125"/>
      <c r="Q125"/>
      <c r="R125"/>
      <c r="S125"/>
      <c r="T125"/>
      <c r="U125"/>
      <c r="V125"/>
      <c r="W125"/>
      <c r="X125"/>
      <c r="Y125" s="39"/>
      <c r="Z125" s="39"/>
      <c r="AA125" s="39"/>
      <c r="AB125" s="39"/>
      <c r="AC125" s="39"/>
      <c r="AD125" s="39"/>
      <c r="AE125" s="39"/>
      <c r="AF125" s="39"/>
      <c r="AG125" s="39"/>
      <c r="AH125" s="39"/>
      <c r="AI125" s="39"/>
      <c r="AJ125" s="39"/>
      <c r="AK125" s="39"/>
      <c r="AL125" s="39"/>
      <c r="AM125" s="39"/>
      <c r="AN125" s="39"/>
      <c r="AO125" s="39"/>
    </row>
    <row r="126" spans="1:41" s="145" customFormat="1" x14ac:dyDescent="0.45">
      <c r="A126" s="146" t="s">
        <v>1519</v>
      </c>
      <c r="B126" s="145">
        <v>1.3347285532694405E-2</v>
      </c>
      <c r="C126" s="145">
        <v>8.6757355962513646E-3</v>
      </c>
      <c r="D126" s="145">
        <v>8.1937502853485118E-3</v>
      </c>
      <c r="E126" s="145">
        <v>5.3259376854765325E-3</v>
      </c>
      <c r="F126" s="145">
        <v>8.1937502853485118E-3</v>
      </c>
      <c r="G126" s="145">
        <v>5.3259376854765325E-3</v>
      </c>
      <c r="H126" s="145">
        <v>8.1937502853485118E-3</v>
      </c>
      <c r="I126" s="145">
        <v>5.3259376854765325E-3</v>
      </c>
      <c r="J126" s="145">
        <v>8.1937502853485118E-3</v>
      </c>
      <c r="K126" s="144">
        <v>5.3259376854765325E-3</v>
      </c>
      <c r="M126"/>
      <c r="N126"/>
      <c r="O126"/>
      <c r="P126"/>
      <c r="Q126"/>
      <c r="R126"/>
      <c r="S126"/>
      <c r="T126"/>
      <c r="U126"/>
      <c r="V126"/>
      <c r="W126"/>
      <c r="X126"/>
      <c r="Y126" s="39"/>
      <c r="Z126" s="39"/>
      <c r="AA126" s="39"/>
      <c r="AB126" s="39"/>
      <c r="AC126" s="39"/>
      <c r="AD126" s="39"/>
      <c r="AE126" s="39"/>
      <c r="AF126" s="39"/>
      <c r="AG126" s="39"/>
      <c r="AH126" s="39"/>
      <c r="AI126" s="39"/>
      <c r="AJ126" s="39"/>
      <c r="AK126" s="39"/>
      <c r="AL126" s="39"/>
      <c r="AM126" s="39"/>
      <c r="AN126" s="39"/>
      <c r="AO126" s="39"/>
    </row>
    <row r="127" spans="1:41" s="145" customFormat="1" x14ac:dyDescent="0.45">
      <c r="A127" s="143" t="s">
        <v>1518</v>
      </c>
      <c r="B127" s="142">
        <v>3.7067858179931489E-2</v>
      </c>
      <c r="C127" s="142">
        <v>2.4094107816955472E-2</v>
      </c>
      <c r="D127" s="142">
        <v>2.2755546271569057E-2</v>
      </c>
      <c r="E127" s="142">
        <v>1.4791105076519892E-2</v>
      </c>
      <c r="F127" s="142">
        <v>2.2755546271569057E-2</v>
      </c>
      <c r="G127" s="142">
        <v>1.4791105076519892E-2</v>
      </c>
      <c r="H127" s="142">
        <v>2.2755546271569057E-2</v>
      </c>
      <c r="I127" s="142">
        <v>1.4791105076519892E-2</v>
      </c>
      <c r="J127" s="142">
        <v>2.2755546271569057E-2</v>
      </c>
      <c r="K127" s="141">
        <v>1.4791105076519892E-2</v>
      </c>
      <c r="M127"/>
      <c r="N127"/>
      <c r="O127"/>
      <c r="P127"/>
      <c r="Q127"/>
      <c r="R127"/>
      <c r="S127"/>
      <c r="T127"/>
      <c r="U127"/>
      <c r="V127"/>
      <c r="W127"/>
      <c r="X127"/>
      <c r="Y127" s="39"/>
      <c r="Z127" s="39"/>
      <c r="AA127" s="39"/>
      <c r="AB127" s="39"/>
      <c r="AC127" s="39"/>
      <c r="AD127" s="39"/>
      <c r="AE127" s="39"/>
      <c r="AF127" s="39"/>
      <c r="AG127" s="39"/>
      <c r="AH127" s="39"/>
      <c r="AI127" s="39"/>
      <c r="AJ127" s="39"/>
      <c r="AK127" s="39"/>
      <c r="AL127" s="39"/>
      <c r="AM127" s="39"/>
      <c r="AN127" s="39"/>
      <c r="AO127" s="39"/>
    </row>
    <row r="128" spans="1:41" x14ac:dyDescent="0.45">
      <c r="B128" s="120"/>
      <c r="C128" s="120"/>
      <c r="D128" s="120"/>
      <c r="E128" s="120"/>
    </row>
    <row r="129" spans="1:11" x14ac:dyDescent="0.45">
      <c r="A129" s="41" t="s">
        <v>1542</v>
      </c>
      <c r="B129" s="120"/>
      <c r="C129" s="120"/>
      <c r="D129" s="120"/>
      <c r="E129" s="120"/>
    </row>
    <row r="130" spans="1:11" ht="39.75" x14ac:dyDescent="0.45">
      <c r="A130" s="55"/>
      <c r="B130" s="180" t="s">
        <v>1481</v>
      </c>
      <c r="C130" s="180" t="s">
        <v>1480</v>
      </c>
      <c r="D130" s="180" t="s">
        <v>1479</v>
      </c>
      <c r="E130" s="180" t="s">
        <v>1478</v>
      </c>
      <c r="F130" s="180" t="s">
        <v>1477</v>
      </c>
      <c r="G130" s="180" t="s">
        <v>1476</v>
      </c>
      <c r="H130" s="180" t="s">
        <v>1475</v>
      </c>
      <c r="I130" s="180" t="s">
        <v>1474</v>
      </c>
      <c r="J130" s="180" t="s">
        <v>1473</v>
      </c>
      <c r="K130" s="179" t="s">
        <v>1472</v>
      </c>
    </row>
    <row r="131" spans="1:11" x14ac:dyDescent="0.45">
      <c r="A131" s="178" t="s">
        <v>1540</v>
      </c>
      <c r="B131" s="177"/>
      <c r="C131" s="177"/>
      <c r="D131" s="177"/>
      <c r="E131" s="177"/>
      <c r="F131" s="177"/>
      <c r="G131" s="177"/>
      <c r="H131" s="177"/>
      <c r="I131" s="177"/>
      <c r="J131" s="177"/>
      <c r="K131" s="185"/>
    </row>
    <row r="132" spans="1:11" x14ac:dyDescent="0.45">
      <c r="A132" s="50" t="s">
        <v>1464</v>
      </c>
      <c r="B132" s="176"/>
      <c r="C132" s="176"/>
      <c r="D132" s="175">
        <v>10.687570110000001</v>
      </c>
      <c r="E132" s="175">
        <v>9.0333925920000002</v>
      </c>
      <c r="F132" s="175">
        <v>76.23778672935849</v>
      </c>
      <c r="G132" s="175">
        <v>59.498466078566032</v>
      </c>
      <c r="H132" s="175">
        <v>109.54320225882353</v>
      </c>
      <c r="I132" s="175">
        <v>88.258503269907706</v>
      </c>
      <c r="J132" s="175">
        <v>12.66674976</v>
      </c>
      <c r="K132" s="174">
        <v>11.29174074</v>
      </c>
    </row>
    <row r="133" spans="1:11" x14ac:dyDescent="0.45">
      <c r="A133" s="50" t="s">
        <v>1438</v>
      </c>
      <c r="B133" s="176"/>
      <c r="C133" s="176"/>
      <c r="D133" s="175">
        <v>21.107950967250002</v>
      </c>
      <c r="E133" s="175">
        <v>17.840950369200002</v>
      </c>
      <c r="F133" s="175">
        <v>150.56962879048302</v>
      </c>
      <c r="G133" s="175">
        <v>117.50947050516791</v>
      </c>
      <c r="H133" s="175">
        <v>216.34782446117646</v>
      </c>
      <c r="I133" s="175">
        <v>174.31054395806771</v>
      </c>
      <c r="J133" s="175">
        <v>25.016830776000003</v>
      </c>
      <c r="K133" s="174">
        <v>22.301187961500002</v>
      </c>
    </row>
    <row r="134" spans="1:11" x14ac:dyDescent="0.45">
      <c r="A134" s="50" t="s">
        <v>1463</v>
      </c>
      <c r="B134" s="176"/>
      <c r="C134" s="176"/>
      <c r="D134" s="175">
        <v>0.44531542125000012</v>
      </c>
      <c r="E134" s="175">
        <v>0.37639135800000006</v>
      </c>
      <c r="F134" s="175">
        <v>3.1765744470566042</v>
      </c>
      <c r="G134" s="175">
        <v>2.479102753273585</v>
      </c>
      <c r="H134" s="175">
        <v>4.5643000941176473</v>
      </c>
      <c r="I134" s="175">
        <v>3.6774376362461543</v>
      </c>
      <c r="J134" s="175">
        <v>0.52778124000000004</v>
      </c>
      <c r="K134" s="174">
        <v>0.47048919750000007</v>
      </c>
    </row>
    <row r="135" spans="1:11" x14ac:dyDescent="0.45">
      <c r="A135" s="50" t="s">
        <v>1447</v>
      </c>
      <c r="B135" s="176"/>
      <c r="C135" s="176"/>
      <c r="D135" s="175">
        <v>3.4734602857500008</v>
      </c>
      <c r="E135" s="175">
        <v>2.9358525924000003</v>
      </c>
      <c r="F135" s="175">
        <v>24.777280687041511</v>
      </c>
      <c r="G135" s="175">
        <v>19.33700147553396</v>
      </c>
      <c r="H135" s="175">
        <v>35.601540734117648</v>
      </c>
      <c r="I135" s="175">
        <v>28.684013562720004</v>
      </c>
      <c r="J135" s="175">
        <v>4.1166936720000002</v>
      </c>
      <c r="K135" s="174">
        <v>3.6698157405000003</v>
      </c>
    </row>
    <row r="136" spans="1:11" x14ac:dyDescent="0.45">
      <c r="A136" s="50" t="s">
        <v>1462</v>
      </c>
      <c r="B136" s="176"/>
      <c r="C136" s="176"/>
      <c r="D136" s="175">
        <v>0.89063084250000024</v>
      </c>
      <c r="E136" s="175">
        <v>0.75278271600000013</v>
      </c>
      <c r="F136" s="175">
        <v>6.3531488941132084</v>
      </c>
      <c r="G136" s="175">
        <v>4.95820550654717</v>
      </c>
      <c r="H136" s="175">
        <v>9.1286001882352945</v>
      </c>
      <c r="I136" s="175">
        <v>7.3548752724923085</v>
      </c>
      <c r="J136" s="175">
        <v>1.0555624800000001</v>
      </c>
      <c r="K136" s="174">
        <v>0.94097839500000013</v>
      </c>
    </row>
    <row r="137" spans="1:11" x14ac:dyDescent="0.45">
      <c r="A137" s="50" t="s">
        <v>1461</v>
      </c>
      <c r="B137" s="176"/>
      <c r="C137" s="176"/>
      <c r="D137" s="175">
        <v>1.6031355165000001</v>
      </c>
      <c r="E137" s="175">
        <v>1.3550088888</v>
      </c>
      <c r="F137" s="175">
        <v>11.435668009403773</v>
      </c>
      <c r="G137" s="175">
        <v>8.9247699117849049</v>
      </c>
      <c r="H137" s="175">
        <v>16.43148033882353</v>
      </c>
      <c r="I137" s="175">
        <v>13.238775490486155</v>
      </c>
      <c r="J137" s="175">
        <v>1.900012464</v>
      </c>
      <c r="K137" s="174">
        <v>1.6937611109999999</v>
      </c>
    </row>
    <row r="138" spans="1:11" x14ac:dyDescent="0.45">
      <c r="A138" s="50" t="s">
        <v>1460</v>
      </c>
      <c r="B138" s="176"/>
      <c r="C138" s="176"/>
      <c r="D138" s="175">
        <v>25.115789758500004</v>
      </c>
      <c r="E138" s="175">
        <v>21.228472591200003</v>
      </c>
      <c r="F138" s="175">
        <v>179.15879881399243</v>
      </c>
      <c r="G138" s="175">
        <v>139.82139528463017</v>
      </c>
      <c r="H138" s="175">
        <v>257.42652530823528</v>
      </c>
      <c r="I138" s="175">
        <v>207.40748268428308</v>
      </c>
      <c r="J138" s="175">
        <v>29.766861936000002</v>
      </c>
      <c r="K138" s="174">
        <v>26.535590739</v>
      </c>
    </row>
    <row r="139" spans="1:11" x14ac:dyDescent="0.45">
      <c r="A139" s="50" t="s">
        <v>1459</v>
      </c>
      <c r="B139" s="176"/>
      <c r="C139" s="176"/>
      <c r="D139" s="175">
        <v>5.6109743077500012</v>
      </c>
      <c r="E139" s="175">
        <v>4.7425311108000008</v>
      </c>
      <c r="F139" s="175">
        <v>40.024838032913209</v>
      </c>
      <c r="G139" s="175">
        <v>31.23669469124717</v>
      </c>
      <c r="H139" s="175">
        <v>57.51018118588236</v>
      </c>
      <c r="I139" s="175">
        <v>46.335714216701547</v>
      </c>
      <c r="J139" s="175">
        <v>6.6500436240000012</v>
      </c>
      <c r="K139" s="174">
        <v>5.9281638885000003</v>
      </c>
    </row>
    <row r="140" spans="1:11" x14ac:dyDescent="0.45">
      <c r="A140" s="50" t="s">
        <v>1497</v>
      </c>
      <c r="B140" s="176"/>
      <c r="C140" s="176"/>
      <c r="D140" s="175">
        <v>20.039193956250003</v>
      </c>
      <c r="E140" s="175">
        <v>16.937611110000002</v>
      </c>
      <c r="F140" s="175">
        <v>142.9458501175472</v>
      </c>
      <c r="G140" s="175">
        <v>111.55962389731131</v>
      </c>
      <c r="H140" s="175">
        <v>205.39350423529413</v>
      </c>
      <c r="I140" s="175">
        <v>165.48469363107696</v>
      </c>
      <c r="J140" s="175">
        <v>23.750155800000002</v>
      </c>
      <c r="K140" s="174">
        <v>21.1720138875</v>
      </c>
    </row>
    <row r="141" spans="1:11" x14ac:dyDescent="0.45">
      <c r="A141" s="46" t="s">
        <v>1457</v>
      </c>
      <c r="B141" s="184"/>
      <c r="C141" s="184"/>
      <c r="D141" s="183">
        <v>8.9063084250000091E-2</v>
      </c>
      <c r="E141" s="183">
        <v>7.5278271600000071E-2</v>
      </c>
      <c r="F141" s="183">
        <v>0.6353148894113213</v>
      </c>
      <c r="G141" s="183">
        <v>0.49582055065471742</v>
      </c>
      <c r="H141" s="183">
        <v>0.91286001882353029</v>
      </c>
      <c r="I141" s="183">
        <v>0.7354875272492315</v>
      </c>
      <c r="J141" s="183">
        <v>0.1055562480000001</v>
      </c>
      <c r="K141" s="182">
        <v>9.4097839500000086E-2</v>
      </c>
    </row>
    <row r="142" spans="1:11" x14ac:dyDescent="0.45">
      <c r="A142" s="158" t="s">
        <v>320</v>
      </c>
      <c r="B142" s="145"/>
      <c r="C142" s="145"/>
      <c r="D142" s="145"/>
      <c r="E142" s="145"/>
      <c r="F142" s="145"/>
      <c r="G142" s="145"/>
      <c r="H142" s="145"/>
      <c r="I142" s="145"/>
      <c r="J142" s="145"/>
      <c r="K142" s="144"/>
    </row>
    <row r="143" spans="1:11" x14ac:dyDescent="0.45">
      <c r="A143" s="146" t="s">
        <v>1537</v>
      </c>
      <c r="B143" s="145"/>
      <c r="C143" s="145"/>
      <c r="D143" s="164">
        <v>3.2493703010591841</v>
      </c>
      <c r="E143" s="164">
        <v>2.7464463207393024</v>
      </c>
      <c r="F143" s="164">
        <v>23.178776603773915</v>
      </c>
      <c r="G143" s="164">
        <v>18.089476526883779</v>
      </c>
      <c r="H143" s="164">
        <v>33.304710466384989</v>
      </c>
      <c r="I143" s="164">
        <v>26.83346695174783</v>
      </c>
      <c r="J143" s="164">
        <v>3.8511055419960702</v>
      </c>
      <c r="K143" s="163">
        <v>3.433057900924128</v>
      </c>
    </row>
    <row r="144" spans="1:11" x14ac:dyDescent="0.45">
      <c r="A144" s="146" t="s">
        <v>1536</v>
      </c>
      <c r="B144" s="145"/>
      <c r="C144" s="145"/>
      <c r="D144" s="164">
        <v>2.9429056434394609</v>
      </c>
      <c r="E144" s="164">
        <v>2.4874149843963935</v>
      </c>
      <c r="F144" s="164">
        <v>20.992668164977594</v>
      </c>
      <c r="G144" s="164">
        <v>16.383365891070937</v>
      </c>
      <c r="H144" s="164">
        <v>30.163573647698108</v>
      </c>
      <c r="I144" s="164">
        <v>24.302666057975586</v>
      </c>
      <c r="J144" s="164">
        <v>3.4878881700023237</v>
      </c>
      <c r="K144" s="163">
        <v>3.1092687304954918</v>
      </c>
    </row>
    <row r="145" spans="1:11" x14ac:dyDescent="0.45">
      <c r="A145" s="146" t="s">
        <v>1535</v>
      </c>
      <c r="B145" s="145"/>
      <c r="C145" s="145"/>
      <c r="D145" s="164">
        <v>0.97206705586087161</v>
      </c>
      <c r="E145" s="164">
        <v>0.82161457197129417</v>
      </c>
      <c r="F145" s="164">
        <v>6.934058923460622</v>
      </c>
      <c r="G145" s="164">
        <v>5.4115667222724415</v>
      </c>
      <c r="H145" s="164">
        <v>9.9632879142166892</v>
      </c>
      <c r="I145" s="164">
        <v>8.0273797079461939</v>
      </c>
      <c r="J145" s="164">
        <v>1.1520794736128845</v>
      </c>
      <c r="K145" s="163">
        <v>1.0270182149641176</v>
      </c>
    </row>
    <row r="146" spans="1:11" x14ac:dyDescent="0.45">
      <c r="A146" s="146" t="s">
        <v>1534</v>
      </c>
      <c r="B146" s="145"/>
      <c r="C146" s="145"/>
      <c r="D146" s="164">
        <v>1.5703949266136381</v>
      </c>
      <c r="E146" s="164">
        <v>1.3273357508375692</v>
      </c>
      <c r="F146" s="164">
        <v>11.202119121914894</v>
      </c>
      <c r="G146" s="164">
        <v>8.7425007096466842</v>
      </c>
      <c r="H146" s="164">
        <v>16.09590274512529</v>
      </c>
      <c r="I146" s="164">
        <v>12.968402016459486</v>
      </c>
      <c r="J146" s="164">
        <v>1.8612088019124597</v>
      </c>
      <c r="K146" s="163">
        <v>1.6591696885469616</v>
      </c>
    </row>
    <row r="147" spans="1:11" x14ac:dyDescent="0.45">
      <c r="A147" s="146" t="s">
        <v>1533</v>
      </c>
      <c r="B147" s="145"/>
      <c r="C147" s="145"/>
      <c r="D147" s="164">
        <v>0.40044366096495138</v>
      </c>
      <c r="E147" s="164">
        <v>0.33846466158753008</v>
      </c>
      <c r="F147" s="164">
        <v>2.8564901196020784</v>
      </c>
      <c r="G147" s="164">
        <v>2.2292984591518117</v>
      </c>
      <c r="H147" s="164">
        <v>4.1043829883561278</v>
      </c>
      <c r="I147" s="164">
        <v>3.3068843335699039</v>
      </c>
      <c r="J147" s="164">
        <v>0.47459989447697942</v>
      </c>
      <c r="K147" s="163">
        <v>0.42308082698441257</v>
      </c>
    </row>
    <row r="148" spans="1:11" x14ac:dyDescent="0.45">
      <c r="A148" s="155" t="s">
        <v>1532</v>
      </c>
      <c r="B148" s="48"/>
      <c r="C148" s="48"/>
      <c r="D148" s="173">
        <v>452.32464611344824</v>
      </c>
      <c r="E148" s="173">
        <v>382.31572427834539</v>
      </c>
      <c r="F148" s="173">
        <v>3226.5734444692798</v>
      </c>
      <c r="G148" s="173">
        <v>2518.1236086675258</v>
      </c>
      <c r="H148" s="173">
        <v>4636.1417689784148</v>
      </c>
      <c r="I148" s="173">
        <v>3735.3201754167126</v>
      </c>
      <c r="J148" s="173">
        <v>536.08846946779045</v>
      </c>
      <c r="K148" s="181">
        <v>477.89465534793169</v>
      </c>
    </row>
    <row r="149" spans="1:11" x14ac:dyDescent="0.45">
      <c r="A149" s="158" t="s">
        <v>335</v>
      </c>
      <c r="B149" s="157"/>
      <c r="C149" s="157"/>
      <c r="D149" s="172"/>
      <c r="E149" s="172"/>
      <c r="F149" s="172"/>
      <c r="G149" s="172"/>
      <c r="H149" s="172"/>
      <c r="I149" s="172"/>
      <c r="J149" s="172"/>
      <c r="K149" s="171"/>
    </row>
    <row r="150" spans="1:11" x14ac:dyDescent="0.45">
      <c r="A150" s="146" t="s">
        <v>1525</v>
      </c>
      <c r="B150" s="145"/>
      <c r="C150" s="145"/>
      <c r="D150" s="164">
        <v>66.194906406646041</v>
      </c>
      <c r="E150" s="164">
        <v>55.949534927722659</v>
      </c>
      <c r="F150" s="164">
        <v>472.18901071608752</v>
      </c>
      <c r="G150" s="164">
        <v>368.51177141982583</v>
      </c>
      <c r="H150" s="164">
        <v>678.47059213416651</v>
      </c>
      <c r="I150" s="164">
        <v>546.64093927915314</v>
      </c>
      <c r="J150" s="164">
        <v>78.45322240787678</v>
      </c>
      <c r="K150" s="163">
        <v>69.936918659653315</v>
      </c>
    </row>
    <row r="151" spans="1:11" x14ac:dyDescent="0.45">
      <c r="A151" s="146" t="s">
        <v>1524</v>
      </c>
      <c r="B151" s="145"/>
      <c r="C151" s="145"/>
      <c r="D151" s="164">
        <v>380.54976667825105</v>
      </c>
      <c r="E151" s="164">
        <v>321.64986127035019</v>
      </c>
      <c r="F151" s="164">
        <v>2714.5807375595905</v>
      </c>
      <c r="G151" s="164">
        <v>2118.5477288917768</v>
      </c>
      <c r="H151" s="164">
        <v>3900.478746032175</v>
      </c>
      <c r="I151" s="164">
        <v>3142.5995320778329</v>
      </c>
      <c r="J151" s="164">
        <v>451.02194569274195</v>
      </c>
      <c r="K151" s="163">
        <v>402.06232658793778</v>
      </c>
    </row>
    <row r="152" spans="1:11" x14ac:dyDescent="0.45">
      <c r="A152" s="146" t="s">
        <v>1523</v>
      </c>
      <c r="B152" s="145"/>
      <c r="C152" s="145"/>
      <c r="D152" s="164">
        <v>420.00512524966672</v>
      </c>
      <c r="E152" s="164">
        <v>354.99848403168721</v>
      </c>
      <c r="F152" s="164">
        <v>2996.0281742677234</v>
      </c>
      <c r="G152" s="164">
        <v>2338.1985278495795</v>
      </c>
      <c r="H152" s="164">
        <v>4304.8799597504349</v>
      </c>
      <c r="I152" s="164">
        <v>3468.4239110199119</v>
      </c>
      <c r="J152" s="164">
        <v>497.78385214775329</v>
      </c>
      <c r="K152" s="163">
        <v>443.7481050396089</v>
      </c>
    </row>
    <row r="153" spans="1:11" x14ac:dyDescent="0.45">
      <c r="A153" s="146" t="s">
        <v>1522</v>
      </c>
      <c r="B153" s="145"/>
      <c r="C153" s="145"/>
      <c r="D153" s="164">
        <v>176.70182736278343</v>
      </c>
      <c r="E153" s="164">
        <v>149.35265564230585</v>
      </c>
      <c r="F153" s="164">
        <v>1260.4695071489737</v>
      </c>
      <c r="G153" s="164">
        <v>983.71169247611124</v>
      </c>
      <c r="H153" s="164">
        <v>1811.1211262318539</v>
      </c>
      <c r="I153" s="164">
        <v>1459.2127721814668</v>
      </c>
      <c r="J153" s="164">
        <v>209.42438798552107</v>
      </c>
      <c r="K153" s="163">
        <v>186.69081955288229</v>
      </c>
    </row>
    <row r="154" spans="1:11" x14ac:dyDescent="0.45">
      <c r="A154" s="146" t="s">
        <v>1521</v>
      </c>
      <c r="B154" s="145"/>
      <c r="C154" s="145"/>
      <c r="D154" s="164">
        <v>68.14593553822202</v>
      </c>
      <c r="E154" s="164">
        <v>57.598591909109295</v>
      </c>
      <c r="F154" s="164">
        <v>486.1063129003025</v>
      </c>
      <c r="G154" s="164">
        <v>379.37328993232217</v>
      </c>
      <c r="H154" s="164">
        <v>698.46783908304155</v>
      </c>
      <c r="I154" s="164">
        <v>562.75263812338028</v>
      </c>
      <c r="J154" s="164">
        <v>80.765553230485352</v>
      </c>
      <c r="K154" s="163">
        <v>71.998239886386614</v>
      </c>
    </row>
    <row r="155" spans="1:11" x14ac:dyDescent="0.45">
      <c r="A155" s="146" t="s">
        <v>1520</v>
      </c>
      <c r="B155" s="145"/>
      <c r="C155" s="145"/>
      <c r="D155" s="164">
        <v>8166.8997122262035</v>
      </c>
      <c r="E155" s="164">
        <v>6902.8610433163385</v>
      </c>
      <c r="F155" s="164">
        <v>58257.054886422673</v>
      </c>
      <c r="G155" s="164">
        <v>45465.713954969448</v>
      </c>
      <c r="H155" s="164">
        <v>83707.366388815455</v>
      </c>
      <c r="I155" s="164">
        <v>67442.677571967244</v>
      </c>
      <c r="J155" s="164">
        <v>9679.2885478236458</v>
      </c>
      <c r="K155" s="163">
        <v>8628.5763041454229</v>
      </c>
    </row>
    <row r="156" spans="1:11" x14ac:dyDescent="0.45">
      <c r="A156" s="146" t="s">
        <v>1519</v>
      </c>
      <c r="B156" s="145"/>
      <c r="C156" s="145"/>
      <c r="D156" s="164">
        <v>6.2681763271877395</v>
      </c>
      <c r="E156" s="164">
        <v>5.2980141432136527</v>
      </c>
      <c r="F156" s="164">
        <v>44.712865983168967</v>
      </c>
      <c r="G156" s="164">
        <v>34.895385268976753</v>
      </c>
      <c r="H156" s="164">
        <v>64.246231850271911</v>
      </c>
      <c r="I156" s="164">
        <v>51.762922270968581</v>
      </c>
      <c r="J156" s="164">
        <v>7.428949721111394</v>
      </c>
      <c r="K156" s="163">
        <v>6.622517679017065</v>
      </c>
    </row>
    <row r="157" spans="1:11" x14ac:dyDescent="0.45">
      <c r="A157" s="146" t="s">
        <v>1518</v>
      </c>
      <c r="B157" s="145"/>
      <c r="C157" s="145"/>
      <c r="D157" s="164">
        <v>3.9665007538345458</v>
      </c>
      <c r="E157" s="164">
        <v>3.3525823135724346</v>
      </c>
      <c r="F157" s="164">
        <v>28.294292848636829</v>
      </c>
      <c r="G157" s="164">
        <v>22.081792972924067</v>
      </c>
      <c r="H157" s="164">
        <v>40.655002948754792</v>
      </c>
      <c r="I157" s="164">
        <v>32.755567088616516</v>
      </c>
      <c r="J157" s="164">
        <v>4.7010379304705729</v>
      </c>
      <c r="K157" s="163">
        <v>4.190727891965544</v>
      </c>
    </row>
    <row r="158" spans="1:11" x14ac:dyDescent="0.45">
      <c r="A158" s="146" t="s">
        <v>1531</v>
      </c>
      <c r="B158" s="145"/>
      <c r="C158" s="145"/>
      <c r="D158" s="164">
        <v>559.31788336634099</v>
      </c>
      <c r="E158" s="164">
        <v>472.74899459580001</v>
      </c>
      <c r="F158" s="164">
        <v>3989.7897339734318</v>
      </c>
      <c r="G158" s="164">
        <v>3113.7626016104405</v>
      </c>
      <c r="H158" s="164">
        <v>5732.7784888398874</v>
      </c>
      <c r="I158" s="164">
        <v>4618.8758277073002</v>
      </c>
      <c r="J158" s="164">
        <v>662.89526917492242</v>
      </c>
      <c r="K158" s="163">
        <v>590.93624324475002</v>
      </c>
    </row>
    <row r="159" spans="1:11" x14ac:dyDescent="0.45">
      <c r="A159" s="146" t="s">
        <v>1530</v>
      </c>
      <c r="B159" s="145"/>
      <c r="C159" s="145"/>
      <c r="D159" s="164">
        <v>5.2812510828515915</v>
      </c>
      <c r="E159" s="164">
        <v>4.4638410711977574</v>
      </c>
      <c r="F159" s="164">
        <v>37.67281894524416</v>
      </c>
      <c r="G159" s="164">
        <v>29.401101950332418</v>
      </c>
      <c r="H159" s="164">
        <v>54.130653609199349</v>
      </c>
      <c r="I159" s="164">
        <v>43.612842878937684</v>
      </c>
      <c r="J159" s="164">
        <v>6.2592605426389216</v>
      </c>
      <c r="K159" s="163">
        <v>5.5798013389971972</v>
      </c>
    </row>
    <row r="160" spans="1:11" x14ac:dyDescent="0.45">
      <c r="A160" s="155" t="s">
        <v>1529</v>
      </c>
      <c r="B160" s="154"/>
      <c r="C160" s="154"/>
      <c r="D160" s="170">
        <v>193079.17790285253</v>
      </c>
      <c r="E160" s="170">
        <v>163195.1881845553</v>
      </c>
      <c r="F160" s="170">
        <v>1377294.2806770075</v>
      </c>
      <c r="G160" s="170">
        <v>1074885.5725569867</v>
      </c>
      <c r="H160" s="170">
        <v>1978982.2400500299</v>
      </c>
      <c r="I160" s="170">
        <v>1594457.7746765306</v>
      </c>
      <c r="J160" s="170">
        <v>228834.58121819556</v>
      </c>
      <c r="K160" s="169">
        <v>203993.98523069412</v>
      </c>
    </row>
    <row r="161" spans="1:11" x14ac:dyDescent="0.45">
      <c r="A161" s="155" t="s">
        <v>1528</v>
      </c>
      <c r="B161" s="154"/>
      <c r="C161" s="154"/>
      <c r="D161" s="170">
        <v>193883.49213736193</v>
      </c>
      <c r="E161" s="170">
        <v>163875.01401707626</v>
      </c>
      <c r="F161" s="170">
        <v>1383031.7061575232</v>
      </c>
      <c r="G161" s="170">
        <v>1079363.2473423607</v>
      </c>
      <c r="H161" s="170">
        <v>1987226.1304726126</v>
      </c>
      <c r="I161" s="170">
        <v>1601099.8429638818</v>
      </c>
      <c r="J161" s="170">
        <v>229787.84253316972</v>
      </c>
      <c r="K161" s="169">
        <v>204843.76752134532</v>
      </c>
    </row>
    <row r="162" spans="1:11" x14ac:dyDescent="0.45">
      <c r="A162" s="152" t="s">
        <v>1527</v>
      </c>
      <c r="B162" s="151"/>
      <c r="C162" s="151"/>
      <c r="D162" s="168">
        <v>220755.79424947911</v>
      </c>
      <c r="E162" s="168">
        <v>186588.13330716206</v>
      </c>
      <c r="F162" s="168">
        <v>1574720.2580233582</v>
      </c>
      <c r="G162" s="168">
        <v>1228963.2723447497</v>
      </c>
      <c r="H162" s="168">
        <v>2262656.1856797887</v>
      </c>
      <c r="I162" s="168">
        <v>1823012.6949425663</v>
      </c>
      <c r="J162" s="168">
        <v>261636.49688827156</v>
      </c>
      <c r="K162" s="167">
        <v>233235.16663395258</v>
      </c>
    </row>
    <row r="163" spans="1:11" x14ac:dyDescent="0.45">
      <c r="A163" s="149" t="s">
        <v>1526</v>
      </c>
      <c r="B163" s="148"/>
      <c r="C163" s="148"/>
      <c r="D163" s="166"/>
      <c r="E163" s="166"/>
      <c r="F163" s="166"/>
      <c r="G163" s="166"/>
      <c r="H163" s="166"/>
      <c r="I163" s="166"/>
      <c r="J163" s="166"/>
      <c r="K163" s="165"/>
    </row>
    <row r="164" spans="1:11" x14ac:dyDescent="0.45">
      <c r="A164" s="146" t="s">
        <v>1525</v>
      </c>
      <c r="B164" s="145"/>
      <c r="C164" s="145"/>
      <c r="D164" s="164">
        <v>2.0048098564281354</v>
      </c>
      <c r="E164" s="164">
        <v>1.6945137499946188</v>
      </c>
      <c r="F164" s="164">
        <v>14.300936947704756</v>
      </c>
      <c r="G164" s="164">
        <v>11.160919648616389</v>
      </c>
      <c r="H164" s="164">
        <v>20.548477280884022</v>
      </c>
      <c r="I164" s="164">
        <v>16.555822834186372</v>
      </c>
      <c r="J164" s="164">
        <v>2.3760709409518634</v>
      </c>
      <c r="K164" s="163">
        <v>2.1181421874932731</v>
      </c>
    </row>
    <row r="165" spans="1:11" x14ac:dyDescent="0.45">
      <c r="A165" s="146" t="s">
        <v>1524</v>
      </c>
      <c r="B165" s="145"/>
      <c r="C165" s="145"/>
      <c r="D165" s="164">
        <v>8.8986706134365541</v>
      </c>
      <c r="E165" s="164">
        <v>7.5213714970489098</v>
      </c>
      <c r="F165" s="164">
        <v>63.477006037809822</v>
      </c>
      <c r="G165" s="164">
        <v>49.539534823026969</v>
      </c>
      <c r="H165" s="164">
        <v>91.207717452094428</v>
      </c>
      <c r="I165" s="164">
        <v>73.48567928447693</v>
      </c>
      <c r="J165" s="164">
        <v>10.546572578887771</v>
      </c>
      <c r="K165" s="163">
        <v>9.4017143713111349</v>
      </c>
    </row>
    <row r="166" spans="1:11" x14ac:dyDescent="0.45">
      <c r="A166" s="146" t="s">
        <v>1523</v>
      </c>
      <c r="B166" s="145"/>
      <c r="C166" s="145"/>
      <c r="D166" s="164">
        <v>19.233127635335475</v>
      </c>
      <c r="E166" s="164">
        <v>16.256304371698757</v>
      </c>
      <c r="F166" s="164">
        <v>137.19592645565689</v>
      </c>
      <c r="G166" s="164">
        <v>107.07219512179073</v>
      </c>
      <c r="H166" s="164">
        <v>197.13165564696558</v>
      </c>
      <c r="I166" s="164">
        <v>158.82815652414072</v>
      </c>
      <c r="J166" s="164">
        <v>22.794817938175377</v>
      </c>
      <c r="K166" s="163">
        <v>20.32038046462344</v>
      </c>
    </row>
    <row r="167" spans="1:11" x14ac:dyDescent="0.45">
      <c r="A167" s="146" t="s">
        <v>1522</v>
      </c>
      <c r="B167" s="145"/>
      <c r="C167" s="145"/>
      <c r="D167" s="164">
        <v>1.9795761856363485</v>
      </c>
      <c r="E167" s="164">
        <v>1.6731856415047186</v>
      </c>
      <c r="F167" s="164">
        <v>14.12093726654027</v>
      </c>
      <c r="G167" s="164">
        <v>11.020442001200719</v>
      </c>
      <c r="H167" s="164">
        <v>20.289842523420219</v>
      </c>
      <c r="I167" s="164">
        <v>16.347441883870559</v>
      </c>
      <c r="J167" s="164">
        <v>2.3461643681615976</v>
      </c>
      <c r="K167" s="163">
        <v>2.0914820518808983</v>
      </c>
    </row>
    <row r="168" spans="1:11" x14ac:dyDescent="0.45">
      <c r="A168" s="146" t="s">
        <v>1521</v>
      </c>
      <c r="B168" s="145"/>
      <c r="C168" s="145"/>
      <c r="D168" s="164">
        <v>1.4583957798169678</v>
      </c>
      <c r="E168" s="164">
        <v>1.2326713647731715</v>
      </c>
      <c r="F168" s="164">
        <v>10.403194110946741</v>
      </c>
      <c r="G168" s="164">
        <v>8.1189934607655818</v>
      </c>
      <c r="H168" s="164">
        <v>14.947957509296256</v>
      </c>
      <c r="I168" s="164">
        <v>12.043507305871175</v>
      </c>
      <c r="J168" s="164">
        <v>1.728469072375665</v>
      </c>
      <c r="K168" s="163">
        <v>1.5408392059664644</v>
      </c>
    </row>
    <row r="169" spans="1:11" x14ac:dyDescent="0.45">
      <c r="A169" s="146" t="s">
        <v>1520</v>
      </c>
      <c r="B169" s="145"/>
      <c r="C169" s="145"/>
      <c r="D169" s="164">
        <v>61.95072634636751</v>
      </c>
      <c r="E169" s="164">
        <v>52.362251352407306</v>
      </c>
      <c r="F169" s="164">
        <v>441.91394435897797</v>
      </c>
      <c r="G169" s="164">
        <v>344.88411791685303</v>
      </c>
      <c r="H169" s="164">
        <v>634.96949038878995</v>
      </c>
      <c r="I169" s="164">
        <v>511.59228220623424</v>
      </c>
      <c r="J169" s="164">
        <v>73.423083077176301</v>
      </c>
      <c r="K169" s="163">
        <v>65.45281419050913</v>
      </c>
    </row>
    <row r="170" spans="1:11" x14ac:dyDescent="0.45">
      <c r="A170" s="146" t="s">
        <v>1519</v>
      </c>
      <c r="B170" s="145"/>
      <c r="C170" s="145"/>
      <c r="D170" s="164">
        <v>9.550787297555148E-2</v>
      </c>
      <c r="E170" s="164">
        <v>8.072556281130433E-2</v>
      </c>
      <c r="F170" s="164">
        <v>0.68128758697656422</v>
      </c>
      <c r="G170" s="164">
        <v>0.53169914975854526</v>
      </c>
      <c r="H170" s="164">
        <v>0.97891645518953796</v>
      </c>
      <c r="I170" s="164">
        <v>0.78870892378311042</v>
      </c>
      <c r="J170" s="164">
        <v>0.11319451611917211</v>
      </c>
      <c r="K170" s="163">
        <v>0.1009069535141304</v>
      </c>
    </row>
    <row r="171" spans="1:11" x14ac:dyDescent="0.45">
      <c r="A171" s="143" t="s">
        <v>1518</v>
      </c>
      <c r="B171" s="142"/>
      <c r="C171" s="142"/>
      <c r="D171" s="162">
        <v>0.23201756627987</v>
      </c>
      <c r="E171" s="162">
        <v>0.19610685524162108</v>
      </c>
      <c r="F171" s="162">
        <v>1.6550540069869561</v>
      </c>
      <c r="G171" s="162">
        <v>1.2916583615220179</v>
      </c>
      <c r="H171" s="162">
        <v>2.3780847216913168</v>
      </c>
      <c r="I171" s="162">
        <v>1.9160129871829146</v>
      </c>
      <c r="J171" s="162">
        <v>0.27498378225762371</v>
      </c>
      <c r="K171" s="161">
        <v>0.24513356905202632</v>
      </c>
    </row>
    <row r="172" spans="1:11" x14ac:dyDescent="0.45">
      <c r="A172" s="41"/>
    </row>
    <row r="173" spans="1:11" x14ac:dyDescent="0.45">
      <c r="A173" s="41" t="s">
        <v>1541</v>
      </c>
      <c r="B173" s="120"/>
      <c r="C173" s="120"/>
      <c r="D173" s="120"/>
      <c r="E173" s="120"/>
    </row>
    <row r="174" spans="1:11" ht="39.75" x14ac:dyDescent="0.45">
      <c r="A174" s="55"/>
      <c r="B174" s="180" t="s">
        <v>1481</v>
      </c>
      <c r="C174" s="180" t="s">
        <v>1480</v>
      </c>
      <c r="D174" s="180" t="s">
        <v>1479</v>
      </c>
      <c r="E174" s="180" t="s">
        <v>1478</v>
      </c>
      <c r="F174" s="180" t="s">
        <v>1477</v>
      </c>
      <c r="G174" s="180" t="s">
        <v>1476</v>
      </c>
      <c r="H174" s="180" t="s">
        <v>1475</v>
      </c>
      <c r="I174" s="180" t="s">
        <v>1474</v>
      </c>
      <c r="J174" s="180" t="s">
        <v>1473</v>
      </c>
      <c r="K174" s="179" t="s">
        <v>1472</v>
      </c>
    </row>
    <row r="175" spans="1:11" x14ac:dyDescent="0.45">
      <c r="A175" s="178" t="s">
        <v>1540</v>
      </c>
      <c r="B175" s="177"/>
      <c r="C175" s="177"/>
      <c r="D175" s="177"/>
      <c r="E175" s="177"/>
      <c r="F175" s="177"/>
      <c r="G175" s="177"/>
      <c r="H175" s="177"/>
      <c r="I175" s="177"/>
      <c r="J175" s="177"/>
      <c r="K175" s="60"/>
    </row>
    <row r="176" spans="1:11" x14ac:dyDescent="0.45">
      <c r="A176" s="50" t="s">
        <v>1451</v>
      </c>
      <c r="B176" s="176"/>
      <c r="C176" s="176"/>
      <c r="D176" s="175">
        <v>5.8075169800758717</v>
      </c>
      <c r="E176" s="175">
        <v>4.9086537281888845</v>
      </c>
      <c r="F176" s="175">
        <v>59.373866677565672</v>
      </c>
      <c r="G176" s="175">
        <v>46.337310460090379</v>
      </c>
      <c r="H176" s="175">
        <v>104.70123020304833</v>
      </c>
      <c r="I176" s="175">
        <v>84.357346486963493</v>
      </c>
      <c r="J176" s="175">
        <v>6.8829830874973279</v>
      </c>
      <c r="K176" s="174">
        <v>6.1358171602361047</v>
      </c>
    </row>
    <row r="177" spans="1:11" x14ac:dyDescent="0.45">
      <c r="A177" s="50" t="s">
        <v>1450</v>
      </c>
      <c r="B177" s="176"/>
      <c r="C177" s="176"/>
      <c r="D177" s="175">
        <v>3.6617128841254885</v>
      </c>
      <c r="E177" s="175">
        <v>3.0949682389021667</v>
      </c>
      <c r="F177" s="175">
        <v>36.761792036994514</v>
      </c>
      <c r="G177" s="175">
        <v>28.690106708700117</v>
      </c>
      <c r="H177" s="175">
        <v>65.505284367626984</v>
      </c>
      <c r="I177" s="175">
        <v>52.777335656998815</v>
      </c>
      <c r="J177" s="175">
        <v>4.3398078626672447</v>
      </c>
      <c r="K177" s="174">
        <v>3.868710298627708</v>
      </c>
    </row>
    <row r="178" spans="1:11" x14ac:dyDescent="0.45">
      <c r="A178" s="50" t="s">
        <v>1449</v>
      </c>
      <c r="B178" s="176"/>
      <c r="C178" s="176"/>
      <c r="D178" s="175">
        <v>0</v>
      </c>
      <c r="E178" s="175">
        <v>0</v>
      </c>
      <c r="F178" s="175">
        <v>0</v>
      </c>
      <c r="G178" s="175">
        <v>0</v>
      </c>
      <c r="H178" s="175">
        <v>0</v>
      </c>
      <c r="I178" s="175">
        <v>0</v>
      </c>
      <c r="J178" s="175">
        <v>0</v>
      </c>
      <c r="K178" s="174">
        <v>0</v>
      </c>
    </row>
    <row r="179" spans="1:11" x14ac:dyDescent="0.45">
      <c r="A179" s="50" t="s">
        <v>1448</v>
      </c>
      <c r="B179" s="176"/>
      <c r="C179" s="176"/>
      <c r="D179" s="175">
        <v>0.49838051916849546</v>
      </c>
      <c r="E179" s="175">
        <v>0.42124326142584717</v>
      </c>
      <c r="F179" s="175">
        <v>5.0597715112916664</v>
      </c>
      <c r="G179" s="175">
        <v>3.948811429935581</v>
      </c>
      <c r="H179" s="175">
        <v>8.9582376089829268</v>
      </c>
      <c r="I179" s="175">
        <v>7.2176148496822394</v>
      </c>
      <c r="J179" s="175">
        <v>0.59067320790340194</v>
      </c>
      <c r="K179" s="174">
        <v>0.52655407678230892</v>
      </c>
    </row>
    <row r="180" spans="1:11" x14ac:dyDescent="0.45">
      <c r="A180" s="50" t="s">
        <v>1447</v>
      </c>
      <c r="B180" s="176"/>
      <c r="C180" s="176"/>
      <c r="D180" s="175">
        <v>8.2898897309723889</v>
      </c>
      <c r="E180" s="175">
        <v>7.0068151800187666</v>
      </c>
      <c r="F180" s="175">
        <v>39.377416465596056</v>
      </c>
      <c r="G180" s="175">
        <v>30.731425692577272</v>
      </c>
      <c r="H180" s="175">
        <v>48.820844188243726</v>
      </c>
      <c r="I180" s="175">
        <v>39.334751473185932</v>
      </c>
      <c r="J180" s="175">
        <v>9.8250544959672741</v>
      </c>
      <c r="K180" s="174">
        <v>8.758518975023458</v>
      </c>
    </row>
    <row r="181" spans="1:11" x14ac:dyDescent="0.45">
      <c r="A181" s="50" t="s">
        <v>1446</v>
      </c>
      <c r="B181" s="176"/>
      <c r="C181" s="176"/>
      <c r="D181" s="175">
        <v>6.9753911181483792</v>
      </c>
      <c r="E181" s="175">
        <v>5.8957691790041649</v>
      </c>
      <c r="F181" s="175">
        <v>44.688046538835309</v>
      </c>
      <c r="G181" s="175">
        <v>34.87601536161025</v>
      </c>
      <c r="H181" s="175">
        <v>99.232761497351945</v>
      </c>
      <c r="I181" s="175">
        <v>79.951423954201161</v>
      </c>
      <c r="J181" s="175">
        <v>8.2671302141017815</v>
      </c>
      <c r="K181" s="174">
        <v>7.3697114737552054</v>
      </c>
    </row>
    <row r="182" spans="1:11" x14ac:dyDescent="0.45">
      <c r="A182" s="50" t="s">
        <v>1445</v>
      </c>
      <c r="B182" s="176"/>
      <c r="C182" s="176"/>
      <c r="D182" s="175">
        <v>0</v>
      </c>
      <c r="E182" s="175">
        <v>0</v>
      </c>
      <c r="F182" s="175">
        <v>0</v>
      </c>
      <c r="G182" s="175">
        <v>0</v>
      </c>
      <c r="H182" s="175">
        <v>0</v>
      </c>
      <c r="I182" s="175">
        <v>0</v>
      </c>
      <c r="J182" s="175">
        <v>0</v>
      </c>
      <c r="K182" s="174">
        <v>0</v>
      </c>
    </row>
    <row r="183" spans="1:11" ht="15" x14ac:dyDescent="0.5">
      <c r="A183" s="50" t="s">
        <v>1539</v>
      </c>
      <c r="B183" s="176"/>
      <c r="C183" s="176"/>
      <c r="D183" s="175">
        <v>0.44717360220483549</v>
      </c>
      <c r="E183" s="175">
        <v>0.37796193745812212</v>
      </c>
      <c r="F183" s="175">
        <v>3.9532321373407409</v>
      </c>
      <c r="G183" s="175">
        <v>3.085231855684071</v>
      </c>
      <c r="H183" s="175">
        <v>6.7093431838099935</v>
      </c>
      <c r="I183" s="175">
        <v>5.4056899480454064</v>
      </c>
      <c r="J183" s="175">
        <v>0.52998352853906416</v>
      </c>
      <c r="K183" s="174">
        <v>0.47245242182265262</v>
      </c>
    </row>
    <row r="184" spans="1:11" x14ac:dyDescent="0.45">
      <c r="A184" s="50" t="s">
        <v>1443</v>
      </c>
      <c r="B184" s="176"/>
      <c r="C184" s="176"/>
      <c r="D184" s="175">
        <v>1.2483279933204174</v>
      </c>
      <c r="E184" s="175">
        <v>1.0551169939643916</v>
      </c>
      <c r="F184" s="175">
        <v>11.035826615891834</v>
      </c>
      <c r="G184" s="175">
        <v>8.6127205907162043</v>
      </c>
      <c r="H184" s="175">
        <v>18.729774905869856</v>
      </c>
      <c r="I184" s="175">
        <v>15.090501881336031</v>
      </c>
      <c r="J184" s="175">
        <v>1.4794998439353093</v>
      </c>
      <c r="K184" s="174">
        <v>1.3188962424554895</v>
      </c>
    </row>
    <row r="185" spans="1:11" x14ac:dyDescent="0.45">
      <c r="A185" s="50" t="s">
        <v>1442</v>
      </c>
      <c r="B185" s="176"/>
      <c r="C185" s="176"/>
      <c r="D185" s="175">
        <v>1.2483279933204161</v>
      </c>
      <c r="E185" s="175">
        <v>1.0551169939643905</v>
      </c>
      <c r="F185" s="175">
        <v>11.035826615891834</v>
      </c>
      <c r="G185" s="175">
        <v>8.6127205907162043</v>
      </c>
      <c r="H185" s="175">
        <v>18.729774905869856</v>
      </c>
      <c r="I185" s="175">
        <v>15.090501881336031</v>
      </c>
      <c r="J185" s="175">
        <v>1.4794998439353075</v>
      </c>
      <c r="K185" s="174">
        <v>1.318896242455488</v>
      </c>
    </row>
    <row r="186" spans="1:11" x14ac:dyDescent="0.45">
      <c r="A186" s="50" t="s">
        <v>1441</v>
      </c>
      <c r="B186" s="176"/>
      <c r="C186" s="176"/>
      <c r="D186" s="175">
        <v>0.55153767355632866</v>
      </c>
      <c r="E186" s="175">
        <v>0.46617297320472523</v>
      </c>
      <c r="F186" s="175">
        <v>3.2356747509236801</v>
      </c>
      <c r="G186" s="175">
        <v>2.5252265663552942</v>
      </c>
      <c r="H186" s="175">
        <v>4.5919932929641085</v>
      </c>
      <c r="I186" s="175">
        <v>3.6997499315830167</v>
      </c>
      <c r="J186" s="175">
        <v>0.65367427977046344</v>
      </c>
      <c r="K186" s="174">
        <v>0.58271621650590644</v>
      </c>
    </row>
    <row r="187" spans="1:11" x14ac:dyDescent="0.45">
      <c r="A187" s="50" t="s">
        <v>1440</v>
      </c>
      <c r="B187" s="176"/>
      <c r="C187" s="176"/>
      <c r="D187" s="175">
        <v>0.17298997170489763</v>
      </c>
      <c r="E187" s="175">
        <v>0.14621530551899337</v>
      </c>
      <c r="F187" s="175">
        <v>0.87318447873947769</v>
      </c>
      <c r="G187" s="175">
        <v>0.68146177004118724</v>
      </c>
      <c r="H187" s="175">
        <v>1.5021012468551276</v>
      </c>
      <c r="I187" s="175">
        <v>1.2102367383240993</v>
      </c>
      <c r="J187" s="175">
        <v>0.20502515165024898</v>
      </c>
      <c r="K187" s="174">
        <v>0.18276913189874169</v>
      </c>
    </row>
    <row r="188" spans="1:11" x14ac:dyDescent="0.45">
      <c r="A188" s="50" t="s">
        <v>1439</v>
      </c>
      <c r="B188" s="176"/>
      <c r="C188" s="176"/>
      <c r="D188" s="175">
        <v>9.2651071667662455E-2</v>
      </c>
      <c r="E188" s="175">
        <v>7.8310925292589539E-2</v>
      </c>
      <c r="F188" s="175">
        <v>0.51672009428257426</v>
      </c>
      <c r="G188" s="175">
        <v>0.40326528773619191</v>
      </c>
      <c r="H188" s="175">
        <v>0.85672328536434594</v>
      </c>
      <c r="I188" s="175">
        <v>0.69025839416379375</v>
      </c>
      <c r="J188" s="175">
        <v>0.10980867753204437</v>
      </c>
      <c r="K188" s="174">
        <v>9.7888656615736924E-2</v>
      </c>
    </row>
    <row r="189" spans="1:11" x14ac:dyDescent="0.45">
      <c r="A189" s="50" t="s">
        <v>1438</v>
      </c>
      <c r="B189" s="176"/>
      <c r="C189" s="176"/>
      <c r="D189" s="175">
        <v>0.45662017810089311</v>
      </c>
      <c r="E189" s="175">
        <v>0.38594641174375677</v>
      </c>
      <c r="F189" s="175">
        <v>2.414060856552648</v>
      </c>
      <c r="G189" s="175">
        <v>1.8840121696486769</v>
      </c>
      <c r="H189" s="175">
        <v>2.5742990432428328</v>
      </c>
      <c r="I189" s="175">
        <v>2.0741020514348429</v>
      </c>
      <c r="J189" s="175">
        <v>0.54117947034179914</v>
      </c>
      <c r="K189" s="174">
        <v>0.4824330146796959</v>
      </c>
    </row>
    <row r="190" spans="1:11" x14ac:dyDescent="0.45">
      <c r="A190" s="50" t="s">
        <v>1437</v>
      </c>
      <c r="B190" s="176"/>
      <c r="C190" s="176"/>
      <c r="D190" s="175">
        <v>0.32819804587515794</v>
      </c>
      <c r="E190" s="175">
        <v>0.27740092142586442</v>
      </c>
      <c r="F190" s="175">
        <v>1.0517049189594552</v>
      </c>
      <c r="G190" s="175">
        <v>0.82078496936838763</v>
      </c>
      <c r="H190" s="175">
        <v>2.0183486476236867</v>
      </c>
      <c r="I190" s="175">
        <v>1.6261751258212858</v>
      </c>
      <c r="J190" s="175">
        <v>0.38897546177796488</v>
      </c>
      <c r="K190" s="174">
        <v>0.34675115178233051</v>
      </c>
    </row>
    <row r="191" spans="1:11" x14ac:dyDescent="0.45">
      <c r="A191" s="50" t="s">
        <v>1436</v>
      </c>
      <c r="B191" s="176"/>
      <c r="C191" s="176"/>
      <c r="D191" s="175">
        <v>2.5154123785729103</v>
      </c>
      <c r="E191" s="175">
        <v>2.1260873437606507</v>
      </c>
      <c r="F191" s="175">
        <v>8.2656651053022756</v>
      </c>
      <c r="G191" s="175">
        <v>6.4507958058969823</v>
      </c>
      <c r="H191" s="175">
        <v>17.892267542593292</v>
      </c>
      <c r="I191" s="175">
        <v>14.415725675819703</v>
      </c>
      <c r="J191" s="175">
        <v>2.9812294857160415</v>
      </c>
      <c r="K191" s="174">
        <v>2.6576091797008132</v>
      </c>
    </row>
    <row r="192" spans="1:11" x14ac:dyDescent="0.45">
      <c r="A192" s="50" t="s">
        <v>1435</v>
      </c>
      <c r="B192" s="176"/>
      <c r="C192" s="176"/>
      <c r="D192" s="175">
        <v>3.417880826490157</v>
      </c>
      <c r="E192" s="175">
        <v>2.8888754899924596</v>
      </c>
      <c r="F192" s="175">
        <v>11.919499336291388</v>
      </c>
      <c r="G192" s="175">
        <v>9.3023677281113937</v>
      </c>
      <c r="H192" s="175">
        <v>15.210099735093188</v>
      </c>
      <c r="I192" s="175">
        <v>12.254714208861047</v>
      </c>
      <c r="J192" s="175">
        <v>4.0508217202846293</v>
      </c>
      <c r="K192" s="174">
        <v>3.611094362490574</v>
      </c>
    </row>
    <row r="193" spans="1:11" x14ac:dyDescent="0.45">
      <c r="A193" s="158" t="s">
        <v>320</v>
      </c>
      <c r="B193" s="157"/>
      <c r="C193" s="157"/>
      <c r="D193" s="157"/>
      <c r="E193" s="157"/>
      <c r="F193" s="157"/>
      <c r="G193" s="157"/>
      <c r="H193" s="157"/>
      <c r="I193" s="157"/>
      <c r="J193" s="157"/>
      <c r="K193" s="156"/>
    </row>
    <row r="194" spans="1:11" x14ac:dyDescent="0.45">
      <c r="A194" s="146" t="s">
        <v>1537</v>
      </c>
      <c r="B194" s="145"/>
      <c r="C194" s="145"/>
      <c r="D194" s="164">
        <v>2.4419478980849312</v>
      </c>
      <c r="E194" s="164">
        <v>2.0639933891025839</v>
      </c>
      <c r="F194" s="164">
        <v>16.672192861080728</v>
      </c>
      <c r="G194" s="164">
        <v>13.011525438451947</v>
      </c>
      <c r="H194" s="164">
        <v>29.031591831053909</v>
      </c>
      <c r="I194" s="164">
        <v>23.390633007949234</v>
      </c>
      <c r="J194" s="164">
        <v>2.9022969620073535</v>
      </c>
      <c r="K194" s="163">
        <v>2.5872449891578704</v>
      </c>
    </row>
    <row r="195" spans="1:11" x14ac:dyDescent="0.45">
      <c r="A195" s="146" t="s">
        <v>1536</v>
      </c>
      <c r="B195" s="145"/>
      <c r="C195" s="145"/>
      <c r="D195" s="164">
        <v>2.1049224723546058</v>
      </c>
      <c r="E195" s="164">
        <v>1.7791313528517678</v>
      </c>
      <c r="F195" s="164">
        <v>14.516076892670661</v>
      </c>
      <c r="G195" s="164">
        <v>11.328821908989449</v>
      </c>
      <c r="H195" s="164">
        <v>25.036052733494426</v>
      </c>
      <c r="I195" s="164">
        <v>20.171443745307492</v>
      </c>
      <c r="J195" s="164">
        <v>2.5024084875326604</v>
      </c>
      <c r="K195" s="163">
        <v>2.2307654609254968</v>
      </c>
    </row>
    <row r="196" spans="1:11" x14ac:dyDescent="0.45">
      <c r="A196" s="146" t="s">
        <v>1535</v>
      </c>
      <c r="B196" s="145"/>
      <c r="C196" s="145"/>
      <c r="D196" s="164">
        <v>0.63341365656135407</v>
      </c>
      <c r="E196" s="164">
        <v>0.53537653310916777</v>
      </c>
      <c r="F196" s="164">
        <v>4.2397647383556123</v>
      </c>
      <c r="G196" s="164">
        <v>3.3088512834411672</v>
      </c>
      <c r="H196" s="164">
        <v>7.2481521559574222</v>
      </c>
      <c r="I196" s="164">
        <v>5.8398060999337709</v>
      </c>
      <c r="J196" s="164">
        <v>0.75180134163721102</v>
      </c>
      <c r="K196" s="163">
        <v>0.67019132757790867</v>
      </c>
    </row>
    <row r="197" spans="1:11" x14ac:dyDescent="0.45">
      <c r="A197" s="146" t="s">
        <v>1534</v>
      </c>
      <c r="B197" s="145"/>
      <c r="C197" s="145"/>
      <c r="D197" s="164">
        <v>1.2585317323753229</v>
      </c>
      <c r="E197" s="164">
        <v>1.0637414408536841</v>
      </c>
      <c r="F197" s="164">
        <v>8.5807884274491926</v>
      </c>
      <c r="G197" s="164">
        <v>6.6967283689694508</v>
      </c>
      <c r="H197" s="164">
        <v>14.742515014662455</v>
      </c>
      <c r="I197" s="164">
        <v>11.877983140879415</v>
      </c>
      <c r="J197" s="164">
        <v>1.4981317879597407</v>
      </c>
      <c r="K197" s="163">
        <v>1.3355056399246372</v>
      </c>
    </row>
    <row r="198" spans="1:11" x14ac:dyDescent="0.45">
      <c r="A198" s="146" t="s">
        <v>1533</v>
      </c>
      <c r="B198" s="145"/>
      <c r="C198" s="145"/>
      <c r="D198" s="164">
        <v>0.21297714594684139</v>
      </c>
      <c r="E198" s="164">
        <v>0.18001343173986437</v>
      </c>
      <c r="F198" s="164">
        <v>1.6955243661379107</v>
      </c>
      <c r="G198" s="164">
        <v>1.3232427554876827</v>
      </c>
      <c r="H198" s="164">
        <v>3.0453866901814646</v>
      </c>
      <c r="I198" s="164">
        <v>2.4536554127608063</v>
      </c>
      <c r="J198" s="164">
        <v>0.25247543204404965</v>
      </c>
      <c r="K198" s="163">
        <v>0.2250685594866364</v>
      </c>
    </row>
    <row r="199" spans="1:11" x14ac:dyDescent="0.45">
      <c r="A199" s="155" t="s">
        <v>1532</v>
      </c>
      <c r="B199" s="48"/>
      <c r="C199" s="48"/>
      <c r="D199" s="173">
        <v>396.98595376463675</v>
      </c>
      <c r="E199" s="173">
        <v>335.54212388371633</v>
      </c>
      <c r="F199" s="164">
        <v>2829.3760278089649</v>
      </c>
      <c r="G199" s="164">
        <v>2208.1377337423673</v>
      </c>
      <c r="H199" s="164">
        <v>5441.7281789562285</v>
      </c>
      <c r="I199" s="164">
        <v>4384.3778013863157</v>
      </c>
      <c r="J199" s="164">
        <v>471.08451011726027</v>
      </c>
      <c r="K199" s="163">
        <v>419.94704684795244</v>
      </c>
    </row>
    <row r="200" spans="1:11" x14ac:dyDescent="0.45">
      <c r="A200" s="158" t="s">
        <v>335</v>
      </c>
      <c r="B200" s="157"/>
      <c r="C200" s="157"/>
      <c r="D200" s="172"/>
      <c r="E200" s="172"/>
      <c r="F200" s="172"/>
      <c r="G200" s="172"/>
      <c r="H200" s="172"/>
      <c r="I200" s="172"/>
      <c r="J200" s="172"/>
      <c r="K200" s="171"/>
    </row>
    <row r="201" spans="1:11" x14ac:dyDescent="0.45">
      <c r="A201" s="146" t="s">
        <v>1525</v>
      </c>
      <c r="B201" s="145"/>
      <c r="C201" s="145"/>
      <c r="D201" s="164">
        <v>37.919485337726648</v>
      </c>
      <c r="E201" s="164">
        <v>32.050465579801696</v>
      </c>
      <c r="F201" s="164">
        <v>232.40557570068802</v>
      </c>
      <c r="G201" s="164">
        <v>181.37692416734396</v>
      </c>
      <c r="H201" s="164">
        <v>420.93981300727842</v>
      </c>
      <c r="I201" s="164">
        <v>339.14945972601157</v>
      </c>
      <c r="J201" s="164">
        <v>45.026292949161473</v>
      </c>
      <c r="K201" s="163">
        <v>40.138570359285389</v>
      </c>
    </row>
    <row r="202" spans="1:11" x14ac:dyDescent="0.45">
      <c r="A202" s="146" t="s">
        <v>1524</v>
      </c>
      <c r="B202" s="145"/>
      <c r="C202" s="145"/>
      <c r="D202" s="164">
        <v>99.031872227398921</v>
      </c>
      <c r="E202" s="164">
        <v>83.704132159454517</v>
      </c>
      <c r="F202" s="164">
        <v>708.38884370809626</v>
      </c>
      <c r="G202" s="164">
        <v>552.84985826549359</v>
      </c>
      <c r="H202" s="164">
        <v>1202.2547818879982</v>
      </c>
      <c r="I202" s="164">
        <v>968.65168637132024</v>
      </c>
      <c r="J202" s="164">
        <v>117.70387160614412</v>
      </c>
      <c r="K202" s="163">
        <v>104.92680659626663</v>
      </c>
    </row>
    <row r="203" spans="1:11" x14ac:dyDescent="0.45">
      <c r="A203" s="146" t="s">
        <v>1523</v>
      </c>
      <c r="B203" s="145"/>
      <c r="C203" s="145"/>
      <c r="D203" s="164">
        <v>207.50232252226081</v>
      </c>
      <c r="E203" s="164">
        <v>175.38597864649566</v>
      </c>
      <c r="F203" s="164">
        <v>1570.6015020562986</v>
      </c>
      <c r="G203" s="164">
        <v>1225.7488602703022</v>
      </c>
      <c r="H203" s="164">
        <v>2706.699263822024</v>
      </c>
      <c r="I203" s="164">
        <v>2180.77635947009</v>
      </c>
      <c r="J203" s="164">
        <v>246.43738866033732</v>
      </c>
      <c r="K203" s="163">
        <v>219.68596160181386</v>
      </c>
    </row>
    <row r="204" spans="1:11" x14ac:dyDescent="0.45">
      <c r="A204" s="146" t="s">
        <v>1522</v>
      </c>
      <c r="B204" s="145"/>
      <c r="C204" s="145"/>
      <c r="D204" s="164">
        <v>82.793509419017283</v>
      </c>
      <c r="E204" s="164">
        <v>69.97907540757484</v>
      </c>
      <c r="F204" s="164">
        <v>735.36974744506972</v>
      </c>
      <c r="G204" s="164">
        <v>573.90663935309567</v>
      </c>
      <c r="H204" s="164">
        <v>1325.2401210271435</v>
      </c>
      <c r="I204" s="164">
        <v>1067.740463518043</v>
      </c>
      <c r="J204" s="164">
        <v>98.165793583603175</v>
      </c>
      <c r="K204" s="163">
        <v>87.509638359067281</v>
      </c>
    </row>
    <row r="205" spans="1:11" x14ac:dyDescent="0.45">
      <c r="A205" s="146" t="s">
        <v>1521</v>
      </c>
      <c r="B205" s="145"/>
      <c r="C205" s="145"/>
      <c r="D205" s="164">
        <v>29.765995546257329</v>
      </c>
      <c r="E205" s="164">
        <v>25.158938925647519</v>
      </c>
      <c r="F205" s="164">
        <v>246.30342300304602</v>
      </c>
      <c r="G205" s="164">
        <v>192.22325945275696</v>
      </c>
      <c r="H205" s="164">
        <v>448.14749093418322</v>
      </c>
      <c r="I205" s="164">
        <v>361.07057287372317</v>
      </c>
      <c r="J205" s="164">
        <v>35.30726075204295</v>
      </c>
      <c r="K205" s="163">
        <v>31.474564683564608</v>
      </c>
    </row>
    <row r="206" spans="1:11" x14ac:dyDescent="0.45">
      <c r="A206" s="146" t="s">
        <v>1520</v>
      </c>
      <c r="B206" s="145"/>
      <c r="C206" s="145"/>
      <c r="D206" s="164">
        <v>1816.1981538985897</v>
      </c>
      <c r="E206" s="164">
        <v>1535.0945799813414</v>
      </c>
      <c r="F206" s="164">
        <v>14645.617143654496</v>
      </c>
      <c r="G206" s="164">
        <v>11429.919364196687</v>
      </c>
      <c r="H206" s="164">
        <v>24615.887576667741</v>
      </c>
      <c r="I206" s="164">
        <v>19832.918422850049</v>
      </c>
      <c r="J206" s="164">
        <v>2152.8822154244936</v>
      </c>
      <c r="K206" s="163">
        <v>1919.1811854606506</v>
      </c>
    </row>
    <row r="207" spans="1:11" x14ac:dyDescent="0.45">
      <c r="A207" s="146" t="s">
        <v>1519</v>
      </c>
      <c r="B207" s="145"/>
      <c r="C207" s="145"/>
      <c r="D207" s="164">
        <v>2.3200737870585377</v>
      </c>
      <c r="E207" s="164">
        <v>1.9609824445781316</v>
      </c>
      <c r="F207" s="164">
        <v>18.705062474599437</v>
      </c>
      <c r="G207" s="164">
        <v>14.598043475386413</v>
      </c>
      <c r="H207" s="164">
        <v>32.154862898061808</v>
      </c>
      <c r="I207" s="164">
        <v>25.907039539766867</v>
      </c>
      <c r="J207" s="164">
        <v>2.7540770918065736</v>
      </c>
      <c r="K207" s="163">
        <v>2.4551147759196761</v>
      </c>
    </row>
    <row r="208" spans="1:11" x14ac:dyDescent="0.45">
      <c r="A208" s="146" t="s">
        <v>1518</v>
      </c>
      <c r="B208" s="145"/>
      <c r="C208" s="145"/>
      <c r="D208" s="164">
        <v>2.9664513952053788</v>
      </c>
      <c r="E208" s="164">
        <v>2.5073164229260265</v>
      </c>
      <c r="F208" s="164">
        <v>22.35712629831362</v>
      </c>
      <c r="G208" s="164">
        <v>17.448233713770389</v>
      </c>
      <c r="H208" s="164">
        <v>38.645809742294858</v>
      </c>
      <c r="I208" s="164">
        <v>31.136768463730252</v>
      </c>
      <c r="J208" s="164">
        <v>3.5259482769066435</v>
      </c>
      <c r="K208" s="163">
        <v>3.1431973126371724</v>
      </c>
    </row>
    <row r="209" spans="1:11" x14ac:dyDescent="0.45">
      <c r="A209" s="146" t="s">
        <v>1531</v>
      </c>
      <c r="B209" s="145"/>
      <c r="C209" s="145"/>
      <c r="D209" s="164">
        <v>363.91636016432278</v>
      </c>
      <c r="E209" s="164">
        <v>307.59090402972777</v>
      </c>
      <c r="F209" s="164">
        <v>2484.6552765842621</v>
      </c>
      <c r="G209" s="164">
        <v>1939.1063674970189</v>
      </c>
      <c r="H209" s="164">
        <v>4273.3583233155323</v>
      </c>
      <c r="I209" s="164">
        <v>3443.0270594125482</v>
      </c>
      <c r="J209" s="164">
        <v>432.7773683962422</v>
      </c>
      <c r="K209" s="163">
        <v>385.79824616901851</v>
      </c>
    </row>
    <row r="210" spans="1:11" x14ac:dyDescent="0.45">
      <c r="A210" s="146" t="s">
        <v>1530</v>
      </c>
      <c r="B210" s="145"/>
      <c r="C210" s="145"/>
      <c r="D210" s="164">
        <v>3.1933380066966661</v>
      </c>
      <c r="E210" s="164">
        <v>2.6990864711572593</v>
      </c>
      <c r="F210" s="164">
        <v>21.807716482920519</v>
      </c>
      <c r="G210" s="164">
        <v>17.019456296865002</v>
      </c>
      <c r="H210" s="164">
        <v>37.580868483189739</v>
      </c>
      <c r="I210" s="164">
        <v>30.278749712581153</v>
      </c>
      <c r="J210" s="164">
        <v>3.7985309298830541</v>
      </c>
      <c r="K210" s="163">
        <v>3.3861904013102215</v>
      </c>
    </row>
    <row r="211" spans="1:11" x14ac:dyDescent="0.45">
      <c r="A211" s="155" t="s">
        <v>1529</v>
      </c>
      <c r="B211" s="154"/>
      <c r="C211" s="154"/>
      <c r="D211" s="170">
        <v>153721.44353172174</v>
      </c>
      <c r="E211" s="170">
        <v>129929.0797570264</v>
      </c>
      <c r="F211" s="170">
        <v>1049328.6998744309</v>
      </c>
      <c r="G211" s="170">
        <v>818930.49015681958</v>
      </c>
      <c r="H211" s="170">
        <v>1817016.8190846161</v>
      </c>
      <c r="I211" s="170">
        <v>1463962.9074358153</v>
      </c>
      <c r="J211" s="170">
        <v>182689.90323669641</v>
      </c>
      <c r="K211" s="169">
        <v>162858.43347744981</v>
      </c>
    </row>
    <row r="212" spans="1:11" x14ac:dyDescent="0.45">
      <c r="A212" s="155" t="s">
        <v>1528</v>
      </c>
      <c r="B212" s="154"/>
      <c r="C212" s="154"/>
      <c r="D212" s="170">
        <v>153995.2474411912</v>
      </c>
      <c r="E212" s="170">
        <v>130160.50543957212</v>
      </c>
      <c r="F212" s="170">
        <v>1051166.2130540488</v>
      </c>
      <c r="G212" s="170">
        <v>820364.54563346307</v>
      </c>
      <c r="H212" s="170">
        <v>1820218.0056828842</v>
      </c>
      <c r="I212" s="170">
        <v>1466542.0901876879</v>
      </c>
      <c r="J212" s="170">
        <v>183015.1984098643</v>
      </c>
      <c r="K212" s="169">
        <v>163148.41700353034</v>
      </c>
    </row>
    <row r="213" spans="1:11" x14ac:dyDescent="0.45">
      <c r="A213" s="152" t="s">
        <v>1527</v>
      </c>
      <c r="B213" s="151"/>
      <c r="C213" s="151"/>
      <c r="D213" s="168">
        <v>167587.45571098448</v>
      </c>
      <c r="E213" s="168">
        <v>141648.96841380672</v>
      </c>
      <c r="F213" s="168">
        <v>1143199.1451764377</v>
      </c>
      <c r="G213" s="168">
        <v>892190.0605770417</v>
      </c>
      <c r="H213" s="168">
        <v>1984389.9053125682</v>
      </c>
      <c r="I213" s="168">
        <v>1598814.7081275771</v>
      </c>
      <c r="J213" s="168">
        <v>199172.22099442419</v>
      </c>
      <c r="K213" s="167">
        <v>177551.55226805576</v>
      </c>
    </row>
    <row r="214" spans="1:11" x14ac:dyDescent="0.45">
      <c r="A214" s="149" t="s">
        <v>1526</v>
      </c>
      <c r="B214" s="148"/>
      <c r="C214" s="148"/>
      <c r="D214" s="166"/>
      <c r="E214" s="166"/>
      <c r="F214" s="166"/>
      <c r="G214" s="166"/>
      <c r="H214" s="166"/>
      <c r="I214" s="166"/>
      <c r="J214" s="166"/>
      <c r="K214" s="165"/>
    </row>
    <row r="215" spans="1:11" x14ac:dyDescent="0.45">
      <c r="A215" s="146" t="s">
        <v>1525</v>
      </c>
      <c r="B215" s="145"/>
      <c r="C215" s="145"/>
      <c r="D215" s="164">
        <v>1.4614183999883279</v>
      </c>
      <c r="E215" s="164">
        <v>1.2352261564033895</v>
      </c>
      <c r="F215" s="164">
        <v>10.41472393547768</v>
      </c>
      <c r="G215" s="164">
        <v>8.1279917135110491</v>
      </c>
      <c r="H215" s="164">
        <v>18.051464665865581</v>
      </c>
      <c r="I215" s="164">
        <v>14.543990137102195</v>
      </c>
      <c r="J215" s="164">
        <v>1.7364157165599272</v>
      </c>
      <c r="K215" s="163">
        <v>1.5479232210123037</v>
      </c>
    </row>
    <row r="216" spans="1:11" x14ac:dyDescent="0.45">
      <c r="A216" s="146" t="s">
        <v>1524</v>
      </c>
      <c r="B216" s="145"/>
      <c r="C216" s="145"/>
      <c r="D216" s="164">
        <v>7.030808188578491</v>
      </c>
      <c r="E216" s="164">
        <v>5.9426090264476263</v>
      </c>
      <c r="F216" s="164">
        <v>46.4342879703485</v>
      </c>
      <c r="G216" s="164">
        <v>36.238839376251583</v>
      </c>
      <c r="H216" s="164">
        <v>78.807299901456275</v>
      </c>
      <c r="I216" s="164">
        <v>63.494714346686237</v>
      </c>
      <c r="J216" s="164">
        <v>8.3574494229412259</v>
      </c>
      <c r="K216" s="163">
        <v>7.4502262947930014</v>
      </c>
    </row>
    <row r="217" spans="1:11" x14ac:dyDescent="0.45">
      <c r="A217" s="146" t="s">
        <v>1523</v>
      </c>
      <c r="B217" s="145"/>
      <c r="C217" s="145"/>
      <c r="D217" s="164">
        <v>15.820242805772658</v>
      </c>
      <c r="E217" s="164">
        <v>13.371651619070223</v>
      </c>
      <c r="F217" s="164">
        <v>104.5778650788686</v>
      </c>
      <c r="G217" s="164">
        <v>81.615991556163522</v>
      </c>
      <c r="H217" s="164">
        <v>177.92116839549658</v>
      </c>
      <c r="I217" s="164">
        <v>143.35034670172678</v>
      </c>
      <c r="J217" s="164">
        <v>18.792821770827988</v>
      </c>
      <c r="K217" s="163">
        <v>16.752811512810478</v>
      </c>
    </row>
    <row r="218" spans="1:11" x14ac:dyDescent="0.45">
      <c r="A218" s="146" t="s">
        <v>1522</v>
      </c>
      <c r="B218" s="145"/>
      <c r="C218" s="145"/>
      <c r="D218" s="164">
        <v>1.6899414803559869</v>
      </c>
      <c r="E218" s="164">
        <v>1.428379387684904</v>
      </c>
      <c r="F218" s="164">
        <v>11.155952653167768</v>
      </c>
      <c r="G218" s="164">
        <v>8.7064708851651709</v>
      </c>
      <c r="H218" s="164">
        <v>18.999187577515244</v>
      </c>
      <c r="I218" s="164">
        <v>15.307566552361326</v>
      </c>
      <c r="J218" s="164">
        <v>2.0060226050187233</v>
      </c>
      <c r="K218" s="163">
        <v>1.7882635722370857</v>
      </c>
    </row>
    <row r="219" spans="1:11" x14ac:dyDescent="0.45">
      <c r="A219" s="146" t="s">
        <v>1521</v>
      </c>
      <c r="B219" s="145"/>
      <c r="C219" s="145"/>
      <c r="D219" s="164">
        <v>1.2390540780647969</v>
      </c>
      <c r="E219" s="164">
        <v>1.047278456625528</v>
      </c>
      <c r="F219" s="164">
        <v>8.1732226264813104</v>
      </c>
      <c r="G219" s="164">
        <v>6.3786506672943473</v>
      </c>
      <c r="H219" s="164">
        <v>13.915171790726696</v>
      </c>
      <c r="I219" s="164">
        <v>11.21139614023156</v>
      </c>
      <c r="J219" s="164">
        <v>1.4708226008699814</v>
      </c>
      <c r="K219" s="163">
        <v>1.3111609369597532</v>
      </c>
    </row>
    <row r="220" spans="1:11" x14ac:dyDescent="0.45">
      <c r="A220" s="146" t="s">
        <v>1520</v>
      </c>
      <c r="B220" s="145"/>
      <c r="C220" s="145"/>
      <c r="D220" s="164">
        <v>54.646871247640384</v>
      </c>
      <c r="E220" s="164">
        <v>46.18885647753774</v>
      </c>
      <c r="F220" s="164">
        <v>357.67811163565398</v>
      </c>
      <c r="G220" s="164">
        <v>279.1437147532547</v>
      </c>
      <c r="H220" s="164">
        <v>609.19696960990291</v>
      </c>
      <c r="I220" s="164">
        <v>490.82746921434489</v>
      </c>
      <c r="J220" s="164">
        <v>64.870356959109799</v>
      </c>
      <c r="K220" s="163">
        <v>57.828508999732726</v>
      </c>
    </row>
    <row r="221" spans="1:11" x14ac:dyDescent="0.45">
      <c r="A221" s="146" t="s">
        <v>1519</v>
      </c>
      <c r="B221" s="145"/>
      <c r="C221" s="145"/>
      <c r="D221" s="164">
        <v>7.8196483258397537E-2</v>
      </c>
      <c r="E221" s="164">
        <v>6.6093557779417472E-2</v>
      </c>
      <c r="F221" s="164">
        <v>0.52205366988335067</v>
      </c>
      <c r="G221" s="164">
        <v>0.40742778484653952</v>
      </c>
      <c r="H221" s="164">
        <v>0.88928554453504771</v>
      </c>
      <c r="I221" s="164">
        <v>0.71649367118904139</v>
      </c>
      <c r="J221" s="164">
        <v>9.282456553860495E-2</v>
      </c>
      <c r="K221" s="163">
        <v>8.2748214674216905E-2</v>
      </c>
    </row>
    <row r="222" spans="1:11" x14ac:dyDescent="0.45">
      <c r="A222" s="143" t="s">
        <v>1518</v>
      </c>
      <c r="B222" s="142"/>
      <c r="C222" s="142"/>
      <c r="D222" s="162">
        <v>0.18510383506532882</v>
      </c>
      <c r="E222" s="162">
        <v>0.15645423564196209</v>
      </c>
      <c r="F222" s="162">
        <v>1.2123579246648728</v>
      </c>
      <c r="G222" s="162">
        <v>0.94616383751832722</v>
      </c>
      <c r="H222" s="162">
        <v>2.0482070900381997</v>
      </c>
      <c r="I222" s="162">
        <v>1.6502319489114958</v>
      </c>
      <c r="J222" s="162">
        <v>0.21974797717712702</v>
      </c>
      <c r="K222" s="161">
        <v>0.19589375597039943</v>
      </c>
    </row>
    <row r="224" spans="1:11" x14ac:dyDescent="0.45">
      <c r="A224" s="72" t="s">
        <v>1538</v>
      </c>
    </row>
    <row r="225" spans="1:11" ht="39.75" x14ac:dyDescent="0.45">
      <c r="A225" s="70"/>
      <c r="B225" s="160" t="s">
        <v>1481</v>
      </c>
      <c r="C225" s="160" t="s">
        <v>1480</v>
      </c>
      <c r="D225" s="160" t="s">
        <v>1479</v>
      </c>
      <c r="E225" s="160" t="s">
        <v>1478</v>
      </c>
      <c r="F225" s="160" t="s">
        <v>1477</v>
      </c>
      <c r="G225" s="160" t="s">
        <v>1476</v>
      </c>
      <c r="H225" s="160" t="s">
        <v>1475</v>
      </c>
      <c r="I225" s="160" t="s">
        <v>1474</v>
      </c>
      <c r="J225" s="160" t="s">
        <v>1473</v>
      </c>
      <c r="K225" s="159" t="s">
        <v>1472</v>
      </c>
    </row>
    <row r="226" spans="1:11" x14ac:dyDescent="0.45">
      <c r="A226" s="149" t="s">
        <v>320</v>
      </c>
      <c r="B226" s="145"/>
      <c r="C226" s="145"/>
      <c r="D226" s="145"/>
      <c r="E226" s="145"/>
      <c r="F226" s="145"/>
      <c r="G226" s="145"/>
      <c r="H226" s="145"/>
      <c r="I226" s="145"/>
      <c r="J226" s="145"/>
      <c r="K226" s="144"/>
    </row>
    <row r="227" spans="1:11" x14ac:dyDescent="0.45">
      <c r="A227" s="146" t="s">
        <v>1537</v>
      </c>
      <c r="B227" s="145">
        <v>0.78065467342840877</v>
      </c>
      <c r="C227" s="145">
        <v>0.50742553772846566</v>
      </c>
      <c r="D227" s="145">
        <v>3.7286055311360684</v>
      </c>
      <c r="E227" s="145">
        <v>3.0579492202892773</v>
      </c>
      <c r="F227" s="145">
        <v>17.151428091157612</v>
      </c>
      <c r="G227" s="145">
        <v>13.323028338001922</v>
      </c>
      <c r="H227" s="145">
        <v>29.510827061130794</v>
      </c>
      <c r="I227" s="145">
        <v>23.702135907499208</v>
      </c>
      <c r="J227" s="145">
        <v>4.3303407720729545</v>
      </c>
      <c r="K227" s="144">
        <v>3.7445608004741029</v>
      </c>
    </row>
    <row r="228" spans="1:11" x14ac:dyDescent="0.45">
      <c r="A228" s="146" t="s">
        <v>1536</v>
      </c>
      <c r="B228" s="145">
        <v>0.74472577177292543</v>
      </c>
      <c r="C228" s="145">
        <v>0.48407175165240168</v>
      </c>
      <c r="D228" s="145">
        <v>3.4000845200000622</v>
      </c>
      <c r="E228" s="145">
        <v>2.7845812541607846</v>
      </c>
      <c r="F228" s="145">
        <v>14.973255769231262</v>
      </c>
      <c r="G228" s="145">
        <v>11.62598817875384</v>
      </c>
      <c r="H228" s="145">
        <v>25.493231610055027</v>
      </c>
      <c r="I228" s="145">
        <v>20.468610015071881</v>
      </c>
      <c r="J228" s="145">
        <v>3.945067046562925</v>
      </c>
      <c r="K228" s="144">
        <v>3.4064350002598829</v>
      </c>
    </row>
    <row r="229" spans="1:11" x14ac:dyDescent="0.45">
      <c r="A229" s="146" t="s">
        <v>1535</v>
      </c>
      <c r="B229" s="145">
        <v>0.37500000917348464</v>
      </c>
      <c r="C229" s="145">
        <v>0.24375000596276508</v>
      </c>
      <c r="D229" s="145">
        <v>1.2022753948257052</v>
      </c>
      <c r="E229" s="145">
        <v>0.97124999229843612</v>
      </c>
      <c r="F229" s="145">
        <v>4.4699730773204456</v>
      </c>
      <c r="G229" s="145">
        <v>3.4584867037683091</v>
      </c>
      <c r="H229" s="145">
        <v>7.4783604949222555</v>
      </c>
      <c r="I229" s="145">
        <v>5.9894415202609128</v>
      </c>
      <c r="J229" s="145">
        <v>1.3822878125777183</v>
      </c>
      <c r="K229" s="144">
        <v>1.1766536352912595</v>
      </c>
    </row>
    <row r="230" spans="1:11" x14ac:dyDescent="0.45">
      <c r="A230" s="146" t="s">
        <v>1534</v>
      </c>
      <c r="B230" s="145">
        <v>0.30177406329371614</v>
      </c>
      <c r="C230" s="145">
        <v>0.19615314114091559</v>
      </c>
      <c r="D230" s="145">
        <v>1.7556506710245023</v>
      </c>
      <c r="E230" s="145">
        <v>1.4477519847046314</v>
      </c>
      <c r="F230" s="145">
        <v>8.766043532588002</v>
      </c>
      <c r="G230" s="145">
        <v>6.8171441039276619</v>
      </c>
      <c r="H230" s="145">
        <v>14.927769631766402</v>
      </c>
      <c r="I230" s="145">
        <v>11.998398466479976</v>
      </c>
      <c r="J230" s="145">
        <v>2.0464645463233242</v>
      </c>
      <c r="K230" s="144">
        <v>1.7795859224140238</v>
      </c>
    </row>
    <row r="231" spans="1:11" x14ac:dyDescent="0.45">
      <c r="A231" s="146" t="s">
        <v>1533</v>
      </c>
      <c r="B231" s="145">
        <v>6.7951699305724617E-2</v>
      </c>
      <c r="C231" s="145">
        <v>4.4168604548721013E-2</v>
      </c>
      <c r="D231" s="145">
        <v>0.44215845414985455</v>
      </c>
      <c r="E231" s="145">
        <v>0.36557927715771715</v>
      </c>
      <c r="F231" s="145">
        <v>1.7372391593228138</v>
      </c>
      <c r="G231" s="145">
        <v>1.3503573710578698</v>
      </c>
      <c r="H231" s="145">
        <v>3.0871014833663679</v>
      </c>
      <c r="I231" s="145">
        <v>2.4807700283309932</v>
      </c>
      <c r="J231" s="145">
        <v>0.5163146876618826</v>
      </c>
      <c r="K231" s="144">
        <v>0.45019544255459965</v>
      </c>
    </row>
    <row r="232" spans="1:11" x14ac:dyDescent="0.45">
      <c r="A232" s="146" t="s">
        <v>1532</v>
      </c>
      <c r="B232" s="48">
        <v>32.921200656154738</v>
      </c>
      <c r="C232" s="48">
        <v>21.398780426500586</v>
      </c>
      <c r="D232" s="48">
        <v>472.53460540514322</v>
      </c>
      <c r="E232" s="48">
        <v>395.45219781794714</v>
      </c>
      <c r="F232" s="48">
        <v>2849.5859871006601</v>
      </c>
      <c r="G232" s="48">
        <v>2221.2742072819692</v>
      </c>
      <c r="H232" s="48">
        <v>5461.9381382479232</v>
      </c>
      <c r="I232" s="48">
        <v>4397.5142749259176</v>
      </c>
      <c r="J232" s="48">
        <v>556.29842875948543</v>
      </c>
      <c r="K232" s="47">
        <v>491.03112888753344</v>
      </c>
    </row>
    <row r="233" spans="1:11" x14ac:dyDescent="0.45">
      <c r="A233" s="158" t="s">
        <v>335</v>
      </c>
      <c r="B233" s="157"/>
      <c r="C233" s="157"/>
      <c r="D233" s="157"/>
      <c r="E233" s="157"/>
      <c r="F233" s="157"/>
      <c r="G233" s="157"/>
      <c r="H233" s="157"/>
      <c r="I233" s="157"/>
      <c r="J233" s="157"/>
      <c r="K233" s="156"/>
    </row>
    <row r="234" spans="1:11" x14ac:dyDescent="0.45">
      <c r="A234" s="146" t="s">
        <v>1525</v>
      </c>
      <c r="B234" s="145">
        <v>23.685398046040163</v>
      </c>
      <c r="C234" s="145">
        <v>15.395508729926108</v>
      </c>
      <c r="D234" s="145">
        <v>80.735109096020693</v>
      </c>
      <c r="E234" s="145">
        <v>65.400666675816183</v>
      </c>
      <c r="F234" s="145">
        <v>246.94577839006269</v>
      </c>
      <c r="G234" s="145">
        <v>190.82805591543749</v>
      </c>
      <c r="H234" s="145">
        <v>435.48001569665308</v>
      </c>
      <c r="I234" s="145">
        <v>348.6005914741051</v>
      </c>
      <c r="J234" s="145">
        <v>92.993425097251432</v>
      </c>
      <c r="K234" s="144">
        <v>79.388050407746846</v>
      </c>
    </row>
    <row r="235" spans="1:11" x14ac:dyDescent="0.45">
      <c r="A235" s="146" t="s">
        <v>1524</v>
      </c>
      <c r="B235" s="145">
        <v>41.624082946282527</v>
      </c>
      <c r="C235" s="145">
        <v>27.055653915083646</v>
      </c>
      <c r="D235" s="145">
        <v>406.10232870916337</v>
      </c>
      <c r="E235" s="145">
        <v>338.25902659044323</v>
      </c>
      <c r="F235" s="145">
        <v>733.94140573900859</v>
      </c>
      <c r="G235" s="145">
        <v>569.45902358558658</v>
      </c>
      <c r="H235" s="145">
        <v>1227.8073439189106</v>
      </c>
      <c r="I235" s="145">
        <v>985.26085169141322</v>
      </c>
      <c r="J235" s="145">
        <v>476.57450772365428</v>
      </c>
      <c r="K235" s="144">
        <v>418.67149190803082</v>
      </c>
    </row>
    <row r="236" spans="1:11" x14ac:dyDescent="0.45">
      <c r="A236" s="146" t="s">
        <v>1523</v>
      </c>
      <c r="B236" s="145">
        <v>52.222576598629303</v>
      </c>
      <c r="C236" s="145">
        <v>33.944674789109058</v>
      </c>
      <c r="D236" s="145">
        <v>452.06398477271415</v>
      </c>
      <c r="E236" s="145">
        <v>375.83674272166803</v>
      </c>
      <c r="F236" s="145">
        <v>1602.660361579346</v>
      </c>
      <c r="G236" s="145">
        <v>1246.5871189602831</v>
      </c>
      <c r="H236" s="145">
        <v>2738.7581233450715</v>
      </c>
      <c r="I236" s="145">
        <v>2201.6146181600707</v>
      </c>
      <c r="J236" s="145">
        <v>529.84271167080078</v>
      </c>
      <c r="K236" s="144">
        <v>464.58636372958972</v>
      </c>
    </row>
    <row r="237" spans="1:11" x14ac:dyDescent="0.45">
      <c r="A237" s="146" t="s">
        <v>1522</v>
      </c>
      <c r="B237" s="145">
        <v>51.710817574782908</v>
      </c>
      <c r="C237" s="145">
        <v>33.612031423608897</v>
      </c>
      <c r="D237" s="145">
        <v>208.44652370730293</v>
      </c>
      <c r="E237" s="145">
        <v>169.98670826624354</v>
      </c>
      <c r="F237" s="145">
        <v>767.11444378958925</v>
      </c>
      <c r="G237" s="145">
        <v>594.54069197703336</v>
      </c>
      <c r="H237" s="145">
        <v>1356.984817371663</v>
      </c>
      <c r="I237" s="145">
        <v>1088.3745161419806</v>
      </c>
      <c r="J237" s="145">
        <v>241.16908433004056</v>
      </c>
      <c r="K237" s="144">
        <v>207.32487217681998</v>
      </c>
    </row>
    <row r="238" spans="1:11" x14ac:dyDescent="0.45">
      <c r="A238" s="146" t="s">
        <v>1521</v>
      </c>
      <c r="B238" s="145">
        <v>25.331222962078712</v>
      </c>
      <c r="C238" s="145">
        <v>16.465294925351166</v>
      </c>
      <c r="D238" s="145">
        <v>83.696491856609228</v>
      </c>
      <c r="E238" s="145">
        <v>67.706453516060975</v>
      </c>
      <c r="F238" s="145">
        <v>261.85397932143326</v>
      </c>
      <c r="G238" s="145">
        <v>202.33112105970866</v>
      </c>
      <c r="H238" s="145">
        <v>463.69804725257046</v>
      </c>
      <c r="I238" s="145">
        <v>371.17843448067487</v>
      </c>
      <c r="J238" s="145">
        <v>96.316109548872561</v>
      </c>
      <c r="K238" s="144">
        <v>82.106101493338301</v>
      </c>
    </row>
    <row r="239" spans="1:11" x14ac:dyDescent="0.45">
      <c r="A239" s="146" t="s">
        <v>1520</v>
      </c>
      <c r="B239" s="145">
        <v>605.47547881043738</v>
      </c>
      <c r="C239" s="145">
        <v>393.55906122678437</v>
      </c>
      <c r="D239" s="145">
        <v>8538.5943811626112</v>
      </c>
      <c r="E239" s="145">
        <v>7144.4625781250033</v>
      </c>
      <c r="F239" s="145">
        <v>15017.311812590902</v>
      </c>
      <c r="G239" s="145">
        <v>11671.520899005352</v>
      </c>
      <c r="H239" s="145">
        <v>24987.58224560415</v>
      </c>
      <c r="I239" s="145">
        <v>20074.519957658715</v>
      </c>
      <c r="J239" s="145">
        <v>10050.983216760053</v>
      </c>
      <c r="K239" s="144">
        <v>8870.1778389540887</v>
      </c>
    </row>
    <row r="240" spans="1:11" x14ac:dyDescent="0.45">
      <c r="A240" s="146" t="s">
        <v>1519</v>
      </c>
      <c r="B240" s="145">
        <v>0.31296089264008292</v>
      </c>
      <c r="C240" s="145">
        <v>0.20342458021605392</v>
      </c>
      <c r="D240" s="145">
        <v>6.4602995418362346</v>
      </c>
      <c r="E240" s="145">
        <v>5.4228942327351746</v>
      </c>
      <c r="F240" s="145">
        <v>18.897185689247934</v>
      </c>
      <c r="G240" s="145">
        <v>14.722923564907935</v>
      </c>
      <c r="H240" s="145">
        <v>32.346986112710304</v>
      </c>
      <c r="I240" s="145">
        <v>26.031919629288389</v>
      </c>
      <c r="J240" s="145">
        <v>7.621072935759889</v>
      </c>
      <c r="K240" s="144">
        <v>6.7473977685385869</v>
      </c>
    </row>
    <row r="241" spans="1:11" x14ac:dyDescent="0.45">
      <c r="A241" s="146" t="s">
        <v>1518</v>
      </c>
      <c r="B241" s="145">
        <v>0.54158600199414453</v>
      </c>
      <c r="C241" s="145">
        <v>0.35203090129619397</v>
      </c>
      <c r="D241" s="145">
        <v>4.2989743828365068</v>
      </c>
      <c r="E241" s="145">
        <v>3.5686901724237092</v>
      </c>
      <c r="F241" s="145">
        <v>22.68959992731558</v>
      </c>
      <c r="G241" s="145">
        <v>17.664341572621662</v>
      </c>
      <c r="H241" s="145">
        <v>38.978283371296818</v>
      </c>
      <c r="I241" s="145">
        <v>31.352876322581526</v>
      </c>
      <c r="J241" s="145">
        <v>5.0335115594725339</v>
      </c>
      <c r="K241" s="144">
        <v>4.4068357508168186</v>
      </c>
    </row>
    <row r="242" spans="1:11" x14ac:dyDescent="0.45">
      <c r="A242" s="146" t="s">
        <v>1531</v>
      </c>
      <c r="B242" s="145">
        <v>194.56880771569513</v>
      </c>
      <c r="C242" s="145">
        <v>126.46972501520185</v>
      </c>
      <c r="D242" s="145">
        <v>678.76151254736499</v>
      </c>
      <c r="E242" s="145">
        <v>550.38735356346558</v>
      </c>
      <c r="F242" s="145">
        <v>2604.098905765286</v>
      </c>
      <c r="G242" s="145">
        <v>2016.7447264646846</v>
      </c>
      <c r="H242" s="145">
        <v>4392.8019524965566</v>
      </c>
      <c r="I242" s="145">
        <v>3520.6654183802139</v>
      </c>
      <c r="J242" s="145">
        <v>782.33889835594641</v>
      </c>
      <c r="K242" s="144">
        <v>668.57460221241558</v>
      </c>
    </row>
    <row r="243" spans="1:11" x14ac:dyDescent="0.45">
      <c r="A243" s="146" t="s">
        <v>1530</v>
      </c>
      <c r="B243" s="145">
        <v>0.73907862098617216</v>
      </c>
      <c r="C243" s="145">
        <v>0.48040110364101185</v>
      </c>
      <c r="D243" s="145">
        <v>5.7349632362903247</v>
      </c>
      <c r="E243" s="145">
        <v>4.7587539709329345</v>
      </c>
      <c r="F243" s="145">
        <v>22.261428636359252</v>
      </c>
      <c r="G243" s="145">
        <v>17.314369196600179</v>
      </c>
      <c r="H243" s="145">
        <v>38.034580636628476</v>
      </c>
      <c r="I243" s="145">
        <v>30.57366261231633</v>
      </c>
      <c r="J243" s="145">
        <v>6.7129726960776548</v>
      </c>
      <c r="K243" s="144">
        <v>5.8747142387323743</v>
      </c>
    </row>
    <row r="244" spans="1:11" x14ac:dyDescent="0.45">
      <c r="A244" s="155" t="s">
        <v>1529</v>
      </c>
      <c r="B244" s="154">
        <v>35798.482057311194</v>
      </c>
      <c r="C244" s="154">
        <v>23269.013337252283</v>
      </c>
      <c r="D244" s="154">
        <v>215055.46827692413</v>
      </c>
      <c r="E244" s="154">
        <v>177479.77692770184</v>
      </c>
      <c r="F244" s="154">
        <v>1071304.9902485025</v>
      </c>
      <c r="G244" s="154">
        <v>833215.07889996609</v>
      </c>
      <c r="H244" s="154">
        <v>1838993.1094586877</v>
      </c>
      <c r="I244" s="154">
        <v>1478247.4961789618</v>
      </c>
      <c r="J244" s="154">
        <v>250810.87159226715</v>
      </c>
      <c r="K244" s="153">
        <v>218278.57397384066</v>
      </c>
    </row>
    <row r="245" spans="1:11" x14ac:dyDescent="0.45">
      <c r="A245" s="155" t="s">
        <v>1528</v>
      </c>
      <c r="B245" s="154">
        <v>35937.71082108932</v>
      </c>
      <c r="C245" s="154">
        <v>23359.512033708063</v>
      </c>
      <c r="D245" s="154">
        <v>215945.25350253066</v>
      </c>
      <c r="E245" s="154">
        <v>178215.15890443593</v>
      </c>
      <c r="F245" s="154">
        <v>1073227.9744192176</v>
      </c>
      <c r="G245" s="154">
        <v>834704.69052082277</v>
      </c>
      <c r="H245" s="154">
        <v>1842279.767048053</v>
      </c>
      <c r="I245" s="154">
        <v>1480882.2350750475</v>
      </c>
      <c r="J245" s="154">
        <v>251849.60389833845</v>
      </c>
      <c r="K245" s="153">
        <v>219183.91240870499</v>
      </c>
    </row>
    <row r="246" spans="1:11" x14ac:dyDescent="0.45">
      <c r="A246" s="152" t="s">
        <v>1527</v>
      </c>
      <c r="B246" s="151">
        <v>41970.630887121508</v>
      </c>
      <c r="C246" s="151">
        <v>27280.910076628985</v>
      </c>
      <c r="D246" s="151">
        <v>246521.09821073982</v>
      </c>
      <c r="E246" s="151">
        <v>203335.58088198153</v>
      </c>
      <c r="F246" s="151">
        <v>1168964.4491376984</v>
      </c>
      <c r="G246" s="151">
        <v>908937.50815186114</v>
      </c>
      <c r="H246" s="151">
        <v>2010155.2092738289</v>
      </c>
      <c r="I246" s="151">
        <v>1615562.1557023965</v>
      </c>
      <c r="J246" s="151">
        <v>287401.8008495323</v>
      </c>
      <c r="K246" s="150">
        <v>249982.61420877205</v>
      </c>
    </row>
    <row r="247" spans="1:11" x14ac:dyDescent="0.45">
      <c r="A247" s="149" t="s">
        <v>1526</v>
      </c>
      <c r="B247" s="148"/>
      <c r="C247" s="148"/>
      <c r="D247" s="148"/>
      <c r="E247" s="148"/>
      <c r="F247" s="148"/>
      <c r="G247" s="148"/>
      <c r="H247" s="148"/>
      <c r="I247" s="148"/>
      <c r="J247" s="148"/>
      <c r="K247" s="147"/>
    </row>
    <row r="248" spans="1:11" x14ac:dyDescent="0.45">
      <c r="A248" s="146" t="s">
        <v>1525</v>
      </c>
      <c r="B248" s="145">
        <v>0.30801347468476559</v>
      </c>
      <c r="C248" s="145">
        <v>0.2002087585450977</v>
      </c>
      <c r="D248" s="145">
        <v>2.1938959061651722</v>
      </c>
      <c r="E248" s="145">
        <v>1.8174196823236926</v>
      </c>
      <c r="F248" s="145">
        <v>10.603809985214717</v>
      </c>
      <c r="G248" s="145">
        <v>8.2508976458401229</v>
      </c>
      <c r="H248" s="145">
        <v>18.240550715602616</v>
      </c>
      <c r="I248" s="145">
        <v>14.666896069431269</v>
      </c>
      <c r="J248" s="145">
        <v>2.5651569906889002</v>
      </c>
      <c r="K248" s="144">
        <v>2.2410481198223469</v>
      </c>
    </row>
    <row r="249" spans="1:11" x14ac:dyDescent="0.45">
      <c r="A249" s="146" t="s">
        <v>1524</v>
      </c>
      <c r="B249" s="145">
        <v>1.4523464409943783</v>
      </c>
      <c r="C249" s="145">
        <v>0.94402518664634605</v>
      </c>
      <c r="D249" s="145">
        <v>9.7902499563803254</v>
      </c>
      <c r="E249" s="145">
        <v>8.1008980699623621</v>
      </c>
      <c r="F249" s="145">
        <v>47.325867313292271</v>
      </c>
      <c r="G249" s="145">
        <v>36.818365949165035</v>
      </c>
      <c r="H249" s="145">
        <v>79.698879244400047</v>
      </c>
      <c r="I249" s="145">
        <v>64.074240919599688</v>
      </c>
      <c r="J249" s="145">
        <v>11.438151921831542</v>
      </c>
      <c r="K249" s="144">
        <v>9.9812409442245862</v>
      </c>
    </row>
    <row r="250" spans="1:11" x14ac:dyDescent="0.45">
      <c r="A250" s="146" t="s">
        <v>1523</v>
      </c>
      <c r="B250" s="145">
        <v>3.0756704332246168</v>
      </c>
      <c r="C250" s="145">
        <v>1.9991857815960008</v>
      </c>
      <c r="D250" s="145">
        <v>21.121247540176142</v>
      </c>
      <c r="E250" s="145">
        <v>17.48358230984519</v>
      </c>
      <c r="F250" s="145">
        <v>106.46598498370926</v>
      </c>
      <c r="G250" s="145">
        <v>82.843269494309951</v>
      </c>
      <c r="H250" s="145">
        <v>179.80928830033724</v>
      </c>
      <c r="I250" s="145">
        <v>144.57762463987322</v>
      </c>
      <c r="J250" s="145">
        <v>24.682937843016045</v>
      </c>
      <c r="K250" s="144">
        <v>21.547658402769876</v>
      </c>
    </row>
    <row r="251" spans="1:11" x14ac:dyDescent="0.45">
      <c r="A251" s="146" t="s">
        <v>1522</v>
      </c>
      <c r="B251" s="145">
        <v>0.26668057570533482</v>
      </c>
      <c r="C251" s="145">
        <v>0.17334237420846768</v>
      </c>
      <c r="D251" s="145">
        <v>2.1432884279443458</v>
      </c>
      <c r="E251" s="145">
        <v>1.7795985990049168</v>
      </c>
      <c r="F251" s="145">
        <v>11.319664895475766</v>
      </c>
      <c r="G251" s="145">
        <v>8.8128838426653697</v>
      </c>
      <c r="H251" s="145">
        <v>19.162899819823242</v>
      </c>
      <c r="I251" s="145">
        <v>15.413979509861525</v>
      </c>
      <c r="J251" s="145">
        <v>2.5098766104695946</v>
      </c>
      <c r="K251" s="144">
        <v>2.1978950093810967</v>
      </c>
    </row>
    <row r="252" spans="1:11" x14ac:dyDescent="0.45">
      <c r="A252" s="146" t="s">
        <v>1521</v>
      </c>
      <c r="B252" s="145">
        <v>0.19969526200613835</v>
      </c>
      <c r="C252" s="145">
        <v>0.12980192030398993</v>
      </c>
      <c r="D252" s="145">
        <v>1.5809864823262916</v>
      </c>
      <c r="E252" s="145">
        <v>1.3123553214042321</v>
      </c>
      <c r="F252" s="145">
        <v>8.2958133289906346</v>
      </c>
      <c r="G252" s="145">
        <v>6.458334623925408</v>
      </c>
      <c r="H252" s="145">
        <v>14.03776249323602</v>
      </c>
      <c r="I252" s="145">
        <v>11.29108009686262</v>
      </c>
      <c r="J252" s="145">
        <v>1.8510597748849889</v>
      </c>
      <c r="K252" s="144">
        <v>1.6205231625975249</v>
      </c>
    </row>
    <row r="253" spans="1:11" x14ac:dyDescent="0.45">
      <c r="A253" s="146" t="s">
        <v>1520</v>
      </c>
      <c r="B253" s="145">
        <v>8.319259800141765</v>
      </c>
      <c r="C253" s="145">
        <v>5.4075188700921473</v>
      </c>
      <c r="D253" s="145">
        <v>67.05782750145454</v>
      </c>
      <c r="E253" s="145">
        <v>55.681867103213875</v>
      </c>
      <c r="F253" s="145">
        <v>362.78521279074101</v>
      </c>
      <c r="G253" s="145">
        <v>282.46333050406128</v>
      </c>
      <c r="H253" s="145">
        <v>614.30407076498989</v>
      </c>
      <c r="I253" s="145">
        <v>494.14708496515146</v>
      </c>
      <c r="J253" s="145">
        <v>78.530184232263323</v>
      </c>
      <c r="K253" s="144">
        <v>68.772429941315693</v>
      </c>
    </row>
    <row r="254" spans="1:11" x14ac:dyDescent="0.45">
      <c r="A254" s="146" t="s">
        <v>1519</v>
      </c>
      <c r="B254" s="145">
        <v>1.3347285532694405E-2</v>
      </c>
      <c r="C254" s="145">
        <v>8.6757355962513646E-3</v>
      </c>
      <c r="D254" s="145">
        <v>0.10370162326089999</v>
      </c>
      <c r="E254" s="145">
        <v>8.6051500496780869E-2</v>
      </c>
      <c r="F254" s="145">
        <v>0.53024742016869919</v>
      </c>
      <c r="G254" s="145">
        <v>0.41275372253201603</v>
      </c>
      <c r="H254" s="145">
        <v>0.89747929482039623</v>
      </c>
      <c r="I254" s="145">
        <v>0.7218196088745179</v>
      </c>
      <c r="J254" s="145">
        <v>0.12138826640452062</v>
      </c>
      <c r="K254" s="144">
        <v>0.10623289119960694</v>
      </c>
    </row>
    <row r="255" spans="1:11" x14ac:dyDescent="0.45">
      <c r="A255" s="143" t="s">
        <v>1518</v>
      </c>
      <c r="B255" s="142">
        <v>3.7067858179931489E-2</v>
      </c>
      <c r="C255" s="142">
        <v>2.4094107816955472E-2</v>
      </c>
      <c r="D255" s="142">
        <v>0.25477311255143903</v>
      </c>
      <c r="E255" s="142">
        <v>0.21089796031814098</v>
      </c>
      <c r="F255" s="142">
        <v>1.2351134709364417</v>
      </c>
      <c r="G255" s="142">
        <v>0.96095494259484715</v>
      </c>
      <c r="H255" s="142">
        <v>2.0709626363097686</v>
      </c>
      <c r="I255" s="142">
        <v>1.6650230539880158</v>
      </c>
      <c r="J255" s="142">
        <v>0.29773932852919277</v>
      </c>
      <c r="K255" s="141">
        <v>0.2599246741285462</v>
      </c>
    </row>
  </sheetData>
  <pageMargins left="0.75" right="0.75" top="1" bottom="1" header="0.5" footer="0.5"/>
  <pageSetup orientation="landscape" r:id="rId1"/>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C488"/>
  <sheetViews>
    <sheetView showGridLines="0" zoomScale="85" zoomScaleNormal="85" workbookViewId="0">
      <pane xSplit="2" topLeftCell="C1" activePane="topRight" state="frozen"/>
      <selection activeCell="G1" sqref="G1"/>
      <selection pane="topRight" activeCell="P25" sqref="P25"/>
    </sheetView>
  </sheetViews>
  <sheetFormatPr defaultColWidth="8.86328125" defaultRowHeight="12.75" x14ac:dyDescent="0.35"/>
  <cols>
    <col min="1" max="1" width="1.46484375" style="39" customWidth="1"/>
    <col min="2" max="2" width="36.796875" style="39" customWidth="1"/>
    <col min="3" max="3" width="12.46484375" style="39" customWidth="1"/>
    <col min="4" max="4" width="17" style="39" customWidth="1"/>
    <col min="5" max="5" width="11.86328125" style="39" customWidth="1"/>
    <col min="6" max="6" width="17.46484375" style="39" customWidth="1"/>
    <col min="7" max="7" width="11.86328125" style="39" customWidth="1"/>
    <col min="8" max="8" width="10.796875" style="39" customWidth="1"/>
    <col min="9" max="9" width="11.1328125" style="39" bestFit="1" customWidth="1"/>
    <col min="10" max="10" width="10.796875" style="39" customWidth="1"/>
    <col min="11" max="11" width="11.86328125" style="39" bestFit="1" customWidth="1"/>
    <col min="12" max="12" width="10.796875" style="39" customWidth="1"/>
    <col min="13" max="14" width="8.86328125" style="39"/>
    <col min="15" max="15" width="11.46484375" style="39" customWidth="1"/>
    <col min="16" max="16" width="10.1328125" style="39" customWidth="1"/>
    <col min="17" max="25" width="8.86328125" style="39"/>
    <col min="26" max="26" width="9" style="39" customWidth="1"/>
    <col min="27" max="27" width="12.19921875" style="39" customWidth="1"/>
    <col min="28" max="28" width="13.86328125" style="39" customWidth="1"/>
    <col min="29" max="16384" width="8.86328125" style="39"/>
  </cols>
  <sheetData>
    <row r="1" spans="1:12" ht="15" x14ac:dyDescent="0.4">
      <c r="A1" s="140" t="s">
        <v>1517</v>
      </c>
      <c r="G1" s="230" t="s">
        <v>1561</v>
      </c>
      <c r="H1" s="230"/>
    </row>
    <row r="2" spans="1:12" ht="13.9" x14ac:dyDescent="0.4">
      <c r="A2" s="72" t="s">
        <v>1516</v>
      </c>
    </row>
    <row r="3" spans="1:12" ht="13.15" x14ac:dyDescent="0.4">
      <c r="A3" s="41" t="s">
        <v>1515</v>
      </c>
    </row>
    <row r="4" spans="1:12" ht="38.25" x14ac:dyDescent="0.35">
      <c r="B4" s="61"/>
      <c r="C4" s="134" t="s">
        <v>1481</v>
      </c>
      <c r="D4" s="134" t="s">
        <v>1480</v>
      </c>
      <c r="E4" s="134" t="s">
        <v>1479</v>
      </c>
      <c r="F4" s="134" t="s">
        <v>1478</v>
      </c>
      <c r="G4" s="134" t="s">
        <v>1477</v>
      </c>
      <c r="H4" s="134" t="s">
        <v>1476</v>
      </c>
      <c r="I4" s="134" t="s">
        <v>1475</v>
      </c>
      <c r="J4" s="134" t="s">
        <v>1474</v>
      </c>
      <c r="K4" s="134" t="s">
        <v>1473</v>
      </c>
      <c r="L4" s="133" t="s">
        <v>1472</v>
      </c>
    </row>
    <row r="5" spans="1:12" ht="13.15" x14ac:dyDescent="0.4">
      <c r="B5" s="131" t="s">
        <v>405</v>
      </c>
      <c r="C5" s="138"/>
      <c r="D5" s="138"/>
      <c r="E5" s="138"/>
      <c r="F5" s="138"/>
      <c r="G5" s="138"/>
      <c r="H5" s="138"/>
      <c r="I5" s="138"/>
      <c r="J5" s="138"/>
      <c r="K5" s="138"/>
      <c r="L5" s="137"/>
    </row>
    <row r="6" spans="1:12" x14ac:dyDescent="0.35">
      <c r="B6" s="59" t="s">
        <v>1438</v>
      </c>
      <c r="C6" s="132">
        <v>0.68300000000000005</v>
      </c>
      <c r="D6" s="132">
        <v>0.111</v>
      </c>
      <c r="E6" s="132">
        <v>0.68300000000000005</v>
      </c>
      <c r="F6" s="132">
        <v>0.108</v>
      </c>
      <c r="G6" s="132">
        <v>0.68300000000000005</v>
      </c>
      <c r="H6" s="132">
        <v>0.105</v>
      </c>
      <c r="I6" s="132">
        <v>0.68300000000000005</v>
      </c>
      <c r="J6" s="132">
        <v>0.10299999999999999</v>
      </c>
      <c r="K6" s="132">
        <v>0.68300000000000005</v>
      </c>
      <c r="L6" s="136">
        <v>0.10299999999999999</v>
      </c>
    </row>
    <row r="7" spans="1:12" x14ac:dyDescent="0.35">
      <c r="B7" s="59" t="s">
        <v>1446</v>
      </c>
      <c r="C7" s="132">
        <v>7.0000000000000001E-3</v>
      </c>
      <c r="D7" s="132">
        <v>9.0999999999999998E-2</v>
      </c>
      <c r="E7" s="132">
        <v>7.0000000000000001E-3</v>
      </c>
      <c r="F7" s="132">
        <v>8.8999999999999996E-2</v>
      </c>
      <c r="G7" s="132">
        <v>7.0000000000000001E-3</v>
      </c>
      <c r="H7" s="132">
        <v>6.7000000000000004E-2</v>
      </c>
      <c r="I7" s="132">
        <v>7.0000000000000001E-3</v>
      </c>
      <c r="J7" s="132">
        <v>6.6000000000000003E-2</v>
      </c>
      <c r="K7" s="132">
        <v>7.0000000000000001E-3</v>
      </c>
      <c r="L7" s="136">
        <v>8.5000000000000006E-2</v>
      </c>
    </row>
    <row r="8" spans="1:12" x14ac:dyDescent="0.35">
      <c r="B8" s="59" t="s">
        <v>290</v>
      </c>
      <c r="C8" s="132">
        <v>0</v>
      </c>
      <c r="D8" s="132">
        <v>0</v>
      </c>
      <c r="E8" s="132">
        <v>0</v>
      </c>
      <c r="F8" s="132">
        <v>0</v>
      </c>
      <c r="G8" s="132">
        <v>0</v>
      </c>
      <c r="H8" s="132">
        <v>0</v>
      </c>
      <c r="I8" s="132">
        <v>0</v>
      </c>
      <c r="J8" s="132">
        <v>0</v>
      </c>
      <c r="K8" s="132">
        <v>0</v>
      </c>
      <c r="L8" s="136">
        <v>0</v>
      </c>
    </row>
    <row r="9" spans="1:12" x14ac:dyDescent="0.35">
      <c r="B9" s="59" t="s">
        <v>1498</v>
      </c>
      <c r="C9" s="132">
        <v>1.9E-2</v>
      </c>
      <c r="D9" s="132">
        <v>3.5999999999999997E-2</v>
      </c>
      <c r="E9" s="132">
        <v>1.9E-2</v>
      </c>
      <c r="F9" s="132">
        <v>3.5000000000000003E-2</v>
      </c>
      <c r="G9" s="132">
        <v>1.9E-2</v>
      </c>
      <c r="H9" s="132">
        <v>3.4000000000000002E-2</v>
      </c>
      <c r="I9" s="132">
        <v>1.9E-2</v>
      </c>
      <c r="J9" s="132">
        <v>3.3000000000000002E-2</v>
      </c>
      <c r="K9" s="132">
        <v>1.9E-2</v>
      </c>
      <c r="L9" s="136">
        <v>3.3000000000000002E-2</v>
      </c>
    </row>
    <row r="10" spans="1:12" x14ac:dyDescent="0.35">
      <c r="B10" s="59" t="s">
        <v>241</v>
      </c>
      <c r="C10" s="132">
        <v>0</v>
      </c>
      <c r="D10" s="132">
        <v>0</v>
      </c>
      <c r="E10" s="132">
        <v>0</v>
      </c>
      <c r="F10" s="132">
        <v>0</v>
      </c>
      <c r="G10" s="132">
        <v>0</v>
      </c>
      <c r="H10" s="132">
        <v>0</v>
      </c>
      <c r="I10" s="132">
        <v>0</v>
      </c>
      <c r="J10" s="132">
        <v>0</v>
      </c>
      <c r="K10" s="132">
        <v>0</v>
      </c>
      <c r="L10" s="136">
        <v>0</v>
      </c>
    </row>
    <row r="11" spans="1:12" x14ac:dyDescent="0.35">
      <c r="B11" s="59" t="s">
        <v>1462</v>
      </c>
      <c r="C11" s="132">
        <v>4.0000000000000002E-4</v>
      </c>
      <c r="D11" s="132">
        <v>8.9999999999999993E-3</v>
      </c>
      <c r="E11" s="132">
        <v>4.0000000000000002E-4</v>
      </c>
      <c r="F11" s="132">
        <v>8.9999999999999993E-3</v>
      </c>
      <c r="G11" s="132">
        <v>4.0000000000000002E-4</v>
      </c>
      <c r="H11" s="132">
        <v>8.9999999999999993E-3</v>
      </c>
      <c r="I11" s="132">
        <v>4.0000000000000002E-4</v>
      </c>
      <c r="J11" s="132">
        <v>8.9999999999999993E-3</v>
      </c>
      <c r="K11" s="132">
        <v>4.0000000000000002E-4</v>
      </c>
      <c r="L11" s="136">
        <v>8.9999999999999993E-3</v>
      </c>
    </row>
    <row r="12" spans="1:12" x14ac:dyDescent="0.35">
      <c r="B12" s="59" t="s">
        <v>1493</v>
      </c>
      <c r="C12" s="132">
        <v>0</v>
      </c>
      <c r="D12" s="132">
        <v>0</v>
      </c>
      <c r="E12" s="132">
        <v>0</v>
      </c>
      <c r="F12" s="132">
        <v>0</v>
      </c>
      <c r="G12" s="132">
        <v>0</v>
      </c>
      <c r="H12" s="132">
        <v>0</v>
      </c>
      <c r="I12" s="132">
        <v>0</v>
      </c>
      <c r="J12" s="132">
        <v>0</v>
      </c>
      <c r="K12" s="132">
        <v>0</v>
      </c>
      <c r="L12" s="136">
        <v>0</v>
      </c>
    </row>
    <row r="13" spans="1:12" x14ac:dyDescent="0.35">
      <c r="B13" s="59" t="s">
        <v>1514</v>
      </c>
      <c r="C13" s="132">
        <v>6.5000000000000002E-2</v>
      </c>
      <c r="D13" s="132">
        <v>7.6999999999999999E-2</v>
      </c>
      <c r="E13" s="132">
        <v>6.5000000000000002E-2</v>
      </c>
      <c r="F13" s="132">
        <v>7.4999999999999997E-2</v>
      </c>
      <c r="G13" s="132">
        <v>6.5000000000000002E-2</v>
      </c>
      <c r="H13" s="132">
        <v>7.2999999999999995E-2</v>
      </c>
      <c r="I13" s="132">
        <v>6.5000000000000002E-2</v>
      </c>
      <c r="J13" s="132">
        <v>7.1999999999999995E-2</v>
      </c>
      <c r="K13" s="132">
        <v>6.5000000000000002E-2</v>
      </c>
      <c r="L13" s="136">
        <v>7.1999999999999995E-2</v>
      </c>
    </row>
    <row r="14" spans="1:12" x14ac:dyDescent="0.35">
      <c r="B14" s="59" t="s">
        <v>1504</v>
      </c>
      <c r="C14" s="132">
        <v>0</v>
      </c>
      <c r="D14" s="132">
        <v>0.38100000000000001</v>
      </c>
      <c r="E14" s="132">
        <v>0</v>
      </c>
      <c r="F14" s="132">
        <v>0.39700000000000002</v>
      </c>
      <c r="G14" s="132">
        <v>0</v>
      </c>
      <c r="H14" s="132">
        <v>0.41199999999999998</v>
      </c>
      <c r="I14" s="132">
        <v>0</v>
      </c>
      <c r="J14" s="132">
        <v>0.42599999999999999</v>
      </c>
      <c r="K14" s="132">
        <v>0</v>
      </c>
      <c r="L14" s="136">
        <v>0.42299999999999999</v>
      </c>
    </row>
    <row r="15" spans="1:12" x14ac:dyDescent="0.35">
      <c r="B15" s="59" t="s">
        <v>1497</v>
      </c>
      <c r="C15" s="132">
        <v>0.18099999999999999</v>
      </c>
      <c r="D15" s="132">
        <v>0.23599999999999999</v>
      </c>
      <c r="E15" s="132">
        <v>0.18099999999999999</v>
      </c>
      <c r="F15" s="132">
        <v>0.22900000000000001</v>
      </c>
      <c r="G15" s="132">
        <v>0.18099999999999999</v>
      </c>
      <c r="H15" s="132">
        <v>0.24299999999999999</v>
      </c>
      <c r="I15" s="132">
        <v>0.18099999999999999</v>
      </c>
      <c r="J15" s="132">
        <v>0.23799999999999999</v>
      </c>
      <c r="K15" s="132">
        <v>0.18099999999999999</v>
      </c>
      <c r="L15" s="136">
        <v>0.22</v>
      </c>
    </row>
    <row r="16" spans="1:12" x14ac:dyDescent="0.35">
      <c r="B16" s="59" t="s">
        <v>1457</v>
      </c>
      <c r="C16" s="132">
        <v>5.0000000000000001E-3</v>
      </c>
      <c r="D16" s="132">
        <v>8.9999999999999993E-3</v>
      </c>
      <c r="E16" s="132">
        <v>5.0000000000000001E-3</v>
      </c>
      <c r="F16" s="132">
        <v>8.0000000000000002E-3</v>
      </c>
      <c r="G16" s="132">
        <v>5.0000000000000001E-3</v>
      </c>
      <c r="H16" s="132">
        <v>8.0000000000000002E-3</v>
      </c>
      <c r="I16" s="132">
        <v>5.0000000000000001E-3</v>
      </c>
      <c r="J16" s="132">
        <v>8.0000000000000002E-3</v>
      </c>
      <c r="K16" s="132">
        <v>5.0000000000000001E-3</v>
      </c>
      <c r="L16" s="136">
        <v>8.0000000000000002E-3</v>
      </c>
    </row>
    <row r="17" spans="2:12" x14ac:dyDescent="0.35">
      <c r="B17" s="57" t="s">
        <v>1466</v>
      </c>
      <c r="C17" s="122">
        <v>3.9599999999999969E-2</v>
      </c>
      <c r="D17" s="122">
        <v>4.9999999999999933E-2</v>
      </c>
      <c r="E17" s="122">
        <v>3.9599999999999969E-2</v>
      </c>
      <c r="F17" s="122">
        <v>4.9999999999999933E-2</v>
      </c>
      <c r="G17" s="122">
        <v>3.9599999999999969E-2</v>
      </c>
      <c r="H17" s="122">
        <v>4.9000000000000044E-2</v>
      </c>
      <c r="I17" s="122">
        <v>3.9599999999999969E-2</v>
      </c>
      <c r="J17" s="122">
        <v>4.500000000000004E-2</v>
      </c>
      <c r="K17" s="122">
        <v>3.9599999999999969E-2</v>
      </c>
      <c r="L17" s="56">
        <v>4.7000000000000042E-2</v>
      </c>
    </row>
    <row r="18" spans="2:12" ht="13.15" x14ac:dyDescent="0.4">
      <c r="B18" s="128" t="s">
        <v>1513</v>
      </c>
      <c r="C18" s="132"/>
      <c r="D18" s="132"/>
      <c r="E18" s="132"/>
      <c r="F18" s="132"/>
      <c r="G18" s="132"/>
      <c r="H18" s="132"/>
      <c r="I18" s="132"/>
      <c r="J18" s="132"/>
      <c r="K18" s="132"/>
      <c r="L18" s="136"/>
    </row>
    <row r="19" spans="2:12" x14ac:dyDescent="0.35">
      <c r="B19" s="59" t="s">
        <v>1438</v>
      </c>
      <c r="C19" s="132">
        <v>0.39500000000000002</v>
      </c>
      <c r="D19" s="132">
        <v>0.54800000000000004</v>
      </c>
      <c r="E19" s="132">
        <v>0.48399999999999999</v>
      </c>
      <c r="F19" s="132">
        <v>0.59599999999999997</v>
      </c>
      <c r="G19" s="132">
        <v>0.502</v>
      </c>
      <c r="H19" s="132">
        <v>0.60699999999999998</v>
      </c>
      <c r="I19" s="132">
        <v>0.5</v>
      </c>
      <c r="J19" s="132">
        <v>0</v>
      </c>
      <c r="K19" s="132">
        <v>0.18710919904856269</v>
      </c>
      <c r="L19" s="136">
        <v>0.18710919904856269</v>
      </c>
    </row>
    <row r="20" spans="2:12" x14ac:dyDescent="0.35">
      <c r="B20" s="59" t="s">
        <v>1495</v>
      </c>
      <c r="C20" s="132">
        <v>0</v>
      </c>
      <c r="D20" s="132">
        <v>3.5999999999999997E-2</v>
      </c>
      <c r="E20" s="132">
        <v>0</v>
      </c>
      <c r="F20" s="132">
        <v>3.2000000000000001E-2</v>
      </c>
      <c r="G20" s="132">
        <v>0</v>
      </c>
      <c r="H20" s="132">
        <v>0.03</v>
      </c>
      <c r="I20" s="132">
        <v>0</v>
      </c>
      <c r="J20" s="132">
        <v>0</v>
      </c>
      <c r="K20" s="132">
        <v>0.31347914244110364</v>
      </c>
      <c r="L20" s="136">
        <v>0.31347914244110364</v>
      </c>
    </row>
    <row r="21" spans="2:12" x14ac:dyDescent="0.35">
      <c r="B21" s="59" t="s">
        <v>1512</v>
      </c>
      <c r="C21" s="132">
        <v>0.28599999999999998</v>
      </c>
      <c r="D21" s="132">
        <v>5.2999999999999999E-2</v>
      </c>
      <c r="E21" s="132">
        <v>0.24</v>
      </c>
      <c r="F21" s="132">
        <v>4.7E-2</v>
      </c>
      <c r="G21" s="132">
        <v>0.22800000000000001</v>
      </c>
      <c r="H21" s="132">
        <v>4.3999999999999997E-2</v>
      </c>
      <c r="I21" s="132">
        <v>0</v>
      </c>
      <c r="J21" s="132">
        <v>0</v>
      </c>
      <c r="K21" s="132">
        <v>7.6391227457442282E-4</v>
      </c>
      <c r="L21" s="136">
        <v>7.6391227457442282E-4</v>
      </c>
    </row>
    <row r="22" spans="2:12" x14ac:dyDescent="0.35">
      <c r="B22" s="59" t="s">
        <v>1446</v>
      </c>
      <c r="C22" s="132">
        <v>0</v>
      </c>
      <c r="D22" s="132">
        <v>1.7999999999999999E-2</v>
      </c>
      <c r="E22" s="132">
        <v>0</v>
      </c>
      <c r="F22" s="132">
        <v>2.5000000000000001E-2</v>
      </c>
      <c r="G22" s="132">
        <v>0</v>
      </c>
      <c r="H22" s="132">
        <v>2.7E-2</v>
      </c>
      <c r="I22" s="132">
        <v>0</v>
      </c>
      <c r="J22" s="132">
        <v>0.3</v>
      </c>
      <c r="K22" s="132">
        <v>0.16794927778569879</v>
      </c>
      <c r="L22" s="136">
        <v>0.16794927778569879</v>
      </c>
    </row>
    <row r="23" spans="2:12" x14ac:dyDescent="0.35">
      <c r="B23" s="59" t="s">
        <v>1445</v>
      </c>
      <c r="C23" s="132">
        <v>0.17100000000000001</v>
      </c>
      <c r="D23" s="132">
        <v>0.17799999999999999</v>
      </c>
      <c r="E23" s="132">
        <v>0.14399999999999999</v>
      </c>
      <c r="F23" s="132">
        <v>0.158</v>
      </c>
      <c r="G23" s="132">
        <v>0.13700000000000001</v>
      </c>
      <c r="H23" s="132">
        <v>0.14899999999999999</v>
      </c>
      <c r="I23" s="132">
        <v>0</v>
      </c>
      <c r="J23" s="132">
        <v>0</v>
      </c>
      <c r="K23" s="132">
        <v>0</v>
      </c>
      <c r="L23" s="136">
        <v>0</v>
      </c>
    </row>
    <row r="24" spans="2:12" x14ac:dyDescent="0.35">
      <c r="B24" s="59" t="s">
        <v>1498</v>
      </c>
      <c r="C24" s="132">
        <v>2.9000000000000001E-2</v>
      </c>
      <c r="D24" s="132">
        <v>3.7999999999999999E-2</v>
      </c>
      <c r="E24" s="132">
        <v>2.5999999999999999E-2</v>
      </c>
      <c r="F24" s="132">
        <v>3.2000000000000001E-2</v>
      </c>
      <c r="G24" s="132">
        <v>2.8000000000000001E-2</v>
      </c>
      <c r="H24" s="132">
        <v>3.4000000000000002E-2</v>
      </c>
      <c r="I24" s="132">
        <v>0.20499999999999999</v>
      </c>
      <c r="J24" s="132">
        <v>0.28299999999999997</v>
      </c>
      <c r="K24" s="132">
        <v>1.7274919301796213E-2</v>
      </c>
      <c r="L24" s="136">
        <v>1.7274919301796213E-2</v>
      </c>
    </row>
    <row r="25" spans="2:12" x14ac:dyDescent="0.35">
      <c r="B25" s="59" t="s">
        <v>1427</v>
      </c>
      <c r="C25" s="132">
        <v>0</v>
      </c>
      <c r="D25" s="132">
        <v>0</v>
      </c>
      <c r="E25" s="132">
        <v>0</v>
      </c>
      <c r="F25" s="132">
        <v>0</v>
      </c>
      <c r="G25" s="132">
        <v>0</v>
      </c>
      <c r="H25" s="132">
        <v>0</v>
      </c>
      <c r="I25" s="132">
        <v>0</v>
      </c>
      <c r="J25" s="132">
        <v>0</v>
      </c>
      <c r="K25" s="132">
        <v>0</v>
      </c>
      <c r="L25" s="136">
        <v>0</v>
      </c>
    </row>
    <row r="26" spans="2:12" x14ac:dyDescent="0.35">
      <c r="B26" s="59" t="s">
        <v>1493</v>
      </c>
      <c r="C26" s="132">
        <v>0</v>
      </c>
      <c r="D26" s="132">
        <v>0</v>
      </c>
      <c r="E26" s="132">
        <v>0</v>
      </c>
      <c r="F26" s="132">
        <v>0</v>
      </c>
      <c r="G26" s="132">
        <v>0</v>
      </c>
      <c r="H26" s="132">
        <v>0</v>
      </c>
      <c r="I26" s="132">
        <v>0</v>
      </c>
      <c r="J26" s="132">
        <v>0</v>
      </c>
      <c r="K26" s="132">
        <v>2.5916749175188158E-2</v>
      </c>
      <c r="L26" s="136">
        <v>2.5916749175188158E-2</v>
      </c>
    </row>
    <row r="27" spans="2:12" x14ac:dyDescent="0.35">
      <c r="B27" s="59" t="s">
        <v>1497</v>
      </c>
      <c r="C27" s="132">
        <v>9.2999999999999999E-2</v>
      </c>
      <c r="D27" s="132">
        <v>0.111</v>
      </c>
      <c r="E27" s="132">
        <v>8.4000000000000005E-2</v>
      </c>
      <c r="F27" s="132">
        <v>9.4E-2</v>
      </c>
      <c r="G27" s="132">
        <v>8.4000000000000005E-2</v>
      </c>
      <c r="H27" s="132">
        <v>9.4E-2</v>
      </c>
      <c r="I27" s="132">
        <v>0.29499999999999998</v>
      </c>
      <c r="J27" s="132">
        <v>0.40699999999999997</v>
      </c>
      <c r="K27" s="132">
        <v>0.16617678413030071</v>
      </c>
      <c r="L27" s="136">
        <v>0.16617678413030071</v>
      </c>
    </row>
    <row r="28" spans="2:12" x14ac:dyDescent="0.35">
      <c r="B28" s="59" t="s">
        <v>1457</v>
      </c>
      <c r="C28" s="132">
        <v>2.5999999999999999E-2</v>
      </c>
      <c r="D28" s="132">
        <v>1.7999999999999999E-2</v>
      </c>
      <c r="E28" s="132">
        <v>2.1999999999999999E-2</v>
      </c>
      <c r="F28" s="132">
        <v>1.6E-2</v>
      </c>
      <c r="G28" s="132">
        <v>2.1000000000000001E-2</v>
      </c>
      <c r="H28" s="132">
        <v>1.4999999999999999E-2</v>
      </c>
      <c r="I28" s="132">
        <v>0</v>
      </c>
      <c r="J28" s="132">
        <v>0</v>
      </c>
      <c r="K28" s="132">
        <v>6.4615988571509395E-2</v>
      </c>
      <c r="L28" s="136">
        <v>6.4615988571509395E-2</v>
      </c>
    </row>
    <row r="29" spans="2:12" x14ac:dyDescent="0.35">
      <c r="B29" s="59" t="s">
        <v>1504</v>
      </c>
      <c r="C29" s="132">
        <v>0</v>
      </c>
      <c r="D29" s="132">
        <v>0</v>
      </c>
      <c r="E29" s="132">
        <v>0</v>
      </c>
      <c r="F29" s="132">
        <v>0</v>
      </c>
      <c r="G29" s="132">
        <v>0</v>
      </c>
      <c r="H29" s="132">
        <v>0</v>
      </c>
      <c r="I29" s="132">
        <v>0</v>
      </c>
      <c r="J29" s="132">
        <v>0</v>
      </c>
      <c r="K29" s="132">
        <v>0</v>
      </c>
      <c r="L29" s="136">
        <v>0</v>
      </c>
    </row>
    <row r="30" spans="2:12" x14ac:dyDescent="0.35">
      <c r="B30" s="59" t="s">
        <v>1511</v>
      </c>
      <c r="C30" s="132">
        <v>0</v>
      </c>
      <c r="D30" s="132">
        <v>0</v>
      </c>
      <c r="E30" s="132">
        <v>0</v>
      </c>
      <c r="F30" s="132">
        <v>0</v>
      </c>
      <c r="G30" s="132">
        <v>0</v>
      </c>
      <c r="H30" s="132">
        <v>0</v>
      </c>
      <c r="I30" s="132">
        <v>0</v>
      </c>
      <c r="J30" s="132">
        <v>0</v>
      </c>
      <c r="K30" s="132">
        <v>6.1984188925405387E-3</v>
      </c>
      <c r="L30" s="136">
        <v>6.1984188925405387E-3</v>
      </c>
    </row>
    <row r="31" spans="2:12" x14ac:dyDescent="0.35">
      <c r="B31" s="59" t="s">
        <v>1510</v>
      </c>
      <c r="C31" s="132">
        <v>0</v>
      </c>
      <c r="D31" s="132">
        <v>0</v>
      </c>
      <c r="E31" s="132">
        <v>0</v>
      </c>
      <c r="F31" s="132">
        <v>0</v>
      </c>
      <c r="G31" s="132">
        <v>0</v>
      </c>
      <c r="H31" s="132">
        <v>0</v>
      </c>
      <c r="I31" s="132">
        <v>0</v>
      </c>
      <c r="J31" s="132">
        <v>0</v>
      </c>
      <c r="K31" s="132">
        <v>2.1400740290504861E-2</v>
      </c>
      <c r="L31" s="136">
        <v>2.1400740290504861E-2</v>
      </c>
    </row>
    <row r="32" spans="2:12" x14ac:dyDescent="0.35">
      <c r="B32" s="59" t="s">
        <v>1509</v>
      </c>
      <c r="C32" s="132">
        <v>0</v>
      </c>
      <c r="D32" s="132">
        <v>0</v>
      </c>
      <c r="E32" s="132">
        <v>0</v>
      </c>
      <c r="F32" s="132">
        <v>0</v>
      </c>
      <c r="G32" s="132">
        <v>0</v>
      </c>
      <c r="H32" s="132">
        <v>0</v>
      </c>
      <c r="I32" s="132">
        <v>0</v>
      </c>
      <c r="J32" s="132">
        <v>0</v>
      </c>
      <c r="K32" s="132">
        <v>2.565086908263094E-2</v>
      </c>
      <c r="L32" s="136">
        <v>2.565086908263094E-2</v>
      </c>
    </row>
    <row r="33" spans="2:12" x14ac:dyDescent="0.35">
      <c r="B33" s="59" t="s">
        <v>1508</v>
      </c>
      <c r="C33" s="132">
        <v>0</v>
      </c>
      <c r="D33" s="132">
        <v>0</v>
      </c>
      <c r="E33" s="132">
        <v>0</v>
      </c>
      <c r="F33" s="132">
        <v>0</v>
      </c>
      <c r="G33" s="132">
        <v>0</v>
      </c>
      <c r="H33" s="132">
        <v>0</v>
      </c>
      <c r="I33" s="132">
        <v>0</v>
      </c>
      <c r="J33" s="132">
        <v>0</v>
      </c>
      <c r="K33" s="132">
        <v>0</v>
      </c>
      <c r="L33" s="136">
        <v>0</v>
      </c>
    </row>
    <row r="34" spans="2:12" x14ac:dyDescent="0.35">
      <c r="B34" s="59" t="s">
        <v>1507</v>
      </c>
      <c r="C34" s="132">
        <v>2.0000000000000002E-5</v>
      </c>
      <c r="D34" s="132">
        <v>3.0000000000000001E-5</v>
      </c>
      <c r="E34" s="132">
        <v>2.0000000000000002E-5</v>
      </c>
      <c r="F34" s="132">
        <v>2.0000000000000002E-5</v>
      </c>
      <c r="G34" s="132">
        <v>2.0000000000000002E-5</v>
      </c>
      <c r="H34" s="132">
        <v>2.0000000000000002E-5</v>
      </c>
      <c r="I34" s="132">
        <v>0</v>
      </c>
      <c r="J34" s="132">
        <v>0</v>
      </c>
      <c r="K34" s="132">
        <v>1.7668053030533081E-4</v>
      </c>
      <c r="L34" s="136">
        <v>1.7668053030533081E-4</v>
      </c>
    </row>
    <row r="35" spans="2:12" x14ac:dyDescent="0.35">
      <c r="B35" s="59" t="s">
        <v>1506</v>
      </c>
      <c r="C35" s="132">
        <v>0</v>
      </c>
      <c r="D35" s="132">
        <v>0</v>
      </c>
      <c r="E35" s="132">
        <v>0</v>
      </c>
      <c r="F35" s="132">
        <v>0</v>
      </c>
      <c r="G35" s="132">
        <v>0</v>
      </c>
      <c r="H35" s="132">
        <v>0</v>
      </c>
      <c r="I35" s="132">
        <v>0</v>
      </c>
      <c r="J35" s="132">
        <v>0</v>
      </c>
      <c r="K35" s="132">
        <v>2.7278836091788705E-3</v>
      </c>
      <c r="L35" s="136">
        <v>2.7278836091788705E-3</v>
      </c>
    </row>
    <row r="36" spans="2:12" x14ac:dyDescent="0.35">
      <c r="B36" s="59" t="s">
        <v>1460</v>
      </c>
      <c r="C36" s="132">
        <v>0</v>
      </c>
      <c r="D36" s="132">
        <v>0</v>
      </c>
      <c r="E36" s="132">
        <v>0</v>
      </c>
      <c r="F36" s="132">
        <v>0</v>
      </c>
      <c r="G36" s="132">
        <v>0</v>
      </c>
      <c r="H36" s="132">
        <v>0</v>
      </c>
      <c r="I36" s="132">
        <v>0</v>
      </c>
      <c r="J36" s="132">
        <v>0</v>
      </c>
      <c r="K36" s="132">
        <v>1.912608023438235E-5</v>
      </c>
      <c r="L36" s="136">
        <v>1.912608023438235E-5</v>
      </c>
    </row>
    <row r="37" spans="2:12" x14ac:dyDescent="0.35">
      <c r="B37" s="59" t="s">
        <v>1449</v>
      </c>
      <c r="C37" s="132">
        <v>0</v>
      </c>
      <c r="D37" s="132">
        <v>0</v>
      </c>
      <c r="E37" s="132">
        <v>0</v>
      </c>
      <c r="F37" s="132">
        <v>0</v>
      </c>
      <c r="G37" s="132">
        <v>0</v>
      </c>
      <c r="H37" s="132">
        <v>0</v>
      </c>
      <c r="I37" s="132">
        <v>0</v>
      </c>
      <c r="J37" s="132">
        <v>0</v>
      </c>
      <c r="K37" s="132">
        <v>5.4030878587086771E-4</v>
      </c>
      <c r="L37" s="136">
        <v>5.4030878587086771E-4</v>
      </c>
    </row>
    <row r="38" spans="2:12" x14ac:dyDescent="0.35">
      <c r="B38" s="59" t="s">
        <v>1466</v>
      </c>
      <c r="C38" s="132">
        <v>-1.9999999999908979E-5</v>
      </c>
      <c r="D38" s="132">
        <v>-3.0000000000196536E-5</v>
      </c>
      <c r="E38" s="132">
        <v>-1.9999999999908979E-5</v>
      </c>
      <c r="F38" s="132">
        <v>-1.9999999999908979E-5</v>
      </c>
      <c r="G38" s="132">
        <v>-1.9999999999908979E-5</v>
      </c>
      <c r="H38" s="132">
        <v>-1.9999999999908979E-5</v>
      </c>
      <c r="I38" s="132">
        <v>0</v>
      </c>
      <c r="J38" s="132">
        <v>1.0000000000000009E-2</v>
      </c>
      <c r="K38" s="132">
        <v>0</v>
      </c>
      <c r="L38" s="136">
        <v>0</v>
      </c>
    </row>
    <row r="39" spans="2:12" ht="13.15" x14ac:dyDescent="0.4">
      <c r="B39" s="131" t="s">
        <v>1505</v>
      </c>
      <c r="C39" s="138"/>
      <c r="D39" s="138"/>
      <c r="E39" s="138"/>
      <c r="F39" s="138"/>
      <c r="G39" s="138"/>
      <c r="H39" s="138"/>
      <c r="I39" s="138"/>
      <c r="J39" s="138"/>
      <c r="K39" s="138"/>
      <c r="L39" s="137"/>
    </row>
    <row r="40" spans="2:12" x14ac:dyDescent="0.35">
      <c r="B40" s="59" t="s">
        <v>1438</v>
      </c>
      <c r="C40" s="132">
        <v>0.3</v>
      </c>
      <c r="D40" s="132">
        <v>0.3</v>
      </c>
      <c r="E40" s="132">
        <v>0.60499999999999998</v>
      </c>
      <c r="F40" s="132">
        <v>0.60499999999999998</v>
      </c>
      <c r="G40" s="132">
        <v>0.60499999999999998</v>
      </c>
      <c r="H40" s="132">
        <v>0.60499999999999998</v>
      </c>
      <c r="I40" s="132">
        <v>0.60499999999999998</v>
      </c>
      <c r="J40" s="132">
        <v>0.60499999999999998</v>
      </c>
      <c r="K40" s="132">
        <v>0.60499999999999998</v>
      </c>
      <c r="L40" s="136">
        <v>0.60499999999999998</v>
      </c>
    </row>
    <row r="41" spans="2:12" x14ac:dyDescent="0.35">
      <c r="B41" s="59" t="s">
        <v>1447</v>
      </c>
      <c r="C41" s="132">
        <v>0</v>
      </c>
      <c r="D41" s="132">
        <v>0</v>
      </c>
      <c r="E41" s="132">
        <v>0.189</v>
      </c>
      <c r="F41" s="132">
        <v>0.189</v>
      </c>
      <c r="G41" s="132">
        <v>0.189</v>
      </c>
      <c r="H41" s="132">
        <v>0.189</v>
      </c>
      <c r="I41" s="132">
        <v>0.189</v>
      </c>
      <c r="J41" s="132">
        <v>0.189</v>
      </c>
      <c r="K41" s="132">
        <v>0.189</v>
      </c>
      <c r="L41" s="136">
        <v>0.189</v>
      </c>
    </row>
    <row r="42" spans="2:12" x14ac:dyDescent="0.35">
      <c r="B42" s="59" t="s">
        <v>1502</v>
      </c>
      <c r="C42" s="132">
        <v>0.3</v>
      </c>
      <c r="D42" s="132">
        <v>0</v>
      </c>
      <c r="E42" s="132">
        <v>0</v>
      </c>
      <c r="F42" s="132">
        <v>0</v>
      </c>
      <c r="G42" s="132">
        <v>0</v>
      </c>
      <c r="H42" s="132">
        <v>0</v>
      </c>
      <c r="I42" s="132">
        <v>0</v>
      </c>
      <c r="J42" s="132">
        <v>0</v>
      </c>
      <c r="K42" s="132">
        <v>0</v>
      </c>
      <c r="L42" s="136">
        <v>0</v>
      </c>
    </row>
    <row r="43" spans="2:12" x14ac:dyDescent="0.35">
      <c r="B43" s="59" t="s">
        <v>1427</v>
      </c>
      <c r="C43" s="132">
        <v>0</v>
      </c>
      <c r="D43" s="132">
        <v>0</v>
      </c>
      <c r="E43" s="132">
        <v>0</v>
      </c>
      <c r="F43" s="132">
        <v>0</v>
      </c>
      <c r="G43" s="132">
        <v>0</v>
      </c>
      <c r="H43" s="132">
        <v>0</v>
      </c>
      <c r="I43" s="132">
        <v>0</v>
      </c>
      <c r="J43" s="132">
        <v>0</v>
      </c>
      <c r="K43" s="132">
        <v>0</v>
      </c>
      <c r="L43" s="136">
        <v>0</v>
      </c>
    </row>
    <row r="44" spans="2:12" x14ac:dyDescent="0.35">
      <c r="B44" s="59" t="s">
        <v>1446</v>
      </c>
      <c r="C44" s="132">
        <v>0.3</v>
      </c>
      <c r="D44" s="132">
        <v>0.3</v>
      </c>
      <c r="E44" s="132">
        <v>0.2</v>
      </c>
      <c r="F44" s="132">
        <v>0.2</v>
      </c>
      <c r="G44" s="132">
        <v>0.2</v>
      </c>
      <c r="H44" s="132">
        <v>0.2</v>
      </c>
      <c r="I44" s="132">
        <v>0.2</v>
      </c>
      <c r="J44" s="132">
        <v>0.2</v>
      </c>
      <c r="K44" s="132">
        <v>0.2</v>
      </c>
      <c r="L44" s="136">
        <v>0.2</v>
      </c>
    </row>
    <row r="45" spans="2:12" x14ac:dyDescent="0.35">
      <c r="B45" s="59" t="s">
        <v>1445</v>
      </c>
      <c r="C45" s="132">
        <v>0</v>
      </c>
      <c r="D45" s="132">
        <v>0.3</v>
      </c>
      <c r="E45" s="132">
        <v>0</v>
      </c>
      <c r="F45" s="132">
        <v>0</v>
      </c>
      <c r="G45" s="132">
        <v>0</v>
      </c>
      <c r="H45" s="132">
        <v>0</v>
      </c>
      <c r="I45" s="132">
        <v>0</v>
      </c>
      <c r="J45" s="132">
        <v>0</v>
      </c>
      <c r="K45" s="132">
        <v>0</v>
      </c>
      <c r="L45" s="136">
        <v>0</v>
      </c>
    </row>
    <row r="46" spans="2:12" x14ac:dyDescent="0.35">
      <c r="B46" s="59" t="s">
        <v>1504</v>
      </c>
      <c r="C46" s="132">
        <v>0</v>
      </c>
      <c r="D46" s="132">
        <v>0</v>
      </c>
      <c r="E46" s="132">
        <v>0</v>
      </c>
      <c r="F46" s="132">
        <v>0</v>
      </c>
      <c r="G46" s="132">
        <v>0</v>
      </c>
      <c r="H46" s="132">
        <v>0</v>
      </c>
      <c r="I46" s="132">
        <v>0</v>
      </c>
      <c r="J46" s="132">
        <v>0</v>
      </c>
      <c r="K46" s="132">
        <v>0</v>
      </c>
      <c r="L46" s="136">
        <v>0</v>
      </c>
    </row>
    <row r="47" spans="2:12" x14ac:dyDescent="0.35">
      <c r="B47" s="59" t="s">
        <v>1497</v>
      </c>
      <c r="C47" s="132">
        <v>0.05</v>
      </c>
      <c r="D47" s="132">
        <v>0.05</v>
      </c>
      <c r="E47" s="132">
        <v>2E-3</v>
      </c>
      <c r="F47" s="132">
        <v>2E-3</v>
      </c>
      <c r="G47" s="132">
        <v>2E-3</v>
      </c>
      <c r="H47" s="132">
        <v>2E-3</v>
      </c>
      <c r="I47" s="132">
        <v>2E-3</v>
      </c>
      <c r="J47" s="132">
        <v>2E-3</v>
      </c>
      <c r="K47" s="132">
        <v>2E-3</v>
      </c>
      <c r="L47" s="136">
        <v>2E-3</v>
      </c>
    </row>
    <row r="48" spans="2:12" x14ac:dyDescent="0.35">
      <c r="B48" s="59" t="s">
        <v>1457</v>
      </c>
      <c r="C48" s="132">
        <v>0.05</v>
      </c>
      <c r="D48" s="132">
        <v>0.05</v>
      </c>
      <c r="E48" s="132">
        <v>0</v>
      </c>
      <c r="F48" s="132">
        <v>0</v>
      </c>
      <c r="G48" s="132">
        <v>0</v>
      </c>
      <c r="H48" s="132">
        <v>0</v>
      </c>
      <c r="I48" s="132">
        <v>0</v>
      </c>
      <c r="J48" s="132">
        <v>0</v>
      </c>
      <c r="K48" s="132">
        <v>0</v>
      </c>
      <c r="L48" s="136">
        <v>0</v>
      </c>
    </row>
    <row r="49" spans="2:12" x14ac:dyDescent="0.35">
      <c r="B49" s="57" t="s">
        <v>1466</v>
      </c>
      <c r="C49" s="122">
        <v>0</v>
      </c>
      <c r="D49" s="122">
        <v>0</v>
      </c>
      <c r="E49" s="122">
        <v>4.0000000000000036E-3</v>
      </c>
      <c r="F49" s="122">
        <v>4.0000000000000036E-3</v>
      </c>
      <c r="G49" s="122">
        <v>4.0000000000000036E-3</v>
      </c>
      <c r="H49" s="122">
        <v>4.0000000000000036E-3</v>
      </c>
      <c r="I49" s="122">
        <v>4.0000000000000036E-3</v>
      </c>
      <c r="J49" s="122">
        <v>4.0000000000000036E-3</v>
      </c>
      <c r="K49" s="122">
        <v>4.0000000000000036E-3</v>
      </c>
      <c r="L49" s="56">
        <v>4.0000000000000036E-3</v>
      </c>
    </row>
    <row r="50" spans="2:12" ht="13.15" x14ac:dyDescent="0.4">
      <c r="B50" s="128" t="s">
        <v>1503</v>
      </c>
      <c r="C50" s="132"/>
      <c r="D50" s="132"/>
      <c r="E50" s="132"/>
      <c r="F50" s="132"/>
      <c r="G50" s="132"/>
      <c r="H50" s="132"/>
      <c r="I50" s="132"/>
      <c r="J50" s="132"/>
      <c r="K50" s="132"/>
      <c r="L50" s="136"/>
    </row>
    <row r="51" spans="2:12" x14ac:dyDescent="0.35">
      <c r="B51" s="59" t="s">
        <v>1438</v>
      </c>
      <c r="C51" s="132">
        <v>0.84099999999999997</v>
      </c>
      <c r="D51" s="132">
        <v>0.36899999999999999</v>
      </c>
      <c r="E51" s="132">
        <v>0.84099999999999997</v>
      </c>
      <c r="F51" s="132">
        <v>0.35599999999999998</v>
      </c>
      <c r="G51" s="132">
        <v>0.84099999999999997</v>
      </c>
      <c r="H51" s="132">
        <v>0.34799999999999998</v>
      </c>
      <c r="I51" s="132">
        <v>0.84099999999999997</v>
      </c>
      <c r="J51" s="132">
        <v>0.34300000000000003</v>
      </c>
      <c r="K51" s="132">
        <v>0.84099999999999997</v>
      </c>
      <c r="L51" s="136">
        <v>0.34399999999999997</v>
      </c>
    </row>
    <row r="52" spans="2:12" x14ac:dyDescent="0.35">
      <c r="B52" s="59" t="s">
        <v>1502</v>
      </c>
      <c r="C52" s="132">
        <v>6.9000000000000006E-2</v>
      </c>
      <c r="D52" s="132">
        <v>8.6999999999999994E-2</v>
      </c>
      <c r="E52" s="132">
        <v>6.9000000000000006E-2</v>
      </c>
      <c r="F52" s="132">
        <v>8.6999999999999994E-2</v>
      </c>
      <c r="G52" s="132">
        <v>6.9000000000000006E-2</v>
      </c>
      <c r="H52" s="132">
        <v>8.8999999999999996E-2</v>
      </c>
      <c r="I52" s="132">
        <v>6.9000000000000006E-2</v>
      </c>
      <c r="J52" s="132">
        <v>9.1999999999999998E-2</v>
      </c>
      <c r="K52" s="132">
        <v>6.9000000000000006E-2</v>
      </c>
      <c r="L52" s="136">
        <v>9.0999999999999998E-2</v>
      </c>
    </row>
    <row r="53" spans="2:12" x14ac:dyDescent="0.35">
      <c r="B53" s="59" t="s">
        <v>1446</v>
      </c>
      <c r="C53" s="132">
        <v>0</v>
      </c>
      <c r="D53" s="132">
        <v>2.3E-2</v>
      </c>
      <c r="E53" s="132">
        <v>0</v>
      </c>
      <c r="F53" s="132">
        <v>2.1999999999999999E-2</v>
      </c>
      <c r="G53" s="132">
        <v>0</v>
      </c>
      <c r="H53" s="132">
        <v>2.1000000000000001E-2</v>
      </c>
      <c r="I53" s="132">
        <v>0</v>
      </c>
      <c r="J53" s="132">
        <v>0.02</v>
      </c>
      <c r="K53" s="132">
        <v>0</v>
      </c>
      <c r="L53" s="136">
        <v>0.02</v>
      </c>
    </row>
    <row r="54" spans="2:12" x14ac:dyDescent="0.35">
      <c r="B54" s="59" t="s">
        <v>1445</v>
      </c>
      <c r="C54" s="132">
        <v>0.01</v>
      </c>
      <c r="D54" s="132">
        <v>0.31</v>
      </c>
      <c r="E54" s="132">
        <v>0.01</v>
      </c>
      <c r="F54" s="132">
        <v>0.33200000000000002</v>
      </c>
      <c r="G54" s="132">
        <v>0.01</v>
      </c>
      <c r="H54" s="132">
        <v>0.34200000000000003</v>
      </c>
      <c r="I54" s="132">
        <v>0.01</v>
      </c>
      <c r="J54" s="132">
        <v>0.34699999999999998</v>
      </c>
      <c r="K54" s="132">
        <v>0.01</v>
      </c>
      <c r="L54" s="136">
        <v>0.34599999999999997</v>
      </c>
    </row>
    <row r="55" spans="2:12" x14ac:dyDescent="0.35">
      <c r="B55" s="59" t="s">
        <v>1498</v>
      </c>
      <c r="C55" s="132">
        <v>1.2E-2</v>
      </c>
      <c r="D55" s="132">
        <v>2.1000000000000001E-2</v>
      </c>
      <c r="E55" s="132">
        <v>1.2E-2</v>
      </c>
      <c r="F55" s="132">
        <v>0.02</v>
      </c>
      <c r="G55" s="132">
        <v>1.2E-2</v>
      </c>
      <c r="H55" s="132">
        <v>1.9E-2</v>
      </c>
      <c r="I55" s="132">
        <v>1.2E-2</v>
      </c>
      <c r="J55" s="132">
        <v>1.7999999999999999E-2</v>
      </c>
      <c r="K55" s="132">
        <v>1.2E-2</v>
      </c>
      <c r="L55" s="136">
        <v>1.7999999999999999E-2</v>
      </c>
    </row>
    <row r="56" spans="2:12" x14ac:dyDescent="0.35">
      <c r="B56" s="59" t="s">
        <v>241</v>
      </c>
      <c r="C56" s="132">
        <v>0</v>
      </c>
      <c r="D56" s="132">
        <v>0</v>
      </c>
      <c r="E56" s="132">
        <v>0</v>
      </c>
      <c r="F56" s="132">
        <v>0</v>
      </c>
      <c r="G56" s="132">
        <v>0</v>
      </c>
      <c r="H56" s="132">
        <v>0</v>
      </c>
      <c r="I56" s="132">
        <v>0</v>
      </c>
      <c r="J56" s="132">
        <v>0</v>
      </c>
      <c r="K56" s="132">
        <v>0</v>
      </c>
      <c r="L56" s="136">
        <v>0</v>
      </c>
    </row>
    <row r="57" spans="2:12" x14ac:dyDescent="0.35">
      <c r="B57" s="59" t="s">
        <v>1427</v>
      </c>
      <c r="C57" s="132">
        <v>0</v>
      </c>
      <c r="D57" s="132">
        <v>0</v>
      </c>
      <c r="E57" s="132">
        <v>0</v>
      </c>
      <c r="F57" s="132">
        <v>0</v>
      </c>
      <c r="G57" s="132">
        <v>0</v>
      </c>
      <c r="H57" s="132">
        <v>0</v>
      </c>
      <c r="I57" s="132">
        <v>0</v>
      </c>
      <c r="J57" s="132">
        <v>0</v>
      </c>
      <c r="K57" s="132">
        <v>0</v>
      </c>
      <c r="L57" s="136">
        <v>0</v>
      </c>
    </row>
    <row r="58" spans="2:12" x14ac:dyDescent="0.35">
      <c r="B58" s="59" t="s">
        <v>1493</v>
      </c>
      <c r="C58" s="132">
        <v>0</v>
      </c>
      <c r="D58" s="132">
        <v>7.8E-2</v>
      </c>
      <c r="E58" s="132">
        <v>0</v>
      </c>
      <c r="F58" s="132">
        <v>7.8E-2</v>
      </c>
      <c r="G58" s="132">
        <v>0</v>
      </c>
      <c r="H58" s="132">
        <v>0.08</v>
      </c>
      <c r="I58" s="132">
        <v>0</v>
      </c>
      <c r="J58" s="132">
        <v>8.3000000000000004E-2</v>
      </c>
      <c r="K58" s="132">
        <v>0</v>
      </c>
      <c r="L58" s="136">
        <v>8.2000000000000003E-2</v>
      </c>
    </row>
    <row r="59" spans="2:12" x14ac:dyDescent="0.35">
      <c r="B59" s="59" t="s">
        <v>1497</v>
      </c>
      <c r="C59" s="132">
        <v>1.7999999999999999E-2</v>
      </c>
      <c r="D59" s="132">
        <v>3.1E-2</v>
      </c>
      <c r="E59" s="132">
        <v>1.7999999999999999E-2</v>
      </c>
      <c r="F59" s="132">
        <v>2.9000000000000001E-2</v>
      </c>
      <c r="G59" s="132">
        <v>1.7999999999999999E-2</v>
      </c>
      <c r="H59" s="132">
        <v>2.7E-2</v>
      </c>
      <c r="I59" s="132">
        <v>1.7999999999999999E-2</v>
      </c>
      <c r="J59" s="132">
        <v>2.5999999999999999E-2</v>
      </c>
      <c r="K59" s="132">
        <v>1.7999999999999999E-2</v>
      </c>
      <c r="L59" s="136">
        <v>2.5999999999999999E-2</v>
      </c>
    </row>
    <row r="60" spans="2:12" x14ac:dyDescent="0.35">
      <c r="B60" s="59" t="s">
        <v>1457</v>
      </c>
      <c r="C60" s="132">
        <v>4.3999999999999997E-2</v>
      </c>
      <c r="D60" s="132">
        <v>7.3999999999999996E-2</v>
      </c>
      <c r="E60" s="132">
        <v>4.3999999999999997E-2</v>
      </c>
      <c r="F60" s="132">
        <v>6.9000000000000006E-2</v>
      </c>
      <c r="G60" s="132">
        <v>4.3999999999999997E-2</v>
      </c>
      <c r="H60" s="132">
        <v>6.6000000000000003E-2</v>
      </c>
      <c r="I60" s="132">
        <v>4.3999999999999997E-2</v>
      </c>
      <c r="J60" s="132">
        <v>6.4000000000000001E-2</v>
      </c>
      <c r="K60" s="132">
        <v>4.3999999999999997E-2</v>
      </c>
      <c r="L60" s="136">
        <v>6.4000000000000001E-2</v>
      </c>
    </row>
    <row r="61" spans="2:12" x14ac:dyDescent="0.35">
      <c r="B61" s="59" t="s">
        <v>1466</v>
      </c>
      <c r="C61" s="132">
        <v>6.0000000000000053E-3</v>
      </c>
      <c r="D61" s="132">
        <v>7.0000000000001172E-3</v>
      </c>
      <c r="E61" s="132">
        <v>6.0000000000000053E-3</v>
      </c>
      <c r="F61" s="132">
        <v>7.0000000000001172E-3</v>
      </c>
      <c r="G61" s="132">
        <v>6.0000000000000053E-3</v>
      </c>
      <c r="H61" s="132">
        <v>8.0000000000000071E-3</v>
      </c>
      <c r="I61" s="132">
        <v>6.0000000000000053E-3</v>
      </c>
      <c r="J61" s="132">
        <v>6.9999999999998952E-3</v>
      </c>
      <c r="K61" s="132">
        <v>6.0000000000000053E-3</v>
      </c>
      <c r="L61" s="136">
        <v>9.000000000000119E-3</v>
      </c>
    </row>
    <row r="62" spans="2:12" ht="13.15" x14ac:dyDescent="0.4">
      <c r="B62" s="131" t="s">
        <v>1501</v>
      </c>
      <c r="C62" s="138"/>
      <c r="D62" s="138"/>
      <c r="E62" s="138"/>
      <c r="F62" s="138"/>
      <c r="G62" s="138"/>
      <c r="H62" s="138"/>
      <c r="I62" s="138"/>
      <c r="J62" s="138"/>
      <c r="K62" s="138"/>
      <c r="L62" s="137"/>
    </row>
    <row r="63" spans="2:12" x14ac:dyDescent="0.35">
      <c r="B63" s="59" t="s">
        <v>1438</v>
      </c>
      <c r="C63" s="132"/>
      <c r="D63" s="132"/>
      <c r="E63" s="132">
        <v>0.36099999999999999</v>
      </c>
      <c r="F63" s="132">
        <v>0.36099999999999999</v>
      </c>
      <c r="G63" s="132">
        <v>0.36099999999999999</v>
      </c>
      <c r="H63" s="132">
        <v>0.36099999999999999</v>
      </c>
      <c r="I63" s="132">
        <v>0.36099999999999999</v>
      </c>
      <c r="J63" s="132">
        <v>0.36099999999999999</v>
      </c>
      <c r="K63" s="132">
        <v>0.36099999999999999</v>
      </c>
      <c r="L63" s="136">
        <v>0.36099999999999999</v>
      </c>
    </row>
    <row r="64" spans="2:12" x14ac:dyDescent="0.35">
      <c r="B64" s="59" t="s">
        <v>1495</v>
      </c>
      <c r="C64" s="132"/>
      <c r="D64" s="132"/>
      <c r="E64" s="132">
        <v>0</v>
      </c>
      <c r="F64" s="132">
        <v>0</v>
      </c>
      <c r="G64" s="132">
        <v>0</v>
      </c>
      <c r="H64" s="132">
        <v>0</v>
      </c>
      <c r="I64" s="132">
        <v>0</v>
      </c>
      <c r="J64" s="132">
        <v>0</v>
      </c>
      <c r="K64" s="132">
        <v>0</v>
      </c>
      <c r="L64" s="136">
        <v>0</v>
      </c>
    </row>
    <row r="65" spans="2:12" x14ac:dyDescent="0.35">
      <c r="B65" s="59" t="s">
        <v>1445</v>
      </c>
      <c r="C65" s="132"/>
      <c r="D65" s="132"/>
      <c r="E65" s="132">
        <v>0.36099999999999999</v>
      </c>
      <c r="F65" s="132">
        <v>0.36099999999999999</v>
      </c>
      <c r="G65" s="132">
        <v>0.36099999999999999</v>
      </c>
      <c r="H65" s="132">
        <v>0.36099999999999999</v>
      </c>
      <c r="I65" s="132">
        <v>0.36099999999999999</v>
      </c>
      <c r="J65" s="132">
        <v>0.36099999999999999</v>
      </c>
      <c r="K65" s="132">
        <v>0.36099999999999999</v>
      </c>
      <c r="L65" s="136">
        <v>0.36099999999999999</v>
      </c>
    </row>
    <row r="66" spans="2:12" x14ac:dyDescent="0.35">
      <c r="B66" s="59" t="s">
        <v>1498</v>
      </c>
      <c r="C66" s="132"/>
      <c r="D66" s="132"/>
      <c r="E66" s="132">
        <v>0.27800000000000002</v>
      </c>
      <c r="F66" s="132">
        <v>0.27800000000000002</v>
      </c>
      <c r="G66" s="132">
        <v>0.27800000000000002</v>
      </c>
      <c r="H66" s="132">
        <v>0.27800000000000002</v>
      </c>
      <c r="I66" s="132">
        <v>0.27800000000000002</v>
      </c>
      <c r="J66" s="132">
        <v>0.27800000000000002</v>
      </c>
      <c r="K66" s="132">
        <v>0.27800000000000002</v>
      </c>
      <c r="L66" s="136">
        <v>0.27800000000000002</v>
      </c>
    </row>
    <row r="67" spans="2:12" x14ac:dyDescent="0.35">
      <c r="B67" s="57" t="s">
        <v>1466</v>
      </c>
      <c r="C67" s="122"/>
      <c r="D67" s="122"/>
      <c r="E67" s="122">
        <v>0</v>
      </c>
      <c r="F67" s="122">
        <v>0</v>
      </c>
      <c r="G67" s="122">
        <v>0</v>
      </c>
      <c r="H67" s="122">
        <v>0</v>
      </c>
      <c r="I67" s="122">
        <v>0</v>
      </c>
      <c r="J67" s="122">
        <v>0</v>
      </c>
      <c r="K67" s="122">
        <v>0</v>
      </c>
      <c r="L67" s="56">
        <v>0</v>
      </c>
    </row>
    <row r="68" spans="2:12" ht="13.15" x14ac:dyDescent="0.4">
      <c r="B68" s="128" t="s">
        <v>1500</v>
      </c>
      <c r="C68" s="132"/>
      <c r="D68" s="132"/>
      <c r="E68" s="132"/>
      <c r="F68" s="132"/>
      <c r="G68" s="132"/>
      <c r="H68" s="132"/>
      <c r="I68" s="132"/>
      <c r="J68" s="132"/>
      <c r="K68" s="132"/>
      <c r="L68" s="136"/>
    </row>
    <row r="69" spans="2:12" x14ac:dyDescent="0.35">
      <c r="B69" s="59" t="s">
        <v>1438</v>
      </c>
      <c r="C69" s="132"/>
      <c r="D69" s="132"/>
      <c r="E69" s="132">
        <v>0.36099999999999999</v>
      </c>
      <c r="F69" s="132">
        <v>0.36099999999999999</v>
      </c>
      <c r="G69" s="132">
        <v>0.36099999999999999</v>
      </c>
      <c r="H69" s="132">
        <v>0.36099999999999999</v>
      </c>
      <c r="I69" s="132">
        <v>0</v>
      </c>
      <c r="J69" s="132">
        <v>0</v>
      </c>
      <c r="K69" s="132"/>
      <c r="L69" s="136"/>
    </row>
    <row r="70" spans="2:12" x14ac:dyDescent="0.35">
      <c r="B70" s="59" t="s">
        <v>1445</v>
      </c>
      <c r="C70" s="132"/>
      <c r="D70" s="132"/>
      <c r="E70" s="132">
        <v>0.36099999999999999</v>
      </c>
      <c r="F70" s="132">
        <v>0.36099999999999999</v>
      </c>
      <c r="G70" s="132">
        <v>0.36099999999999999</v>
      </c>
      <c r="H70" s="132">
        <v>0.36099999999999999</v>
      </c>
      <c r="I70" s="132">
        <v>0</v>
      </c>
      <c r="J70" s="132">
        <v>0</v>
      </c>
      <c r="K70" s="132"/>
      <c r="L70" s="136"/>
    </row>
    <row r="71" spans="2:12" x14ac:dyDescent="0.35">
      <c r="B71" s="59" t="s">
        <v>1498</v>
      </c>
      <c r="C71" s="132"/>
      <c r="D71" s="132"/>
      <c r="E71" s="132">
        <v>0.27800000000000002</v>
      </c>
      <c r="F71" s="132">
        <v>0.27800000000000002</v>
      </c>
      <c r="G71" s="132">
        <v>0.27800000000000002</v>
      </c>
      <c r="H71" s="132">
        <v>0.27800000000000002</v>
      </c>
      <c r="I71" s="132">
        <v>0</v>
      </c>
      <c r="J71" s="132">
        <v>0</v>
      </c>
      <c r="K71" s="132"/>
      <c r="L71" s="136"/>
    </row>
    <row r="72" spans="2:12" x14ac:dyDescent="0.35">
      <c r="B72" s="59" t="s">
        <v>1466</v>
      </c>
      <c r="C72" s="132"/>
      <c r="D72" s="132"/>
      <c r="E72" s="132">
        <v>0</v>
      </c>
      <c r="F72" s="132">
        <v>0</v>
      </c>
      <c r="G72" s="132">
        <v>0</v>
      </c>
      <c r="H72" s="132">
        <v>0</v>
      </c>
      <c r="I72" s="132">
        <v>0</v>
      </c>
      <c r="J72" s="132">
        <v>0</v>
      </c>
      <c r="K72" s="132"/>
      <c r="L72" s="136"/>
    </row>
    <row r="73" spans="2:12" ht="13.15" x14ac:dyDescent="0.4">
      <c r="B73" s="131" t="s">
        <v>1499</v>
      </c>
      <c r="C73" s="138"/>
      <c r="D73" s="138"/>
      <c r="E73" s="138"/>
      <c r="F73" s="138"/>
      <c r="G73" s="138"/>
      <c r="H73" s="138"/>
      <c r="I73" s="138"/>
      <c r="J73" s="138"/>
      <c r="K73" s="138"/>
      <c r="L73" s="137"/>
    </row>
    <row r="74" spans="2:12" x14ac:dyDescent="0.35">
      <c r="B74" s="59" t="s">
        <v>1438</v>
      </c>
      <c r="C74" s="132"/>
      <c r="D74" s="132"/>
      <c r="E74" s="132">
        <v>0.05</v>
      </c>
      <c r="F74" s="132">
        <v>0.05</v>
      </c>
      <c r="G74" s="132">
        <v>0.05</v>
      </c>
      <c r="H74" s="132">
        <v>0.05</v>
      </c>
      <c r="I74" s="132">
        <v>0.05</v>
      </c>
      <c r="J74" s="132">
        <v>0.05</v>
      </c>
      <c r="K74" s="132">
        <v>0.05</v>
      </c>
      <c r="L74" s="136">
        <v>0.05</v>
      </c>
    </row>
    <row r="75" spans="2:12" x14ac:dyDescent="0.35">
      <c r="B75" s="59" t="s">
        <v>1445</v>
      </c>
      <c r="C75" s="132"/>
      <c r="D75" s="132"/>
      <c r="E75" s="132">
        <v>0.46899999999999997</v>
      </c>
      <c r="F75" s="132">
        <v>0.46899999999999997</v>
      </c>
      <c r="G75" s="132">
        <v>0.46899999999999997</v>
      </c>
      <c r="H75" s="132">
        <v>0.46899999999999997</v>
      </c>
      <c r="I75" s="132">
        <v>0.46899999999999997</v>
      </c>
      <c r="J75" s="132">
        <v>0.46899999999999997</v>
      </c>
      <c r="K75" s="132">
        <v>0.46899999999999997</v>
      </c>
      <c r="L75" s="136">
        <v>0.46899999999999997</v>
      </c>
    </row>
    <row r="76" spans="2:12" x14ac:dyDescent="0.35">
      <c r="B76" s="59" t="s">
        <v>1498</v>
      </c>
      <c r="C76" s="132"/>
      <c r="D76" s="132"/>
      <c r="E76" s="132">
        <v>8.2000000000000003E-2</v>
      </c>
      <c r="F76" s="132">
        <v>8.2000000000000003E-2</v>
      </c>
      <c r="G76" s="132">
        <v>8.2000000000000003E-2</v>
      </c>
      <c r="H76" s="132">
        <v>8.2000000000000003E-2</v>
      </c>
      <c r="I76" s="132">
        <v>8.2000000000000003E-2</v>
      </c>
      <c r="J76" s="132">
        <v>8.2000000000000003E-2</v>
      </c>
      <c r="K76" s="132">
        <v>8.2000000000000003E-2</v>
      </c>
      <c r="L76" s="136">
        <v>8.2000000000000003E-2</v>
      </c>
    </row>
    <row r="77" spans="2:12" x14ac:dyDescent="0.35">
      <c r="B77" s="59" t="s">
        <v>1457</v>
      </c>
      <c r="C77" s="132"/>
      <c r="D77" s="132"/>
      <c r="E77" s="132">
        <v>3.6999999999999998E-2</v>
      </c>
      <c r="F77" s="132">
        <v>3.6999999999999998E-2</v>
      </c>
      <c r="G77" s="132">
        <v>3.6999999999999998E-2</v>
      </c>
      <c r="H77" s="132">
        <v>3.6999999999999998E-2</v>
      </c>
      <c r="I77" s="132">
        <v>3.6999999999999998E-2</v>
      </c>
      <c r="J77" s="132">
        <v>3.6999999999999998E-2</v>
      </c>
      <c r="K77" s="132">
        <v>3.6999999999999998E-2</v>
      </c>
      <c r="L77" s="136">
        <v>3.6999999999999998E-2</v>
      </c>
    </row>
    <row r="78" spans="2:12" x14ac:dyDescent="0.35">
      <c r="B78" s="59" t="s">
        <v>1497</v>
      </c>
      <c r="C78" s="132"/>
      <c r="D78" s="132"/>
      <c r="E78" s="132">
        <v>0.23799999999999999</v>
      </c>
      <c r="F78" s="132">
        <v>0.23799999999999999</v>
      </c>
      <c r="G78" s="132">
        <v>0.23799999999999999</v>
      </c>
      <c r="H78" s="132">
        <v>0.23799999999999999</v>
      </c>
      <c r="I78" s="132">
        <v>0.23799999999999999</v>
      </c>
      <c r="J78" s="132">
        <v>0.23799999999999999</v>
      </c>
      <c r="K78" s="132">
        <v>0.23799999999999999</v>
      </c>
      <c r="L78" s="136">
        <v>0.23799999999999999</v>
      </c>
    </row>
    <row r="79" spans="2:12" x14ac:dyDescent="0.35">
      <c r="B79" s="59" t="s">
        <v>1466</v>
      </c>
      <c r="C79" s="132"/>
      <c r="D79" s="132"/>
      <c r="E79" s="132">
        <v>0.124</v>
      </c>
      <c r="F79" s="132">
        <v>0.124</v>
      </c>
      <c r="G79" s="132">
        <v>0.124</v>
      </c>
      <c r="H79" s="132">
        <v>0.124</v>
      </c>
      <c r="I79" s="132">
        <v>0.124</v>
      </c>
      <c r="J79" s="132">
        <v>0.124</v>
      </c>
      <c r="K79" s="132">
        <v>0.124</v>
      </c>
      <c r="L79" s="136">
        <v>0.124</v>
      </c>
    </row>
    <row r="80" spans="2:12" ht="13.15" x14ac:dyDescent="0.4">
      <c r="B80" s="139" t="s">
        <v>1496</v>
      </c>
      <c r="C80" s="138"/>
      <c r="D80" s="138"/>
      <c r="E80" s="138"/>
      <c r="F80" s="138"/>
      <c r="G80" s="138"/>
      <c r="H80" s="138"/>
      <c r="I80" s="138"/>
      <c r="J80" s="138"/>
      <c r="K80" s="138"/>
      <c r="L80" s="137"/>
    </row>
    <row r="81" spans="1:12" x14ac:dyDescent="0.35">
      <c r="B81" s="59" t="s">
        <v>1438</v>
      </c>
      <c r="C81" s="132"/>
      <c r="D81" s="132"/>
      <c r="E81" s="132"/>
      <c r="F81" s="132"/>
      <c r="G81" s="132"/>
      <c r="H81" s="132"/>
      <c r="I81" s="132"/>
      <c r="J81" s="132"/>
      <c r="K81" s="132">
        <v>9.1528724440116851E-2</v>
      </c>
      <c r="L81" s="136">
        <v>9.1528724440116851E-2</v>
      </c>
    </row>
    <row r="82" spans="1:12" x14ac:dyDescent="0.35">
      <c r="B82" s="59" t="s">
        <v>1495</v>
      </c>
      <c r="C82" s="132"/>
      <c r="D82" s="132"/>
      <c r="E82" s="132"/>
      <c r="F82" s="132"/>
      <c r="G82" s="132"/>
      <c r="H82" s="132"/>
      <c r="I82" s="132"/>
      <c r="J82" s="132"/>
      <c r="K82" s="132">
        <v>8.081791626095422E-2</v>
      </c>
      <c r="L82" s="136">
        <v>8.081791626095422E-2</v>
      </c>
    </row>
    <row r="83" spans="1:12" x14ac:dyDescent="0.35">
      <c r="B83" s="59" t="s">
        <v>1494</v>
      </c>
      <c r="C83" s="132"/>
      <c r="D83" s="132"/>
      <c r="E83" s="132"/>
      <c r="F83" s="132"/>
      <c r="G83" s="132"/>
      <c r="H83" s="132"/>
      <c r="I83" s="132"/>
      <c r="J83" s="132"/>
      <c r="K83" s="132">
        <v>0.65628042843232726</v>
      </c>
      <c r="L83" s="136">
        <v>0.65628042843232726</v>
      </c>
    </row>
    <row r="84" spans="1:12" x14ac:dyDescent="0.35">
      <c r="B84" s="59" t="s">
        <v>1493</v>
      </c>
      <c r="C84" s="132"/>
      <c r="D84" s="132"/>
      <c r="E84" s="132"/>
      <c r="F84" s="132"/>
      <c r="G84" s="132"/>
      <c r="H84" s="132"/>
      <c r="I84" s="132"/>
      <c r="J84" s="132"/>
      <c r="K84" s="132">
        <v>4.4790652385589089E-2</v>
      </c>
      <c r="L84" s="136">
        <v>4.4790652385589089E-2</v>
      </c>
    </row>
    <row r="85" spans="1:12" x14ac:dyDescent="0.35">
      <c r="B85" s="59" t="s">
        <v>1446</v>
      </c>
      <c r="C85" s="132"/>
      <c r="D85" s="132"/>
      <c r="E85" s="132"/>
      <c r="F85" s="132"/>
      <c r="G85" s="132"/>
      <c r="H85" s="132"/>
      <c r="I85" s="132"/>
      <c r="J85" s="132"/>
      <c r="K85" s="132">
        <v>0</v>
      </c>
      <c r="L85" s="136">
        <v>0</v>
      </c>
    </row>
    <row r="86" spans="1:12" x14ac:dyDescent="0.35">
      <c r="B86" s="59" t="s">
        <v>1447</v>
      </c>
      <c r="C86" s="132"/>
      <c r="D86" s="132"/>
      <c r="E86" s="132"/>
      <c r="F86" s="132"/>
      <c r="G86" s="132"/>
      <c r="H86" s="132"/>
      <c r="I86" s="132"/>
      <c r="J86" s="132"/>
      <c r="K86" s="132">
        <v>0</v>
      </c>
      <c r="L86" s="136">
        <v>0</v>
      </c>
    </row>
    <row r="87" spans="1:12" x14ac:dyDescent="0.35">
      <c r="B87" s="59" t="s">
        <v>1492</v>
      </c>
      <c r="C87" s="132"/>
      <c r="D87" s="132"/>
      <c r="E87" s="132"/>
      <c r="F87" s="132"/>
      <c r="G87" s="132"/>
      <c r="H87" s="132"/>
      <c r="I87" s="132"/>
      <c r="J87" s="132"/>
      <c r="K87" s="132">
        <v>7.7896786757546244E-2</v>
      </c>
      <c r="L87" s="136">
        <v>7.7896786757546244E-2</v>
      </c>
    </row>
    <row r="88" spans="1:12" x14ac:dyDescent="0.35">
      <c r="B88" s="59" t="s">
        <v>1457</v>
      </c>
      <c r="C88" s="132"/>
      <c r="D88" s="132"/>
      <c r="E88" s="132"/>
      <c r="F88" s="132"/>
      <c r="G88" s="132"/>
      <c r="H88" s="132"/>
      <c r="I88" s="132"/>
      <c r="J88" s="132"/>
      <c r="K88" s="132">
        <v>0</v>
      </c>
      <c r="L88" s="136">
        <v>0</v>
      </c>
    </row>
    <row r="89" spans="1:12" x14ac:dyDescent="0.35">
      <c r="B89" s="59" t="s">
        <v>1460</v>
      </c>
      <c r="C89" s="132"/>
      <c r="D89" s="132"/>
      <c r="E89" s="132"/>
      <c r="F89" s="132"/>
      <c r="G89" s="132"/>
      <c r="H89" s="132"/>
      <c r="I89" s="132"/>
      <c r="J89" s="132"/>
      <c r="K89" s="132">
        <v>0</v>
      </c>
      <c r="L89" s="136">
        <v>0</v>
      </c>
    </row>
    <row r="90" spans="1:12" x14ac:dyDescent="0.35">
      <c r="B90" s="59" t="s">
        <v>1449</v>
      </c>
      <c r="C90" s="132"/>
      <c r="D90" s="132"/>
      <c r="E90" s="132"/>
      <c r="F90" s="132"/>
      <c r="G90" s="132"/>
      <c r="H90" s="132"/>
      <c r="I90" s="132"/>
      <c r="J90" s="132"/>
      <c r="K90" s="132">
        <v>9.7370983446932804E-3</v>
      </c>
      <c r="L90" s="136">
        <v>9.7370983446932804E-3</v>
      </c>
    </row>
    <row r="91" spans="1:12" x14ac:dyDescent="0.35">
      <c r="B91" s="57" t="s">
        <v>1466</v>
      </c>
      <c r="C91" s="122"/>
      <c r="D91" s="122"/>
      <c r="E91" s="122"/>
      <c r="F91" s="122"/>
      <c r="G91" s="122"/>
      <c r="H91" s="122"/>
      <c r="I91" s="122"/>
      <c r="J91" s="122"/>
      <c r="K91" s="122">
        <v>3.8948393378772983E-2</v>
      </c>
      <c r="L91" s="56">
        <v>3.8948393378772983E-2</v>
      </c>
    </row>
    <row r="93" spans="1:12" ht="13.15" x14ac:dyDescent="0.4">
      <c r="A93" s="41" t="s">
        <v>1491</v>
      </c>
    </row>
    <row r="94" spans="1:12" ht="38.25" x14ac:dyDescent="0.35">
      <c r="B94" s="91"/>
      <c r="C94" s="103" t="s">
        <v>1481</v>
      </c>
      <c r="D94" s="103" t="s">
        <v>1480</v>
      </c>
      <c r="E94" s="103" t="s">
        <v>1479</v>
      </c>
      <c r="F94" s="103" t="s">
        <v>1478</v>
      </c>
      <c r="G94" s="103" t="s">
        <v>1477</v>
      </c>
      <c r="H94" s="103" t="s">
        <v>1476</v>
      </c>
      <c r="I94" s="103" t="s">
        <v>1475</v>
      </c>
      <c r="J94" s="103" t="s">
        <v>1474</v>
      </c>
      <c r="K94" s="103" t="s">
        <v>1473</v>
      </c>
      <c r="L94" s="86" t="s">
        <v>1472</v>
      </c>
    </row>
    <row r="95" spans="1:12" x14ac:dyDescent="0.35">
      <c r="B95" s="61" t="s">
        <v>234</v>
      </c>
      <c r="C95" s="132">
        <v>0.62949855052382242</v>
      </c>
      <c r="D95" s="132">
        <v>0.30704706482486721</v>
      </c>
      <c r="E95" s="132">
        <v>0.6479254061843891</v>
      </c>
      <c r="F95" s="132">
        <v>0.3305582148208302</v>
      </c>
      <c r="G95" s="132">
        <v>0.64311431679840092</v>
      </c>
      <c r="H95" s="132">
        <v>0.34021931880200718</v>
      </c>
      <c r="I95" s="132">
        <v>0.65495028487564355</v>
      </c>
      <c r="J95" s="132">
        <v>0.21658588631519882</v>
      </c>
      <c r="K95" s="132">
        <v>0.59107825370866074</v>
      </c>
      <c r="L95" s="136">
        <v>0.19930245952027761</v>
      </c>
    </row>
    <row r="96" spans="1:12" x14ac:dyDescent="0.35">
      <c r="B96" s="59" t="s">
        <v>287</v>
      </c>
      <c r="C96" s="132">
        <v>0</v>
      </c>
      <c r="D96" s="132">
        <v>1.0301905888644543E-2</v>
      </c>
      <c r="E96" s="132">
        <v>0</v>
      </c>
      <c r="F96" s="132">
        <v>8.2061125266089767E-3</v>
      </c>
      <c r="G96" s="132">
        <v>0</v>
      </c>
      <c r="H96" s="132">
        <v>7.9728948452022011E-3</v>
      </c>
      <c r="I96" s="132">
        <v>0</v>
      </c>
      <c r="J96" s="132">
        <v>0</v>
      </c>
      <c r="K96" s="132">
        <v>3.2968744739484586E-2</v>
      </c>
      <c r="L96" s="136">
        <v>2.6743219720010897E-2</v>
      </c>
    </row>
    <row r="97" spans="2:12" x14ac:dyDescent="0.35">
      <c r="B97" s="59" t="s">
        <v>288</v>
      </c>
      <c r="C97" s="132">
        <v>0.1029001497222494</v>
      </c>
      <c r="D97" s="132">
        <v>3.5176694780504468E-2</v>
      </c>
      <c r="E97" s="132">
        <v>7.0947503286341432E-2</v>
      </c>
      <c r="F97" s="132">
        <v>3.336772777345693E-2</v>
      </c>
      <c r="G97" s="132">
        <v>7.1620763223259692E-2</v>
      </c>
      <c r="H97" s="132">
        <v>3.4477579106296563E-2</v>
      </c>
      <c r="I97" s="132">
        <v>1.9941E-2</v>
      </c>
      <c r="J97" s="132">
        <v>2.8704E-2</v>
      </c>
      <c r="K97" s="132">
        <v>1.7310939527567605E-2</v>
      </c>
      <c r="L97" s="136">
        <v>2.4888093880816704E-2</v>
      </c>
    </row>
    <row r="98" spans="2:12" x14ac:dyDescent="0.35">
      <c r="B98" s="59" t="s">
        <v>289</v>
      </c>
      <c r="C98" s="132">
        <v>1.8990028893467775E-2</v>
      </c>
      <c r="D98" s="132">
        <v>6.7356559328203974E-2</v>
      </c>
      <c r="E98" s="132">
        <v>1.2903177230393945E-2</v>
      </c>
      <c r="F98" s="132">
        <v>5.8452471525774666E-2</v>
      </c>
      <c r="G98" s="132">
        <v>1.2137339890270034E-2</v>
      </c>
      <c r="H98" s="132">
        <v>4.8169204306852766E-2</v>
      </c>
      <c r="I98" s="132">
        <v>1.478403601766028E-2</v>
      </c>
      <c r="J98" s="132">
        <v>6.899402849364053E-2</v>
      </c>
      <c r="K98" s="132">
        <v>2.2850532112855398E-2</v>
      </c>
      <c r="L98" s="136">
        <v>6.3360444323702261E-2</v>
      </c>
    </row>
    <row r="99" spans="2:12" x14ac:dyDescent="0.35">
      <c r="B99" s="59" t="s">
        <v>290</v>
      </c>
      <c r="C99" s="132">
        <v>4.463131232739953E-2</v>
      </c>
      <c r="D99" s="132">
        <v>0.14073462022531535</v>
      </c>
      <c r="E99" s="132">
        <v>5.8669245914124021E-2</v>
      </c>
      <c r="F99" s="132">
        <v>0.14155851993586258</v>
      </c>
      <c r="G99" s="132">
        <v>6.7103279300399582E-2</v>
      </c>
      <c r="H99" s="132">
        <v>0.15133606659119314</v>
      </c>
      <c r="I99" s="132">
        <v>5.6485089101058358E-2</v>
      </c>
      <c r="J99" s="132">
        <v>0.1587956629674708</v>
      </c>
      <c r="K99" s="132">
        <v>3.4989864281186181E-2</v>
      </c>
      <c r="L99" s="136">
        <v>0.12901195998062087</v>
      </c>
    </row>
    <row r="100" spans="2:12" x14ac:dyDescent="0.35">
      <c r="B100" s="59" t="s">
        <v>291</v>
      </c>
      <c r="C100" s="132">
        <v>1.8799122821085756E-2</v>
      </c>
      <c r="D100" s="132">
        <v>3.0902637838482617E-2</v>
      </c>
      <c r="E100" s="132">
        <v>3.9481269927300076E-2</v>
      </c>
      <c r="F100" s="132">
        <v>4.8216764294362946E-2</v>
      </c>
      <c r="G100" s="132">
        <v>4.5415399878956077E-2</v>
      </c>
      <c r="H100" s="132">
        <v>5.0935207584843739E-2</v>
      </c>
      <c r="I100" s="132">
        <v>5.7949669938508218E-2</v>
      </c>
      <c r="J100" s="132">
        <v>7.2751007631823461E-2</v>
      </c>
      <c r="K100" s="132">
        <v>3.3491409563151178E-2</v>
      </c>
      <c r="L100" s="136">
        <v>4.3466067560274359E-2</v>
      </c>
    </row>
    <row r="101" spans="2:12" x14ac:dyDescent="0.35">
      <c r="B101" s="59" t="s">
        <v>241</v>
      </c>
      <c r="C101" s="132">
        <v>0</v>
      </c>
      <c r="D101" s="132">
        <v>0</v>
      </c>
      <c r="E101" s="132">
        <v>0</v>
      </c>
      <c r="F101" s="132">
        <v>0</v>
      </c>
      <c r="G101" s="132">
        <v>0</v>
      </c>
      <c r="H101" s="132">
        <v>0</v>
      </c>
      <c r="I101" s="132">
        <v>0</v>
      </c>
      <c r="J101" s="132">
        <v>0</v>
      </c>
      <c r="K101" s="132">
        <v>0</v>
      </c>
      <c r="L101" s="136">
        <v>0</v>
      </c>
    </row>
    <row r="102" spans="2:12" x14ac:dyDescent="0.35">
      <c r="B102" s="59" t="s">
        <v>1427</v>
      </c>
      <c r="C102" s="132">
        <v>1.8457666296227494E-4</v>
      </c>
      <c r="D102" s="132">
        <v>3.7996009612283436E-3</v>
      </c>
      <c r="E102" s="132">
        <v>1.6778504055261717E-4</v>
      </c>
      <c r="F102" s="132">
        <v>3.5045486330930334E-3</v>
      </c>
      <c r="G102" s="132">
        <v>1.5276981618672788E-4</v>
      </c>
      <c r="H102" s="132">
        <v>3.2242908947320813E-3</v>
      </c>
      <c r="I102" s="132">
        <v>1.899824730483687E-4</v>
      </c>
      <c r="J102" s="132">
        <v>3.8678353371311121E-3</v>
      </c>
      <c r="K102" s="132">
        <v>1.8935842012651795E-4</v>
      </c>
      <c r="L102" s="136">
        <v>4.2557019870078719E-3</v>
      </c>
    </row>
    <row r="103" spans="2:12" x14ac:dyDescent="0.35">
      <c r="B103" s="59" t="s">
        <v>242</v>
      </c>
      <c r="C103" s="132">
        <v>2.9993707731369678E-2</v>
      </c>
      <c r="D103" s="132">
        <v>3.2507697112731382E-2</v>
      </c>
      <c r="E103" s="132">
        <v>2.7265069089800288E-2</v>
      </c>
      <c r="F103" s="132">
        <v>2.9204571942441946E-2</v>
      </c>
      <c r="G103" s="132">
        <v>2.482509513034328E-2</v>
      </c>
      <c r="H103" s="132">
        <v>2.615258170171577E-2</v>
      </c>
      <c r="I103" s="132">
        <v>3.0872151870359917E-2</v>
      </c>
      <c r="J103" s="132">
        <v>3.0942682697048897E-2</v>
      </c>
      <c r="K103" s="132">
        <v>3.0770743270559165E-2</v>
      </c>
      <c r="L103" s="136">
        <v>3.4045615896062975E-2</v>
      </c>
    </row>
    <row r="104" spans="2:12" x14ac:dyDescent="0.35">
      <c r="B104" s="59" t="s">
        <v>1490</v>
      </c>
      <c r="C104" s="132">
        <v>0.11342294150656715</v>
      </c>
      <c r="D104" s="132">
        <v>0.14161109373225569</v>
      </c>
      <c r="E104" s="132">
        <v>0.103631276390486</v>
      </c>
      <c r="F104" s="132">
        <v>0.12478570208526325</v>
      </c>
      <c r="G104" s="132">
        <v>9.8045735377291637E-2</v>
      </c>
      <c r="H104" s="132">
        <v>0.12311173678447584</v>
      </c>
      <c r="I104" s="132">
        <v>0.119466553124042</v>
      </c>
      <c r="J104" s="132">
        <v>0.15387078068244223</v>
      </c>
      <c r="K104" s="132">
        <v>0.1195124542298121</v>
      </c>
      <c r="L104" s="136">
        <v>0.13716837311709154</v>
      </c>
    </row>
    <row r="105" spans="2:12" x14ac:dyDescent="0.35">
      <c r="B105" s="59" t="s">
        <v>239</v>
      </c>
      <c r="C105" s="132">
        <v>2.18725201778108E-2</v>
      </c>
      <c r="D105" s="132">
        <v>2.9053457053386841E-2</v>
      </c>
      <c r="E105" s="132">
        <v>1.8497209141489012E-2</v>
      </c>
      <c r="F105" s="132">
        <v>2.478921060383163E-2</v>
      </c>
      <c r="G105" s="132">
        <v>1.8545811420265911E-2</v>
      </c>
      <c r="H105" s="132">
        <v>2.4377483773474064E-2</v>
      </c>
      <c r="I105" s="132">
        <v>1.7273780913104608E-2</v>
      </c>
      <c r="J105" s="132">
        <v>2.5848075855227654E-2</v>
      </c>
      <c r="K105" s="132">
        <v>2.0078377418373705E-2</v>
      </c>
      <c r="L105" s="136">
        <v>2.7031391970529801E-2</v>
      </c>
    </row>
    <row r="106" spans="2:12" ht="25.5" x14ac:dyDescent="0.35">
      <c r="B106" s="98" t="s">
        <v>1384</v>
      </c>
      <c r="C106" s="132">
        <v>0</v>
      </c>
      <c r="D106" s="132">
        <v>0.16084977402533324</v>
      </c>
      <c r="E106" s="132">
        <v>0</v>
      </c>
      <c r="F106" s="132">
        <v>0.15458953414865939</v>
      </c>
      <c r="G106" s="132">
        <v>0</v>
      </c>
      <c r="H106" s="132">
        <v>0.14760087206995748</v>
      </c>
      <c r="I106" s="132">
        <v>0</v>
      </c>
      <c r="J106" s="132">
        <v>0.18307753929087264</v>
      </c>
      <c r="K106" s="132">
        <v>0</v>
      </c>
      <c r="L106" s="136">
        <v>0.20001799338937001</v>
      </c>
    </row>
    <row r="107" spans="2:12" ht="25.5" x14ac:dyDescent="0.35">
      <c r="B107" s="98" t="s">
        <v>1383</v>
      </c>
      <c r="C107" s="132">
        <v>0</v>
      </c>
      <c r="D107" s="132">
        <v>0</v>
      </c>
      <c r="E107" s="132">
        <v>0</v>
      </c>
      <c r="F107" s="132">
        <v>0</v>
      </c>
      <c r="G107" s="132">
        <v>0</v>
      </c>
      <c r="H107" s="132">
        <v>0</v>
      </c>
      <c r="I107" s="132">
        <v>0</v>
      </c>
      <c r="J107" s="132">
        <v>0</v>
      </c>
      <c r="K107" s="132">
        <v>5.6891501383987512E-2</v>
      </c>
      <c r="L107" s="136">
        <v>4.6500297409572254E-2</v>
      </c>
    </row>
    <row r="108" spans="2:12" x14ac:dyDescent="0.35">
      <c r="B108" s="59" t="s">
        <v>1368</v>
      </c>
      <c r="C108" s="132">
        <v>0</v>
      </c>
      <c r="D108" s="132">
        <v>1.7940000000000001E-2</v>
      </c>
      <c r="E108" s="132">
        <v>0</v>
      </c>
      <c r="F108" s="132">
        <v>1.9109999999999999E-2</v>
      </c>
      <c r="G108" s="132">
        <v>0</v>
      </c>
      <c r="H108" s="132">
        <v>2.0480000000000002E-2</v>
      </c>
      <c r="I108" s="132">
        <v>0</v>
      </c>
      <c r="J108" s="132">
        <v>2.5896000000000002E-2</v>
      </c>
      <c r="K108" s="132">
        <v>6.0292672380815541E-3</v>
      </c>
      <c r="L108" s="136">
        <v>2.7291659058442615E-2</v>
      </c>
    </row>
    <row r="109" spans="2:12" x14ac:dyDescent="0.35">
      <c r="B109" s="59" t="s">
        <v>237</v>
      </c>
      <c r="C109" s="132">
        <v>0</v>
      </c>
      <c r="D109" s="132">
        <v>0</v>
      </c>
      <c r="E109" s="132">
        <v>0</v>
      </c>
      <c r="F109" s="132">
        <v>0</v>
      </c>
      <c r="G109" s="132">
        <v>0</v>
      </c>
      <c r="H109" s="132">
        <v>0</v>
      </c>
      <c r="I109" s="132">
        <v>0</v>
      </c>
      <c r="J109" s="132">
        <v>0</v>
      </c>
      <c r="K109" s="132">
        <v>1.5840509723417094E-6</v>
      </c>
      <c r="L109" s="136">
        <v>1.2822905304179673E-6</v>
      </c>
    </row>
    <row r="110" spans="2:12" x14ac:dyDescent="0.35">
      <c r="B110" s="59" t="s">
        <v>1489</v>
      </c>
      <c r="C110" s="132">
        <v>0</v>
      </c>
      <c r="D110" s="132">
        <v>0</v>
      </c>
      <c r="E110" s="132">
        <v>0</v>
      </c>
      <c r="F110" s="132">
        <v>0</v>
      </c>
      <c r="G110" s="132">
        <v>0</v>
      </c>
      <c r="H110" s="132">
        <v>0</v>
      </c>
      <c r="I110" s="132">
        <v>0</v>
      </c>
      <c r="J110" s="132">
        <v>0</v>
      </c>
      <c r="K110" s="132">
        <v>5.1336245343462769E-4</v>
      </c>
      <c r="L110" s="136">
        <v>4.1556731709095184E-4</v>
      </c>
    </row>
    <row r="111" spans="2:12" x14ac:dyDescent="0.35">
      <c r="B111" s="59" t="s">
        <v>1488</v>
      </c>
      <c r="C111" s="132">
        <v>0</v>
      </c>
      <c r="D111" s="132">
        <v>0</v>
      </c>
      <c r="E111" s="132">
        <v>0</v>
      </c>
      <c r="F111" s="132">
        <v>0</v>
      </c>
      <c r="G111" s="132">
        <v>0</v>
      </c>
      <c r="H111" s="132">
        <v>0</v>
      </c>
      <c r="I111" s="132">
        <v>0</v>
      </c>
      <c r="J111" s="132">
        <v>0</v>
      </c>
      <c r="K111" s="132">
        <v>1.7724417680244752E-3</v>
      </c>
      <c r="L111" s="136">
        <v>1.4347930303626503E-3</v>
      </c>
    </row>
    <row r="112" spans="2:12" x14ac:dyDescent="0.35">
      <c r="B112" s="59" t="s">
        <v>1185</v>
      </c>
      <c r="C112" s="132">
        <v>0</v>
      </c>
      <c r="D112" s="132">
        <v>0</v>
      </c>
      <c r="E112" s="132">
        <v>0</v>
      </c>
      <c r="F112" s="132">
        <v>0</v>
      </c>
      <c r="G112" s="132">
        <v>0</v>
      </c>
      <c r="H112" s="132">
        <v>0</v>
      </c>
      <c r="I112" s="132">
        <v>0</v>
      </c>
      <c r="J112" s="132">
        <v>0</v>
      </c>
      <c r="K112" s="132">
        <v>2.1244438804929855E-3</v>
      </c>
      <c r="L112" s="136">
        <v>1.7197390222446101E-3</v>
      </c>
    </row>
    <row r="113" spans="1:12" x14ac:dyDescent="0.35">
      <c r="B113" s="59" t="s">
        <v>1487</v>
      </c>
      <c r="C113" s="132">
        <v>0</v>
      </c>
      <c r="D113" s="132">
        <v>0</v>
      </c>
      <c r="E113" s="132">
        <v>0</v>
      </c>
      <c r="F113" s="132">
        <v>0</v>
      </c>
      <c r="G113" s="132">
        <v>0</v>
      </c>
      <c r="H113" s="132">
        <v>0</v>
      </c>
      <c r="I113" s="132">
        <v>0</v>
      </c>
      <c r="J113" s="132">
        <v>0</v>
      </c>
      <c r="K113" s="132">
        <v>0</v>
      </c>
      <c r="L113" s="136">
        <v>0</v>
      </c>
    </row>
    <row r="114" spans="1:12" x14ac:dyDescent="0.35">
      <c r="B114" s="59" t="s">
        <v>1486</v>
      </c>
      <c r="C114" s="132">
        <v>4.9405043657777228E-6</v>
      </c>
      <c r="D114" s="132">
        <v>8.5849215738704534E-6</v>
      </c>
      <c r="E114" s="132">
        <v>4.5035419405284531E-6</v>
      </c>
      <c r="F114" s="132">
        <v>5.1288203291306102E-6</v>
      </c>
      <c r="G114" s="132">
        <v>4.7754178266017273E-6</v>
      </c>
      <c r="H114" s="132">
        <v>5.3152632301348015E-6</v>
      </c>
      <c r="I114" s="132">
        <v>0</v>
      </c>
      <c r="J114" s="132">
        <v>0</v>
      </c>
      <c r="K114" s="132">
        <v>1.4632949480202061E-5</v>
      </c>
      <c r="L114" s="136">
        <v>1.1845384320435833E-5</v>
      </c>
    </row>
    <row r="115" spans="1:12" x14ac:dyDescent="0.35">
      <c r="B115" s="59" t="s">
        <v>1485</v>
      </c>
      <c r="C115" s="132">
        <v>0</v>
      </c>
      <c r="D115" s="132">
        <v>0</v>
      </c>
      <c r="E115" s="132">
        <v>0</v>
      </c>
      <c r="F115" s="132">
        <v>0</v>
      </c>
      <c r="G115" s="132">
        <v>0</v>
      </c>
      <c r="H115" s="132">
        <v>0</v>
      </c>
      <c r="I115" s="132">
        <v>0</v>
      </c>
      <c r="J115" s="132">
        <v>0</v>
      </c>
      <c r="K115" s="132">
        <v>8.8883675072430894E-4</v>
      </c>
      <c r="L115" s="136">
        <v>7.2613989947604117E-4</v>
      </c>
    </row>
    <row r="116" spans="1:12" x14ac:dyDescent="0.35">
      <c r="B116" s="59" t="s">
        <v>1484</v>
      </c>
      <c r="C116" s="132">
        <v>0</v>
      </c>
      <c r="D116" s="132">
        <v>0</v>
      </c>
      <c r="E116" s="132">
        <v>0</v>
      </c>
      <c r="F116" s="132">
        <v>0</v>
      </c>
      <c r="G116" s="132">
        <v>0</v>
      </c>
      <c r="H116" s="132">
        <v>0</v>
      </c>
      <c r="I116" s="132">
        <v>0</v>
      </c>
      <c r="J116" s="132">
        <v>0</v>
      </c>
      <c r="K116" s="132">
        <v>2.2592745772272168E-4</v>
      </c>
      <c r="L116" s="136">
        <v>1.8288845792063121E-4</v>
      </c>
    </row>
    <row r="117" spans="1:12" x14ac:dyDescent="0.35">
      <c r="B117" s="57" t="s">
        <v>292</v>
      </c>
      <c r="C117" s="122">
        <v>1.9702149128899449E-2</v>
      </c>
      <c r="D117" s="122">
        <v>2.2710309307472643E-2</v>
      </c>
      <c r="E117" s="122">
        <v>2.0507554253183069E-2</v>
      </c>
      <c r="F117" s="122">
        <v>2.3651492889485315E-2</v>
      </c>
      <c r="G117" s="122">
        <v>1.9034713746799548E-2</v>
      </c>
      <c r="H117" s="122">
        <v>2.1937448276018956E-2</v>
      </c>
      <c r="I117" s="122">
        <v>2.8087451686574672E-2</v>
      </c>
      <c r="J117" s="122">
        <v>3.0666500729143897E-2</v>
      </c>
      <c r="K117" s="122">
        <v>2.8297324795302004E-2</v>
      </c>
      <c r="L117" s="56">
        <v>3.2424466784274575E-2</v>
      </c>
    </row>
    <row r="119" spans="1:12" ht="13.15" x14ac:dyDescent="0.4">
      <c r="A119" s="41" t="s">
        <v>1483</v>
      </c>
    </row>
    <row r="120" spans="1:12" x14ac:dyDescent="0.35">
      <c r="B120" s="104" t="s">
        <v>239</v>
      </c>
      <c r="C120" s="89" t="s">
        <v>234</v>
      </c>
    </row>
    <row r="121" spans="1:12" x14ac:dyDescent="0.35">
      <c r="B121" s="135">
        <v>0.66700000000000004</v>
      </c>
      <c r="C121" s="56">
        <v>0.33299999999999996</v>
      </c>
    </row>
    <row r="123" spans="1:12" ht="13.9" x14ac:dyDescent="0.4">
      <c r="A123" s="72" t="s">
        <v>1482</v>
      </c>
    </row>
    <row r="124" spans="1:12" ht="38.25" x14ac:dyDescent="0.35">
      <c r="B124" s="61"/>
      <c r="C124" s="134" t="s">
        <v>1481</v>
      </c>
      <c r="D124" s="134" t="s">
        <v>1480</v>
      </c>
      <c r="E124" s="134" t="s">
        <v>1479</v>
      </c>
      <c r="F124" s="134" t="s">
        <v>1478</v>
      </c>
      <c r="G124" s="134" t="s">
        <v>1477</v>
      </c>
      <c r="H124" s="134" t="s">
        <v>1476</v>
      </c>
      <c r="I124" s="134" t="s">
        <v>1475</v>
      </c>
      <c r="J124" s="134" t="s">
        <v>1474</v>
      </c>
      <c r="K124" s="134" t="s">
        <v>1473</v>
      </c>
      <c r="L124" s="133" t="s">
        <v>1472</v>
      </c>
    </row>
    <row r="125" spans="1:12" ht="14.25" x14ac:dyDescent="0.45">
      <c r="B125" s="131" t="s">
        <v>1471</v>
      </c>
      <c r="C125" s="130"/>
      <c r="D125" s="130"/>
      <c r="E125" s="130"/>
      <c r="F125" s="130"/>
      <c r="G125" s="130"/>
      <c r="H125" s="130"/>
      <c r="I125" s="130"/>
      <c r="J125" s="130"/>
      <c r="K125" s="130"/>
      <c r="L125" s="129"/>
    </row>
    <row r="126" spans="1:12" ht="14.25" x14ac:dyDescent="0.45">
      <c r="B126" s="59" t="s">
        <v>1441</v>
      </c>
      <c r="C126" s="88">
        <v>6.0999999999999999E-2</v>
      </c>
      <c r="D126" s="88">
        <v>6.0999999999999999E-2</v>
      </c>
      <c r="E126" s="88">
        <v>6.0999999999999999E-2</v>
      </c>
      <c r="F126" s="88">
        <v>6.0999999999999999E-2</v>
      </c>
      <c r="G126" s="88">
        <v>6.0999999999999999E-2</v>
      </c>
      <c r="H126" s="88">
        <v>6.0999999999999999E-2</v>
      </c>
      <c r="I126" s="88">
        <v>6.0999999999999999E-2</v>
      </c>
      <c r="J126" s="88">
        <v>6.0999999999999999E-2</v>
      </c>
      <c r="K126" s="88">
        <v>6.0999999999999999E-2</v>
      </c>
      <c r="L126" s="80">
        <v>6.0999999999999999E-2</v>
      </c>
    </row>
    <row r="127" spans="1:12" ht="14.25" x14ac:dyDescent="0.45">
      <c r="B127" s="59" t="s">
        <v>1470</v>
      </c>
      <c r="C127" s="88">
        <v>0.69</v>
      </c>
      <c r="D127" s="88">
        <v>0.69</v>
      </c>
      <c r="E127" s="88">
        <v>0.69</v>
      </c>
      <c r="F127" s="88">
        <v>0.69</v>
      </c>
      <c r="G127" s="88">
        <v>0.69</v>
      </c>
      <c r="H127" s="88">
        <v>0.69</v>
      </c>
      <c r="I127" s="88">
        <v>0.69</v>
      </c>
      <c r="J127" s="88">
        <v>0.69</v>
      </c>
      <c r="K127" s="88">
        <v>0.69</v>
      </c>
      <c r="L127" s="80">
        <v>0.69</v>
      </c>
    </row>
    <row r="128" spans="1:12" ht="14.25" x14ac:dyDescent="0.45">
      <c r="B128" s="59" t="s">
        <v>1469</v>
      </c>
      <c r="C128" s="88">
        <v>7.9000000000000001E-2</v>
      </c>
      <c r="D128" s="88">
        <v>7.9000000000000001E-2</v>
      </c>
      <c r="E128" s="88">
        <v>7.9000000000000001E-2</v>
      </c>
      <c r="F128" s="88">
        <v>7.9000000000000001E-2</v>
      </c>
      <c r="G128" s="88">
        <v>7.9000000000000001E-2</v>
      </c>
      <c r="H128" s="88">
        <v>7.9000000000000001E-2</v>
      </c>
      <c r="I128" s="88">
        <v>7.9000000000000001E-2</v>
      </c>
      <c r="J128" s="88">
        <v>7.9000000000000001E-2</v>
      </c>
      <c r="K128" s="88">
        <v>7.9000000000000001E-2</v>
      </c>
      <c r="L128" s="80">
        <v>7.9000000000000001E-2</v>
      </c>
    </row>
    <row r="129" spans="2:29" ht="14.25" x14ac:dyDescent="0.45">
      <c r="B129" s="59" t="s">
        <v>1468</v>
      </c>
      <c r="C129" s="88">
        <v>2.1000000000000001E-2</v>
      </c>
      <c r="D129" s="88">
        <v>2.1000000000000001E-2</v>
      </c>
      <c r="E129" s="88">
        <v>2.1000000000000001E-2</v>
      </c>
      <c r="F129" s="88">
        <v>2.1000000000000001E-2</v>
      </c>
      <c r="G129" s="88">
        <v>2.1000000000000001E-2</v>
      </c>
      <c r="H129" s="88">
        <v>2.1000000000000001E-2</v>
      </c>
      <c r="I129" s="88">
        <v>2.1000000000000001E-2</v>
      </c>
      <c r="J129" s="88">
        <v>2.1000000000000001E-2</v>
      </c>
      <c r="K129" s="88">
        <v>2.1000000000000001E-2</v>
      </c>
      <c r="L129" s="80">
        <v>2.1000000000000001E-2</v>
      </c>
    </row>
    <row r="130" spans="2:29" ht="14.25" x14ac:dyDescent="0.45">
      <c r="B130" s="59" t="s">
        <v>1467</v>
      </c>
      <c r="C130" s="88">
        <v>0.14099999999999999</v>
      </c>
      <c r="D130" s="88">
        <v>0.14099999999999999</v>
      </c>
      <c r="E130" s="88">
        <v>0.14099999999999999</v>
      </c>
      <c r="F130" s="88">
        <v>0.14099999999999999</v>
      </c>
      <c r="G130" s="88">
        <v>0.14099999999999999</v>
      </c>
      <c r="H130" s="88">
        <v>0.14099999999999999</v>
      </c>
      <c r="I130" s="88">
        <v>0.14099999999999999</v>
      </c>
      <c r="J130" s="88">
        <v>0.14099999999999999</v>
      </c>
      <c r="K130" s="88">
        <v>0.14099999999999999</v>
      </c>
      <c r="L130" s="80">
        <v>0.14099999999999999</v>
      </c>
    </row>
    <row r="131" spans="2:29" ht="14.25" x14ac:dyDescent="0.45">
      <c r="B131" s="57" t="s">
        <v>1466</v>
      </c>
      <c r="C131" s="78">
        <v>8.0000000000001181E-3</v>
      </c>
      <c r="D131" s="78">
        <v>8.0000000000001181E-3</v>
      </c>
      <c r="E131" s="78">
        <v>8.0000000000001181E-3</v>
      </c>
      <c r="F131" s="78">
        <v>8.0000000000001181E-3</v>
      </c>
      <c r="G131" s="78">
        <v>8.0000000000001181E-3</v>
      </c>
      <c r="H131" s="78">
        <v>8.0000000000001181E-3</v>
      </c>
      <c r="I131" s="78">
        <v>8.0000000000001181E-3</v>
      </c>
      <c r="J131" s="78">
        <v>8.0000000000001181E-3</v>
      </c>
      <c r="K131" s="78">
        <v>8.0000000000001181E-3</v>
      </c>
      <c r="L131" s="76">
        <v>8.0000000000001181E-3</v>
      </c>
    </row>
    <row r="132" spans="2:29" ht="14.25" x14ac:dyDescent="0.45">
      <c r="B132" s="128" t="s">
        <v>1465</v>
      </c>
      <c r="C132" s="73"/>
      <c r="D132" s="73"/>
      <c r="E132" s="73"/>
      <c r="F132" s="73"/>
      <c r="G132" s="73"/>
      <c r="H132" s="73"/>
      <c r="I132" s="73"/>
      <c r="J132" s="73"/>
      <c r="K132" s="73"/>
      <c r="L132" s="97"/>
    </row>
    <row r="133" spans="2:29" ht="14.25" x14ac:dyDescent="0.45">
      <c r="B133" s="59" t="s">
        <v>1464</v>
      </c>
      <c r="C133" s="73"/>
      <c r="D133" s="73"/>
      <c r="E133" s="88">
        <v>0.12</v>
      </c>
      <c r="F133" s="88">
        <v>0.12</v>
      </c>
      <c r="G133" s="88">
        <v>0.12</v>
      </c>
      <c r="H133" s="88">
        <v>0.12</v>
      </c>
      <c r="I133" s="88">
        <v>0.12</v>
      </c>
      <c r="J133" s="88">
        <v>0.12</v>
      </c>
      <c r="K133" s="88">
        <v>0.12</v>
      </c>
      <c r="L133" s="80">
        <v>0.12</v>
      </c>
      <c r="M133" s="132"/>
    </row>
    <row r="134" spans="2:29" ht="14.25" x14ac:dyDescent="0.45">
      <c r="B134" s="59" t="s">
        <v>1438</v>
      </c>
      <c r="C134" s="73"/>
      <c r="D134" s="73"/>
      <c r="E134" s="88">
        <v>0.23699999999999999</v>
      </c>
      <c r="F134" s="88">
        <v>0.23699999999999999</v>
      </c>
      <c r="G134" s="88">
        <v>0.23699999999999999</v>
      </c>
      <c r="H134" s="88">
        <v>0.23699999999999999</v>
      </c>
      <c r="I134" s="88">
        <v>0.23699999999999999</v>
      </c>
      <c r="J134" s="88">
        <v>0.23699999999999999</v>
      </c>
      <c r="K134" s="88">
        <v>0.23699999999999999</v>
      </c>
      <c r="L134" s="80">
        <v>0.23699999999999999</v>
      </c>
    </row>
    <row r="135" spans="2:29" ht="14.25" x14ac:dyDescent="0.45">
      <c r="B135" s="59" t="s">
        <v>1463</v>
      </c>
      <c r="C135" s="73"/>
      <c r="D135" s="73"/>
      <c r="E135" s="88">
        <v>5.0000000000000001E-3</v>
      </c>
      <c r="F135" s="88">
        <v>5.0000000000000001E-3</v>
      </c>
      <c r="G135" s="88">
        <v>5.0000000000000001E-3</v>
      </c>
      <c r="H135" s="88">
        <v>5.0000000000000001E-3</v>
      </c>
      <c r="I135" s="88">
        <v>5.0000000000000001E-3</v>
      </c>
      <c r="J135" s="88">
        <v>5.0000000000000001E-3</v>
      </c>
      <c r="K135" s="88">
        <v>5.0000000000000001E-3</v>
      </c>
      <c r="L135" s="80">
        <v>5.0000000000000001E-3</v>
      </c>
    </row>
    <row r="136" spans="2:29" ht="14.25" x14ac:dyDescent="0.45">
      <c r="B136" s="59" t="s">
        <v>1447</v>
      </c>
      <c r="C136" s="73"/>
      <c r="D136" s="73"/>
      <c r="E136" s="88">
        <v>3.9E-2</v>
      </c>
      <c r="F136" s="88">
        <v>3.9E-2</v>
      </c>
      <c r="G136" s="88">
        <v>3.9E-2</v>
      </c>
      <c r="H136" s="88">
        <v>3.9E-2</v>
      </c>
      <c r="I136" s="88">
        <v>3.9E-2</v>
      </c>
      <c r="J136" s="88">
        <v>3.9E-2</v>
      </c>
      <c r="K136" s="88">
        <v>3.9E-2</v>
      </c>
      <c r="L136" s="80">
        <v>3.9E-2</v>
      </c>
    </row>
    <row r="137" spans="2:29" ht="14.25" x14ac:dyDescent="0.45">
      <c r="B137" s="59" t="s">
        <v>1462</v>
      </c>
      <c r="C137" s="73"/>
      <c r="D137" s="73"/>
      <c r="E137" s="88">
        <v>0.01</v>
      </c>
      <c r="F137" s="88">
        <v>0.01</v>
      </c>
      <c r="G137" s="88">
        <v>0.01</v>
      </c>
      <c r="H137" s="88">
        <v>0.01</v>
      </c>
      <c r="I137" s="88">
        <v>0.01</v>
      </c>
      <c r="J137" s="88">
        <v>0.01</v>
      </c>
      <c r="K137" s="88">
        <v>0.01</v>
      </c>
      <c r="L137" s="80">
        <v>0.01</v>
      </c>
    </row>
    <row r="138" spans="2:29" ht="14.25" x14ac:dyDescent="0.45">
      <c r="B138" s="59" t="s">
        <v>1461</v>
      </c>
      <c r="C138" s="73"/>
      <c r="D138" s="73"/>
      <c r="E138" s="88">
        <v>1.7999999999999999E-2</v>
      </c>
      <c r="F138" s="88">
        <v>1.7999999999999999E-2</v>
      </c>
      <c r="G138" s="88">
        <v>1.7999999999999999E-2</v>
      </c>
      <c r="H138" s="88">
        <v>1.7999999999999999E-2</v>
      </c>
      <c r="I138" s="88">
        <v>1.7999999999999999E-2</v>
      </c>
      <c r="J138" s="88">
        <v>1.7999999999999999E-2</v>
      </c>
      <c r="K138" s="88">
        <v>1.7999999999999999E-2</v>
      </c>
      <c r="L138" s="80">
        <v>1.7999999999999999E-2</v>
      </c>
    </row>
    <row r="139" spans="2:29" ht="14.25" x14ac:dyDescent="0.45">
      <c r="B139" s="59" t="s">
        <v>1460</v>
      </c>
      <c r="C139" s="73"/>
      <c r="D139" s="73"/>
      <c r="E139" s="88">
        <v>0.28199999999999997</v>
      </c>
      <c r="F139" s="88">
        <v>0.28199999999999997</v>
      </c>
      <c r="G139" s="88">
        <v>0.28199999999999997</v>
      </c>
      <c r="H139" s="88">
        <v>0.28199999999999997</v>
      </c>
      <c r="I139" s="88">
        <v>0.28199999999999997</v>
      </c>
      <c r="J139" s="88">
        <v>0.28199999999999997</v>
      </c>
      <c r="K139" s="88">
        <v>0.28199999999999997</v>
      </c>
      <c r="L139" s="80">
        <v>0.28199999999999997</v>
      </c>
    </row>
    <row r="140" spans="2:29" ht="14.25" x14ac:dyDescent="0.45">
      <c r="B140" s="59" t="s">
        <v>1459</v>
      </c>
      <c r="C140" s="73"/>
      <c r="D140" s="73"/>
      <c r="E140" s="88">
        <v>6.3E-2</v>
      </c>
      <c r="F140" s="88">
        <v>6.3E-2</v>
      </c>
      <c r="G140" s="88">
        <v>6.3E-2</v>
      </c>
      <c r="H140" s="88">
        <v>6.3E-2</v>
      </c>
      <c r="I140" s="88">
        <v>6.3E-2</v>
      </c>
      <c r="J140" s="88">
        <v>6.3E-2</v>
      </c>
      <c r="K140" s="88">
        <v>6.3E-2</v>
      </c>
      <c r="L140" s="80">
        <v>6.3E-2</v>
      </c>
    </row>
    <row r="141" spans="2:29" ht="14.25" x14ac:dyDescent="0.45">
      <c r="B141" s="59" t="s">
        <v>1458</v>
      </c>
      <c r="C141" s="73"/>
      <c r="D141" s="73"/>
      <c r="E141" s="88">
        <v>0.22500000000000001</v>
      </c>
      <c r="F141" s="88">
        <v>0.22500000000000001</v>
      </c>
      <c r="G141" s="88">
        <v>0.22500000000000001</v>
      </c>
      <c r="H141" s="88">
        <v>0.22500000000000001</v>
      </c>
      <c r="I141" s="88">
        <v>0.22500000000000001</v>
      </c>
      <c r="J141" s="88">
        <v>0.22500000000000001</v>
      </c>
      <c r="K141" s="88">
        <v>0.22500000000000001</v>
      </c>
      <c r="L141" s="80">
        <v>0.22500000000000001</v>
      </c>
    </row>
    <row r="142" spans="2:29" ht="14.25" x14ac:dyDescent="0.45">
      <c r="B142" s="59" t="s">
        <v>1457</v>
      </c>
      <c r="C142" s="73"/>
      <c r="D142" s="73"/>
      <c r="E142" s="73">
        <v>1.0000000000000009E-3</v>
      </c>
      <c r="F142" s="73">
        <v>1.0000000000000009E-3</v>
      </c>
      <c r="G142" s="73">
        <v>1.0000000000000009E-3</v>
      </c>
      <c r="H142" s="73">
        <v>1.0000000000000009E-3</v>
      </c>
      <c r="I142" s="73">
        <v>1.0000000000000009E-3</v>
      </c>
      <c r="J142" s="73">
        <v>1.0000000000000009E-3</v>
      </c>
      <c r="K142" s="73">
        <v>1.0000000000000009E-3</v>
      </c>
      <c r="L142" s="97">
        <v>1.0000000000000009E-3</v>
      </c>
    </row>
    <row r="143" spans="2:29" ht="14.25" x14ac:dyDescent="0.45">
      <c r="B143" s="131" t="s">
        <v>1456</v>
      </c>
      <c r="C143" s="130"/>
      <c r="D143" s="130"/>
      <c r="E143" s="130"/>
      <c r="F143" s="130"/>
      <c r="G143" s="130"/>
      <c r="H143" s="130"/>
      <c r="I143" s="130"/>
      <c r="J143" s="130"/>
      <c r="K143" s="130"/>
      <c r="L143" s="129"/>
    </row>
    <row r="144" spans="2:29" ht="14.25" x14ac:dyDescent="0.45">
      <c r="B144" s="128"/>
      <c r="C144" s="73"/>
      <c r="D144" s="73"/>
      <c r="E144" s="73"/>
      <c r="F144" s="73"/>
      <c r="G144" s="73"/>
      <c r="H144" s="73"/>
      <c r="I144" s="73"/>
      <c r="J144" s="73"/>
      <c r="K144" s="73"/>
      <c r="L144" s="97"/>
      <c r="M144" s="61" t="s">
        <v>293</v>
      </c>
      <c r="N144" s="101"/>
      <c r="O144" s="101"/>
      <c r="P144" s="61" t="s">
        <v>1455</v>
      </c>
      <c r="Q144" s="101"/>
      <c r="R144" s="60"/>
      <c r="S144" s="101" t="s">
        <v>1454</v>
      </c>
      <c r="T144" s="101"/>
      <c r="U144" s="101"/>
      <c r="V144" s="61" t="s">
        <v>1453</v>
      </c>
      <c r="W144" s="101"/>
      <c r="X144" s="101"/>
      <c r="Y144" s="101"/>
      <c r="Z144" s="101"/>
      <c r="AA144" s="101"/>
      <c r="AB144" s="101"/>
      <c r="AC144" s="60"/>
    </row>
    <row r="145" spans="2:29" ht="14.25" x14ac:dyDescent="0.45">
      <c r="B145" s="128"/>
      <c r="C145" s="73"/>
      <c r="D145" s="73"/>
      <c r="E145" s="73"/>
      <c r="F145" s="73"/>
      <c r="G145" s="73"/>
      <c r="H145" s="75"/>
      <c r="I145" s="75"/>
      <c r="J145" s="75"/>
      <c r="K145" s="75"/>
      <c r="L145" s="97"/>
      <c r="M145" s="57" t="s">
        <v>299</v>
      </c>
      <c r="N145" s="77" t="s">
        <v>300</v>
      </c>
      <c r="O145" s="77" t="s">
        <v>1452</v>
      </c>
      <c r="P145" s="57" t="s">
        <v>299</v>
      </c>
      <c r="Q145" s="77" t="s">
        <v>300</v>
      </c>
      <c r="R145" s="100" t="s">
        <v>1452</v>
      </c>
      <c r="S145" s="77" t="s">
        <v>299</v>
      </c>
      <c r="T145" s="77" t="s">
        <v>300</v>
      </c>
      <c r="U145" s="77" t="s">
        <v>1452</v>
      </c>
      <c r="V145" s="57" t="s">
        <v>299</v>
      </c>
      <c r="W145" s="77" t="s">
        <v>300</v>
      </c>
      <c r="X145" s="77" t="s">
        <v>1452</v>
      </c>
      <c r="Y145" s="77" t="s">
        <v>303</v>
      </c>
      <c r="Z145" s="77" t="s">
        <v>304</v>
      </c>
      <c r="AA145" s="77" t="s">
        <v>305</v>
      </c>
      <c r="AB145" s="77" t="s">
        <v>306</v>
      </c>
      <c r="AC145" s="100" t="s">
        <v>307</v>
      </c>
    </row>
    <row r="146" spans="2:29" ht="14.25" x14ac:dyDescent="0.45">
      <c r="B146" s="59" t="s">
        <v>1451</v>
      </c>
      <c r="C146" s="73"/>
      <c r="D146" s="73"/>
      <c r="E146" s="75">
        <v>0.16262083323711099</v>
      </c>
      <c r="F146" s="75">
        <v>0.16262083323711099</v>
      </c>
      <c r="G146" s="75">
        <v>0.24784312730705699</v>
      </c>
      <c r="H146" s="75">
        <v>0.24784312730705699</v>
      </c>
      <c r="I146" s="75">
        <v>0.25166563505797701</v>
      </c>
      <c r="J146" s="75">
        <v>0.25166563505797701</v>
      </c>
      <c r="K146" s="75">
        <v>0.16262083323711099</v>
      </c>
      <c r="L146" s="127">
        <v>0.16262083323711099</v>
      </c>
      <c r="M146" s="126">
        <v>0.174889144601519</v>
      </c>
      <c r="N146" s="125">
        <v>0.16262083323711099</v>
      </c>
      <c r="O146" s="125">
        <v>0.15511670325360799</v>
      </c>
      <c r="P146" s="126">
        <v>0.24167243115655199</v>
      </c>
      <c r="Q146" s="125">
        <v>0.199301600739134</v>
      </c>
      <c r="R146" s="124">
        <v>0.181397595039928</v>
      </c>
      <c r="S146" s="125">
        <v>0.29554520762450098</v>
      </c>
      <c r="T146" s="125">
        <v>0.24784312730705699</v>
      </c>
      <c r="U146" s="125">
        <v>0.228048479399794</v>
      </c>
      <c r="V146" s="126">
        <v>0.30747205901326002</v>
      </c>
      <c r="W146" s="125">
        <v>0.25166563505797701</v>
      </c>
      <c r="X146" s="125">
        <v>0.237508278181772</v>
      </c>
      <c r="Y146" s="125">
        <v>0.23067106275545901</v>
      </c>
      <c r="Z146" s="125">
        <v>0.22151739741811299</v>
      </c>
      <c r="AA146" s="125">
        <v>0.19520000000000001</v>
      </c>
      <c r="AB146" s="125">
        <v>0.23868549869820699</v>
      </c>
      <c r="AC146" s="124">
        <v>0.21638570069111901</v>
      </c>
    </row>
    <row r="147" spans="2:29" ht="14.25" x14ac:dyDescent="0.45">
      <c r="B147" s="59" t="s">
        <v>1450</v>
      </c>
      <c r="C147" s="73"/>
      <c r="D147" s="73"/>
      <c r="E147" s="75">
        <v>0.102534491476213</v>
      </c>
      <c r="F147" s="75">
        <v>0.102534491476213</v>
      </c>
      <c r="G147" s="75">
        <v>0.15345400280798999</v>
      </c>
      <c r="H147" s="75">
        <v>0.15345400280798999</v>
      </c>
      <c r="I147" s="75">
        <v>0.15745210403031401</v>
      </c>
      <c r="J147" s="75">
        <v>0.15745210403031401</v>
      </c>
      <c r="K147" s="75">
        <v>0.102534491476213</v>
      </c>
      <c r="L147" s="127">
        <v>0.102534491476213</v>
      </c>
      <c r="M147" s="126">
        <v>7.3090889514284899E-2</v>
      </c>
      <c r="N147" s="125">
        <v>0.102534491476213</v>
      </c>
      <c r="O147" s="125">
        <v>9.0552349146087299E-2</v>
      </c>
      <c r="P147" s="126">
        <v>9.9356823227732302E-2</v>
      </c>
      <c r="Q147" s="125">
        <v>0.12437698368184499</v>
      </c>
      <c r="R147" s="124">
        <v>0.105524944804934</v>
      </c>
      <c r="S147" s="125">
        <v>0.120686400889097</v>
      </c>
      <c r="T147" s="125">
        <v>0.15345400280798999</v>
      </c>
      <c r="U147" s="125">
        <v>0.13181141343984901</v>
      </c>
      <c r="V147" s="126">
        <v>0.12667593230792901</v>
      </c>
      <c r="W147" s="125">
        <v>0.15745210403031401</v>
      </c>
      <c r="X147" s="125">
        <v>0.138420371574873</v>
      </c>
      <c r="Y147" s="125">
        <v>0.16535121624230401</v>
      </c>
      <c r="Z147" s="125">
        <v>0.15915238760921499</v>
      </c>
      <c r="AA147" s="125">
        <v>0.20219999999999999</v>
      </c>
      <c r="AB147" s="125">
        <v>5.5644789551493899E-2</v>
      </c>
      <c r="AC147" s="124">
        <v>0.170830579365259</v>
      </c>
    </row>
    <row r="148" spans="2:29" ht="14.25" x14ac:dyDescent="0.45">
      <c r="B148" s="59" t="s">
        <v>1449</v>
      </c>
      <c r="C148" s="73"/>
      <c r="D148" s="73"/>
      <c r="E148" s="75">
        <v>0</v>
      </c>
      <c r="F148" s="75">
        <v>0</v>
      </c>
      <c r="G148" s="75">
        <v>0</v>
      </c>
      <c r="H148" s="75">
        <v>0</v>
      </c>
      <c r="I148" s="75">
        <v>0</v>
      </c>
      <c r="J148" s="75">
        <v>0</v>
      </c>
      <c r="K148" s="75">
        <v>0</v>
      </c>
      <c r="L148" s="127">
        <v>0</v>
      </c>
      <c r="M148" s="126">
        <v>0</v>
      </c>
      <c r="N148" s="125">
        <v>0</v>
      </c>
      <c r="O148" s="125">
        <v>0</v>
      </c>
      <c r="P148" s="126">
        <v>0</v>
      </c>
      <c r="Q148" s="125">
        <v>0</v>
      </c>
      <c r="R148" s="125">
        <v>0</v>
      </c>
      <c r="S148" s="126">
        <v>0</v>
      </c>
      <c r="T148" s="125">
        <v>0</v>
      </c>
      <c r="U148" s="125">
        <v>0</v>
      </c>
      <c r="V148" s="126">
        <v>0</v>
      </c>
      <c r="W148" s="125">
        <v>0</v>
      </c>
      <c r="X148" s="125">
        <v>0</v>
      </c>
      <c r="Y148" s="125">
        <v>0</v>
      </c>
      <c r="Z148" s="125">
        <v>0</v>
      </c>
      <c r="AA148" s="125">
        <v>0</v>
      </c>
      <c r="AB148" s="125">
        <v>1.6951556715386399E-2</v>
      </c>
      <c r="AC148" s="124">
        <v>0</v>
      </c>
    </row>
    <row r="149" spans="2:29" ht="14.25" x14ac:dyDescent="0.45">
      <c r="B149" s="59" t="s">
        <v>1448</v>
      </c>
      <c r="C149" s="73"/>
      <c r="D149" s="73"/>
      <c r="E149" s="75">
        <v>1.3955543405964501E-2</v>
      </c>
      <c r="F149" s="75">
        <v>1.3955543405964501E-2</v>
      </c>
      <c r="G149" s="75">
        <v>2.1120901584998401E-2</v>
      </c>
      <c r="H149" s="75">
        <v>2.1120901584998401E-2</v>
      </c>
      <c r="I149" s="75">
        <v>2.1532512583594302E-2</v>
      </c>
      <c r="J149" s="75">
        <v>2.1532512583594302E-2</v>
      </c>
      <c r="K149" s="75">
        <v>1.3955543405964501E-2</v>
      </c>
      <c r="L149" s="127">
        <v>1.3955543405964501E-2</v>
      </c>
      <c r="M149" s="126">
        <v>1.30515807429372E-2</v>
      </c>
      <c r="N149" s="125">
        <v>1.3955543405964501E-2</v>
      </c>
      <c r="O149" s="125">
        <v>1.2929950126299199E-2</v>
      </c>
      <c r="P149" s="126">
        <v>1.7948908125486902E-2</v>
      </c>
      <c r="Q149" s="125">
        <v>1.70357149695252E-2</v>
      </c>
      <c r="R149" s="124">
        <v>1.51011863076243E-2</v>
      </c>
      <c r="S149" s="125">
        <v>2.19069267638725E-2</v>
      </c>
      <c r="T149" s="125">
        <v>2.1120901584998401E-2</v>
      </c>
      <c r="U149" s="125">
        <v>1.8939994359981199E-2</v>
      </c>
      <c r="V149" s="126">
        <v>2.2849894280062601E-2</v>
      </c>
      <c r="W149" s="125">
        <v>2.1532512583594302E-2</v>
      </c>
      <c r="X149" s="125">
        <v>1.9785718408244501E-2</v>
      </c>
      <c r="Y149" s="125">
        <v>2.0843277841987602E-2</v>
      </c>
      <c r="Z149" s="125">
        <v>2.5423473030304001E-2</v>
      </c>
      <c r="AA149" s="125">
        <v>2.0899999999999998E-2</v>
      </c>
      <c r="AB149" s="125">
        <v>2.0472446311063801E-2</v>
      </c>
      <c r="AC149" s="124">
        <v>2.0379804213493599E-2</v>
      </c>
    </row>
    <row r="150" spans="2:29" ht="14.25" x14ac:dyDescent="0.45">
      <c r="B150" s="59" t="s">
        <v>1447</v>
      </c>
      <c r="C150" s="73"/>
      <c r="D150" s="73"/>
      <c r="E150" s="75">
        <v>0.23213169761182301</v>
      </c>
      <c r="F150" s="75">
        <v>0.23213169761182301</v>
      </c>
      <c r="G150" s="75">
        <v>0.16437235080384799</v>
      </c>
      <c r="H150" s="75">
        <v>0.16437235080384799</v>
      </c>
      <c r="I150" s="75">
        <v>0.11734846603878001</v>
      </c>
      <c r="J150" s="75">
        <v>0.11734846603878001</v>
      </c>
      <c r="K150" s="75">
        <v>0.23213169761182301</v>
      </c>
      <c r="L150" s="127">
        <v>0.23213169761182301</v>
      </c>
      <c r="M150" s="126">
        <v>0.23776061820198299</v>
      </c>
      <c r="N150" s="125">
        <v>0.23213169761182301</v>
      </c>
      <c r="O150" s="125">
        <v>0.24282656044058601</v>
      </c>
      <c r="P150" s="126">
        <v>0.194585288223833</v>
      </c>
      <c r="Q150" s="125">
        <v>0.21248575151111801</v>
      </c>
      <c r="R150" s="124">
        <v>0.198355506643281</v>
      </c>
      <c r="S150" s="125">
        <v>0.15154107864712699</v>
      </c>
      <c r="T150" s="125">
        <v>0.16437235080384799</v>
      </c>
      <c r="U150" s="125">
        <v>0.14559973775417001</v>
      </c>
      <c r="V150" s="126">
        <v>0.11573974054201799</v>
      </c>
      <c r="W150" s="125">
        <v>0.11734846603878001</v>
      </c>
      <c r="X150" s="125">
        <v>0.10406491042558701</v>
      </c>
      <c r="Y150" s="125">
        <v>0.11789866161432599</v>
      </c>
      <c r="Z150" s="125">
        <v>0.115318319052162</v>
      </c>
      <c r="AA150" s="125">
        <v>0.14779999999999999</v>
      </c>
      <c r="AB150" s="125">
        <v>0.197733143985833</v>
      </c>
      <c r="AC150" s="124">
        <v>0.121398158345359</v>
      </c>
    </row>
    <row r="151" spans="2:29" ht="14.25" x14ac:dyDescent="0.45">
      <c r="B151" s="59" t="s">
        <v>1446</v>
      </c>
      <c r="C151" s="73"/>
      <c r="D151" s="73"/>
      <c r="E151" s="75">
        <v>0.19532339202445401</v>
      </c>
      <c r="F151" s="75">
        <v>0.19532339202445401</v>
      </c>
      <c r="G151" s="75">
        <v>0.186540406195461</v>
      </c>
      <c r="H151" s="75">
        <v>0.186540406195461</v>
      </c>
      <c r="I151" s="75">
        <v>0.23852132293342199</v>
      </c>
      <c r="J151" s="75">
        <v>0.23852132293342199</v>
      </c>
      <c r="K151" s="75">
        <v>0.19532339202445401</v>
      </c>
      <c r="L151" s="127">
        <v>0.19532339202445401</v>
      </c>
      <c r="M151" s="126">
        <v>0.19775332095095999</v>
      </c>
      <c r="N151" s="125">
        <v>0.19532339202445401</v>
      </c>
      <c r="O151" s="125">
        <v>0.201081097422776</v>
      </c>
      <c r="P151" s="126">
        <v>0.20565181280150099</v>
      </c>
      <c r="Q151" s="125">
        <v>0.18190195883509899</v>
      </c>
      <c r="R151" s="124">
        <v>0.205542894526938</v>
      </c>
      <c r="S151" s="125">
        <v>0.201201439958684</v>
      </c>
      <c r="T151" s="125">
        <v>0.186540406195461</v>
      </c>
      <c r="U151" s="125">
        <v>0.203766387471224</v>
      </c>
      <c r="V151" s="126">
        <v>0.22665047077912401</v>
      </c>
      <c r="W151" s="125">
        <v>0.23852132293342199</v>
      </c>
      <c r="X151" s="125">
        <v>0.230849837505751</v>
      </c>
      <c r="Y151" s="125">
        <v>0.24578149702392699</v>
      </c>
      <c r="Z151" s="125">
        <v>0.24537707099353601</v>
      </c>
      <c r="AA151" s="125">
        <v>0.2235</v>
      </c>
      <c r="AB151" s="125">
        <v>0.249827333567544</v>
      </c>
      <c r="AC151" s="124">
        <v>0.24925031471543199</v>
      </c>
    </row>
    <row r="152" spans="2:29" ht="14.25" x14ac:dyDescent="0.45">
      <c r="B152" s="59" t="s">
        <v>1445</v>
      </c>
      <c r="C152" s="73"/>
      <c r="D152" s="73"/>
      <c r="E152" s="75">
        <v>0</v>
      </c>
      <c r="F152" s="75">
        <v>0</v>
      </c>
      <c r="G152" s="75">
        <v>0</v>
      </c>
      <c r="H152" s="75">
        <v>0</v>
      </c>
      <c r="I152" s="75">
        <v>0</v>
      </c>
      <c r="J152" s="75">
        <v>0</v>
      </c>
      <c r="K152" s="75">
        <v>0</v>
      </c>
      <c r="L152" s="127">
        <v>0</v>
      </c>
      <c r="M152" s="126">
        <v>0</v>
      </c>
      <c r="N152" s="125">
        <v>0</v>
      </c>
      <c r="O152" s="125">
        <v>0</v>
      </c>
      <c r="P152" s="126">
        <v>0</v>
      </c>
      <c r="Q152" s="125">
        <v>0</v>
      </c>
      <c r="R152" s="125">
        <v>0</v>
      </c>
      <c r="S152" s="126">
        <v>0</v>
      </c>
      <c r="T152" s="125">
        <v>0</v>
      </c>
      <c r="U152" s="125">
        <v>0</v>
      </c>
      <c r="V152" s="126">
        <v>0</v>
      </c>
      <c r="W152" s="125">
        <v>0</v>
      </c>
      <c r="X152" s="125">
        <v>0</v>
      </c>
      <c r="Y152" s="125">
        <v>0</v>
      </c>
      <c r="Z152" s="125">
        <v>0</v>
      </c>
      <c r="AA152" s="125">
        <v>0</v>
      </c>
      <c r="AB152" s="125">
        <v>0</v>
      </c>
      <c r="AC152" s="124">
        <v>0</v>
      </c>
    </row>
    <row r="153" spans="2:29" ht="14.25" x14ac:dyDescent="0.45">
      <c r="B153" s="59" t="s">
        <v>1444</v>
      </c>
      <c r="C153" s="73"/>
      <c r="D153" s="73"/>
      <c r="E153" s="75">
        <v>1.2521658402665699E-2</v>
      </c>
      <c r="F153" s="75">
        <v>1.2521658402665699E-2</v>
      </c>
      <c r="G153" s="75">
        <v>1.65018967218367E-2</v>
      </c>
      <c r="H153" s="75">
        <v>1.65018967218367E-2</v>
      </c>
      <c r="I153" s="75">
        <v>1.6126946263199601E-2</v>
      </c>
      <c r="J153" s="75">
        <v>1.6126946263199601E-2</v>
      </c>
      <c r="K153" s="75">
        <v>1.2521658402665699E-2</v>
      </c>
      <c r="L153" s="127">
        <v>1.2521658402665699E-2</v>
      </c>
      <c r="M153" s="126">
        <v>1.15415168156558E-2</v>
      </c>
      <c r="N153" s="125">
        <v>1.2521658402665699E-2</v>
      </c>
      <c r="O153" s="125">
        <v>1.9443381641884201E-2</v>
      </c>
      <c r="P153" s="126">
        <v>1.47129505856003E-2</v>
      </c>
      <c r="Q153" s="125">
        <v>1.44988161886243E-2</v>
      </c>
      <c r="R153" s="124">
        <v>2.0505301681940799E-2</v>
      </c>
      <c r="S153" s="125">
        <v>1.6507311419533599E-2</v>
      </c>
      <c r="T153" s="125">
        <v>1.65018967218367E-2</v>
      </c>
      <c r="U153" s="125">
        <v>2.4078107222399499E-2</v>
      </c>
      <c r="V153" s="126">
        <v>1.6505262533353899E-2</v>
      </c>
      <c r="W153" s="125">
        <v>1.6126946263199601E-2</v>
      </c>
      <c r="X153" s="125">
        <v>2.4508889343154899E-2</v>
      </c>
      <c r="Y153" s="125">
        <v>1.6016442062976099E-2</v>
      </c>
      <c r="Z153" s="125">
        <v>1.8334144977653399E-2</v>
      </c>
      <c r="AA153" s="125">
        <v>1.9E-2</v>
      </c>
      <c r="AB153" s="125">
        <v>1.9203797299898798E-2</v>
      </c>
      <c r="AC153" s="124">
        <v>1.5939564324773201E-2</v>
      </c>
    </row>
    <row r="154" spans="2:29" ht="14.25" x14ac:dyDescent="0.45">
      <c r="B154" s="59" t="s">
        <v>1443</v>
      </c>
      <c r="C154" s="73"/>
      <c r="D154" s="73"/>
      <c r="E154" s="75">
        <v>3.4955410224960702E-2</v>
      </c>
      <c r="F154" s="75">
        <v>3.4955410224960702E-2</v>
      </c>
      <c r="G154" s="75">
        <v>4.6066627187253101E-2</v>
      </c>
      <c r="H154" s="75">
        <v>4.6066627187253101E-2</v>
      </c>
      <c r="I154" s="75">
        <v>4.50199170252105E-2</v>
      </c>
      <c r="J154" s="75">
        <v>4.50199170252105E-2</v>
      </c>
      <c r="K154" s="75">
        <v>3.4955410224960702E-2</v>
      </c>
      <c r="L154" s="127">
        <v>3.4955410224960702E-2</v>
      </c>
      <c r="M154" s="126">
        <v>3.2219250991836999E-2</v>
      </c>
      <c r="N154" s="125">
        <v>3.4955410224960702E-2</v>
      </c>
      <c r="O154" s="125">
        <v>5.4278064422189E-2</v>
      </c>
      <c r="P154" s="126">
        <v>4.1072612492746699E-2</v>
      </c>
      <c r="Q154" s="125">
        <v>4.0474835788665897E-2</v>
      </c>
      <c r="R154" s="124">
        <v>5.7242516049329902E-2</v>
      </c>
      <c r="S154" s="125">
        <v>4.60817428351291E-2</v>
      </c>
      <c r="T154" s="125">
        <v>4.6066627187253101E-2</v>
      </c>
      <c r="U154" s="125">
        <v>6.7216345338121194E-2</v>
      </c>
      <c r="V154" s="126">
        <v>4.6076023172875701E-2</v>
      </c>
      <c r="W154" s="125">
        <v>4.50199170252105E-2</v>
      </c>
      <c r="X154" s="125">
        <v>6.8418914939075898E-2</v>
      </c>
      <c r="Y154" s="125">
        <v>4.4711433953226E-2</v>
      </c>
      <c r="Z154" s="125">
        <v>5.1181523901126597E-2</v>
      </c>
      <c r="AA154" s="125">
        <v>5.4800000000000001E-2</v>
      </c>
      <c r="AB154" s="125">
        <v>5.5530453759101803E-2</v>
      </c>
      <c r="AC154" s="124">
        <v>4.4496822374660898E-2</v>
      </c>
    </row>
    <row r="155" spans="2:29" ht="14.25" x14ac:dyDescent="0.45">
      <c r="B155" s="59" t="s">
        <v>1442</v>
      </c>
      <c r="C155" s="73"/>
      <c r="D155" s="73"/>
      <c r="E155" s="75">
        <v>3.495541022496066E-2</v>
      </c>
      <c r="F155" s="75">
        <v>3.495541022496066E-2</v>
      </c>
      <c r="G155" s="75">
        <v>4.6066627187253101E-2</v>
      </c>
      <c r="H155" s="75">
        <v>4.6066627187253101E-2</v>
      </c>
      <c r="I155" s="75">
        <v>4.50199170252105E-2</v>
      </c>
      <c r="J155" s="75">
        <v>4.50199170252105E-2</v>
      </c>
      <c r="K155" s="75">
        <v>3.495541022496066E-2</v>
      </c>
      <c r="L155" s="127">
        <v>3.495541022496066E-2</v>
      </c>
      <c r="M155" s="126">
        <v>3.2219250991836999E-2</v>
      </c>
      <c r="N155" s="125">
        <v>3.495541022496066E-2</v>
      </c>
      <c r="O155" s="125">
        <v>5.4278064422189021E-2</v>
      </c>
      <c r="P155" s="126">
        <v>4.1072612492746664E-2</v>
      </c>
      <c r="Q155" s="125">
        <v>4.0474835788665897E-2</v>
      </c>
      <c r="R155" s="124">
        <v>5.7242516049329902E-2</v>
      </c>
      <c r="S155" s="125">
        <v>4.6081742835129148E-2</v>
      </c>
      <c r="T155" s="125">
        <v>4.6066627187253101E-2</v>
      </c>
      <c r="U155" s="125">
        <v>6.7216345338121208E-2</v>
      </c>
      <c r="V155" s="126">
        <v>4.6076023172875735E-2</v>
      </c>
      <c r="W155" s="125">
        <v>4.50199170252105E-2</v>
      </c>
      <c r="X155" s="125">
        <v>6.8418914939075939E-2</v>
      </c>
      <c r="Y155" s="125">
        <v>4.4711433953225993E-2</v>
      </c>
      <c r="Z155" s="125">
        <v>5.1181523901126624E-2</v>
      </c>
      <c r="AA155" s="125">
        <v>5.4800000000000001E-2</v>
      </c>
      <c r="AB155" s="125">
        <v>5.5530453759101803E-2</v>
      </c>
      <c r="AC155" s="124">
        <v>4.4496822374660933E-2</v>
      </c>
    </row>
    <row r="156" spans="2:29" ht="14.25" x14ac:dyDescent="0.45">
      <c r="B156" s="59" t="s">
        <v>1441</v>
      </c>
      <c r="C156" s="73"/>
      <c r="D156" s="73"/>
      <c r="E156" s="75">
        <v>1.54440385354183E-2</v>
      </c>
      <c r="F156" s="75">
        <v>1.54440385354183E-2</v>
      </c>
      <c r="G156" s="75">
        <v>1.3506611478959299E-2</v>
      </c>
      <c r="H156" s="75">
        <v>1.3506611478959299E-2</v>
      </c>
      <c r="I156" s="75">
        <v>1.1037567619927901E-2</v>
      </c>
      <c r="J156" s="75">
        <v>1.1037567619927901E-2</v>
      </c>
      <c r="K156" s="75">
        <v>1.54440385354183E-2</v>
      </c>
      <c r="L156" s="127">
        <v>1.54440385354183E-2</v>
      </c>
      <c r="M156" s="126">
        <v>1.48571266980865E-2</v>
      </c>
      <c r="N156" s="125">
        <v>1.54440385354183E-2</v>
      </c>
      <c r="O156" s="125">
        <v>1.9815487421825199E-2</v>
      </c>
      <c r="P156" s="126">
        <v>1.55304037814282E-2</v>
      </c>
      <c r="Q156" s="125">
        <v>1.5499852005645499E-2</v>
      </c>
      <c r="R156" s="124">
        <v>1.43589922085317E-2</v>
      </c>
      <c r="S156" s="125">
        <v>1.3336443418351499E-2</v>
      </c>
      <c r="T156" s="125">
        <v>1.3506611478959299E-2</v>
      </c>
      <c r="U156" s="125">
        <v>1.1573919807589299E-2</v>
      </c>
      <c r="V156" s="126">
        <v>1.11279533457759E-2</v>
      </c>
      <c r="W156" s="125">
        <v>1.1037567619927901E-2</v>
      </c>
      <c r="X156" s="125">
        <v>9.6805349367548692E-3</v>
      </c>
      <c r="Y156" s="125">
        <v>1.09632028894252E-2</v>
      </c>
      <c r="Z156" s="125">
        <v>1.06812607985262E-2</v>
      </c>
      <c r="AA156" s="125">
        <v>2.1399999999999999E-2</v>
      </c>
      <c r="AB156" s="125">
        <v>2.7502156161200601E-2</v>
      </c>
      <c r="AC156" s="124">
        <v>1.1311737806353099E-2</v>
      </c>
    </row>
    <row r="157" spans="2:29" ht="14.25" x14ac:dyDescent="0.45">
      <c r="B157" s="59" t="s">
        <v>1440</v>
      </c>
      <c r="C157" s="73"/>
      <c r="D157" s="73"/>
      <c r="E157" s="75">
        <v>4.8440277379864297E-3</v>
      </c>
      <c r="F157" s="75">
        <v>4.8440277379864297E-3</v>
      </c>
      <c r="G157" s="75">
        <v>3.6449162575518399E-3</v>
      </c>
      <c r="H157" s="75">
        <v>3.6449162575518399E-3</v>
      </c>
      <c r="I157" s="75">
        <v>3.6105331664017899E-3</v>
      </c>
      <c r="J157" s="75">
        <v>3.6105331664017899E-3</v>
      </c>
      <c r="K157" s="75">
        <v>4.8440277379864297E-3</v>
      </c>
      <c r="L157" s="127">
        <v>4.8440277379864297E-3</v>
      </c>
      <c r="M157" s="126">
        <v>4.8903623088712104E-3</v>
      </c>
      <c r="N157" s="125">
        <v>4.8440277379864297E-3</v>
      </c>
      <c r="O157" s="125">
        <v>5.4628457910317601E-3</v>
      </c>
      <c r="P157" s="126">
        <v>4.3458103363713096E-3</v>
      </c>
      <c r="Q157" s="125">
        <v>4.45957370777609E-3</v>
      </c>
      <c r="R157" s="124">
        <v>3.9923466148782004E-3</v>
      </c>
      <c r="S157" s="125">
        <v>3.52268840160948E-3</v>
      </c>
      <c r="T157" s="125">
        <v>3.6449162575518399E-3</v>
      </c>
      <c r="U157" s="125">
        <v>3.05021465850378E-3</v>
      </c>
      <c r="V157" s="126">
        <v>3.4772333226007501E-3</v>
      </c>
      <c r="W157" s="125">
        <v>3.6105331664017899E-3</v>
      </c>
      <c r="X157" s="125">
        <v>3.0510425444329001E-3</v>
      </c>
      <c r="Y157" s="125">
        <v>3.6839508063888798E-3</v>
      </c>
      <c r="Z157" s="125">
        <v>3.5709730736116102E-3</v>
      </c>
      <c r="AA157" s="125">
        <v>4.0000000000000001E-3</v>
      </c>
      <c r="AB157" s="125">
        <v>5.6415269064953996E-3</v>
      </c>
      <c r="AC157" s="124">
        <v>3.8053249161112399E-3</v>
      </c>
    </row>
    <row r="158" spans="2:29" ht="14.25" x14ac:dyDescent="0.45">
      <c r="B158" s="59" t="s">
        <v>1439</v>
      </c>
      <c r="C158" s="73"/>
      <c r="D158" s="73"/>
      <c r="E158" s="75">
        <v>2.59439525129201E-3</v>
      </c>
      <c r="F158" s="75">
        <v>2.59439525129201E-3</v>
      </c>
      <c r="G158" s="75">
        <v>2.1569342081906198E-3</v>
      </c>
      <c r="H158" s="75">
        <v>2.1569342081906198E-3</v>
      </c>
      <c r="I158" s="75">
        <v>2.0592672049988699E-3</v>
      </c>
      <c r="J158" s="75">
        <v>2.0592672049988699E-3</v>
      </c>
      <c r="K158" s="75">
        <v>2.59439525129201E-3</v>
      </c>
      <c r="L158" s="127">
        <v>2.59439525129201E-3</v>
      </c>
      <c r="M158" s="126">
        <v>2.52681877834554E-3</v>
      </c>
      <c r="N158" s="125">
        <v>2.59439525129201E-3</v>
      </c>
      <c r="O158" s="125">
        <v>2.8726958292788099E-3</v>
      </c>
      <c r="P158" s="126">
        <v>2.0833199686797199E-3</v>
      </c>
      <c r="Q158" s="125">
        <v>2.1192230048191199E-3</v>
      </c>
      <c r="R158" s="124">
        <v>2.2185079092080198E-3</v>
      </c>
      <c r="S158" s="125">
        <v>2.10836886394292E-3</v>
      </c>
      <c r="T158" s="125">
        <v>2.1569342081906198E-3</v>
      </c>
      <c r="U158" s="125">
        <v>2.29408040311968E-3</v>
      </c>
      <c r="V158" s="126">
        <v>2.03170194567824E-3</v>
      </c>
      <c r="W158" s="125">
        <v>2.0592672049988699E-3</v>
      </c>
      <c r="X158" s="125">
        <v>2.2341622446212001E-3</v>
      </c>
      <c r="Y158" s="125">
        <v>2.08468311766881E-3</v>
      </c>
      <c r="Z158" s="125">
        <v>2.1268526385915098E-3</v>
      </c>
      <c r="AA158" s="125">
        <v>1.23E-2</v>
      </c>
      <c r="AB158" s="125">
        <v>1.15174465821776E-2</v>
      </c>
      <c r="AC158" s="124">
        <v>2.0813342973265898E-3</v>
      </c>
    </row>
    <row r="159" spans="2:29" ht="14.25" x14ac:dyDescent="0.45">
      <c r="B159" s="59" t="s">
        <v>1438</v>
      </c>
      <c r="C159" s="73"/>
      <c r="D159" s="73"/>
      <c r="E159" s="75">
        <v>1.2786179375867301E-2</v>
      </c>
      <c r="F159" s="75">
        <v>1.2786179375867301E-2</v>
      </c>
      <c r="G159" s="75">
        <v>1.00769652656567E-2</v>
      </c>
      <c r="H159" s="75">
        <v>1.00769652656567E-2</v>
      </c>
      <c r="I159" s="75">
        <v>6.1877267563183597E-3</v>
      </c>
      <c r="J159" s="75">
        <v>6.1877267563183597E-3</v>
      </c>
      <c r="K159" s="75">
        <v>1.2786179375867301E-2</v>
      </c>
      <c r="L159" s="127">
        <v>1.2786179375867301E-2</v>
      </c>
      <c r="M159" s="126">
        <v>1.2378989117244599E-2</v>
      </c>
      <c r="N159" s="125">
        <v>1.2786179375867301E-2</v>
      </c>
      <c r="O159" s="125">
        <v>1.42235538701923E-2</v>
      </c>
      <c r="P159" s="126">
        <v>9.5076840221613099E-3</v>
      </c>
      <c r="Q159" s="125">
        <v>9.7482875220888405E-3</v>
      </c>
      <c r="R159" s="124">
        <v>1.0621918008887499E-2</v>
      </c>
      <c r="S159" s="125">
        <v>9.8440962889694006E-3</v>
      </c>
      <c r="T159" s="125">
        <v>1.00769652656567E-2</v>
      </c>
      <c r="U159" s="125">
        <v>1.10589022545545E-2</v>
      </c>
      <c r="V159" s="126">
        <v>6.1348401726151998E-3</v>
      </c>
      <c r="W159" s="125">
        <v>6.1877267563183597E-3</v>
      </c>
      <c r="X159" s="125">
        <v>7.0906810184397104E-3</v>
      </c>
      <c r="Y159" s="125">
        <v>6.2228072902844002E-3</v>
      </c>
      <c r="Z159" s="125">
        <v>6.3842649390416098E-3</v>
      </c>
      <c r="AA159" s="125">
        <v>1.4200000000000001E-2</v>
      </c>
      <c r="AB159" s="125">
        <v>1.24071068756486E-2</v>
      </c>
      <c r="AC159" s="124">
        <v>6.1883823386734401E-3</v>
      </c>
    </row>
    <row r="160" spans="2:29" ht="14.25" x14ac:dyDescent="0.45">
      <c r="B160" s="59" t="s">
        <v>1437</v>
      </c>
      <c r="C160" s="73"/>
      <c r="D160" s="73"/>
      <c r="E160" s="75">
        <v>9.1901306307179305E-3</v>
      </c>
      <c r="F160" s="75">
        <v>9.1901306307179305E-3</v>
      </c>
      <c r="G160" s="75">
        <v>4.3901105099765298E-3</v>
      </c>
      <c r="H160" s="75">
        <v>4.3901105099765298E-3</v>
      </c>
      <c r="I160" s="75">
        <v>4.8514138103970001E-3</v>
      </c>
      <c r="J160" s="75">
        <v>4.8514138103970001E-3</v>
      </c>
      <c r="K160" s="75">
        <v>9.1901306307179305E-3</v>
      </c>
      <c r="L160" s="127">
        <v>9.1901306307179305E-3</v>
      </c>
      <c r="M160" s="126">
        <v>9.9216062037081401E-3</v>
      </c>
      <c r="N160" s="125">
        <v>9.1901306307179305E-3</v>
      </c>
      <c r="O160" s="125">
        <v>7.2916442900519103E-3</v>
      </c>
      <c r="P160" s="126">
        <v>5.1187344255155002E-3</v>
      </c>
      <c r="Q160" s="125">
        <v>5.9460293314453801E-3</v>
      </c>
      <c r="R160" s="124">
        <v>5.5921403820510703E-3</v>
      </c>
      <c r="S160" s="125">
        <v>3.7999912944197702E-3</v>
      </c>
      <c r="T160" s="125">
        <v>4.3901105099765298E-3</v>
      </c>
      <c r="U160" s="125">
        <v>4.1793055820743196E-3</v>
      </c>
      <c r="V160" s="126">
        <v>4.3452574965425501E-3</v>
      </c>
      <c r="W160" s="125">
        <v>4.8514138103970001E-3</v>
      </c>
      <c r="X160" s="125">
        <v>4.6457615017394703E-3</v>
      </c>
      <c r="Y160" s="125">
        <v>5.1019219728491499E-3</v>
      </c>
      <c r="Z160" s="125">
        <v>5.0865116900215401E-3</v>
      </c>
      <c r="AA160" s="125">
        <v>3.8999999999999998E-3</v>
      </c>
      <c r="AB160" s="125">
        <v>4.0638386006806798E-3</v>
      </c>
      <c r="AC160" s="124">
        <v>5.18478394495063E-3</v>
      </c>
    </row>
    <row r="161" spans="1:29" ht="14.25" x14ac:dyDescent="0.45">
      <c r="B161" s="59" t="s">
        <v>1436</v>
      </c>
      <c r="C161" s="73"/>
      <c r="D161" s="73"/>
      <c r="E161" s="75">
        <v>7.0436032876330198E-2</v>
      </c>
      <c r="F161" s="75">
        <v>7.0436032876330198E-2</v>
      </c>
      <c r="G161" s="75">
        <v>3.4503198184749298E-2</v>
      </c>
      <c r="H161" s="75">
        <v>3.4503198184749298E-2</v>
      </c>
      <c r="I161" s="75">
        <v>4.3006838267339399E-2</v>
      </c>
      <c r="J161" s="75">
        <v>4.3006838267339399E-2</v>
      </c>
      <c r="K161" s="75">
        <v>7.0436032876330198E-2</v>
      </c>
      <c r="L161" s="127">
        <v>7.0436032876330198E-2</v>
      </c>
      <c r="M161" s="126">
        <v>7.4077976158456196E-2</v>
      </c>
      <c r="N161" s="125">
        <v>7.0436032876330198E-2</v>
      </c>
      <c r="O161" s="125">
        <v>5.7321282604789199E-2</v>
      </c>
      <c r="P161" s="126">
        <v>4.02991552482184E-2</v>
      </c>
      <c r="Q161" s="125">
        <v>5.1308009257653997E-2</v>
      </c>
      <c r="R161" s="124">
        <v>5.7928660903243098E-2</v>
      </c>
      <c r="S161" s="125">
        <v>2.6937568723038201E-2</v>
      </c>
      <c r="T161" s="125">
        <v>3.4503198184749298E-2</v>
      </c>
      <c r="U161" s="125">
        <v>4.1059608371681502E-2</v>
      </c>
      <c r="V161" s="126">
        <v>3.41234634961258E-2</v>
      </c>
      <c r="W161" s="125">
        <v>4.3006838267339399E-2</v>
      </c>
      <c r="X161" s="125">
        <v>5.1003643494064103E-2</v>
      </c>
      <c r="Y161" s="125">
        <v>4.6256747742549703E-2</v>
      </c>
      <c r="Z161" s="125">
        <v>4.6318514755860601E-2</v>
      </c>
      <c r="AA161" s="125">
        <v>1.12E-2</v>
      </c>
      <c r="AB161" s="125">
        <v>1.2597151762914901E-2</v>
      </c>
      <c r="AC161" s="124">
        <v>4.7623663243967398E-2</v>
      </c>
    </row>
    <row r="162" spans="1:29" ht="14.25" x14ac:dyDescent="0.45">
      <c r="B162" s="57" t="s">
        <v>1435</v>
      </c>
      <c r="C162" s="78"/>
      <c r="D162" s="78"/>
      <c r="E162" s="78">
        <v>9.5706758984235196E-2</v>
      </c>
      <c r="F162" s="78">
        <v>9.5706758984235196E-2</v>
      </c>
      <c r="G162" s="78">
        <v>4.9755324299218584E-2</v>
      </c>
      <c r="H162" s="78">
        <v>4.9755324299218584E-2</v>
      </c>
      <c r="I162" s="78">
        <v>3.6559832216908839E-2</v>
      </c>
      <c r="J162" s="78">
        <v>3.6559832216908839E-2</v>
      </c>
      <c r="K162" s="78">
        <v>9.5706758984235196E-2</v>
      </c>
      <c r="L162" s="76">
        <v>9.5706758984235196E-2</v>
      </c>
      <c r="M162" s="123">
        <v>0.10882154792427401</v>
      </c>
      <c r="N162" s="122">
        <v>9.5706758984235196E-2</v>
      </c>
      <c r="O162" s="122">
        <v>6.2506319317212178E-2</v>
      </c>
      <c r="P162" s="123">
        <v>6.7041453111426841E-2</v>
      </c>
      <c r="Q162" s="122">
        <v>8.0368527667893819E-2</v>
      </c>
      <c r="R162" s="56">
        <v>6.4374972869894687E-2</v>
      </c>
      <c r="S162" s="122">
        <v>4.0898992036595305E-2</v>
      </c>
      <c r="T162" s="122">
        <v>4.9755324299218584E-2</v>
      </c>
      <c r="U162" s="122">
        <v>4.0107158598816972E-2</v>
      </c>
      <c r="V162" s="123">
        <v>3.0714144419162426E-2</v>
      </c>
      <c r="W162" s="122">
        <v>3.6559832216908839E-2</v>
      </c>
      <c r="X162" s="122">
        <v>3.0318338942413536E-2</v>
      </c>
      <c r="Y162" s="122">
        <v>3.97016607334022E-2</v>
      </c>
      <c r="Z162" s="122">
        <v>3.834578122111032E-2</v>
      </c>
      <c r="AA162" s="122">
        <v>1.4800000000000146E-2</v>
      </c>
      <c r="AB162" s="122">
        <v>1.6691299463251652E-2</v>
      </c>
      <c r="AC162" s="56">
        <v>4.0627007047860153E-2</v>
      </c>
    </row>
    <row r="164" spans="1:29" ht="13.9" x14ac:dyDescent="0.4">
      <c r="A164" s="72" t="s">
        <v>1434</v>
      </c>
    </row>
    <row r="165" spans="1:29" ht="14.25" x14ac:dyDescent="0.45">
      <c r="B165" s="88">
        <v>0.5</v>
      </c>
      <c r="C165" s="39" t="s">
        <v>1433</v>
      </c>
    </row>
    <row r="166" spans="1:29" ht="14.25" x14ac:dyDescent="0.45">
      <c r="B166" s="88">
        <v>0.5</v>
      </c>
      <c r="C166" s="39" t="s">
        <v>1432</v>
      </c>
    </row>
    <row r="168" spans="1:29" ht="13.9" x14ac:dyDescent="0.4">
      <c r="A168" s="72" t="s">
        <v>1431</v>
      </c>
    </row>
    <row r="169" spans="1:29" ht="13.15" x14ac:dyDescent="0.4">
      <c r="A169" s="41" t="s">
        <v>1430</v>
      </c>
    </row>
    <row r="170" spans="1:29" ht="25.9" x14ac:dyDescent="0.4">
      <c r="A170" s="41"/>
      <c r="B170" s="91"/>
      <c r="C170" s="103" t="s">
        <v>1429</v>
      </c>
      <c r="D170" s="86" t="s">
        <v>1428</v>
      </c>
    </row>
    <row r="171" spans="1:29" ht="14.25" x14ac:dyDescent="0.45">
      <c r="A171" s="41"/>
      <c r="B171" s="110" t="s">
        <v>234</v>
      </c>
      <c r="C171" s="88">
        <v>0.73599999999999999</v>
      </c>
      <c r="D171" s="97">
        <v>0.26400000000000001</v>
      </c>
    </row>
    <row r="172" spans="1:29" ht="14.25" x14ac:dyDescent="0.45">
      <c r="A172" s="41"/>
      <c r="B172" s="110" t="s">
        <v>289</v>
      </c>
      <c r="C172" s="88">
        <v>0.89</v>
      </c>
      <c r="D172" s="97">
        <v>0.10999999999999999</v>
      </c>
    </row>
    <row r="173" spans="1:29" ht="14.25" x14ac:dyDescent="0.45">
      <c r="A173" s="41"/>
      <c r="B173" s="110" t="s">
        <v>290</v>
      </c>
      <c r="C173" s="88">
        <v>0.15</v>
      </c>
      <c r="D173" s="97">
        <v>0.85</v>
      </c>
    </row>
    <row r="174" spans="1:29" ht="14.25" x14ac:dyDescent="0.45">
      <c r="A174" s="41"/>
      <c r="B174" s="110" t="s">
        <v>236</v>
      </c>
      <c r="C174" s="88">
        <v>0.27</v>
      </c>
      <c r="D174" s="97">
        <v>0.73</v>
      </c>
    </row>
    <row r="175" spans="1:29" ht="14.25" x14ac:dyDescent="0.45">
      <c r="A175" s="41"/>
      <c r="B175" s="110" t="s">
        <v>237</v>
      </c>
      <c r="C175" s="88">
        <v>0.56000000000000005</v>
      </c>
      <c r="D175" s="97">
        <v>0.43999999999999995</v>
      </c>
    </row>
    <row r="176" spans="1:29" ht="14.25" x14ac:dyDescent="0.45">
      <c r="A176" s="41"/>
      <c r="B176" s="108" t="s">
        <v>1427</v>
      </c>
      <c r="C176" s="95">
        <v>0.47899999999999998</v>
      </c>
      <c r="D176" s="76">
        <v>0.52100000000000002</v>
      </c>
    </row>
    <row r="177" spans="1:10" ht="13.15" x14ac:dyDescent="0.4">
      <c r="A177" s="41"/>
    </row>
    <row r="178" spans="1:10" ht="13.15" x14ac:dyDescent="0.4">
      <c r="A178" s="41" t="s">
        <v>1426</v>
      </c>
    </row>
    <row r="179" spans="1:10" ht="13.15" x14ac:dyDescent="0.4">
      <c r="A179" s="41"/>
      <c r="B179" s="87" t="s">
        <v>1415</v>
      </c>
      <c r="C179" s="103" t="s">
        <v>1414</v>
      </c>
      <c r="D179" s="86" t="s">
        <v>1425</v>
      </c>
    </row>
    <row r="180" spans="1:10" ht="14.25" x14ac:dyDescent="0.45">
      <c r="A180" s="41"/>
      <c r="B180" s="85">
        <v>0.21099999999999999</v>
      </c>
      <c r="C180" s="95">
        <v>0.191</v>
      </c>
      <c r="D180" s="76">
        <v>0.59800000000000009</v>
      </c>
    </row>
    <row r="181" spans="1:10" ht="13.15" x14ac:dyDescent="0.4">
      <c r="A181" s="41"/>
    </row>
    <row r="182" spans="1:10" ht="13.15" x14ac:dyDescent="0.4">
      <c r="A182" s="41" t="s">
        <v>1424</v>
      </c>
    </row>
    <row r="183" spans="1:10" ht="25.9" x14ac:dyDescent="0.4">
      <c r="A183" s="41"/>
      <c r="B183" s="91"/>
      <c r="C183" s="103" t="s">
        <v>1323</v>
      </c>
      <c r="D183" s="103" t="s">
        <v>1423</v>
      </c>
      <c r="E183" s="103" t="s">
        <v>1322</v>
      </c>
      <c r="F183" s="103" t="s">
        <v>1422</v>
      </c>
      <c r="G183" s="103" t="s">
        <v>1321</v>
      </c>
      <c r="H183" s="103" t="s">
        <v>1331</v>
      </c>
      <c r="I183" s="103" t="s">
        <v>1330</v>
      </c>
      <c r="J183" s="86" t="s">
        <v>1310</v>
      </c>
    </row>
    <row r="184" spans="1:10" ht="13.15" x14ac:dyDescent="0.4">
      <c r="A184" s="41"/>
      <c r="B184" s="59" t="s">
        <v>1421</v>
      </c>
      <c r="C184" s="109">
        <v>1.0309999999999999</v>
      </c>
      <c r="D184" s="109">
        <v>1.0149999999999999</v>
      </c>
      <c r="E184" s="109">
        <v>1.054</v>
      </c>
      <c r="F184" s="109">
        <v>1</v>
      </c>
      <c r="G184" s="64">
        <v>1</v>
      </c>
      <c r="H184" s="120"/>
      <c r="I184" s="120"/>
      <c r="J184" s="121"/>
    </row>
    <row r="185" spans="1:10" ht="13.15" x14ac:dyDescent="0.4">
      <c r="A185" s="41"/>
      <c r="B185" s="59" t="s">
        <v>1420</v>
      </c>
      <c r="C185" s="120"/>
      <c r="D185" s="120"/>
      <c r="E185" s="120"/>
      <c r="F185" s="120"/>
      <c r="G185" s="120"/>
      <c r="H185" s="109">
        <v>1.0429999999999999</v>
      </c>
      <c r="I185" s="109">
        <v>1</v>
      </c>
      <c r="J185" s="93">
        <v>1</v>
      </c>
    </row>
    <row r="186" spans="1:10" ht="13.15" x14ac:dyDescent="0.4">
      <c r="A186" s="41"/>
      <c r="B186" s="59" t="s">
        <v>1419</v>
      </c>
      <c r="C186" s="120"/>
      <c r="D186" s="120"/>
      <c r="E186" s="120"/>
      <c r="F186" s="120"/>
      <c r="G186" s="120"/>
      <c r="H186" s="109">
        <v>1.0429999999999999</v>
      </c>
      <c r="I186" s="109">
        <v>1</v>
      </c>
      <c r="J186" s="93">
        <v>1</v>
      </c>
    </row>
    <row r="187" spans="1:10" ht="13.15" x14ac:dyDescent="0.4">
      <c r="A187" s="41"/>
      <c r="B187" s="57" t="s">
        <v>287</v>
      </c>
      <c r="C187" s="119"/>
      <c r="D187" s="119"/>
      <c r="E187" s="119"/>
      <c r="F187" s="119"/>
      <c r="G187" s="119"/>
      <c r="H187" s="106">
        <v>1.61</v>
      </c>
      <c r="I187" s="106">
        <v>1</v>
      </c>
      <c r="J187" s="92">
        <v>1</v>
      </c>
    </row>
    <row r="188" spans="1:10" ht="13.15" x14ac:dyDescent="0.4">
      <c r="A188" s="41"/>
    </row>
    <row r="189" spans="1:10" ht="13.15" x14ac:dyDescent="0.4">
      <c r="A189" s="41" t="s">
        <v>1418</v>
      </c>
    </row>
    <row r="190" spans="1:10" ht="13.15" x14ac:dyDescent="0.4">
      <c r="A190" s="41"/>
      <c r="B190" s="87" t="s">
        <v>288</v>
      </c>
      <c r="C190" s="86" t="s">
        <v>1417</v>
      </c>
    </row>
    <row r="191" spans="1:10" ht="14.25" x14ac:dyDescent="0.45">
      <c r="A191" s="41"/>
      <c r="B191" s="85">
        <v>0.85</v>
      </c>
      <c r="C191" s="76">
        <v>0.15000000000000002</v>
      </c>
    </row>
    <row r="192" spans="1:10" ht="13.15" x14ac:dyDescent="0.4">
      <c r="A192" s="41"/>
    </row>
    <row r="193" spans="1:13" ht="13.15" x14ac:dyDescent="0.4">
      <c r="A193" s="41" t="s">
        <v>1416</v>
      </c>
    </row>
    <row r="194" spans="1:13" ht="13.15" x14ac:dyDescent="0.4">
      <c r="A194" s="41"/>
      <c r="B194" s="87" t="s">
        <v>1415</v>
      </c>
      <c r="C194" s="103" t="s">
        <v>1414</v>
      </c>
      <c r="D194" s="86" t="s">
        <v>1413</v>
      </c>
    </row>
    <row r="195" spans="1:13" ht="14.25" x14ac:dyDescent="0.45">
      <c r="A195" s="41"/>
      <c r="B195" s="85">
        <v>0</v>
      </c>
      <c r="C195" s="95">
        <v>0.13</v>
      </c>
      <c r="D195" s="76">
        <v>0.87</v>
      </c>
    </row>
    <row r="196" spans="1:13" ht="13.15" x14ac:dyDescent="0.4">
      <c r="A196" s="41"/>
      <c r="E196" s="39" t="s">
        <v>1412</v>
      </c>
    </row>
    <row r="197" spans="1:13" ht="13.15" x14ac:dyDescent="0.4">
      <c r="A197" s="41" t="s">
        <v>1411</v>
      </c>
    </row>
    <row r="198" spans="1:13" ht="38.65" x14ac:dyDescent="0.4">
      <c r="A198" s="41"/>
      <c r="B198" s="91"/>
      <c r="C198" s="103" t="s">
        <v>1318</v>
      </c>
      <c r="D198" s="103" t="s">
        <v>1403</v>
      </c>
      <c r="E198" s="103" t="s">
        <v>1316</v>
      </c>
      <c r="F198" s="103" t="s">
        <v>1402</v>
      </c>
      <c r="G198" s="103" t="s">
        <v>1314</v>
      </c>
      <c r="H198" s="103" t="s">
        <v>1401</v>
      </c>
      <c r="I198" s="103" t="s">
        <v>1400</v>
      </c>
      <c r="J198" s="103" t="s">
        <v>1323</v>
      </c>
      <c r="K198" s="103" t="s">
        <v>1322</v>
      </c>
      <c r="L198" s="103" t="s">
        <v>1321</v>
      </c>
      <c r="M198" s="86" t="s">
        <v>1320</v>
      </c>
    </row>
    <row r="199" spans="1:13" ht="14.25" x14ac:dyDescent="0.45">
      <c r="A199" s="41"/>
      <c r="B199" s="117" t="s">
        <v>1410</v>
      </c>
      <c r="C199" s="115">
        <v>1</v>
      </c>
      <c r="D199" s="115">
        <v>1</v>
      </c>
      <c r="E199" s="115">
        <v>1</v>
      </c>
      <c r="F199" s="115">
        <v>1</v>
      </c>
      <c r="G199" s="115">
        <v>1.02</v>
      </c>
      <c r="H199" s="116"/>
      <c r="I199" s="116"/>
      <c r="J199" s="115">
        <v>1.0349999999999999</v>
      </c>
      <c r="K199" s="116"/>
      <c r="L199" s="114">
        <v>1</v>
      </c>
      <c r="M199" s="113"/>
    </row>
    <row r="200" spans="1:13" ht="14.25" x14ac:dyDescent="0.45">
      <c r="A200" s="41"/>
      <c r="B200" s="117" t="s">
        <v>1409</v>
      </c>
      <c r="C200" s="115">
        <v>1</v>
      </c>
      <c r="D200" s="115">
        <v>1</v>
      </c>
      <c r="E200" s="115">
        <v>1</v>
      </c>
      <c r="F200" s="115">
        <v>1</v>
      </c>
      <c r="G200" s="115">
        <v>1.02</v>
      </c>
      <c r="H200" s="116"/>
      <c r="I200" s="116"/>
      <c r="J200" s="115">
        <v>1.0349999999999999</v>
      </c>
      <c r="K200" s="115">
        <v>1</v>
      </c>
      <c r="L200" s="114">
        <v>1</v>
      </c>
      <c r="M200" s="113"/>
    </row>
    <row r="201" spans="1:13" ht="14.25" x14ac:dyDescent="0.45">
      <c r="A201" s="41"/>
      <c r="B201" s="117" t="s">
        <v>1408</v>
      </c>
      <c r="C201" s="115">
        <v>1</v>
      </c>
      <c r="D201" s="115">
        <v>1</v>
      </c>
      <c r="E201" s="115">
        <v>1</v>
      </c>
      <c r="F201" s="115">
        <v>1</v>
      </c>
      <c r="G201" s="115">
        <v>1.02</v>
      </c>
      <c r="H201" s="116"/>
      <c r="I201" s="116"/>
      <c r="J201" s="116"/>
      <c r="K201" s="116"/>
      <c r="L201" s="116"/>
      <c r="M201" s="118">
        <v>1</v>
      </c>
    </row>
    <row r="202" spans="1:13" ht="14.25" x14ac:dyDescent="0.45">
      <c r="A202" s="41"/>
      <c r="B202" s="117" t="s">
        <v>1407</v>
      </c>
      <c r="C202" s="116"/>
      <c r="D202" s="116"/>
      <c r="E202" s="116"/>
      <c r="F202" s="116"/>
      <c r="G202" s="116"/>
      <c r="H202" s="115">
        <v>0.96799999999999997</v>
      </c>
      <c r="I202" s="115">
        <v>1</v>
      </c>
      <c r="J202" s="115">
        <v>1.0349999999999999</v>
      </c>
      <c r="K202" s="116"/>
      <c r="L202" s="114">
        <v>1</v>
      </c>
      <c r="M202" s="113"/>
    </row>
    <row r="203" spans="1:13" ht="14.25" x14ac:dyDescent="0.45">
      <c r="A203" s="41"/>
      <c r="B203" s="117" t="s">
        <v>1406</v>
      </c>
      <c r="C203" s="116"/>
      <c r="D203" s="116"/>
      <c r="E203" s="116"/>
      <c r="F203" s="116"/>
      <c r="G203" s="116"/>
      <c r="H203" s="115">
        <v>0.96799999999999997</v>
      </c>
      <c r="I203" s="115">
        <v>1</v>
      </c>
      <c r="J203" s="115">
        <v>1.0349999999999999</v>
      </c>
      <c r="K203" s="115">
        <v>1</v>
      </c>
      <c r="L203" s="114">
        <v>1</v>
      </c>
      <c r="M203" s="113"/>
    </row>
    <row r="204" spans="1:13" ht="14.25" x14ac:dyDescent="0.45">
      <c r="A204" s="41"/>
      <c r="B204" s="84" t="s">
        <v>1405</v>
      </c>
      <c r="C204" s="112"/>
      <c r="D204" s="112"/>
      <c r="E204" s="112"/>
      <c r="F204" s="112"/>
      <c r="G204" s="112"/>
      <c r="H204" s="107">
        <v>0.96799999999999997</v>
      </c>
      <c r="I204" s="107">
        <v>1</v>
      </c>
      <c r="J204" s="112"/>
      <c r="K204" s="112"/>
      <c r="L204" s="112"/>
      <c r="M204" s="111">
        <v>1</v>
      </c>
    </row>
    <row r="205" spans="1:13" ht="13.15" x14ac:dyDescent="0.4">
      <c r="A205" s="41"/>
    </row>
    <row r="206" spans="1:13" ht="13.15" x14ac:dyDescent="0.4">
      <c r="A206" s="41" t="s">
        <v>1404</v>
      </c>
    </row>
    <row r="207" spans="1:13" ht="38.65" x14ac:dyDescent="0.4">
      <c r="A207" s="41"/>
      <c r="B207" s="91"/>
      <c r="C207" s="103" t="s">
        <v>1318</v>
      </c>
      <c r="D207" s="103" t="s">
        <v>1403</v>
      </c>
      <c r="E207" s="103" t="s">
        <v>1316</v>
      </c>
      <c r="F207" s="103" t="s">
        <v>1402</v>
      </c>
      <c r="G207" s="103" t="s">
        <v>1314</v>
      </c>
      <c r="H207" s="103" t="s">
        <v>1401</v>
      </c>
      <c r="I207" s="103" t="s">
        <v>1400</v>
      </c>
      <c r="J207" s="103" t="s">
        <v>1311</v>
      </c>
      <c r="K207" s="86" t="s">
        <v>1310</v>
      </c>
    </row>
    <row r="208" spans="1:13" ht="13.15" x14ac:dyDescent="0.4">
      <c r="A208" s="41"/>
      <c r="B208" s="110" t="s">
        <v>1399</v>
      </c>
      <c r="C208" s="109">
        <v>1</v>
      </c>
      <c r="D208" s="109">
        <v>1</v>
      </c>
      <c r="E208" s="109">
        <v>1</v>
      </c>
      <c r="F208" s="109">
        <v>1</v>
      </c>
      <c r="G208" s="109">
        <v>1.02</v>
      </c>
      <c r="J208" s="109">
        <v>1.107</v>
      </c>
      <c r="K208" s="93">
        <v>1</v>
      </c>
    </row>
    <row r="209" spans="1:17" ht="14.25" x14ac:dyDescent="0.45">
      <c r="A209" s="41"/>
      <c r="B209" s="108" t="s">
        <v>1398</v>
      </c>
      <c r="C209" s="77"/>
      <c r="D209" s="77"/>
      <c r="E209" s="77"/>
      <c r="F209" s="77"/>
      <c r="G209" s="77"/>
      <c r="H209" s="106">
        <v>0.96799999999999997</v>
      </c>
      <c r="I209" s="107">
        <v>1</v>
      </c>
      <c r="J209" s="106">
        <v>1.107</v>
      </c>
      <c r="K209" s="92">
        <v>1</v>
      </c>
    </row>
    <row r="210" spans="1:17" ht="13.15" x14ac:dyDescent="0.4">
      <c r="A210" s="41"/>
    </row>
    <row r="211" spans="1:17" ht="13.15" x14ac:dyDescent="0.4">
      <c r="A211" s="41" t="s">
        <v>1397</v>
      </c>
    </row>
    <row r="212" spans="1:17" ht="14.25" x14ac:dyDescent="0.45">
      <c r="A212" s="41"/>
      <c r="B212" s="105">
        <v>0.63300000000000001</v>
      </c>
    </row>
    <row r="213" spans="1:17" ht="13.15" x14ac:dyDescent="0.4">
      <c r="A213" s="41"/>
    </row>
    <row r="214" spans="1:17" ht="13.15" x14ac:dyDescent="0.4">
      <c r="A214" s="41" t="s">
        <v>1396</v>
      </c>
    </row>
    <row r="215" spans="1:17" ht="13.15" x14ac:dyDescent="0.4">
      <c r="A215" s="41"/>
      <c r="B215" s="104" t="s">
        <v>242</v>
      </c>
      <c r="C215" s="89" t="s">
        <v>1388</v>
      </c>
    </row>
    <row r="216" spans="1:17" ht="14.25" x14ac:dyDescent="0.45">
      <c r="A216" s="41"/>
      <c r="B216" s="85">
        <v>0</v>
      </c>
      <c r="C216" s="76">
        <v>1</v>
      </c>
    </row>
    <row r="217" spans="1:17" ht="13.15" x14ac:dyDescent="0.4">
      <c r="A217" s="41"/>
    </row>
    <row r="218" spans="1:17" ht="13.15" x14ac:dyDescent="0.4">
      <c r="A218" s="41" t="s">
        <v>1395</v>
      </c>
    </row>
    <row r="219" spans="1:17" ht="27" customHeight="1" x14ac:dyDescent="0.4">
      <c r="A219" s="41"/>
      <c r="B219" s="87" t="s">
        <v>1377</v>
      </c>
      <c r="C219" s="103" t="s">
        <v>1376</v>
      </c>
      <c r="D219" s="103" t="s">
        <v>1254</v>
      </c>
      <c r="E219" s="103" t="s">
        <v>1394</v>
      </c>
      <c r="F219" s="103" t="s">
        <v>1393</v>
      </c>
      <c r="G219" s="103" t="s">
        <v>1392</v>
      </c>
      <c r="H219" s="103" t="s">
        <v>1374</v>
      </c>
      <c r="I219" s="103" t="s">
        <v>1373</v>
      </c>
      <c r="J219" s="103" t="s">
        <v>1248</v>
      </c>
      <c r="K219" s="103" t="s">
        <v>1247</v>
      </c>
      <c r="L219" s="103" t="s">
        <v>1372</v>
      </c>
      <c r="M219" s="103" t="s">
        <v>1371</v>
      </c>
      <c r="N219" s="103" t="s">
        <v>1370</v>
      </c>
      <c r="O219" s="103" t="s">
        <v>1391</v>
      </c>
      <c r="P219" s="103" t="s">
        <v>1390</v>
      </c>
      <c r="Q219" s="86" t="s">
        <v>1369</v>
      </c>
    </row>
    <row r="220" spans="1:17" ht="14.25" x14ac:dyDescent="0.45">
      <c r="A220" s="41"/>
      <c r="B220" s="85">
        <v>7.5999999999999998E-2</v>
      </c>
      <c r="C220" s="95">
        <v>7.0999999999999994E-2</v>
      </c>
      <c r="D220" s="95">
        <v>0.107</v>
      </c>
      <c r="E220" s="95">
        <v>7.0000000000000001E-3</v>
      </c>
      <c r="F220" s="95">
        <v>7.0000000000000001E-3</v>
      </c>
      <c r="G220" s="95">
        <v>1.4E-2</v>
      </c>
      <c r="H220" s="95">
        <v>1.4E-2</v>
      </c>
      <c r="I220" s="95">
        <v>1.4E-2</v>
      </c>
      <c r="J220" s="95">
        <v>1.0999999999999999E-2</v>
      </c>
      <c r="K220" s="95">
        <v>7.0000000000000007E-2</v>
      </c>
      <c r="L220" s="95">
        <v>3.5000000000000003E-2</v>
      </c>
      <c r="M220" s="95">
        <v>1.7000000000000001E-2</v>
      </c>
      <c r="N220" s="95">
        <v>0.18099999999999999</v>
      </c>
      <c r="O220" s="95">
        <v>0.122</v>
      </c>
      <c r="P220" s="95">
        <v>0.11600000000000001</v>
      </c>
      <c r="Q220" s="102">
        <v>0.1379999999999999</v>
      </c>
    </row>
    <row r="221" spans="1:17" ht="13.15" x14ac:dyDescent="0.4">
      <c r="A221" s="41"/>
    </row>
    <row r="222" spans="1:17" ht="13.15" x14ac:dyDescent="0.4">
      <c r="A222" s="41" t="s">
        <v>1389</v>
      </c>
    </row>
    <row r="223" spans="1:17" ht="13.15" x14ac:dyDescent="0.4">
      <c r="A223" s="41"/>
      <c r="B223" s="61"/>
      <c r="C223" s="101" t="s">
        <v>1254</v>
      </c>
      <c r="D223" s="101" t="s">
        <v>1388</v>
      </c>
      <c r="E223" s="60" t="s">
        <v>1240</v>
      </c>
    </row>
    <row r="224" spans="1:17" ht="13.15" x14ac:dyDescent="0.4">
      <c r="A224" s="41"/>
      <c r="B224" s="59" t="s">
        <v>1387</v>
      </c>
      <c r="C224" s="39">
        <v>0.3</v>
      </c>
      <c r="D224" s="39">
        <v>0.3</v>
      </c>
      <c r="E224" s="99">
        <v>0.39999999999999997</v>
      </c>
    </row>
    <row r="225" spans="1:5" x14ac:dyDescent="0.35">
      <c r="B225" s="59" t="s">
        <v>1386</v>
      </c>
      <c r="C225" s="39">
        <v>0.4</v>
      </c>
      <c r="D225" s="39">
        <v>0.6</v>
      </c>
      <c r="E225" s="99">
        <v>0</v>
      </c>
    </row>
    <row r="226" spans="1:5" x14ac:dyDescent="0.35">
      <c r="B226" s="57" t="s">
        <v>1385</v>
      </c>
      <c r="C226" s="77">
        <v>0.5</v>
      </c>
      <c r="D226" s="77">
        <v>0.5</v>
      </c>
      <c r="E226" s="100">
        <v>0</v>
      </c>
    </row>
    <row r="227" spans="1:5" ht="13.15" x14ac:dyDescent="0.4">
      <c r="A227" s="41"/>
      <c r="B227" s="59"/>
      <c r="C227" s="39" t="s">
        <v>1254</v>
      </c>
      <c r="D227" s="99" t="s">
        <v>330</v>
      </c>
    </row>
    <row r="228" spans="1:5" ht="26.25" x14ac:dyDescent="0.45">
      <c r="A228" s="41"/>
      <c r="B228" s="98" t="s">
        <v>1384</v>
      </c>
      <c r="C228" s="88">
        <v>0.7</v>
      </c>
      <c r="D228" s="97">
        <v>0.30000000000000004</v>
      </c>
    </row>
    <row r="229" spans="1:5" ht="26.25" x14ac:dyDescent="0.45">
      <c r="A229" s="41"/>
      <c r="B229" s="96" t="s">
        <v>1383</v>
      </c>
      <c r="C229" s="95">
        <v>0.3</v>
      </c>
      <c r="D229" s="76">
        <v>0.7</v>
      </c>
    </row>
    <row r="230" spans="1:5" ht="13.15" x14ac:dyDescent="0.4">
      <c r="A230" s="41"/>
    </row>
    <row r="231" spans="1:5" ht="13.15" x14ac:dyDescent="0.4">
      <c r="A231" s="41" t="s">
        <v>1382</v>
      </c>
    </row>
    <row r="232" spans="1:5" ht="13.15" x14ac:dyDescent="0.4">
      <c r="A232" s="41"/>
      <c r="B232" s="61" t="s">
        <v>1368</v>
      </c>
      <c r="C232" s="94">
        <v>1.1399999999999999</v>
      </c>
    </row>
    <row r="233" spans="1:5" ht="13.15" x14ac:dyDescent="0.4">
      <c r="A233" s="41"/>
      <c r="B233" s="59" t="s">
        <v>1367</v>
      </c>
      <c r="C233" s="93">
        <v>1.1399999999999999</v>
      </c>
    </row>
    <row r="234" spans="1:5" ht="13.15" x14ac:dyDescent="0.4">
      <c r="A234" s="41"/>
      <c r="B234" s="59" t="s">
        <v>1366</v>
      </c>
      <c r="C234" s="93">
        <v>1.0003</v>
      </c>
    </row>
    <row r="235" spans="1:5" ht="13.15" x14ac:dyDescent="0.4">
      <c r="A235" s="41"/>
      <c r="B235" s="59" t="s">
        <v>1234</v>
      </c>
      <c r="C235" s="93">
        <v>1.1554</v>
      </c>
    </row>
    <row r="236" spans="1:5" ht="13.15" x14ac:dyDescent="0.4">
      <c r="A236" s="41"/>
      <c r="B236" s="59" t="s">
        <v>1226</v>
      </c>
      <c r="C236" s="93">
        <v>1</v>
      </c>
    </row>
    <row r="237" spans="1:5" ht="13.15" x14ac:dyDescent="0.4">
      <c r="A237" s="41"/>
      <c r="B237" s="59" t="s">
        <v>1233</v>
      </c>
      <c r="C237" s="93">
        <v>0.94589999999999996</v>
      </c>
    </row>
    <row r="238" spans="1:5" ht="13.15" x14ac:dyDescent="0.4">
      <c r="A238" s="41"/>
      <c r="B238" s="59" t="s">
        <v>1232</v>
      </c>
      <c r="C238" s="93">
        <v>1.0024</v>
      </c>
    </row>
    <row r="239" spans="1:5" ht="13.15" x14ac:dyDescent="0.4">
      <c r="A239" s="41"/>
      <c r="B239" s="59" t="s">
        <v>1231</v>
      </c>
      <c r="C239" s="93">
        <v>1.0018</v>
      </c>
    </row>
    <row r="240" spans="1:5" ht="13.15" x14ac:dyDescent="0.4">
      <c r="A240" s="41"/>
      <c r="B240" s="59" t="s">
        <v>1230</v>
      </c>
      <c r="C240" s="93">
        <v>1.0056</v>
      </c>
    </row>
    <row r="241" spans="1:15" ht="13.15" x14ac:dyDescent="0.4">
      <c r="A241" s="41"/>
      <c r="B241" s="59" t="s">
        <v>1225</v>
      </c>
      <c r="C241" s="93">
        <v>1.0306999999999999</v>
      </c>
    </row>
    <row r="242" spans="1:15" ht="13.15" x14ac:dyDescent="0.4">
      <c r="A242" s="41"/>
      <c r="B242" s="57" t="s">
        <v>1229</v>
      </c>
      <c r="C242" s="92">
        <v>1.1393</v>
      </c>
    </row>
    <row r="243" spans="1:15" ht="13.15" x14ac:dyDescent="0.4">
      <c r="A243" s="41"/>
    </row>
    <row r="244" spans="1:15" ht="13.15" x14ac:dyDescent="0.4">
      <c r="A244" s="41" t="s">
        <v>1381</v>
      </c>
    </row>
    <row r="245" spans="1:15" ht="13.15" x14ac:dyDescent="0.4">
      <c r="A245" s="41"/>
      <c r="B245" s="91" t="s">
        <v>1380</v>
      </c>
      <c r="C245" s="90" t="s">
        <v>1379</v>
      </c>
      <c r="D245" s="90" t="s">
        <v>1378</v>
      </c>
      <c r="E245" s="90" t="s">
        <v>1377</v>
      </c>
      <c r="F245" s="90" t="s">
        <v>1376</v>
      </c>
      <c r="G245" s="90" t="s">
        <v>1375</v>
      </c>
      <c r="H245" s="90" t="s">
        <v>1374</v>
      </c>
      <c r="I245" s="90" t="s">
        <v>1373</v>
      </c>
      <c r="J245" s="90" t="s">
        <v>1248</v>
      </c>
      <c r="K245" s="90" t="s">
        <v>1247</v>
      </c>
      <c r="L245" s="90" t="s">
        <v>1372</v>
      </c>
      <c r="M245" s="90" t="s">
        <v>1371</v>
      </c>
      <c r="N245" s="90" t="s">
        <v>1370</v>
      </c>
      <c r="O245" s="89" t="s">
        <v>1369</v>
      </c>
    </row>
    <row r="246" spans="1:15" ht="14.25" x14ac:dyDescent="0.45">
      <c r="A246" s="41"/>
      <c r="B246" s="59" t="s">
        <v>1368</v>
      </c>
      <c r="C246" s="88">
        <v>1</v>
      </c>
      <c r="D246" s="88">
        <v>0</v>
      </c>
      <c r="E246" s="88">
        <v>0</v>
      </c>
      <c r="F246" s="88">
        <v>0</v>
      </c>
      <c r="G246" s="88">
        <v>0</v>
      </c>
      <c r="H246" s="88">
        <v>0</v>
      </c>
      <c r="I246" s="88">
        <v>0</v>
      </c>
      <c r="J246" s="88">
        <v>0</v>
      </c>
      <c r="K246" s="88">
        <v>0</v>
      </c>
      <c r="L246" s="88">
        <v>0</v>
      </c>
      <c r="M246" s="88">
        <v>0</v>
      </c>
      <c r="N246" s="88">
        <v>0</v>
      </c>
      <c r="O246" s="80">
        <v>0</v>
      </c>
    </row>
    <row r="247" spans="1:15" ht="14.25" x14ac:dyDescent="0.45">
      <c r="A247" s="41"/>
      <c r="B247" s="59" t="s">
        <v>1367</v>
      </c>
      <c r="C247" s="88">
        <v>0</v>
      </c>
      <c r="D247" s="88">
        <v>1</v>
      </c>
      <c r="E247" s="88">
        <v>0</v>
      </c>
      <c r="F247" s="88">
        <v>0</v>
      </c>
      <c r="G247" s="88">
        <v>0</v>
      </c>
      <c r="H247" s="88">
        <v>0</v>
      </c>
      <c r="I247" s="88">
        <v>0</v>
      </c>
      <c r="J247" s="88">
        <v>0</v>
      </c>
      <c r="K247" s="88">
        <v>0</v>
      </c>
      <c r="L247" s="88">
        <v>0</v>
      </c>
      <c r="M247" s="88">
        <v>0</v>
      </c>
      <c r="N247" s="88">
        <v>0</v>
      </c>
      <c r="O247" s="80">
        <v>0</v>
      </c>
    </row>
    <row r="248" spans="1:15" ht="14.25" x14ac:dyDescent="0.45">
      <c r="A248" s="41"/>
      <c r="B248" s="59" t="s">
        <v>1366</v>
      </c>
      <c r="C248" s="88">
        <v>0</v>
      </c>
      <c r="D248" s="88">
        <v>0</v>
      </c>
      <c r="E248" s="88">
        <v>0</v>
      </c>
      <c r="F248" s="88">
        <v>0</v>
      </c>
      <c r="G248" s="88">
        <v>0</v>
      </c>
      <c r="H248" s="88">
        <v>0</v>
      </c>
      <c r="I248" s="88">
        <v>0</v>
      </c>
      <c r="J248" s="88">
        <v>0.36399999999999999</v>
      </c>
      <c r="K248" s="88">
        <v>0</v>
      </c>
      <c r="L248" s="88">
        <v>0</v>
      </c>
      <c r="M248" s="88">
        <v>0</v>
      </c>
      <c r="N248" s="88">
        <v>9.1999999999999998E-2</v>
      </c>
      <c r="O248" s="80">
        <v>0</v>
      </c>
    </row>
    <row r="249" spans="1:15" ht="14.25" x14ac:dyDescent="0.45">
      <c r="A249" s="41"/>
      <c r="B249" s="59" t="s">
        <v>1234</v>
      </c>
      <c r="C249" s="88">
        <v>0</v>
      </c>
      <c r="D249" s="88">
        <v>0</v>
      </c>
      <c r="E249" s="88">
        <v>0</v>
      </c>
      <c r="F249" s="88">
        <v>0</v>
      </c>
      <c r="G249" s="88">
        <v>0</v>
      </c>
      <c r="H249" s="88">
        <v>0</v>
      </c>
      <c r="I249" s="88">
        <v>0</v>
      </c>
      <c r="J249" s="88">
        <v>0</v>
      </c>
      <c r="K249" s="88">
        <v>0</v>
      </c>
      <c r="L249" s="88">
        <v>0</v>
      </c>
      <c r="M249" s="88">
        <v>0</v>
      </c>
      <c r="N249" s="88">
        <v>0</v>
      </c>
      <c r="O249" s="80">
        <v>0.18099999999999999</v>
      </c>
    </row>
    <row r="250" spans="1:15" ht="14.25" x14ac:dyDescent="0.45">
      <c r="A250" s="41"/>
      <c r="B250" s="59" t="s">
        <v>1226</v>
      </c>
      <c r="C250" s="88">
        <v>0</v>
      </c>
      <c r="D250" s="88">
        <v>0</v>
      </c>
      <c r="E250" s="88">
        <v>0.23799999999999999</v>
      </c>
      <c r="F250" s="88">
        <v>0.31900000000000001</v>
      </c>
      <c r="G250" s="88">
        <v>0.24249999999999999</v>
      </c>
      <c r="H250" s="88">
        <v>0.24249999999999999</v>
      </c>
      <c r="I250" s="88">
        <v>0.24249999999999999</v>
      </c>
      <c r="J250" s="88">
        <v>0.45400000000000001</v>
      </c>
      <c r="K250" s="88">
        <v>0.34300000000000003</v>
      </c>
      <c r="L250" s="88">
        <v>0.22</v>
      </c>
      <c r="M250" s="88">
        <v>0.5</v>
      </c>
      <c r="N250" s="88">
        <v>0.15329999999999999</v>
      </c>
      <c r="O250" s="80">
        <v>1.4999999999999999E-2</v>
      </c>
    </row>
    <row r="251" spans="1:15" ht="14.25" x14ac:dyDescent="0.45">
      <c r="A251" s="41"/>
      <c r="B251" s="59" t="s">
        <v>1233</v>
      </c>
      <c r="C251" s="88">
        <v>0</v>
      </c>
      <c r="D251" s="88">
        <v>0</v>
      </c>
      <c r="E251" s="88">
        <v>0.17499999999999999</v>
      </c>
      <c r="F251" s="88">
        <v>0.27500000000000002</v>
      </c>
      <c r="G251" s="88">
        <v>9.2499999999999999E-2</v>
      </c>
      <c r="H251" s="88">
        <v>9.2499999999999999E-2</v>
      </c>
      <c r="I251" s="88">
        <v>9.2499999999999999E-2</v>
      </c>
      <c r="J251" s="88">
        <v>0</v>
      </c>
      <c r="K251" s="88">
        <v>0.29899999999999999</v>
      </c>
      <c r="L251" s="88">
        <v>0</v>
      </c>
      <c r="M251" s="88">
        <v>0</v>
      </c>
      <c r="N251" s="88">
        <v>0</v>
      </c>
      <c r="O251" s="80">
        <v>0</v>
      </c>
    </row>
    <row r="252" spans="1:15" ht="14.25" x14ac:dyDescent="0.45">
      <c r="A252" s="41"/>
      <c r="B252" s="59" t="s">
        <v>1232</v>
      </c>
      <c r="C252" s="88">
        <v>0</v>
      </c>
      <c r="D252" s="88">
        <v>0</v>
      </c>
      <c r="E252" s="88">
        <v>0</v>
      </c>
      <c r="F252" s="88">
        <v>0</v>
      </c>
      <c r="G252" s="88">
        <v>0</v>
      </c>
      <c r="H252" s="88">
        <v>0</v>
      </c>
      <c r="I252" s="88">
        <v>0</v>
      </c>
      <c r="J252" s="88">
        <v>0</v>
      </c>
      <c r="K252" s="88">
        <v>0</v>
      </c>
      <c r="L252" s="88">
        <v>0</v>
      </c>
      <c r="M252" s="88">
        <v>0</v>
      </c>
      <c r="N252" s="88">
        <v>0</v>
      </c>
      <c r="O252" s="80">
        <v>0.51100000000000001</v>
      </c>
    </row>
    <row r="253" spans="1:15" ht="14.25" x14ac:dyDescent="0.45">
      <c r="A253" s="41"/>
      <c r="B253" s="59" t="s">
        <v>1231</v>
      </c>
      <c r="C253" s="88">
        <v>0</v>
      </c>
      <c r="D253" s="88">
        <v>0</v>
      </c>
      <c r="E253" s="88">
        <v>0</v>
      </c>
      <c r="F253" s="88">
        <v>0</v>
      </c>
      <c r="G253" s="88">
        <v>0</v>
      </c>
      <c r="H253" s="88">
        <v>0</v>
      </c>
      <c r="I253" s="88">
        <v>0</v>
      </c>
      <c r="J253" s="88">
        <v>0</v>
      </c>
      <c r="K253" s="88">
        <v>0</v>
      </c>
      <c r="L253" s="88">
        <v>0</v>
      </c>
      <c r="M253" s="88">
        <v>0</v>
      </c>
      <c r="N253" s="88">
        <v>1.9E-2</v>
      </c>
      <c r="O253" s="80">
        <v>0</v>
      </c>
    </row>
    <row r="254" spans="1:15" ht="14.25" x14ac:dyDescent="0.45">
      <c r="A254" s="41"/>
      <c r="B254" s="59" t="s">
        <v>1230</v>
      </c>
      <c r="C254" s="88">
        <v>0</v>
      </c>
      <c r="D254" s="88">
        <v>0</v>
      </c>
      <c r="E254" s="88">
        <v>0</v>
      </c>
      <c r="F254" s="88">
        <v>0</v>
      </c>
      <c r="G254" s="88">
        <v>0.66500000000000004</v>
      </c>
      <c r="H254" s="88">
        <v>0.66500000000000004</v>
      </c>
      <c r="I254" s="88">
        <v>0.66500000000000004</v>
      </c>
      <c r="J254" s="88">
        <v>0</v>
      </c>
      <c r="K254" s="88">
        <v>0</v>
      </c>
      <c r="L254" s="88">
        <v>0</v>
      </c>
      <c r="M254" s="88">
        <v>0</v>
      </c>
      <c r="N254" s="88">
        <v>0</v>
      </c>
      <c r="O254" s="80">
        <v>0</v>
      </c>
    </row>
    <row r="255" spans="1:15" ht="14.25" x14ac:dyDescent="0.45">
      <c r="A255" s="41"/>
      <c r="B255" s="59" t="s">
        <v>1225</v>
      </c>
      <c r="C255" s="88">
        <v>0</v>
      </c>
      <c r="D255" s="88">
        <v>0</v>
      </c>
      <c r="E255" s="88">
        <v>0</v>
      </c>
      <c r="F255" s="88">
        <v>0</v>
      </c>
      <c r="G255" s="88">
        <v>0</v>
      </c>
      <c r="H255" s="88">
        <v>0</v>
      </c>
      <c r="I255" s="88">
        <v>0</v>
      </c>
      <c r="J255" s="88">
        <v>0</v>
      </c>
      <c r="K255" s="88">
        <v>0</v>
      </c>
      <c r="L255" s="88">
        <v>0</v>
      </c>
      <c r="M255" s="88">
        <v>0</v>
      </c>
      <c r="N255" s="88">
        <v>0</v>
      </c>
      <c r="O255" s="80">
        <v>0.29299999999999998</v>
      </c>
    </row>
    <row r="256" spans="1:15" ht="14.25" x14ac:dyDescent="0.45">
      <c r="A256" s="41"/>
      <c r="B256" s="57" t="s">
        <v>1229</v>
      </c>
      <c r="C256" s="78">
        <v>0</v>
      </c>
      <c r="D256" s="78">
        <v>0</v>
      </c>
      <c r="E256" s="78">
        <v>0.58699999999999997</v>
      </c>
      <c r="F256" s="78">
        <v>0.40599999999999992</v>
      </c>
      <c r="G256" s="78">
        <v>0</v>
      </c>
      <c r="H256" s="78">
        <v>0</v>
      </c>
      <c r="I256" s="78">
        <v>0</v>
      </c>
      <c r="J256" s="78">
        <v>0.18199999999999994</v>
      </c>
      <c r="K256" s="78">
        <v>0.35799999999999998</v>
      </c>
      <c r="L256" s="78">
        <v>0.78</v>
      </c>
      <c r="M256" s="78">
        <v>0.5</v>
      </c>
      <c r="N256" s="78">
        <v>0.73570000000000002</v>
      </c>
      <c r="O256" s="76">
        <v>0</v>
      </c>
    </row>
    <row r="257" spans="1:7" ht="13.15" x14ac:dyDescent="0.4">
      <c r="A257" s="41"/>
    </row>
    <row r="258" spans="1:7" ht="13.15" x14ac:dyDescent="0.4">
      <c r="A258" s="41" t="s">
        <v>1365</v>
      </c>
    </row>
    <row r="259" spans="1:7" ht="38.65" x14ac:dyDescent="0.4">
      <c r="A259" s="41"/>
      <c r="B259" s="87" t="s">
        <v>1226</v>
      </c>
      <c r="C259" s="86" t="s">
        <v>1225</v>
      </c>
    </row>
    <row r="260" spans="1:7" ht="14.25" x14ac:dyDescent="0.45">
      <c r="A260" s="41"/>
      <c r="B260" s="85">
        <v>0.89</v>
      </c>
      <c r="C260" s="76">
        <v>0.10999999999999999</v>
      </c>
    </row>
    <row r="261" spans="1:7" ht="13.15" x14ac:dyDescent="0.4">
      <c r="A261" s="41"/>
    </row>
    <row r="262" spans="1:7" ht="13.15" x14ac:dyDescent="0.4">
      <c r="A262" s="41" t="s">
        <v>1364</v>
      </c>
    </row>
    <row r="263" spans="1:7" ht="13.15" x14ac:dyDescent="0.4">
      <c r="A263" s="41"/>
      <c r="B263" s="74">
        <v>1</v>
      </c>
      <c r="C263" s="39" t="s">
        <v>1363</v>
      </c>
      <c r="F263" s="74">
        <v>1</v>
      </c>
      <c r="G263" s="39" t="s">
        <v>1362</v>
      </c>
    </row>
    <row r="264" spans="1:7" ht="13.15" x14ac:dyDescent="0.4">
      <c r="A264" s="41"/>
      <c r="C264" s="39" t="s">
        <v>1361</v>
      </c>
      <c r="G264" s="39" t="s">
        <v>1360</v>
      </c>
    </row>
    <row r="265" spans="1:7" ht="13.15" x14ac:dyDescent="0.4">
      <c r="A265" s="41"/>
    </row>
    <row r="266" spans="1:7" ht="13.15" x14ac:dyDescent="0.4">
      <c r="A266" s="41" t="s">
        <v>1359</v>
      </c>
    </row>
    <row r="267" spans="1:7" ht="13.15" x14ac:dyDescent="0.4">
      <c r="A267" s="41"/>
      <c r="B267" s="74">
        <v>2</v>
      </c>
      <c r="C267" s="39" t="s">
        <v>1357</v>
      </c>
    </row>
    <row r="268" spans="1:7" ht="13.15" x14ac:dyDescent="0.4">
      <c r="A268" s="41"/>
      <c r="C268" s="39" t="s">
        <v>1356</v>
      </c>
    </row>
    <row r="269" spans="1:7" x14ac:dyDescent="0.35">
      <c r="C269" s="39" t="s">
        <v>1355</v>
      </c>
    </row>
    <row r="270" spans="1:7" x14ac:dyDescent="0.35">
      <c r="C270" s="39" t="s">
        <v>1354</v>
      </c>
    </row>
    <row r="271" spans="1:7" x14ac:dyDescent="0.35">
      <c r="C271" s="39" t="s">
        <v>1353</v>
      </c>
    </row>
    <row r="272" spans="1:7" ht="13.15" x14ac:dyDescent="0.4">
      <c r="A272" s="41"/>
    </row>
    <row r="273" spans="1:12" ht="13.15" x14ac:dyDescent="0.4">
      <c r="A273" s="41" t="s">
        <v>1358</v>
      </c>
    </row>
    <row r="274" spans="1:12" ht="13.15" x14ac:dyDescent="0.4">
      <c r="A274" s="41"/>
      <c r="B274" s="74">
        <v>2</v>
      </c>
      <c r="C274" s="39" t="s">
        <v>1357</v>
      </c>
    </row>
    <row r="275" spans="1:12" ht="13.15" x14ac:dyDescent="0.4">
      <c r="A275" s="41"/>
      <c r="C275" s="39" t="s">
        <v>1356</v>
      </c>
    </row>
    <row r="276" spans="1:12" x14ac:dyDescent="0.35">
      <c r="C276" s="39" t="s">
        <v>1355</v>
      </c>
    </row>
    <row r="277" spans="1:12" x14ac:dyDescent="0.35">
      <c r="C277" s="39" t="s">
        <v>1354</v>
      </c>
    </row>
    <row r="278" spans="1:12" x14ac:dyDescent="0.35">
      <c r="C278" s="39" t="s">
        <v>1353</v>
      </c>
    </row>
    <row r="279" spans="1:12" ht="13.15" x14ac:dyDescent="0.4">
      <c r="A279" s="41"/>
    </row>
    <row r="280" spans="1:12" ht="13.15" x14ac:dyDescent="0.4">
      <c r="A280" s="41" t="s">
        <v>1352</v>
      </c>
    </row>
    <row r="281" spans="1:12" x14ac:dyDescent="0.35">
      <c r="B281" s="61"/>
      <c r="C281" s="2186" t="s">
        <v>289</v>
      </c>
      <c r="D281" s="2187"/>
      <c r="E281" s="2187"/>
      <c r="F281" s="2187"/>
      <c r="G281" s="2188"/>
      <c r="H281" s="2186" t="s">
        <v>290</v>
      </c>
      <c r="I281" s="2187"/>
      <c r="J281" s="2187"/>
      <c r="K281" s="2187"/>
      <c r="L281" s="2188"/>
    </row>
    <row r="282" spans="1:12" ht="25.5" x14ac:dyDescent="0.35">
      <c r="B282" s="57"/>
      <c r="C282" s="84" t="s">
        <v>1351</v>
      </c>
      <c r="D282" s="83" t="s">
        <v>1350</v>
      </c>
      <c r="E282" s="83" t="s">
        <v>1349</v>
      </c>
      <c r="F282" s="83" t="s">
        <v>1348</v>
      </c>
      <c r="G282" s="82" t="s">
        <v>1347</v>
      </c>
      <c r="H282" s="83" t="s">
        <v>1351</v>
      </c>
      <c r="I282" s="83" t="s">
        <v>1350</v>
      </c>
      <c r="J282" s="83" t="s">
        <v>1349</v>
      </c>
      <c r="K282" s="83" t="s">
        <v>1348</v>
      </c>
      <c r="L282" s="82" t="s">
        <v>1347</v>
      </c>
    </row>
    <row r="283" spans="1:12" ht="14.25" x14ac:dyDescent="0.45">
      <c r="B283" s="59" t="s">
        <v>112</v>
      </c>
      <c r="C283" s="81">
        <v>0</v>
      </c>
      <c r="D283" s="39">
        <v>0</v>
      </c>
      <c r="E283" s="39">
        <v>0</v>
      </c>
      <c r="F283" s="39">
        <v>4.0000000000000001E-3</v>
      </c>
      <c r="G283" s="80">
        <v>0</v>
      </c>
      <c r="H283" s="73">
        <v>0</v>
      </c>
      <c r="I283" s="39">
        <v>0</v>
      </c>
      <c r="J283" s="39">
        <v>0</v>
      </c>
      <c r="K283" s="39">
        <v>4.0000000000000001E-3</v>
      </c>
      <c r="L283" s="80">
        <v>0</v>
      </c>
    </row>
    <row r="284" spans="1:12" ht="14.25" x14ac:dyDescent="0.45">
      <c r="B284" s="59" t="s">
        <v>113</v>
      </c>
      <c r="C284" s="81">
        <v>0</v>
      </c>
      <c r="D284" s="39">
        <v>4.1000000000000002E-2</v>
      </c>
      <c r="E284" s="39">
        <v>0.104</v>
      </c>
      <c r="F284" s="39">
        <v>0.112</v>
      </c>
      <c r="G284" s="80">
        <v>4.1000000000000002E-2</v>
      </c>
      <c r="H284" s="73">
        <v>0</v>
      </c>
      <c r="I284" s="39">
        <v>4.1000000000000002E-2</v>
      </c>
      <c r="J284" s="39">
        <v>0.104</v>
      </c>
      <c r="K284" s="39">
        <v>0.112</v>
      </c>
      <c r="L284" s="80">
        <v>4.1000000000000002E-2</v>
      </c>
    </row>
    <row r="285" spans="1:12" ht="14.25" x14ac:dyDescent="0.45">
      <c r="B285" s="59" t="s">
        <v>114</v>
      </c>
      <c r="C285" s="81">
        <v>0</v>
      </c>
      <c r="D285" s="39">
        <v>0.14299999999999999</v>
      </c>
      <c r="E285" s="39">
        <v>0.35899999999999999</v>
      </c>
      <c r="F285" s="39">
        <v>0.19500000000000001</v>
      </c>
      <c r="G285" s="80">
        <v>0.14299999999999999</v>
      </c>
      <c r="H285" s="73">
        <v>0</v>
      </c>
      <c r="I285" s="39">
        <v>0.14299999999999999</v>
      </c>
      <c r="J285" s="39">
        <v>0.35899999999999999</v>
      </c>
      <c r="K285" s="39">
        <v>0.19500000000000001</v>
      </c>
      <c r="L285" s="80">
        <v>0.14299999999999999</v>
      </c>
    </row>
    <row r="286" spans="1:12" ht="14.25" x14ac:dyDescent="0.45">
      <c r="B286" s="59" t="s">
        <v>273</v>
      </c>
      <c r="C286" s="81">
        <v>0</v>
      </c>
      <c r="D286" s="39">
        <v>5.0000000000000001E-3</v>
      </c>
      <c r="E286" s="39">
        <v>1.4E-2</v>
      </c>
      <c r="F286" s="39">
        <v>1.2999999999999999E-2</v>
      </c>
      <c r="G286" s="80">
        <v>5.0000000000000001E-3</v>
      </c>
      <c r="H286" s="73">
        <v>0</v>
      </c>
      <c r="I286" s="39">
        <v>5.0000000000000001E-3</v>
      </c>
      <c r="J286" s="39">
        <v>1.4E-2</v>
      </c>
      <c r="K286" s="39">
        <v>1.2999999999999999E-2</v>
      </c>
      <c r="L286" s="80">
        <v>5.0000000000000001E-3</v>
      </c>
    </row>
    <row r="287" spans="1:12" ht="14.25" x14ac:dyDescent="0.45">
      <c r="B287" s="59" t="s">
        <v>116</v>
      </c>
      <c r="C287" s="81">
        <v>0</v>
      </c>
      <c r="D287" s="39">
        <v>0</v>
      </c>
      <c r="E287" s="39">
        <v>0</v>
      </c>
      <c r="F287" s="39">
        <v>0</v>
      </c>
      <c r="G287" s="80">
        <v>0</v>
      </c>
      <c r="H287" s="73">
        <v>0</v>
      </c>
      <c r="I287" s="39">
        <v>0</v>
      </c>
      <c r="J287" s="39">
        <v>0</v>
      </c>
      <c r="K287" s="39">
        <v>0</v>
      </c>
      <c r="L287" s="80">
        <v>0</v>
      </c>
    </row>
    <row r="288" spans="1:12" ht="14.25" x14ac:dyDescent="0.45">
      <c r="B288" s="57" t="s">
        <v>292</v>
      </c>
      <c r="C288" s="79">
        <v>1</v>
      </c>
      <c r="D288" s="77">
        <v>0.81099999999999994</v>
      </c>
      <c r="E288" s="77">
        <v>0.52300000000000002</v>
      </c>
      <c r="F288" s="77">
        <v>0.67599999999999993</v>
      </c>
      <c r="G288" s="76">
        <v>0.81099999999999994</v>
      </c>
      <c r="H288" s="78">
        <v>1</v>
      </c>
      <c r="I288" s="77">
        <v>0.81099999999999994</v>
      </c>
      <c r="J288" s="77">
        <v>0.52300000000000002</v>
      </c>
      <c r="K288" s="77">
        <v>0.67599999999999993</v>
      </c>
      <c r="L288" s="76">
        <v>0.81099999999999994</v>
      </c>
    </row>
    <row r="289" spans="1:12" ht="14.25" x14ac:dyDescent="0.45">
      <c r="C289" s="73"/>
      <c r="G289" s="73"/>
      <c r="H289" s="73"/>
      <c r="L289" s="73"/>
    </row>
    <row r="290" spans="1:12" ht="14.25" x14ac:dyDescent="0.45">
      <c r="A290" s="41" t="s">
        <v>1346</v>
      </c>
      <c r="C290" s="75"/>
      <c r="G290" s="73"/>
      <c r="H290" s="73"/>
      <c r="L290" s="73"/>
    </row>
    <row r="291" spans="1:12" ht="14.25" x14ac:dyDescent="0.45">
      <c r="B291" s="74">
        <v>1</v>
      </c>
      <c r="C291" s="39" t="s">
        <v>1345</v>
      </c>
      <c r="G291" s="73"/>
      <c r="H291" s="73"/>
      <c r="L291" s="73"/>
    </row>
    <row r="292" spans="1:12" ht="14.25" x14ac:dyDescent="0.45">
      <c r="C292" s="39" t="s">
        <v>1344</v>
      </c>
      <c r="G292" s="73"/>
      <c r="H292" s="73"/>
      <c r="L292" s="73"/>
    </row>
    <row r="294" spans="1:12" ht="13.9" x14ac:dyDescent="0.4">
      <c r="A294" s="72" t="s">
        <v>1343</v>
      </c>
    </row>
    <row r="295" spans="1:12" ht="13.15" x14ac:dyDescent="0.4">
      <c r="A295" s="41" t="s">
        <v>1342</v>
      </c>
    </row>
    <row r="296" spans="1:12" ht="13.15" x14ac:dyDescent="0.4">
      <c r="A296" s="41"/>
      <c r="B296" s="42">
        <v>1.7948</v>
      </c>
      <c r="C296" s="39" t="s">
        <v>1341</v>
      </c>
    </row>
    <row r="297" spans="1:12" ht="13.15" x14ac:dyDescent="0.4">
      <c r="A297" s="41"/>
      <c r="B297" s="42">
        <v>15.583399999999999</v>
      </c>
      <c r="C297" s="39" t="s">
        <v>1340</v>
      </c>
    </row>
    <row r="298" spans="1:12" ht="13.15" x14ac:dyDescent="0.4">
      <c r="A298" s="41"/>
      <c r="B298" s="42">
        <v>6.0299999999999999E-2</v>
      </c>
      <c r="C298" s="39" t="s">
        <v>1339</v>
      </c>
    </row>
    <row r="299" spans="1:12" ht="13.15" x14ac:dyDescent="0.4">
      <c r="A299" s="41"/>
      <c r="B299" s="42">
        <v>1.7791999999999999</v>
      </c>
      <c r="C299" s="39" t="s">
        <v>1338</v>
      </c>
    </row>
    <row r="300" spans="1:12" ht="13.15" x14ac:dyDescent="0.4">
      <c r="A300" s="41"/>
      <c r="B300" s="42">
        <v>0.69120000000000004</v>
      </c>
      <c r="C300" s="39" t="s">
        <v>1337</v>
      </c>
    </row>
    <row r="301" spans="1:12" ht="13.15" x14ac:dyDescent="0.4">
      <c r="A301" s="41"/>
      <c r="B301" s="42">
        <v>-4.0800000000000003E-2</v>
      </c>
      <c r="C301" s="39" t="s">
        <v>1336</v>
      </c>
    </row>
    <row r="302" spans="1:12" ht="13.15" x14ac:dyDescent="0.4">
      <c r="A302" s="41"/>
      <c r="B302" s="42">
        <v>1.3340000000000001</v>
      </c>
      <c r="C302" s="39" t="s">
        <v>1335</v>
      </c>
    </row>
    <row r="303" spans="1:12" ht="13.15" x14ac:dyDescent="0.4">
      <c r="A303" s="41"/>
      <c r="B303" s="42">
        <v>4.1799999999999997E-2</v>
      </c>
      <c r="C303" s="39" t="s">
        <v>1334</v>
      </c>
    </row>
    <row r="304" spans="1:12" ht="13.15" x14ac:dyDescent="0.4">
      <c r="A304" s="41"/>
      <c r="B304" s="71">
        <v>1.3998999999999999</v>
      </c>
      <c r="C304" s="39" t="s">
        <v>1333</v>
      </c>
    </row>
    <row r="305" spans="1:3" ht="13.15" x14ac:dyDescent="0.4">
      <c r="A305" s="41"/>
      <c r="B305" s="71">
        <v>0.69569999999999999</v>
      </c>
      <c r="C305" s="39" t="s">
        <v>1332</v>
      </c>
    </row>
    <row r="306" spans="1:3" ht="13.15" x14ac:dyDescent="0.4">
      <c r="A306" s="41"/>
      <c r="B306" s="71">
        <v>0.85990521327014202</v>
      </c>
      <c r="C306" s="39" t="s">
        <v>1321</v>
      </c>
    </row>
    <row r="307" spans="1:3" ht="13.15" x14ac:dyDescent="0.4">
      <c r="A307" s="41"/>
      <c r="B307" s="71">
        <v>6.1831000000000005</v>
      </c>
      <c r="C307" s="39" t="s">
        <v>1331</v>
      </c>
    </row>
    <row r="308" spans="1:3" ht="13.15" x14ac:dyDescent="0.4">
      <c r="A308" s="41"/>
      <c r="B308" s="71">
        <v>3.2335000000000003</v>
      </c>
      <c r="C308" s="39" t="s">
        <v>1330</v>
      </c>
    </row>
    <row r="309" spans="1:3" ht="13.15" x14ac:dyDescent="0.4">
      <c r="A309" s="41"/>
      <c r="B309" s="42">
        <v>0.54</v>
      </c>
      <c r="C309" s="39" t="s">
        <v>1310</v>
      </c>
    </row>
    <row r="310" spans="1:3" ht="13.15" x14ac:dyDescent="0.4">
      <c r="A310" s="41"/>
    </row>
    <row r="311" spans="1:3" ht="13.15" x14ac:dyDescent="0.4">
      <c r="A311" s="41" t="s">
        <v>1329</v>
      </c>
    </row>
    <row r="312" spans="1:3" ht="13.15" x14ac:dyDescent="0.4">
      <c r="A312" s="41"/>
      <c r="B312" s="42">
        <v>1.339</v>
      </c>
      <c r="C312" s="39" t="s">
        <v>1328</v>
      </c>
    </row>
    <row r="313" spans="1:3" ht="13.15" x14ac:dyDescent="0.4">
      <c r="A313" s="41"/>
      <c r="B313" s="42">
        <v>0</v>
      </c>
      <c r="C313" s="39" t="s">
        <v>1327</v>
      </c>
    </row>
    <row r="314" spans="1:3" ht="13.15" x14ac:dyDescent="0.4">
      <c r="A314" s="41"/>
      <c r="B314" s="42">
        <v>33.801000000000002</v>
      </c>
      <c r="C314" s="39" t="s">
        <v>1326</v>
      </c>
    </row>
    <row r="315" spans="1:3" ht="13.15" x14ac:dyDescent="0.4">
      <c r="A315" s="41"/>
      <c r="B315" s="42">
        <v>0.54</v>
      </c>
      <c r="C315" s="39" t="s">
        <v>1310</v>
      </c>
    </row>
    <row r="316" spans="1:3" ht="13.15" x14ac:dyDescent="0.4">
      <c r="A316" s="41"/>
    </row>
    <row r="317" spans="1:3" ht="13.15" x14ac:dyDescent="0.4">
      <c r="A317" s="41" t="s">
        <v>1325</v>
      </c>
    </row>
    <row r="318" spans="1:3" ht="13.15" x14ac:dyDescent="0.4">
      <c r="A318" s="41"/>
      <c r="B318" s="42">
        <v>0.57699999999999996</v>
      </c>
      <c r="C318" s="39" t="s">
        <v>1318</v>
      </c>
    </row>
    <row r="319" spans="1:3" ht="13.15" x14ac:dyDescent="0.4">
      <c r="A319" s="41"/>
      <c r="B319" s="42">
        <v>17.835000000000001</v>
      </c>
      <c r="C319" s="39" t="s">
        <v>1317</v>
      </c>
    </row>
    <row r="320" spans="1:3" ht="13.15" x14ac:dyDescent="0.4">
      <c r="A320" s="41"/>
      <c r="B320" s="42">
        <v>1.486</v>
      </c>
      <c r="C320" s="39" t="s">
        <v>1316</v>
      </c>
    </row>
    <row r="321" spans="1:3" ht="13.15" x14ac:dyDescent="0.4">
      <c r="A321" s="41"/>
      <c r="B321" s="42">
        <v>46.777999999999999</v>
      </c>
      <c r="C321" s="39" t="s">
        <v>1315</v>
      </c>
    </row>
    <row r="322" spans="1:3" ht="13.15" x14ac:dyDescent="0.4">
      <c r="A322" s="41"/>
      <c r="B322" s="71">
        <v>1.006</v>
      </c>
      <c r="C322" s="39" t="s">
        <v>1314</v>
      </c>
    </row>
    <row r="323" spans="1:3" ht="13.15" x14ac:dyDescent="0.4">
      <c r="A323" s="41"/>
      <c r="B323" s="71">
        <v>1.0920000000000001</v>
      </c>
      <c r="C323" s="39" t="s">
        <v>1324</v>
      </c>
    </row>
    <row r="324" spans="1:3" ht="13.15" x14ac:dyDescent="0.4">
      <c r="A324" s="41"/>
      <c r="B324" s="71">
        <v>4.46</v>
      </c>
      <c r="C324" s="39" t="s">
        <v>1312</v>
      </c>
    </row>
    <row r="325" spans="1:3" ht="13.15" x14ac:dyDescent="0.4">
      <c r="A325" s="41"/>
      <c r="B325" s="71">
        <v>3.629</v>
      </c>
      <c r="C325" s="39" t="s">
        <v>1323</v>
      </c>
    </row>
    <row r="326" spans="1:3" ht="13.15" x14ac:dyDescent="0.4">
      <c r="A326" s="41"/>
      <c r="B326" s="71">
        <v>3.0219999999999998</v>
      </c>
      <c r="C326" s="39" t="s">
        <v>1322</v>
      </c>
    </row>
    <row r="327" spans="1:3" ht="13.15" x14ac:dyDescent="0.4">
      <c r="A327" s="41"/>
      <c r="B327" s="71">
        <v>0.85990521327014224</v>
      </c>
      <c r="C327" s="39" t="s">
        <v>1321</v>
      </c>
    </row>
    <row r="328" spans="1:3" ht="13.15" x14ac:dyDescent="0.4">
      <c r="A328" s="41"/>
      <c r="B328" s="71">
        <v>5.8970000000000002</v>
      </c>
      <c r="C328" s="39" t="s">
        <v>1320</v>
      </c>
    </row>
    <row r="329" spans="1:3" ht="13.15" x14ac:dyDescent="0.4">
      <c r="A329" s="41"/>
    </row>
    <row r="330" spans="1:3" ht="13.15" x14ac:dyDescent="0.4">
      <c r="A330" s="41" t="s">
        <v>1319</v>
      </c>
    </row>
    <row r="331" spans="1:3" ht="13.15" x14ac:dyDescent="0.4">
      <c r="A331" s="41"/>
      <c r="B331" s="42">
        <v>0.57699999999999996</v>
      </c>
      <c r="C331" s="39" t="s">
        <v>1318</v>
      </c>
    </row>
    <row r="332" spans="1:3" ht="13.15" x14ac:dyDescent="0.4">
      <c r="A332" s="41"/>
      <c r="B332" s="42">
        <v>17.835000000000001</v>
      </c>
      <c r="C332" s="39" t="s">
        <v>1317</v>
      </c>
    </row>
    <row r="333" spans="1:3" ht="13.15" x14ac:dyDescent="0.4">
      <c r="A333" s="41"/>
      <c r="B333" s="42">
        <v>1.486</v>
      </c>
      <c r="C333" s="39" t="s">
        <v>1316</v>
      </c>
    </row>
    <row r="334" spans="1:3" ht="13.15" x14ac:dyDescent="0.4">
      <c r="A334" s="41"/>
      <c r="B334" s="42">
        <v>46.777999999999999</v>
      </c>
      <c r="C334" s="39" t="s">
        <v>1315</v>
      </c>
    </row>
    <row r="335" spans="1:3" ht="13.15" x14ac:dyDescent="0.4">
      <c r="A335" s="41"/>
      <c r="B335" s="42">
        <v>1.006</v>
      </c>
      <c r="C335" s="39" t="s">
        <v>1314</v>
      </c>
    </row>
    <row r="336" spans="1:3" ht="13.15" x14ac:dyDescent="0.4">
      <c r="A336" s="41"/>
      <c r="B336" s="42">
        <v>1.0920000000000001</v>
      </c>
      <c r="C336" s="39" t="s">
        <v>1313</v>
      </c>
    </row>
    <row r="337" spans="1:3" ht="13.15" x14ac:dyDescent="0.4">
      <c r="A337" s="41"/>
      <c r="B337" s="42">
        <v>4.46</v>
      </c>
      <c r="C337" s="39" t="s">
        <v>1312</v>
      </c>
    </row>
    <row r="338" spans="1:3" ht="13.15" x14ac:dyDescent="0.4">
      <c r="A338" s="41"/>
      <c r="B338" s="42">
        <v>7.569</v>
      </c>
      <c r="C338" s="39" t="s">
        <v>1311</v>
      </c>
    </row>
    <row r="339" spans="1:3" ht="13.15" x14ac:dyDescent="0.4">
      <c r="A339" s="41"/>
      <c r="B339" s="42">
        <v>0.54</v>
      </c>
      <c r="C339" s="39" t="s">
        <v>1310</v>
      </c>
    </row>
    <row r="340" spans="1:3" ht="13.15" x14ac:dyDescent="0.4">
      <c r="A340" s="41"/>
    </row>
    <row r="341" spans="1:3" ht="13.15" x14ac:dyDescent="0.4">
      <c r="A341" s="41" t="s">
        <v>1309</v>
      </c>
    </row>
    <row r="342" spans="1:3" ht="13.15" x14ac:dyDescent="0.4">
      <c r="A342" s="41"/>
      <c r="B342" s="42">
        <v>2.59</v>
      </c>
      <c r="C342" s="39" t="s">
        <v>1308</v>
      </c>
    </row>
    <row r="343" spans="1:3" ht="13.15" x14ac:dyDescent="0.4">
      <c r="A343" s="41"/>
      <c r="B343" s="42">
        <v>0</v>
      </c>
      <c r="C343" s="39" t="s">
        <v>1307</v>
      </c>
    </row>
    <row r="344" spans="1:3" ht="13.15" x14ac:dyDescent="0.4">
      <c r="A344" s="41"/>
      <c r="B344" s="42">
        <v>4.1399999999999997</v>
      </c>
      <c r="C344" s="39" t="s">
        <v>1306</v>
      </c>
    </row>
    <row r="345" spans="1:3" ht="13.15" x14ac:dyDescent="0.4">
      <c r="A345" s="41"/>
    </row>
    <row r="346" spans="1:3" ht="13.15" x14ac:dyDescent="0.4">
      <c r="A346" s="41" t="s">
        <v>1305</v>
      </c>
    </row>
    <row r="347" spans="1:3" ht="13.15" x14ac:dyDescent="0.4">
      <c r="A347" s="41"/>
      <c r="B347" s="42">
        <v>17.015999999999998</v>
      </c>
      <c r="C347" s="39" t="s">
        <v>1304</v>
      </c>
    </row>
    <row r="348" spans="1:3" ht="13.15" x14ac:dyDescent="0.4">
      <c r="A348" s="41"/>
      <c r="B348" s="42">
        <v>10.744999999999999</v>
      </c>
      <c r="C348" s="39" t="s">
        <v>1303</v>
      </c>
    </row>
    <row r="349" spans="1:3" ht="13.15" x14ac:dyDescent="0.4">
      <c r="A349" s="41"/>
      <c r="B349" s="42">
        <v>15.31</v>
      </c>
      <c r="C349" s="39" t="s">
        <v>1302</v>
      </c>
    </row>
    <row r="350" spans="1:3" ht="13.15" x14ac:dyDescent="0.4">
      <c r="A350" s="41"/>
      <c r="B350" s="42">
        <v>43.506999999999998</v>
      </c>
      <c r="C350" s="39" t="s">
        <v>1301</v>
      </c>
    </row>
    <row r="351" spans="1:3" ht="13.15" x14ac:dyDescent="0.4">
      <c r="A351" s="41"/>
      <c r="B351" s="42">
        <v>15.945</v>
      </c>
      <c r="C351" s="39" t="s">
        <v>1300</v>
      </c>
    </row>
    <row r="352" spans="1:3" ht="13.15" x14ac:dyDescent="0.4">
      <c r="A352" s="41"/>
      <c r="B352" s="42">
        <v>4.9180000000000001</v>
      </c>
      <c r="C352" s="39" t="s">
        <v>1299</v>
      </c>
    </row>
    <row r="353" spans="1:4" ht="13.15" x14ac:dyDescent="0.4">
      <c r="A353" s="41"/>
      <c r="B353" s="42">
        <v>2.4590000000000001</v>
      </c>
      <c r="C353" s="39" t="s">
        <v>1298</v>
      </c>
    </row>
    <row r="354" spans="1:4" ht="13.15" x14ac:dyDescent="0.4">
      <c r="A354" s="41"/>
    </row>
    <row r="355" spans="1:4" ht="13.15" x14ac:dyDescent="0.4">
      <c r="A355" s="41" t="s">
        <v>1297</v>
      </c>
    </row>
    <row r="356" spans="1:4" ht="13.15" x14ac:dyDescent="0.4">
      <c r="A356" s="41"/>
      <c r="B356" s="70" t="s">
        <v>1220</v>
      </c>
      <c r="C356" s="69" t="s">
        <v>1219</v>
      </c>
      <c r="D356" s="68" t="s">
        <v>1218</v>
      </c>
    </row>
    <row r="357" spans="1:4" ht="13.15" x14ac:dyDescent="0.4">
      <c r="A357" s="41"/>
      <c r="B357" s="50" t="s">
        <v>1296</v>
      </c>
      <c r="C357" s="64">
        <v>21.570692097725999</v>
      </c>
      <c r="D357" s="67">
        <v>70.909337045982895</v>
      </c>
    </row>
    <row r="358" spans="1:4" ht="13.15" x14ac:dyDescent="0.4">
      <c r="A358" s="41"/>
      <c r="B358" s="46" t="s">
        <v>1295</v>
      </c>
      <c r="C358" s="66">
        <v>6.7060813649289104</v>
      </c>
      <c r="D358" s="65">
        <v>29.332886535257298</v>
      </c>
    </row>
    <row r="359" spans="1:4" ht="13.15" x14ac:dyDescent="0.4">
      <c r="A359" s="41"/>
      <c r="B359" s="64">
        <v>37.1776491351633</v>
      </c>
      <c r="C359" s="39" t="s">
        <v>1294</v>
      </c>
    </row>
    <row r="360" spans="1:4" ht="13.15" x14ac:dyDescent="0.4">
      <c r="A360" s="41"/>
      <c r="B360" s="64">
        <v>18.600278503969914</v>
      </c>
      <c r="C360" s="39" t="s">
        <v>1293</v>
      </c>
    </row>
    <row r="361" spans="1:4" ht="13.15" x14ac:dyDescent="0.4">
      <c r="A361" s="41"/>
      <c r="B361" s="64">
        <v>10.525239810426541</v>
      </c>
      <c r="C361" s="39" t="s">
        <v>1292</v>
      </c>
    </row>
    <row r="362" spans="1:4" ht="13.15" x14ac:dyDescent="0.4">
      <c r="A362" s="41"/>
    </row>
    <row r="363" spans="1:4" ht="13.15" x14ac:dyDescent="0.4">
      <c r="A363" s="41" t="s">
        <v>1291</v>
      </c>
    </row>
    <row r="364" spans="1:4" ht="13.15" x14ac:dyDescent="0.4">
      <c r="A364" s="41"/>
      <c r="B364" s="42">
        <v>2.15</v>
      </c>
      <c r="C364" s="39" t="s">
        <v>1290</v>
      </c>
    </row>
    <row r="365" spans="1:4" ht="13.15" x14ac:dyDescent="0.4">
      <c r="A365" s="41"/>
      <c r="B365" s="42">
        <v>19.782</v>
      </c>
      <c r="C365" s="39" t="s">
        <v>1289</v>
      </c>
    </row>
    <row r="366" spans="1:4" ht="13.15" x14ac:dyDescent="0.4">
      <c r="A366" s="41"/>
      <c r="B366" s="42">
        <v>24.338000000000001</v>
      </c>
      <c r="C366" s="39" t="s">
        <v>1288</v>
      </c>
    </row>
    <row r="367" spans="1:4" ht="13.15" x14ac:dyDescent="0.4">
      <c r="A367" s="41"/>
      <c r="B367" s="42">
        <v>2.4820000000000002</v>
      </c>
      <c r="C367" s="39" t="s">
        <v>1287</v>
      </c>
    </row>
    <row r="368" spans="1:4" ht="13.15" x14ac:dyDescent="0.4">
      <c r="A368" s="41"/>
      <c r="B368" s="61" t="s">
        <v>1286</v>
      </c>
      <c r="C368" s="60"/>
    </row>
    <row r="369" spans="1:3" ht="14.25" x14ac:dyDescent="0.45">
      <c r="A369" s="41"/>
      <c r="B369" s="59" t="s">
        <v>1285</v>
      </c>
      <c r="C369" s="63">
        <v>0.84199999999999997</v>
      </c>
    </row>
    <row r="370" spans="1:3" ht="13.15" x14ac:dyDescent="0.4">
      <c r="A370" s="41"/>
      <c r="B370" s="57" t="s">
        <v>1284</v>
      </c>
      <c r="C370" s="62">
        <v>0.158</v>
      </c>
    </row>
    <row r="371" spans="1:3" ht="13.15" x14ac:dyDescent="0.4">
      <c r="A371" s="41"/>
    </row>
    <row r="372" spans="1:3" ht="13.15" x14ac:dyDescent="0.4">
      <c r="A372" s="41" t="s">
        <v>1283</v>
      </c>
    </row>
    <row r="373" spans="1:3" ht="13.15" x14ac:dyDescent="0.4">
      <c r="A373" s="41"/>
      <c r="B373" s="42">
        <v>3.83</v>
      </c>
      <c r="C373" s="39" t="s">
        <v>1282</v>
      </c>
    </row>
    <row r="374" spans="1:3" ht="13.15" x14ac:dyDescent="0.4">
      <c r="A374" s="41"/>
      <c r="B374" s="42">
        <v>14.75</v>
      </c>
      <c r="C374" s="39" t="s">
        <v>1281</v>
      </c>
    </row>
    <row r="375" spans="1:3" ht="13.15" x14ac:dyDescent="0.4">
      <c r="A375" s="41"/>
      <c r="B375" s="42">
        <v>22.9</v>
      </c>
      <c r="C375" s="39" t="s">
        <v>1280</v>
      </c>
    </row>
    <row r="376" spans="1:3" ht="13.15" x14ac:dyDescent="0.4">
      <c r="A376" s="41"/>
    </row>
    <row r="377" spans="1:3" ht="13.15" x14ac:dyDescent="0.4">
      <c r="A377" s="41" t="s">
        <v>1279</v>
      </c>
    </row>
    <row r="378" spans="1:3" ht="13.15" x14ac:dyDescent="0.4">
      <c r="A378" s="41"/>
      <c r="B378" s="42">
        <v>0</v>
      </c>
      <c r="C378" s="39" t="s">
        <v>1278</v>
      </c>
    </row>
    <row r="379" spans="1:3" ht="13.15" x14ac:dyDescent="0.4">
      <c r="A379" s="41"/>
      <c r="B379" s="42">
        <v>146.27500000000001</v>
      </c>
      <c r="C379" s="39" t="s">
        <v>1277</v>
      </c>
    </row>
    <row r="380" spans="1:3" ht="13.15" x14ac:dyDescent="0.4">
      <c r="A380" s="41"/>
      <c r="B380" s="42">
        <v>225.26</v>
      </c>
      <c r="C380" s="39" t="s">
        <v>1276</v>
      </c>
    </row>
    <row r="381" spans="1:3" ht="13.15" x14ac:dyDescent="0.4">
      <c r="A381" s="41"/>
      <c r="B381" s="42">
        <v>2.496</v>
      </c>
      <c r="C381" s="39" t="s">
        <v>1275</v>
      </c>
    </row>
    <row r="382" spans="1:3" ht="13.15" x14ac:dyDescent="0.4">
      <c r="A382" s="41"/>
      <c r="B382" s="42">
        <v>7.1890000000000001</v>
      </c>
      <c r="C382" s="39" t="s">
        <v>1274</v>
      </c>
    </row>
    <row r="383" spans="1:3" ht="13.15" x14ac:dyDescent="0.4">
      <c r="A383" s="41"/>
      <c r="B383" s="61" t="s">
        <v>1273</v>
      </c>
      <c r="C383" s="60"/>
    </row>
    <row r="384" spans="1:3" ht="13.15" x14ac:dyDescent="0.4">
      <c r="A384" s="41"/>
      <c r="B384" s="59" t="s">
        <v>1272</v>
      </c>
      <c r="C384" s="58">
        <v>1</v>
      </c>
    </row>
    <row r="385" spans="1:3" ht="13.15" x14ac:dyDescent="0.4">
      <c r="A385" s="41"/>
      <c r="B385" s="57" t="s">
        <v>1271</v>
      </c>
      <c r="C385" s="56">
        <v>0</v>
      </c>
    </row>
    <row r="386" spans="1:3" ht="13.15" x14ac:dyDescent="0.4">
      <c r="A386" s="41"/>
    </row>
    <row r="387" spans="1:3" ht="13.15" x14ac:dyDescent="0.4">
      <c r="A387" s="41" t="s">
        <v>1270</v>
      </c>
    </row>
    <row r="388" spans="1:3" ht="13.15" x14ac:dyDescent="0.4">
      <c r="A388" s="41"/>
      <c r="B388" s="42">
        <v>0.108</v>
      </c>
      <c r="C388" s="39" t="s">
        <v>1269</v>
      </c>
    </row>
    <row r="389" spans="1:3" ht="13.15" x14ac:dyDescent="0.4">
      <c r="A389" s="41"/>
    </row>
    <row r="390" spans="1:3" ht="13.15" x14ac:dyDescent="0.4">
      <c r="A390" s="41" t="s">
        <v>1268</v>
      </c>
    </row>
    <row r="391" spans="1:3" ht="13.15" x14ac:dyDescent="0.4">
      <c r="A391" s="41"/>
      <c r="B391" s="42">
        <v>0.27</v>
      </c>
      <c r="C391" s="39" t="s">
        <v>1267</v>
      </c>
    </row>
    <row r="392" spans="1:3" ht="13.15" x14ac:dyDescent="0.4">
      <c r="A392" s="41"/>
      <c r="B392" s="42">
        <v>6.5</v>
      </c>
      <c r="C392" s="39" t="s">
        <v>1266</v>
      </c>
    </row>
    <row r="393" spans="1:3" ht="13.15" x14ac:dyDescent="0.4">
      <c r="A393" s="41"/>
      <c r="B393" s="42">
        <v>1.5</v>
      </c>
      <c r="C393" s="39" t="s">
        <v>1265</v>
      </c>
    </row>
    <row r="394" spans="1:3" ht="13.15" x14ac:dyDescent="0.4">
      <c r="A394" s="41"/>
      <c r="B394" s="42">
        <v>0.41</v>
      </c>
      <c r="C394" s="39" t="s">
        <v>1264</v>
      </c>
    </row>
    <row r="395" spans="1:3" ht="13.15" x14ac:dyDescent="0.4">
      <c r="A395" s="41"/>
      <c r="B395" s="42">
        <v>4.2</v>
      </c>
      <c r="C395" s="39" t="s">
        <v>1263</v>
      </c>
    </row>
    <row r="396" spans="1:3" ht="13.15" x14ac:dyDescent="0.4">
      <c r="A396" s="41"/>
      <c r="B396" s="42">
        <v>1.64</v>
      </c>
      <c r="C396" s="39" t="s">
        <v>1262</v>
      </c>
    </row>
    <row r="397" spans="1:3" ht="13.15" x14ac:dyDescent="0.4">
      <c r="A397" s="41"/>
      <c r="B397" s="42">
        <v>1.1499999999999999</v>
      </c>
      <c r="C397" s="39" t="s">
        <v>1261</v>
      </c>
    </row>
    <row r="398" spans="1:3" ht="13.15" x14ac:dyDescent="0.4">
      <c r="A398" s="41"/>
      <c r="B398" s="42">
        <v>6.5</v>
      </c>
      <c r="C398" s="39" t="s">
        <v>1260</v>
      </c>
    </row>
    <row r="399" spans="1:3" ht="13.15" x14ac:dyDescent="0.4">
      <c r="A399" s="41"/>
      <c r="B399" s="42">
        <v>2</v>
      </c>
      <c r="C399" s="39" t="s">
        <v>1259</v>
      </c>
    </row>
    <row r="400" spans="1:3" ht="13.15" x14ac:dyDescent="0.4">
      <c r="A400" s="41"/>
      <c r="B400" s="42">
        <v>3.28</v>
      </c>
      <c r="C400" s="39" t="s">
        <v>1258</v>
      </c>
    </row>
    <row r="401" spans="1:3" ht="13.15" x14ac:dyDescent="0.4">
      <c r="A401" s="41"/>
    </row>
    <row r="402" spans="1:3" ht="13.15" x14ac:dyDescent="0.4">
      <c r="A402" s="41" t="s">
        <v>1257</v>
      </c>
    </row>
    <row r="403" spans="1:3" ht="13.15" x14ac:dyDescent="0.4">
      <c r="A403" s="41"/>
      <c r="B403" s="42">
        <v>23.907</v>
      </c>
      <c r="C403" s="39" t="s">
        <v>1256</v>
      </c>
    </row>
    <row r="404" spans="1:3" ht="13.15" x14ac:dyDescent="0.4">
      <c r="A404" s="41"/>
      <c r="B404" s="42">
        <v>7.3830000000000009</v>
      </c>
      <c r="C404" s="39" t="s">
        <v>1255</v>
      </c>
    </row>
    <row r="405" spans="1:3" ht="13.15" x14ac:dyDescent="0.4">
      <c r="A405" s="41"/>
      <c r="B405" s="42">
        <v>58.664999999999999</v>
      </c>
      <c r="C405" s="39" t="s">
        <v>1254</v>
      </c>
    </row>
    <row r="406" spans="1:3" ht="13.15" x14ac:dyDescent="0.4">
      <c r="A406" s="41"/>
      <c r="B406" s="42">
        <v>22.730999999999998</v>
      </c>
      <c r="C406" s="39" t="s">
        <v>1253</v>
      </c>
    </row>
    <row r="407" spans="1:3" ht="13.15" x14ac:dyDescent="0.4">
      <c r="A407" s="41"/>
      <c r="B407" s="42">
        <v>22.436</v>
      </c>
      <c r="C407" s="39" t="s">
        <v>1252</v>
      </c>
    </row>
    <row r="408" spans="1:3" ht="13.15" x14ac:dyDescent="0.4">
      <c r="A408" s="41"/>
      <c r="B408" s="42">
        <v>11.152999999999999</v>
      </c>
      <c r="C408" s="39" t="s">
        <v>1251</v>
      </c>
    </row>
    <row r="409" spans="1:3" ht="13.15" x14ac:dyDescent="0.4">
      <c r="A409" s="41"/>
      <c r="B409" s="42">
        <v>14.551000000000002</v>
      </c>
      <c r="C409" s="39" t="s">
        <v>1250</v>
      </c>
    </row>
    <row r="410" spans="1:3" ht="13.15" x14ac:dyDescent="0.4">
      <c r="A410" s="41"/>
      <c r="B410" s="42">
        <v>10.785</v>
      </c>
      <c r="C410" s="39" t="s">
        <v>1249</v>
      </c>
    </row>
    <row r="411" spans="1:3" ht="13.15" x14ac:dyDescent="0.4">
      <c r="A411" s="41"/>
      <c r="B411" s="42">
        <v>52.226999999999997</v>
      </c>
      <c r="C411" s="39" t="s">
        <v>1248</v>
      </c>
    </row>
    <row r="412" spans="1:3" ht="13.15" x14ac:dyDescent="0.4">
      <c r="A412" s="41"/>
      <c r="B412" s="42">
        <v>51.176000000000002</v>
      </c>
      <c r="C412" s="39" t="s">
        <v>1247</v>
      </c>
    </row>
    <row r="413" spans="1:3" ht="13.15" x14ac:dyDescent="0.4">
      <c r="A413" s="41"/>
      <c r="B413" s="42">
        <v>42.561999999999998</v>
      </c>
      <c r="C413" s="39" t="s">
        <v>1246</v>
      </c>
    </row>
    <row r="414" spans="1:3" ht="13.15" x14ac:dyDescent="0.4">
      <c r="A414" s="41"/>
      <c r="B414" s="42">
        <v>18.170000000000002</v>
      </c>
      <c r="C414" s="39" t="s">
        <v>1245</v>
      </c>
    </row>
    <row r="415" spans="1:3" ht="13.15" x14ac:dyDescent="0.4">
      <c r="A415" s="41"/>
      <c r="B415" s="42">
        <v>9.3180000000000014</v>
      </c>
      <c r="C415" s="39" t="s">
        <v>1244</v>
      </c>
    </row>
    <row r="416" spans="1:3" ht="13.15" x14ac:dyDescent="0.4">
      <c r="A416" s="41"/>
      <c r="B416" s="42">
        <v>27.152999999999999</v>
      </c>
      <c r="C416" s="39" t="s">
        <v>1243</v>
      </c>
    </row>
    <row r="417" spans="1:3" ht="13.15" x14ac:dyDescent="0.4">
      <c r="A417" s="41"/>
      <c r="B417" s="42">
        <v>24.370999999999999</v>
      </c>
      <c r="C417" s="39" t="s">
        <v>1242</v>
      </c>
    </row>
    <row r="418" spans="1:3" ht="13.15" x14ac:dyDescent="0.4">
      <c r="A418" s="41"/>
      <c r="B418" s="42">
        <v>18.348000000000003</v>
      </c>
      <c r="C418" s="39" t="s">
        <v>1241</v>
      </c>
    </row>
    <row r="419" spans="1:3" ht="13.15" x14ac:dyDescent="0.4">
      <c r="A419" s="41"/>
      <c r="B419" s="42">
        <v>0.64100000000000001</v>
      </c>
      <c r="C419" s="39" t="s">
        <v>1240</v>
      </c>
    </row>
    <row r="420" spans="1:3" ht="13.15" x14ac:dyDescent="0.4">
      <c r="A420" s="41"/>
      <c r="B420" s="42">
        <v>398.512</v>
      </c>
      <c r="C420" s="39" t="s">
        <v>330</v>
      </c>
    </row>
    <row r="421" spans="1:3" ht="13.15" x14ac:dyDescent="0.4">
      <c r="A421" s="41"/>
      <c r="B421" s="42">
        <v>3.01</v>
      </c>
      <c r="C421" s="39" t="s">
        <v>1239</v>
      </c>
    </row>
    <row r="422" spans="1:3" x14ac:dyDescent="0.35">
      <c r="B422" s="39">
        <v>3.698</v>
      </c>
      <c r="C422" s="39" t="s">
        <v>1238</v>
      </c>
    </row>
    <row r="423" spans="1:3" x14ac:dyDescent="0.35">
      <c r="B423" s="39">
        <v>11.007</v>
      </c>
      <c r="C423" s="39" t="s">
        <v>1237</v>
      </c>
    </row>
    <row r="424" spans="1:3" ht="13.15" x14ac:dyDescent="0.4">
      <c r="A424" s="41"/>
      <c r="B424" s="42">
        <v>7.8860000000000001</v>
      </c>
      <c r="C424" s="39" t="s">
        <v>1236</v>
      </c>
    </row>
    <row r="425" spans="1:3" ht="13.15" x14ac:dyDescent="0.4">
      <c r="A425" s="41"/>
      <c r="B425" s="42">
        <v>5.3140000000000001</v>
      </c>
      <c r="C425" s="39" t="s">
        <v>1235</v>
      </c>
    </row>
    <row r="426" spans="1:3" ht="13.15" x14ac:dyDescent="0.4">
      <c r="A426" s="41"/>
      <c r="B426" s="42">
        <v>1.798</v>
      </c>
      <c r="C426" s="39" t="s">
        <v>1234</v>
      </c>
    </row>
    <row r="427" spans="1:3" ht="13.15" x14ac:dyDescent="0.4">
      <c r="A427" s="41"/>
      <c r="B427" s="42">
        <v>6.274</v>
      </c>
      <c r="C427" s="39" t="s">
        <v>1226</v>
      </c>
    </row>
    <row r="428" spans="1:3" ht="13.15" x14ac:dyDescent="0.4">
      <c r="A428" s="41"/>
      <c r="B428" s="42">
        <v>1.6950000000000001</v>
      </c>
      <c r="C428" s="39" t="s">
        <v>1233</v>
      </c>
    </row>
    <row r="429" spans="1:3" ht="13.15" x14ac:dyDescent="0.4">
      <c r="A429" s="41"/>
      <c r="B429" s="42">
        <v>1.633</v>
      </c>
      <c r="C429" s="39" t="s">
        <v>1232</v>
      </c>
    </row>
    <row r="430" spans="1:3" ht="13.15" x14ac:dyDescent="0.4">
      <c r="A430" s="41"/>
      <c r="B430" s="42">
        <v>2.1680000000000001</v>
      </c>
      <c r="C430" s="39" t="s">
        <v>1231</v>
      </c>
    </row>
    <row r="431" spans="1:3" ht="13.15" x14ac:dyDescent="0.4">
      <c r="A431" s="41"/>
      <c r="B431" s="42">
        <v>6.1849999999999996</v>
      </c>
      <c r="C431" s="39" t="s">
        <v>1230</v>
      </c>
    </row>
    <row r="432" spans="1:3" ht="13.15" x14ac:dyDescent="0.4">
      <c r="A432" s="41"/>
      <c r="B432" s="42">
        <v>3.8029999999999999</v>
      </c>
      <c r="C432" s="39" t="s">
        <v>1225</v>
      </c>
    </row>
    <row r="433" spans="1:6" ht="13.15" x14ac:dyDescent="0.4">
      <c r="A433" s="41"/>
      <c r="B433" s="42">
        <v>2.4740000000000002</v>
      </c>
      <c r="C433" s="39" t="s">
        <v>1229</v>
      </c>
    </row>
    <row r="434" spans="1:6" ht="13.15" x14ac:dyDescent="0.4">
      <c r="A434" s="41"/>
    </row>
    <row r="435" spans="1:6" ht="13.15" x14ac:dyDescent="0.4">
      <c r="A435" s="41" t="s">
        <v>1228</v>
      </c>
    </row>
    <row r="436" spans="1:6" ht="13.15" x14ac:dyDescent="0.4">
      <c r="A436" s="41"/>
      <c r="B436" s="42">
        <v>33.854999999999997</v>
      </c>
      <c r="C436" s="39" t="s">
        <v>1227</v>
      </c>
    </row>
    <row r="437" spans="1:6" ht="13.15" x14ac:dyDescent="0.4">
      <c r="A437" s="41"/>
      <c r="B437" s="42">
        <v>6.274</v>
      </c>
      <c r="C437" s="39" t="s">
        <v>1226</v>
      </c>
    </row>
    <row r="438" spans="1:6" ht="13.15" x14ac:dyDescent="0.4">
      <c r="A438" s="41"/>
      <c r="B438" s="42">
        <v>3.8029999999999999</v>
      </c>
      <c r="C438" s="39" t="s">
        <v>1225</v>
      </c>
    </row>
    <row r="439" spans="1:6" ht="13.15" x14ac:dyDescent="0.4">
      <c r="A439" s="41"/>
    </row>
    <row r="440" spans="1:6" ht="13.15" x14ac:dyDescent="0.4">
      <c r="A440" s="41" t="s">
        <v>1224</v>
      </c>
    </row>
    <row r="441" spans="1:6" ht="13.15" x14ac:dyDescent="0.4">
      <c r="A441" s="41"/>
      <c r="B441" s="55" t="s">
        <v>1223</v>
      </c>
      <c r="C441" s="2189" t="s">
        <v>1222</v>
      </c>
      <c r="D441" s="2190"/>
      <c r="E441" s="2189" t="s">
        <v>1221</v>
      </c>
      <c r="F441" s="2190"/>
    </row>
    <row r="442" spans="1:6" ht="13.15" x14ac:dyDescent="0.4">
      <c r="A442" s="41"/>
      <c r="B442" s="46" t="s">
        <v>1220</v>
      </c>
      <c r="C442" s="53" t="s">
        <v>1219</v>
      </c>
      <c r="D442" s="51" t="s">
        <v>1218</v>
      </c>
      <c r="E442" s="52" t="s">
        <v>1219</v>
      </c>
      <c r="F442" s="51" t="s">
        <v>1218</v>
      </c>
    </row>
    <row r="443" spans="1:6" ht="13.15" x14ac:dyDescent="0.4">
      <c r="A443" s="41"/>
      <c r="B443" s="50" t="s">
        <v>1217</v>
      </c>
      <c r="C443" s="49">
        <v>140.16</v>
      </c>
      <c r="D443" s="47">
        <v>73424.100000000006</v>
      </c>
      <c r="E443" s="48">
        <v>2.262</v>
      </c>
      <c r="F443" s="47">
        <v>2.262</v>
      </c>
    </row>
    <row r="444" spans="1:6" ht="13.15" x14ac:dyDescent="0.4">
      <c r="A444" s="41"/>
      <c r="B444" s="50" t="s">
        <v>1216</v>
      </c>
      <c r="C444" s="49">
        <v>96.89</v>
      </c>
      <c r="D444" s="47">
        <v>50759.34</v>
      </c>
      <c r="E444" s="48"/>
      <c r="F444" s="47"/>
    </row>
    <row r="445" spans="1:6" ht="13.15" x14ac:dyDescent="0.4">
      <c r="A445" s="41"/>
      <c r="B445" s="50" t="s">
        <v>1215</v>
      </c>
      <c r="C445" s="49">
        <v>114.24</v>
      </c>
      <c r="D445" s="47">
        <v>59843.57</v>
      </c>
      <c r="E445" s="48"/>
      <c r="F445" s="47"/>
    </row>
    <row r="446" spans="1:6" ht="13.15" x14ac:dyDescent="0.4">
      <c r="A446" s="41"/>
      <c r="B446" s="46" t="s">
        <v>1214</v>
      </c>
      <c r="C446" s="45">
        <v>52.92</v>
      </c>
      <c r="D446" s="43">
        <v>27720.97</v>
      </c>
      <c r="E446" s="44">
        <v>11.72</v>
      </c>
      <c r="F446" s="43">
        <v>56879</v>
      </c>
    </row>
    <row r="447" spans="1:6" ht="13.15" x14ac:dyDescent="0.4">
      <c r="A447" s="41"/>
    </row>
    <row r="448" spans="1:6" ht="12.75" hidden="1" customHeight="1" x14ac:dyDescent="0.4">
      <c r="A448" s="41" t="s">
        <v>1213</v>
      </c>
      <c r="F448" s="39" t="s">
        <v>1212</v>
      </c>
    </row>
    <row r="449" spans="1:6" ht="12.75" hidden="1" customHeight="1" x14ac:dyDescent="0.4">
      <c r="A449" s="41"/>
      <c r="B449" s="39">
        <v>0</v>
      </c>
      <c r="C449" s="39" t="s">
        <v>1198</v>
      </c>
      <c r="F449" s="39" t="s">
        <v>1211</v>
      </c>
    </row>
    <row r="450" spans="1:6" ht="12.75" hidden="1" customHeight="1" x14ac:dyDescent="0.4">
      <c r="A450" s="41"/>
      <c r="B450" s="39">
        <v>0</v>
      </c>
      <c r="C450" s="39" t="s">
        <v>1210</v>
      </c>
      <c r="F450" s="39" t="s">
        <v>1209</v>
      </c>
    </row>
    <row r="451" spans="1:6" ht="13.5" hidden="1" customHeight="1" thickBot="1" x14ac:dyDescent="0.45">
      <c r="A451" s="41"/>
      <c r="B451" s="39">
        <v>0</v>
      </c>
      <c r="C451" s="39" t="s">
        <v>1208</v>
      </c>
      <c r="F451" s="39" t="s">
        <v>1207</v>
      </c>
    </row>
    <row r="452" spans="1:6" ht="12.75" hidden="1" customHeight="1" x14ac:dyDescent="0.4">
      <c r="A452" s="41"/>
      <c r="F452" s="39" t="s">
        <v>1206</v>
      </c>
    </row>
    <row r="453" spans="1:6" ht="12.75" hidden="1" customHeight="1" x14ac:dyDescent="0.4">
      <c r="A453" s="41" t="s">
        <v>1205</v>
      </c>
    </row>
    <row r="454" spans="1:6" ht="12.75" hidden="1" customHeight="1" x14ac:dyDescent="0.4">
      <c r="A454" s="41"/>
      <c r="B454" s="39">
        <v>34</v>
      </c>
      <c r="C454" s="39" t="s">
        <v>1198</v>
      </c>
    </row>
    <row r="455" spans="1:6" ht="12.75" hidden="1" customHeight="1" x14ac:dyDescent="0.4">
      <c r="A455" s="41"/>
      <c r="B455" s="39">
        <v>100</v>
      </c>
      <c r="C455" s="39" t="s">
        <v>1204</v>
      </c>
    </row>
    <row r="456" spans="1:6" ht="13.5" hidden="1" customHeight="1" thickBot="1" x14ac:dyDescent="0.45">
      <c r="A456" s="41"/>
      <c r="B456" s="39">
        <v>0</v>
      </c>
      <c r="C456" s="39" t="s">
        <v>1203</v>
      </c>
    </row>
    <row r="457" spans="1:6" ht="12.75" hidden="1" customHeight="1" x14ac:dyDescent="0.4">
      <c r="A457" s="41"/>
    </row>
    <row r="458" spans="1:6" ht="12.75" hidden="1" customHeight="1" x14ac:dyDescent="0.4">
      <c r="A458" s="41" t="s">
        <v>1202</v>
      </c>
    </row>
    <row r="459" spans="1:6" ht="12.75" hidden="1" customHeight="1" x14ac:dyDescent="0.4">
      <c r="A459" s="41"/>
      <c r="B459" s="39">
        <v>0</v>
      </c>
      <c r="C459" s="39" t="s">
        <v>1198</v>
      </c>
    </row>
    <row r="460" spans="1:6" ht="12.75" hidden="1" customHeight="1" x14ac:dyDescent="0.4">
      <c r="A460" s="41"/>
      <c r="B460" s="39">
        <v>0</v>
      </c>
      <c r="C460" s="39" t="s">
        <v>1201</v>
      </c>
    </row>
    <row r="461" spans="1:6" ht="13.5" hidden="1" customHeight="1" thickBot="1" x14ac:dyDescent="0.45">
      <c r="A461" s="41"/>
      <c r="B461" s="39">
        <v>0</v>
      </c>
      <c r="C461" s="39" t="s">
        <v>1200</v>
      </c>
    </row>
    <row r="462" spans="1:6" ht="12.75" hidden="1" customHeight="1" x14ac:dyDescent="0.4">
      <c r="A462" s="41"/>
    </row>
    <row r="463" spans="1:6" ht="12.75" hidden="1" customHeight="1" x14ac:dyDescent="0.4">
      <c r="A463" s="41" t="s">
        <v>1199</v>
      </c>
    </row>
    <row r="464" spans="1:6" ht="12.75" hidden="1" customHeight="1" x14ac:dyDescent="0.4">
      <c r="A464" s="41"/>
      <c r="B464" s="39">
        <v>0</v>
      </c>
      <c r="C464" s="39" t="s">
        <v>1198</v>
      </c>
    </row>
    <row r="465" spans="1:3" ht="12.75" hidden="1" customHeight="1" x14ac:dyDescent="0.4">
      <c r="A465" s="41"/>
      <c r="B465" s="39">
        <v>0</v>
      </c>
      <c r="C465" s="39" t="s">
        <v>1197</v>
      </c>
    </row>
    <row r="466" spans="1:3" ht="13.5" hidden="1" customHeight="1" thickBot="1" x14ac:dyDescent="0.45">
      <c r="A466" s="41"/>
      <c r="B466" s="39">
        <v>0</v>
      </c>
      <c r="C466" s="39" t="s">
        <v>1196</v>
      </c>
    </row>
    <row r="467" spans="1:3" ht="12.75" hidden="1" customHeight="1" x14ac:dyDescent="0.4">
      <c r="A467" s="41"/>
    </row>
    <row r="468" spans="1:3" ht="13.15" x14ac:dyDescent="0.4">
      <c r="A468" s="41" t="s">
        <v>1195</v>
      </c>
    </row>
    <row r="469" spans="1:3" ht="13.15" x14ac:dyDescent="0.4">
      <c r="A469" s="41"/>
      <c r="B469" s="42">
        <v>4.3330000000000002</v>
      </c>
      <c r="C469" s="39" t="s">
        <v>1194</v>
      </c>
    </row>
    <row r="470" spans="1:3" ht="13.15" x14ac:dyDescent="0.4">
      <c r="A470" s="41"/>
      <c r="B470" s="42">
        <v>108.31399999999999</v>
      </c>
      <c r="C470" s="39" t="s">
        <v>1193</v>
      </c>
    </row>
    <row r="471" spans="1:3" ht="13.15" x14ac:dyDescent="0.4">
      <c r="A471" s="41"/>
      <c r="B471" s="42">
        <v>0</v>
      </c>
      <c r="C471" s="39" t="s">
        <v>1192</v>
      </c>
    </row>
    <row r="472" spans="1:3" ht="13.15" x14ac:dyDescent="0.4">
      <c r="A472" s="41"/>
    </row>
    <row r="473" spans="1:3" ht="13.15" x14ac:dyDescent="0.4">
      <c r="A473" s="41" t="s">
        <v>1191</v>
      </c>
    </row>
    <row r="474" spans="1:3" ht="13.15" x14ac:dyDescent="0.4">
      <c r="A474" s="41"/>
      <c r="B474" s="42">
        <v>3.72</v>
      </c>
      <c r="C474" s="39" t="s">
        <v>1190</v>
      </c>
    </row>
    <row r="475" spans="1:3" ht="13.15" x14ac:dyDescent="0.4">
      <c r="A475" s="41"/>
      <c r="B475" s="42">
        <v>86.4</v>
      </c>
      <c r="C475" s="39" t="s">
        <v>1189</v>
      </c>
    </row>
    <row r="476" spans="1:3" ht="13.15" x14ac:dyDescent="0.4">
      <c r="A476" s="41"/>
    </row>
    <row r="477" spans="1:3" ht="13.15" x14ac:dyDescent="0.4">
      <c r="A477" s="41" t="s">
        <v>1188</v>
      </c>
    </row>
    <row r="478" spans="1:3" ht="13.15" x14ac:dyDescent="0.4">
      <c r="A478" s="41"/>
      <c r="B478" s="42">
        <v>12.295999999999999</v>
      </c>
      <c r="C478" s="39" t="s">
        <v>1187</v>
      </c>
    </row>
    <row r="479" spans="1:3" ht="13.15" x14ac:dyDescent="0.4">
      <c r="A479" s="41"/>
      <c r="B479" s="42">
        <v>12.038</v>
      </c>
      <c r="C479" s="39" t="s">
        <v>1186</v>
      </c>
    </row>
    <row r="480" spans="1:3" ht="13.15" x14ac:dyDescent="0.4">
      <c r="A480" s="41"/>
      <c r="B480" s="42">
        <v>81.685000000000002</v>
      </c>
      <c r="C480" s="39" t="s">
        <v>1185</v>
      </c>
    </row>
    <row r="481" spans="1:3" ht="13.15" x14ac:dyDescent="0.4">
      <c r="A481" s="41"/>
    </row>
    <row r="482" spans="1:3" ht="13.15" x14ac:dyDescent="0.4">
      <c r="A482" s="41" t="s">
        <v>1184</v>
      </c>
    </row>
    <row r="483" spans="1:3" x14ac:dyDescent="0.35">
      <c r="B483" s="42">
        <v>29.654</v>
      </c>
      <c r="C483" s="39" t="s">
        <v>1183</v>
      </c>
    </row>
    <row r="485" spans="1:3" ht="13.15" x14ac:dyDescent="0.4">
      <c r="A485" s="41" t="s">
        <v>1182</v>
      </c>
    </row>
    <row r="486" spans="1:3" x14ac:dyDescent="0.35">
      <c r="B486" s="40">
        <v>260</v>
      </c>
      <c r="C486" s="39" t="s">
        <v>1181</v>
      </c>
    </row>
    <row r="487" spans="1:3" x14ac:dyDescent="0.35">
      <c r="B487" s="40">
        <v>13.1</v>
      </c>
      <c r="C487" s="39" t="s">
        <v>1180</v>
      </c>
    </row>
    <row r="488" spans="1:3" x14ac:dyDescent="0.35">
      <c r="B488" s="40">
        <v>9</v>
      </c>
      <c r="C488" s="39" t="s">
        <v>1179</v>
      </c>
    </row>
  </sheetData>
  <mergeCells count="4">
    <mergeCell ref="C281:G281"/>
    <mergeCell ref="H281:L281"/>
    <mergeCell ref="C441:D441"/>
    <mergeCell ref="E441:F441"/>
  </mergeCells>
  <dataValidations count="2">
    <dataValidation type="list" allowBlank="1" showInputMessage="1" showErrorMessage="1" sqref="F263 B263 B291" xr:uid="{00000000-0002-0000-2500-000000000000}">
      <formula1>"1,2"</formula1>
    </dataValidation>
    <dataValidation type="list" allowBlank="1" showInputMessage="1" showErrorMessage="1" sqref="B267 B274" xr:uid="{00000000-0002-0000-2500-000001000000}">
      <formula1>"1,2,3,4,5"</formula1>
    </dataValidation>
  </dataValidations>
  <pageMargins left="0.75" right="0.75" top="1" bottom="1" header="0.5" footer="0.5"/>
  <pageSetup paperSize="9"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I255"/>
  <sheetViews>
    <sheetView showGridLines="0" zoomScale="85" zoomScaleNormal="85" workbookViewId="0">
      <selection activeCell="L17" sqref="L17"/>
    </sheetView>
  </sheetViews>
  <sheetFormatPr defaultColWidth="9.1328125" defaultRowHeight="12.75" x14ac:dyDescent="0.35"/>
  <cols>
    <col min="1" max="1" width="30.46484375" style="39" customWidth="1"/>
    <col min="2" max="4" width="12.796875" style="39" bestFit="1" customWidth="1"/>
    <col min="5" max="5" width="10.46484375" style="39" customWidth="1"/>
    <col min="6" max="11" width="12.796875" style="39" bestFit="1" customWidth="1"/>
    <col min="12" max="12" width="10.19921875" style="39" bestFit="1" customWidth="1"/>
    <col min="13" max="13" width="9.46484375" style="39" bestFit="1" customWidth="1"/>
    <col min="14" max="14" width="10.19921875" style="39" bestFit="1" customWidth="1"/>
    <col min="15" max="15" width="10.1328125" style="39" bestFit="1" customWidth="1"/>
    <col min="16" max="16" width="11.19921875" style="39" bestFit="1" customWidth="1"/>
    <col min="17" max="31" width="9.46484375" style="39" bestFit="1" customWidth="1"/>
    <col min="32" max="37" width="11.19921875" style="39" bestFit="1" customWidth="1"/>
    <col min="38" max="38" width="12.796875" style="39" bestFit="1" customWidth="1"/>
    <col min="39" max="47" width="11.19921875" style="39" bestFit="1" customWidth="1"/>
    <col min="48" max="48" width="12.796875" style="39" bestFit="1" customWidth="1"/>
    <col min="49" max="50" width="11.19921875" style="39" bestFit="1" customWidth="1"/>
    <col min="51" max="51" width="12.796875" style="39" bestFit="1" customWidth="1"/>
    <col min="52" max="56" width="11.19921875" style="39" bestFit="1" customWidth="1"/>
    <col min="57" max="57" width="12.796875" style="39" bestFit="1" customWidth="1"/>
    <col min="58" max="61" width="11.19921875" style="39" bestFit="1" customWidth="1"/>
    <col min="62" max="62" width="9.19921875" style="39" bestFit="1" customWidth="1"/>
    <col min="63" max="16384" width="9.1328125" style="39"/>
  </cols>
  <sheetData>
    <row r="1" spans="1:13" ht="15" x14ac:dyDescent="0.4">
      <c r="A1" s="140" t="s">
        <v>1918</v>
      </c>
      <c r="G1" s="230" t="s">
        <v>1561</v>
      </c>
    </row>
    <row r="2" spans="1:13" ht="13.15" x14ac:dyDescent="0.4">
      <c r="A2" s="41"/>
    </row>
    <row r="3" spans="1:13" ht="13.9" x14ac:dyDescent="0.4">
      <c r="A3" s="72" t="s">
        <v>1775</v>
      </c>
    </row>
    <row r="4" spans="1:13" ht="13.15" x14ac:dyDescent="0.4">
      <c r="A4" s="41" t="s">
        <v>1917</v>
      </c>
    </row>
    <row r="5" spans="1:13" ht="25.9" x14ac:dyDescent="0.4">
      <c r="A5" s="221"/>
      <c r="B5" s="134" t="s">
        <v>1429</v>
      </c>
      <c r="C5" s="133" t="s">
        <v>1428</v>
      </c>
    </row>
    <row r="6" spans="1:13" x14ac:dyDescent="0.35">
      <c r="A6" s="368" t="s">
        <v>234</v>
      </c>
      <c r="B6" s="426">
        <v>0.73599999999999999</v>
      </c>
      <c r="C6" s="425">
        <v>0.26400000000000001</v>
      </c>
    </row>
    <row r="7" spans="1:13" x14ac:dyDescent="0.35">
      <c r="A7" s="110" t="s">
        <v>289</v>
      </c>
      <c r="B7" s="420">
        <v>0.89</v>
      </c>
      <c r="C7" s="424">
        <v>0.10999999999999999</v>
      </c>
    </row>
    <row r="8" spans="1:13" x14ac:dyDescent="0.35">
      <c r="A8" s="110" t="s">
        <v>290</v>
      </c>
      <c r="B8" s="420">
        <v>0.15</v>
      </c>
      <c r="C8" s="424">
        <v>0.85</v>
      </c>
    </row>
    <row r="9" spans="1:13" x14ac:dyDescent="0.35">
      <c r="A9" s="110" t="s">
        <v>236</v>
      </c>
      <c r="B9" s="420">
        <v>0.27</v>
      </c>
      <c r="C9" s="424">
        <v>0.73</v>
      </c>
    </row>
    <row r="10" spans="1:13" x14ac:dyDescent="0.35">
      <c r="A10" s="108" t="s">
        <v>237</v>
      </c>
      <c r="B10" s="423">
        <v>0.56000000000000005</v>
      </c>
      <c r="C10" s="422">
        <v>0.43999999999999995</v>
      </c>
    </row>
    <row r="11" spans="1:13" x14ac:dyDescent="0.35">
      <c r="A11" s="216"/>
      <c r="B11" s="420"/>
      <c r="C11" s="420"/>
    </row>
    <row r="12" spans="1:13" ht="13.15" x14ac:dyDescent="0.4">
      <c r="A12" s="41" t="s">
        <v>1916</v>
      </c>
      <c r="H12" s="421"/>
    </row>
    <row r="13" spans="1:13" ht="25.5" x14ac:dyDescent="0.35">
      <c r="A13" s="87" t="s">
        <v>1415</v>
      </c>
      <c r="B13" s="103" t="s">
        <v>1414</v>
      </c>
      <c r="C13" s="86" t="s">
        <v>1425</v>
      </c>
      <c r="G13" s="421"/>
    </row>
    <row r="14" spans="1:13" x14ac:dyDescent="0.35">
      <c r="A14" s="412">
        <v>0.21099999999999999</v>
      </c>
      <c r="B14" s="194">
        <v>0.191</v>
      </c>
      <c r="C14" s="193">
        <v>0.59800000000000009</v>
      </c>
      <c r="G14" s="421"/>
    </row>
    <row r="15" spans="1:13" x14ac:dyDescent="0.35">
      <c r="A15" s="197"/>
      <c r="B15" s="197"/>
      <c r="C15" s="197"/>
      <c r="G15" s="421"/>
    </row>
    <row r="16" spans="1:13" ht="13.15" x14ac:dyDescent="0.4">
      <c r="A16" s="41" t="s">
        <v>1915</v>
      </c>
      <c r="F16" s="120"/>
      <c r="G16" s="120"/>
      <c r="H16" s="421"/>
      <c r="K16" s="120"/>
      <c r="L16" s="120"/>
      <c r="M16" s="120"/>
    </row>
    <row r="17" spans="1:16" x14ac:dyDescent="0.35">
      <c r="A17" s="87" t="s">
        <v>288</v>
      </c>
      <c r="B17" s="86" t="s">
        <v>1417</v>
      </c>
      <c r="C17" s="120"/>
      <c r="E17" s="120"/>
      <c r="F17" s="120"/>
      <c r="G17" s="421"/>
      <c r="J17" s="120"/>
      <c r="K17" s="120"/>
      <c r="L17" s="120"/>
    </row>
    <row r="18" spans="1:16" x14ac:dyDescent="0.35">
      <c r="A18" s="412">
        <v>0.85</v>
      </c>
      <c r="B18" s="193">
        <v>0.15000000000000002</v>
      </c>
      <c r="C18" s="120"/>
      <c r="E18" s="120"/>
      <c r="F18" s="120"/>
      <c r="G18" s="421"/>
      <c r="J18" s="120"/>
      <c r="K18" s="120"/>
      <c r="L18" s="120"/>
    </row>
    <row r="19" spans="1:16" x14ac:dyDescent="0.35">
      <c r="H19" s="421"/>
    </row>
    <row r="20" spans="1:16" ht="13.15" x14ac:dyDescent="0.4">
      <c r="A20" s="41" t="s">
        <v>1914</v>
      </c>
      <c r="H20" s="421"/>
    </row>
    <row r="21" spans="1:16" x14ac:dyDescent="0.35">
      <c r="A21" s="87" t="s">
        <v>1415</v>
      </c>
      <c r="B21" s="103" t="s">
        <v>1414</v>
      </c>
      <c r="C21" s="86" t="s">
        <v>1413</v>
      </c>
      <c r="G21" s="421"/>
    </row>
    <row r="22" spans="1:16" x14ac:dyDescent="0.35">
      <c r="A22" s="412">
        <v>0</v>
      </c>
      <c r="B22" s="194">
        <v>0.13</v>
      </c>
      <c r="C22" s="193">
        <v>0.87</v>
      </c>
      <c r="E22" s="120"/>
      <c r="G22" s="421"/>
    </row>
    <row r="23" spans="1:16" ht="13.15" x14ac:dyDescent="0.4">
      <c r="A23" s="41"/>
      <c r="H23" s="421"/>
    </row>
    <row r="24" spans="1:16" ht="13.15" x14ac:dyDescent="0.4">
      <c r="A24" s="41" t="s">
        <v>1913</v>
      </c>
      <c r="F24" s="120"/>
      <c r="H24" s="421"/>
    </row>
    <row r="25" spans="1:16" x14ac:dyDescent="0.35">
      <c r="A25" s="368" t="s">
        <v>242</v>
      </c>
      <c r="B25" s="218" t="s">
        <v>1388</v>
      </c>
    </row>
    <row r="26" spans="1:16" x14ac:dyDescent="0.35">
      <c r="A26" s="412">
        <v>0</v>
      </c>
      <c r="B26" s="193">
        <v>1</v>
      </c>
    </row>
    <row r="28" spans="1:16" ht="13.15" x14ac:dyDescent="0.4">
      <c r="A28" s="41" t="s">
        <v>1912</v>
      </c>
    </row>
    <row r="29" spans="1:16" ht="38.25" x14ac:dyDescent="0.35">
      <c r="A29" s="87" t="s">
        <v>1377</v>
      </c>
      <c r="B29" s="103" t="s">
        <v>1376</v>
      </c>
      <c r="C29" s="103" t="s">
        <v>1254</v>
      </c>
      <c r="D29" s="103" t="s">
        <v>1394</v>
      </c>
      <c r="E29" s="103" t="s">
        <v>1393</v>
      </c>
      <c r="F29" s="103" t="s">
        <v>1392</v>
      </c>
      <c r="G29" s="103" t="s">
        <v>1374</v>
      </c>
      <c r="H29" s="103" t="s">
        <v>1373</v>
      </c>
      <c r="I29" s="103" t="s">
        <v>1248</v>
      </c>
      <c r="J29" s="103" t="s">
        <v>1247</v>
      </c>
      <c r="K29" s="103" t="s">
        <v>1372</v>
      </c>
      <c r="L29" s="103" t="s">
        <v>1371</v>
      </c>
      <c r="M29" s="103" t="s">
        <v>1370</v>
      </c>
      <c r="N29" s="103" t="s">
        <v>1391</v>
      </c>
      <c r="O29" s="103" t="s">
        <v>1390</v>
      </c>
      <c r="P29" s="86" t="s">
        <v>1369</v>
      </c>
    </row>
    <row r="30" spans="1:16" x14ac:dyDescent="0.35">
      <c r="A30" s="412">
        <v>7.5999999999999998E-2</v>
      </c>
      <c r="B30" s="194">
        <v>7.0999999999999994E-2</v>
      </c>
      <c r="C30" s="194">
        <v>0.107</v>
      </c>
      <c r="D30" s="194">
        <v>7.0000000000000001E-3</v>
      </c>
      <c r="E30" s="194">
        <v>7.0000000000000001E-3</v>
      </c>
      <c r="F30" s="194">
        <v>1.4E-2</v>
      </c>
      <c r="G30" s="194">
        <v>1.4E-2</v>
      </c>
      <c r="H30" s="194">
        <v>1.4E-2</v>
      </c>
      <c r="I30" s="194">
        <v>1.0999999999999999E-2</v>
      </c>
      <c r="J30" s="194">
        <v>7.0000000000000007E-2</v>
      </c>
      <c r="K30" s="194">
        <v>3.5000000000000003E-2</v>
      </c>
      <c r="L30" s="194">
        <v>1.7000000000000001E-2</v>
      </c>
      <c r="M30" s="194">
        <v>0.18099999999999999</v>
      </c>
      <c r="N30" s="194">
        <v>0.122</v>
      </c>
      <c r="O30" s="194">
        <v>0.11600000000000001</v>
      </c>
      <c r="P30" s="193">
        <v>0.1379999999999999</v>
      </c>
    </row>
    <row r="31" spans="1:16" x14ac:dyDescent="0.35">
      <c r="A31" s="216"/>
      <c r="B31" s="420"/>
      <c r="C31" s="420"/>
    </row>
    <row r="32" spans="1:16" ht="13.15" x14ac:dyDescent="0.4">
      <c r="A32" s="41" t="s">
        <v>1911</v>
      </c>
    </row>
    <row r="33" spans="1:15" ht="38.25" x14ac:dyDescent="0.35">
      <c r="A33" s="104" t="s">
        <v>1380</v>
      </c>
      <c r="B33" s="87" t="s">
        <v>1368</v>
      </c>
      <c r="C33" s="103" t="s">
        <v>1367</v>
      </c>
      <c r="D33" s="103" t="s">
        <v>1366</v>
      </c>
      <c r="E33" s="103" t="s">
        <v>1234</v>
      </c>
      <c r="F33" s="103" t="s">
        <v>1226</v>
      </c>
      <c r="G33" s="103" t="s">
        <v>1233</v>
      </c>
      <c r="H33" s="103" t="s">
        <v>1232</v>
      </c>
      <c r="I33" s="103" t="s">
        <v>1231</v>
      </c>
      <c r="J33" s="103" t="s">
        <v>1230</v>
      </c>
      <c r="K33" s="103" t="s">
        <v>1225</v>
      </c>
      <c r="L33" s="86" t="s">
        <v>1229</v>
      </c>
      <c r="N33" s="419"/>
      <c r="O33" s="419"/>
    </row>
    <row r="34" spans="1:15" x14ac:dyDescent="0.35">
      <c r="A34" s="110" t="s">
        <v>1379</v>
      </c>
      <c r="B34" s="413">
        <v>1</v>
      </c>
      <c r="C34" s="197">
        <v>0</v>
      </c>
      <c r="D34" s="197">
        <v>0</v>
      </c>
      <c r="E34" s="197">
        <v>0</v>
      </c>
      <c r="F34" s="197">
        <v>0</v>
      </c>
      <c r="G34" s="197">
        <v>0</v>
      </c>
      <c r="H34" s="197">
        <v>0</v>
      </c>
      <c r="I34" s="197">
        <v>0</v>
      </c>
      <c r="J34" s="197">
        <v>0</v>
      </c>
      <c r="K34" s="197">
        <v>0</v>
      </c>
      <c r="L34" s="196">
        <v>0</v>
      </c>
      <c r="N34" s="419"/>
      <c r="O34" s="419"/>
    </row>
    <row r="35" spans="1:15" x14ac:dyDescent="0.35">
      <c r="A35" s="110" t="s">
        <v>1378</v>
      </c>
      <c r="B35" s="413">
        <v>0</v>
      </c>
      <c r="C35" s="197">
        <v>1</v>
      </c>
      <c r="D35" s="197">
        <v>0</v>
      </c>
      <c r="E35" s="197">
        <v>0</v>
      </c>
      <c r="F35" s="197">
        <v>0</v>
      </c>
      <c r="G35" s="197">
        <v>0</v>
      </c>
      <c r="H35" s="197">
        <v>0</v>
      </c>
      <c r="I35" s="197">
        <v>0</v>
      </c>
      <c r="J35" s="197">
        <v>0</v>
      </c>
      <c r="K35" s="197">
        <v>0</v>
      </c>
      <c r="L35" s="196">
        <v>0</v>
      </c>
      <c r="N35" s="419"/>
      <c r="O35" s="419"/>
    </row>
    <row r="36" spans="1:15" x14ac:dyDescent="0.35">
      <c r="A36" s="110" t="s">
        <v>1377</v>
      </c>
      <c r="B36" s="413">
        <v>0</v>
      </c>
      <c r="C36" s="197">
        <v>0</v>
      </c>
      <c r="D36" s="197">
        <v>0</v>
      </c>
      <c r="E36" s="197">
        <v>0</v>
      </c>
      <c r="F36" s="197">
        <v>0.23799999999999999</v>
      </c>
      <c r="G36" s="197">
        <v>0.17499999999999999</v>
      </c>
      <c r="H36" s="197">
        <v>0</v>
      </c>
      <c r="I36" s="197">
        <v>0</v>
      </c>
      <c r="J36" s="197">
        <v>0</v>
      </c>
      <c r="K36" s="197">
        <v>0</v>
      </c>
      <c r="L36" s="196">
        <v>0.58699999999999997</v>
      </c>
      <c r="N36" s="419"/>
      <c r="O36" s="419"/>
    </row>
    <row r="37" spans="1:15" x14ac:dyDescent="0.35">
      <c r="A37" s="110" t="s">
        <v>1376</v>
      </c>
      <c r="B37" s="413">
        <v>0</v>
      </c>
      <c r="C37" s="197">
        <v>0</v>
      </c>
      <c r="D37" s="197">
        <v>0</v>
      </c>
      <c r="E37" s="197">
        <v>0</v>
      </c>
      <c r="F37" s="197">
        <v>0.31900000000000001</v>
      </c>
      <c r="G37" s="197">
        <v>0.27500000000000002</v>
      </c>
      <c r="H37" s="197">
        <v>0</v>
      </c>
      <c r="I37" s="197">
        <v>0</v>
      </c>
      <c r="J37" s="197">
        <v>0</v>
      </c>
      <c r="K37" s="197">
        <v>0</v>
      </c>
      <c r="L37" s="196">
        <v>0.40599999999999992</v>
      </c>
      <c r="N37" s="419"/>
      <c r="O37" s="419"/>
    </row>
    <row r="38" spans="1:15" x14ac:dyDescent="0.35">
      <c r="A38" s="110" t="s">
        <v>1375</v>
      </c>
      <c r="B38" s="413">
        <v>0</v>
      </c>
      <c r="C38" s="197">
        <v>0</v>
      </c>
      <c r="D38" s="197">
        <v>0</v>
      </c>
      <c r="E38" s="197">
        <v>0</v>
      </c>
      <c r="F38" s="197">
        <v>0.24249999999999999</v>
      </c>
      <c r="G38" s="197">
        <v>9.2499999999999999E-2</v>
      </c>
      <c r="H38" s="197">
        <v>0</v>
      </c>
      <c r="I38" s="197">
        <v>0</v>
      </c>
      <c r="J38" s="197">
        <v>0.66500000000000004</v>
      </c>
      <c r="K38" s="197">
        <v>0</v>
      </c>
      <c r="L38" s="196">
        <v>0</v>
      </c>
      <c r="N38" s="419"/>
      <c r="O38" s="419"/>
    </row>
    <row r="39" spans="1:15" x14ac:dyDescent="0.35">
      <c r="A39" s="110" t="s">
        <v>1374</v>
      </c>
      <c r="B39" s="413">
        <v>0</v>
      </c>
      <c r="C39" s="197">
        <v>0</v>
      </c>
      <c r="D39" s="197">
        <v>0</v>
      </c>
      <c r="E39" s="197">
        <v>0</v>
      </c>
      <c r="F39" s="197">
        <v>0.24249999999999999</v>
      </c>
      <c r="G39" s="197">
        <v>9.2499999999999999E-2</v>
      </c>
      <c r="H39" s="197">
        <v>0</v>
      </c>
      <c r="I39" s="197">
        <v>0</v>
      </c>
      <c r="J39" s="197">
        <v>0.66500000000000004</v>
      </c>
      <c r="K39" s="197">
        <v>0</v>
      </c>
      <c r="L39" s="196">
        <v>0</v>
      </c>
      <c r="N39" s="419"/>
      <c r="O39" s="419"/>
    </row>
    <row r="40" spans="1:15" x14ac:dyDescent="0.35">
      <c r="A40" s="110" t="s">
        <v>1373</v>
      </c>
      <c r="B40" s="413">
        <v>0</v>
      </c>
      <c r="C40" s="197">
        <v>0</v>
      </c>
      <c r="D40" s="197">
        <v>0</v>
      </c>
      <c r="E40" s="197">
        <v>0</v>
      </c>
      <c r="F40" s="197">
        <v>0.24249999999999999</v>
      </c>
      <c r="G40" s="197">
        <v>9.2499999999999999E-2</v>
      </c>
      <c r="H40" s="197">
        <v>0</v>
      </c>
      <c r="I40" s="197">
        <v>0</v>
      </c>
      <c r="J40" s="197">
        <v>0.66500000000000004</v>
      </c>
      <c r="K40" s="197">
        <v>0</v>
      </c>
      <c r="L40" s="196">
        <v>0</v>
      </c>
      <c r="N40" s="419"/>
      <c r="O40" s="419"/>
    </row>
    <row r="41" spans="1:15" x14ac:dyDescent="0.35">
      <c r="A41" s="110" t="s">
        <v>1248</v>
      </c>
      <c r="B41" s="413">
        <v>0</v>
      </c>
      <c r="C41" s="197">
        <v>0</v>
      </c>
      <c r="D41" s="197">
        <v>0.36399999999999999</v>
      </c>
      <c r="E41" s="197">
        <v>0</v>
      </c>
      <c r="F41" s="197">
        <v>0.45400000000000001</v>
      </c>
      <c r="G41" s="197">
        <v>0</v>
      </c>
      <c r="H41" s="197">
        <v>0</v>
      </c>
      <c r="I41" s="197">
        <v>0</v>
      </c>
      <c r="J41" s="197">
        <v>0</v>
      </c>
      <c r="K41" s="197">
        <v>0</v>
      </c>
      <c r="L41" s="196">
        <v>0.18199999999999994</v>
      </c>
      <c r="N41" s="419"/>
      <c r="O41" s="419"/>
    </row>
    <row r="42" spans="1:15" x14ac:dyDescent="0.35">
      <c r="A42" s="110" t="s">
        <v>1247</v>
      </c>
      <c r="B42" s="413">
        <v>0</v>
      </c>
      <c r="C42" s="197">
        <v>0</v>
      </c>
      <c r="D42" s="197">
        <v>0</v>
      </c>
      <c r="E42" s="197">
        <v>0</v>
      </c>
      <c r="F42" s="197">
        <v>0.34300000000000003</v>
      </c>
      <c r="G42" s="197">
        <v>0.29899999999999999</v>
      </c>
      <c r="H42" s="197">
        <v>0</v>
      </c>
      <c r="I42" s="197">
        <v>0</v>
      </c>
      <c r="J42" s="197">
        <v>0</v>
      </c>
      <c r="K42" s="197">
        <v>0</v>
      </c>
      <c r="L42" s="196">
        <v>0.35799999999999998</v>
      </c>
      <c r="N42" s="419"/>
      <c r="O42" s="419"/>
    </row>
    <row r="43" spans="1:15" x14ac:dyDescent="0.35">
      <c r="A43" s="110" t="s">
        <v>1372</v>
      </c>
      <c r="B43" s="413">
        <v>0</v>
      </c>
      <c r="C43" s="197">
        <v>0</v>
      </c>
      <c r="D43" s="197">
        <v>0</v>
      </c>
      <c r="E43" s="197">
        <v>0</v>
      </c>
      <c r="F43" s="197">
        <v>0.22</v>
      </c>
      <c r="G43" s="197">
        <v>0</v>
      </c>
      <c r="H43" s="197">
        <v>0</v>
      </c>
      <c r="I43" s="197">
        <v>0</v>
      </c>
      <c r="J43" s="197">
        <v>0</v>
      </c>
      <c r="K43" s="197">
        <v>0</v>
      </c>
      <c r="L43" s="196">
        <v>0.78</v>
      </c>
      <c r="N43" s="419"/>
      <c r="O43" s="419"/>
    </row>
    <row r="44" spans="1:15" x14ac:dyDescent="0.35">
      <c r="A44" s="110" t="s">
        <v>1371</v>
      </c>
      <c r="B44" s="413">
        <v>0</v>
      </c>
      <c r="C44" s="197">
        <v>0</v>
      </c>
      <c r="D44" s="197">
        <v>0</v>
      </c>
      <c r="E44" s="197">
        <v>0</v>
      </c>
      <c r="F44" s="197">
        <v>0.5</v>
      </c>
      <c r="G44" s="197">
        <v>0</v>
      </c>
      <c r="H44" s="197">
        <v>0</v>
      </c>
      <c r="I44" s="197">
        <v>0</v>
      </c>
      <c r="J44" s="197">
        <v>0</v>
      </c>
      <c r="K44" s="197">
        <v>0</v>
      </c>
      <c r="L44" s="196">
        <v>0.5</v>
      </c>
      <c r="N44" s="419"/>
      <c r="O44" s="419"/>
    </row>
    <row r="45" spans="1:15" x14ac:dyDescent="0.35">
      <c r="A45" s="110" t="s">
        <v>1370</v>
      </c>
      <c r="B45" s="413">
        <v>0</v>
      </c>
      <c r="C45" s="197">
        <v>0</v>
      </c>
      <c r="D45" s="197">
        <v>9.1999999999999998E-2</v>
      </c>
      <c r="E45" s="197">
        <v>0</v>
      </c>
      <c r="F45" s="197">
        <v>0.15329999999999999</v>
      </c>
      <c r="G45" s="197">
        <v>0</v>
      </c>
      <c r="H45" s="197">
        <v>0</v>
      </c>
      <c r="I45" s="197">
        <v>1.9E-2</v>
      </c>
      <c r="J45" s="197">
        <v>0</v>
      </c>
      <c r="K45" s="197">
        <v>0</v>
      </c>
      <c r="L45" s="196">
        <v>0.73570000000000002</v>
      </c>
      <c r="N45" s="419"/>
      <c r="O45" s="419"/>
    </row>
    <row r="46" spans="1:15" x14ac:dyDescent="0.35">
      <c r="A46" s="108" t="s">
        <v>1369</v>
      </c>
      <c r="B46" s="412">
        <v>0</v>
      </c>
      <c r="C46" s="194">
        <v>0</v>
      </c>
      <c r="D46" s="194">
        <v>0</v>
      </c>
      <c r="E46" s="194">
        <v>0.18099999999999999</v>
      </c>
      <c r="F46" s="194">
        <v>1.4999999999999999E-2</v>
      </c>
      <c r="G46" s="194">
        <v>0</v>
      </c>
      <c r="H46" s="194">
        <v>0.51100000000000001</v>
      </c>
      <c r="I46" s="194">
        <v>0</v>
      </c>
      <c r="J46" s="194">
        <v>0</v>
      </c>
      <c r="K46" s="194">
        <v>0.29299999999999998</v>
      </c>
      <c r="L46" s="193">
        <v>0</v>
      </c>
      <c r="N46" s="419"/>
      <c r="O46" s="419"/>
    </row>
    <row r="47" spans="1:15" x14ac:dyDescent="0.35">
      <c r="B47" s="419"/>
      <c r="C47" s="419"/>
      <c r="D47" s="419"/>
      <c r="E47" s="419"/>
      <c r="F47" s="419"/>
      <c r="G47" s="419"/>
      <c r="H47" s="419"/>
      <c r="I47" s="419"/>
      <c r="J47" s="419"/>
      <c r="K47" s="419"/>
      <c r="L47" s="419"/>
      <c r="M47" s="419"/>
      <c r="N47" s="419"/>
      <c r="O47" s="419"/>
    </row>
    <row r="48" spans="1:15" ht="13.15" x14ac:dyDescent="0.4">
      <c r="A48" s="41" t="s">
        <v>1910</v>
      </c>
      <c r="B48" s="418"/>
      <c r="C48" s="197"/>
      <c r="D48" s="197"/>
      <c r="E48" s="197"/>
      <c r="F48" s="197"/>
      <c r="G48" s="197"/>
      <c r="H48" s="197"/>
      <c r="I48" s="197"/>
      <c r="J48" s="197"/>
      <c r="K48" s="197"/>
      <c r="L48" s="197"/>
      <c r="M48" s="197"/>
      <c r="N48" s="197"/>
      <c r="O48" s="197"/>
    </row>
    <row r="49" spans="1:17" ht="25.5" x14ac:dyDescent="0.35">
      <c r="A49" s="87" t="s">
        <v>1226</v>
      </c>
      <c r="B49" s="86" t="s">
        <v>1225</v>
      </c>
      <c r="C49" s="197"/>
      <c r="D49" s="197"/>
      <c r="E49" s="197"/>
      <c r="F49" s="197"/>
      <c r="G49" s="197"/>
      <c r="H49" s="197"/>
      <c r="I49" s="197"/>
      <c r="J49" s="197"/>
      <c r="K49" s="197"/>
      <c r="L49" s="197"/>
      <c r="M49" s="197"/>
      <c r="N49" s="197"/>
    </row>
    <row r="50" spans="1:17" x14ac:dyDescent="0.35">
      <c r="A50" s="412">
        <v>0.89</v>
      </c>
      <c r="B50" s="251">
        <v>0.10999999999999999</v>
      </c>
      <c r="C50" s="197"/>
      <c r="D50" s="197"/>
      <c r="E50" s="197"/>
      <c r="F50" s="197"/>
      <c r="G50" s="197"/>
      <c r="H50" s="197"/>
      <c r="I50" s="197"/>
      <c r="J50" s="197"/>
      <c r="K50" s="197"/>
      <c r="L50" s="197"/>
      <c r="M50" s="197"/>
      <c r="N50" s="197"/>
    </row>
    <row r="51" spans="1:17" x14ac:dyDescent="0.35">
      <c r="I51" s="197"/>
    </row>
    <row r="52" spans="1:17" ht="13.9" x14ac:dyDescent="0.4">
      <c r="A52" s="72" t="s">
        <v>1734</v>
      </c>
    </row>
    <row r="53" spans="1:17" x14ac:dyDescent="0.35">
      <c r="A53" s="61" t="s">
        <v>1717</v>
      </c>
      <c r="B53" s="417">
        <v>1</v>
      </c>
    </row>
    <row r="54" spans="1:17" x14ac:dyDescent="0.35">
      <c r="A54" s="59" t="s">
        <v>1909</v>
      </c>
      <c r="B54" s="196">
        <v>1</v>
      </c>
    </row>
    <row r="55" spans="1:17" x14ac:dyDescent="0.35">
      <c r="A55" s="57" t="s">
        <v>1703</v>
      </c>
      <c r="B55" s="193">
        <v>1</v>
      </c>
    </row>
    <row r="57" spans="1:17" ht="13.9" x14ac:dyDescent="0.4">
      <c r="A57" s="72" t="s">
        <v>1701</v>
      </c>
    </row>
    <row r="58" spans="1:17" ht="26.45" customHeight="1" x14ac:dyDescent="0.4">
      <c r="A58" s="131"/>
      <c r="B58" s="2191" t="s">
        <v>1786</v>
      </c>
      <c r="C58" s="2192"/>
      <c r="D58" s="2191" t="s">
        <v>1785</v>
      </c>
      <c r="E58" s="2192"/>
      <c r="F58" s="2191" t="s">
        <v>1784</v>
      </c>
      <c r="G58" s="2192"/>
      <c r="H58" s="2191" t="s">
        <v>1783</v>
      </c>
      <c r="I58" s="2192"/>
      <c r="J58" s="2191" t="s">
        <v>1782</v>
      </c>
      <c r="K58" s="2192"/>
      <c r="L58" s="2191" t="s">
        <v>1781</v>
      </c>
      <c r="M58" s="2192"/>
      <c r="N58" s="2191" t="s">
        <v>1780</v>
      </c>
      <c r="O58" s="2192"/>
      <c r="P58" s="2191" t="s">
        <v>1779</v>
      </c>
      <c r="Q58" s="2192"/>
    </row>
    <row r="59" spans="1:17" ht="70.5" customHeight="1" x14ac:dyDescent="0.4">
      <c r="A59" s="128"/>
      <c r="B59" s="416" t="s">
        <v>1674</v>
      </c>
      <c r="C59" s="415" t="s">
        <v>1673</v>
      </c>
      <c r="D59" s="416" t="s">
        <v>1674</v>
      </c>
      <c r="E59" s="415" t="s">
        <v>1673</v>
      </c>
      <c r="F59" s="416" t="s">
        <v>1674</v>
      </c>
      <c r="G59" s="415" t="s">
        <v>1673</v>
      </c>
      <c r="H59" s="416" t="s">
        <v>1674</v>
      </c>
      <c r="I59" s="415" t="s">
        <v>1673</v>
      </c>
      <c r="J59" s="416" t="s">
        <v>1674</v>
      </c>
      <c r="K59" s="415" t="s">
        <v>1673</v>
      </c>
      <c r="L59" s="416" t="s">
        <v>1674</v>
      </c>
      <c r="M59" s="415" t="s">
        <v>1673</v>
      </c>
      <c r="N59" s="416" t="s">
        <v>1674</v>
      </c>
      <c r="O59" s="415" t="s">
        <v>1673</v>
      </c>
      <c r="P59" s="416" t="s">
        <v>1674</v>
      </c>
      <c r="Q59" s="415" t="s">
        <v>1673</v>
      </c>
    </row>
    <row r="60" spans="1:17" ht="13.15" x14ac:dyDescent="0.4">
      <c r="A60" s="414" t="s">
        <v>1908</v>
      </c>
      <c r="B60" s="277">
        <v>0.28699999999999998</v>
      </c>
      <c r="C60" s="99"/>
      <c r="D60" s="277">
        <v>2.7589999999999999</v>
      </c>
      <c r="E60" s="99"/>
      <c r="F60" s="277">
        <v>0.99</v>
      </c>
      <c r="G60" s="99"/>
      <c r="H60" s="277">
        <v>2.9820000000000002</v>
      </c>
      <c r="I60" s="99"/>
      <c r="J60" s="277">
        <v>0.20499999999999999</v>
      </c>
      <c r="K60" s="99"/>
      <c r="L60" s="277">
        <v>0.27300000000000002</v>
      </c>
      <c r="M60" s="99"/>
      <c r="N60" s="277">
        <v>0.40899999999999997</v>
      </c>
      <c r="O60" s="99"/>
      <c r="P60" s="277">
        <v>1.4962315016000001</v>
      </c>
      <c r="Q60" s="99"/>
    </row>
    <row r="61" spans="1:17" ht="13.15" x14ac:dyDescent="0.4">
      <c r="A61" s="128" t="s">
        <v>1671</v>
      </c>
      <c r="B61" s="413">
        <v>0</v>
      </c>
      <c r="C61" s="99"/>
      <c r="D61" s="413">
        <v>0</v>
      </c>
      <c r="E61" s="99"/>
      <c r="F61" s="413">
        <v>0</v>
      </c>
      <c r="G61" s="99"/>
      <c r="H61" s="413">
        <v>0</v>
      </c>
      <c r="I61" s="99"/>
      <c r="J61" s="413">
        <v>0</v>
      </c>
      <c r="K61" s="99"/>
      <c r="L61" s="413">
        <v>0</v>
      </c>
      <c r="M61" s="99"/>
      <c r="N61" s="413">
        <v>0</v>
      </c>
      <c r="O61" s="99"/>
      <c r="P61" s="413">
        <v>0</v>
      </c>
      <c r="Q61" s="99"/>
    </row>
    <row r="62" spans="1:17" ht="13.15" x14ac:dyDescent="0.4">
      <c r="A62" s="131" t="s">
        <v>1670</v>
      </c>
      <c r="B62" s="61"/>
      <c r="C62" s="60"/>
      <c r="D62" s="61"/>
      <c r="E62" s="60"/>
      <c r="F62" s="61"/>
      <c r="G62" s="60"/>
      <c r="H62" s="61"/>
      <c r="I62" s="60"/>
      <c r="J62" s="61"/>
      <c r="K62" s="60"/>
      <c r="L62" s="61"/>
      <c r="M62" s="60"/>
      <c r="N62" s="61"/>
      <c r="O62" s="60"/>
      <c r="P62" s="61"/>
      <c r="Q62" s="60"/>
    </row>
    <row r="63" spans="1:17" x14ac:dyDescent="0.35">
      <c r="A63" s="59" t="s">
        <v>1668</v>
      </c>
      <c r="B63" s="413">
        <v>0</v>
      </c>
      <c r="C63" s="196"/>
      <c r="D63" s="413">
        <v>0</v>
      </c>
      <c r="E63" s="196"/>
      <c r="F63" s="413">
        <v>0</v>
      </c>
      <c r="G63" s="196"/>
      <c r="H63" s="413">
        <v>0</v>
      </c>
      <c r="I63" s="196"/>
      <c r="J63" s="413">
        <v>0</v>
      </c>
      <c r="K63" s="196"/>
      <c r="L63" s="413">
        <v>0</v>
      </c>
      <c r="M63" s="196"/>
      <c r="N63" s="413">
        <v>0</v>
      </c>
      <c r="O63" s="196"/>
      <c r="P63" s="413">
        <v>0</v>
      </c>
      <c r="Q63" s="196"/>
    </row>
    <row r="64" spans="1:17" x14ac:dyDescent="0.35">
      <c r="A64" s="59" t="s">
        <v>1667</v>
      </c>
      <c r="B64" s="413">
        <v>0</v>
      </c>
      <c r="C64" s="99"/>
      <c r="D64" s="413">
        <v>0</v>
      </c>
      <c r="E64" s="99"/>
      <c r="F64" s="413">
        <v>0</v>
      </c>
      <c r="G64" s="99"/>
      <c r="H64" s="413">
        <v>0</v>
      </c>
      <c r="I64" s="99"/>
      <c r="J64" s="413">
        <v>0</v>
      </c>
      <c r="K64" s="99"/>
      <c r="L64" s="413">
        <v>0</v>
      </c>
      <c r="M64" s="99"/>
      <c r="N64" s="413">
        <v>0</v>
      </c>
      <c r="O64" s="99"/>
      <c r="P64" s="413">
        <v>0</v>
      </c>
      <c r="Q64" s="99"/>
    </row>
    <row r="65" spans="1:17" x14ac:dyDescent="0.35">
      <c r="A65" s="59" t="s">
        <v>1534</v>
      </c>
      <c r="B65" s="413">
        <v>0</v>
      </c>
      <c r="C65" s="196"/>
      <c r="D65" s="413">
        <v>0.83399999999999996</v>
      </c>
      <c r="E65" s="196"/>
      <c r="F65" s="413">
        <v>0</v>
      </c>
      <c r="G65" s="196"/>
      <c r="H65" s="413">
        <v>1</v>
      </c>
      <c r="I65" s="196"/>
      <c r="J65" s="413">
        <v>0</v>
      </c>
      <c r="K65" s="196"/>
      <c r="L65" s="413">
        <v>0</v>
      </c>
      <c r="M65" s="196"/>
      <c r="N65" s="413">
        <v>0</v>
      </c>
      <c r="O65" s="196"/>
      <c r="P65" s="413">
        <v>0</v>
      </c>
      <c r="Q65" s="196"/>
    </row>
    <row r="66" spans="1:17" x14ac:dyDescent="0.35">
      <c r="A66" s="59" t="s">
        <v>1535</v>
      </c>
      <c r="B66" s="413">
        <v>0</v>
      </c>
      <c r="C66" s="196"/>
      <c r="D66" s="413">
        <v>0</v>
      </c>
      <c r="E66" s="196"/>
      <c r="F66" s="413">
        <v>0</v>
      </c>
      <c r="G66" s="196"/>
      <c r="H66" s="413">
        <v>0</v>
      </c>
      <c r="I66" s="196"/>
      <c r="J66" s="413">
        <v>0</v>
      </c>
      <c r="K66" s="196"/>
      <c r="L66" s="413">
        <v>0</v>
      </c>
      <c r="M66" s="196"/>
      <c r="N66" s="413">
        <v>0</v>
      </c>
      <c r="O66" s="196"/>
      <c r="P66" s="413">
        <v>0</v>
      </c>
      <c r="Q66" s="196"/>
    </row>
    <row r="67" spans="1:17" x14ac:dyDescent="0.35">
      <c r="A67" s="57" t="s">
        <v>1664</v>
      </c>
      <c r="B67" s="412">
        <v>1</v>
      </c>
      <c r="C67" s="193"/>
      <c r="D67" s="412">
        <v>0.16600000000000004</v>
      </c>
      <c r="E67" s="193"/>
      <c r="F67" s="412">
        <v>1</v>
      </c>
      <c r="G67" s="193"/>
      <c r="H67" s="412">
        <v>0</v>
      </c>
      <c r="I67" s="193"/>
      <c r="J67" s="412">
        <v>1</v>
      </c>
      <c r="K67" s="193"/>
      <c r="L67" s="412">
        <v>1</v>
      </c>
      <c r="M67" s="193"/>
      <c r="N67" s="412">
        <v>1</v>
      </c>
      <c r="O67" s="193"/>
      <c r="P67" s="412">
        <v>1</v>
      </c>
      <c r="Q67" s="193"/>
    </row>
    <row r="68" spans="1:17" ht="13.15" x14ac:dyDescent="0.4">
      <c r="A68" s="128" t="s">
        <v>1908</v>
      </c>
      <c r="B68" s="59"/>
      <c r="C68" s="99"/>
      <c r="D68" s="59"/>
      <c r="E68" s="99"/>
      <c r="F68" s="59"/>
      <c r="G68" s="99"/>
      <c r="H68" s="59"/>
      <c r="I68" s="99"/>
      <c r="J68" s="59"/>
      <c r="K68" s="99"/>
      <c r="L68" s="59"/>
      <c r="M68" s="99"/>
      <c r="N68" s="59"/>
      <c r="O68" s="99"/>
      <c r="P68" s="59"/>
      <c r="Q68" s="99"/>
    </row>
    <row r="69" spans="1:17" s="145" customFormat="1" x14ac:dyDescent="0.35">
      <c r="A69" s="232" t="s">
        <v>1668</v>
      </c>
      <c r="B69" s="411">
        <v>0</v>
      </c>
      <c r="C69" s="144"/>
      <c r="D69" s="411">
        <v>0</v>
      </c>
      <c r="E69" s="144"/>
      <c r="F69" s="411">
        <v>0</v>
      </c>
      <c r="G69" s="144"/>
      <c r="H69" s="411">
        <v>0</v>
      </c>
      <c r="I69" s="144"/>
      <c r="J69" s="411">
        <v>0</v>
      </c>
      <c r="K69" s="144"/>
      <c r="L69" s="411">
        <v>0</v>
      </c>
      <c r="M69" s="144"/>
      <c r="N69" s="411">
        <v>0</v>
      </c>
      <c r="O69" s="144"/>
      <c r="P69" s="411">
        <v>0</v>
      </c>
      <c r="Q69" s="144"/>
    </row>
    <row r="70" spans="1:17" s="145" customFormat="1" x14ac:dyDescent="0.35">
      <c r="A70" s="232" t="s">
        <v>1667</v>
      </c>
      <c r="B70" s="411">
        <v>0</v>
      </c>
      <c r="C70" s="144"/>
      <c r="D70" s="411">
        <v>0</v>
      </c>
      <c r="E70" s="144"/>
      <c r="F70" s="411">
        <v>0</v>
      </c>
      <c r="G70" s="144"/>
      <c r="H70" s="411">
        <v>0</v>
      </c>
      <c r="I70" s="144"/>
      <c r="J70" s="411">
        <v>0</v>
      </c>
      <c r="K70" s="144"/>
      <c r="L70" s="411">
        <v>0</v>
      </c>
      <c r="M70" s="144"/>
      <c r="N70" s="411">
        <v>0</v>
      </c>
      <c r="O70" s="144"/>
      <c r="P70" s="411">
        <v>0</v>
      </c>
      <c r="Q70" s="144"/>
    </row>
    <row r="71" spans="1:17" s="145" customFormat="1" x14ac:dyDescent="0.35">
      <c r="A71" s="232" t="s">
        <v>1534</v>
      </c>
      <c r="B71" s="411">
        <v>0</v>
      </c>
      <c r="C71" s="144"/>
      <c r="D71" s="411">
        <v>2.3010059999999997</v>
      </c>
      <c r="E71" s="144"/>
      <c r="F71" s="411">
        <v>0</v>
      </c>
      <c r="G71" s="144"/>
      <c r="H71" s="411">
        <v>2.9820000000000002</v>
      </c>
      <c r="I71" s="144"/>
      <c r="J71" s="411">
        <v>0</v>
      </c>
      <c r="K71" s="144"/>
      <c r="L71" s="411">
        <v>0</v>
      </c>
      <c r="M71" s="144"/>
      <c r="N71" s="411">
        <v>0</v>
      </c>
      <c r="O71" s="144"/>
      <c r="P71" s="411">
        <v>0</v>
      </c>
      <c r="Q71" s="144"/>
    </row>
    <row r="72" spans="1:17" s="145" customFormat="1" x14ac:dyDescent="0.35">
      <c r="A72" s="232" t="s">
        <v>1535</v>
      </c>
      <c r="B72" s="411">
        <v>0</v>
      </c>
      <c r="C72" s="144"/>
      <c r="D72" s="411">
        <v>0</v>
      </c>
      <c r="E72" s="144"/>
      <c r="F72" s="411">
        <v>0</v>
      </c>
      <c r="G72" s="144"/>
      <c r="H72" s="411">
        <v>0</v>
      </c>
      <c r="I72" s="144"/>
      <c r="J72" s="411">
        <v>0</v>
      </c>
      <c r="K72" s="144"/>
      <c r="L72" s="411">
        <v>0</v>
      </c>
      <c r="M72" s="144"/>
      <c r="N72" s="411">
        <v>0</v>
      </c>
      <c r="O72" s="144"/>
      <c r="P72" s="411">
        <v>0</v>
      </c>
      <c r="Q72" s="144"/>
    </row>
    <row r="73" spans="1:17" s="145" customFormat="1" x14ac:dyDescent="0.35">
      <c r="A73" s="232" t="s">
        <v>1664</v>
      </c>
      <c r="B73" s="411">
        <v>0.28699999999999998</v>
      </c>
      <c r="C73" s="144"/>
      <c r="D73" s="411">
        <v>0.45799400000000007</v>
      </c>
      <c r="E73" s="144"/>
      <c r="F73" s="411">
        <v>0.99</v>
      </c>
      <c r="G73" s="144"/>
      <c r="H73" s="411">
        <v>0</v>
      </c>
      <c r="I73" s="144"/>
      <c r="J73" s="411">
        <v>0.20499999999999999</v>
      </c>
      <c r="K73" s="144"/>
      <c r="L73" s="411">
        <v>0.27300000000000002</v>
      </c>
      <c r="M73" s="144"/>
      <c r="N73" s="411">
        <v>0.40899999999999997</v>
      </c>
      <c r="O73" s="144"/>
      <c r="P73" s="411">
        <v>1.4962315016000001</v>
      </c>
      <c r="Q73" s="144"/>
    </row>
    <row r="74" spans="1:17" s="145" customFormat="1" x14ac:dyDescent="0.35">
      <c r="A74" s="237" t="s">
        <v>1537</v>
      </c>
      <c r="B74" s="237">
        <v>0.59482229041665546</v>
      </c>
      <c r="C74" s="156"/>
      <c r="D74" s="237">
        <v>3.485144381480032</v>
      </c>
      <c r="E74" s="156"/>
      <c r="F74" s="237">
        <v>2.0518260192072786</v>
      </c>
      <c r="G74" s="156"/>
      <c r="H74" s="237">
        <v>3.286448594241306</v>
      </c>
      <c r="I74" s="156"/>
      <c r="J74" s="237">
        <v>0.4248730645833253</v>
      </c>
      <c r="K74" s="156"/>
      <c r="L74" s="237">
        <v>0.56580656893291625</v>
      </c>
      <c r="M74" s="156"/>
      <c r="N74" s="237">
        <v>0.84767357763209772</v>
      </c>
      <c r="O74" s="156"/>
      <c r="P74" s="237">
        <v>3.1010168946873304</v>
      </c>
      <c r="Q74" s="156"/>
    </row>
    <row r="75" spans="1:17" s="145" customFormat="1" x14ac:dyDescent="0.35">
      <c r="A75" s="232" t="s">
        <v>1536</v>
      </c>
      <c r="B75" s="232">
        <v>0.48073429031852477</v>
      </c>
      <c r="C75" s="144"/>
      <c r="D75" s="232">
        <v>3.3014581835306296</v>
      </c>
      <c r="E75" s="144"/>
      <c r="F75" s="232">
        <v>1.6582820467433435</v>
      </c>
      <c r="G75" s="144"/>
      <c r="H75" s="232">
        <v>3.2843429190685183</v>
      </c>
      <c r="I75" s="144"/>
      <c r="J75" s="232">
        <v>0.34338163594180338</v>
      </c>
      <c r="K75" s="144"/>
      <c r="L75" s="232">
        <v>0.4572838371322554</v>
      </c>
      <c r="M75" s="144"/>
      <c r="N75" s="232">
        <v>0.685088239513159</v>
      </c>
      <c r="O75" s="144"/>
      <c r="P75" s="232">
        <v>2.5062361988637516</v>
      </c>
      <c r="Q75" s="144"/>
    </row>
    <row r="76" spans="1:17" s="145" customFormat="1" x14ac:dyDescent="0.35">
      <c r="A76" s="232" t="s">
        <v>1535</v>
      </c>
      <c r="B76" s="232">
        <v>0.27548817337916315</v>
      </c>
      <c r="C76" s="144"/>
      <c r="D76" s="232">
        <v>0.44354366408764684</v>
      </c>
      <c r="E76" s="144"/>
      <c r="F76" s="232">
        <v>0.9502902147922353</v>
      </c>
      <c r="G76" s="144"/>
      <c r="H76" s="232">
        <v>5.0804191709875792E-3</v>
      </c>
      <c r="I76" s="144"/>
      <c r="J76" s="232">
        <v>0.19677726669940224</v>
      </c>
      <c r="K76" s="144"/>
      <c r="L76" s="232">
        <v>0.26204972589725278</v>
      </c>
      <c r="M76" s="144"/>
      <c r="N76" s="232">
        <v>0.39259464429295376</v>
      </c>
      <c r="O76" s="144"/>
      <c r="P76" s="232">
        <v>1.4362163182165384</v>
      </c>
      <c r="Q76" s="144"/>
    </row>
    <row r="77" spans="1:17" s="145" customFormat="1" x14ac:dyDescent="0.35">
      <c r="A77" s="232" t="s">
        <v>1534</v>
      </c>
      <c r="B77" s="232">
        <v>0.19588470873425265</v>
      </c>
      <c r="C77" s="144"/>
      <c r="D77" s="232">
        <v>2.8336362836364706</v>
      </c>
      <c r="E77" s="144"/>
      <c r="F77" s="232">
        <v>0.67569986636554069</v>
      </c>
      <c r="G77" s="144"/>
      <c r="H77" s="232">
        <v>3.2671591621712852</v>
      </c>
      <c r="I77" s="144"/>
      <c r="J77" s="232">
        <v>0.13991764909589474</v>
      </c>
      <c r="K77" s="144"/>
      <c r="L77" s="232">
        <v>0.18632935708867945</v>
      </c>
      <c r="M77" s="144"/>
      <c r="N77" s="232">
        <v>0.27915277307424857</v>
      </c>
      <c r="O77" s="144"/>
      <c r="P77" s="232">
        <v>1.0212155814980119</v>
      </c>
      <c r="Q77" s="144"/>
    </row>
    <row r="78" spans="1:17" s="145" customFormat="1" x14ac:dyDescent="0.35">
      <c r="A78" s="232" t="s">
        <v>1533</v>
      </c>
      <c r="B78" s="232">
        <v>9.3614082051089609E-3</v>
      </c>
      <c r="C78" s="144"/>
      <c r="D78" s="232">
        <v>2.4278235806512453E-2</v>
      </c>
      <c r="E78" s="144"/>
      <c r="F78" s="232">
        <v>3.2291965585567496E-2</v>
      </c>
      <c r="G78" s="144"/>
      <c r="H78" s="232">
        <v>1.2103337726245403E-2</v>
      </c>
      <c r="I78" s="144"/>
      <c r="J78" s="232">
        <v>6.6867201465064009E-3</v>
      </c>
      <c r="K78" s="144"/>
      <c r="L78" s="232">
        <v>8.9047541463231593E-3</v>
      </c>
      <c r="M78" s="144"/>
      <c r="N78" s="232">
        <v>1.3340822145956673E-2</v>
      </c>
      <c r="O78" s="144"/>
      <c r="P78" s="232">
        <v>4.8804299149201195E-2</v>
      </c>
      <c r="Q78" s="144"/>
    </row>
    <row r="79" spans="1:17" s="48" customFormat="1" x14ac:dyDescent="0.35">
      <c r="A79" s="59" t="s">
        <v>1532</v>
      </c>
      <c r="B79" s="49">
        <v>57.221680708057583</v>
      </c>
      <c r="C79" s="43"/>
      <c r="D79" s="49">
        <v>98.694511444418751</v>
      </c>
      <c r="E79" s="43"/>
      <c r="F79" s="49">
        <v>197.3848916410349</v>
      </c>
      <c r="G79" s="43"/>
      <c r="H79" s="49">
        <v>9.564500952697971</v>
      </c>
      <c r="I79" s="43"/>
      <c r="J79" s="49">
        <v>40.872629077183994</v>
      </c>
      <c r="K79" s="43"/>
      <c r="L79" s="49">
        <v>54.430379210103567</v>
      </c>
      <c r="M79" s="43"/>
      <c r="N79" s="49">
        <v>81.545879475942698</v>
      </c>
      <c r="O79" s="43"/>
      <c r="P79" s="49">
        <v>298.31665940729187</v>
      </c>
      <c r="Q79" s="43"/>
    </row>
    <row r="80" spans="1:17" s="145" customFormat="1" ht="13.15" x14ac:dyDescent="0.4">
      <c r="A80" s="390" t="s">
        <v>1663</v>
      </c>
      <c r="B80" s="237"/>
      <c r="C80" s="156"/>
      <c r="D80" s="237"/>
      <c r="E80" s="156"/>
      <c r="F80" s="237"/>
      <c r="G80" s="156"/>
      <c r="H80" s="237"/>
      <c r="I80" s="156"/>
      <c r="J80" s="237"/>
      <c r="K80" s="156"/>
      <c r="L80" s="237"/>
      <c r="M80" s="156"/>
      <c r="N80" s="237"/>
      <c r="O80" s="156"/>
      <c r="P80" s="237"/>
      <c r="Q80" s="156"/>
    </row>
    <row r="81" spans="1:17" s="145" customFormat="1" x14ac:dyDescent="0.35">
      <c r="A81" s="232" t="s">
        <v>1525</v>
      </c>
      <c r="B81" s="232">
        <v>4.3208244221895189</v>
      </c>
      <c r="C81" s="144"/>
      <c r="D81" s="232">
        <v>36.489856603038497</v>
      </c>
      <c r="E81" s="410">
        <v>1600</v>
      </c>
      <c r="F81" s="232">
        <v>14.904585985949909</v>
      </c>
      <c r="G81" s="144"/>
      <c r="H81" s="232">
        <v>38.353388725259826</v>
      </c>
      <c r="I81" s="144"/>
      <c r="J81" s="232">
        <v>3.0863031587067993</v>
      </c>
      <c r="K81" s="144"/>
      <c r="L81" s="232">
        <v>4.1100524991558842</v>
      </c>
      <c r="M81" s="144"/>
      <c r="N81" s="232">
        <v>6.1575511800540532</v>
      </c>
      <c r="O81" s="144"/>
      <c r="P81" s="232">
        <v>22.525970778266817</v>
      </c>
      <c r="Q81" s="144"/>
    </row>
    <row r="82" spans="1:17" s="145" customFormat="1" x14ac:dyDescent="0.35">
      <c r="A82" s="232" t="s">
        <v>1524</v>
      </c>
      <c r="B82" s="232">
        <v>12.065607978593359</v>
      </c>
      <c r="C82" s="144"/>
      <c r="D82" s="232">
        <v>143.96487533185007</v>
      </c>
      <c r="E82" s="410">
        <v>22.450000000000003</v>
      </c>
      <c r="F82" s="232">
        <v>41.620041459259326</v>
      </c>
      <c r="G82" s="144"/>
      <c r="H82" s="232">
        <v>161.61931745134314</v>
      </c>
      <c r="I82" s="144"/>
      <c r="J82" s="232">
        <v>8.6182914132809714</v>
      </c>
      <c r="K82" s="144"/>
      <c r="L82" s="232">
        <v>11.477041735735149</v>
      </c>
      <c r="M82" s="144"/>
      <c r="N82" s="232">
        <v>17.194542380643497</v>
      </c>
      <c r="O82" s="144"/>
      <c r="P82" s="232">
        <v>62.90223952448671</v>
      </c>
      <c r="Q82" s="144"/>
    </row>
    <row r="83" spans="1:17" s="145" customFormat="1" x14ac:dyDescent="0.35">
      <c r="A83" s="232" t="s">
        <v>1523</v>
      </c>
      <c r="B83" s="232">
        <v>27.098342926102511</v>
      </c>
      <c r="C83" s="144"/>
      <c r="D83" s="232">
        <v>219.07569237155269</v>
      </c>
      <c r="E83" s="410">
        <v>26.75</v>
      </c>
      <c r="F83" s="232">
        <v>93.475120198053972</v>
      </c>
      <c r="G83" s="144"/>
      <c r="H83" s="232">
        <v>227.87061846172023</v>
      </c>
      <c r="I83" s="144"/>
      <c r="J83" s="232">
        <v>19.355959232930367</v>
      </c>
      <c r="K83" s="144"/>
      <c r="L83" s="232">
        <v>25.77647253946337</v>
      </c>
      <c r="M83" s="144"/>
      <c r="N83" s="232">
        <v>38.617499152529362</v>
      </c>
      <c r="O83" s="144"/>
      <c r="P83" s="232">
        <v>141.27315096583311</v>
      </c>
      <c r="Q83" s="144"/>
    </row>
    <row r="84" spans="1:17" s="145" customFormat="1" x14ac:dyDescent="0.35">
      <c r="A84" s="232" t="s">
        <v>1522</v>
      </c>
      <c r="B84" s="232">
        <v>4.8942339073361039</v>
      </c>
      <c r="C84" s="144"/>
      <c r="D84" s="232">
        <v>16.970320260318683</v>
      </c>
      <c r="E84" s="410">
        <v>60</v>
      </c>
      <c r="F84" s="232">
        <v>16.882549018337084</v>
      </c>
      <c r="G84" s="144"/>
      <c r="H84" s="232">
        <v>11.871092058042329</v>
      </c>
      <c r="I84" s="144"/>
      <c r="J84" s="232">
        <v>3.4958813623829315</v>
      </c>
      <c r="K84" s="144"/>
      <c r="L84" s="232">
        <v>4.655490789905075</v>
      </c>
      <c r="M84" s="144"/>
      <c r="N84" s="232">
        <v>6.9747096449493604</v>
      </c>
      <c r="O84" s="144"/>
      <c r="P84" s="232">
        <v>25.515355220749598</v>
      </c>
      <c r="Q84" s="144"/>
    </row>
    <row r="85" spans="1:17" s="145" customFormat="1" x14ac:dyDescent="0.35">
      <c r="A85" s="232" t="s">
        <v>1521</v>
      </c>
      <c r="B85" s="232">
        <v>2.1300496627400278</v>
      </c>
      <c r="C85" s="144"/>
      <c r="D85" s="232">
        <v>12.439690849695562</v>
      </c>
      <c r="E85" s="144">
        <v>30</v>
      </c>
      <c r="F85" s="232">
        <v>7.3475580700788425</v>
      </c>
      <c r="G85" s="144"/>
      <c r="H85" s="232">
        <v>11.716160686223454</v>
      </c>
      <c r="I85" s="144"/>
      <c r="J85" s="232">
        <v>1.5214640448143055</v>
      </c>
      <c r="K85" s="144"/>
      <c r="L85" s="232">
        <v>2.0261448011429537</v>
      </c>
      <c r="M85" s="144"/>
      <c r="N85" s="232">
        <v>3.0355063138002487</v>
      </c>
      <c r="O85" s="144"/>
      <c r="P85" s="232">
        <v>11.104694792209358</v>
      </c>
      <c r="Q85" s="144"/>
    </row>
    <row r="86" spans="1:17" s="145" customFormat="1" x14ac:dyDescent="0.35">
      <c r="A86" s="232" t="s">
        <v>1520</v>
      </c>
      <c r="B86" s="232">
        <v>73.590814729821446</v>
      </c>
      <c r="C86" s="144"/>
      <c r="D86" s="232">
        <v>144.78435952887412</v>
      </c>
      <c r="E86" s="144"/>
      <c r="F86" s="232">
        <v>253.84984871959315</v>
      </c>
      <c r="G86" s="144"/>
      <c r="H86" s="232">
        <v>35.442152020502817</v>
      </c>
      <c r="I86" s="144"/>
      <c r="J86" s="232">
        <v>52.564867664158172</v>
      </c>
      <c r="K86" s="144"/>
      <c r="L86" s="232">
        <v>70.001018889342362</v>
      </c>
      <c r="M86" s="144"/>
      <c r="N86" s="232">
        <v>104.8733213397107</v>
      </c>
      <c r="O86" s="144"/>
      <c r="P86" s="232">
        <v>383.65468720267648</v>
      </c>
      <c r="Q86" s="144"/>
    </row>
    <row r="87" spans="1:17" s="145" customFormat="1" x14ac:dyDescent="0.35">
      <c r="A87" s="232" t="s">
        <v>1519</v>
      </c>
      <c r="B87" s="232">
        <v>0.15777114813037935</v>
      </c>
      <c r="C87" s="144"/>
      <c r="D87" s="232">
        <v>1.8863253170790502</v>
      </c>
      <c r="E87" s="144"/>
      <c r="F87" s="232">
        <v>0.5442280022615873</v>
      </c>
      <c r="G87" s="144"/>
      <c r="H87" s="232">
        <v>2.1183088466984148</v>
      </c>
      <c r="I87" s="144"/>
      <c r="J87" s="232">
        <v>0.11269367723598524</v>
      </c>
      <c r="K87" s="144"/>
      <c r="L87" s="232">
        <v>0.1500749945630438</v>
      </c>
      <c r="M87" s="144"/>
      <c r="N87" s="232">
        <v>0.2248376292171608</v>
      </c>
      <c r="O87" s="144"/>
      <c r="P87" s="232">
        <v>0.82251624347133634</v>
      </c>
      <c r="Q87" s="144"/>
    </row>
    <row r="88" spans="1:17" s="145" customFormat="1" x14ac:dyDescent="0.35">
      <c r="A88" s="232" t="s">
        <v>1518</v>
      </c>
      <c r="B88" s="232">
        <v>0.37038589870552913</v>
      </c>
      <c r="C88" s="144"/>
      <c r="D88" s="232">
        <v>4.3927191992575336</v>
      </c>
      <c r="E88" s="144"/>
      <c r="F88" s="232">
        <v>1.2776377690539158</v>
      </c>
      <c r="G88" s="144"/>
      <c r="H88" s="232">
        <v>4.9267775149094746</v>
      </c>
      <c r="I88" s="144"/>
      <c r="J88" s="232">
        <v>0.26456135621823507</v>
      </c>
      <c r="K88" s="144"/>
      <c r="L88" s="232">
        <v>0.3523182938906253</v>
      </c>
      <c r="M88" s="144"/>
      <c r="N88" s="232">
        <v>0.52783216923540555</v>
      </c>
      <c r="O88" s="144"/>
      <c r="P88" s="232">
        <v>1.9309513916084995</v>
      </c>
      <c r="Q88" s="144"/>
    </row>
    <row r="89" spans="1:17" s="145" customFormat="1" x14ac:dyDescent="0.35">
      <c r="A89" s="232" t="s">
        <v>1531</v>
      </c>
      <c r="B89" s="232">
        <v>76.325950495180592</v>
      </c>
      <c r="C89" s="144"/>
      <c r="D89" s="232">
        <v>632.88778504350523</v>
      </c>
      <c r="E89" s="144"/>
      <c r="F89" s="232">
        <v>263.28463759661599</v>
      </c>
      <c r="G89" s="144"/>
      <c r="H89" s="232">
        <v>662.34569251825258</v>
      </c>
      <c r="I89" s="144"/>
      <c r="J89" s="232">
        <v>54.518536067986133</v>
      </c>
      <c r="K89" s="144"/>
      <c r="L89" s="232">
        <v>72.60273339785472</v>
      </c>
      <c r="M89" s="144"/>
      <c r="N89" s="232">
        <v>108.77112805759185</v>
      </c>
      <c r="O89" s="144"/>
      <c r="P89" s="232">
        <v>397.9139077367642</v>
      </c>
      <c r="Q89" s="144"/>
    </row>
    <row r="90" spans="1:17" s="145" customFormat="1" x14ac:dyDescent="0.35">
      <c r="A90" s="232" t="s">
        <v>1530</v>
      </c>
      <c r="B90" s="232">
        <v>0.61804269643349419</v>
      </c>
      <c r="C90" s="144"/>
      <c r="D90" s="232">
        <v>5.9714867138457013</v>
      </c>
      <c r="E90" s="144"/>
      <c r="F90" s="232">
        <v>2.1319242838646666</v>
      </c>
      <c r="G90" s="144"/>
      <c r="H90" s="232">
        <v>6.4606144157730228</v>
      </c>
      <c r="I90" s="144"/>
      <c r="J90" s="232">
        <v>0.44145906888106728</v>
      </c>
      <c r="K90" s="144"/>
      <c r="L90" s="232">
        <v>0.58789427221722634</v>
      </c>
      <c r="M90" s="144"/>
      <c r="N90" s="232">
        <v>0.88076467888954402</v>
      </c>
      <c r="O90" s="144"/>
      <c r="P90" s="232">
        <v>3.2220730025700353</v>
      </c>
      <c r="Q90" s="144"/>
    </row>
    <row r="91" spans="1:17" s="48" customFormat="1" x14ac:dyDescent="0.35">
      <c r="A91" s="45" t="s">
        <v>1529</v>
      </c>
      <c r="B91" s="389">
        <v>39989.877207823469</v>
      </c>
      <c r="C91" s="43"/>
      <c r="D91" s="389">
        <v>214433.08981757087</v>
      </c>
      <c r="E91" s="43"/>
      <c r="F91" s="389">
        <v>137944.17573430395</v>
      </c>
      <c r="G91" s="43"/>
      <c r="H91" s="389">
        <v>195193.2633912634</v>
      </c>
      <c r="I91" s="43"/>
      <c r="J91" s="389">
        <v>28564.19800558819</v>
      </c>
      <c r="K91" s="43"/>
      <c r="L91" s="389">
        <v>38039.151490368669</v>
      </c>
      <c r="M91" s="43"/>
      <c r="N91" s="389">
        <v>56989.058459929613</v>
      </c>
      <c r="O91" s="43"/>
      <c r="P91" s="389">
        <v>208481.23353122413</v>
      </c>
      <c r="Q91" s="43"/>
    </row>
    <row r="92" spans="1:17" s="145" customFormat="1" ht="13.15" x14ac:dyDescent="0.4">
      <c r="A92" s="388" t="s">
        <v>1662</v>
      </c>
      <c r="B92" s="232"/>
      <c r="C92" s="144"/>
      <c r="D92" s="232"/>
      <c r="E92" s="144"/>
      <c r="F92" s="232"/>
      <c r="G92" s="144"/>
      <c r="H92" s="232"/>
      <c r="I92" s="144"/>
      <c r="J92" s="232"/>
      <c r="K92" s="144"/>
      <c r="L92" s="232"/>
      <c r="M92" s="144"/>
      <c r="N92" s="232"/>
      <c r="O92" s="144"/>
      <c r="P92" s="232"/>
      <c r="Q92" s="144"/>
    </row>
    <row r="93" spans="1:17" s="145" customFormat="1" x14ac:dyDescent="0.35">
      <c r="A93" s="232" t="s">
        <v>1525</v>
      </c>
      <c r="B93" s="232">
        <v>0.30764166624054851</v>
      </c>
      <c r="C93" s="144"/>
      <c r="D93" s="232">
        <v>1.8707054285856406</v>
      </c>
      <c r="E93" s="144">
        <v>0</v>
      </c>
      <c r="F93" s="232">
        <v>1.061202960202589</v>
      </c>
      <c r="G93" s="144"/>
      <c r="H93" s="232">
        <v>1.7881216369028621</v>
      </c>
      <c r="I93" s="144"/>
      <c r="J93" s="232">
        <v>0.21974404731467748</v>
      </c>
      <c r="K93" s="144"/>
      <c r="L93" s="232">
        <v>0.29263475569222908</v>
      </c>
      <c r="M93" s="144"/>
      <c r="N93" s="232">
        <v>0.43841617244733216</v>
      </c>
      <c r="O93" s="144"/>
      <c r="P93" s="232">
        <v>1.6038437360063482</v>
      </c>
      <c r="Q93" s="144"/>
    </row>
    <row r="94" spans="1:17" s="145" customFormat="1" x14ac:dyDescent="0.35">
      <c r="A94" s="232" t="s">
        <v>1524</v>
      </c>
      <c r="B94" s="232">
        <v>2.4076821391508414</v>
      </c>
      <c r="C94" s="144"/>
      <c r="D94" s="232">
        <v>10.483312177398483</v>
      </c>
      <c r="E94" s="144">
        <v>0</v>
      </c>
      <c r="F94" s="232">
        <v>8.305245009614401</v>
      </c>
      <c r="G94" s="144"/>
      <c r="H94" s="232">
        <v>8.6066153998347534</v>
      </c>
      <c r="I94" s="144"/>
      <c r="J94" s="232">
        <v>1.7197729565363151</v>
      </c>
      <c r="K94" s="144"/>
      <c r="L94" s="232">
        <v>2.2902342299239713</v>
      </c>
      <c r="M94" s="144"/>
      <c r="N94" s="232">
        <v>3.4311567766992823</v>
      </c>
      <c r="O94" s="144"/>
      <c r="P94" s="232">
        <v>12.552090113021476</v>
      </c>
      <c r="Q94" s="144"/>
    </row>
    <row r="95" spans="1:17" s="145" customFormat="1" x14ac:dyDescent="0.35">
      <c r="A95" s="232" t="s">
        <v>1523</v>
      </c>
      <c r="B95" s="232">
        <v>6.3057186501281413</v>
      </c>
      <c r="C95" s="144"/>
      <c r="D95" s="232">
        <v>18.007715178958406</v>
      </c>
      <c r="E95" s="144">
        <v>0</v>
      </c>
      <c r="F95" s="232">
        <v>21.751433671173732</v>
      </c>
      <c r="G95" s="144"/>
      <c r="H95" s="232">
        <v>10.296442727049429</v>
      </c>
      <c r="I95" s="144"/>
      <c r="J95" s="232">
        <v>4.50408475009153</v>
      </c>
      <c r="K95" s="144"/>
      <c r="L95" s="232">
        <v>5.9981226184145751</v>
      </c>
      <c r="M95" s="144"/>
      <c r="N95" s="232">
        <v>8.9861983550606617</v>
      </c>
      <c r="O95" s="144"/>
      <c r="P95" s="232">
        <v>32.873919458356639</v>
      </c>
      <c r="Q95" s="144"/>
    </row>
    <row r="96" spans="1:17" s="145" customFormat="1" x14ac:dyDescent="0.35">
      <c r="A96" s="232" t="s">
        <v>1522</v>
      </c>
      <c r="B96" s="232">
        <v>0.77710549883064228</v>
      </c>
      <c r="C96" s="144"/>
      <c r="D96" s="232">
        <v>1.276285439048515</v>
      </c>
      <c r="E96" s="144">
        <v>0</v>
      </c>
      <c r="F96" s="232">
        <v>2.6806078182659787</v>
      </c>
      <c r="G96" s="144"/>
      <c r="H96" s="232">
        <v>4.6890380955489634E-2</v>
      </c>
      <c r="I96" s="144"/>
      <c r="J96" s="232">
        <v>0.55507535630760163</v>
      </c>
      <c r="K96" s="144"/>
      <c r="L96" s="232">
        <v>0.73919791352183051</v>
      </c>
      <c r="M96" s="144"/>
      <c r="N96" s="232">
        <v>1.107443027950288</v>
      </c>
      <c r="O96" s="144"/>
      <c r="P96" s="232">
        <v>4.0513230920452576</v>
      </c>
      <c r="Q96" s="144"/>
    </row>
    <row r="97" spans="1:17" s="145" customFormat="1" x14ac:dyDescent="0.35">
      <c r="A97" s="232" t="s">
        <v>1521</v>
      </c>
      <c r="B97" s="232">
        <v>0.57200940889366692</v>
      </c>
      <c r="C97" s="144"/>
      <c r="D97" s="232">
        <v>0.94419742420948105</v>
      </c>
      <c r="E97" s="144">
        <v>0</v>
      </c>
      <c r="F97" s="232">
        <v>1.9731335010617781</v>
      </c>
      <c r="G97" s="144"/>
      <c r="H97" s="232">
        <v>4.0674847397320815E-2</v>
      </c>
      <c r="I97" s="144"/>
      <c r="J97" s="232">
        <v>0.40857814920976215</v>
      </c>
      <c r="K97" s="144"/>
      <c r="L97" s="232">
        <v>0.54410651089885398</v>
      </c>
      <c r="M97" s="144"/>
      <c r="N97" s="232">
        <v>0.81516323427703763</v>
      </c>
      <c r="O97" s="144"/>
      <c r="P97" s="232">
        <v>2.9820853546979089</v>
      </c>
      <c r="Q97" s="144"/>
    </row>
    <row r="98" spans="1:17" s="145" customFormat="1" x14ac:dyDescent="0.35">
      <c r="A98" s="232" t="s">
        <v>1520</v>
      </c>
      <c r="B98" s="232">
        <v>26.068579970813317</v>
      </c>
      <c r="C98" s="144"/>
      <c r="D98" s="232">
        <v>42.259193677322557</v>
      </c>
      <c r="E98" s="144">
        <v>0</v>
      </c>
      <c r="F98" s="232">
        <v>89.922976205941424</v>
      </c>
      <c r="G98" s="144"/>
      <c r="H98" s="232">
        <v>0.85404498178633159</v>
      </c>
      <c r="I98" s="144"/>
      <c r="J98" s="232">
        <v>18.620414264866657</v>
      </c>
      <c r="K98" s="144"/>
      <c r="L98" s="232">
        <v>24.796941923456576</v>
      </c>
      <c r="M98" s="144"/>
      <c r="N98" s="232">
        <v>37.149997240636402</v>
      </c>
      <c r="O98" s="144"/>
      <c r="P98" s="232">
        <v>135.90463607773415</v>
      </c>
      <c r="Q98" s="144"/>
    </row>
    <row r="99" spans="1:17" s="145" customFormat="1" x14ac:dyDescent="0.35">
      <c r="A99" s="232" t="s">
        <v>1519</v>
      </c>
      <c r="B99" s="232">
        <v>3.4078221760827157E-2</v>
      </c>
      <c r="C99" s="144"/>
      <c r="D99" s="232">
        <v>6.0353364017052248E-2</v>
      </c>
      <c r="E99" s="144">
        <v>0</v>
      </c>
      <c r="F99" s="232">
        <v>0.11755205415755711</v>
      </c>
      <c r="G99" s="144"/>
      <c r="H99" s="232">
        <v>7.7386767191541693E-3</v>
      </c>
      <c r="I99" s="144"/>
      <c r="J99" s="232">
        <v>2.4341586972019397E-2</v>
      </c>
      <c r="K99" s="144"/>
      <c r="L99" s="232">
        <v>3.2415869479811205E-2</v>
      </c>
      <c r="M99" s="144"/>
      <c r="N99" s="232">
        <v>4.8564434495394798E-2</v>
      </c>
      <c r="O99" s="144"/>
      <c r="P99" s="232">
        <v>0.17766170354376384</v>
      </c>
      <c r="Q99" s="144"/>
    </row>
    <row r="100" spans="1:17" s="145" customFormat="1" x14ac:dyDescent="0.35">
      <c r="A100" s="231" t="s">
        <v>1518</v>
      </c>
      <c r="B100" s="231">
        <v>8.7681249226342073E-2</v>
      </c>
      <c r="C100" s="141"/>
      <c r="D100" s="231">
        <v>0.14951174807302128</v>
      </c>
      <c r="E100" s="141">
        <v>0</v>
      </c>
      <c r="F100" s="231">
        <v>0.30245448339400233</v>
      </c>
      <c r="G100" s="141"/>
      <c r="H100" s="231">
        <v>1.2428458726563771E-2</v>
      </c>
      <c r="I100" s="141"/>
      <c r="J100" s="231">
        <v>6.2629463733101479E-2</v>
      </c>
      <c r="K100" s="141"/>
      <c r="L100" s="231">
        <v>8.3404115117740041E-2</v>
      </c>
      <c r="M100" s="141"/>
      <c r="N100" s="231">
        <v>0.12495341788701711</v>
      </c>
      <c r="O100" s="141"/>
      <c r="P100" s="231">
        <v>0.4571130564184448</v>
      </c>
      <c r="Q100" s="141"/>
    </row>
    <row r="101" spans="1:17" s="145" customFormat="1" x14ac:dyDescent="0.35"/>
    <row r="102" spans="1:17" s="145" customFormat="1" x14ac:dyDescent="0.35"/>
    <row r="103" spans="1:17" s="145" customFormat="1" ht="13.9" x14ac:dyDescent="0.4">
      <c r="A103" s="386" t="s">
        <v>1907</v>
      </c>
    </row>
    <row r="104" spans="1:17" s="145" customFormat="1" ht="51.4" x14ac:dyDescent="0.4">
      <c r="A104" s="397"/>
      <c r="B104" s="409" t="s">
        <v>1786</v>
      </c>
      <c r="C104" s="409" t="s">
        <v>1785</v>
      </c>
      <c r="D104" s="409" t="s">
        <v>1784</v>
      </c>
      <c r="E104" s="409" t="s">
        <v>1783</v>
      </c>
      <c r="F104" s="409" t="s">
        <v>1782</v>
      </c>
      <c r="G104" s="409" t="s">
        <v>1781</v>
      </c>
      <c r="H104" s="409" t="s">
        <v>1780</v>
      </c>
      <c r="I104" s="409" t="s">
        <v>1779</v>
      </c>
      <c r="J104" s="407" t="s">
        <v>1906</v>
      </c>
    </row>
    <row r="105" spans="1:17" s="145" customFormat="1" ht="13.15" x14ac:dyDescent="0.4">
      <c r="A105" s="388" t="s">
        <v>1862</v>
      </c>
      <c r="B105" s="408"/>
      <c r="C105" s="408"/>
      <c r="D105" s="408"/>
      <c r="E105" s="408"/>
      <c r="H105" s="408"/>
      <c r="I105" s="408"/>
      <c r="J105" s="407"/>
    </row>
    <row r="106" spans="1:17" s="145" customFormat="1" x14ac:dyDescent="0.35">
      <c r="A106" s="232" t="s">
        <v>1905</v>
      </c>
      <c r="B106" s="145">
        <v>0.59482229041665546</v>
      </c>
      <c r="C106" s="145">
        <v>3.485144381480032</v>
      </c>
      <c r="D106" s="145">
        <v>2.0518260192072786</v>
      </c>
      <c r="E106" s="145">
        <v>3.286448594241306</v>
      </c>
      <c r="F106" s="145">
        <v>0.4248730645833253</v>
      </c>
      <c r="G106" s="145">
        <v>0.56580656893291625</v>
      </c>
      <c r="H106" s="145">
        <v>0.84767357763209772</v>
      </c>
      <c r="I106" s="145">
        <v>3.1010168946873304</v>
      </c>
      <c r="J106" s="146">
        <v>14.35761139118094</v>
      </c>
    </row>
    <row r="107" spans="1:17" s="145" customFormat="1" x14ac:dyDescent="0.35">
      <c r="A107" s="232" t="s">
        <v>1536</v>
      </c>
      <c r="B107" s="145">
        <v>0.48073429031852477</v>
      </c>
      <c r="C107" s="145">
        <v>3.3014581835306296</v>
      </c>
      <c r="D107" s="145">
        <v>1.6582820467433435</v>
      </c>
      <c r="E107" s="145">
        <v>3.2843429190685183</v>
      </c>
      <c r="F107" s="145">
        <v>0.34338163594180338</v>
      </c>
      <c r="G107" s="145">
        <v>0.4572838371322554</v>
      </c>
      <c r="H107" s="145">
        <v>0.685088239513159</v>
      </c>
      <c r="I107" s="145">
        <v>2.5062361988637516</v>
      </c>
      <c r="J107" s="146">
        <v>12.716807351111987</v>
      </c>
    </row>
    <row r="108" spans="1:17" s="145" customFormat="1" x14ac:dyDescent="0.35">
      <c r="A108" s="232" t="s">
        <v>1535</v>
      </c>
      <c r="B108" s="145">
        <v>0.27548817337916315</v>
      </c>
      <c r="C108" s="145">
        <v>0.44354366408764684</v>
      </c>
      <c r="D108" s="145">
        <v>0.9502902147922353</v>
      </c>
      <c r="E108" s="145">
        <v>5.0804191709875792E-3</v>
      </c>
      <c r="F108" s="145">
        <v>0.19677726669940224</v>
      </c>
      <c r="G108" s="145">
        <v>0.26204972589725278</v>
      </c>
      <c r="H108" s="145">
        <v>0.39259464429295376</v>
      </c>
      <c r="I108" s="145">
        <v>1.4362163182165384</v>
      </c>
      <c r="J108" s="146">
        <v>3.9620404265361806</v>
      </c>
    </row>
    <row r="109" spans="1:17" s="145" customFormat="1" x14ac:dyDescent="0.35">
      <c r="A109" s="232" t="s">
        <v>1534</v>
      </c>
      <c r="B109" s="145">
        <v>0.19588470873425265</v>
      </c>
      <c r="C109" s="145">
        <v>2.8336362836364706</v>
      </c>
      <c r="D109" s="145">
        <v>0.67569986636554069</v>
      </c>
      <c r="E109" s="145">
        <v>3.2671591621712852</v>
      </c>
      <c r="F109" s="145">
        <v>0.13991764909589474</v>
      </c>
      <c r="G109" s="145">
        <v>0.18632935708867945</v>
      </c>
      <c r="H109" s="145">
        <v>0.27915277307424857</v>
      </c>
      <c r="I109" s="145">
        <v>1.0212155814980119</v>
      </c>
      <c r="J109" s="146">
        <v>8.598995381664384</v>
      </c>
    </row>
    <row r="110" spans="1:17" s="145" customFormat="1" x14ac:dyDescent="0.35">
      <c r="A110" s="231" t="s">
        <v>1533</v>
      </c>
      <c r="B110" s="142">
        <v>9.3614082051089609E-3</v>
      </c>
      <c r="C110" s="142">
        <v>2.4278235806512453E-2</v>
      </c>
      <c r="D110" s="142">
        <v>3.2291965585567496E-2</v>
      </c>
      <c r="E110" s="142">
        <v>1.2103337726245403E-2</v>
      </c>
      <c r="F110" s="142">
        <v>6.6867201465064009E-3</v>
      </c>
      <c r="G110" s="142">
        <v>8.9047541463231593E-3</v>
      </c>
      <c r="H110" s="142">
        <v>1.3340822145956673E-2</v>
      </c>
      <c r="I110" s="142">
        <v>4.8804299149201195E-2</v>
      </c>
      <c r="J110" s="143">
        <v>0.15577154291142176</v>
      </c>
    </row>
    <row r="111" spans="1:17" s="145" customFormat="1" x14ac:dyDescent="0.35">
      <c r="A111" s="231" t="s">
        <v>1532</v>
      </c>
      <c r="B111" s="44">
        <v>57.221680708057583</v>
      </c>
      <c r="C111" s="44">
        <v>98.694511444418751</v>
      </c>
      <c r="D111" s="44">
        <v>197.3848916410349</v>
      </c>
      <c r="E111" s="44">
        <v>9.564500952697971</v>
      </c>
      <c r="F111" s="44">
        <v>40.872629077183994</v>
      </c>
      <c r="G111" s="44">
        <v>54.430379210103567</v>
      </c>
      <c r="H111" s="44">
        <v>81.545879475942698</v>
      </c>
      <c r="I111" s="44">
        <v>298.31665940729187</v>
      </c>
      <c r="J111" s="152">
        <v>838.03113191673128</v>
      </c>
    </row>
    <row r="112" spans="1:17" s="145" customFormat="1" ht="13.15" x14ac:dyDescent="0.4">
      <c r="A112" s="390" t="s">
        <v>1904</v>
      </c>
      <c r="B112" s="157"/>
      <c r="C112" s="157"/>
      <c r="D112" s="157"/>
      <c r="E112" s="157"/>
      <c r="F112" s="157"/>
      <c r="G112" s="157"/>
      <c r="H112" s="157"/>
      <c r="I112" s="157"/>
      <c r="J112" s="241"/>
    </row>
    <row r="113" spans="1:12" s="145" customFormat="1" x14ac:dyDescent="0.35">
      <c r="A113" s="232" t="s">
        <v>1525</v>
      </c>
      <c r="B113" s="145">
        <v>4.3208244221895189</v>
      </c>
      <c r="C113" s="145">
        <v>1636.4898566030386</v>
      </c>
      <c r="D113" s="145">
        <v>14.904585985949909</v>
      </c>
      <c r="E113" s="145">
        <v>38.353388725259826</v>
      </c>
      <c r="F113" s="145">
        <v>3.0863031587067993</v>
      </c>
      <c r="G113" s="145">
        <v>4.1100524991558842</v>
      </c>
      <c r="H113" s="145">
        <v>6.1575511800540532</v>
      </c>
      <c r="I113" s="145">
        <v>22.525970778266817</v>
      </c>
      <c r="J113" s="146">
        <v>1729.9485333526216</v>
      </c>
    </row>
    <row r="114" spans="1:12" s="145" customFormat="1" x14ac:dyDescent="0.35">
      <c r="A114" s="232" t="s">
        <v>1524</v>
      </c>
      <c r="B114" s="145">
        <v>12.065607978593359</v>
      </c>
      <c r="C114" s="145">
        <v>166.41487533185006</v>
      </c>
      <c r="D114" s="145">
        <v>41.620041459259326</v>
      </c>
      <c r="E114" s="145">
        <v>161.61931745134314</v>
      </c>
      <c r="F114" s="145">
        <v>8.6182914132809714</v>
      </c>
      <c r="G114" s="145">
        <v>11.477041735735149</v>
      </c>
      <c r="H114" s="145">
        <v>17.194542380643497</v>
      </c>
      <c r="I114" s="145">
        <v>62.90223952448671</v>
      </c>
      <c r="J114" s="146">
        <v>481.91195727519226</v>
      </c>
    </row>
    <row r="115" spans="1:12" s="145" customFormat="1" x14ac:dyDescent="0.35">
      <c r="A115" s="232" t="s">
        <v>1563</v>
      </c>
      <c r="B115" s="145">
        <v>27.098342926102511</v>
      </c>
      <c r="C115" s="145">
        <v>245.82569237155269</v>
      </c>
      <c r="D115" s="145">
        <v>93.475120198053972</v>
      </c>
      <c r="E115" s="145">
        <v>227.87061846172023</v>
      </c>
      <c r="F115" s="145">
        <v>19.355959232930367</v>
      </c>
      <c r="G115" s="145">
        <v>25.77647253946337</v>
      </c>
      <c r="H115" s="145">
        <v>38.617499152529362</v>
      </c>
      <c r="I115" s="145">
        <v>141.27315096583311</v>
      </c>
      <c r="J115" s="146">
        <v>819.29285584818558</v>
      </c>
    </row>
    <row r="116" spans="1:12" s="145" customFormat="1" x14ac:dyDescent="0.35">
      <c r="A116" s="232" t="s">
        <v>1522</v>
      </c>
      <c r="B116" s="145">
        <v>4.8942339073361039</v>
      </c>
      <c r="C116" s="145">
        <v>76.970320260318687</v>
      </c>
      <c r="D116" s="145">
        <v>16.882549018337084</v>
      </c>
      <c r="E116" s="145">
        <v>11.871092058042329</v>
      </c>
      <c r="F116" s="145">
        <v>3.4958813623829315</v>
      </c>
      <c r="G116" s="145">
        <v>4.655490789905075</v>
      </c>
      <c r="H116" s="145">
        <v>6.9747096449493604</v>
      </c>
      <c r="I116" s="145">
        <v>25.515355220749598</v>
      </c>
      <c r="J116" s="146">
        <v>151.25963226202117</v>
      </c>
    </row>
    <row r="117" spans="1:12" s="145" customFormat="1" x14ac:dyDescent="0.35">
      <c r="A117" s="232" t="s">
        <v>1521</v>
      </c>
      <c r="B117" s="145">
        <v>2.1300496627400278</v>
      </c>
      <c r="C117" s="145">
        <v>42.439690849695566</v>
      </c>
      <c r="D117" s="145">
        <v>7.3475580700788425</v>
      </c>
      <c r="E117" s="145">
        <v>11.716160686223454</v>
      </c>
      <c r="F117" s="145">
        <v>1.5214640448143055</v>
      </c>
      <c r="G117" s="145">
        <v>2.0261448011429537</v>
      </c>
      <c r="H117" s="145">
        <v>3.0355063138002487</v>
      </c>
      <c r="I117" s="145">
        <v>11.104694792209358</v>
      </c>
      <c r="J117" s="146">
        <v>81.32126922070475</v>
      </c>
    </row>
    <row r="118" spans="1:12" s="145" customFormat="1" x14ac:dyDescent="0.35">
      <c r="A118" s="232" t="s">
        <v>1520</v>
      </c>
      <c r="B118" s="145">
        <v>73.590814729821446</v>
      </c>
      <c r="C118" s="145">
        <v>144.78435952887412</v>
      </c>
      <c r="D118" s="145">
        <v>253.84984871959315</v>
      </c>
      <c r="E118" s="145">
        <v>35.442152020502817</v>
      </c>
      <c r="F118" s="145">
        <v>52.564867664158172</v>
      </c>
      <c r="G118" s="145">
        <v>70.001018889342362</v>
      </c>
      <c r="H118" s="145">
        <v>104.8733213397107</v>
      </c>
      <c r="I118" s="145">
        <v>383.65468720267648</v>
      </c>
      <c r="J118" s="146">
        <v>1118.7610700946793</v>
      </c>
    </row>
    <row r="119" spans="1:12" s="145" customFormat="1" x14ac:dyDescent="0.35">
      <c r="A119" s="232" t="s">
        <v>1519</v>
      </c>
      <c r="B119" s="145">
        <v>0.15777114813037935</v>
      </c>
      <c r="C119" s="145">
        <v>1.8863253170790502</v>
      </c>
      <c r="D119" s="145">
        <v>0.5442280022615873</v>
      </c>
      <c r="E119" s="145">
        <v>2.1183088466984148</v>
      </c>
      <c r="F119" s="145">
        <v>0.11269367723598524</v>
      </c>
      <c r="G119" s="145">
        <v>0.1500749945630438</v>
      </c>
      <c r="H119" s="145">
        <v>0.2248376292171608</v>
      </c>
      <c r="I119" s="145">
        <v>0.82251624347133634</v>
      </c>
      <c r="J119" s="146">
        <v>6.0167558586569587</v>
      </c>
    </row>
    <row r="120" spans="1:12" s="145" customFormat="1" x14ac:dyDescent="0.35">
      <c r="A120" s="232" t="s">
        <v>1518</v>
      </c>
      <c r="B120" s="145">
        <v>0.37038589870552913</v>
      </c>
      <c r="C120" s="145">
        <v>4.3927191992575336</v>
      </c>
      <c r="D120" s="145">
        <v>1.2776377690539158</v>
      </c>
      <c r="E120" s="145">
        <v>4.9267775149094746</v>
      </c>
      <c r="F120" s="145">
        <v>0.26456135621823507</v>
      </c>
      <c r="G120" s="145">
        <v>0.3523182938906253</v>
      </c>
      <c r="H120" s="145">
        <v>0.52783216923540555</v>
      </c>
      <c r="I120" s="145">
        <v>1.9309513916084995</v>
      </c>
      <c r="J120" s="146">
        <v>14.04318359287922</v>
      </c>
    </row>
    <row r="121" spans="1:12" s="145" customFormat="1" x14ac:dyDescent="0.35">
      <c r="A121" s="232" t="s">
        <v>1531</v>
      </c>
      <c r="B121" s="145">
        <v>76.325950495180592</v>
      </c>
      <c r="C121" s="145">
        <v>632.88778504350523</v>
      </c>
      <c r="D121" s="145">
        <v>263.28463759661599</v>
      </c>
      <c r="E121" s="145">
        <v>662.34569251825258</v>
      </c>
      <c r="F121" s="145">
        <v>54.518536067986133</v>
      </c>
      <c r="G121" s="145">
        <v>72.60273339785472</v>
      </c>
      <c r="H121" s="145">
        <v>108.77112805759185</v>
      </c>
      <c r="I121" s="145">
        <v>397.9139077367642</v>
      </c>
      <c r="J121" s="146">
        <v>2268.6503709137514</v>
      </c>
    </row>
    <row r="122" spans="1:12" s="145" customFormat="1" x14ac:dyDescent="0.35">
      <c r="A122" s="232" t="s">
        <v>1530</v>
      </c>
      <c r="B122" s="145">
        <v>0.61804269643349419</v>
      </c>
      <c r="C122" s="145">
        <v>5.9714867138457013</v>
      </c>
      <c r="D122" s="145">
        <v>2.1319242838646666</v>
      </c>
      <c r="E122" s="145">
        <v>6.4606144157730228</v>
      </c>
      <c r="F122" s="145">
        <v>0.44145906888106728</v>
      </c>
      <c r="G122" s="145">
        <v>0.58789427221722634</v>
      </c>
      <c r="H122" s="145">
        <v>0.88076467888954402</v>
      </c>
      <c r="I122" s="145">
        <v>3.2220730025700353</v>
      </c>
      <c r="J122" s="146">
        <v>20.314259132474756</v>
      </c>
    </row>
    <row r="123" spans="1:12" s="48" customFormat="1" x14ac:dyDescent="0.35">
      <c r="A123" s="49" t="s">
        <v>1529</v>
      </c>
      <c r="B123" s="154">
        <v>39989.877207823469</v>
      </c>
      <c r="C123" s="154">
        <v>214433.08981757087</v>
      </c>
      <c r="D123" s="154">
        <v>137944.17573430395</v>
      </c>
      <c r="E123" s="154">
        <v>195193.2633912634</v>
      </c>
      <c r="F123" s="154">
        <v>28564.19800558819</v>
      </c>
      <c r="G123" s="154">
        <v>38039.151490368669</v>
      </c>
      <c r="H123" s="154">
        <v>56989.058459929613</v>
      </c>
      <c r="I123" s="154">
        <v>208481.23353122413</v>
      </c>
      <c r="J123" s="155">
        <v>919634.0476380724</v>
      </c>
      <c r="L123" s="154"/>
    </row>
    <row r="124" spans="1:12" s="48" customFormat="1" x14ac:dyDescent="0.35">
      <c r="A124" s="49" t="s">
        <v>1528</v>
      </c>
      <c r="B124" s="154">
        <v>40022.304018381845</v>
      </c>
      <c r="C124" s="154">
        <v>219794.99229379086</v>
      </c>
      <c r="D124" s="154">
        <v>138056.03128291995</v>
      </c>
      <c r="E124" s="154">
        <v>195566.77133259494</v>
      </c>
      <c r="F124" s="154">
        <v>28587.360013129884</v>
      </c>
      <c r="G124" s="154">
        <v>38069.996505290052</v>
      </c>
      <c r="H124" s="154">
        <v>57035.269489610364</v>
      </c>
      <c r="I124" s="154">
        <v>208650.28584987868</v>
      </c>
      <c r="J124" s="155">
        <v>925783.01078559656</v>
      </c>
      <c r="L124" s="154"/>
    </row>
    <row r="125" spans="1:12" s="48" customFormat="1" x14ac:dyDescent="0.35">
      <c r="A125" s="45" t="s">
        <v>1527</v>
      </c>
      <c r="B125" s="151">
        <v>42475.863847792141</v>
      </c>
      <c r="C125" s="151">
        <v>240364.06982426511</v>
      </c>
      <c r="D125" s="151">
        <v>146519.53034604256</v>
      </c>
      <c r="E125" s="151">
        <v>217149.20492832238</v>
      </c>
      <c r="F125" s="151">
        <v>30339.902748422952</v>
      </c>
      <c r="G125" s="151">
        <v>40403.87048936326</v>
      </c>
      <c r="H125" s="151">
        <v>60531.805971243848</v>
      </c>
      <c r="I125" s="151">
        <v>221441.55242766265</v>
      </c>
      <c r="J125" s="152">
        <v>999225.80058311485</v>
      </c>
    </row>
    <row r="126" spans="1:12" s="145" customFormat="1" ht="13.15" x14ac:dyDescent="0.4">
      <c r="A126" s="388" t="s">
        <v>1903</v>
      </c>
      <c r="C126" s="148"/>
      <c r="D126" s="148"/>
      <c r="E126" s="148"/>
      <c r="F126" s="148"/>
      <c r="G126" s="148"/>
      <c r="H126" s="148"/>
      <c r="I126" s="148"/>
      <c r="J126" s="146"/>
    </row>
    <row r="127" spans="1:12" s="145" customFormat="1" x14ac:dyDescent="0.35">
      <c r="A127" s="232" t="s">
        <v>1525</v>
      </c>
      <c r="B127" s="145">
        <v>0.30764166624054851</v>
      </c>
      <c r="C127" s="145">
        <v>1.8707054285856406</v>
      </c>
      <c r="D127" s="145">
        <v>1.061202960202589</v>
      </c>
      <c r="E127" s="145">
        <v>1.7881216369028621</v>
      </c>
      <c r="F127" s="145">
        <v>0.21974404731467748</v>
      </c>
      <c r="G127" s="145">
        <v>0.29263475569222908</v>
      </c>
      <c r="H127" s="145">
        <v>0.43841617244733216</v>
      </c>
      <c r="I127" s="145">
        <v>1.6038437360063482</v>
      </c>
      <c r="J127" s="146">
        <v>7.5823104033922277</v>
      </c>
    </row>
    <row r="128" spans="1:12" s="145" customFormat="1" x14ac:dyDescent="0.35">
      <c r="A128" s="232" t="s">
        <v>1524</v>
      </c>
      <c r="B128" s="145">
        <v>2.4076821391508414</v>
      </c>
      <c r="C128" s="145">
        <v>10.483312177398483</v>
      </c>
      <c r="D128" s="145">
        <v>8.305245009614401</v>
      </c>
      <c r="E128" s="145">
        <v>8.6066153998347534</v>
      </c>
      <c r="F128" s="145">
        <v>1.7197729565363151</v>
      </c>
      <c r="G128" s="145">
        <v>2.2902342299239713</v>
      </c>
      <c r="H128" s="145">
        <v>3.4311567766992823</v>
      </c>
      <c r="I128" s="145">
        <v>12.552090113021476</v>
      </c>
      <c r="J128" s="146">
        <v>49.796108802179525</v>
      </c>
    </row>
    <row r="129" spans="1:61" s="145" customFormat="1" x14ac:dyDescent="0.35">
      <c r="A129" s="232" t="s">
        <v>1523</v>
      </c>
      <c r="B129" s="145">
        <v>6.3057186501281413</v>
      </c>
      <c r="C129" s="145">
        <v>18.007715178958406</v>
      </c>
      <c r="D129" s="145">
        <v>21.751433671173732</v>
      </c>
      <c r="E129" s="145">
        <v>10.296442727049429</v>
      </c>
      <c r="F129" s="145">
        <v>4.50408475009153</v>
      </c>
      <c r="G129" s="145">
        <v>5.9981226184145751</v>
      </c>
      <c r="H129" s="145">
        <v>8.9861983550606617</v>
      </c>
      <c r="I129" s="145">
        <v>32.873919458356639</v>
      </c>
      <c r="J129" s="146">
        <v>108.72363540923311</v>
      </c>
    </row>
    <row r="130" spans="1:61" s="145" customFormat="1" x14ac:dyDescent="0.35">
      <c r="A130" s="232" t="s">
        <v>1522</v>
      </c>
      <c r="B130" s="145">
        <v>0.77710549883064228</v>
      </c>
      <c r="C130" s="145">
        <v>1.276285439048515</v>
      </c>
      <c r="D130" s="145">
        <v>2.6806078182659787</v>
      </c>
      <c r="E130" s="145">
        <v>4.6890380955489634E-2</v>
      </c>
      <c r="F130" s="145">
        <v>0.55507535630760163</v>
      </c>
      <c r="G130" s="145">
        <v>0.73919791352183051</v>
      </c>
      <c r="H130" s="145">
        <v>1.107443027950288</v>
      </c>
      <c r="I130" s="145">
        <v>4.0513230920452576</v>
      </c>
      <c r="J130" s="146">
        <v>11.233928526925602</v>
      </c>
    </row>
    <row r="131" spans="1:61" s="145" customFormat="1" x14ac:dyDescent="0.35">
      <c r="A131" s="232" t="s">
        <v>1521</v>
      </c>
      <c r="B131" s="145">
        <v>0.57200940889366692</v>
      </c>
      <c r="C131" s="145">
        <v>0.94419742420948105</v>
      </c>
      <c r="D131" s="145">
        <v>1.9731335010617781</v>
      </c>
      <c r="E131" s="145">
        <v>4.0674847397320815E-2</v>
      </c>
      <c r="F131" s="145">
        <v>0.40857814920976215</v>
      </c>
      <c r="G131" s="145">
        <v>0.54410651089885398</v>
      </c>
      <c r="H131" s="145">
        <v>0.81516323427703763</v>
      </c>
      <c r="I131" s="145">
        <v>2.9820853546979089</v>
      </c>
      <c r="J131" s="146">
        <v>8.2799484306458098</v>
      </c>
    </row>
    <row r="132" spans="1:61" s="145" customFormat="1" x14ac:dyDescent="0.35">
      <c r="A132" s="232" t="s">
        <v>1520</v>
      </c>
      <c r="B132" s="145">
        <v>26.068579970813317</v>
      </c>
      <c r="C132" s="145">
        <v>42.259193677322557</v>
      </c>
      <c r="D132" s="145">
        <v>89.922976205941424</v>
      </c>
      <c r="E132" s="145">
        <v>0.85404498178633159</v>
      </c>
      <c r="F132" s="145">
        <v>18.620414264866657</v>
      </c>
      <c r="G132" s="145">
        <v>24.796941923456576</v>
      </c>
      <c r="H132" s="145">
        <v>37.149997240636402</v>
      </c>
      <c r="I132" s="145">
        <v>135.90463607773415</v>
      </c>
      <c r="J132" s="146">
        <v>375.5767843425574</v>
      </c>
    </row>
    <row r="133" spans="1:61" s="145" customFormat="1" x14ac:dyDescent="0.35">
      <c r="A133" s="232" t="s">
        <v>1519</v>
      </c>
      <c r="B133" s="145">
        <v>3.4078221760827157E-2</v>
      </c>
      <c r="C133" s="145">
        <v>6.0353364017052248E-2</v>
      </c>
      <c r="D133" s="145">
        <v>0.11755205415755711</v>
      </c>
      <c r="E133" s="145">
        <v>7.7386767191541693E-3</v>
      </c>
      <c r="F133" s="145">
        <v>2.4341586972019397E-2</v>
      </c>
      <c r="G133" s="145">
        <v>3.2415869479811205E-2</v>
      </c>
      <c r="H133" s="145">
        <v>4.8564434495394798E-2</v>
      </c>
      <c r="I133" s="145">
        <v>0.17766170354376384</v>
      </c>
      <c r="J133" s="146">
        <v>0.50270591114557994</v>
      </c>
    </row>
    <row r="134" spans="1:61" s="145" customFormat="1" x14ac:dyDescent="0.35">
      <c r="A134" s="231" t="s">
        <v>1518</v>
      </c>
      <c r="B134" s="142">
        <v>8.7681249226342073E-2</v>
      </c>
      <c r="C134" s="142">
        <v>0.14951174807302128</v>
      </c>
      <c r="D134" s="142">
        <v>0.30245448339400233</v>
      </c>
      <c r="E134" s="142">
        <v>1.2428458726563771E-2</v>
      </c>
      <c r="F134" s="142">
        <v>6.2629463733101479E-2</v>
      </c>
      <c r="G134" s="142">
        <v>8.3404115117740041E-2</v>
      </c>
      <c r="H134" s="142">
        <v>0.12495341788701711</v>
      </c>
      <c r="I134" s="142">
        <v>0.4571130564184448</v>
      </c>
      <c r="J134" s="143">
        <v>1.2801759925762328</v>
      </c>
    </row>
    <row r="135" spans="1:61" s="145" customFormat="1" x14ac:dyDescent="0.35"/>
    <row r="136" spans="1:61" s="145" customFormat="1" ht="13.9" x14ac:dyDescent="0.4">
      <c r="A136" s="386" t="s">
        <v>1902</v>
      </c>
    </row>
    <row r="137" spans="1:61" s="145" customFormat="1" ht="13.15" x14ac:dyDescent="0.4">
      <c r="A137" s="400" t="s">
        <v>1901</v>
      </c>
    </row>
    <row r="138" spans="1:61" s="145" customFormat="1" ht="91.9" x14ac:dyDescent="0.4">
      <c r="A138" s="406"/>
      <c r="B138" s="405" t="s">
        <v>1900</v>
      </c>
      <c r="C138" s="405" t="s">
        <v>1899</v>
      </c>
      <c r="D138" s="405" t="s">
        <v>1898</v>
      </c>
      <c r="E138" s="405" t="s">
        <v>1897</v>
      </c>
      <c r="F138" s="405" t="s">
        <v>1896</v>
      </c>
      <c r="G138" s="405" t="s">
        <v>288</v>
      </c>
      <c r="H138" s="405" t="s">
        <v>1417</v>
      </c>
      <c r="I138" s="405" t="s">
        <v>1895</v>
      </c>
      <c r="J138" s="405" t="s">
        <v>1894</v>
      </c>
      <c r="K138" s="405" t="s">
        <v>1893</v>
      </c>
      <c r="L138" s="405" t="s">
        <v>1892</v>
      </c>
      <c r="M138" s="405" t="s">
        <v>1891</v>
      </c>
      <c r="N138" s="405" t="s">
        <v>1890</v>
      </c>
      <c r="O138" s="405" t="s">
        <v>1399</v>
      </c>
      <c r="P138" s="405" t="s">
        <v>1398</v>
      </c>
      <c r="Q138" s="405" t="s">
        <v>1889</v>
      </c>
      <c r="R138" s="405" t="s">
        <v>1888</v>
      </c>
      <c r="S138" s="405" t="s">
        <v>1887</v>
      </c>
      <c r="T138" s="405" t="s">
        <v>1886</v>
      </c>
      <c r="U138" s="405" t="s">
        <v>1885</v>
      </c>
      <c r="V138" s="405" t="s">
        <v>1884</v>
      </c>
      <c r="W138" s="405" t="s">
        <v>1883</v>
      </c>
      <c r="X138" s="405" t="s">
        <v>1882</v>
      </c>
      <c r="Y138" s="405" t="s">
        <v>1881</v>
      </c>
      <c r="Z138" s="405" t="s">
        <v>1880</v>
      </c>
      <c r="AA138" s="405" t="s">
        <v>1879</v>
      </c>
      <c r="AB138" s="405" t="s">
        <v>1878</v>
      </c>
      <c r="AC138" s="405" t="s">
        <v>1877</v>
      </c>
      <c r="AD138" s="405" t="s">
        <v>1876</v>
      </c>
      <c r="AE138" s="405" t="s">
        <v>1875</v>
      </c>
      <c r="AF138" s="405" t="s">
        <v>1900</v>
      </c>
      <c r="AG138" s="405" t="s">
        <v>1899</v>
      </c>
      <c r="AH138" s="405" t="s">
        <v>1898</v>
      </c>
      <c r="AI138" s="405" t="s">
        <v>1897</v>
      </c>
      <c r="AJ138" s="405" t="s">
        <v>1896</v>
      </c>
      <c r="AK138" s="405" t="s">
        <v>288</v>
      </c>
      <c r="AL138" s="405" t="s">
        <v>1417</v>
      </c>
      <c r="AM138" s="405" t="s">
        <v>1895</v>
      </c>
      <c r="AN138" s="405" t="s">
        <v>1894</v>
      </c>
      <c r="AO138" s="405" t="s">
        <v>1893</v>
      </c>
      <c r="AP138" s="405" t="s">
        <v>1892</v>
      </c>
      <c r="AQ138" s="405" t="s">
        <v>1891</v>
      </c>
      <c r="AR138" s="405" t="s">
        <v>1890</v>
      </c>
      <c r="AS138" s="405" t="s">
        <v>1399</v>
      </c>
      <c r="AT138" s="405" t="s">
        <v>1398</v>
      </c>
      <c r="AU138" s="405" t="s">
        <v>1889</v>
      </c>
      <c r="AV138" s="405" t="s">
        <v>1888</v>
      </c>
      <c r="AW138" s="405" t="s">
        <v>1887</v>
      </c>
      <c r="AX138" s="405" t="s">
        <v>1886</v>
      </c>
      <c r="AY138" s="405" t="s">
        <v>1885</v>
      </c>
      <c r="AZ138" s="405" t="s">
        <v>1884</v>
      </c>
      <c r="BA138" s="405" t="s">
        <v>1883</v>
      </c>
      <c r="BB138" s="405" t="s">
        <v>1882</v>
      </c>
      <c r="BC138" s="405" t="s">
        <v>1881</v>
      </c>
      <c r="BD138" s="405" t="s">
        <v>1880</v>
      </c>
      <c r="BE138" s="405" t="s">
        <v>1879</v>
      </c>
      <c r="BF138" s="405" t="s">
        <v>1878</v>
      </c>
      <c r="BG138" s="405" t="s">
        <v>1877</v>
      </c>
      <c r="BH138" s="405" t="s">
        <v>1876</v>
      </c>
      <c r="BI138" s="404" t="s">
        <v>1875</v>
      </c>
    </row>
    <row r="139" spans="1:61" s="145" customFormat="1" ht="13.15" x14ac:dyDescent="0.4">
      <c r="A139" s="149" t="s">
        <v>1874</v>
      </c>
      <c r="B139" s="403" t="s">
        <v>1872</v>
      </c>
      <c r="C139" s="403" t="s">
        <v>1872</v>
      </c>
      <c r="D139" s="403" t="s">
        <v>1872</v>
      </c>
      <c r="E139" s="403" t="s">
        <v>1872</v>
      </c>
      <c r="F139" s="403" t="s">
        <v>1872</v>
      </c>
      <c r="G139" s="403" t="s">
        <v>1872</v>
      </c>
      <c r="H139" s="403" t="s">
        <v>1872</v>
      </c>
      <c r="I139" s="403" t="s">
        <v>1872</v>
      </c>
      <c r="J139" s="403" t="s">
        <v>1872</v>
      </c>
      <c r="K139" s="403" t="s">
        <v>1872</v>
      </c>
      <c r="L139" s="403" t="s">
        <v>1872</v>
      </c>
      <c r="M139" s="403" t="s">
        <v>1872</v>
      </c>
      <c r="N139" s="403" t="s">
        <v>1872</v>
      </c>
      <c r="O139" s="403" t="s">
        <v>1872</v>
      </c>
      <c r="P139" s="403" t="s">
        <v>1872</v>
      </c>
      <c r="Q139" s="403" t="s">
        <v>1872</v>
      </c>
      <c r="R139" s="403" t="s">
        <v>1872</v>
      </c>
      <c r="S139" s="403" t="s">
        <v>1872</v>
      </c>
      <c r="T139" s="403" t="s">
        <v>1872</v>
      </c>
      <c r="U139" s="403" t="s">
        <v>1872</v>
      </c>
      <c r="V139" s="403" t="s">
        <v>1872</v>
      </c>
      <c r="W139" s="403" t="s">
        <v>1872</v>
      </c>
      <c r="X139" s="403" t="s">
        <v>1872</v>
      </c>
      <c r="Y139" s="403" t="s">
        <v>1872</v>
      </c>
      <c r="Z139" s="403" t="s">
        <v>1872</v>
      </c>
      <c r="AA139" s="403" t="s">
        <v>1872</v>
      </c>
      <c r="AB139" s="403" t="s">
        <v>1872</v>
      </c>
      <c r="AC139" s="403" t="s">
        <v>1872</v>
      </c>
      <c r="AD139" s="403" t="s">
        <v>1872</v>
      </c>
      <c r="AE139" s="403" t="s">
        <v>1872</v>
      </c>
      <c r="AF139" s="403" t="s">
        <v>1873</v>
      </c>
      <c r="AG139" s="403" t="s">
        <v>1873</v>
      </c>
      <c r="AH139" s="403" t="s">
        <v>1873</v>
      </c>
      <c r="AI139" s="403" t="s">
        <v>1873</v>
      </c>
      <c r="AJ139" s="403" t="s">
        <v>1873</v>
      </c>
      <c r="AK139" s="403" t="s">
        <v>1873</v>
      </c>
      <c r="AL139" s="403" t="s">
        <v>1873</v>
      </c>
      <c r="AM139" s="403" t="s">
        <v>1873</v>
      </c>
      <c r="AN139" s="403" t="s">
        <v>1873</v>
      </c>
      <c r="AO139" s="403" t="s">
        <v>1873</v>
      </c>
      <c r="AP139" s="403" t="s">
        <v>1873</v>
      </c>
      <c r="AQ139" s="403" t="s">
        <v>1873</v>
      </c>
      <c r="AR139" s="403" t="s">
        <v>1873</v>
      </c>
      <c r="AS139" s="403" t="s">
        <v>1873</v>
      </c>
      <c r="AT139" s="403" t="s">
        <v>1873</v>
      </c>
      <c r="AU139" s="403" t="s">
        <v>1873</v>
      </c>
      <c r="AV139" s="403" t="s">
        <v>1873</v>
      </c>
      <c r="AW139" s="403" t="s">
        <v>1873</v>
      </c>
      <c r="AX139" s="403" t="s">
        <v>1873</v>
      </c>
      <c r="AY139" s="403" t="s">
        <v>1873</v>
      </c>
      <c r="AZ139" s="403" t="s">
        <v>1873</v>
      </c>
      <c r="BA139" s="403" t="s">
        <v>1873</v>
      </c>
      <c r="BB139" s="403" t="s">
        <v>1873</v>
      </c>
      <c r="BC139" s="403" t="s">
        <v>1873</v>
      </c>
      <c r="BD139" s="403" t="s">
        <v>1873</v>
      </c>
      <c r="BE139" s="403" t="s">
        <v>1873</v>
      </c>
      <c r="BF139" s="403" t="s">
        <v>1873</v>
      </c>
      <c r="BG139" s="403" t="s">
        <v>1873</v>
      </c>
      <c r="BH139" s="403" t="s">
        <v>1873</v>
      </c>
      <c r="BI139" s="402" t="s">
        <v>1873</v>
      </c>
    </row>
    <row r="140" spans="1:61" s="145" customFormat="1" x14ac:dyDescent="0.35">
      <c r="A140" s="146" t="s">
        <v>1537</v>
      </c>
      <c r="B140" s="145">
        <v>8.9109893466649567E-4</v>
      </c>
      <c r="C140" s="145">
        <v>8.9109893466649567E-4</v>
      </c>
      <c r="D140" s="145">
        <v>8.9109893466649567E-4</v>
      </c>
      <c r="E140" s="145">
        <v>2.8638736827737003E-3</v>
      </c>
      <c r="F140" s="145">
        <v>2.8638736827737003E-3</v>
      </c>
      <c r="G140" s="145">
        <v>1.3047724694347907E-2</v>
      </c>
      <c r="H140" s="145">
        <v>1.9759594618087965E-2</v>
      </c>
      <c r="I140" s="145">
        <v>8.9109893466649589E-4</v>
      </c>
      <c r="J140" s="145">
        <v>8.9109893466649589E-4</v>
      </c>
      <c r="K140" s="145">
        <v>3.6072908387803459E-3</v>
      </c>
      <c r="L140" s="145">
        <v>8.9109893466649589E-4</v>
      </c>
      <c r="M140" s="145">
        <v>8.9109893466649589E-4</v>
      </c>
      <c r="N140" s="145">
        <v>3.6072908387803459E-3</v>
      </c>
      <c r="O140" s="145">
        <v>5.1767532766133573E-3</v>
      </c>
      <c r="P140" s="145">
        <v>5.1767532766133573E-3</v>
      </c>
      <c r="Q140" s="145">
        <v>2.1775399745975971E-3</v>
      </c>
      <c r="R140" s="145">
        <v>1.0127651181141731E-3</v>
      </c>
      <c r="S140" s="145">
        <v>3.5558766678322491E-3</v>
      </c>
      <c r="T140" s="145">
        <v>5.7855273527779244E-3</v>
      </c>
      <c r="U140" s="145">
        <v>5.4965159664470079E-3</v>
      </c>
      <c r="V140" s="145">
        <v>2.1527688126770591E-3</v>
      </c>
      <c r="W140" s="145">
        <v>4.443633318735948E-3</v>
      </c>
      <c r="X140" s="145">
        <v>1.6614614558121408E-3</v>
      </c>
      <c r="Y140" s="145">
        <v>1.6962996999494765E-3</v>
      </c>
      <c r="Z140" s="145">
        <v>2.2506898260094619E-3</v>
      </c>
      <c r="AA140" s="145">
        <v>6.4452580680799407E-3</v>
      </c>
      <c r="AB140" s="145">
        <v>4.0619441149607922E-3</v>
      </c>
      <c r="AC140" s="145">
        <v>2.9208761006219077E-3</v>
      </c>
      <c r="AD140" s="145">
        <v>4.443633318735948E-3</v>
      </c>
      <c r="AE140" s="145">
        <v>4.0619441149607922E-3</v>
      </c>
      <c r="AF140" s="145">
        <v>1.7821978693329914</v>
      </c>
      <c r="AG140" s="145">
        <v>1.7821978693329914</v>
      </c>
      <c r="AH140" s="145">
        <v>1.7821978693329914</v>
      </c>
      <c r="AI140" s="145">
        <v>5.7277473655474003</v>
      </c>
      <c r="AJ140" s="145">
        <v>5.7277473655474003</v>
      </c>
      <c r="AK140" s="145">
        <v>26.095449388695815</v>
      </c>
      <c r="AL140" s="145">
        <v>39.519189236175926</v>
      </c>
      <c r="AM140" s="145">
        <v>1.7821978693329918</v>
      </c>
      <c r="AN140" s="145">
        <v>1.7821978693329918</v>
      </c>
      <c r="AO140" s="145">
        <v>7.2145816775606919</v>
      </c>
      <c r="AP140" s="145">
        <v>1.7821978693329918</v>
      </c>
      <c r="AQ140" s="145">
        <v>1.7821978693329918</v>
      </c>
      <c r="AR140" s="145">
        <v>7.2145816775606919</v>
      </c>
      <c r="AS140" s="145">
        <v>10.353506553226715</v>
      </c>
      <c r="AT140" s="145">
        <v>10.353506553226715</v>
      </c>
      <c r="AU140" s="145">
        <v>4.3550799491951944</v>
      </c>
      <c r="AV140" s="145">
        <v>2.025530236228346</v>
      </c>
      <c r="AW140" s="145">
        <v>7.1117533356644982</v>
      </c>
      <c r="AX140" s="145">
        <v>11.571054705555849</v>
      </c>
      <c r="AY140" s="145">
        <v>10.993031932894016</v>
      </c>
      <c r="AZ140" s="145">
        <v>4.305537625354118</v>
      </c>
      <c r="BA140" s="145">
        <v>8.887266637471896</v>
      </c>
      <c r="BB140" s="145">
        <v>3.3229229116242816</v>
      </c>
      <c r="BC140" s="145">
        <v>3.3925993998989528</v>
      </c>
      <c r="BD140" s="145">
        <v>4.5013796520189242</v>
      </c>
      <c r="BE140" s="145">
        <v>12.890516136159881</v>
      </c>
      <c r="BF140" s="145">
        <v>8.1238882299215849</v>
      </c>
      <c r="BG140" s="145">
        <v>5.841752201243815</v>
      </c>
      <c r="BH140" s="145">
        <v>8.887266637471896</v>
      </c>
      <c r="BI140" s="144">
        <v>8.1238882299215849</v>
      </c>
    </row>
    <row r="141" spans="1:61" s="145" customFormat="1" x14ac:dyDescent="0.35">
      <c r="A141" s="146" t="s">
        <v>1536</v>
      </c>
      <c r="B141" s="145">
        <v>7.2018453387216286E-4</v>
      </c>
      <c r="C141" s="145">
        <v>7.2018453387216286E-4</v>
      </c>
      <c r="D141" s="145">
        <v>7.2018453387216286E-4</v>
      </c>
      <c r="E141" s="145">
        <v>2.5417665659384376E-3</v>
      </c>
      <c r="F141" s="145">
        <v>2.5417665659384376E-3</v>
      </c>
      <c r="G141" s="145">
        <v>1.288478783253694E-2</v>
      </c>
      <c r="H141" s="145">
        <v>1.9405608664354625E-2</v>
      </c>
      <c r="I141" s="145">
        <v>7.2018453387216307E-4</v>
      </c>
      <c r="J141" s="145">
        <v>7.2018453387216307E-4</v>
      </c>
      <c r="K141" s="145">
        <v>3.4786995346474969E-3</v>
      </c>
      <c r="L141" s="145">
        <v>7.2018453387216307E-4</v>
      </c>
      <c r="M141" s="145">
        <v>7.2018453387216307E-4</v>
      </c>
      <c r="N141" s="145">
        <v>3.4786995346474969E-3</v>
      </c>
      <c r="O141" s="145">
        <v>5.0664648182827459E-3</v>
      </c>
      <c r="P141" s="145">
        <v>5.0664648182827459E-3</v>
      </c>
      <c r="Q141" s="145">
        <v>1.8512630908756325E-3</v>
      </c>
      <c r="R141" s="145">
        <v>9.3492303750756329E-4</v>
      </c>
      <c r="S141" s="145">
        <v>2.8738530379773274E-3</v>
      </c>
      <c r="T141" s="145">
        <v>5.4703387505634438E-3</v>
      </c>
      <c r="U141" s="145">
        <v>4.445219640921514E-3</v>
      </c>
      <c r="V141" s="145">
        <v>1.7398638283330564E-3</v>
      </c>
      <c r="W141" s="145">
        <v>4.0381021860090762E-3</v>
      </c>
      <c r="X141" s="145">
        <v>1.342790118527589E-3</v>
      </c>
      <c r="Y141" s="145">
        <v>1.3709463239037758E-3</v>
      </c>
      <c r="Z141" s="145">
        <v>1.8190034127266567E-3</v>
      </c>
      <c r="AA141" s="145">
        <v>5.2090458162013034E-3</v>
      </c>
      <c r="AB141" s="145">
        <v>3.2828558258154129E-3</v>
      </c>
      <c r="AC141" s="145">
        <v>2.3606467376285386E-3</v>
      </c>
      <c r="AD141" s="145">
        <v>4.0381021860090762E-3</v>
      </c>
      <c r="AE141" s="145">
        <v>3.2828558258154129E-3</v>
      </c>
      <c r="AF141" s="145">
        <v>1.4403690677443257</v>
      </c>
      <c r="AG141" s="145">
        <v>1.4403690677443257</v>
      </c>
      <c r="AH141" s="145">
        <v>1.4403690677443257</v>
      </c>
      <c r="AI141" s="145">
        <v>5.0835331318768748</v>
      </c>
      <c r="AJ141" s="145">
        <v>5.0835331318768748</v>
      </c>
      <c r="AK141" s="145">
        <v>25.76957566507388</v>
      </c>
      <c r="AL141" s="145">
        <v>38.811217328709247</v>
      </c>
      <c r="AM141" s="145">
        <v>1.4403690677443262</v>
      </c>
      <c r="AN141" s="145">
        <v>1.4403690677443262</v>
      </c>
      <c r="AO141" s="145">
        <v>6.9573990692949934</v>
      </c>
      <c r="AP141" s="145">
        <v>1.4403690677443262</v>
      </c>
      <c r="AQ141" s="145">
        <v>1.4403690677443262</v>
      </c>
      <c r="AR141" s="145">
        <v>6.9573990692949934</v>
      </c>
      <c r="AS141" s="145">
        <v>10.132929636565493</v>
      </c>
      <c r="AT141" s="145">
        <v>10.132929636565493</v>
      </c>
      <c r="AU141" s="145">
        <v>3.7025261817512649</v>
      </c>
      <c r="AV141" s="145">
        <v>1.8698460750151267</v>
      </c>
      <c r="AW141" s="145">
        <v>5.747706075954655</v>
      </c>
      <c r="AX141" s="145">
        <v>10.940677501126888</v>
      </c>
      <c r="AY141" s="145">
        <v>8.8904392818430278</v>
      </c>
      <c r="AZ141" s="145">
        <v>3.4797276566661126</v>
      </c>
      <c r="BA141" s="145">
        <v>8.076204372018152</v>
      </c>
      <c r="BB141" s="145">
        <v>2.685580237055178</v>
      </c>
      <c r="BC141" s="145">
        <v>2.7418926478075516</v>
      </c>
      <c r="BD141" s="145">
        <v>3.6380068254533136</v>
      </c>
      <c r="BE141" s="145">
        <v>10.418091632402607</v>
      </c>
      <c r="BF141" s="145">
        <v>6.565711651630826</v>
      </c>
      <c r="BG141" s="145">
        <v>4.7212934752570774</v>
      </c>
      <c r="BH141" s="145">
        <v>8.076204372018152</v>
      </c>
      <c r="BI141" s="144">
        <v>6.565711651630826</v>
      </c>
    </row>
    <row r="142" spans="1:61" s="145" customFormat="1" x14ac:dyDescent="0.35">
      <c r="A142" s="146" t="s">
        <v>1535</v>
      </c>
      <c r="B142" s="145">
        <v>4.1270682314113445E-4</v>
      </c>
      <c r="C142" s="145">
        <v>4.1270682314113445E-4</v>
      </c>
      <c r="D142" s="145">
        <v>4.1270682314113445E-4</v>
      </c>
      <c r="E142" s="145">
        <v>7.7779021329386271E-4</v>
      </c>
      <c r="F142" s="145">
        <v>7.7779021329386271E-4</v>
      </c>
      <c r="G142" s="145">
        <v>1.2405564863348643E-2</v>
      </c>
      <c r="H142" s="145">
        <v>8.5474679841452338E-4</v>
      </c>
      <c r="I142" s="145">
        <v>4.1270682314113462E-4</v>
      </c>
      <c r="J142" s="145">
        <v>4.1270682314113462E-4</v>
      </c>
      <c r="K142" s="145">
        <v>3.1706866683003704E-4</v>
      </c>
      <c r="L142" s="145">
        <v>4.1270682314113462E-4</v>
      </c>
      <c r="M142" s="145">
        <v>4.1270682314113462E-4</v>
      </c>
      <c r="N142" s="145">
        <v>3.1706866683003704E-4</v>
      </c>
      <c r="O142" s="145">
        <v>2.6630759007276926E-4</v>
      </c>
      <c r="P142" s="145">
        <v>2.6630759007276926E-4</v>
      </c>
      <c r="Q142" s="145">
        <v>7.9391673025869366E-4</v>
      </c>
      <c r="R142" s="145">
        <v>6.7872623108844476E-4</v>
      </c>
      <c r="S142" s="145">
        <v>1.6468817389081191E-3</v>
      </c>
      <c r="T142" s="145">
        <v>7.6036350553016603E-4</v>
      </c>
      <c r="U142" s="145">
        <v>2.5385619523594781E-3</v>
      </c>
      <c r="V142" s="145">
        <v>9.9704122973705354E-4</v>
      </c>
      <c r="W142" s="145">
        <v>9.7923264506304033E-4</v>
      </c>
      <c r="X142" s="145">
        <v>7.694953416775243E-4</v>
      </c>
      <c r="Y142" s="145">
        <v>7.8563045361895669E-4</v>
      </c>
      <c r="Z142" s="145">
        <v>1.0423927263655413E-3</v>
      </c>
      <c r="AA142" s="145">
        <v>2.9850804193785455E-3</v>
      </c>
      <c r="AB142" s="145">
        <v>1.8812636692127854E-3</v>
      </c>
      <c r="AC142" s="145">
        <v>1.3527852513118442E-3</v>
      </c>
      <c r="AD142" s="145">
        <v>9.7923264506304033E-4</v>
      </c>
      <c r="AE142" s="145">
        <v>1.8812636692127854E-3</v>
      </c>
      <c r="AF142" s="145">
        <v>0.82541364628226888</v>
      </c>
      <c r="AG142" s="145">
        <v>0.82541364628226888</v>
      </c>
      <c r="AH142" s="145">
        <v>0.82541364628226888</v>
      </c>
      <c r="AI142" s="145">
        <v>1.5555804265877253</v>
      </c>
      <c r="AJ142" s="145">
        <v>1.5555804265877253</v>
      </c>
      <c r="AK142" s="145">
        <v>24.811129726697288</v>
      </c>
      <c r="AL142" s="145">
        <v>1.7094935968290468</v>
      </c>
      <c r="AM142" s="145">
        <v>0.82541364628226921</v>
      </c>
      <c r="AN142" s="145">
        <v>0.82541364628226921</v>
      </c>
      <c r="AO142" s="145">
        <v>0.63413733366007408</v>
      </c>
      <c r="AP142" s="145">
        <v>0.82541364628226921</v>
      </c>
      <c r="AQ142" s="145">
        <v>0.82541364628226921</v>
      </c>
      <c r="AR142" s="145">
        <v>0.63413733366007408</v>
      </c>
      <c r="AS142" s="145">
        <v>0.53261518014553855</v>
      </c>
      <c r="AT142" s="145">
        <v>0.53261518014553855</v>
      </c>
      <c r="AU142" s="145">
        <v>1.5878334605173874</v>
      </c>
      <c r="AV142" s="145">
        <v>1.3574524621768895</v>
      </c>
      <c r="AW142" s="145">
        <v>3.2937634778162383</v>
      </c>
      <c r="AX142" s="145">
        <v>1.5207270110603321</v>
      </c>
      <c r="AY142" s="145">
        <v>5.077123904718956</v>
      </c>
      <c r="AZ142" s="145">
        <v>1.9940824594741069</v>
      </c>
      <c r="BA142" s="145">
        <v>1.9584652901260808</v>
      </c>
      <c r="BB142" s="145">
        <v>1.5389906833550486</v>
      </c>
      <c r="BC142" s="145">
        <v>1.5712609072379133</v>
      </c>
      <c r="BD142" s="145">
        <v>2.0847854527310825</v>
      </c>
      <c r="BE142" s="145">
        <v>5.9701608387570912</v>
      </c>
      <c r="BF142" s="145">
        <v>3.7625273384255711</v>
      </c>
      <c r="BG142" s="145">
        <v>2.7055705026236883</v>
      </c>
      <c r="BH142" s="145">
        <v>1.9584652901260808</v>
      </c>
      <c r="BI142" s="144">
        <v>3.7625273384255711</v>
      </c>
    </row>
    <row r="143" spans="1:61" s="145" customFormat="1" x14ac:dyDescent="0.35">
      <c r="A143" s="146" t="s">
        <v>1534</v>
      </c>
      <c r="B143" s="145">
        <v>2.9345345338063978E-4</v>
      </c>
      <c r="C143" s="145">
        <v>2.9345345338063978E-4</v>
      </c>
      <c r="D143" s="145">
        <v>2.9345345338063978E-4</v>
      </c>
      <c r="E143" s="145">
        <v>1.7332316724307274E-3</v>
      </c>
      <c r="F143" s="145">
        <v>1.7332316724307274E-3</v>
      </c>
      <c r="G143" s="145">
        <v>2.9957085233075402E-4</v>
      </c>
      <c r="H143" s="145">
        <v>1.845656588444879E-2</v>
      </c>
      <c r="I143" s="145">
        <v>2.9345345338063983E-4</v>
      </c>
      <c r="J143" s="145">
        <v>2.9345345338063983E-4</v>
      </c>
      <c r="K143" s="145">
        <v>3.1390339457052379E-3</v>
      </c>
      <c r="L143" s="145">
        <v>2.9345345338063983E-4</v>
      </c>
      <c r="M143" s="145">
        <v>2.9345345338063983E-4</v>
      </c>
      <c r="N143" s="145">
        <v>3.1390339457052379E-3</v>
      </c>
      <c r="O143" s="145">
        <v>4.7743462287868979E-3</v>
      </c>
      <c r="P143" s="145">
        <v>4.7743462287868979E-3</v>
      </c>
      <c r="Q143" s="145">
        <v>5.9220475577140145E-4</v>
      </c>
      <c r="R143" s="145">
        <v>1.4383160692672014E-4</v>
      </c>
      <c r="S143" s="145">
        <v>1.1710083441650082E-3</v>
      </c>
      <c r="T143" s="145">
        <v>2.6105694134384875E-3</v>
      </c>
      <c r="U143" s="145">
        <v>1.8141306316350298E-3</v>
      </c>
      <c r="V143" s="145">
        <v>7.0894197920532537E-4</v>
      </c>
      <c r="W143" s="145">
        <v>3.0171097104651234E-3</v>
      </c>
      <c r="X143" s="145">
        <v>5.471464311079823E-4</v>
      </c>
      <c r="Y143" s="145">
        <v>5.5861923469251878E-4</v>
      </c>
      <c r="Z143" s="145">
        <v>7.4118897042373577E-4</v>
      </c>
      <c r="AA143" s="145">
        <v>2.1225288959809616E-3</v>
      </c>
      <c r="AB143" s="145">
        <v>1.3376646313919428E-3</v>
      </c>
      <c r="AC143" s="145">
        <v>9.618922717546187E-4</v>
      </c>
      <c r="AD143" s="145">
        <v>3.0171097104651234E-3</v>
      </c>
      <c r="AE143" s="145">
        <v>1.3376646313919428E-3</v>
      </c>
      <c r="AF143" s="145">
        <v>0.58690690676127955</v>
      </c>
      <c r="AG143" s="145">
        <v>0.58690690676127955</v>
      </c>
      <c r="AH143" s="145">
        <v>0.58690690676127955</v>
      </c>
      <c r="AI143" s="145">
        <v>3.4664633448614546</v>
      </c>
      <c r="AJ143" s="145">
        <v>3.4664633448614546</v>
      </c>
      <c r="AK143" s="145">
        <v>0.59914170466150407</v>
      </c>
      <c r="AL143" s="145">
        <v>36.913131768897578</v>
      </c>
      <c r="AM143" s="145">
        <v>0.58690690676127966</v>
      </c>
      <c r="AN143" s="145">
        <v>0.58690690676127966</v>
      </c>
      <c r="AO143" s="145">
        <v>6.2780678914104762</v>
      </c>
      <c r="AP143" s="145">
        <v>0.58690690676127966</v>
      </c>
      <c r="AQ143" s="145">
        <v>0.58690690676127966</v>
      </c>
      <c r="AR143" s="145">
        <v>6.2780678914104762</v>
      </c>
      <c r="AS143" s="145">
        <v>9.5486924575737984</v>
      </c>
      <c r="AT143" s="145">
        <v>9.5486924575737984</v>
      </c>
      <c r="AU143" s="145">
        <v>1.1844095115428028</v>
      </c>
      <c r="AV143" s="145">
        <v>0.2876632138534404</v>
      </c>
      <c r="AW143" s="145">
        <v>2.3420166883300162</v>
      </c>
      <c r="AX143" s="145">
        <v>5.2211388268769774</v>
      </c>
      <c r="AY143" s="145">
        <v>3.6282612632700597</v>
      </c>
      <c r="AZ143" s="145">
        <v>1.4178839584106511</v>
      </c>
      <c r="BA143" s="145">
        <v>6.0342194209302464</v>
      </c>
      <c r="BB143" s="145">
        <v>1.0942928622159644</v>
      </c>
      <c r="BC143" s="145">
        <v>1.1172384693850377</v>
      </c>
      <c r="BD143" s="145">
        <v>1.482377940847472</v>
      </c>
      <c r="BE143" s="145">
        <v>4.2450577919619237</v>
      </c>
      <c r="BF143" s="145">
        <v>2.6753292627838849</v>
      </c>
      <c r="BG143" s="145">
        <v>1.9237845435092378</v>
      </c>
      <c r="BH143" s="145">
        <v>6.0342194209302464</v>
      </c>
      <c r="BI143" s="144">
        <v>2.6753292627838849</v>
      </c>
    </row>
    <row r="144" spans="1:61" s="145" customFormat="1" x14ac:dyDescent="0.35">
      <c r="A144" s="143" t="s">
        <v>1533</v>
      </c>
      <c r="B144" s="142">
        <v>1.4024257350388639E-5</v>
      </c>
      <c r="C144" s="142">
        <v>1.4024257350388639E-5</v>
      </c>
      <c r="D144" s="142">
        <v>1.4024257350388639E-5</v>
      </c>
      <c r="E144" s="142">
        <v>3.0744680213847558E-5</v>
      </c>
      <c r="F144" s="142">
        <v>3.0744680213847558E-5</v>
      </c>
      <c r="G144" s="142">
        <v>1.7965211685754296E-4</v>
      </c>
      <c r="H144" s="142">
        <v>9.4295981491313114E-5</v>
      </c>
      <c r="I144" s="142">
        <v>1.4024257350388643E-5</v>
      </c>
      <c r="J144" s="142">
        <v>1.4024257350388643E-5</v>
      </c>
      <c r="K144" s="142">
        <v>2.2596922112221756E-5</v>
      </c>
      <c r="L144" s="142">
        <v>1.4024257350388643E-5</v>
      </c>
      <c r="M144" s="142">
        <v>1.4024257350388643E-5</v>
      </c>
      <c r="N144" s="142">
        <v>2.2596922112221756E-5</v>
      </c>
      <c r="O144" s="142">
        <v>2.5810999423078356E-5</v>
      </c>
      <c r="P144" s="142">
        <v>2.5810999423078356E-5</v>
      </c>
      <c r="Q144" s="142">
        <v>4.651416048455375E-4</v>
      </c>
      <c r="R144" s="142">
        <v>1.1236519949239839E-4</v>
      </c>
      <c r="S144" s="142">
        <v>5.596295490420015E-5</v>
      </c>
      <c r="T144" s="142">
        <v>2.0994058315947899E-3</v>
      </c>
      <c r="U144" s="142">
        <v>9.252705692700619E-5</v>
      </c>
      <c r="V144" s="142">
        <v>3.3880619390677427E-5</v>
      </c>
      <c r="W144" s="142">
        <v>4.1759830480912485E-5</v>
      </c>
      <c r="X144" s="142">
        <v>2.6148345742082402E-5</v>
      </c>
      <c r="Y144" s="142">
        <v>2.6696635592300342E-5</v>
      </c>
      <c r="Z144" s="142">
        <v>3.5421715937379529E-5</v>
      </c>
      <c r="AA144" s="142">
        <v>1.014365008417963E-4</v>
      </c>
      <c r="AB144" s="142">
        <v>6.3927525210684798E-5</v>
      </c>
      <c r="AC144" s="142">
        <v>4.5969214562075789E-5</v>
      </c>
      <c r="AD144" s="142">
        <v>4.1759830480912485E-5</v>
      </c>
      <c r="AE144" s="142">
        <v>6.3927525210684798E-5</v>
      </c>
      <c r="AF144" s="142">
        <v>2.804851470077728E-2</v>
      </c>
      <c r="AG144" s="142">
        <v>2.804851470077728E-2</v>
      </c>
      <c r="AH144" s="142">
        <v>2.804851470077728E-2</v>
      </c>
      <c r="AI144" s="142">
        <v>6.1489360427695122E-2</v>
      </c>
      <c r="AJ144" s="142">
        <v>6.1489360427695122E-2</v>
      </c>
      <c r="AK144" s="142">
        <v>0.35930423371508591</v>
      </c>
      <c r="AL144" s="142">
        <v>0.18859196298262623</v>
      </c>
      <c r="AM144" s="142">
        <v>2.8048514700777287E-2</v>
      </c>
      <c r="AN144" s="142">
        <v>2.8048514700777287E-2</v>
      </c>
      <c r="AO144" s="142">
        <v>4.5193844224443509E-2</v>
      </c>
      <c r="AP144" s="142">
        <v>2.8048514700777287E-2</v>
      </c>
      <c r="AQ144" s="142">
        <v>2.8048514700777287E-2</v>
      </c>
      <c r="AR144" s="142">
        <v>4.5193844224443509E-2</v>
      </c>
      <c r="AS144" s="142">
        <v>5.1621998846156709E-2</v>
      </c>
      <c r="AT144" s="142">
        <v>5.1621998846156709E-2</v>
      </c>
      <c r="AU144" s="142">
        <v>0.93028320969107503</v>
      </c>
      <c r="AV144" s="142">
        <v>0.22473039898479677</v>
      </c>
      <c r="AW144" s="142">
        <v>0.1119259098084003</v>
      </c>
      <c r="AX144" s="142">
        <v>4.1988116631895798</v>
      </c>
      <c r="AY144" s="142">
        <v>0.18505411385401238</v>
      </c>
      <c r="AZ144" s="142">
        <v>6.7761238781354857E-2</v>
      </c>
      <c r="BA144" s="142">
        <v>8.3519660961824976E-2</v>
      </c>
      <c r="BB144" s="142">
        <v>5.2296691484164805E-2</v>
      </c>
      <c r="BC144" s="142">
        <v>5.3393271184600681E-2</v>
      </c>
      <c r="BD144" s="142">
        <v>7.0843431874759055E-2</v>
      </c>
      <c r="BE144" s="142">
        <v>0.2028730016835926</v>
      </c>
      <c r="BF144" s="142">
        <v>0.1278550504213696</v>
      </c>
      <c r="BG144" s="142">
        <v>9.193842912415158E-2</v>
      </c>
      <c r="BH144" s="142">
        <v>8.3519660961824976E-2</v>
      </c>
      <c r="BI144" s="141">
        <v>0.1278550504213696</v>
      </c>
    </row>
    <row r="145" spans="1:61" s="145" customFormat="1" x14ac:dyDescent="0.35">
      <c r="A145" s="143" t="s">
        <v>1532</v>
      </c>
      <c r="B145" s="142">
        <v>8.5723382496408082E-2</v>
      </c>
      <c r="C145" s="142">
        <v>8.5723382496408082E-2</v>
      </c>
      <c r="D145" s="142">
        <v>8.5723382496408082E-2</v>
      </c>
      <c r="E145" s="142">
        <v>0.16463207096860152</v>
      </c>
      <c r="F145" s="142">
        <v>0.16463207096860152</v>
      </c>
      <c r="G145" s="142">
        <v>0.11994962529571675</v>
      </c>
      <c r="H145" s="142">
        <v>0.22407783784672497</v>
      </c>
      <c r="I145" s="142">
        <v>8.5723382496408096E-2</v>
      </c>
      <c r="J145" s="142">
        <v>8.5723382496408096E-2</v>
      </c>
      <c r="K145" s="142">
        <v>0.1299268929349135</v>
      </c>
      <c r="L145" s="142">
        <v>8.5723382496408096E-2</v>
      </c>
      <c r="M145" s="142">
        <v>8.5723382496408096E-2</v>
      </c>
      <c r="N145" s="142">
        <v>0.1299268929349135</v>
      </c>
      <c r="O145" s="142">
        <v>6.7269505823393236E-2</v>
      </c>
      <c r="P145" s="142">
        <v>6.7269505823393236E-2</v>
      </c>
      <c r="Q145" s="142">
        <v>0.17139740665215542</v>
      </c>
      <c r="R145" s="142">
        <v>1.0315021323255418</v>
      </c>
      <c r="S145" s="142">
        <v>0.34207399857426618</v>
      </c>
      <c r="T145" s="142">
        <v>0.19953029915804146</v>
      </c>
      <c r="U145" s="142">
        <v>0.52743054925553079</v>
      </c>
      <c r="V145" s="142">
        <v>0.20709555042226716</v>
      </c>
      <c r="W145" s="142">
        <v>0.20944777142338533</v>
      </c>
      <c r="X145" s="142">
        <v>0.15983196740430153</v>
      </c>
      <c r="Y145" s="142">
        <v>0.16318339339248966</v>
      </c>
      <c r="Z145" s="142">
        <v>0.21651551509035538</v>
      </c>
      <c r="AA145" s="142">
        <v>0.62003140298317161</v>
      </c>
      <c r="AB145" s="142">
        <v>0.39075749672637322</v>
      </c>
      <c r="AC145" s="142">
        <v>0.28098718274412388</v>
      </c>
      <c r="AD145" s="142">
        <v>0.20944777142338533</v>
      </c>
      <c r="AE145" s="142">
        <v>0.39075749672637322</v>
      </c>
      <c r="AF145" s="142">
        <v>171.44676499281616</v>
      </c>
      <c r="AG145" s="142">
        <v>171.44676499281616</v>
      </c>
      <c r="AH145" s="142">
        <v>171.44676499281616</v>
      </c>
      <c r="AI145" s="142">
        <v>329.26414193720302</v>
      </c>
      <c r="AJ145" s="142">
        <v>329.26414193720302</v>
      </c>
      <c r="AK145" s="142">
        <v>239.89925059143349</v>
      </c>
      <c r="AL145" s="142">
        <v>448.15567569344995</v>
      </c>
      <c r="AM145" s="142">
        <v>171.44676499281618</v>
      </c>
      <c r="AN145" s="142">
        <v>171.44676499281618</v>
      </c>
      <c r="AO145" s="142">
        <v>259.85378586982699</v>
      </c>
      <c r="AP145" s="142">
        <v>171.44676499281618</v>
      </c>
      <c r="AQ145" s="142">
        <v>171.44676499281618</v>
      </c>
      <c r="AR145" s="142">
        <v>259.85378586982699</v>
      </c>
      <c r="AS145" s="142">
        <v>134.53901164678646</v>
      </c>
      <c r="AT145" s="142">
        <v>134.53901164678646</v>
      </c>
      <c r="AU145" s="142">
        <v>342.79481330431082</v>
      </c>
      <c r="AV145" s="142">
        <v>2063.0042646510838</v>
      </c>
      <c r="AW145" s="142">
        <v>684.14799714853234</v>
      </c>
      <c r="AX145" s="142">
        <v>399.06059831608292</v>
      </c>
      <c r="AY145" s="142">
        <v>1054.8610985110615</v>
      </c>
      <c r="AZ145" s="142">
        <v>414.19110084453433</v>
      </c>
      <c r="BA145" s="142">
        <v>418.89554284677064</v>
      </c>
      <c r="BB145" s="142">
        <v>319.66393480860307</v>
      </c>
      <c r="BC145" s="142">
        <v>326.3667867849793</v>
      </c>
      <c r="BD145" s="142">
        <v>433.03103018071079</v>
      </c>
      <c r="BE145" s="142">
        <v>1240.0628059663431</v>
      </c>
      <c r="BF145" s="142">
        <v>781.51499345274647</v>
      </c>
      <c r="BG145" s="142">
        <v>561.97436548824771</v>
      </c>
      <c r="BH145" s="142">
        <v>418.89554284677064</v>
      </c>
      <c r="BI145" s="141">
        <v>781.51499345274647</v>
      </c>
    </row>
    <row r="146" spans="1:61" s="145" customFormat="1" ht="13.15" x14ac:dyDescent="0.4">
      <c r="A146" s="158" t="s">
        <v>1564</v>
      </c>
      <c r="B146" s="382" t="s">
        <v>1872</v>
      </c>
      <c r="C146" s="382" t="s">
        <v>1872</v>
      </c>
      <c r="D146" s="382" t="s">
        <v>1872</v>
      </c>
      <c r="E146" s="382" t="s">
        <v>1872</v>
      </c>
      <c r="F146" s="382" t="s">
        <v>1872</v>
      </c>
      <c r="G146" s="382" t="s">
        <v>1872</v>
      </c>
      <c r="H146" s="382" t="s">
        <v>1872</v>
      </c>
      <c r="I146" s="382" t="s">
        <v>1872</v>
      </c>
      <c r="J146" s="382" t="s">
        <v>1872</v>
      </c>
      <c r="K146" s="382" t="s">
        <v>1872</v>
      </c>
      <c r="L146" s="382" t="s">
        <v>1872</v>
      </c>
      <c r="M146" s="382" t="s">
        <v>1872</v>
      </c>
      <c r="N146" s="382" t="s">
        <v>1872</v>
      </c>
      <c r="O146" s="382" t="s">
        <v>1872</v>
      </c>
      <c r="P146" s="382" t="s">
        <v>1872</v>
      </c>
      <c r="Q146" s="382" t="s">
        <v>1872</v>
      </c>
      <c r="R146" s="382" t="s">
        <v>1872</v>
      </c>
      <c r="S146" s="382" t="s">
        <v>1872</v>
      </c>
      <c r="T146" s="382" t="s">
        <v>1872</v>
      </c>
      <c r="U146" s="382" t="s">
        <v>1872</v>
      </c>
      <c r="V146" s="382" t="s">
        <v>1872</v>
      </c>
      <c r="W146" s="382" t="s">
        <v>1872</v>
      </c>
      <c r="X146" s="382" t="s">
        <v>1872</v>
      </c>
      <c r="Y146" s="382" t="s">
        <v>1872</v>
      </c>
      <c r="Z146" s="382" t="s">
        <v>1872</v>
      </c>
      <c r="AA146" s="382" t="s">
        <v>1872</v>
      </c>
      <c r="AB146" s="382" t="s">
        <v>1872</v>
      </c>
      <c r="AC146" s="382" t="s">
        <v>1872</v>
      </c>
      <c r="AD146" s="382" t="s">
        <v>1872</v>
      </c>
      <c r="AE146" s="382" t="s">
        <v>1872</v>
      </c>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6"/>
    </row>
    <row r="147" spans="1:61" s="145" customFormat="1" x14ac:dyDescent="0.35">
      <c r="A147" s="146" t="s">
        <v>1525</v>
      </c>
      <c r="B147" s="145">
        <v>6.4729955509855693E-3</v>
      </c>
      <c r="C147" s="145">
        <v>6.4729955509855693E-3</v>
      </c>
      <c r="D147" s="145">
        <v>6.4729955509855693E-3</v>
      </c>
      <c r="E147" s="145">
        <v>2.6039865863034885E-2</v>
      </c>
      <c r="F147" s="145">
        <v>2.6039865863034885E-2</v>
      </c>
      <c r="G147" s="145">
        <v>1.1248476620427128</v>
      </c>
      <c r="H147" s="145">
        <v>0.22273040700168117</v>
      </c>
      <c r="I147" s="145">
        <v>6.472995550985571E-3</v>
      </c>
      <c r="J147" s="145">
        <v>6.472995550985571E-3</v>
      </c>
      <c r="K147" s="145">
        <v>0.16192835597609428</v>
      </c>
      <c r="L147" s="145">
        <v>6.472995550985571E-3</v>
      </c>
      <c r="M147" s="145">
        <v>6.472995550985571E-3</v>
      </c>
      <c r="N147" s="145">
        <v>0.16192835597609428</v>
      </c>
      <c r="O147" s="145">
        <v>5.7947944897686093E-2</v>
      </c>
      <c r="P147" s="145">
        <v>5.7947944897686093E-2</v>
      </c>
      <c r="Q147" s="145">
        <v>1.5115132211368659E-2</v>
      </c>
      <c r="R147" s="145">
        <v>1.3216869957828725E-2</v>
      </c>
      <c r="S147" s="145">
        <v>2.5830099167771972E-2</v>
      </c>
      <c r="T147" s="145">
        <v>4.7210087626155563E-2</v>
      </c>
      <c r="U147" s="145">
        <v>4.00361126966714E-2</v>
      </c>
      <c r="V147" s="145">
        <v>1.563784042899162E-2</v>
      </c>
      <c r="W147" s="145">
        <v>4.2576393603662228E-2</v>
      </c>
      <c r="X147" s="145">
        <v>1.206895462806388E-2</v>
      </c>
      <c r="Y147" s="145">
        <v>1.2322021701238552E-2</v>
      </c>
      <c r="Z147" s="145">
        <v>1.6349144481763118E-2</v>
      </c>
      <c r="AA147" s="145">
        <v>4.6818737153186636E-2</v>
      </c>
      <c r="AB147" s="145">
        <v>2.9506203140433195E-2</v>
      </c>
      <c r="AC147" s="145">
        <v>2.1217417358244048E-2</v>
      </c>
      <c r="AD147" s="145">
        <v>4.2576393603662228E-2</v>
      </c>
      <c r="AE147" s="145">
        <v>2.9506203140433195E-2</v>
      </c>
      <c r="AF147" s="145">
        <v>12.945991101971138</v>
      </c>
      <c r="AG147" s="145">
        <v>12.945991101971138</v>
      </c>
      <c r="AH147" s="145">
        <v>12.945991101971138</v>
      </c>
      <c r="AI147" s="145">
        <v>52.079731726069774</v>
      </c>
      <c r="AJ147" s="145">
        <v>52.079731726069774</v>
      </c>
      <c r="AK147" s="145">
        <v>2249.6953240854255</v>
      </c>
      <c r="AL147" s="145">
        <v>445.46081400336237</v>
      </c>
      <c r="AM147" s="145">
        <v>12.945991101971142</v>
      </c>
      <c r="AN147" s="145">
        <v>12.945991101971142</v>
      </c>
      <c r="AO147" s="145">
        <v>323.85671195218856</v>
      </c>
      <c r="AP147" s="145">
        <v>12.945991101971142</v>
      </c>
      <c r="AQ147" s="145">
        <v>12.945991101971142</v>
      </c>
      <c r="AR147" s="145">
        <v>323.85671195218856</v>
      </c>
      <c r="AS147" s="145">
        <v>115.89588979537218</v>
      </c>
      <c r="AT147" s="145">
        <v>115.89588979537218</v>
      </c>
      <c r="AU147" s="145">
        <v>30.230264422737317</v>
      </c>
      <c r="AV147" s="145">
        <v>26.433739915657451</v>
      </c>
      <c r="AW147" s="145">
        <v>51.660198335543946</v>
      </c>
      <c r="AX147" s="145">
        <v>94.420175252311125</v>
      </c>
      <c r="AY147" s="145">
        <v>80.072225393342805</v>
      </c>
      <c r="AZ147" s="145">
        <v>31.275680857983243</v>
      </c>
      <c r="BA147" s="145">
        <v>85.152787207324451</v>
      </c>
      <c r="BB147" s="145">
        <v>24.13790925612776</v>
      </c>
      <c r="BC147" s="145">
        <v>24.644043402477106</v>
      </c>
      <c r="BD147" s="145">
        <v>32.698288963526238</v>
      </c>
      <c r="BE147" s="145">
        <v>93.637474306373278</v>
      </c>
      <c r="BF147" s="145">
        <v>59.012406280866387</v>
      </c>
      <c r="BG147" s="145">
        <v>42.434834716488098</v>
      </c>
      <c r="BH147" s="145">
        <v>85.152787207324451</v>
      </c>
      <c r="BI147" s="144">
        <v>59.012406280866387</v>
      </c>
    </row>
    <row r="148" spans="1:61" s="145" customFormat="1" x14ac:dyDescent="0.35">
      <c r="A148" s="146" t="s">
        <v>1524</v>
      </c>
      <c r="B148" s="145">
        <v>1.8075399306735629E-2</v>
      </c>
      <c r="C148" s="145">
        <v>1.8075399306735629E-2</v>
      </c>
      <c r="D148" s="145">
        <v>1.8075399306735629E-2</v>
      </c>
      <c r="E148" s="145">
        <v>9.2430499042811559E-2</v>
      </c>
      <c r="F148" s="145">
        <v>9.2430499042811559E-2</v>
      </c>
      <c r="G148" s="145">
        <v>0.29586899273721995</v>
      </c>
      <c r="H148" s="145">
        <v>0.92013763418441663</v>
      </c>
      <c r="I148" s="145">
        <v>1.8075399306735632E-2</v>
      </c>
      <c r="J148" s="145">
        <v>1.8075399306735632E-2</v>
      </c>
      <c r="K148" s="145">
        <v>0.16606363673177096</v>
      </c>
      <c r="L148" s="145">
        <v>1.8075399306735632E-2</v>
      </c>
      <c r="M148" s="145">
        <v>1.8075399306735632E-2</v>
      </c>
      <c r="N148" s="145">
        <v>0.16606363673177096</v>
      </c>
      <c r="O148" s="145">
        <v>0.23841150917475079</v>
      </c>
      <c r="P148" s="145">
        <v>0.23841150917475079</v>
      </c>
      <c r="Q148" s="145">
        <v>5.4493579749182924E-2</v>
      </c>
      <c r="R148" s="145">
        <v>7.3682734328525165E-2</v>
      </c>
      <c r="S148" s="145">
        <v>7.212879306227396E-2</v>
      </c>
      <c r="T148" s="145">
        <v>0.22167630367892954</v>
      </c>
      <c r="U148" s="145">
        <v>0.11330578921070074</v>
      </c>
      <c r="V148" s="145">
        <v>4.3667604561538766E-2</v>
      </c>
      <c r="W148" s="145">
        <v>0.15766296075525235</v>
      </c>
      <c r="X148" s="145">
        <v>3.370173398063192E-2</v>
      </c>
      <c r="Y148" s="145">
        <v>3.4408406550231113E-2</v>
      </c>
      <c r="Z148" s="145">
        <v>4.5653872693669113E-2</v>
      </c>
      <c r="AA148" s="145">
        <v>0.13073813544520294</v>
      </c>
      <c r="AB148" s="145">
        <v>8.2394063086878189E-2</v>
      </c>
      <c r="AC148" s="145">
        <v>5.9248193203150258E-2</v>
      </c>
      <c r="AD148" s="145">
        <v>0.15766296075525235</v>
      </c>
      <c r="AE148" s="145">
        <v>8.2394063086878189E-2</v>
      </c>
      <c r="AF148" s="145">
        <v>36.15079861347126</v>
      </c>
      <c r="AG148" s="145">
        <v>36.15079861347126</v>
      </c>
      <c r="AH148" s="145">
        <v>36.15079861347126</v>
      </c>
      <c r="AI148" s="145">
        <v>184.86099808562312</v>
      </c>
      <c r="AJ148" s="145">
        <v>184.86099808562312</v>
      </c>
      <c r="AK148" s="145">
        <v>591.73798547443994</v>
      </c>
      <c r="AL148" s="145">
        <v>1840.2752683688332</v>
      </c>
      <c r="AM148" s="145">
        <v>36.150798613471267</v>
      </c>
      <c r="AN148" s="145">
        <v>36.150798613471267</v>
      </c>
      <c r="AO148" s="145">
        <v>332.12727346354194</v>
      </c>
      <c r="AP148" s="145">
        <v>36.150798613471267</v>
      </c>
      <c r="AQ148" s="145">
        <v>36.150798613471267</v>
      </c>
      <c r="AR148" s="145">
        <v>332.12727346354194</v>
      </c>
      <c r="AS148" s="145">
        <v>476.82301834950158</v>
      </c>
      <c r="AT148" s="145">
        <v>476.82301834950158</v>
      </c>
      <c r="AU148" s="145">
        <v>108.98715949836586</v>
      </c>
      <c r="AV148" s="145">
        <v>147.36546865705034</v>
      </c>
      <c r="AW148" s="145">
        <v>144.25758612454791</v>
      </c>
      <c r="AX148" s="145">
        <v>443.35260735785909</v>
      </c>
      <c r="AY148" s="145">
        <v>226.61157842140148</v>
      </c>
      <c r="AZ148" s="145">
        <v>87.335209123077533</v>
      </c>
      <c r="BA148" s="145">
        <v>315.32592151050471</v>
      </c>
      <c r="BB148" s="145">
        <v>67.403467961263843</v>
      </c>
      <c r="BC148" s="145">
        <v>68.816813100462227</v>
      </c>
      <c r="BD148" s="145">
        <v>91.30774538733823</v>
      </c>
      <c r="BE148" s="145">
        <v>261.47627089040589</v>
      </c>
      <c r="BF148" s="145">
        <v>164.78812617375638</v>
      </c>
      <c r="BG148" s="145">
        <v>118.49638640630052</v>
      </c>
      <c r="BH148" s="145">
        <v>315.32592151050471</v>
      </c>
      <c r="BI148" s="144">
        <v>164.78812617375638</v>
      </c>
    </row>
    <row r="149" spans="1:61" s="145" customFormat="1" x14ac:dyDescent="0.35">
      <c r="A149" s="146" t="s">
        <v>1563</v>
      </c>
      <c r="B149" s="145">
        <v>4.0595829883515032E-2</v>
      </c>
      <c r="C149" s="145">
        <v>4.0595829883515032E-2</v>
      </c>
      <c r="D149" s="145">
        <v>4.0595829883515032E-2</v>
      </c>
      <c r="E149" s="145">
        <v>0.15873068116844816</v>
      </c>
      <c r="F149" s="145">
        <v>0.15873068116844816</v>
      </c>
      <c r="G149" s="145">
        <v>0.47052912243423983</v>
      </c>
      <c r="H149" s="145">
        <v>1.3276007414625512</v>
      </c>
      <c r="I149" s="145">
        <v>4.0595829883515039E-2</v>
      </c>
      <c r="J149" s="145">
        <v>4.0595829883515039E-2</v>
      </c>
      <c r="K149" s="145">
        <v>0.23494287607040953</v>
      </c>
      <c r="L149" s="145">
        <v>4.0595829883515039E-2</v>
      </c>
      <c r="M149" s="145">
        <v>4.0595829883515039E-2</v>
      </c>
      <c r="N149" s="145">
        <v>0.23494287607040953</v>
      </c>
      <c r="O149" s="145">
        <v>0.34563091601268081</v>
      </c>
      <c r="P149" s="145">
        <v>0.34563091601268081</v>
      </c>
      <c r="Q149" s="145">
        <v>0.14765668884266284</v>
      </c>
      <c r="R149" s="145">
        <v>8.8981894091431493E-2</v>
      </c>
      <c r="S149" s="145">
        <v>0.16199521588262744</v>
      </c>
      <c r="T149" s="145">
        <v>0.53539139264587587</v>
      </c>
      <c r="U149" s="145">
        <v>0.2564769552021664</v>
      </c>
      <c r="V149" s="145">
        <v>9.8073775086132894E-2</v>
      </c>
      <c r="W149" s="145">
        <v>0.25801399706417955</v>
      </c>
      <c r="X149" s="145">
        <v>7.5691266136919191E-2</v>
      </c>
      <c r="Y149" s="145">
        <v>7.7278393421465821E-2</v>
      </c>
      <c r="Z149" s="145">
        <v>0.10253476661537471</v>
      </c>
      <c r="AA149" s="145">
        <v>0.29362688014552707</v>
      </c>
      <c r="AB149" s="145">
        <v>0.18505015085559315</v>
      </c>
      <c r="AC149" s="145">
        <v>0.1330664695902144</v>
      </c>
      <c r="AD149" s="145">
        <v>0.25801399706417955</v>
      </c>
      <c r="AE149" s="145">
        <v>0.18505015085559315</v>
      </c>
      <c r="AF149" s="145">
        <v>81.19165976703006</v>
      </c>
      <c r="AG149" s="145">
        <v>81.19165976703006</v>
      </c>
      <c r="AH149" s="145">
        <v>81.19165976703006</v>
      </c>
      <c r="AI149" s="145">
        <v>317.46136233689629</v>
      </c>
      <c r="AJ149" s="145">
        <v>317.46136233689629</v>
      </c>
      <c r="AK149" s="145">
        <v>941.05824486847962</v>
      </c>
      <c r="AL149" s="145">
        <v>2655.2014829251025</v>
      </c>
      <c r="AM149" s="145">
        <v>81.191659767030075</v>
      </c>
      <c r="AN149" s="145">
        <v>81.191659767030075</v>
      </c>
      <c r="AO149" s="145">
        <v>469.88575214081908</v>
      </c>
      <c r="AP149" s="145">
        <v>81.191659767030075</v>
      </c>
      <c r="AQ149" s="145">
        <v>81.191659767030075</v>
      </c>
      <c r="AR149" s="145">
        <v>469.88575214081908</v>
      </c>
      <c r="AS149" s="145">
        <v>691.26183202536163</v>
      </c>
      <c r="AT149" s="145">
        <v>691.26183202536163</v>
      </c>
      <c r="AU149" s="145">
        <v>295.31337768532569</v>
      </c>
      <c r="AV149" s="145">
        <v>177.963788182863</v>
      </c>
      <c r="AW149" s="145">
        <v>323.99043176525487</v>
      </c>
      <c r="AX149" s="145">
        <v>1070.7827852917517</v>
      </c>
      <c r="AY149" s="145">
        <v>512.95391040433276</v>
      </c>
      <c r="AZ149" s="145">
        <v>196.1475501722658</v>
      </c>
      <c r="BA149" s="145">
        <v>516.02799412835907</v>
      </c>
      <c r="BB149" s="145">
        <v>151.38253227383839</v>
      </c>
      <c r="BC149" s="145">
        <v>154.55678684293164</v>
      </c>
      <c r="BD149" s="145">
        <v>205.06953323074941</v>
      </c>
      <c r="BE149" s="145">
        <v>587.25376029105416</v>
      </c>
      <c r="BF149" s="145">
        <v>370.10030171118632</v>
      </c>
      <c r="BG149" s="145">
        <v>266.13293918042882</v>
      </c>
      <c r="BH149" s="145">
        <v>516.02799412835907</v>
      </c>
      <c r="BI149" s="144">
        <v>370.10030171118632</v>
      </c>
    </row>
    <row r="150" spans="1:61" s="145" customFormat="1" x14ac:dyDescent="0.35">
      <c r="A150" s="146" t="s">
        <v>1522</v>
      </c>
      <c r="B150" s="145">
        <v>7.3320161182609984E-3</v>
      </c>
      <c r="C150" s="145">
        <v>7.3320161182609984E-3</v>
      </c>
      <c r="D150" s="145">
        <v>7.3320161182609984E-3</v>
      </c>
      <c r="E150" s="145">
        <v>1.8078239834079135E-2</v>
      </c>
      <c r="F150" s="145">
        <v>1.8078239834079135E-2</v>
      </c>
      <c r="G150" s="145">
        <v>0.56965733940478969</v>
      </c>
      <c r="H150" s="145">
        <v>7.9616219055166582E-2</v>
      </c>
      <c r="I150" s="145">
        <v>7.3320161182610002E-3</v>
      </c>
      <c r="J150" s="145">
        <v>7.3320161182610002E-3</v>
      </c>
      <c r="K150" s="145">
        <v>1.6663314259707275E-2</v>
      </c>
      <c r="L150" s="145">
        <v>7.3320161182610002E-3</v>
      </c>
      <c r="M150" s="145">
        <v>7.3320161182610002E-3</v>
      </c>
      <c r="N150" s="145">
        <v>1.6663314259707275E-2</v>
      </c>
      <c r="O150" s="145">
        <v>2.1282147016009872E-2</v>
      </c>
      <c r="P150" s="145">
        <v>2.1282147016009872E-2</v>
      </c>
      <c r="Q150" s="145">
        <v>2.9655948349220567E-2</v>
      </c>
      <c r="R150" s="145">
        <v>2.2422279602263711E-2</v>
      </c>
      <c r="S150" s="145">
        <v>2.9257969041172657E-2</v>
      </c>
      <c r="T150" s="145">
        <v>9.3947461514839042E-2</v>
      </c>
      <c r="U150" s="145">
        <v>4.5301172972536038E-2</v>
      </c>
      <c r="V150" s="145">
        <v>1.7713112449567893E-2</v>
      </c>
      <c r="W150" s="145">
        <v>2.5774524317438107E-2</v>
      </c>
      <c r="X150" s="145">
        <v>1.3670605698168867E-2</v>
      </c>
      <c r="Y150" s="145">
        <v>1.3957256885382385E-2</v>
      </c>
      <c r="Z150" s="145">
        <v>1.8518812490426244E-2</v>
      </c>
      <c r="AA150" s="145">
        <v>5.3031974568794944E-2</v>
      </c>
      <c r="AB150" s="145">
        <v>3.3421922711100872E-2</v>
      </c>
      <c r="AC150" s="145">
        <v>2.403314583382183E-2</v>
      </c>
      <c r="AD150" s="145">
        <v>2.5774524317438107E-2</v>
      </c>
      <c r="AE150" s="145">
        <v>3.3421922711100872E-2</v>
      </c>
      <c r="AF150" s="145">
        <v>14.664032236521997</v>
      </c>
      <c r="AG150" s="145">
        <v>14.664032236521997</v>
      </c>
      <c r="AH150" s="145">
        <v>14.664032236521997</v>
      </c>
      <c r="AI150" s="145">
        <v>36.156479668158269</v>
      </c>
      <c r="AJ150" s="145">
        <v>36.156479668158269</v>
      </c>
      <c r="AK150" s="145">
        <v>1139.3146788095794</v>
      </c>
      <c r="AL150" s="145">
        <v>159.23243811033316</v>
      </c>
      <c r="AM150" s="145">
        <v>14.664032236522001</v>
      </c>
      <c r="AN150" s="145">
        <v>14.664032236522001</v>
      </c>
      <c r="AO150" s="145">
        <v>33.326628519414548</v>
      </c>
      <c r="AP150" s="145">
        <v>14.664032236522001</v>
      </c>
      <c r="AQ150" s="145">
        <v>14.664032236522001</v>
      </c>
      <c r="AR150" s="145">
        <v>33.326628519414548</v>
      </c>
      <c r="AS150" s="145">
        <v>42.564294032019745</v>
      </c>
      <c r="AT150" s="145">
        <v>42.564294032019745</v>
      </c>
      <c r="AU150" s="145">
        <v>59.311896698441132</v>
      </c>
      <c r="AV150" s="145">
        <v>44.844559204527421</v>
      </c>
      <c r="AW150" s="145">
        <v>58.515938082345315</v>
      </c>
      <c r="AX150" s="145">
        <v>187.8949230296781</v>
      </c>
      <c r="AY150" s="145">
        <v>90.602345945072074</v>
      </c>
      <c r="AZ150" s="145">
        <v>35.426224899135789</v>
      </c>
      <c r="BA150" s="145">
        <v>51.549048634876215</v>
      </c>
      <c r="BB150" s="145">
        <v>27.341211396337734</v>
      </c>
      <c r="BC150" s="145">
        <v>27.914513770764771</v>
      </c>
      <c r="BD150" s="145">
        <v>37.037624980852485</v>
      </c>
      <c r="BE150" s="145">
        <v>106.06394913758989</v>
      </c>
      <c r="BF150" s="145">
        <v>66.843845422201738</v>
      </c>
      <c r="BG150" s="145">
        <v>48.066291667643661</v>
      </c>
      <c r="BH150" s="145">
        <v>51.549048634876215</v>
      </c>
      <c r="BI150" s="144">
        <v>66.843845422201738</v>
      </c>
    </row>
    <row r="151" spans="1:61" s="145" customFormat="1" x14ac:dyDescent="0.35">
      <c r="A151" s="146" t="s">
        <v>1521</v>
      </c>
      <c r="B151" s="145">
        <v>3.1910118632656062E-3</v>
      </c>
      <c r="C151" s="145">
        <v>3.1910118632656062E-3</v>
      </c>
      <c r="D151" s="145">
        <v>3.1910118632656062E-3</v>
      </c>
      <c r="E151" s="145">
        <v>1.023648059153588E-2</v>
      </c>
      <c r="F151" s="145">
        <v>1.023648059153588E-2</v>
      </c>
      <c r="G151" s="145">
        <v>0.25383757977849303</v>
      </c>
      <c r="H151" s="145">
        <v>7.0471340393967227E-2</v>
      </c>
      <c r="I151" s="145">
        <v>3.1910118632656071E-3</v>
      </c>
      <c r="J151" s="145">
        <v>3.1910118632656071E-3</v>
      </c>
      <c r="K151" s="145">
        <v>1.3130452898600781E-2</v>
      </c>
      <c r="L151" s="145">
        <v>3.1910118632656071E-3</v>
      </c>
      <c r="M151" s="145">
        <v>3.1910118632656071E-3</v>
      </c>
      <c r="N151" s="145">
        <v>1.3130452898600781E-2</v>
      </c>
      <c r="O151" s="145">
        <v>1.8464030311864776E-2</v>
      </c>
      <c r="P151" s="145">
        <v>1.8464030311864776E-2</v>
      </c>
      <c r="Q151" s="145">
        <v>1.3581553835779452E-2</v>
      </c>
      <c r="R151" s="145">
        <v>1.3757444587652266E-2</v>
      </c>
      <c r="S151" s="145">
        <v>1.2733540788721482E-2</v>
      </c>
      <c r="T151" s="145">
        <v>4.7949317237244625E-2</v>
      </c>
      <c r="U151" s="145">
        <v>1.9826351017156844E-2</v>
      </c>
      <c r="V151" s="145">
        <v>7.7090326930889051E-3</v>
      </c>
      <c r="W151" s="145">
        <v>1.5875205012412883E-2</v>
      </c>
      <c r="X151" s="145">
        <v>5.949668448250729E-3</v>
      </c>
      <c r="Y151" s="145">
        <v>6.0744236757712131E-3</v>
      </c>
      <c r="Z151" s="145">
        <v>8.0596863669412169E-3</v>
      </c>
      <c r="AA151" s="145">
        <v>2.3080372063006512E-2</v>
      </c>
      <c r="AB151" s="145">
        <v>1.4545760694476507E-2</v>
      </c>
      <c r="AC151" s="145">
        <v>1.0459613321950405E-2</v>
      </c>
      <c r="AD151" s="145">
        <v>1.5875205012412883E-2</v>
      </c>
      <c r="AE151" s="145">
        <v>1.4545760694476507E-2</v>
      </c>
      <c r="AF151" s="145">
        <v>6.3820237265312123</v>
      </c>
      <c r="AG151" s="145">
        <v>6.3820237265312123</v>
      </c>
      <c r="AH151" s="145">
        <v>6.3820237265312123</v>
      </c>
      <c r="AI151" s="145">
        <v>20.47296118307176</v>
      </c>
      <c r="AJ151" s="145">
        <v>20.47296118307176</v>
      </c>
      <c r="AK151" s="145">
        <v>507.67515955698605</v>
      </c>
      <c r="AL151" s="145">
        <v>140.94268078793445</v>
      </c>
      <c r="AM151" s="145">
        <v>6.3820237265312141</v>
      </c>
      <c r="AN151" s="145">
        <v>6.3820237265312141</v>
      </c>
      <c r="AO151" s="145">
        <v>26.260905797201563</v>
      </c>
      <c r="AP151" s="145">
        <v>6.3820237265312141</v>
      </c>
      <c r="AQ151" s="145">
        <v>6.3820237265312141</v>
      </c>
      <c r="AR151" s="145">
        <v>26.260905797201563</v>
      </c>
      <c r="AS151" s="145">
        <v>36.92806062372955</v>
      </c>
      <c r="AT151" s="145">
        <v>36.92806062372955</v>
      </c>
      <c r="AU151" s="145">
        <v>27.163107671558905</v>
      </c>
      <c r="AV151" s="145">
        <v>27.514889175304532</v>
      </c>
      <c r="AW151" s="145">
        <v>25.467081577442965</v>
      </c>
      <c r="AX151" s="145">
        <v>95.898634474489256</v>
      </c>
      <c r="AY151" s="145">
        <v>39.652702034313691</v>
      </c>
      <c r="AZ151" s="145">
        <v>15.41806538617781</v>
      </c>
      <c r="BA151" s="145">
        <v>31.750410024825769</v>
      </c>
      <c r="BB151" s="145">
        <v>11.899336896501458</v>
      </c>
      <c r="BC151" s="145">
        <v>12.148847351542425</v>
      </c>
      <c r="BD151" s="145">
        <v>16.119372733882432</v>
      </c>
      <c r="BE151" s="145">
        <v>46.160744126013022</v>
      </c>
      <c r="BF151" s="145">
        <v>29.091521388953016</v>
      </c>
      <c r="BG151" s="145">
        <v>20.91922664390081</v>
      </c>
      <c r="BH151" s="145">
        <v>31.750410024825769</v>
      </c>
      <c r="BI151" s="144">
        <v>29.091521388953016</v>
      </c>
    </row>
    <row r="152" spans="1:61" s="145" customFormat="1" x14ac:dyDescent="0.35">
      <c r="A152" s="146" t="s">
        <v>1520</v>
      </c>
      <c r="B152" s="145">
        <v>0.11024586277869446</v>
      </c>
      <c r="C152" s="145">
        <v>0.11024586277869446</v>
      </c>
      <c r="D152" s="145">
        <v>0.11024586277869446</v>
      </c>
      <c r="E152" s="145">
        <v>0.22009620865683358</v>
      </c>
      <c r="F152" s="145">
        <v>0.22009620865683358</v>
      </c>
      <c r="G152" s="145">
        <v>1.6590849344911431</v>
      </c>
      <c r="H152" s="145">
        <v>0.41474331316522794</v>
      </c>
      <c r="I152" s="145">
        <v>0.11024586277869448</v>
      </c>
      <c r="J152" s="145">
        <v>0.11024586277869448</v>
      </c>
      <c r="K152" s="145">
        <v>0.120589664234071</v>
      </c>
      <c r="L152" s="145">
        <v>0.11024586277869448</v>
      </c>
      <c r="M152" s="145">
        <v>0.11024586277869448</v>
      </c>
      <c r="N152" s="145">
        <v>0.120589664234071</v>
      </c>
      <c r="O152" s="145">
        <v>0.11902480929240647</v>
      </c>
      <c r="P152" s="145">
        <v>0.11902480929240647</v>
      </c>
      <c r="Q152" s="145">
        <v>0.50516516483494878</v>
      </c>
      <c r="R152" s="145">
        <v>9.6435467889661022E-2</v>
      </c>
      <c r="S152" s="145">
        <v>0.43992948025071305</v>
      </c>
      <c r="T152" s="145">
        <v>1.5968090916933966</v>
      </c>
      <c r="U152" s="145">
        <v>0.67835590881435515</v>
      </c>
      <c r="V152" s="145">
        <v>0.26633838946903587</v>
      </c>
      <c r="W152" s="145">
        <v>0.28582034413626523</v>
      </c>
      <c r="X152" s="145">
        <v>0.20555433806921622</v>
      </c>
      <c r="Y152" s="145">
        <v>0.20986449054858455</v>
      </c>
      <c r="Z152" s="145">
        <v>0.2784530786230916</v>
      </c>
      <c r="AA152" s="145">
        <v>0.79740083721764432</v>
      </c>
      <c r="AB152" s="145">
        <v>0.50253963515318567</v>
      </c>
      <c r="AC152" s="145">
        <v>0.36136784957918139</v>
      </c>
      <c r="AD152" s="145">
        <v>0.28582034413626523</v>
      </c>
      <c r="AE152" s="145">
        <v>0.50253963515318567</v>
      </c>
      <c r="AF152" s="145">
        <v>220.49172555738892</v>
      </c>
      <c r="AG152" s="145">
        <v>220.49172555738892</v>
      </c>
      <c r="AH152" s="145">
        <v>220.49172555738892</v>
      </c>
      <c r="AI152" s="145">
        <v>440.19241731366714</v>
      </c>
      <c r="AJ152" s="145">
        <v>440.19241731366714</v>
      </c>
      <c r="AK152" s="145">
        <v>3318.1698689822861</v>
      </c>
      <c r="AL152" s="145">
        <v>829.48662633045592</v>
      </c>
      <c r="AM152" s="145">
        <v>220.49172555738897</v>
      </c>
      <c r="AN152" s="145">
        <v>220.49172555738897</v>
      </c>
      <c r="AO152" s="145">
        <v>241.17932846814199</v>
      </c>
      <c r="AP152" s="145">
        <v>220.49172555738897</v>
      </c>
      <c r="AQ152" s="145">
        <v>220.49172555738897</v>
      </c>
      <c r="AR152" s="145">
        <v>241.17932846814199</v>
      </c>
      <c r="AS152" s="145">
        <v>238.04961858481295</v>
      </c>
      <c r="AT152" s="145">
        <v>238.04961858481295</v>
      </c>
      <c r="AU152" s="145">
        <v>1010.3303296698975</v>
      </c>
      <c r="AV152" s="145">
        <v>192.87093577932205</v>
      </c>
      <c r="AW152" s="145">
        <v>879.85896050142605</v>
      </c>
      <c r="AX152" s="145">
        <v>3193.6181833867931</v>
      </c>
      <c r="AY152" s="145">
        <v>1356.7118176287104</v>
      </c>
      <c r="AZ152" s="145">
        <v>532.67677893807172</v>
      </c>
      <c r="BA152" s="145">
        <v>571.6406882725305</v>
      </c>
      <c r="BB152" s="145">
        <v>411.10867613843243</v>
      </c>
      <c r="BC152" s="145">
        <v>419.72898109716908</v>
      </c>
      <c r="BD152" s="145">
        <v>556.90615724618317</v>
      </c>
      <c r="BE152" s="145">
        <v>1594.8016744352885</v>
      </c>
      <c r="BF152" s="145">
        <v>1005.0792703063713</v>
      </c>
      <c r="BG152" s="145">
        <v>722.73569915836276</v>
      </c>
      <c r="BH152" s="145">
        <v>571.6406882725305</v>
      </c>
      <c r="BI152" s="144">
        <v>1005.0792703063713</v>
      </c>
    </row>
    <row r="153" spans="1:61" s="145" customFormat="1" x14ac:dyDescent="0.35">
      <c r="A153" s="146" t="s">
        <v>1519</v>
      </c>
      <c r="B153" s="145">
        <v>2.3635580623855232E-4</v>
      </c>
      <c r="C153" s="145">
        <v>2.3635580623855232E-4</v>
      </c>
      <c r="D153" s="145">
        <v>2.3635580623855232E-4</v>
      </c>
      <c r="E153" s="145">
        <v>1.2104237186619517E-3</v>
      </c>
      <c r="F153" s="145">
        <v>1.2104237186619517E-3</v>
      </c>
      <c r="G153" s="145">
        <v>1.6348861325159989E-3</v>
      </c>
      <c r="H153" s="145">
        <v>1.2058930559805949E-2</v>
      </c>
      <c r="I153" s="145">
        <v>2.3635580623855237E-4</v>
      </c>
      <c r="J153" s="145">
        <v>2.3635580623855237E-4</v>
      </c>
      <c r="K153" s="145">
        <v>2.0738083466310189E-3</v>
      </c>
      <c r="L153" s="145">
        <v>2.3635580623855237E-4</v>
      </c>
      <c r="M153" s="145">
        <v>2.3635580623855237E-4</v>
      </c>
      <c r="N153" s="145">
        <v>2.0738083466310189E-3</v>
      </c>
      <c r="O153" s="145">
        <v>3.1244590153698673E-3</v>
      </c>
      <c r="P153" s="145">
        <v>3.1244590153698673E-3</v>
      </c>
      <c r="Q153" s="145">
        <v>9.985702021318198E-4</v>
      </c>
      <c r="R153" s="145">
        <v>1.2588874196924401E-3</v>
      </c>
      <c r="S153" s="145">
        <v>9.4316361967697489E-4</v>
      </c>
      <c r="T153" s="145">
        <v>4.2546396552663925E-3</v>
      </c>
      <c r="U153" s="145">
        <v>1.5799840036326497E-3</v>
      </c>
      <c r="V153" s="145">
        <v>5.7100215090699104E-4</v>
      </c>
      <c r="W153" s="145">
        <v>2.0651429919953707E-3</v>
      </c>
      <c r="X153" s="145">
        <v>4.4068738794949695E-4</v>
      </c>
      <c r="Y153" s="145">
        <v>4.4992791216143214E-4</v>
      </c>
      <c r="Z153" s="145">
        <v>5.9697480013088235E-4</v>
      </c>
      <c r="AA153" s="145">
        <v>1.7095454924617424E-3</v>
      </c>
      <c r="AB153" s="145">
        <v>1.0773933609816472E-3</v>
      </c>
      <c r="AC153" s="145">
        <v>7.7473555272938074E-4</v>
      </c>
      <c r="AD153" s="145">
        <v>2.0651429919953707E-3</v>
      </c>
      <c r="AE153" s="145">
        <v>1.0773933609816472E-3</v>
      </c>
      <c r="AF153" s="145">
        <v>0.47271161247710464</v>
      </c>
      <c r="AG153" s="145">
        <v>0.47271161247710464</v>
      </c>
      <c r="AH153" s="145">
        <v>0.47271161247710464</v>
      </c>
      <c r="AI153" s="145">
        <v>2.4208474373239035</v>
      </c>
      <c r="AJ153" s="145">
        <v>2.4208474373239035</v>
      </c>
      <c r="AK153" s="145">
        <v>3.2697722650319978</v>
      </c>
      <c r="AL153" s="145">
        <v>24.117861119611899</v>
      </c>
      <c r="AM153" s="145">
        <v>0.47271161247710475</v>
      </c>
      <c r="AN153" s="145">
        <v>0.47271161247710475</v>
      </c>
      <c r="AO153" s="145">
        <v>4.1476166932620382</v>
      </c>
      <c r="AP153" s="145">
        <v>0.47271161247710475</v>
      </c>
      <c r="AQ153" s="145">
        <v>0.47271161247710475</v>
      </c>
      <c r="AR153" s="145">
        <v>4.1476166932620382</v>
      </c>
      <c r="AS153" s="145">
        <v>6.248918030739735</v>
      </c>
      <c r="AT153" s="145">
        <v>6.248918030739735</v>
      </c>
      <c r="AU153" s="145">
        <v>1.9971404042636398</v>
      </c>
      <c r="AV153" s="145">
        <v>2.51777483938488</v>
      </c>
      <c r="AW153" s="145">
        <v>1.8863272393539499</v>
      </c>
      <c r="AX153" s="145">
        <v>8.5092793105327846</v>
      </c>
      <c r="AY153" s="145">
        <v>3.1599680072652996</v>
      </c>
      <c r="AZ153" s="145">
        <v>1.142004301813982</v>
      </c>
      <c r="BA153" s="145">
        <v>4.1302859839907411</v>
      </c>
      <c r="BB153" s="145">
        <v>0.88137477589899393</v>
      </c>
      <c r="BC153" s="145">
        <v>0.89985582432286426</v>
      </c>
      <c r="BD153" s="145">
        <v>1.1939496002617647</v>
      </c>
      <c r="BE153" s="145">
        <v>3.4190909849234847</v>
      </c>
      <c r="BF153" s="145">
        <v>2.1547867219632946</v>
      </c>
      <c r="BG153" s="145">
        <v>1.5494711054587615</v>
      </c>
      <c r="BH153" s="145">
        <v>4.1302859839907411</v>
      </c>
      <c r="BI153" s="144">
        <v>2.1547867219632946</v>
      </c>
    </row>
    <row r="154" spans="1:61" s="145" customFormat="1" x14ac:dyDescent="0.35">
      <c r="A154" s="146" t="s">
        <v>1518</v>
      </c>
      <c r="B154" s="145">
        <v>5.5487241327287673E-4</v>
      </c>
      <c r="C154" s="145">
        <v>5.5487241327287673E-4</v>
      </c>
      <c r="D154" s="145">
        <v>5.5487241327287673E-4</v>
      </c>
      <c r="E154" s="145">
        <v>2.8249030671028382E-3</v>
      </c>
      <c r="F154" s="145">
        <v>2.8249030671028382E-3</v>
      </c>
      <c r="G154" s="145">
        <v>4.6219849562047482E-3</v>
      </c>
      <c r="H154" s="145">
        <v>2.8057073128364019E-2</v>
      </c>
      <c r="I154" s="145">
        <v>5.5487241327287684E-4</v>
      </c>
      <c r="J154" s="145">
        <v>5.5487241327287684E-4</v>
      </c>
      <c r="K154" s="145">
        <v>4.8240477111477246E-3</v>
      </c>
      <c r="L154" s="145">
        <v>5.5487241327287684E-4</v>
      </c>
      <c r="M154" s="145">
        <v>5.5487241327287684E-4</v>
      </c>
      <c r="N154" s="145">
        <v>4.8240477111477246E-3</v>
      </c>
      <c r="O154" s="145">
        <v>7.2701254644982364E-3</v>
      </c>
      <c r="P154" s="145">
        <v>7.2701254644982364E-3</v>
      </c>
      <c r="Q154" s="145">
        <v>1.5862920281046486E-3</v>
      </c>
      <c r="R154" s="145">
        <v>1.4172670681925697E-3</v>
      </c>
      <c r="S154" s="145">
        <v>2.2141849700664678E-3</v>
      </c>
      <c r="T154" s="145">
        <v>6.3868312709921046E-3</v>
      </c>
      <c r="U154" s="145">
        <v>3.4611091637329889E-3</v>
      </c>
      <c r="V154" s="145">
        <v>1.3404931594444849E-3</v>
      </c>
      <c r="W154" s="145">
        <v>4.8153088267482375E-3</v>
      </c>
      <c r="X154" s="145">
        <v>1.034564279769206E-3</v>
      </c>
      <c r="Y154" s="145">
        <v>1.0562574721260205E-3</v>
      </c>
      <c r="Z154" s="145">
        <v>1.4014669378479019E-3</v>
      </c>
      <c r="AA154" s="145">
        <v>4.0133544764481928E-3</v>
      </c>
      <c r="AB154" s="145">
        <v>2.5293047112567683E-3</v>
      </c>
      <c r="AC154" s="145">
        <v>1.8187807299194217E-3</v>
      </c>
      <c r="AD154" s="145">
        <v>4.8153088267482375E-3</v>
      </c>
      <c r="AE154" s="145">
        <v>2.5293047112567683E-3</v>
      </c>
      <c r="AF154" s="145">
        <v>1.1097448265457535</v>
      </c>
      <c r="AG154" s="145">
        <v>1.1097448265457535</v>
      </c>
      <c r="AH154" s="145">
        <v>1.1097448265457535</v>
      </c>
      <c r="AI154" s="145">
        <v>5.6498061342056767</v>
      </c>
      <c r="AJ154" s="145">
        <v>5.6498061342056767</v>
      </c>
      <c r="AK154" s="145">
        <v>9.2439699124094972</v>
      </c>
      <c r="AL154" s="145">
        <v>56.114146256728041</v>
      </c>
      <c r="AM154" s="145">
        <v>1.1097448265457537</v>
      </c>
      <c r="AN154" s="145">
        <v>1.1097448265457537</v>
      </c>
      <c r="AO154" s="145">
        <v>9.6480954222954498</v>
      </c>
      <c r="AP154" s="145">
        <v>1.1097448265457537</v>
      </c>
      <c r="AQ154" s="145">
        <v>1.1097448265457537</v>
      </c>
      <c r="AR154" s="145">
        <v>9.6480954222954498</v>
      </c>
      <c r="AS154" s="145">
        <v>14.540250928996473</v>
      </c>
      <c r="AT154" s="145">
        <v>14.540250928996473</v>
      </c>
      <c r="AU154" s="145">
        <v>3.1725840562092973</v>
      </c>
      <c r="AV154" s="145">
        <v>2.8345341363851393</v>
      </c>
      <c r="AW154" s="145">
        <v>4.4283699401329359</v>
      </c>
      <c r="AX154" s="145">
        <v>12.773662541984208</v>
      </c>
      <c r="AY154" s="145">
        <v>6.9222183274659779</v>
      </c>
      <c r="AZ154" s="145">
        <v>2.6809863188889698</v>
      </c>
      <c r="BA154" s="145">
        <v>9.6306176534964756</v>
      </c>
      <c r="BB154" s="145">
        <v>2.0691285595384121</v>
      </c>
      <c r="BC154" s="145">
        <v>2.112514944252041</v>
      </c>
      <c r="BD154" s="145">
        <v>2.8029338756958038</v>
      </c>
      <c r="BE154" s="145">
        <v>8.0267089528963851</v>
      </c>
      <c r="BF154" s="145">
        <v>5.0586094225135367</v>
      </c>
      <c r="BG154" s="145">
        <v>3.6375614598388433</v>
      </c>
      <c r="BH154" s="145">
        <v>9.6306176534964756</v>
      </c>
      <c r="BI154" s="144">
        <v>5.0586094225135367</v>
      </c>
    </row>
    <row r="155" spans="1:61" s="145" customFormat="1" x14ac:dyDescent="0.35">
      <c r="A155" s="146" t="s">
        <v>1531</v>
      </c>
      <c r="B155" s="145">
        <v>0.11434334971882329</v>
      </c>
      <c r="C155" s="145">
        <v>0.11434334971882329</v>
      </c>
      <c r="D155" s="145">
        <v>0.11434334971882329</v>
      </c>
      <c r="E155" s="145">
        <v>0.45450548050870343</v>
      </c>
      <c r="F155" s="145">
        <v>0.45450548050870343</v>
      </c>
      <c r="G155" s="145">
        <v>1.7091138260769976</v>
      </c>
      <c r="H155" s="145">
        <v>3.8515783575697662</v>
      </c>
      <c r="I155" s="145">
        <v>0.11434334971882332</v>
      </c>
      <c r="J155" s="145">
        <v>0.11434334971882332</v>
      </c>
      <c r="K155" s="145">
        <v>0.6782381336170783</v>
      </c>
      <c r="L155" s="145">
        <v>0.11434334971882332</v>
      </c>
      <c r="M155" s="145">
        <v>0.11434334971882332</v>
      </c>
      <c r="N155" s="145">
        <v>0.6782381336170783</v>
      </c>
      <c r="O155" s="145">
        <v>1.0023409613847813</v>
      </c>
      <c r="P155" s="145">
        <v>1.0023409613847813</v>
      </c>
      <c r="Q155" s="145">
        <v>0.26279947426923111</v>
      </c>
      <c r="R155" s="145">
        <v>0.13511998362067246</v>
      </c>
      <c r="S155" s="145">
        <v>0.45628025527728688</v>
      </c>
      <c r="T155" s="145">
        <v>0.80497326215747733</v>
      </c>
      <c r="U155" s="145">
        <v>0.70571966976861233</v>
      </c>
      <c r="V155" s="145">
        <v>0.27623733755650298</v>
      </c>
      <c r="W155" s="145">
        <v>0.74132122429725267</v>
      </c>
      <c r="X155" s="145">
        <v>0.21319413691968345</v>
      </c>
      <c r="Y155" s="145">
        <v>0.21766448401360733</v>
      </c>
      <c r="Z155" s="145">
        <v>0.2888022910501114</v>
      </c>
      <c r="AA155" s="145">
        <v>0.8270376819408416</v>
      </c>
      <c r="AB155" s="145">
        <v>0.52121742985710828</v>
      </c>
      <c r="AC155" s="145">
        <v>0.37479873947303138</v>
      </c>
      <c r="AD155" s="145">
        <v>0.74132122429725267</v>
      </c>
      <c r="AE155" s="145">
        <v>0.52121742985710828</v>
      </c>
      <c r="AF155" s="145">
        <v>228.68669943764658</v>
      </c>
      <c r="AG155" s="145">
        <v>228.68669943764658</v>
      </c>
      <c r="AH155" s="145">
        <v>228.68669943764658</v>
      </c>
      <c r="AI155" s="145">
        <v>909.01096101740688</v>
      </c>
      <c r="AJ155" s="145">
        <v>909.01096101740688</v>
      </c>
      <c r="AK155" s="145">
        <v>3418.2276521539952</v>
      </c>
      <c r="AL155" s="145">
        <v>7703.156715139532</v>
      </c>
      <c r="AM155" s="145">
        <v>228.68669943764664</v>
      </c>
      <c r="AN155" s="145">
        <v>228.68669943764664</v>
      </c>
      <c r="AO155" s="145">
        <v>1356.4762672341567</v>
      </c>
      <c r="AP155" s="145">
        <v>228.68669943764664</v>
      </c>
      <c r="AQ155" s="145">
        <v>228.68669943764664</v>
      </c>
      <c r="AR155" s="145">
        <v>1356.4762672341567</v>
      </c>
      <c r="AS155" s="145">
        <v>2004.6819227695628</v>
      </c>
      <c r="AT155" s="145">
        <v>2004.6819227695628</v>
      </c>
      <c r="AU155" s="145">
        <v>525.5989485384622</v>
      </c>
      <c r="AV155" s="145">
        <v>270.23996724134491</v>
      </c>
      <c r="AW155" s="145">
        <v>912.56051055457374</v>
      </c>
      <c r="AX155" s="145">
        <v>1609.9465243149546</v>
      </c>
      <c r="AY155" s="145">
        <v>1411.4393395372247</v>
      </c>
      <c r="AZ155" s="145">
        <v>552.47467511300601</v>
      </c>
      <c r="BA155" s="145">
        <v>1482.6424485945054</v>
      </c>
      <c r="BB155" s="145">
        <v>426.38827383936689</v>
      </c>
      <c r="BC155" s="145">
        <v>435.32896802721467</v>
      </c>
      <c r="BD155" s="145">
        <v>577.60458210022284</v>
      </c>
      <c r="BE155" s="145">
        <v>1654.0753638816832</v>
      </c>
      <c r="BF155" s="145">
        <v>1042.4348597142166</v>
      </c>
      <c r="BG155" s="145">
        <v>749.59747894606278</v>
      </c>
      <c r="BH155" s="145">
        <v>1482.6424485945054</v>
      </c>
      <c r="BI155" s="144">
        <v>1042.4348597142166</v>
      </c>
    </row>
    <row r="156" spans="1:61" s="145" customFormat="1" x14ac:dyDescent="0.35">
      <c r="A156" s="146" t="s">
        <v>1530</v>
      </c>
      <c r="B156" s="145">
        <v>9.2588525555173785E-4</v>
      </c>
      <c r="C156" s="145">
        <v>9.2588525555173785E-4</v>
      </c>
      <c r="D156" s="145">
        <v>9.2588525555173785E-4</v>
      </c>
      <c r="E156" s="145">
        <v>4.0771420087390813E-3</v>
      </c>
      <c r="F156" s="145">
        <v>4.0771420087390813E-3</v>
      </c>
      <c r="G156" s="145">
        <v>1.7480922940029192E-3</v>
      </c>
      <c r="H156" s="145">
        <v>3.71892624392402E-2</v>
      </c>
      <c r="I156" s="145">
        <v>9.2588525555173807E-4</v>
      </c>
      <c r="J156" s="145">
        <v>9.2588525555173807E-4</v>
      </c>
      <c r="K156" s="145">
        <v>6.4648046365448101E-3</v>
      </c>
      <c r="L156" s="145">
        <v>9.2588525555173807E-4</v>
      </c>
      <c r="M156" s="145">
        <v>9.2588525555173807E-4</v>
      </c>
      <c r="N156" s="145">
        <v>6.4648046365448101E-3</v>
      </c>
      <c r="O156" s="145">
        <v>9.6580154344786499E-3</v>
      </c>
      <c r="P156" s="145">
        <v>9.6580154344786499E-3</v>
      </c>
      <c r="Q156" s="145">
        <v>2.5574488019574969E-3</v>
      </c>
      <c r="R156" s="145">
        <v>5.4884721359424015E-4</v>
      </c>
      <c r="S156" s="145">
        <v>3.6946893877036441E-3</v>
      </c>
      <c r="T156" s="145">
        <v>9.1975436899774093E-3</v>
      </c>
      <c r="U156" s="145">
        <v>5.7598076529919995E-3</v>
      </c>
      <c r="V156" s="145">
        <v>2.2368076368706412E-3</v>
      </c>
      <c r="W156" s="145">
        <v>6.7831348865279393E-3</v>
      </c>
      <c r="X156" s="145">
        <v>1.7263208435769504E-3</v>
      </c>
      <c r="Y156" s="145">
        <v>1.7625190874769308E-3</v>
      </c>
      <c r="Z156" s="145">
        <v>2.3385512468403792E-3</v>
      </c>
      <c r="AA156" s="145">
        <v>6.6968651642418681E-3</v>
      </c>
      <c r="AB156" s="145">
        <v>4.220512469050264E-3</v>
      </c>
      <c r="AC156" s="145">
        <v>3.0348999529119969E-3</v>
      </c>
      <c r="AD156" s="145">
        <v>6.7831348865279393E-3</v>
      </c>
      <c r="AE156" s="145">
        <v>4.220512469050264E-3</v>
      </c>
      <c r="AF156" s="145">
        <v>1.8517705111034757</v>
      </c>
      <c r="AG156" s="145">
        <v>1.8517705111034757</v>
      </c>
      <c r="AH156" s="145">
        <v>1.8517705111034757</v>
      </c>
      <c r="AI156" s="145">
        <v>8.1542840174781617</v>
      </c>
      <c r="AJ156" s="145">
        <v>8.1542840174781617</v>
      </c>
      <c r="AK156" s="145">
        <v>3.4961845880058382</v>
      </c>
      <c r="AL156" s="145">
        <v>74.378524878480405</v>
      </c>
      <c r="AM156" s="145">
        <v>1.8517705111034761</v>
      </c>
      <c r="AN156" s="145">
        <v>1.8517705111034761</v>
      </c>
      <c r="AO156" s="145">
        <v>12.929609273089619</v>
      </c>
      <c r="AP156" s="145">
        <v>1.8517705111034761</v>
      </c>
      <c r="AQ156" s="145">
        <v>1.8517705111034761</v>
      </c>
      <c r="AR156" s="145">
        <v>12.929609273089619</v>
      </c>
      <c r="AS156" s="145">
        <v>19.316030868957299</v>
      </c>
      <c r="AT156" s="145">
        <v>19.316030868957299</v>
      </c>
      <c r="AU156" s="145">
        <v>5.1148976039149936</v>
      </c>
      <c r="AV156" s="145">
        <v>1.0976944271884803</v>
      </c>
      <c r="AW156" s="145">
        <v>7.3893787754072884</v>
      </c>
      <c r="AX156" s="145">
        <v>18.39508737995482</v>
      </c>
      <c r="AY156" s="145">
        <v>11.519615305983999</v>
      </c>
      <c r="AZ156" s="145">
        <v>4.4736152737412826</v>
      </c>
      <c r="BA156" s="145">
        <v>13.566269773055879</v>
      </c>
      <c r="BB156" s="145">
        <v>3.4526416871539007</v>
      </c>
      <c r="BC156" s="145">
        <v>3.5250381749538615</v>
      </c>
      <c r="BD156" s="145">
        <v>4.6771024936807581</v>
      </c>
      <c r="BE156" s="145">
        <v>13.393730328483736</v>
      </c>
      <c r="BF156" s="145">
        <v>8.4410249381005276</v>
      </c>
      <c r="BG156" s="145">
        <v>6.0697999058239942</v>
      </c>
      <c r="BH156" s="145">
        <v>13.566269773055879</v>
      </c>
      <c r="BI156" s="144">
        <v>8.4410249381005276</v>
      </c>
    </row>
    <row r="157" spans="1:61" s="48" customFormat="1" x14ac:dyDescent="0.35">
      <c r="A157" s="155" t="s">
        <v>1529</v>
      </c>
      <c r="B157" s="154">
        <v>59.908543360697273</v>
      </c>
      <c r="C157" s="154">
        <v>59.908543360697273</v>
      </c>
      <c r="D157" s="154">
        <v>59.908543360697273</v>
      </c>
      <c r="E157" s="154">
        <v>183.22456551280737</v>
      </c>
      <c r="F157" s="154">
        <v>183.22456551280737</v>
      </c>
      <c r="G157" s="154">
        <v>188.82247601532575</v>
      </c>
      <c r="H157" s="154">
        <v>1187.5814828592272</v>
      </c>
      <c r="I157" s="154">
        <v>59.908543360697287</v>
      </c>
      <c r="J157" s="154">
        <v>59.908543360697287</v>
      </c>
      <c r="K157" s="154">
        <v>219.78720797363485</v>
      </c>
      <c r="L157" s="154">
        <v>59.908543360697287</v>
      </c>
      <c r="M157" s="154">
        <v>59.908543360697287</v>
      </c>
      <c r="N157" s="154">
        <v>219.78720797363485</v>
      </c>
      <c r="O157" s="154">
        <v>311.85009865278852</v>
      </c>
      <c r="P157" s="154">
        <v>311.85009865278852</v>
      </c>
      <c r="Q157" s="154">
        <v>154.48393541938074</v>
      </c>
      <c r="R157" s="154">
        <v>100.34522754810114</v>
      </c>
      <c r="S157" s="154">
        <v>239.06143667408611</v>
      </c>
      <c r="T157" s="154">
        <v>410.99216986054495</v>
      </c>
      <c r="U157" s="154">
        <v>369.56966494254345</v>
      </c>
      <c r="V157" s="154">
        <v>144.73055543275748</v>
      </c>
      <c r="W157" s="154">
        <v>280.43026274507923</v>
      </c>
      <c r="X157" s="154">
        <v>111.69998279136233</v>
      </c>
      <c r="Y157" s="154">
        <v>114.04215645841224</v>
      </c>
      <c r="Z157" s="154">
        <v>151.31378098149321</v>
      </c>
      <c r="AA157" s="154">
        <v>433.31442494313296</v>
      </c>
      <c r="AB157" s="154">
        <v>273.08432955419539</v>
      </c>
      <c r="AC157" s="154">
        <v>196.37037563154792</v>
      </c>
      <c r="AD157" s="154">
        <v>280.43026274507923</v>
      </c>
      <c r="AE157" s="154">
        <v>273.08432955419539</v>
      </c>
      <c r="AF157" s="154">
        <v>119817.08672139455</v>
      </c>
      <c r="AG157" s="154">
        <v>119817.08672139455</v>
      </c>
      <c r="AH157" s="154">
        <v>119817.08672139455</v>
      </c>
      <c r="AI157" s="154">
        <v>366449.13102561474</v>
      </c>
      <c r="AJ157" s="154">
        <v>366449.13102561474</v>
      </c>
      <c r="AK157" s="154">
        <v>377644.9520306515</v>
      </c>
      <c r="AL157" s="154">
        <v>2375162.9657184542</v>
      </c>
      <c r="AM157" s="154">
        <v>119817.08672139457</v>
      </c>
      <c r="AN157" s="154">
        <v>119817.08672139457</v>
      </c>
      <c r="AO157" s="154">
        <v>439574.41594726971</v>
      </c>
      <c r="AP157" s="154">
        <v>119817.08672139457</v>
      </c>
      <c r="AQ157" s="154">
        <v>119817.08672139457</v>
      </c>
      <c r="AR157" s="154">
        <v>439574.41594726971</v>
      </c>
      <c r="AS157" s="154">
        <v>623700.19730557699</v>
      </c>
      <c r="AT157" s="154">
        <v>623700.19730557699</v>
      </c>
      <c r="AU157" s="154">
        <v>308967.8708387615</v>
      </c>
      <c r="AV157" s="154">
        <v>200690.45509620226</v>
      </c>
      <c r="AW157" s="154">
        <v>478122.87334817223</v>
      </c>
      <c r="AX157" s="154">
        <v>821984.33972108993</v>
      </c>
      <c r="AY157" s="154">
        <v>739139.32988508686</v>
      </c>
      <c r="AZ157" s="154">
        <v>289461.11086551496</v>
      </c>
      <c r="BA157" s="154">
        <v>560860.52549015847</v>
      </c>
      <c r="BB157" s="154">
        <v>223399.96558272466</v>
      </c>
      <c r="BC157" s="154">
        <v>228084.31291682448</v>
      </c>
      <c r="BD157" s="154">
        <v>302627.56196298642</v>
      </c>
      <c r="BE157" s="154">
        <v>866628.84988626593</v>
      </c>
      <c r="BF157" s="154">
        <v>546168.6591083908</v>
      </c>
      <c r="BG157" s="154">
        <v>392740.75126309582</v>
      </c>
      <c r="BH157" s="154">
        <v>560860.52549015847</v>
      </c>
      <c r="BI157" s="153">
        <v>546168.6591083908</v>
      </c>
    </row>
    <row r="158" spans="1:61" s="48" customFormat="1" x14ac:dyDescent="0.35">
      <c r="A158" s="155" t="s">
        <v>1528</v>
      </c>
      <c r="B158" s="154">
        <v>59.957121729075091</v>
      </c>
      <c r="C158" s="154">
        <v>59.957121729075091</v>
      </c>
      <c r="D158" s="154">
        <v>59.957121729075091</v>
      </c>
      <c r="E158" s="154">
        <v>183.45097102181444</v>
      </c>
      <c r="F158" s="154">
        <v>183.45097102181444</v>
      </c>
      <c r="G158" s="154">
        <v>192.79318821727927</v>
      </c>
      <c r="H158" s="154">
        <v>1189.7215898623865</v>
      </c>
      <c r="I158" s="154">
        <v>59.957121729075105</v>
      </c>
      <c r="J158" s="154">
        <v>59.957121729075105</v>
      </c>
      <c r="K158" s="154">
        <v>220.55284182652929</v>
      </c>
      <c r="L158" s="154">
        <v>59.957121729075105</v>
      </c>
      <c r="M158" s="154">
        <v>59.957121729075105</v>
      </c>
      <c r="N158" s="154">
        <v>220.55284182652929</v>
      </c>
      <c r="O158" s="154">
        <v>312.40534973832763</v>
      </c>
      <c r="P158" s="154">
        <v>312.40534973832763</v>
      </c>
      <c r="Q158" s="154">
        <v>154.61667701628346</v>
      </c>
      <c r="R158" s="154">
        <v>100.50220728008119</v>
      </c>
      <c r="S158" s="154">
        <v>239.2552857293997</v>
      </c>
      <c r="T158" s="154">
        <v>411.4876564441895</v>
      </c>
      <c r="U158" s="154">
        <v>369.872496114922</v>
      </c>
      <c r="V158" s="154">
        <v>144.84791389021501</v>
      </c>
      <c r="W158" s="154">
        <v>280.81071525299745</v>
      </c>
      <c r="X158" s="154">
        <v>111.79055756763698</v>
      </c>
      <c r="Y158" s="154">
        <v>114.13463044586481</v>
      </c>
      <c r="Z158" s="154">
        <v>151.4364776150752</v>
      </c>
      <c r="AA158" s="154">
        <v>433.66578898200765</v>
      </c>
      <c r="AB158" s="154">
        <v>273.30576693883393</v>
      </c>
      <c r="AC158" s="154">
        <v>196.52960755258607</v>
      </c>
      <c r="AD158" s="154">
        <v>280.81071525299745</v>
      </c>
      <c r="AE158" s="154">
        <v>273.30576693883393</v>
      </c>
      <c r="AF158" s="154">
        <v>119914.24345815019</v>
      </c>
      <c r="AG158" s="154">
        <v>119914.24345815019</v>
      </c>
      <c r="AH158" s="154">
        <v>119914.24345815019</v>
      </c>
      <c r="AI158" s="154">
        <v>366901.94204362889</v>
      </c>
      <c r="AJ158" s="154">
        <v>366901.94204362889</v>
      </c>
      <c r="AK158" s="154">
        <v>385586.37643455854</v>
      </c>
      <c r="AL158" s="154">
        <v>2379443.1797247729</v>
      </c>
      <c r="AM158" s="154">
        <v>119914.24345815022</v>
      </c>
      <c r="AN158" s="154">
        <v>119914.24345815022</v>
      </c>
      <c r="AO158" s="154">
        <v>441105.6836530586</v>
      </c>
      <c r="AP158" s="154">
        <v>119914.24345815022</v>
      </c>
      <c r="AQ158" s="154">
        <v>119914.24345815022</v>
      </c>
      <c r="AR158" s="154">
        <v>441105.6836530586</v>
      </c>
      <c r="AS158" s="154">
        <v>624810.69947665522</v>
      </c>
      <c r="AT158" s="154">
        <v>624810.69947665522</v>
      </c>
      <c r="AU158" s="154">
        <v>309233.35403256695</v>
      </c>
      <c r="AV158" s="154">
        <v>201004.41456016237</v>
      </c>
      <c r="AW158" s="154">
        <v>478510.57145879942</v>
      </c>
      <c r="AX158" s="154">
        <v>822975.31288837898</v>
      </c>
      <c r="AY158" s="154">
        <v>739744.99222984398</v>
      </c>
      <c r="AZ158" s="154">
        <v>289695.82778043003</v>
      </c>
      <c r="BA158" s="154">
        <v>561621.43050599494</v>
      </c>
      <c r="BB158" s="154">
        <v>223581.11513527395</v>
      </c>
      <c r="BC158" s="154">
        <v>228269.26089172962</v>
      </c>
      <c r="BD158" s="154">
        <v>302872.95523015043</v>
      </c>
      <c r="BE158" s="154">
        <v>867331.57796401531</v>
      </c>
      <c r="BF158" s="154">
        <v>546611.53387766785</v>
      </c>
      <c r="BG158" s="154">
        <v>393059.21510517213</v>
      </c>
      <c r="BH158" s="154">
        <v>561621.43050599494</v>
      </c>
      <c r="BI158" s="153">
        <v>546611.53387766785</v>
      </c>
    </row>
    <row r="159" spans="1:61" s="48" customFormat="1" x14ac:dyDescent="0.35">
      <c r="A159" s="152" t="s">
        <v>1527</v>
      </c>
      <c r="B159" s="151">
        <v>63.632781813361007</v>
      </c>
      <c r="C159" s="151">
        <v>63.632781813361007</v>
      </c>
      <c r="D159" s="151">
        <v>63.632781813361007</v>
      </c>
      <c r="E159" s="151">
        <v>198.16657806939139</v>
      </c>
      <c r="F159" s="151">
        <v>198.16657806939139</v>
      </c>
      <c r="G159" s="151">
        <v>244.52984745749998</v>
      </c>
      <c r="H159" s="151">
        <v>1315.1240951358784</v>
      </c>
      <c r="I159" s="151">
        <v>63.632781813361021</v>
      </c>
      <c r="J159" s="151">
        <v>63.632781813361021</v>
      </c>
      <c r="K159" s="151">
        <v>242.61315906372602</v>
      </c>
      <c r="L159" s="151">
        <v>63.632781813361021</v>
      </c>
      <c r="M159" s="151">
        <v>63.632781813361021</v>
      </c>
      <c r="N159" s="151">
        <v>242.61315906372602</v>
      </c>
      <c r="O159" s="151">
        <v>345.0349526700079</v>
      </c>
      <c r="P159" s="151">
        <v>345.0349526700079</v>
      </c>
      <c r="Q159" s="151">
        <v>163.17838517687915</v>
      </c>
      <c r="R159" s="151">
        <v>104.70125130030384</v>
      </c>
      <c r="S159" s="151">
        <v>253.92278607545978</v>
      </c>
      <c r="T159" s="151">
        <v>438.0742033867578</v>
      </c>
      <c r="U159" s="151">
        <v>392.57043523602329</v>
      </c>
      <c r="V159" s="151">
        <v>153.72778804068085</v>
      </c>
      <c r="W159" s="151">
        <v>304.847882726845</v>
      </c>
      <c r="X159" s="151">
        <v>118.64385669877537</v>
      </c>
      <c r="Y159" s="151">
        <v>121.13163252445442</v>
      </c>
      <c r="Z159" s="151">
        <v>160.72026242699124</v>
      </c>
      <c r="AA159" s="151">
        <v>460.25158870875703</v>
      </c>
      <c r="AB159" s="151">
        <v>290.0607256388455</v>
      </c>
      <c r="AC159" s="151">
        <v>208.57781822429871</v>
      </c>
      <c r="AD159" s="151">
        <v>304.847882726845</v>
      </c>
      <c r="AE159" s="151">
        <v>290.0607256388455</v>
      </c>
      <c r="AF159" s="151">
        <v>127265.56362672201</v>
      </c>
      <c r="AG159" s="151">
        <v>127265.56362672201</v>
      </c>
      <c r="AH159" s="151">
        <v>127265.56362672201</v>
      </c>
      <c r="AI159" s="151">
        <v>396333.1561387828</v>
      </c>
      <c r="AJ159" s="151">
        <v>396333.1561387828</v>
      </c>
      <c r="AK159" s="151">
        <v>489059.69491499994</v>
      </c>
      <c r="AL159" s="151">
        <v>2630248.1902717566</v>
      </c>
      <c r="AM159" s="151">
        <v>127265.56362672204</v>
      </c>
      <c r="AN159" s="151">
        <v>127265.56362672204</v>
      </c>
      <c r="AO159" s="151">
        <v>485226.31812745205</v>
      </c>
      <c r="AP159" s="151">
        <v>127265.56362672204</v>
      </c>
      <c r="AQ159" s="151">
        <v>127265.56362672204</v>
      </c>
      <c r="AR159" s="151">
        <v>485226.31812745205</v>
      </c>
      <c r="AS159" s="151">
        <v>690069.90534001577</v>
      </c>
      <c r="AT159" s="151">
        <v>690069.90534001577</v>
      </c>
      <c r="AU159" s="151">
        <v>326356.7703537583</v>
      </c>
      <c r="AV159" s="151">
        <v>209402.50260060767</v>
      </c>
      <c r="AW159" s="151">
        <v>507845.57215091959</v>
      </c>
      <c r="AX159" s="151">
        <v>876148.40677351563</v>
      </c>
      <c r="AY159" s="151">
        <v>785140.87047204655</v>
      </c>
      <c r="AZ159" s="151">
        <v>307455.57608136168</v>
      </c>
      <c r="BA159" s="151">
        <v>609695.76545368996</v>
      </c>
      <c r="BB159" s="151">
        <v>237287.71339755075</v>
      </c>
      <c r="BC159" s="151">
        <v>242263.26504890883</v>
      </c>
      <c r="BD159" s="151">
        <v>321440.5248539825</v>
      </c>
      <c r="BE159" s="151">
        <v>920503.17741751403</v>
      </c>
      <c r="BF159" s="151">
        <v>580121.45127769094</v>
      </c>
      <c r="BG159" s="151">
        <v>417155.63644859742</v>
      </c>
      <c r="BH159" s="151">
        <v>609695.76545368996</v>
      </c>
      <c r="BI159" s="150">
        <v>580121.45127769094</v>
      </c>
    </row>
    <row r="160" spans="1:61" s="145" customFormat="1" ht="13.15" x14ac:dyDescent="0.4">
      <c r="A160" s="149" t="s">
        <v>1562</v>
      </c>
      <c r="B160" s="401" t="s">
        <v>1872</v>
      </c>
      <c r="C160" s="401" t="s">
        <v>1872</v>
      </c>
      <c r="D160" s="401" t="s">
        <v>1872</v>
      </c>
      <c r="E160" s="401" t="s">
        <v>1872</v>
      </c>
      <c r="F160" s="401" t="s">
        <v>1872</v>
      </c>
      <c r="G160" s="401" t="s">
        <v>1872</v>
      </c>
      <c r="H160" s="401" t="s">
        <v>1872</v>
      </c>
      <c r="I160" s="401" t="s">
        <v>1872</v>
      </c>
      <c r="J160" s="401" t="s">
        <v>1872</v>
      </c>
      <c r="K160" s="401" t="s">
        <v>1872</v>
      </c>
      <c r="L160" s="401" t="s">
        <v>1872</v>
      </c>
      <c r="M160" s="401" t="s">
        <v>1872</v>
      </c>
      <c r="N160" s="401" t="s">
        <v>1872</v>
      </c>
      <c r="O160" s="401" t="s">
        <v>1872</v>
      </c>
      <c r="P160" s="401" t="s">
        <v>1872</v>
      </c>
      <c r="Q160" s="401" t="s">
        <v>1872</v>
      </c>
      <c r="R160" s="401" t="s">
        <v>1872</v>
      </c>
      <c r="S160" s="401" t="s">
        <v>1872</v>
      </c>
      <c r="T160" s="401" t="s">
        <v>1872</v>
      </c>
      <c r="U160" s="401" t="s">
        <v>1872</v>
      </c>
      <c r="V160" s="401" t="s">
        <v>1872</v>
      </c>
      <c r="W160" s="401" t="s">
        <v>1872</v>
      </c>
      <c r="X160" s="401" t="s">
        <v>1872</v>
      </c>
      <c r="Y160" s="401" t="s">
        <v>1872</v>
      </c>
      <c r="Z160" s="401" t="s">
        <v>1872</v>
      </c>
      <c r="AA160" s="401" t="s">
        <v>1872</v>
      </c>
      <c r="AB160" s="401" t="s">
        <v>1872</v>
      </c>
      <c r="AC160" s="401" t="s">
        <v>1872</v>
      </c>
      <c r="AD160" s="401" t="s">
        <v>1872</v>
      </c>
      <c r="AE160" s="401" t="s">
        <v>1872</v>
      </c>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7"/>
    </row>
    <row r="161" spans="1:61" s="145" customFormat="1" x14ac:dyDescent="0.35">
      <c r="A161" s="146" t="s">
        <v>1525</v>
      </c>
      <c r="B161" s="145">
        <v>4.6087573627066327E-4</v>
      </c>
      <c r="C161" s="145">
        <v>4.6087573627066327E-4</v>
      </c>
      <c r="D161" s="145">
        <v>4.6087573627066327E-4</v>
      </c>
      <c r="E161" s="145">
        <v>1.5131514262731363E-3</v>
      </c>
      <c r="F161" s="145">
        <v>1.5131514262731363E-3</v>
      </c>
      <c r="G161" s="145">
        <v>1.2450967339473948E-3</v>
      </c>
      <c r="H161" s="145">
        <v>1.070297149716316E-2</v>
      </c>
      <c r="I161" s="145">
        <v>4.6087573627066338E-4</v>
      </c>
      <c r="J161" s="145">
        <v>4.6087573627066338E-4</v>
      </c>
      <c r="K161" s="145">
        <v>1.9430390537085993E-3</v>
      </c>
      <c r="L161" s="145">
        <v>4.6087573627066338E-4</v>
      </c>
      <c r="M161" s="145">
        <v>4.6087573627066338E-4</v>
      </c>
      <c r="N161" s="145">
        <v>1.9430390537085993E-3</v>
      </c>
      <c r="O161" s="145">
        <v>2.801568886090755E-3</v>
      </c>
      <c r="P161" s="145">
        <v>2.801568886090755E-3</v>
      </c>
      <c r="Q161" s="145">
        <v>1.5522572885207384E-3</v>
      </c>
      <c r="R161" s="145">
        <v>4.6717726811178358E-4</v>
      </c>
      <c r="S161" s="145">
        <v>1.839096887696547E-3</v>
      </c>
      <c r="T161" s="145">
        <v>5.0662724269153019E-3</v>
      </c>
      <c r="U161" s="145">
        <v>2.8627074731435065E-3</v>
      </c>
      <c r="V161" s="145">
        <v>1.1134105013091372E-3</v>
      </c>
      <c r="W161" s="145">
        <v>2.3610891783138565E-3</v>
      </c>
      <c r="X161" s="145">
        <v>8.593066851991368E-4</v>
      </c>
      <c r="Y161" s="145">
        <v>8.7732500032952198E-4</v>
      </c>
      <c r="Z161" s="145">
        <v>1.1640551798742967E-3</v>
      </c>
      <c r="AA161" s="145">
        <v>3.3334828962538325E-3</v>
      </c>
      <c r="AB161" s="145">
        <v>2.1008346120102595E-3</v>
      </c>
      <c r="AC161" s="145">
        <v>1.5106750452275229E-3</v>
      </c>
      <c r="AD161" s="145">
        <v>2.3610891783138565E-3</v>
      </c>
      <c r="AE161" s="145">
        <v>2.1008346120102595E-3</v>
      </c>
      <c r="AF161" s="145">
        <v>0.9217514725413265</v>
      </c>
      <c r="AG161" s="145">
        <v>0.9217514725413265</v>
      </c>
      <c r="AH161" s="145">
        <v>0.9217514725413265</v>
      </c>
      <c r="AI161" s="145">
        <v>3.0263028525462725</v>
      </c>
      <c r="AJ161" s="145">
        <v>3.0263028525462725</v>
      </c>
      <c r="AK161" s="145">
        <v>2.4901934678947897</v>
      </c>
      <c r="AL161" s="145">
        <v>21.40594299432632</v>
      </c>
      <c r="AM161" s="145">
        <v>0.92175147254132672</v>
      </c>
      <c r="AN161" s="145">
        <v>0.92175147254132672</v>
      </c>
      <c r="AO161" s="145">
        <v>3.8860781074171986</v>
      </c>
      <c r="AP161" s="145">
        <v>0.92175147254132672</v>
      </c>
      <c r="AQ161" s="145">
        <v>0.92175147254132672</v>
      </c>
      <c r="AR161" s="145">
        <v>3.8860781074171986</v>
      </c>
      <c r="AS161" s="145">
        <v>5.6031377721815101</v>
      </c>
      <c r="AT161" s="145">
        <v>5.6031377721815101</v>
      </c>
      <c r="AU161" s="145">
        <v>3.1045145770414768</v>
      </c>
      <c r="AV161" s="145">
        <v>0.93435453622356712</v>
      </c>
      <c r="AW161" s="145">
        <v>3.678193775393094</v>
      </c>
      <c r="AX161" s="145">
        <v>10.132544853830604</v>
      </c>
      <c r="AY161" s="145">
        <v>5.725414946287013</v>
      </c>
      <c r="AZ161" s="145">
        <v>2.2268210026182746</v>
      </c>
      <c r="BA161" s="145">
        <v>4.7221783566277127</v>
      </c>
      <c r="BB161" s="145">
        <v>1.7186133703982736</v>
      </c>
      <c r="BC161" s="145">
        <v>1.754650000659044</v>
      </c>
      <c r="BD161" s="145">
        <v>2.3281103597485933</v>
      </c>
      <c r="BE161" s="145">
        <v>6.6669657925076651</v>
      </c>
      <c r="BF161" s="145">
        <v>4.2016692240205193</v>
      </c>
      <c r="BG161" s="145">
        <v>3.0213500904550457</v>
      </c>
      <c r="BH161" s="145">
        <v>4.7221783566277127</v>
      </c>
      <c r="BI161" s="144">
        <v>4.2016692240205193</v>
      </c>
    </row>
    <row r="162" spans="1:61" s="145" customFormat="1" x14ac:dyDescent="0.35">
      <c r="A162" s="146" t="s">
        <v>1524</v>
      </c>
      <c r="B162" s="145">
        <v>3.6069310511380069E-3</v>
      </c>
      <c r="C162" s="145">
        <v>3.6069310511380069E-3</v>
      </c>
      <c r="D162" s="145">
        <v>3.6069310511380069E-3</v>
      </c>
      <c r="E162" s="145">
        <v>9.8939772401234298E-3</v>
      </c>
      <c r="F162" s="145">
        <v>9.8939772401234298E-3</v>
      </c>
      <c r="G162" s="145">
        <v>4.8095506819444064E-3</v>
      </c>
      <c r="H162" s="145">
        <v>5.4298192604424297E-2</v>
      </c>
      <c r="I162" s="145">
        <v>3.6069310511380077E-3</v>
      </c>
      <c r="J162" s="145">
        <v>3.6069310511380077E-3</v>
      </c>
      <c r="K162" s="145">
        <v>1.037220794173852E-2</v>
      </c>
      <c r="L162" s="145">
        <v>3.6069310511380077E-3</v>
      </c>
      <c r="M162" s="145">
        <v>3.6069310511380077E-3</v>
      </c>
      <c r="N162" s="145">
        <v>1.037220794173852E-2</v>
      </c>
      <c r="O162" s="145">
        <v>1.4356586515843097E-2</v>
      </c>
      <c r="P162" s="145">
        <v>1.4356586515843097E-2</v>
      </c>
      <c r="Q162" s="145">
        <v>7.4690645549967466E-3</v>
      </c>
      <c r="R162" s="145">
        <v>1.8711398334089135E-3</v>
      </c>
      <c r="S162" s="145">
        <v>1.4393241275752955E-2</v>
      </c>
      <c r="T162" s="145">
        <v>1.4432337561848498E-2</v>
      </c>
      <c r="U162" s="145">
        <v>2.2222572604712228E-2</v>
      </c>
      <c r="V162" s="145">
        <v>8.7138345410237589E-3</v>
      </c>
      <c r="W162" s="145">
        <v>1.4647104426979567E-2</v>
      </c>
      <c r="X162" s="145">
        <v>6.7251532709784205E-3</v>
      </c>
      <c r="Y162" s="145">
        <v>6.866169200475755E-3</v>
      </c>
      <c r="Z162" s="145">
        <v>9.1101927116007779E-3</v>
      </c>
      <c r="AA162" s="145">
        <v>2.608868729829196E-2</v>
      </c>
      <c r="AB162" s="145">
        <v>1.6441667458308367E-2</v>
      </c>
      <c r="AC162" s="145">
        <v>1.182292817778203E-2</v>
      </c>
      <c r="AD162" s="145">
        <v>1.4647104426979567E-2</v>
      </c>
      <c r="AE162" s="145">
        <v>1.6441667458308367E-2</v>
      </c>
      <c r="AF162" s="145">
        <v>7.2138621022760141</v>
      </c>
      <c r="AG162" s="145">
        <v>7.2138621022760141</v>
      </c>
      <c r="AH162" s="145">
        <v>7.2138621022760141</v>
      </c>
      <c r="AI162" s="145">
        <v>19.78795448024686</v>
      </c>
      <c r="AJ162" s="145">
        <v>19.78795448024686</v>
      </c>
      <c r="AK162" s="145">
        <v>9.619101363888813</v>
      </c>
      <c r="AL162" s="145">
        <v>108.59638520884859</v>
      </c>
      <c r="AM162" s="145">
        <v>7.2138621022760159</v>
      </c>
      <c r="AN162" s="145">
        <v>7.2138621022760159</v>
      </c>
      <c r="AO162" s="145">
        <v>20.744415883477039</v>
      </c>
      <c r="AP162" s="145">
        <v>7.2138621022760159</v>
      </c>
      <c r="AQ162" s="145">
        <v>7.2138621022760159</v>
      </c>
      <c r="AR162" s="145">
        <v>20.744415883477039</v>
      </c>
      <c r="AS162" s="145">
        <v>28.713173031686193</v>
      </c>
      <c r="AT162" s="145">
        <v>28.713173031686193</v>
      </c>
      <c r="AU162" s="145">
        <v>14.938129109993493</v>
      </c>
      <c r="AV162" s="145">
        <v>3.7422796668178271</v>
      </c>
      <c r="AW162" s="145">
        <v>28.786482551505909</v>
      </c>
      <c r="AX162" s="145">
        <v>28.864675123696998</v>
      </c>
      <c r="AY162" s="145">
        <v>44.445145209424453</v>
      </c>
      <c r="AZ162" s="145">
        <v>17.427669082047519</v>
      </c>
      <c r="BA162" s="145">
        <v>29.294208853959134</v>
      </c>
      <c r="BB162" s="145">
        <v>13.450306541956841</v>
      </c>
      <c r="BC162" s="145">
        <v>13.732338400951511</v>
      </c>
      <c r="BD162" s="145">
        <v>18.220385423201556</v>
      </c>
      <c r="BE162" s="145">
        <v>52.177374596583917</v>
      </c>
      <c r="BF162" s="145">
        <v>32.883334916616732</v>
      </c>
      <c r="BG162" s="145">
        <v>23.64585635556406</v>
      </c>
      <c r="BH162" s="145">
        <v>29.294208853959134</v>
      </c>
      <c r="BI162" s="144">
        <v>32.883334916616732</v>
      </c>
    </row>
    <row r="163" spans="1:61" s="145" customFormat="1" x14ac:dyDescent="0.35">
      <c r="A163" s="146" t="s">
        <v>1523</v>
      </c>
      <c r="B163" s="145">
        <v>9.4465511161323217E-3</v>
      </c>
      <c r="C163" s="145">
        <v>9.4465511161323217E-3</v>
      </c>
      <c r="D163" s="145">
        <v>9.4465511161323217E-3</v>
      </c>
      <c r="E163" s="145">
        <v>2.148445840375755E-2</v>
      </c>
      <c r="F163" s="145">
        <v>2.148445840375755E-2</v>
      </c>
      <c r="G163" s="145">
        <v>1.6885554762176569E-2</v>
      </c>
      <c r="H163" s="145">
        <v>7.5241237033311023E-2</v>
      </c>
      <c r="I163" s="145">
        <v>9.4465511161323235E-3</v>
      </c>
      <c r="J163" s="145">
        <v>9.4465511161323235E-3</v>
      </c>
      <c r="K163" s="145">
        <v>1.6218420572646903E-2</v>
      </c>
      <c r="L163" s="145">
        <v>9.4465511161323235E-3</v>
      </c>
      <c r="M163" s="145">
        <v>9.4465511161323235E-3</v>
      </c>
      <c r="N163" s="145">
        <v>1.6218420572646903E-2</v>
      </c>
      <c r="O163" s="145">
        <v>2.0397784120362621E-2</v>
      </c>
      <c r="P163" s="145">
        <v>2.0397784120362621E-2</v>
      </c>
      <c r="Q163" s="145">
        <v>1.9161423720292645E-2</v>
      </c>
      <c r="R163" s="145">
        <v>4.9618879619910414E-3</v>
      </c>
      <c r="S163" s="145">
        <v>3.7695893686497749E-2</v>
      </c>
      <c r="T163" s="145">
        <v>2.8702238930428295E-2</v>
      </c>
      <c r="U163" s="145">
        <v>5.8158867874251133E-2</v>
      </c>
      <c r="V163" s="145">
        <v>2.2821529505902063E-2</v>
      </c>
      <c r="W163" s="145">
        <v>2.965339470214905E-2</v>
      </c>
      <c r="X163" s="145">
        <v>1.7613173980156403E-2</v>
      </c>
      <c r="Y163" s="145">
        <v>1.7982494648419577E-2</v>
      </c>
      <c r="Z163" s="145">
        <v>2.385959141104194E-2</v>
      </c>
      <c r="AA163" s="145">
        <v>6.8326262582244598E-2</v>
      </c>
      <c r="AB163" s="145">
        <v>4.3060721116461587E-2</v>
      </c>
      <c r="AC163" s="145">
        <v>3.096424461414132E-2</v>
      </c>
      <c r="AD163" s="145">
        <v>2.965339470214905E-2</v>
      </c>
      <c r="AE163" s="145">
        <v>4.3060721116461587E-2</v>
      </c>
      <c r="AF163" s="145">
        <v>18.893102232264642</v>
      </c>
      <c r="AG163" s="145">
        <v>18.893102232264642</v>
      </c>
      <c r="AH163" s="145">
        <v>18.893102232264642</v>
      </c>
      <c r="AI163" s="145">
        <v>42.9689168075151</v>
      </c>
      <c r="AJ163" s="145">
        <v>42.9689168075151</v>
      </c>
      <c r="AK163" s="145">
        <v>33.771109524353136</v>
      </c>
      <c r="AL163" s="145">
        <v>150.48247406662205</v>
      </c>
      <c r="AM163" s="145">
        <v>18.893102232264646</v>
      </c>
      <c r="AN163" s="145">
        <v>18.893102232264646</v>
      </c>
      <c r="AO163" s="145">
        <v>32.436841145293805</v>
      </c>
      <c r="AP163" s="145">
        <v>18.893102232264646</v>
      </c>
      <c r="AQ163" s="145">
        <v>18.893102232264646</v>
      </c>
      <c r="AR163" s="145">
        <v>32.436841145293805</v>
      </c>
      <c r="AS163" s="145">
        <v>40.795568240725245</v>
      </c>
      <c r="AT163" s="145">
        <v>40.795568240725245</v>
      </c>
      <c r="AU163" s="145">
        <v>38.322847440585292</v>
      </c>
      <c r="AV163" s="145">
        <v>9.9237759239820829</v>
      </c>
      <c r="AW163" s="145">
        <v>75.391787372995495</v>
      </c>
      <c r="AX163" s="145">
        <v>57.404477860856588</v>
      </c>
      <c r="AY163" s="145">
        <v>116.31773574850227</v>
      </c>
      <c r="AZ163" s="145">
        <v>45.643059011804127</v>
      </c>
      <c r="BA163" s="145">
        <v>59.306789404298101</v>
      </c>
      <c r="BB163" s="145">
        <v>35.226347960312808</v>
      </c>
      <c r="BC163" s="145">
        <v>35.96498929683915</v>
      </c>
      <c r="BD163" s="145">
        <v>47.71918282208388</v>
      </c>
      <c r="BE163" s="145">
        <v>136.65252516448919</v>
      </c>
      <c r="BF163" s="145">
        <v>86.121442232923172</v>
      </c>
      <c r="BG163" s="145">
        <v>61.928489228282636</v>
      </c>
      <c r="BH163" s="145">
        <v>59.306789404298101</v>
      </c>
      <c r="BI163" s="144">
        <v>86.121442232923172</v>
      </c>
    </row>
    <row r="164" spans="1:61" s="145" customFormat="1" x14ac:dyDescent="0.35">
      <c r="A164" s="146" t="s">
        <v>1522</v>
      </c>
      <c r="B164" s="145">
        <v>1.164176079626069E-3</v>
      </c>
      <c r="C164" s="145">
        <v>1.164176079626069E-3</v>
      </c>
      <c r="D164" s="145">
        <v>1.164176079626069E-3</v>
      </c>
      <c r="E164" s="145">
        <v>2.2057888733557057E-3</v>
      </c>
      <c r="F164" s="145">
        <v>2.2057888733557057E-3</v>
      </c>
      <c r="G164" s="145">
        <v>1.4137646112499689E-3</v>
      </c>
      <c r="H164" s="145">
        <v>2.5891678917907353E-3</v>
      </c>
      <c r="I164" s="145">
        <v>1.1641760796260692E-3</v>
      </c>
      <c r="J164" s="145">
        <v>1.1641760796260692E-3</v>
      </c>
      <c r="K164" s="145">
        <v>9.057053218413791E-4</v>
      </c>
      <c r="L164" s="145">
        <v>1.1641760796260692E-3</v>
      </c>
      <c r="M164" s="145">
        <v>1.1641760796260692E-3</v>
      </c>
      <c r="N164" s="145">
        <v>9.057053218413791E-4</v>
      </c>
      <c r="O164" s="145">
        <v>7.9695162274832519E-4</v>
      </c>
      <c r="P164" s="145">
        <v>7.9695162274832519E-4</v>
      </c>
      <c r="Q164" s="145">
        <v>2.3987256755121774E-3</v>
      </c>
      <c r="R164" s="145">
        <v>5.9047857431934346E-4</v>
      </c>
      <c r="S164" s="145">
        <v>4.6455745795948872E-3</v>
      </c>
      <c r="T164" s="145">
        <v>2.9965119147264069E-3</v>
      </c>
      <c r="U164" s="145">
        <v>7.1652380297385319E-3</v>
      </c>
      <c r="V164" s="145">
        <v>2.8124845167968046E-3</v>
      </c>
      <c r="W164" s="145">
        <v>2.7854037090973812E-3</v>
      </c>
      <c r="X164" s="145">
        <v>2.1706160885503803E-3</v>
      </c>
      <c r="Y164" s="145">
        <v>2.2161305077725711E-3</v>
      </c>
      <c r="Z164" s="145">
        <v>2.9404134110861836E-3</v>
      </c>
      <c r="AA164" s="145">
        <v>8.4204065092770407E-3</v>
      </c>
      <c r="AB164" s="145">
        <v>5.3067263257194387E-3</v>
      </c>
      <c r="AC164" s="145">
        <v>3.8159781766186683E-3</v>
      </c>
      <c r="AD164" s="145">
        <v>2.7854037090973812E-3</v>
      </c>
      <c r="AE164" s="145">
        <v>5.3067263257194387E-3</v>
      </c>
      <c r="AF164" s="145">
        <v>2.3283521592521379</v>
      </c>
      <c r="AG164" s="145">
        <v>2.3283521592521379</v>
      </c>
      <c r="AH164" s="145">
        <v>2.3283521592521379</v>
      </c>
      <c r="AI164" s="145">
        <v>4.4115777467114112</v>
      </c>
      <c r="AJ164" s="145">
        <v>4.4115777467114112</v>
      </c>
      <c r="AK164" s="145">
        <v>2.8275292224999378</v>
      </c>
      <c r="AL164" s="145">
        <v>5.1783357835814705</v>
      </c>
      <c r="AM164" s="145">
        <v>2.3283521592521383</v>
      </c>
      <c r="AN164" s="145">
        <v>2.3283521592521383</v>
      </c>
      <c r="AO164" s="145">
        <v>1.8114106436827582</v>
      </c>
      <c r="AP164" s="145">
        <v>2.3283521592521383</v>
      </c>
      <c r="AQ164" s="145">
        <v>2.3283521592521383</v>
      </c>
      <c r="AR164" s="145">
        <v>1.8114106436827582</v>
      </c>
      <c r="AS164" s="145">
        <v>1.5939032454966504</v>
      </c>
      <c r="AT164" s="145">
        <v>1.5939032454966504</v>
      </c>
      <c r="AU164" s="145">
        <v>4.797451351024355</v>
      </c>
      <c r="AV164" s="145">
        <v>1.1809571486386869</v>
      </c>
      <c r="AW164" s="145">
        <v>9.291149159189775</v>
      </c>
      <c r="AX164" s="145">
        <v>5.993023829452814</v>
      </c>
      <c r="AY164" s="145">
        <v>14.330476059477064</v>
      </c>
      <c r="AZ164" s="145">
        <v>5.6249690335936089</v>
      </c>
      <c r="BA164" s="145">
        <v>5.5708074181947627</v>
      </c>
      <c r="BB164" s="145">
        <v>4.3412321771007605</v>
      </c>
      <c r="BC164" s="145">
        <v>4.4322610155451425</v>
      </c>
      <c r="BD164" s="145">
        <v>5.8808268221723674</v>
      </c>
      <c r="BE164" s="145">
        <v>16.84081301855408</v>
      </c>
      <c r="BF164" s="145">
        <v>10.613452651438877</v>
      </c>
      <c r="BG164" s="145">
        <v>7.6319563532373369</v>
      </c>
      <c r="BH164" s="145">
        <v>5.5708074181947627</v>
      </c>
      <c r="BI164" s="144">
        <v>10.613452651438877</v>
      </c>
    </row>
    <row r="165" spans="1:61" s="145" customFormat="1" x14ac:dyDescent="0.35">
      <c r="A165" s="146" t="s">
        <v>1521</v>
      </c>
      <c r="B165" s="145">
        <v>8.569231232530254E-4</v>
      </c>
      <c r="C165" s="145">
        <v>8.569231232530254E-4</v>
      </c>
      <c r="D165" s="145">
        <v>8.569231232530254E-4</v>
      </c>
      <c r="E165" s="145">
        <v>1.6258578374598901E-3</v>
      </c>
      <c r="F165" s="145">
        <v>1.6258578374598901E-3</v>
      </c>
      <c r="G165" s="145">
        <v>1.0942012142148045E-3</v>
      </c>
      <c r="H165" s="145">
        <v>1.9395161680229869E-3</v>
      </c>
      <c r="I165" s="145">
        <v>8.5692312325302562E-4</v>
      </c>
      <c r="J165" s="145">
        <v>8.5692312325302562E-4</v>
      </c>
      <c r="K165" s="145">
        <v>6.7225711011031084E-4</v>
      </c>
      <c r="L165" s="145">
        <v>8.5692312325302562E-4</v>
      </c>
      <c r="M165" s="145">
        <v>8.5692312325302562E-4</v>
      </c>
      <c r="N165" s="145">
        <v>6.7225711011031084E-4</v>
      </c>
      <c r="O165" s="145">
        <v>5.9527181669154932E-4</v>
      </c>
      <c r="P165" s="145">
        <v>5.9527181669154932E-4</v>
      </c>
      <c r="Q165" s="145">
        <v>1.7798278631906402E-3</v>
      </c>
      <c r="R165" s="145">
        <v>4.3986645738521197E-4</v>
      </c>
      <c r="S165" s="145">
        <v>3.4195001492643359E-3</v>
      </c>
      <c r="T165" s="145">
        <v>2.2760070432086281E-3</v>
      </c>
      <c r="U165" s="145">
        <v>5.2744550532321495E-3</v>
      </c>
      <c r="V165" s="145">
        <v>2.0702048928959329E-3</v>
      </c>
      <c r="W165" s="145">
        <v>2.0546518866037243E-3</v>
      </c>
      <c r="X165" s="145">
        <v>1.5977403680904542E-3</v>
      </c>
      <c r="Y165" s="145">
        <v>1.631242480833962E-3</v>
      </c>
      <c r="Z165" s="145">
        <v>2.1643703972103428E-3</v>
      </c>
      <c r="AA165" s="145">
        <v>6.1980667454595321E-3</v>
      </c>
      <c r="AB165" s="145">
        <v>3.9061586789733622E-3</v>
      </c>
      <c r="AC165" s="145">
        <v>2.8088533982108376E-3</v>
      </c>
      <c r="AD165" s="145">
        <v>2.0546518866037243E-3</v>
      </c>
      <c r="AE165" s="145">
        <v>3.9061586789733622E-3</v>
      </c>
      <c r="AF165" s="145">
        <v>1.7138462465060509</v>
      </c>
      <c r="AG165" s="145">
        <v>1.7138462465060509</v>
      </c>
      <c r="AH165" s="145">
        <v>1.7138462465060509</v>
      </c>
      <c r="AI165" s="145">
        <v>3.2517156749197804</v>
      </c>
      <c r="AJ165" s="145">
        <v>3.2517156749197804</v>
      </c>
      <c r="AK165" s="145">
        <v>2.1884024284296091</v>
      </c>
      <c r="AL165" s="145">
        <v>3.8790323360459738</v>
      </c>
      <c r="AM165" s="145">
        <v>1.7138462465060513</v>
      </c>
      <c r="AN165" s="145">
        <v>1.7138462465060513</v>
      </c>
      <c r="AO165" s="145">
        <v>1.3445142202206217</v>
      </c>
      <c r="AP165" s="145">
        <v>1.7138462465060513</v>
      </c>
      <c r="AQ165" s="145">
        <v>1.7138462465060513</v>
      </c>
      <c r="AR165" s="145">
        <v>1.3445142202206217</v>
      </c>
      <c r="AS165" s="145">
        <v>1.1905436333830985</v>
      </c>
      <c r="AT165" s="145">
        <v>1.1905436333830985</v>
      </c>
      <c r="AU165" s="145">
        <v>3.5596557263812802</v>
      </c>
      <c r="AV165" s="145">
        <v>0.87973291477042392</v>
      </c>
      <c r="AW165" s="145">
        <v>6.8390002985286715</v>
      </c>
      <c r="AX165" s="145">
        <v>4.5520140864172562</v>
      </c>
      <c r="AY165" s="145">
        <v>10.5489101064643</v>
      </c>
      <c r="AZ165" s="145">
        <v>4.1404097857918662</v>
      </c>
      <c r="BA165" s="145">
        <v>4.1093037732074489</v>
      </c>
      <c r="BB165" s="145">
        <v>3.1954807361809086</v>
      </c>
      <c r="BC165" s="145">
        <v>3.2624849616679241</v>
      </c>
      <c r="BD165" s="145">
        <v>4.3287407944206855</v>
      </c>
      <c r="BE165" s="145">
        <v>12.396133490919064</v>
      </c>
      <c r="BF165" s="145">
        <v>7.812317357946724</v>
      </c>
      <c r="BG165" s="145">
        <v>5.6177067964216754</v>
      </c>
      <c r="BH165" s="145">
        <v>4.1093037732074489</v>
      </c>
      <c r="BI165" s="144">
        <v>7.812317357946724</v>
      </c>
    </row>
    <row r="166" spans="1:61" s="145" customFormat="1" x14ac:dyDescent="0.35">
      <c r="A166" s="146" t="s">
        <v>1520</v>
      </c>
      <c r="B166" s="145">
        <v>3.9053149511240386E-2</v>
      </c>
      <c r="C166" s="145">
        <v>3.9053149511240386E-2</v>
      </c>
      <c r="D166" s="145">
        <v>3.9053149511240386E-2</v>
      </c>
      <c r="E166" s="145">
        <v>7.373483898789894E-2</v>
      </c>
      <c r="F166" s="145">
        <v>7.373483898789894E-2</v>
      </c>
      <c r="G166" s="145">
        <v>3.776565818178234E-2</v>
      </c>
      <c r="H166" s="145">
        <v>8.2923638686763002E-2</v>
      </c>
      <c r="I166" s="145">
        <v>3.9053149511240393E-2</v>
      </c>
      <c r="J166" s="145">
        <v>3.9053149511240393E-2</v>
      </c>
      <c r="K166" s="145">
        <v>2.9718786379333548E-2</v>
      </c>
      <c r="L166" s="145">
        <v>3.9053149511240393E-2</v>
      </c>
      <c r="M166" s="145">
        <v>3.9053149511240393E-2</v>
      </c>
      <c r="N166" s="145">
        <v>2.9718786379333548E-2</v>
      </c>
      <c r="O166" s="145">
        <v>2.5724304357159271E-2</v>
      </c>
      <c r="P166" s="145">
        <v>2.5724304357159271E-2</v>
      </c>
      <c r="Q166" s="145">
        <v>7.5469247709365361E-2</v>
      </c>
      <c r="R166" s="145">
        <v>1.8072398173200298E-2</v>
      </c>
      <c r="S166" s="145">
        <v>0.15583924270356936</v>
      </c>
      <c r="T166" s="145">
        <v>7.6558308717402629E-2</v>
      </c>
      <c r="U166" s="145">
        <v>0.24023975121142616</v>
      </c>
      <c r="V166" s="145">
        <v>9.4346877808890797E-2</v>
      </c>
      <c r="W166" s="145">
        <v>9.2927175668705758E-2</v>
      </c>
      <c r="X166" s="145">
        <v>7.2814925612360595E-2</v>
      </c>
      <c r="Y166" s="145">
        <v>7.4341740541741738E-2</v>
      </c>
      <c r="Z166" s="145">
        <v>9.8638347392336914E-2</v>
      </c>
      <c r="AA166" s="145">
        <v>0.28246877779677609</v>
      </c>
      <c r="AB166" s="145">
        <v>0.17801806809166107</v>
      </c>
      <c r="AC166" s="145">
        <v>0.12800981644545228</v>
      </c>
      <c r="AD166" s="145">
        <v>9.2927175668705758E-2</v>
      </c>
      <c r="AE166" s="145">
        <v>0.17801806809166107</v>
      </c>
      <c r="AF166" s="145">
        <v>78.106299022480769</v>
      </c>
      <c r="AG166" s="145">
        <v>78.106299022480769</v>
      </c>
      <c r="AH166" s="145">
        <v>78.106299022480769</v>
      </c>
      <c r="AI166" s="145">
        <v>147.46967797579788</v>
      </c>
      <c r="AJ166" s="145">
        <v>147.46967797579788</v>
      </c>
      <c r="AK166" s="145">
        <v>75.531316363564684</v>
      </c>
      <c r="AL166" s="145">
        <v>165.847277373526</v>
      </c>
      <c r="AM166" s="145">
        <v>78.106299022480783</v>
      </c>
      <c r="AN166" s="145">
        <v>78.106299022480783</v>
      </c>
      <c r="AO166" s="145">
        <v>59.437572758667095</v>
      </c>
      <c r="AP166" s="145">
        <v>78.106299022480783</v>
      </c>
      <c r="AQ166" s="145">
        <v>78.106299022480783</v>
      </c>
      <c r="AR166" s="145">
        <v>59.437572758667095</v>
      </c>
      <c r="AS166" s="145">
        <v>51.448608714318539</v>
      </c>
      <c r="AT166" s="145">
        <v>51.448608714318539</v>
      </c>
      <c r="AU166" s="145">
        <v>150.93849541873072</v>
      </c>
      <c r="AV166" s="145">
        <v>36.144796346400597</v>
      </c>
      <c r="AW166" s="145">
        <v>311.67848540713874</v>
      </c>
      <c r="AX166" s="145">
        <v>153.11661743480525</v>
      </c>
      <c r="AY166" s="145">
        <v>480.47950242285231</v>
      </c>
      <c r="AZ166" s="145">
        <v>188.69375561778159</v>
      </c>
      <c r="BA166" s="145">
        <v>185.85435133741152</v>
      </c>
      <c r="BB166" s="145">
        <v>145.62985122472119</v>
      </c>
      <c r="BC166" s="145">
        <v>148.68348108348349</v>
      </c>
      <c r="BD166" s="145">
        <v>197.27669478467382</v>
      </c>
      <c r="BE166" s="145">
        <v>564.93755559355213</v>
      </c>
      <c r="BF166" s="145">
        <v>356.03613618332213</v>
      </c>
      <c r="BG166" s="145">
        <v>256.01963289090457</v>
      </c>
      <c r="BH166" s="145">
        <v>185.85435133741152</v>
      </c>
      <c r="BI166" s="144">
        <v>356.03613618332213</v>
      </c>
    </row>
    <row r="167" spans="1:61" s="145" customFormat="1" x14ac:dyDescent="0.35">
      <c r="A167" s="146" t="s">
        <v>1519</v>
      </c>
      <c r="B167" s="145">
        <v>5.1052335454897691E-5</v>
      </c>
      <c r="C167" s="145">
        <v>5.1052335454897691E-5</v>
      </c>
      <c r="D167" s="145">
        <v>5.1052335454897691E-5</v>
      </c>
      <c r="E167" s="145">
        <v>9.8784844167981972E-5</v>
      </c>
      <c r="F167" s="145">
        <v>9.8784844167981972E-5</v>
      </c>
      <c r="G167" s="145">
        <v>7.5192256605168396E-5</v>
      </c>
      <c r="H167" s="145">
        <v>1.4462003755676004E-4</v>
      </c>
      <c r="I167" s="145">
        <v>5.1052335454897704E-5</v>
      </c>
      <c r="J167" s="145">
        <v>5.1052335454897704E-5</v>
      </c>
      <c r="K167" s="145">
        <v>4.4827750368119639E-5</v>
      </c>
      <c r="L167" s="145">
        <v>5.1052335454897704E-5</v>
      </c>
      <c r="M167" s="145">
        <v>5.1052335454897704E-5</v>
      </c>
      <c r="N167" s="145">
        <v>4.4827750368119639E-5</v>
      </c>
      <c r="O167" s="145">
        <v>4.2931795131970533E-5</v>
      </c>
      <c r="P167" s="145">
        <v>4.2931795131970533E-5</v>
      </c>
      <c r="Q167" s="145">
        <v>1.1467358125820702E-4</v>
      </c>
      <c r="R167" s="145">
        <v>2.9072976096509496E-5</v>
      </c>
      <c r="S167" s="145">
        <v>2.0372127203850573E-4</v>
      </c>
      <c r="T167" s="145">
        <v>1.7942333973415561E-4</v>
      </c>
      <c r="U167" s="145">
        <v>3.1441063496133329E-4</v>
      </c>
      <c r="V167" s="145">
        <v>1.2333521150798352E-4</v>
      </c>
      <c r="W167" s="145">
        <v>1.2618861387886414E-4</v>
      </c>
      <c r="X167" s="145">
        <v>9.5187508690322418E-5</v>
      </c>
      <c r="Y167" s="145">
        <v>9.7183441641386379E-5</v>
      </c>
      <c r="Z167" s="145">
        <v>1.2894524674228702E-4</v>
      </c>
      <c r="AA167" s="145">
        <v>3.6925807470317769E-4</v>
      </c>
      <c r="AB167" s="145">
        <v>2.3271460158757484E-4</v>
      </c>
      <c r="AC167" s="145">
        <v>1.6734117920021095E-4</v>
      </c>
      <c r="AD167" s="145">
        <v>1.2618861387886414E-4</v>
      </c>
      <c r="AE167" s="145">
        <v>2.3271460158757484E-4</v>
      </c>
      <c r="AF167" s="145">
        <v>0.10210467090979539</v>
      </c>
      <c r="AG167" s="145">
        <v>0.10210467090979539</v>
      </c>
      <c r="AH167" s="145">
        <v>0.10210467090979539</v>
      </c>
      <c r="AI167" s="145">
        <v>0.19756968833596394</v>
      </c>
      <c r="AJ167" s="145">
        <v>0.19756968833596394</v>
      </c>
      <c r="AK167" s="145">
        <v>0.1503845132103368</v>
      </c>
      <c r="AL167" s="145">
        <v>0.28924007511352007</v>
      </c>
      <c r="AM167" s="145">
        <v>0.10210467090979541</v>
      </c>
      <c r="AN167" s="145">
        <v>0.10210467090979541</v>
      </c>
      <c r="AO167" s="145">
        <v>8.9655500736239277E-2</v>
      </c>
      <c r="AP167" s="145">
        <v>0.10210467090979541</v>
      </c>
      <c r="AQ167" s="145">
        <v>0.10210467090979541</v>
      </c>
      <c r="AR167" s="145">
        <v>8.9655500736239277E-2</v>
      </c>
      <c r="AS167" s="145">
        <v>8.5863590263941067E-2</v>
      </c>
      <c r="AT167" s="145">
        <v>8.5863590263941067E-2</v>
      </c>
      <c r="AU167" s="145">
        <v>0.22934716251641404</v>
      </c>
      <c r="AV167" s="145">
        <v>5.814595219301899E-2</v>
      </c>
      <c r="AW167" s="145">
        <v>0.40744254407701147</v>
      </c>
      <c r="AX167" s="145">
        <v>0.35884667946831122</v>
      </c>
      <c r="AY167" s="145">
        <v>0.62882126992266663</v>
      </c>
      <c r="AZ167" s="145">
        <v>0.24667042301596703</v>
      </c>
      <c r="BA167" s="145">
        <v>0.25237722775772831</v>
      </c>
      <c r="BB167" s="145">
        <v>0.19037501738064483</v>
      </c>
      <c r="BC167" s="145">
        <v>0.19436688328277277</v>
      </c>
      <c r="BD167" s="145">
        <v>0.25789049348457405</v>
      </c>
      <c r="BE167" s="145">
        <v>0.73851614940635535</v>
      </c>
      <c r="BF167" s="145">
        <v>0.46542920317514969</v>
      </c>
      <c r="BG167" s="145">
        <v>0.33468235840042193</v>
      </c>
      <c r="BH167" s="145">
        <v>0.25237722775772831</v>
      </c>
      <c r="BI167" s="144">
        <v>0.46542920317514969</v>
      </c>
    </row>
    <row r="168" spans="1:61" s="145" customFormat="1" x14ac:dyDescent="0.35">
      <c r="A168" s="143" t="s">
        <v>1518</v>
      </c>
      <c r="B168" s="142">
        <v>1.3135463992294453E-4</v>
      </c>
      <c r="C168" s="142">
        <v>1.3135463992294453E-4</v>
      </c>
      <c r="D168" s="142">
        <v>1.3135463992294453E-4</v>
      </c>
      <c r="E168" s="142">
        <v>2.5146161470357919E-4</v>
      </c>
      <c r="F168" s="142">
        <v>2.5146161470357919E-4</v>
      </c>
      <c r="G168" s="142">
        <v>3.1950601182308889E-4</v>
      </c>
      <c r="H168" s="142">
        <v>3.3117485890419635E-4</v>
      </c>
      <c r="I168" s="142">
        <v>1.3135463992294458E-4</v>
      </c>
      <c r="J168" s="142">
        <v>1.3135463992294458E-4</v>
      </c>
      <c r="K168" s="142">
        <v>1.0869156463640742E-4</v>
      </c>
      <c r="L168" s="142">
        <v>1.3135463992294458E-4</v>
      </c>
      <c r="M168" s="142">
        <v>1.3135463992294458E-4</v>
      </c>
      <c r="N168" s="142">
        <v>1.0869156463640742E-4</v>
      </c>
      <c r="O168" s="142">
        <v>9.9948451829579975E-5</v>
      </c>
      <c r="P168" s="142">
        <v>9.9948451829579975E-5</v>
      </c>
      <c r="Q168" s="142">
        <v>2.7608866261436373E-4</v>
      </c>
      <c r="R168" s="142">
        <v>7.5121223938632179E-5</v>
      </c>
      <c r="S168" s="142">
        <v>5.2416278500918147E-4</v>
      </c>
      <c r="T168" s="142">
        <v>3.6750899691119255E-4</v>
      </c>
      <c r="U168" s="142">
        <v>8.0854308124059411E-4</v>
      </c>
      <c r="V168" s="142">
        <v>3.1733420524441804E-4</v>
      </c>
      <c r="W168" s="142">
        <v>3.1935461313302481E-4</v>
      </c>
      <c r="X168" s="142">
        <v>2.4491183053174017E-4</v>
      </c>
      <c r="Y168" s="142">
        <v>2.5004724797662804E-4</v>
      </c>
      <c r="Z168" s="142">
        <v>3.3176849412838071E-4</v>
      </c>
      <c r="AA168" s="142">
        <v>9.5007918852461556E-4</v>
      </c>
      <c r="AB168" s="142">
        <v>5.9876090729194735E-4</v>
      </c>
      <c r="AC168" s="142">
        <v>4.3055895763170039E-4</v>
      </c>
      <c r="AD168" s="142">
        <v>3.1935461313302481E-4</v>
      </c>
      <c r="AE168" s="142">
        <v>5.9876090729194735E-4</v>
      </c>
      <c r="AF168" s="142">
        <v>0.26270927984588904</v>
      </c>
      <c r="AG168" s="142">
        <v>0.26270927984588904</v>
      </c>
      <c r="AH168" s="142">
        <v>0.26270927984588904</v>
      </c>
      <c r="AI168" s="142">
        <v>0.50292322940715839</v>
      </c>
      <c r="AJ168" s="142">
        <v>0.50292322940715839</v>
      </c>
      <c r="AK168" s="142">
        <v>0.63901202364617782</v>
      </c>
      <c r="AL168" s="142">
        <v>0.66234971780839269</v>
      </c>
      <c r="AM168" s="142">
        <v>0.26270927984588915</v>
      </c>
      <c r="AN168" s="142">
        <v>0.26270927984588915</v>
      </c>
      <c r="AO168" s="142">
        <v>0.21738312927281483</v>
      </c>
      <c r="AP168" s="142">
        <v>0.26270927984588915</v>
      </c>
      <c r="AQ168" s="142">
        <v>0.26270927984588915</v>
      </c>
      <c r="AR168" s="142">
        <v>0.21738312927281483</v>
      </c>
      <c r="AS168" s="142">
        <v>0.19989690365915996</v>
      </c>
      <c r="AT168" s="142">
        <v>0.19989690365915996</v>
      </c>
      <c r="AU168" s="142">
        <v>0.55217732522872742</v>
      </c>
      <c r="AV168" s="142">
        <v>0.15024244787726435</v>
      </c>
      <c r="AW168" s="142">
        <v>1.0483255700183629</v>
      </c>
      <c r="AX168" s="142">
        <v>0.73501799382238509</v>
      </c>
      <c r="AY168" s="142">
        <v>1.6170861624811883</v>
      </c>
      <c r="AZ168" s="142">
        <v>0.63466841048883604</v>
      </c>
      <c r="BA168" s="142">
        <v>0.63870922626604965</v>
      </c>
      <c r="BB168" s="142">
        <v>0.48982366106348035</v>
      </c>
      <c r="BC168" s="142">
        <v>0.50009449595325606</v>
      </c>
      <c r="BD168" s="142">
        <v>0.66353698825676144</v>
      </c>
      <c r="BE168" s="142">
        <v>1.9001583770492312</v>
      </c>
      <c r="BF168" s="142">
        <v>1.1975218145838946</v>
      </c>
      <c r="BG168" s="142">
        <v>0.86111791526340076</v>
      </c>
      <c r="BH168" s="142">
        <v>0.63870922626604965</v>
      </c>
      <c r="BI168" s="141">
        <v>1.1975218145838946</v>
      </c>
    </row>
    <row r="169" spans="1:61" s="145" customFormat="1" x14ac:dyDescent="0.35"/>
    <row r="170" spans="1:61" s="145" customFormat="1" ht="13.15" x14ac:dyDescent="0.4">
      <c r="A170" s="400" t="s">
        <v>1871</v>
      </c>
      <c r="C170" s="399"/>
      <c r="D170" s="399"/>
      <c r="E170" s="399"/>
      <c r="H170" s="399"/>
    </row>
    <row r="171" spans="1:61" s="145" customFormat="1" ht="39.4" x14ac:dyDescent="0.4">
      <c r="A171" s="237"/>
      <c r="B171" s="398" t="s">
        <v>1481</v>
      </c>
      <c r="C171" s="385" t="s">
        <v>1480</v>
      </c>
      <c r="D171" s="385" t="s">
        <v>1479</v>
      </c>
      <c r="E171" s="385" t="s">
        <v>1478</v>
      </c>
      <c r="F171" s="385" t="s">
        <v>1477</v>
      </c>
      <c r="G171" s="385" t="s">
        <v>1476</v>
      </c>
      <c r="H171" s="385" t="s">
        <v>1475</v>
      </c>
      <c r="I171" s="385" t="s">
        <v>1474</v>
      </c>
      <c r="J171" s="385" t="s">
        <v>1473</v>
      </c>
      <c r="K171" s="384" t="s">
        <v>1472</v>
      </c>
    </row>
    <row r="172" spans="1:61" s="145" customFormat="1" ht="13.15" x14ac:dyDescent="0.4">
      <c r="A172" s="397" t="s">
        <v>1870</v>
      </c>
      <c r="B172" s="290">
        <v>3053.9316231000003</v>
      </c>
      <c r="C172" s="291">
        <v>2575.5290831000002</v>
      </c>
      <c r="D172" s="291">
        <v>3246.55009565</v>
      </c>
      <c r="E172" s="291">
        <v>2677.75813565</v>
      </c>
      <c r="F172" s="291">
        <v>3422.91969565</v>
      </c>
      <c r="G172" s="291">
        <v>2768.1475556499995</v>
      </c>
      <c r="H172" s="291">
        <v>2830.1735771311996</v>
      </c>
      <c r="I172" s="291">
        <v>2294.4509171311997</v>
      </c>
      <c r="J172" s="291">
        <v>3460.6948971311999</v>
      </c>
      <c r="K172" s="289">
        <v>2766.2395971312003</v>
      </c>
    </row>
    <row r="173" spans="1:61" s="145" customFormat="1" ht="13.15" x14ac:dyDescent="0.4">
      <c r="A173" s="390" t="s">
        <v>1869</v>
      </c>
      <c r="B173" s="396"/>
      <c r="C173" s="395"/>
      <c r="D173" s="395"/>
      <c r="E173" s="395"/>
      <c r="F173" s="395"/>
      <c r="G173" s="395"/>
      <c r="H173" s="395"/>
      <c r="I173" s="395"/>
      <c r="J173" s="395"/>
      <c r="K173" s="394"/>
    </row>
    <row r="174" spans="1:61" s="186" customFormat="1" x14ac:dyDescent="0.35">
      <c r="A174" s="393" t="s">
        <v>234</v>
      </c>
      <c r="B174" s="393">
        <v>2002.3655301403146</v>
      </c>
      <c r="C174" s="186">
        <v>870.72864533693655</v>
      </c>
      <c r="D174" s="186">
        <v>2183.4422894219938</v>
      </c>
      <c r="E174" s="186">
        <v>965.07494904241844</v>
      </c>
      <c r="F174" s="186">
        <v>2281.2486615237403</v>
      </c>
      <c r="G174" s="186">
        <v>1021.697275726684</v>
      </c>
      <c r="H174" s="186">
        <v>1933.5429905895985</v>
      </c>
      <c r="I174" s="186">
        <v>576.86568549358162</v>
      </c>
      <c r="J174" s="186">
        <v>2125.4614964147831</v>
      </c>
      <c r="K174" s="190">
        <v>631.23835533063004</v>
      </c>
    </row>
    <row r="175" spans="1:61" s="186" customFormat="1" x14ac:dyDescent="0.35">
      <c r="A175" s="393" t="s">
        <v>1868</v>
      </c>
      <c r="B175" s="393">
        <v>0</v>
      </c>
      <c r="C175" s="186">
        <v>26.532858227563175</v>
      </c>
      <c r="D175" s="186">
        <v>0</v>
      </c>
      <c r="E175" s="186">
        <v>21.973984580186563</v>
      </c>
      <c r="F175" s="186">
        <v>0</v>
      </c>
      <c r="G175" s="186">
        <v>22.070149377200956</v>
      </c>
      <c r="H175" s="186">
        <v>0</v>
      </c>
      <c r="I175" s="186">
        <v>0</v>
      </c>
      <c r="J175" s="186">
        <v>114.0947666847554</v>
      </c>
      <c r="K175" s="190">
        <v>73.978153344274119</v>
      </c>
    </row>
    <row r="176" spans="1:61" s="186" customFormat="1" x14ac:dyDescent="0.35">
      <c r="A176" s="393" t="s">
        <v>1867</v>
      </c>
      <c r="B176" s="393">
        <v>314.25002125850216</v>
      </c>
      <c r="C176" s="186">
        <v>90.598600454521232</v>
      </c>
      <c r="D176" s="186">
        <v>230.33462358040046</v>
      </c>
      <c r="E176" s="186">
        <v>89.350704513528754</v>
      </c>
      <c r="F176" s="186">
        <v>245.15212105438079</v>
      </c>
      <c r="G176" s="186">
        <v>95.439026327824322</v>
      </c>
      <c r="H176" s="186">
        <v>56.436491301573255</v>
      </c>
      <c r="I176" s="186">
        <v>65.85991912533396</v>
      </c>
      <c r="J176" s="186">
        <v>59.907880087599999</v>
      </c>
      <c r="K176" s="190">
        <v>68.846430790233896</v>
      </c>
    </row>
    <row r="177" spans="1:11" s="186" customFormat="1" x14ac:dyDescent="0.35">
      <c r="A177" s="393" t="s">
        <v>289</v>
      </c>
      <c r="B177" s="393">
        <v>57.994249761343944</v>
      </c>
      <c r="C177" s="186">
        <v>173.47877748733995</v>
      </c>
      <c r="D177" s="186">
        <v>41.890811271524363</v>
      </c>
      <c r="E177" s="186">
        <v>156.52158117699307</v>
      </c>
      <c r="F177" s="186">
        <v>41.545139763203707</v>
      </c>
      <c r="G177" s="186">
        <v>133.33946515961992</v>
      </c>
      <c r="H177" s="186">
        <v>41.84138810053809</v>
      </c>
      <c r="I177" s="186">
        <v>158.30341195380964</v>
      </c>
      <c r="J177" s="186">
        <v>79.078719879691292</v>
      </c>
      <c r="K177" s="190">
        <v>175.270169980052</v>
      </c>
    </row>
    <row r="178" spans="1:11" s="186" customFormat="1" x14ac:dyDescent="0.35">
      <c r="A178" s="393" t="s">
        <v>290</v>
      </c>
      <c r="B178" s="393">
        <v>136.3009760970983</v>
      </c>
      <c r="C178" s="186">
        <v>362.46610738933322</v>
      </c>
      <c r="D178" s="186">
        <v>190.47264593421272</v>
      </c>
      <c r="E178" s="186">
        <v>379.05947842882875</v>
      </c>
      <c r="F178" s="186">
        <v>229.68913636004069</v>
      </c>
      <c r="G178" s="186">
        <v>418.92056281609683</v>
      </c>
      <c r="H178" s="186">
        <v>159.86260667571688</v>
      </c>
      <c r="I178" s="186">
        <v>364.34885453217026</v>
      </c>
      <c r="J178" s="186">
        <v>121.08924476921426</v>
      </c>
      <c r="K178" s="190">
        <v>356.87799220189919</v>
      </c>
    </row>
    <row r="179" spans="1:11" s="186" customFormat="1" x14ac:dyDescent="0.35">
      <c r="A179" s="393" t="s">
        <v>291</v>
      </c>
      <c r="B179" s="393">
        <v>57.411235669854676</v>
      </c>
      <c r="C179" s="186">
        <v>79.590642497518502</v>
      </c>
      <c r="D179" s="186">
        <v>128.17792065885953</v>
      </c>
      <c r="E179" s="186">
        <v>129.1128328639488</v>
      </c>
      <c r="F179" s="186">
        <v>155.45326673149938</v>
      </c>
      <c r="G179" s="186">
        <v>140.99617037251051</v>
      </c>
      <c r="H179" s="186">
        <v>164.00762466344014</v>
      </c>
      <c r="I179" s="186">
        <v>166.92361618305625</v>
      </c>
      <c r="J179" s="186">
        <v>115.90355017292835</v>
      </c>
      <c r="K179" s="190">
        <v>120.23755721681087</v>
      </c>
    </row>
    <row r="180" spans="1:11" s="186" customFormat="1" x14ac:dyDescent="0.35">
      <c r="A180" s="393" t="s">
        <v>1427</v>
      </c>
      <c r="B180" s="393">
        <v>0.56368450790676206</v>
      </c>
      <c r="C180" s="186">
        <v>9.7859827798183154</v>
      </c>
      <c r="D180" s="186">
        <v>0.54472253945473836</v>
      </c>
      <c r="E180" s="186">
        <v>9.384333614045957</v>
      </c>
      <c r="F180" s="186">
        <v>0.52291881272638108</v>
      </c>
      <c r="G180" s="186">
        <v>8.9253129589571607</v>
      </c>
      <c r="H180" s="186">
        <v>0.53768337533953336</v>
      </c>
      <c r="I180" s="186">
        <v>8.8745583365929441</v>
      </c>
      <c r="J180" s="186">
        <v>0.65531171826066659</v>
      </c>
      <c r="K180" s="190">
        <v>11.772291350051104</v>
      </c>
    </row>
    <row r="181" spans="1:11" s="186" customFormat="1" x14ac:dyDescent="0.35">
      <c r="A181" s="393" t="s">
        <v>242</v>
      </c>
      <c r="B181" s="393">
        <v>91.598732534848821</v>
      </c>
      <c r="C181" s="186">
        <v>83.724519338445575</v>
      </c>
      <c r="D181" s="186">
        <v>88.517412661394985</v>
      </c>
      <c r="E181" s="186">
        <v>78.202780117049642</v>
      </c>
      <c r="F181" s="186">
        <v>84.974307068036921</v>
      </c>
      <c r="G181" s="186">
        <v>72.39420511154141</v>
      </c>
      <c r="H181" s="186">
        <v>87.373548492674175</v>
      </c>
      <c r="I181" s="186">
        <v>70.996466692743553</v>
      </c>
      <c r="J181" s="186">
        <v>106.48815421735831</v>
      </c>
      <c r="K181" s="190">
        <v>94.17833080040883</v>
      </c>
    </row>
    <row r="182" spans="1:11" s="186" customFormat="1" x14ac:dyDescent="0.35">
      <c r="A182" s="393" t="s">
        <v>1490</v>
      </c>
      <c r="B182" s="393">
        <v>346.38590785192702</v>
      </c>
      <c r="C182" s="186">
        <v>364.7234903970247</v>
      </c>
      <c r="D182" s="186">
        <v>336.44413027786391</v>
      </c>
      <c r="E182" s="186">
        <v>334.14592897161083</v>
      </c>
      <c r="F182" s="186">
        <v>335.60267869741955</v>
      </c>
      <c r="G182" s="186">
        <v>340.79145325177296</v>
      </c>
      <c r="H182" s="186">
        <v>338.11108200260446</v>
      </c>
      <c r="I182" s="186">
        <v>353.04895385652327</v>
      </c>
      <c r="J182" s="186">
        <v>413.59614049673684</v>
      </c>
      <c r="K182" s="190">
        <v>379.44058519056546</v>
      </c>
    </row>
    <row r="183" spans="1:11" s="186" customFormat="1" x14ac:dyDescent="0.35">
      <c r="A183" s="393" t="s">
        <v>239</v>
      </c>
      <c r="B183" s="393">
        <v>226.87718104790926</v>
      </c>
      <c r="C183" s="186">
        <v>234.90802360559468</v>
      </c>
      <c r="D183" s="186">
        <v>220.13211610755923</v>
      </c>
      <c r="E183" s="186">
        <v>226.45951037075139</v>
      </c>
      <c r="F183" s="186">
        <v>223.56082318223889</v>
      </c>
      <c r="G183" s="186">
        <v>227.56047212043978</v>
      </c>
      <c r="H183" s="186">
        <v>208.96779831742191</v>
      </c>
      <c r="I183" s="186">
        <v>219.38714135210392</v>
      </c>
      <c r="J183" s="186">
        <v>229.56513827444022</v>
      </c>
      <c r="K183" s="190">
        <v>234.85530683445393</v>
      </c>
    </row>
    <row r="184" spans="1:11" s="186" customFormat="1" x14ac:dyDescent="0.35">
      <c r="A184" s="393" t="s">
        <v>1384</v>
      </c>
      <c r="B184" s="393">
        <v>0</v>
      </c>
      <c r="C184" s="186">
        <v>414.27327101230873</v>
      </c>
      <c r="D184" s="186">
        <v>0</v>
      </c>
      <c r="E184" s="186">
        <v>413.95338275291618</v>
      </c>
      <c r="F184" s="186">
        <v>0</v>
      </c>
      <c r="G184" s="186">
        <v>408.58099323226105</v>
      </c>
      <c r="H184" s="186">
        <v>0</v>
      </c>
      <c r="I184" s="186">
        <v>420.06242793206599</v>
      </c>
      <c r="J184" s="186">
        <v>0</v>
      </c>
      <c r="K184" s="190">
        <v>553.29769345240197</v>
      </c>
    </row>
    <row r="185" spans="1:11" s="186" customFormat="1" x14ac:dyDescent="0.35">
      <c r="A185" s="393" t="s">
        <v>1368</v>
      </c>
      <c r="B185" s="393">
        <v>0</v>
      </c>
      <c r="C185" s="186">
        <v>46.20499175081401</v>
      </c>
      <c r="D185" s="186">
        <v>0</v>
      </c>
      <c r="E185" s="186">
        <v>51.171957972271493</v>
      </c>
      <c r="F185" s="186">
        <v>0</v>
      </c>
      <c r="G185" s="186">
        <v>56.691661939711992</v>
      </c>
      <c r="H185" s="186">
        <v>0</v>
      </c>
      <c r="I185" s="186">
        <v>59.417100950029557</v>
      </c>
      <c r="J185" s="186">
        <v>20.865454364269159</v>
      </c>
      <c r="K185" s="190">
        <v>75.495267958868368</v>
      </c>
    </row>
    <row r="186" spans="1:11" s="186" customFormat="1" x14ac:dyDescent="0.35">
      <c r="A186" s="393" t="s">
        <v>237</v>
      </c>
      <c r="B186" s="393">
        <v>0</v>
      </c>
      <c r="C186" s="186">
        <v>0</v>
      </c>
      <c r="D186" s="186">
        <v>0</v>
      </c>
      <c r="E186" s="186">
        <v>0</v>
      </c>
      <c r="F186" s="186">
        <v>0</v>
      </c>
      <c r="G186" s="186">
        <v>0</v>
      </c>
      <c r="H186" s="186">
        <v>0</v>
      </c>
      <c r="I186" s="186">
        <v>0</v>
      </c>
      <c r="J186" s="186">
        <v>5.4819171167786694E-3</v>
      </c>
      <c r="K186" s="190">
        <v>3.5471228402685511E-3</v>
      </c>
    </row>
    <row r="187" spans="1:11" s="186" customFormat="1" x14ac:dyDescent="0.35">
      <c r="A187" s="393" t="s">
        <v>1866</v>
      </c>
      <c r="B187" s="393">
        <v>0</v>
      </c>
      <c r="C187" s="186">
        <v>0</v>
      </c>
      <c r="D187" s="186">
        <v>0</v>
      </c>
      <c r="E187" s="186">
        <v>0</v>
      </c>
      <c r="F187" s="186">
        <v>0</v>
      </c>
      <c r="G187" s="186">
        <v>0</v>
      </c>
      <c r="H187" s="186">
        <v>0</v>
      </c>
      <c r="I187" s="186">
        <v>0</v>
      </c>
      <c r="J187" s="186">
        <v>1.7765908229799692</v>
      </c>
      <c r="K187" s="190">
        <v>1.1495587678105683</v>
      </c>
    </row>
    <row r="188" spans="1:11" s="186" customFormat="1" x14ac:dyDescent="0.35">
      <c r="A188" s="393" t="s">
        <v>1488</v>
      </c>
      <c r="B188" s="393">
        <v>0</v>
      </c>
      <c r="C188" s="186">
        <v>0</v>
      </c>
      <c r="D188" s="186">
        <v>0</v>
      </c>
      <c r="E188" s="186">
        <v>0</v>
      </c>
      <c r="F188" s="186">
        <v>0</v>
      </c>
      <c r="G188" s="186">
        <v>0</v>
      </c>
      <c r="H188" s="186">
        <v>0</v>
      </c>
      <c r="I188" s="186">
        <v>0</v>
      </c>
      <c r="J188" s="186">
        <v>6.1338801820645035</v>
      </c>
      <c r="K188" s="190">
        <v>3.9689812942770319</v>
      </c>
    </row>
    <row r="189" spans="1:11" s="186" customFormat="1" x14ac:dyDescent="0.35">
      <c r="A189" s="393" t="s">
        <v>1865</v>
      </c>
      <c r="B189" s="393">
        <v>0</v>
      </c>
      <c r="C189" s="186">
        <v>0</v>
      </c>
      <c r="D189" s="186">
        <v>0</v>
      </c>
      <c r="E189" s="186">
        <v>0</v>
      </c>
      <c r="F189" s="186">
        <v>0</v>
      </c>
      <c r="G189" s="186">
        <v>0</v>
      </c>
      <c r="H189" s="186">
        <v>0</v>
      </c>
      <c r="I189" s="186">
        <v>0</v>
      </c>
      <c r="J189" s="186">
        <v>7.3520520964636802</v>
      </c>
      <c r="K189" s="190">
        <v>4.7572101800647344</v>
      </c>
    </row>
    <row r="190" spans="1:11" s="186" customFormat="1" x14ac:dyDescent="0.35">
      <c r="A190" s="393" t="s">
        <v>1864</v>
      </c>
      <c r="B190" s="393">
        <v>0</v>
      </c>
      <c r="C190" s="186">
        <v>0</v>
      </c>
      <c r="D190" s="186">
        <v>0</v>
      </c>
      <c r="E190" s="186">
        <v>0</v>
      </c>
      <c r="F190" s="186">
        <v>0</v>
      </c>
      <c r="G190" s="186">
        <v>0</v>
      </c>
      <c r="H190" s="186">
        <v>0</v>
      </c>
      <c r="I190" s="186">
        <v>0</v>
      </c>
      <c r="J190" s="186">
        <v>0</v>
      </c>
      <c r="K190" s="190">
        <v>0</v>
      </c>
    </row>
    <row r="191" spans="1:11" s="186" customFormat="1" x14ac:dyDescent="0.35">
      <c r="A191" s="393" t="s">
        <v>1486</v>
      </c>
      <c r="B191" s="393">
        <v>1.5087962516712199E-2</v>
      </c>
      <c r="C191" s="186">
        <v>2.211071518963598E-2</v>
      </c>
      <c r="D191" s="186">
        <v>1.4620974517786435E-2</v>
      </c>
      <c r="E191" s="186">
        <v>1.3733740362616603E-2</v>
      </c>
      <c r="F191" s="186">
        <v>1.634587173363317E-2</v>
      </c>
      <c r="G191" s="186">
        <v>1.4713432918133972E-2</v>
      </c>
      <c r="H191" s="186">
        <v>0</v>
      </c>
      <c r="I191" s="186">
        <v>0</v>
      </c>
      <c r="J191" s="186">
        <v>5.0640173596113919E-2</v>
      </c>
      <c r="K191" s="190">
        <v>3.2767171150426655E-2</v>
      </c>
    </row>
    <row r="192" spans="1:11" s="186" customFormat="1" x14ac:dyDescent="0.35">
      <c r="A192" s="392" t="s">
        <v>292</v>
      </c>
      <c r="B192" s="392">
        <v>60.169016267778147</v>
      </c>
      <c r="C192" s="188">
        <v>58.491062107592413</v>
      </c>
      <c r="D192" s="188">
        <v>66.578802222219053</v>
      </c>
      <c r="E192" s="188">
        <v>63.332977505087428</v>
      </c>
      <c r="F192" s="188">
        <v>65.154296584979974</v>
      </c>
      <c r="G192" s="188">
        <v>60.726093822460172</v>
      </c>
      <c r="H192" s="188">
        <v>79.492363612292777</v>
      </c>
      <c r="I192" s="188">
        <v>70.36278072318882</v>
      </c>
      <c r="J192" s="188">
        <v>97.928407521565816</v>
      </c>
      <c r="K192" s="187">
        <v>89.693843934525688</v>
      </c>
    </row>
    <row r="193" spans="1:11" s="145" customFormat="1" ht="13.15" x14ac:dyDescent="0.4">
      <c r="A193" s="388" t="s">
        <v>320</v>
      </c>
      <c r="B193" s="232"/>
      <c r="K193" s="144"/>
    </row>
    <row r="194" spans="1:11" s="145" customFormat="1" x14ac:dyDescent="0.35">
      <c r="A194" s="232" t="s">
        <v>1537</v>
      </c>
      <c r="B194" s="232">
        <v>10.075496653670465</v>
      </c>
      <c r="C194" s="145">
        <v>8.8112749863625996</v>
      </c>
      <c r="D194" s="145">
        <v>9.4803958091558727</v>
      </c>
      <c r="E194" s="145">
        <v>8.9736187478552658</v>
      </c>
      <c r="F194" s="145">
        <v>10.097776942930132</v>
      </c>
      <c r="G194" s="145">
        <v>9.3218229100863024</v>
      </c>
      <c r="H194" s="145">
        <v>6.5560768192429899</v>
      </c>
      <c r="I194" s="145">
        <v>8.1147410957541588</v>
      </c>
      <c r="J194" s="145">
        <v>7.4061521133410011</v>
      </c>
      <c r="K194" s="144">
        <v>9.073509548893643</v>
      </c>
    </row>
    <row r="195" spans="1:11" s="145" customFormat="1" x14ac:dyDescent="0.35">
      <c r="A195" s="232" t="s">
        <v>1536</v>
      </c>
      <c r="B195" s="232">
        <v>9.3243594376380603</v>
      </c>
      <c r="C195" s="145">
        <v>7.9789891196393015</v>
      </c>
      <c r="D195" s="145">
        <v>8.6869166112779119</v>
      </c>
      <c r="E195" s="145">
        <v>8.1207757507810765</v>
      </c>
      <c r="F195" s="145">
        <v>9.2666932516965304</v>
      </c>
      <c r="G195" s="145">
        <v>8.4502860090048699</v>
      </c>
      <c r="H195" s="145">
        <v>5.8447974420251425</v>
      </c>
      <c r="I195" s="145">
        <v>7.334842063382486</v>
      </c>
      <c r="J195" s="145">
        <v>6.5888264185831709</v>
      </c>
      <c r="K195" s="144">
        <v>8.1578278848681585</v>
      </c>
    </row>
    <row r="196" spans="1:11" s="145" customFormat="1" x14ac:dyDescent="0.35">
      <c r="A196" s="232" t="s">
        <v>1535</v>
      </c>
      <c r="B196" s="232">
        <v>5.0679865771965744</v>
      </c>
      <c r="C196" s="145">
        <v>2.9772827815671832</v>
      </c>
      <c r="D196" s="145">
        <v>4.3122524782167622</v>
      </c>
      <c r="E196" s="145">
        <v>3.0116702888855715</v>
      </c>
      <c r="F196" s="145">
        <v>4.5527712200035824</v>
      </c>
      <c r="G196" s="145">
        <v>3.116058837635777</v>
      </c>
      <c r="H196" s="145">
        <v>2.3378682515488207</v>
      </c>
      <c r="I196" s="145">
        <v>2.5923815264960632</v>
      </c>
      <c r="J196" s="145">
        <v>2.6386688020936484</v>
      </c>
      <c r="K196" s="144">
        <v>2.9619279680426556</v>
      </c>
    </row>
    <row r="197" spans="1:11" s="145" customFormat="1" x14ac:dyDescent="0.35">
      <c r="A197" s="232" t="s">
        <v>1534</v>
      </c>
      <c r="B197" s="232">
        <v>4.1050710976950802</v>
      </c>
      <c r="C197" s="145">
        <v>4.7689403507595154</v>
      </c>
      <c r="D197" s="145">
        <v>4.2009919372088316</v>
      </c>
      <c r="E197" s="145">
        <v>4.8433304345611479</v>
      </c>
      <c r="F197" s="145">
        <v>4.5225537301700003</v>
      </c>
      <c r="G197" s="145">
        <v>5.0494526925995649</v>
      </c>
      <c r="H197" s="145">
        <v>3.351577755008238</v>
      </c>
      <c r="I197" s="145">
        <v>4.4541085797614741</v>
      </c>
      <c r="J197" s="145">
        <v>3.7606790606217468</v>
      </c>
      <c r="K197" s="144">
        <v>4.880043158836977</v>
      </c>
    </row>
    <row r="198" spans="1:11" s="145" customFormat="1" x14ac:dyDescent="0.35">
      <c r="A198" s="232" t="s">
        <v>1533</v>
      </c>
      <c r="B198" s="232">
        <v>0.15130176274640469</v>
      </c>
      <c r="C198" s="145">
        <v>0.23276598731260156</v>
      </c>
      <c r="D198" s="145">
        <v>0.17367219585231938</v>
      </c>
      <c r="E198" s="145">
        <v>0.26577502733435487</v>
      </c>
      <c r="F198" s="145">
        <v>0.19136830152294948</v>
      </c>
      <c r="G198" s="145">
        <v>0.28477447876952888</v>
      </c>
      <c r="H198" s="145">
        <v>0.15535143546808489</v>
      </c>
      <c r="I198" s="145">
        <v>0.28835195712494854</v>
      </c>
      <c r="J198" s="145">
        <v>0.18947855586777462</v>
      </c>
      <c r="K198" s="144">
        <v>0.31585675798852619</v>
      </c>
    </row>
    <row r="199" spans="1:11" s="145" customFormat="1" x14ac:dyDescent="0.35">
      <c r="A199" s="391" t="s">
        <v>1532</v>
      </c>
      <c r="B199" s="290">
        <v>488.53982615156474</v>
      </c>
      <c r="C199" s="291">
        <v>523.18141254080388</v>
      </c>
      <c r="D199" s="291">
        <v>503.78876497553023</v>
      </c>
      <c r="E199" s="291">
        <v>527.77910705218846</v>
      </c>
      <c r="F199" s="291">
        <v>520.47585437122916</v>
      </c>
      <c r="G199" s="291">
        <v>531.16573415945038</v>
      </c>
      <c r="H199" s="291">
        <v>454.20841685134411</v>
      </c>
      <c r="I199" s="291">
        <v>483.26808355663024</v>
      </c>
      <c r="J199" s="291">
        <v>529.32803325363091</v>
      </c>
      <c r="K199" s="289">
        <v>576.05213419697907</v>
      </c>
    </row>
    <row r="200" spans="1:11" s="145" customFormat="1" ht="13.15" x14ac:dyDescent="0.4">
      <c r="A200" s="390" t="s">
        <v>1564</v>
      </c>
      <c r="B200" s="387"/>
      <c r="C200" s="382"/>
      <c r="D200" s="382"/>
      <c r="E200" s="382"/>
      <c r="F200" s="382"/>
      <c r="G200" s="382"/>
      <c r="H200" s="382"/>
      <c r="I200" s="382"/>
      <c r="J200" s="382"/>
      <c r="K200" s="381"/>
    </row>
    <row r="201" spans="1:11" s="145" customFormat="1" x14ac:dyDescent="0.35">
      <c r="A201" s="232" t="s">
        <v>1525</v>
      </c>
      <c r="B201" s="232">
        <v>367.48095437339225</v>
      </c>
      <c r="C201" s="145">
        <v>176.90819835341486</v>
      </c>
      <c r="D201" s="145">
        <v>287.99681424610714</v>
      </c>
      <c r="E201" s="145">
        <v>175.26329260722824</v>
      </c>
      <c r="F201" s="145">
        <v>306.51371314052216</v>
      </c>
      <c r="G201" s="145">
        <v>181.35296520101235</v>
      </c>
      <c r="H201" s="145">
        <v>111.3246353832599</v>
      </c>
      <c r="I201" s="145">
        <v>147.37082635886605</v>
      </c>
      <c r="J201" s="145">
        <v>125.59207115434268</v>
      </c>
      <c r="K201" s="144">
        <v>159.72777923130508</v>
      </c>
    </row>
    <row r="202" spans="1:11" s="145" customFormat="1" x14ac:dyDescent="0.35">
      <c r="A202" s="232" t="s">
        <v>1524</v>
      </c>
      <c r="B202" s="232">
        <v>300.26620187607773</v>
      </c>
      <c r="C202" s="145">
        <v>286.69476260069519</v>
      </c>
      <c r="D202" s="145">
        <v>287.07568581925773</v>
      </c>
      <c r="E202" s="145">
        <v>291.36649248491051</v>
      </c>
      <c r="F202" s="145">
        <v>307.52869532885785</v>
      </c>
      <c r="G202" s="145">
        <v>303.5388776673924</v>
      </c>
      <c r="H202" s="145">
        <v>202.89827617986461</v>
      </c>
      <c r="I202" s="145">
        <v>266.00340987743436</v>
      </c>
      <c r="J202" s="145">
        <v>228.57702333668391</v>
      </c>
      <c r="K202" s="144">
        <v>292.7532950849893</v>
      </c>
    </row>
    <row r="203" spans="1:11" s="145" customFormat="1" x14ac:dyDescent="0.35">
      <c r="A203" s="232" t="s">
        <v>1563</v>
      </c>
      <c r="B203" s="232">
        <v>499.92803519542889</v>
      </c>
      <c r="C203" s="145">
        <v>489.60313295872436</v>
      </c>
      <c r="D203" s="145">
        <v>485.47562383054401</v>
      </c>
      <c r="E203" s="145">
        <v>501.28310875073913</v>
      </c>
      <c r="F203" s="145">
        <v>519.33893212879821</v>
      </c>
      <c r="G203" s="145">
        <v>522.20223555263794</v>
      </c>
      <c r="H203" s="145">
        <v>355.33395552899287</v>
      </c>
      <c r="I203" s="145">
        <v>461.64914488963149</v>
      </c>
      <c r="J203" s="145">
        <v>402.32083531404777</v>
      </c>
      <c r="K203" s="144">
        <v>511.97763800518737</v>
      </c>
    </row>
    <row r="204" spans="1:11" s="145" customFormat="1" x14ac:dyDescent="0.35">
      <c r="A204" s="232" t="s">
        <v>1522</v>
      </c>
      <c r="B204" s="232">
        <v>195.33143730526049</v>
      </c>
      <c r="C204" s="145">
        <v>97.381834883966661</v>
      </c>
      <c r="D204" s="145">
        <v>158.1354431784996</v>
      </c>
      <c r="E204" s="145">
        <v>98.825890308491267</v>
      </c>
      <c r="F204" s="145">
        <v>168.11844783789206</v>
      </c>
      <c r="G204" s="145">
        <v>103.63195225886993</v>
      </c>
      <c r="H204" s="145">
        <v>69.428294484110836</v>
      </c>
      <c r="I204" s="145">
        <v>84.563329819427267</v>
      </c>
      <c r="J204" s="145">
        <v>77.615827615333586</v>
      </c>
      <c r="K204" s="144">
        <v>93.410374871486681</v>
      </c>
    </row>
    <row r="205" spans="1:11" s="145" customFormat="1" x14ac:dyDescent="0.35">
      <c r="A205" s="232" t="s">
        <v>1521</v>
      </c>
      <c r="B205" s="232">
        <v>92.631850655055501</v>
      </c>
      <c r="C205" s="145">
        <v>50.057512627608119</v>
      </c>
      <c r="D205" s="145">
        <v>76.101822187932214</v>
      </c>
      <c r="E205" s="145">
        <v>50.780557343467194</v>
      </c>
      <c r="F205" s="145">
        <v>81.03888663241635</v>
      </c>
      <c r="G205" s="145">
        <v>53.251663910535541</v>
      </c>
      <c r="H205" s="145">
        <v>35.222687994128179</v>
      </c>
      <c r="I205" s="145">
        <v>43.944661443536674</v>
      </c>
      <c r="J205" s="145">
        <v>39.36719673103201</v>
      </c>
      <c r="K205" s="144">
        <v>48.307744557922632</v>
      </c>
    </row>
    <row r="206" spans="1:11" s="145" customFormat="1" x14ac:dyDescent="0.35">
      <c r="A206" s="232" t="s">
        <v>1520</v>
      </c>
      <c r="B206" s="232">
        <v>950.43439020450421</v>
      </c>
      <c r="C206" s="145">
        <v>783.15138372360752</v>
      </c>
      <c r="D206" s="145">
        <v>887.75009892902051</v>
      </c>
      <c r="E206" s="145">
        <v>816.20320013008745</v>
      </c>
      <c r="F206" s="145">
        <v>942.12350211421631</v>
      </c>
      <c r="G206" s="145">
        <v>848.77797939727975</v>
      </c>
      <c r="H206" s="145">
        <v>608.15607402881085</v>
      </c>
      <c r="I206" s="145">
        <v>757.49087197695439</v>
      </c>
      <c r="J206" s="145">
        <v>699.09396750856286</v>
      </c>
      <c r="K206" s="144">
        <v>860.52280139638856</v>
      </c>
    </row>
    <row r="207" spans="1:11" s="145" customFormat="1" x14ac:dyDescent="0.35">
      <c r="A207" s="232" t="s">
        <v>1519</v>
      </c>
      <c r="B207" s="232">
        <v>3.372898395940068</v>
      </c>
      <c r="C207" s="145">
        <v>3.6772215179375483</v>
      </c>
      <c r="D207" s="145">
        <v>3.3805332309226843</v>
      </c>
      <c r="E207" s="145">
        <v>3.7614321787963121</v>
      </c>
      <c r="F207" s="145">
        <v>3.6270149148033353</v>
      </c>
      <c r="G207" s="145">
        <v>3.920525123178074</v>
      </c>
      <c r="H207" s="145">
        <v>2.6188692626220154</v>
      </c>
      <c r="I207" s="145">
        <v>3.4937047332077</v>
      </c>
      <c r="J207" s="145">
        <v>2.9653644292039676</v>
      </c>
      <c r="K207" s="144">
        <v>3.8519060991179264</v>
      </c>
    </row>
    <row r="208" spans="1:11" s="145" customFormat="1" x14ac:dyDescent="0.35">
      <c r="A208" s="232" t="s">
        <v>1518</v>
      </c>
      <c r="B208" s="232">
        <v>7.9015801905735525</v>
      </c>
      <c r="C208" s="145">
        <v>8.2893614329451406</v>
      </c>
      <c r="D208" s="145">
        <v>7.8144682061167128</v>
      </c>
      <c r="E208" s="145">
        <v>8.4391094092148755</v>
      </c>
      <c r="F208" s="145">
        <v>8.3841441554098743</v>
      </c>
      <c r="G208" s="145">
        <v>8.7944371950519837</v>
      </c>
      <c r="H208" s="145">
        <v>5.895097002421263</v>
      </c>
      <c r="I208" s="145">
        <v>7.7515537411250355</v>
      </c>
      <c r="J208" s="145">
        <v>6.6396535587155965</v>
      </c>
      <c r="K208" s="144">
        <v>8.5338314559737185</v>
      </c>
    </row>
    <row r="209" spans="1:11" s="145" customFormat="1" x14ac:dyDescent="0.35">
      <c r="A209" s="232" t="s">
        <v>1531</v>
      </c>
      <c r="B209" s="232">
        <v>1508.6986644803144</v>
      </c>
      <c r="C209" s="145">
        <v>1374.2082330418227</v>
      </c>
      <c r="D209" s="145">
        <v>1430.3075057250028</v>
      </c>
      <c r="E209" s="145">
        <v>1396.473258505421</v>
      </c>
      <c r="F209" s="145">
        <v>1528.3652561299896</v>
      </c>
      <c r="G209" s="145">
        <v>1453.406888882776</v>
      </c>
      <c r="H209" s="145">
        <v>997.21921891933812</v>
      </c>
      <c r="I209" s="145">
        <v>1264.6417158953836</v>
      </c>
      <c r="J209" s="145">
        <v>1122.2616338551627</v>
      </c>
      <c r="K209" s="144">
        <v>1401.5130522211575</v>
      </c>
    </row>
    <row r="210" spans="1:11" s="145" customFormat="1" x14ac:dyDescent="0.35">
      <c r="A210" s="232" t="s">
        <v>1530</v>
      </c>
      <c r="B210" s="232">
        <v>9.9053367283649312</v>
      </c>
      <c r="C210" s="145">
        <v>11.396980008716362</v>
      </c>
      <c r="D210" s="145">
        <v>10.1727333224985</v>
      </c>
      <c r="E210" s="145">
        <v>11.636960242187074</v>
      </c>
      <c r="F210" s="145">
        <v>10.914152861437994</v>
      </c>
      <c r="G210" s="145">
        <v>12.113167743559989</v>
      </c>
      <c r="H210" s="145">
        <v>8.2315612460261942</v>
      </c>
      <c r="I210" s="145">
        <v>10.758411130664371</v>
      </c>
      <c r="J210" s="145">
        <v>9.2952702525589093</v>
      </c>
      <c r="K210" s="144">
        <v>11.900354395993192</v>
      </c>
    </row>
    <row r="211" spans="1:11" s="48" customFormat="1" x14ac:dyDescent="0.35">
      <c r="A211" s="49" t="s">
        <v>1529</v>
      </c>
      <c r="B211" s="240">
        <v>474782.09160722868</v>
      </c>
      <c r="C211" s="154">
        <v>518215.02632360632</v>
      </c>
      <c r="D211" s="154">
        <v>484165.97110288817</v>
      </c>
      <c r="E211" s="154">
        <v>529971.42594525893</v>
      </c>
      <c r="F211" s="154">
        <v>515089.16208210331</v>
      </c>
      <c r="G211" s="154">
        <v>548563.27142568922</v>
      </c>
      <c r="H211" s="154">
        <v>395143.44327218976</v>
      </c>
      <c r="I211" s="154">
        <v>488453.26260020904</v>
      </c>
      <c r="J211" s="154">
        <v>449498.8780340855</v>
      </c>
      <c r="K211" s="153">
        <v>550624.17111233238</v>
      </c>
    </row>
    <row r="212" spans="1:11" s="48" customFormat="1" x14ac:dyDescent="0.35">
      <c r="A212" s="49" t="s">
        <v>1528</v>
      </c>
      <c r="B212" s="240">
        <v>476399.25413702155</v>
      </c>
      <c r="C212" s="154">
        <v>519216.91054970416</v>
      </c>
      <c r="D212" s="154">
        <v>485514.68010881403</v>
      </c>
      <c r="E212" s="154">
        <v>530975.52483826573</v>
      </c>
      <c r="F212" s="154">
        <v>516527.72253309854</v>
      </c>
      <c r="G212" s="154">
        <v>549605.47783213831</v>
      </c>
      <c r="H212" s="154">
        <v>395809.24520075024</v>
      </c>
      <c r="I212" s="154">
        <v>489330.57370073959</v>
      </c>
      <c r="J212" s="154">
        <v>450249.49912109313</v>
      </c>
      <c r="K212" s="153">
        <v>551582.03024987958</v>
      </c>
    </row>
    <row r="213" spans="1:11" s="48" customFormat="1" x14ac:dyDescent="0.35">
      <c r="A213" s="45" t="s">
        <v>1527</v>
      </c>
      <c r="B213" s="389">
        <v>524285.12830444769</v>
      </c>
      <c r="C213" s="151">
        <v>563463.35724326863</v>
      </c>
      <c r="D213" s="151">
        <v>531119.67961102608</v>
      </c>
      <c r="E213" s="151">
        <v>575953.517057608</v>
      </c>
      <c r="F213" s="151">
        <v>565270.93072527926</v>
      </c>
      <c r="G213" s="151">
        <v>596417.67395066493</v>
      </c>
      <c r="H213" s="151">
        <v>427907.18549852737</v>
      </c>
      <c r="I213" s="151">
        <v>530120.80412722728</v>
      </c>
      <c r="J213" s="151">
        <v>486380.59475367621</v>
      </c>
      <c r="K213" s="150">
        <v>596781.01573145262</v>
      </c>
    </row>
    <row r="214" spans="1:11" s="145" customFormat="1" ht="13.15" x14ac:dyDescent="0.4">
      <c r="A214" s="388" t="s">
        <v>1562</v>
      </c>
      <c r="B214" s="387"/>
      <c r="C214" s="382"/>
      <c r="D214" s="382"/>
      <c r="E214" s="382"/>
      <c r="F214" s="382"/>
      <c r="G214" s="382"/>
      <c r="H214" s="382"/>
      <c r="I214" s="382"/>
      <c r="J214" s="382"/>
      <c r="K214" s="381"/>
    </row>
    <row r="215" spans="1:11" s="145" customFormat="1" x14ac:dyDescent="0.35">
      <c r="A215" s="232" t="s">
        <v>1525</v>
      </c>
      <c r="B215" s="232">
        <v>3.8364202515134487</v>
      </c>
      <c r="C215" s="145">
        <v>4.3460035641029968</v>
      </c>
      <c r="D215" s="145">
        <v>3.9521151856467176</v>
      </c>
      <c r="E215" s="145">
        <v>4.4682689931857347</v>
      </c>
      <c r="F215" s="145">
        <v>4.220863224070337</v>
      </c>
      <c r="G215" s="145">
        <v>4.6411481278090863</v>
      </c>
      <c r="H215" s="145">
        <v>3.2493023354404302</v>
      </c>
      <c r="I215" s="145">
        <v>4.1599328996543088</v>
      </c>
      <c r="J215" s="145">
        <v>3.699410799843724</v>
      </c>
      <c r="K215" s="144">
        <v>4.6583194377713735</v>
      </c>
    </row>
    <row r="216" spans="1:11" s="145" customFormat="1" x14ac:dyDescent="0.35">
      <c r="A216" s="232" t="s">
        <v>1524</v>
      </c>
      <c r="B216" s="232">
        <v>23.637889574859823</v>
      </c>
      <c r="C216" s="145">
        <v>26.594220185522726</v>
      </c>
      <c r="D216" s="145">
        <v>24.532995059512736</v>
      </c>
      <c r="E216" s="145">
        <v>27.16448000194605</v>
      </c>
      <c r="F216" s="145">
        <v>26.030361035370163</v>
      </c>
      <c r="G216" s="145">
        <v>28.040087906883468</v>
      </c>
      <c r="H216" s="145">
        <v>20.762740789074009</v>
      </c>
      <c r="I216" s="145">
        <v>24.943008287920708</v>
      </c>
      <c r="J216" s="145">
        <v>23.629204534653855</v>
      </c>
      <c r="K216" s="144">
        <v>28.336909378299829</v>
      </c>
    </row>
    <row r="217" spans="1:11" s="145" customFormat="1" x14ac:dyDescent="0.35">
      <c r="A217" s="232" t="s">
        <v>1523</v>
      </c>
      <c r="B217" s="232">
        <v>52.503420235368743</v>
      </c>
      <c r="C217" s="145">
        <v>57.3802072800773</v>
      </c>
      <c r="D217" s="145">
        <v>54.429172394201068</v>
      </c>
      <c r="E217" s="145">
        <v>58.701351537167554</v>
      </c>
      <c r="F217" s="145">
        <v>57.433535099851099</v>
      </c>
      <c r="G217" s="145">
        <v>60.352928239647383</v>
      </c>
      <c r="H217" s="145">
        <v>46.557071450179421</v>
      </c>
      <c r="I217" s="145">
        <v>53.764310438113633</v>
      </c>
      <c r="J217" s="145">
        <v>53.213103443115223</v>
      </c>
      <c r="K217" s="144">
        <v>61.934650915292508</v>
      </c>
    </row>
    <row r="218" spans="1:11" s="145" customFormat="1" x14ac:dyDescent="0.35">
      <c r="A218" s="232" t="s">
        <v>1522</v>
      </c>
      <c r="B218" s="232">
        <v>5.2412274278379432</v>
      </c>
      <c r="C218" s="145">
        <v>5.7832643816473777</v>
      </c>
      <c r="D218" s="145">
        <v>5.520462910944957</v>
      </c>
      <c r="E218" s="145">
        <v>5.9358434951546775</v>
      </c>
      <c r="F218" s="145">
        <v>5.7875794155109146</v>
      </c>
      <c r="G218" s="145">
        <v>6.0727875222210184</v>
      </c>
      <c r="H218" s="145">
        <v>4.9148401287667642</v>
      </c>
      <c r="I218" s="145">
        <v>5.4433499597155759</v>
      </c>
      <c r="J218" s="145">
        <v>5.6503413273327636</v>
      </c>
      <c r="K218" s="144">
        <v>6.3774411401087701</v>
      </c>
    </row>
    <row r="219" spans="1:11" s="145" customFormat="1" x14ac:dyDescent="0.35">
      <c r="A219" s="232" t="s">
        <v>1521</v>
      </c>
      <c r="B219" s="232">
        <v>3.8788514005026116</v>
      </c>
      <c r="C219" s="145">
        <v>4.2719972633684495</v>
      </c>
      <c r="D219" s="145">
        <v>4.0815982892140363</v>
      </c>
      <c r="E219" s="145">
        <v>4.3853234130429666</v>
      </c>
      <c r="F219" s="145">
        <v>4.2797424553712631</v>
      </c>
      <c r="G219" s="145">
        <v>4.487232893760372</v>
      </c>
      <c r="H219" s="145">
        <v>3.6270648516095538</v>
      </c>
      <c r="I219" s="145">
        <v>4.022287706787063</v>
      </c>
      <c r="J219" s="145">
        <v>4.1698463188591663</v>
      </c>
      <c r="K219" s="144">
        <v>4.710881483747686</v>
      </c>
    </row>
    <row r="220" spans="1:11" s="145" customFormat="1" x14ac:dyDescent="0.35">
      <c r="A220" s="232" t="s">
        <v>1520</v>
      </c>
      <c r="B220" s="232">
        <v>172.17425428453498</v>
      </c>
      <c r="C220" s="145">
        <v>190.89204485634025</v>
      </c>
      <c r="D220" s="145">
        <v>181.87750825690063</v>
      </c>
      <c r="E220" s="145">
        <v>195.65810499550062</v>
      </c>
      <c r="F220" s="145">
        <v>190.52992853170986</v>
      </c>
      <c r="G220" s="145">
        <v>199.98510912482615</v>
      </c>
      <c r="H220" s="145">
        <v>162.96788413064954</v>
      </c>
      <c r="I220" s="145">
        <v>179.01789211891804</v>
      </c>
      <c r="J220" s="145">
        <v>187.27792528822062</v>
      </c>
      <c r="K220" s="144">
        <v>210.10019486970569</v>
      </c>
    </row>
    <row r="221" spans="1:11" s="145" customFormat="1" x14ac:dyDescent="0.35">
      <c r="A221" s="232" t="s">
        <v>1519</v>
      </c>
      <c r="B221" s="232">
        <v>0.23909318962592446</v>
      </c>
      <c r="C221" s="145">
        <v>0.26351385987656217</v>
      </c>
      <c r="D221" s="145">
        <v>0.25109711568360948</v>
      </c>
      <c r="E221" s="145">
        <v>0.27092845019418754</v>
      </c>
      <c r="F221" s="145">
        <v>0.26367005565679696</v>
      </c>
      <c r="G221" s="145">
        <v>0.27764320098954182</v>
      </c>
      <c r="H221" s="145">
        <v>0.22169453884873017</v>
      </c>
      <c r="I221" s="145">
        <v>0.24930882808125612</v>
      </c>
      <c r="J221" s="145">
        <v>0.25491730939437074</v>
      </c>
      <c r="K221" s="144">
        <v>0.29098821283994775</v>
      </c>
    </row>
    <row r="222" spans="1:11" s="145" customFormat="1" x14ac:dyDescent="0.35">
      <c r="A222" s="231" t="s">
        <v>1518</v>
      </c>
      <c r="B222" s="231">
        <v>0.64134301341111177</v>
      </c>
      <c r="C222" s="142">
        <v>0.67445610801162692</v>
      </c>
      <c r="D222" s="142">
        <v>0.66184357384860759</v>
      </c>
      <c r="E222" s="142">
        <v>0.69192845934527503</v>
      </c>
      <c r="F222" s="142">
        <v>0.69467545305584755</v>
      </c>
      <c r="G222" s="142">
        <v>0.70873785043833204</v>
      </c>
      <c r="H222" s="142">
        <v>0.56850210682508928</v>
      </c>
      <c r="I222" s="142">
        <v>0.63293641889219499</v>
      </c>
      <c r="J222" s="142">
        <v>0.65288447027605523</v>
      </c>
      <c r="K222" s="141">
        <v>0.73950583993546071</v>
      </c>
    </row>
    <row r="223" spans="1:11" s="145" customFormat="1" x14ac:dyDescent="0.35"/>
    <row r="224" spans="1:11" s="145" customFormat="1" ht="13.9" x14ac:dyDescent="0.4">
      <c r="A224" s="386" t="s">
        <v>1863</v>
      </c>
    </row>
    <row r="225" spans="1:11" s="145" customFormat="1" ht="39.4" x14ac:dyDescent="0.4">
      <c r="A225" s="241"/>
      <c r="B225" s="385" t="s">
        <v>1481</v>
      </c>
      <c r="C225" s="385" t="s">
        <v>1480</v>
      </c>
      <c r="D225" s="385" t="s">
        <v>1479</v>
      </c>
      <c r="E225" s="385" t="s">
        <v>1478</v>
      </c>
      <c r="F225" s="385" t="s">
        <v>1477</v>
      </c>
      <c r="G225" s="385" t="s">
        <v>1476</v>
      </c>
      <c r="H225" s="385" t="s">
        <v>1475</v>
      </c>
      <c r="I225" s="385" t="s">
        <v>1474</v>
      </c>
      <c r="J225" s="385" t="s">
        <v>1473</v>
      </c>
      <c r="K225" s="384" t="s">
        <v>1472</v>
      </c>
    </row>
    <row r="226" spans="1:11" s="145" customFormat="1" ht="13.15" x14ac:dyDescent="0.4">
      <c r="A226" s="158" t="s">
        <v>1862</v>
      </c>
      <c r="B226" s="157"/>
      <c r="C226" s="157"/>
      <c r="D226" s="157"/>
      <c r="E226" s="157"/>
      <c r="F226" s="157"/>
      <c r="G226" s="157"/>
      <c r="H226" s="157"/>
      <c r="I226" s="157"/>
      <c r="J226" s="157"/>
      <c r="K226" s="156"/>
    </row>
    <row r="227" spans="1:11" s="145" customFormat="1" x14ac:dyDescent="0.35">
      <c r="A227" s="146" t="s">
        <v>1537</v>
      </c>
      <c r="B227" s="145">
        <v>20.73726885974742</v>
      </c>
      <c r="C227" s="145">
        <v>19.473047192439555</v>
      </c>
      <c r="D227" s="145">
        <v>20.142168015232826</v>
      </c>
      <c r="E227" s="145">
        <v>19.635390953932223</v>
      </c>
      <c r="F227" s="145">
        <v>20.759549149007086</v>
      </c>
      <c r="G227" s="145">
        <v>19.983595116163258</v>
      </c>
      <c r="H227" s="145">
        <v>17.217849025319946</v>
      </c>
      <c r="I227" s="145">
        <v>18.776513301831116</v>
      </c>
      <c r="J227" s="145">
        <v>18.067924319417955</v>
      </c>
      <c r="K227" s="144">
        <v>19.7352817549706</v>
      </c>
    </row>
    <row r="228" spans="1:11" s="145" customFormat="1" x14ac:dyDescent="0.35">
      <c r="A228" s="146" t="s">
        <v>1536</v>
      </c>
      <c r="B228" s="145">
        <v>19.054196299567771</v>
      </c>
      <c r="C228" s="145">
        <v>17.70882598156901</v>
      </c>
      <c r="D228" s="145">
        <v>18.416753473207621</v>
      </c>
      <c r="E228" s="145">
        <v>17.850612612710783</v>
      </c>
      <c r="F228" s="145">
        <v>18.996530113626239</v>
      </c>
      <c r="G228" s="145">
        <v>18.180122870934579</v>
      </c>
      <c r="H228" s="145">
        <v>15.574634303954852</v>
      </c>
      <c r="I228" s="145">
        <v>17.064678925312194</v>
      </c>
      <c r="J228" s="145">
        <v>16.31866328051288</v>
      </c>
      <c r="K228" s="144">
        <v>17.887664746797867</v>
      </c>
    </row>
    <row r="229" spans="1:11" s="145" customFormat="1" x14ac:dyDescent="0.35">
      <c r="A229" s="146" t="s">
        <v>1535</v>
      </c>
      <c r="B229" s="145">
        <v>7.318322512137053</v>
      </c>
      <c r="C229" s="145">
        <v>5.2276187165076617</v>
      </c>
      <c r="D229" s="145">
        <v>6.5625884131572407</v>
      </c>
      <c r="E229" s="145">
        <v>5.2620062238260505</v>
      </c>
      <c r="F229" s="145">
        <v>6.8031071549440609</v>
      </c>
      <c r="G229" s="145">
        <v>5.3663947725762551</v>
      </c>
      <c r="H229" s="145">
        <v>4.5882041864892997</v>
      </c>
      <c r="I229" s="145">
        <v>4.8427174614365418</v>
      </c>
      <c r="J229" s="145">
        <v>4.889004737034127</v>
      </c>
      <c r="K229" s="144">
        <v>5.2122639029831337</v>
      </c>
    </row>
    <row r="230" spans="1:11" s="145" customFormat="1" x14ac:dyDescent="0.35">
      <c r="A230" s="146" t="s">
        <v>1534</v>
      </c>
      <c r="B230" s="145">
        <v>11.486966189127198</v>
      </c>
      <c r="C230" s="145">
        <v>12.150835442191635</v>
      </c>
      <c r="D230" s="145">
        <v>11.58288702864095</v>
      </c>
      <c r="E230" s="145">
        <v>12.225225525993267</v>
      </c>
      <c r="F230" s="145">
        <v>11.90444882160212</v>
      </c>
      <c r="G230" s="145">
        <v>12.431347784031683</v>
      </c>
      <c r="H230" s="145">
        <v>10.733472846440357</v>
      </c>
      <c r="I230" s="145">
        <v>11.836003671193593</v>
      </c>
      <c r="J230" s="145">
        <v>11.142574152053866</v>
      </c>
      <c r="K230" s="144">
        <v>12.261938250269097</v>
      </c>
    </row>
    <row r="231" spans="1:11" s="145" customFormat="1" x14ac:dyDescent="0.35">
      <c r="A231" s="146" t="s">
        <v>1533</v>
      </c>
      <c r="B231" s="145">
        <v>0.24890759830351628</v>
      </c>
      <c r="C231" s="145">
        <v>0.33037182286971312</v>
      </c>
      <c r="D231" s="145">
        <v>0.27127803140943096</v>
      </c>
      <c r="E231" s="145">
        <v>0.36338086289146643</v>
      </c>
      <c r="F231" s="145">
        <v>0.28897413708006103</v>
      </c>
      <c r="G231" s="145">
        <v>0.38238031432664044</v>
      </c>
      <c r="H231" s="145">
        <v>0.2529572710251965</v>
      </c>
      <c r="I231" s="145">
        <v>0.3859577926820601</v>
      </c>
      <c r="J231" s="145">
        <v>0.28708439142488618</v>
      </c>
      <c r="K231" s="144">
        <v>0.41346259354563775</v>
      </c>
    </row>
    <row r="232" spans="1:11" s="145" customFormat="1" x14ac:dyDescent="0.35">
      <c r="A232" s="383" t="s">
        <v>1532</v>
      </c>
      <c r="B232" s="291">
        <v>971.03261795294657</v>
      </c>
      <c r="C232" s="291">
        <v>1005.6742043421857</v>
      </c>
      <c r="D232" s="291">
        <v>986.28155677691211</v>
      </c>
      <c r="E232" s="291">
        <v>1010.2718988535703</v>
      </c>
      <c r="F232" s="291">
        <v>1002.968646172611</v>
      </c>
      <c r="G232" s="291">
        <v>1013.6585259608323</v>
      </c>
      <c r="H232" s="291">
        <v>936.701208652726</v>
      </c>
      <c r="I232" s="291">
        <v>965.76087535801207</v>
      </c>
      <c r="J232" s="291">
        <v>1011.8208250550128</v>
      </c>
      <c r="K232" s="289">
        <v>1058.5449259983609</v>
      </c>
    </row>
    <row r="233" spans="1:11" s="145" customFormat="1" ht="13.15" x14ac:dyDescent="0.4">
      <c r="A233" s="158" t="s">
        <v>1564</v>
      </c>
      <c r="B233" s="382"/>
      <c r="C233" s="382"/>
      <c r="D233" s="382"/>
      <c r="E233" s="382"/>
      <c r="F233" s="382"/>
      <c r="G233" s="382"/>
      <c r="H233" s="382"/>
      <c r="I233" s="382"/>
      <c r="J233" s="382"/>
      <c r="K233" s="381"/>
    </row>
    <row r="234" spans="1:11" s="145" customFormat="1" x14ac:dyDescent="0.35">
      <c r="A234" s="146" t="s">
        <v>1525</v>
      </c>
      <c r="B234" s="145">
        <v>2070.5826925255574</v>
      </c>
      <c r="C234" s="145">
        <v>1880.0099365055801</v>
      </c>
      <c r="D234" s="145">
        <v>1991.0985523982722</v>
      </c>
      <c r="E234" s="145">
        <v>1878.3650307593934</v>
      </c>
      <c r="F234" s="145">
        <v>2009.6154512926873</v>
      </c>
      <c r="G234" s="145">
        <v>1884.4547033531776</v>
      </c>
      <c r="H234" s="145">
        <v>1814.426373535425</v>
      </c>
      <c r="I234" s="145">
        <v>1850.4725645110311</v>
      </c>
      <c r="J234" s="145">
        <v>1828.6938093065078</v>
      </c>
      <c r="K234" s="144">
        <v>1862.8295173834701</v>
      </c>
    </row>
    <row r="235" spans="1:11" s="145" customFormat="1" x14ac:dyDescent="0.35">
      <c r="A235" s="146" t="s">
        <v>1524</v>
      </c>
      <c r="B235" s="145">
        <v>707.21031164818987</v>
      </c>
      <c r="C235" s="145">
        <v>693.63887237280733</v>
      </c>
      <c r="D235" s="145">
        <v>694.01979559136987</v>
      </c>
      <c r="E235" s="145">
        <v>698.31060225702265</v>
      </c>
      <c r="F235" s="145">
        <v>714.47280510096994</v>
      </c>
      <c r="G235" s="145">
        <v>710.48298743950454</v>
      </c>
      <c r="H235" s="145">
        <v>609.84238595197678</v>
      </c>
      <c r="I235" s="145">
        <v>672.94751964954651</v>
      </c>
      <c r="J235" s="145">
        <v>635.52113310879599</v>
      </c>
      <c r="K235" s="144">
        <v>699.69740485710145</v>
      </c>
    </row>
    <row r="236" spans="1:11" s="145" customFormat="1" x14ac:dyDescent="0.35">
      <c r="A236" s="146" t="s">
        <v>1563</v>
      </c>
      <c r="B236" s="145">
        <v>1150.8493971516789</v>
      </c>
      <c r="C236" s="145">
        <v>1140.5244949149742</v>
      </c>
      <c r="D236" s="145">
        <v>1136.3969857867939</v>
      </c>
      <c r="E236" s="145">
        <v>1152.204470706989</v>
      </c>
      <c r="F236" s="145">
        <v>1170.2602940850481</v>
      </c>
      <c r="G236" s="145">
        <v>1173.123597508888</v>
      </c>
      <c r="H236" s="145">
        <v>1006.2553174852428</v>
      </c>
      <c r="I236" s="145">
        <v>1112.5705068458815</v>
      </c>
      <c r="J236" s="145">
        <v>1053.2421972702978</v>
      </c>
      <c r="K236" s="144">
        <v>1162.8989999614373</v>
      </c>
    </row>
    <row r="237" spans="1:11" s="145" customFormat="1" x14ac:dyDescent="0.35">
      <c r="A237" s="146" t="s">
        <v>1522</v>
      </c>
      <c r="B237" s="145">
        <v>316.18148043919598</v>
      </c>
      <c r="C237" s="145">
        <v>218.23187801790212</v>
      </c>
      <c r="D237" s="145">
        <v>278.98548631243506</v>
      </c>
      <c r="E237" s="145">
        <v>219.67593344242673</v>
      </c>
      <c r="F237" s="145">
        <v>288.96849097182752</v>
      </c>
      <c r="G237" s="145">
        <v>224.4819953928054</v>
      </c>
      <c r="H237" s="145">
        <v>190.27833761804629</v>
      </c>
      <c r="I237" s="145">
        <v>205.41337295336274</v>
      </c>
      <c r="J237" s="145">
        <v>198.46587074926904</v>
      </c>
      <c r="K237" s="144">
        <v>214.26041800542214</v>
      </c>
    </row>
    <row r="238" spans="1:11" s="145" customFormat="1" x14ac:dyDescent="0.35">
      <c r="A238" s="146" t="s">
        <v>1521</v>
      </c>
      <c r="B238" s="145">
        <v>160.71837542081087</v>
      </c>
      <c r="C238" s="145">
        <v>118.14403739336349</v>
      </c>
      <c r="D238" s="145">
        <v>144.18834695368759</v>
      </c>
      <c r="E238" s="145">
        <v>118.86708210922257</v>
      </c>
      <c r="F238" s="145">
        <v>149.12541139817171</v>
      </c>
      <c r="G238" s="145">
        <v>121.33818867629091</v>
      </c>
      <c r="H238" s="145">
        <v>103.30921275988355</v>
      </c>
      <c r="I238" s="145">
        <v>112.03118620929204</v>
      </c>
      <c r="J238" s="145">
        <v>107.45372149678738</v>
      </c>
      <c r="K238" s="144">
        <v>116.394269323678</v>
      </c>
    </row>
    <row r="239" spans="1:11" s="145" customFormat="1" x14ac:dyDescent="0.35">
      <c r="A239" s="146" t="s">
        <v>1520</v>
      </c>
      <c r="B239" s="145">
        <v>1611.9499583666857</v>
      </c>
      <c r="C239" s="145">
        <v>1444.6669518857889</v>
      </c>
      <c r="D239" s="145">
        <v>1549.265667091202</v>
      </c>
      <c r="E239" s="145">
        <v>1477.7187682922688</v>
      </c>
      <c r="F239" s="145">
        <v>1603.6390702763977</v>
      </c>
      <c r="G239" s="145">
        <v>1510.2935475594611</v>
      </c>
      <c r="H239" s="145">
        <v>1269.6716421909923</v>
      </c>
      <c r="I239" s="145">
        <v>1419.0064401391357</v>
      </c>
      <c r="J239" s="145">
        <v>1360.6095356707442</v>
      </c>
      <c r="K239" s="144">
        <v>1522.0383695585699</v>
      </c>
    </row>
    <row r="240" spans="1:11" s="145" customFormat="1" x14ac:dyDescent="0.35">
      <c r="A240" s="146" t="s">
        <v>1519</v>
      </c>
      <c r="B240" s="145">
        <v>8.4093668629953111</v>
      </c>
      <c r="C240" s="145">
        <v>8.71368998499279</v>
      </c>
      <c r="D240" s="145">
        <v>8.417001697977927</v>
      </c>
      <c r="E240" s="145">
        <v>8.7979006458515556</v>
      </c>
      <c r="F240" s="145">
        <v>8.6634833818585779</v>
      </c>
      <c r="G240" s="145">
        <v>8.9569935902333171</v>
      </c>
      <c r="H240" s="145">
        <v>7.6553377296772585</v>
      </c>
      <c r="I240" s="145">
        <v>8.5301732002629436</v>
      </c>
      <c r="J240" s="145">
        <v>8.0018328962592093</v>
      </c>
      <c r="K240" s="144">
        <v>8.8883745661731695</v>
      </c>
    </row>
    <row r="241" spans="1:11" s="145" customFormat="1" x14ac:dyDescent="0.35">
      <c r="A241" s="146" t="s">
        <v>1518</v>
      </c>
      <c r="B241" s="145">
        <v>19.643426493138744</v>
      </c>
      <c r="C241" s="145">
        <v>20.031207735510332</v>
      </c>
      <c r="D241" s="145">
        <v>19.556314508681904</v>
      </c>
      <c r="E241" s="145">
        <v>20.180955711780065</v>
      </c>
      <c r="F241" s="145">
        <v>20.125990457975064</v>
      </c>
      <c r="G241" s="145">
        <v>20.536283497617177</v>
      </c>
      <c r="H241" s="145">
        <v>17.636943304986453</v>
      </c>
      <c r="I241" s="145">
        <v>19.493400043690226</v>
      </c>
      <c r="J241" s="145">
        <v>18.381499861280787</v>
      </c>
      <c r="K241" s="144">
        <v>20.275677758538912</v>
      </c>
    </row>
    <row r="242" spans="1:11" s="145" customFormat="1" x14ac:dyDescent="0.35">
      <c r="A242" s="146" t="s">
        <v>1531</v>
      </c>
      <c r="B242" s="145">
        <v>3303.1091771621209</v>
      </c>
      <c r="C242" s="145">
        <v>3168.6187457236292</v>
      </c>
      <c r="D242" s="145">
        <v>3224.7180184068093</v>
      </c>
      <c r="E242" s="145">
        <v>3190.8837711872275</v>
      </c>
      <c r="F242" s="145">
        <v>3322.7757688117963</v>
      </c>
      <c r="G242" s="145">
        <v>3247.8174015645827</v>
      </c>
      <c r="H242" s="145">
        <v>2791.6297316011446</v>
      </c>
      <c r="I242" s="145">
        <v>3059.0522285771904</v>
      </c>
      <c r="J242" s="145">
        <v>2916.6721465369692</v>
      </c>
      <c r="K242" s="144">
        <v>3195.9235649029642</v>
      </c>
    </row>
    <row r="243" spans="1:11" s="145" customFormat="1" x14ac:dyDescent="0.35">
      <c r="A243" s="146" t="s">
        <v>1530</v>
      </c>
      <c r="B243" s="145">
        <v>26.379480161836163</v>
      </c>
      <c r="C243" s="145">
        <v>27.871123442187592</v>
      </c>
      <c r="D243" s="145">
        <v>26.646876755969728</v>
      </c>
      <c r="E243" s="145">
        <v>28.111103675658306</v>
      </c>
      <c r="F243" s="145">
        <v>27.388296294909225</v>
      </c>
      <c r="G243" s="145">
        <v>28.587311177031218</v>
      </c>
      <c r="H243" s="145">
        <v>24.705704679497423</v>
      </c>
      <c r="I243" s="145">
        <v>27.232554564135601</v>
      </c>
      <c r="J243" s="145">
        <v>25.769413686030141</v>
      </c>
      <c r="K243" s="144">
        <v>28.374497829464424</v>
      </c>
    </row>
    <row r="244" spans="1:11" s="48" customFormat="1" x14ac:dyDescent="0.35">
      <c r="A244" s="155" t="s">
        <v>1529</v>
      </c>
      <c r="B244" s="154">
        <v>1145945.0285062534</v>
      </c>
      <c r="C244" s="154">
        <v>1189377.963222631</v>
      </c>
      <c r="D244" s="154">
        <v>1155328.9080019128</v>
      </c>
      <c r="E244" s="154">
        <v>1201134.3628442837</v>
      </c>
      <c r="F244" s="154">
        <v>1186252.0989811281</v>
      </c>
      <c r="G244" s="154">
        <v>1219726.2083247139</v>
      </c>
      <c r="H244" s="154">
        <v>1066306.3801712145</v>
      </c>
      <c r="I244" s="154">
        <v>1159616.1994992336</v>
      </c>
      <c r="J244" s="154">
        <v>1120661.81493311</v>
      </c>
      <c r="K244" s="153">
        <v>1221787.108011357</v>
      </c>
    </row>
    <row r="245" spans="1:11" s="48" customFormat="1" x14ac:dyDescent="0.35">
      <c r="A245" s="155" t="s">
        <v>1528</v>
      </c>
      <c r="B245" s="154">
        <v>1153509.6750543576</v>
      </c>
      <c r="C245" s="154">
        <v>1196327.3314670401</v>
      </c>
      <c r="D245" s="154">
        <v>1162625.1010261499</v>
      </c>
      <c r="E245" s="154">
        <v>1208085.9457556019</v>
      </c>
      <c r="F245" s="154">
        <v>1193638.1434504346</v>
      </c>
      <c r="G245" s="154">
        <v>1226715.8987494744</v>
      </c>
      <c r="H245" s="154">
        <v>1072919.6661180863</v>
      </c>
      <c r="I245" s="154">
        <v>1166440.9946180757</v>
      </c>
      <c r="J245" s="154">
        <v>1127359.9200384291</v>
      </c>
      <c r="K245" s="153">
        <v>1228692.4511672156</v>
      </c>
    </row>
    <row r="246" spans="1:11" s="48" customFormat="1" x14ac:dyDescent="0.35">
      <c r="A246" s="152" t="s">
        <v>1527</v>
      </c>
      <c r="B246" s="151">
        <v>1259593.5126121077</v>
      </c>
      <c r="C246" s="151">
        <v>1298771.7415509287</v>
      </c>
      <c r="D246" s="151">
        <v>1266428.063918686</v>
      </c>
      <c r="E246" s="151">
        <v>1311261.901365268</v>
      </c>
      <c r="F246" s="151">
        <v>1300579.3150329394</v>
      </c>
      <c r="G246" s="151">
        <v>1331726.0582583249</v>
      </c>
      <c r="H246" s="151">
        <v>1163215.5698061874</v>
      </c>
      <c r="I246" s="151">
        <v>1265429.1884348872</v>
      </c>
      <c r="J246" s="151">
        <v>1221688.9790613363</v>
      </c>
      <c r="K246" s="150">
        <v>1332089.4000391127</v>
      </c>
    </row>
    <row r="247" spans="1:11" s="145" customFormat="1" ht="13.15" x14ac:dyDescent="0.4">
      <c r="A247" s="149" t="s">
        <v>1562</v>
      </c>
      <c r="B247" s="382"/>
      <c r="C247" s="382"/>
      <c r="D247" s="382"/>
      <c r="E247" s="382"/>
      <c r="F247" s="382"/>
      <c r="G247" s="382"/>
      <c r="H247" s="382"/>
      <c r="I247" s="382"/>
      <c r="J247" s="382"/>
      <c r="K247" s="381"/>
    </row>
    <row r="248" spans="1:11" s="145" customFormat="1" x14ac:dyDescent="0.35">
      <c r="A248" s="146" t="s">
        <v>1525</v>
      </c>
      <c r="B248" s="145">
        <v>9.5072452526587803</v>
      </c>
      <c r="C248" s="145">
        <v>10.016828565248328</v>
      </c>
      <c r="D248" s="145">
        <v>9.6229401867920483</v>
      </c>
      <c r="E248" s="145">
        <v>10.139093994331066</v>
      </c>
      <c r="F248" s="145">
        <v>9.8916882252156668</v>
      </c>
      <c r="G248" s="145">
        <v>10.311973128954417</v>
      </c>
      <c r="H248" s="145">
        <v>8.920127336585761</v>
      </c>
      <c r="I248" s="145">
        <v>9.8307579007996395</v>
      </c>
      <c r="J248" s="145">
        <v>9.3702358009890538</v>
      </c>
      <c r="K248" s="144">
        <v>10.329144438916703</v>
      </c>
    </row>
    <row r="249" spans="1:11" s="145" customFormat="1" x14ac:dyDescent="0.35">
      <c r="A249" s="146" t="s">
        <v>1524</v>
      </c>
      <c r="B249" s="145">
        <v>58.47422612486703</v>
      </c>
      <c r="C249" s="145">
        <v>61.430556735529933</v>
      </c>
      <c r="D249" s="145">
        <v>59.369331609519939</v>
      </c>
      <c r="E249" s="145">
        <v>62.00081655195325</v>
      </c>
      <c r="F249" s="145">
        <v>60.866697585377366</v>
      </c>
      <c r="G249" s="145">
        <v>62.876424456890675</v>
      </c>
      <c r="H249" s="145">
        <v>55.599077339081212</v>
      </c>
      <c r="I249" s="145">
        <v>59.779344837927908</v>
      </c>
      <c r="J249" s="145">
        <v>58.465541084661055</v>
      </c>
      <c r="K249" s="144">
        <v>63.173245928307033</v>
      </c>
    </row>
    <row r="250" spans="1:11" s="145" customFormat="1" x14ac:dyDescent="0.35">
      <c r="A250" s="146" t="s">
        <v>1523</v>
      </c>
      <c r="B250" s="145">
        <v>122.04741753611708</v>
      </c>
      <c r="C250" s="145">
        <v>126.92420458082563</v>
      </c>
      <c r="D250" s="145">
        <v>123.97316969494941</v>
      </c>
      <c r="E250" s="145">
        <v>128.24534883791588</v>
      </c>
      <c r="F250" s="145">
        <v>126.97753240059943</v>
      </c>
      <c r="G250" s="145">
        <v>129.89692554039573</v>
      </c>
      <c r="H250" s="145">
        <v>116.10106875092775</v>
      </c>
      <c r="I250" s="145">
        <v>123.30830773886197</v>
      </c>
      <c r="J250" s="145">
        <v>122.75710074386356</v>
      </c>
      <c r="K250" s="144">
        <v>131.47864821604082</v>
      </c>
    </row>
    <row r="251" spans="1:11" s="145" customFormat="1" x14ac:dyDescent="0.35">
      <c r="A251" s="146" t="s">
        <v>1522</v>
      </c>
      <c r="B251" s="145">
        <v>11.646727363887646</v>
      </c>
      <c r="C251" s="145">
        <v>12.188764317697082</v>
      </c>
      <c r="D251" s="145">
        <v>11.925962846994661</v>
      </c>
      <c r="E251" s="145">
        <v>12.341343431204381</v>
      </c>
      <c r="F251" s="145">
        <v>12.193079351560618</v>
      </c>
      <c r="G251" s="145">
        <v>12.478287458270721</v>
      </c>
      <c r="H251" s="145">
        <v>11.320340064816467</v>
      </c>
      <c r="I251" s="145">
        <v>11.84884989576528</v>
      </c>
      <c r="J251" s="145">
        <v>12.055841263382467</v>
      </c>
      <c r="K251" s="144">
        <v>12.782941076158473</v>
      </c>
    </row>
    <row r="252" spans="1:11" s="145" customFormat="1" x14ac:dyDescent="0.35">
      <c r="A252" s="146" t="s">
        <v>1521</v>
      </c>
      <c r="B252" s="145">
        <v>8.6047050675568464</v>
      </c>
      <c r="C252" s="145">
        <v>8.9978509304226826</v>
      </c>
      <c r="D252" s="145">
        <v>8.8074519562682703</v>
      </c>
      <c r="E252" s="145">
        <v>9.1111770800971996</v>
      </c>
      <c r="F252" s="145">
        <v>9.0055961224254979</v>
      </c>
      <c r="G252" s="145">
        <v>9.213086560814606</v>
      </c>
      <c r="H252" s="145">
        <v>8.3529185186637882</v>
      </c>
      <c r="I252" s="145">
        <v>8.7481413738412961</v>
      </c>
      <c r="J252" s="145">
        <v>8.8956999859133994</v>
      </c>
      <c r="K252" s="144">
        <v>9.436735150801919</v>
      </c>
    </row>
    <row r="253" spans="1:11" s="145" customFormat="1" x14ac:dyDescent="0.35">
      <c r="A253" s="146" t="s">
        <v>1520</v>
      </c>
      <c r="B253" s="145">
        <v>385.77782257854494</v>
      </c>
      <c r="C253" s="145">
        <v>404.49561315035021</v>
      </c>
      <c r="D253" s="145">
        <v>395.48107655091059</v>
      </c>
      <c r="E253" s="145">
        <v>409.26167328951055</v>
      </c>
      <c r="F253" s="145">
        <v>404.13349682571982</v>
      </c>
      <c r="G253" s="145">
        <v>413.58867741883614</v>
      </c>
      <c r="H253" s="145">
        <v>376.57145242465947</v>
      </c>
      <c r="I253" s="145">
        <v>392.621460412928</v>
      </c>
      <c r="J253" s="145">
        <v>400.88149358223058</v>
      </c>
      <c r="K253" s="144">
        <v>423.70376316371562</v>
      </c>
    </row>
    <row r="254" spans="1:11" s="145" customFormat="1" x14ac:dyDescent="0.35">
      <c r="A254" s="146" t="s">
        <v>1519</v>
      </c>
      <c r="B254" s="145">
        <v>0.5300591754669135</v>
      </c>
      <c r="C254" s="145">
        <v>0.55447984571755116</v>
      </c>
      <c r="D254" s="145">
        <v>0.54206310152459847</v>
      </c>
      <c r="E254" s="145">
        <v>0.56189443603517653</v>
      </c>
      <c r="F254" s="145">
        <v>0.554636041497786</v>
      </c>
      <c r="G254" s="145">
        <v>0.56860918683053074</v>
      </c>
      <c r="H254" s="145">
        <v>0.51266052468971912</v>
      </c>
      <c r="I254" s="145">
        <v>0.54027481392224508</v>
      </c>
      <c r="J254" s="145">
        <v>0.54588329523535972</v>
      </c>
      <c r="K254" s="144">
        <v>0.58195419868093667</v>
      </c>
    </row>
    <row r="255" spans="1:11" s="145" customFormat="1" x14ac:dyDescent="0.35">
      <c r="A255" s="143" t="s">
        <v>1518</v>
      </c>
      <c r="B255" s="142">
        <v>1.3767247003425578</v>
      </c>
      <c r="C255" s="142">
        <v>1.4098377949430729</v>
      </c>
      <c r="D255" s="142">
        <v>1.3972252607800537</v>
      </c>
      <c r="E255" s="142">
        <v>1.427310146276721</v>
      </c>
      <c r="F255" s="142">
        <v>1.4300571399872934</v>
      </c>
      <c r="G255" s="142">
        <v>1.4441195373697782</v>
      </c>
      <c r="H255" s="142">
        <v>1.3038837937565353</v>
      </c>
      <c r="I255" s="142">
        <v>1.3683181058236409</v>
      </c>
      <c r="J255" s="142">
        <v>1.3882661572075012</v>
      </c>
      <c r="K255" s="141">
        <v>1.4748875268669068</v>
      </c>
    </row>
  </sheetData>
  <mergeCells count="8">
    <mergeCell ref="N58:O58"/>
    <mergeCell ref="P58:Q58"/>
    <mergeCell ref="B58:C58"/>
    <mergeCell ref="D58:E58"/>
    <mergeCell ref="F58:G58"/>
    <mergeCell ref="H58:I58"/>
    <mergeCell ref="J58:K58"/>
    <mergeCell ref="L58:M58"/>
  </mergeCells>
  <pageMargins left="0.75" right="0.75" top="1" bottom="1" header="0.5" footer="0.5"/>
  <pageSetup orientation="landscape" r:id="rId1"/>
  <headerFooter alignWithMargins="0">
    <oddHeader>&amp;A</oddHeader>
    <oddFooter>Page &amp;P</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autoPageBreaks="0" fitToPage="1"/>
  </sheetPr>
  <dimension ref="A1:Q543"/>
  <sheetViews>
    <sheetView showGridLines="0" zoomScale="85" zoomScaleNormal="85" workbookViewId="0">
      <selection activeCell="J29" sqref="J29"/>
    </sheetView>
  </sheetViews>
  <sheetFormatPr defaultColWidth="9.1328125" defaultRowHeight="12.75" x14ac:dyDescent="0.35"/>
  <cols>
    <col min="1" max="1" width="34.46484375" style="39" customWidth="1"/>
    <col min="2" max="6" width="13.796875" style="39" customWidth="1"/>
    <col min="7" max="7" width="13.46484375" style="39" customWidth="1"/>
    <col min="8" max="8" width="12.86328125" style="39" customWidth="1"/>
    <col min="9" max="9" width="12.46484375" style="39" customWidth="1"/>
    <col min="10" max="10" width="13.86328125" style="39" bestFit="1" customWidth="1"/>
    <col min="11" max="11" width="11" style="39" customWidth="1"/>
    <col min="12" max="12" width="12.1328125" style="39" customWidth="1"/>
    <col min="13" max="17" width="11" style="39" customWidth="1"/>
    <col min="18" max="16384" width="9.1328125" style="39"/>
  </cols>
  <sheetData>
    <row r="1" spans="1:11" ht="15" x14ac:dyDescent="0.4">
      <c r="A1" s="140" t="s">
        <v>2252</v>
      </c>
      <c r="G1" s="230" t="s">
        <v>1561</v>
      </c>
    </row>
    <row r="3" spans="1:11" ht="13.9" x14ac:dyDescent="0.4">
      <c r="A3" s="72" t="s">
        <v>1558</v>
      </c>
    </row>
    <row r="4" spans="1:11" x14ac:dyDescent="0.35">
      <c r="A4" s="39" t="s">
        <v>2251</v>
      </c>
    </row>
    <row r="5" spans="1:11" ht="38.25" x14ac:dyDescent="0.35">
      <c r="A5" s="243" t="s">
        <v>1481</v>
      </c>
      <c r="B5" s="134" t="s">
        <v>1480</v>
      </c>
      <c r="C5" s="134" t="s">
        <v>1479</v>
      </c>
      <c r="D5" s="134" t="s">
        <v>1478</v>
      </c>
      <c r="E5" s="134" t="s">
        <v>1477</v>
      </c>
      <c r="F5" s="134" t="s">
        <v>1476</v>
      </c>
      <c r="G5" s="134" t="s">
        <v>1475</v>
      </c>
      <c r="H5" s="134" t="s">
        <v>1474</v>
      </c>
      <c r="I5" s="134" t="s">
        <v>1473</v>
      </c>
      <c r="J5" s="133" t="s">
        <v>1472</v>
      </c>
    </row>
    <row r="6" spans="1:11" x14ac:dyDescent="0.35">
      <c r="A6" s="660">
        <v>3053.9316231000003</v>
      </c>
      <c r="B6" s="659">
        <v>2575.5290831000002</v>
      </c>
      <c r="C6" s="659">
        <v>3246.55009565</v>
      </c>
      <c r="D6" s="659">
        <v>2677.75813565</v>
      </c>
      <c r="E6" s="659">
        <v>3422.91969565</v>
      </c>
      <c r="F6" s="659">
        <v>2768.1475556499995</v>
      </c>
      <c r="G6" s="659">
        <v>2830.1735771311996</v>
      </c>
      <c r="H6" s="659">
        <v>2294.4509171311997</v>
      </c>
      <c r="I6" s="659">
        <v>3460.6948971311999</v>
      </c>
      <c r="J6" s="658">
        <v>2766.2395971312003</v>
      </c>
    </row>
    <row r="8" spans="1:11" x14ac:dyDescent="0.35">
      <c r="A8" s="39" t="s">
        <v>2250</v>
      </c>
    </row>
    <row r="9" spans="1:11" ht="38.65" x14ac:dyDescent="0.4">
      <c r="A9" s="131"/>
      <c r="B9" s="134" t="s">
        <v>1481</v>
      </c>
      <c r="C9" s="134" t="s">
        <v>1480</v>
      </c>
      <c r="D9" s="134" t="s">
        <v>1479</v>
      </c>
      <c r="E9" s="134" t="s">
        <v>1478</v>
      </c>
      <c r="F9" s="134" t="s">
        <v>1477</v>
      </c>
      <c r="G9" s="134" t="s">
        <v>1476</v>
      </c>
      <c r="H9" s="134" t="s">
        <v>1475</v>
      </c>
      <c r="I9" s="134" t="s">
        <v>1474</v>
      </c>
      <c r="J9" s="134" t="s">
        <v>1473</v>
      </c>
      <c r="K9" s="133" t="s">
        <v>1472</v>
      </c>
    </row>
    <row r="10" spans="1:11" x14ac:dyDescent="0.35">
      <c r="A10" s="59" t="s">
        <v>2249</v>
      </c>
      <c r="B10" s="197">
        <v>0.24702521828888613</v>
      </c>
      <c r="C10" s="197">
        <v>0.28616405246234844</v>
      </c>
      <c r="D10" s="197">
        <v>0.22517709702642263</v>
      </c>
      <c r="E10" s="197">
        <v>0.2564410164565305</v>
      </c>
      <c r="F10" s="197">
        <v>0.23877089133008633</v>
      </c>
      <c r="G10" s="197">
        <v>0.26576316150674006</v>
      </c>
      <c r="H10" s="197">
        <v>4.7935222516142462E-2</v>
      </c>
      <c r="I10" s="197">
        <v>6.7881497432028093E-2</v>
      </c>
      <c r="J10" s="197">
        <v>8.2821516637481787E-2</v>
      </c>
      <c r="K10" s="196">
        <v>6.7044084031020329E-2</v>
      </c>
    </row>
    <row r="11" spans="1:11" x14ac:dyDescent="0.35">
      <c r="A11" s="59" t="s">
        <v>1829</v>
      </c>
      <c r="B11" s="197">
        <v>5.2533124305426546E-2</v>
      </c>
      <c r="C11" s="197">
        <v>6.1658062956724484E-2</v>
      </c>
      <c r="D11" s="197">
        <v>4.9834695103615718E-2</v>
      </c>
      <c r="E11" s="197">
        <v>5.9976770379984799E-2</v>
      </c>
      <c r="F11" s="197">
        <v>4.7319340535011481E-2</v>
      </c>
      <c r="G11" s="197">
        <v>5.8072722538048682E-2</v>
      </c>
      <c r="H11" s="197">
        <v>5.7296713696569135E-2</v>
      </c>
      <c r="I11" s="197">
        <v>7.0127267292019763E-2</v>
      </c>
      <c r="J11" s="197">
        <v>2.8134729281300164E-2</v>
      </c>
      <c r="K11" s="196">
        <v>3.2245216594726137E-2</v>
      </c>
    </row>
    <row r="12" spans="1:11" x14ac:dyDescent="0.35">
      <c r="A12" s="59" t="s">
        <v>1503</v>
      </c>
      <c r="B12" s="197">
        <v>0.23899999999999999</v>
      </c>
      <c r="C12" s="197">
        <v>0.23</v>
      </c>
      <c r="D12" s="197">
        <v>0.245</v>
      </c>
      <c r="E12" s="197">
        <v>0.245</v>
      </c>
      <c r="F12" s="197">
        <v>0.249</v>
      </c>
      <c r="G12" s="197">
        <v>0.25600000000000001</v>
      </c>
      <c r="H12" s="197">
        <v>0.28899999999999998</v>
      </c>
      <c r="I12" s="197">
        <v>0.312</v>
      </c>
      <c r="J12" s="197">
        <v>0.24996624861462841</v>
      </c>
      <c r="K12" s="196">
        <v>0.2729327261767891</v>
      </c>
    </row>
    <row r="13" spans="1:11" x14ac:dyDescent="0.35">
      <c r="A13" s="59" t="s">
        <v>1501</v>
      </c>
      <c r="B13" s="197">
        <v>0</v>
      </c>
      <c r="C13" s="197">
        <v>0</v>
      </c>
      <c r="D13" s="197">
        <v>2.1262803244209372E-2</v>
      </c>
      <c r="E13" s="197">
        <v>1.5593960298796047E-2</v>
      </c>
      <c r="F13" s="197">
        <v>3.2492613834041215E-2</v>
      </c>
      <c r="G13" s="197">
        <v>2.2454786048045489E-2</v>
      </c>
      <c r="H13" s="197">
        <v>7.1811881166366651E-2</v>
      </c>
      <c r="I13" s="197">
        <v>5.4231753372495271E-2</v>
      </c>
      <c r="J13" s="197">
        <v>4.2202093921950248E-2</v>
      </c>
      <c r="K13" s="196">
        <v>4.4912980256939974E-2</v>
      </c>
    </row>
    <row r="14" spans="1:11" x14ac:dyDescent="0.35">
      <c r="A14" s="59" t="s">
        <v>1500</v>
      </c>
      <c r="B14" s="197">
        <v>0</v>
      </c>
      <c r="C14" s="197">
        <v>0</v>
      </c>
      <c r="D14" s="197">
        <v>2.1262803244209372E-2</v>
      </c>
      <c r="E14" s="197">
        <v>1.5593960298796047E-2</v>
      </c>
      <c r="F14" s="197">
        <v>3.2492613834041215E-2</v>
      </c>
      <c r="G14" s="197">
        <v>2.2454786048045489E-2</v>
      </c>
      <c r="H14" s="197">
        <v>0</v>
      </c>
      <c r="I14" s="197">
        <v>0</v>
      </c>
      <c r="J14" s="197">
        <v>0</v>
      </c>
      <c r="K14" s="196">
        <v>0</v>
      </c>
    </row>
    <row r="15" spans="1:11" x14ac:dyDescent="0.35">
      <c r="A15" s="59" t="s">
        <v>1499</v>
      </c>
      <c r="B15" s="197">
        <v>0</v>
      </c>
      <c r="C15" s="197">
        <v>0</v>
      </c>
      <c r="D15" s="197">
        <v>1.7999999999999999E-2</v>
      </c>
      <c r="E15" s="197">
        <v>1.7999999999999999E-2</v>
      </c>
      <c r="F15" s="197">
        <v>1.7999999999999999E-2</v>
      </c>
      <c r="G15" s="197">
        <v>1.7000000000000001E-2</v>
      </c>
      <c r="H15" s="197">
        <v>5.8999999999999997E-2</v>
      </c>
      <c r="I15" s="197">
        <v>6.6000000000000003E-2</v>
      </c>
      <c r="J15" s="197">
        <v>3.6791569060161761E-2</v>
      </c>
      <c r="K15" s="196">
        <v>3.9154905865024597E-2</v>
      </c>
    </row>
    <row r="16" spans="1:11" x14ac:dyDescent="0.35">
      <c r="A16" s="59" t="s">
        <v>2248</v>
      </c>
      <c r="B16" s="197">
        <v>0</v>
      </c>
      <c r="C16" s="197">
        <v>0</v>
      </c>
      <c r="D16" s="197">
        <v>0</v>
      </c>
      <c r="E16" s="197">
        <v>0</v>
      </c>
      <c r="F16" s="197">
        <v>0</v>
      </c>
      <c r="G16" s="197">
        <v>0</v>
      </c>
      <c r="H16" s="197">
        <v>0</v>
      </c>
      <c r="I16" s="197">
        <v>0</v>
      </c>
      <c r="J16" s="197">
        <v>8.6687792168182745E-2</v>
      </c>
      <c r="K16" s="196">
        <v>7.0854310741291837E-2</v>
      </c>
    </row>
    <row r="17" spans="1:11" x14ac:dyDescent="0.35">
      <c r="A17" s="57" t="s">
        <v>1828</v>
      </c>
      <c r="B17" s="194">
        <v>0.46144165740568732</v>
      </c>
      <c r="C17" s="194">
        <v>0.42217788458092709</v>
      </c>
      <c r="D17" s="194">
        <v>0.4194626013815429</v>
      </c>
      <c r="E17" s="194">
        <v>0.38939429256589264</v>
      </c>
      <c r="F17" s="194">
        <v>0.38192454046681967</v>
      </c>
      <c r="G17" s="194">
        <v>0.35825454385912014</v>
      </c>
      <c r="H17" s="194">
        <v>0.47495618262092176</v>
      </c>
      <c r="I17" s="194">
        <v>0.42975948190345692</v>
      </c>
      <c r="J17" s="194">
        <v>0.47339605031629484</v>
      </c>
      <c r="K17" s="193">
        <v>0.47285577633420806</v>
      </c>
    </row>
    <row r="19" spans="1:11" x14ac:dyDescent="0.35">
      <c r="A19" s="39" t="s">
        <v>2247</v>
      </c>
    </row>
    <row r="20" spans="1:11" ht="38.65" x14ac:dyDescent="0.4">
      <c r="A20" s="131"/>
      <c r="B20" s="134" t="s">
        <v>1481</v>
      </c>
      <c r="C20" s="134" t="s">
        <v>1480</v>
      </c>
      <c r="D20" s="134" t="s">
        <v>1479</v>
      </c>
      <c r="E20" s="134" t="s">
        <v>1478</v>
      </c>
      <c r="F20" s="134" t="s">
        <v>1477</v>
      </c>
      <c r="G20" s="134" t="s">
        <v>1476</v>
      </c>
      <c r="H20" s="134" t="s">
        <v>1475</v>
      </c>
      <c r="I20" s="134" t="s">
        <v>1474</v>
      </c>
      <c r="J20" s="134" t="s">
        <v>1473</v>
      </c>
      <c r="K20" s="133" t="s">
        <v>1472</v>
      </c>
    </row>
    <row r="21" spans="1:11" ht="13.15" x14ac:dyDescent="0.4">
      <c r="A21" s="131" t="s">
        <v>405</v>
      </c>
      <c r="B21" s="101"/>
      <c r="C21" s="101"/>
      <c r="D21" s="101"/>
      <c r="E21" s="101"/>
      <c r="F21" s="101"/>
      <c r="G21" s="101"/>
      <c r="H21" s="101"/>
      <c r="I21" s="101"/>
      <c r="J21" s="101"/>
      <c r="K21" s="60"/>
    </row>
    <row r="22" spans="1:11" x14ac:dyDescent="0.35">
      <c r="A22" s="59" t="s">
        <v>1438</v>
      </c>
      <c r="B22" s="197">
        <v>0.68300000000000005</v>
      </c>
      <c r="C22" s="197">
        <v>0.111</v>
      </c>
      <c r="D22" s="197">
        <v>0.68300000000000005</v>
      </c>
      <c r="E22" s="197">
        <v>0.108</v>
      </c>
      <c r="F22" s="197">
        <v>0.68300000000000005</v>
      </c>
      <c r="G22" s="197">
        <v>0.105</v>
      </c>
      <c r="H22" s="197">
        <v>0.68300000000000005</v>
      </c>
      <c r="I22" s="197">
        <v>0.10299999999999999</v>
      </c>
      <c r="J22" s="197">
        <v>0.68300000000000005</v>
      </c>
      <c r="K22" s="196">
        <v>0.10299999999999999</v>
      </c>
    </row>
    <row r="23" spans="1:11" x14ac:dyDescent="0.35">
      <c r="A23" s="59" t="s">
        <v>1446</v>
      </c>
      <c r="B23" s="197">
        <v>7.0000000000000001E-3</v>
      </c>
      <c r="C23" s="197">
        <v>9.0999999999999998E-2</v>
      </c>
      <c r="D23" s="197">
        <v>7.0000000000000001E-3</v>
      </c>
      <c r="E23" s="197">
        <v>8.8999999999999996E-2</v>
      </c>
      <c r="F23" s="197">
        <v>7.0000000000000001E-3</v>
      </c>
      <c r="G23" s="197">
        <v>6.7000000000000004E-2</v>
      </c>
      <c r="H23" s="197">
        <v>7.0000000000000001E-3</v>
      </c>
      <c r="I23" s="197">
        <v>6.6000000000000003E-2</v>
      </c>
      <c r="J23" s="197">
        <v>7.0000000000000001E-3</v>
      </c>
      <c r="K23" s="196">
        <v>8.5000000000000006E-2</v>
      </c>
    </row>
    <row r="24" spans="1:11" x14ac:dyDescent="0.35">
      <c r="A24" s="59" t="s">
        <v>290</v>
      </c>
      <c r="B24" s="197">
        <v>0</v>
      </c>
      <c r="C24" s="197">
        <v>0</v>
      </c>
      <c r="D24" s="197">
        <v>0</v>
      </c>
      <c r="E24" s="197">
        <v>0</v>
      </c>
      <c r="F24" s="197">
        <v>0</v>
      </c>
      <c r="G24" s="197">
        <v>0</v>
      </c>
      <c r="H24" s="197">
        <v>0</v>
      </c>
      <c r="I24" s="197">
        <v>0</v>
      </c>
      <c r="J24" s="197">
        <v>0</v>
      </c>
      <c r="K24" s="196">
        <v>0</v>
      </c>
    </row>
    <row r="25" spans="1:11" x14ac:dyDescent="0.35">
      <c r="A25" s="59" t="s">
        <v>1498</v>
      </c>
      <c r="B25" s="197">
        <v>1.9E-2</v>
      </c>
      <c r="C25" s="197">
        <v>3.5999999999999997E-2</v>
      </c>
      <c r="D25" s="197">
        <v>1.9E-2</v>
      </c>
      <c r="E25" s="197">
        <v>3.5000000000000003E-2</v>
      </c>
      <c r="F25" s="197">
        <v>1.9E-2</v>
      </c>
      <c r="G25" s="197">
        <v>3.4000000000000002E-2</v>
      </c>
      <c r="H25" s="197">
        <v>1.9E-2</v>
      </c>
      <c r="I25" s="197">
        <v>3.3000000000000002E-2</v>
      </c>
      <c r="J25" s="197">
        <v>1.9E-2</v>
      </c>
      <c r="K25" s="196">
        <v>3.3000000000000002E-2</v>
      </c>
    </row>
    <row r="26" spans="1:11" x14ac:dyDescent="0.35">
      <c r="A26" s="59" t="s">
        <v>241</v>
      </c>
      <c r="B26" s="197">
        <v>0</v>
      </c>
      <c r="C26" s="197">
        <v>0</v>
      </c>
      <c r="D26" s="197">
        <v>0</v>
      </c>
      <c r="E26" s="197">
        <v>0</v>
      </c>
      <c r="F26" s="197">
        <v>0</v>
      </c>
      <c r="G26" s="197">
        <v>0</v>
      </c>
      <c r="H26" s="197">
        <v>0</v>
      </c>
      <c r="I26" s="197">
        <v>0</v>
      </c>
      <c r="J26" s="197">
        <v>0</v>
      </c>
      <c r="K26" s="196">
        <v>0</v>
      </c>
    </row>
    <row r="27" spans="1:11" x14ac:dyDescent="0.35">
      <c r="A27" s="59" t="s">
        <v>1462</v>
      </c>
      <c r="B27" s="198">
        <v>4.0000000000000002E-4</v>
      </c>
      <c r="C27" s="197">
        <v>8.9999999999999993E-3</v>
      </c>
      <c r="D27" s="198">
        <v>4.0000000000000002E-4</v>
      </c>
      <c r="E27" s="197">
        <v>8.9999999999999993E-3</v>
      </c>
      <c r="F27" s="197">
        <v>4.0000000000000002E-4</v>
      </c>
      <c r="G27" s="197">
        <v>8.9999999999999993E-3</v>
      </c>
      <c r="H27" s="197">
        <v>4.0000000000000002E-4</v>
      </c>
      <c r="I27" s="197">
        <v>8.9999999999999993E-3</v>
      </c>
      <c r="J27" s="198">
        <v>4.0000000000000002E-4</v>
      </c>
      <c r="K27" s="196">
        <v>8.9999999999999993E-3</v>
      </c>
    </row>
    <row r="28" spans="1:11" x14ac:dyDescent="0.35">
      <c r="A28" s="59" t="s">
        <v>1493</v>
      </c>
      <c r="B28" s="198">
        <v>0</v>
      </c>
      <c r="C28" s="197">
        <v>0</v>
      </c>
      <c r="D28" s="198">
        <v>0</v>
      </c>
      <c r="E28" s="197">
        <v>0</v>
      </c>
      <c r="F28" s="197">
        <v>0</v>
      </c>
      <c r="G28" s="197">
        <v>0</v>
      </c>
      <c r="H28" s="197">
        <v>0</v>
      </c>
      <c r="I28" s="197">
        <v>0</v>
      </c>
      <c r="J28" s="198">
        <v>0</v>
      </c>
      <c r="K28" s="196">
        <v>0</v>
      </c>
    </row>
    <row r="29" spans="1:11" x14ac:dyDescent="0.35">
      <c r="A29" s="59" t="s">
        <v>1514</v>
      </c>
      <c r="B29" s="197">
        <v>6.5000000000000002E-2</v>
      </c>
      <c r="C29" s="197">
        <v>7.6999999999999999E-2</v>
      </c>
      <c r="D29" s="197">
        <v>6.5000000000000002E-2</v>
      </c>
      <c r="E29" s="197">
        <v>7.4999999999999997E-2</v>
      </c>
      <c r="F29" s="197">
        <v>6.5000000000000002E-2</v>
      </c>
      <c r="G29" s="197">
        <v>7.2999999999999995E-2</v>
      </c>
      <c r="H29" s="197">
        <v>6.5000000000000002E-2</v>
      </c>
      <c r="I29" s="197">
        <v>7.1999999999999995E-2</v>
      </c>
      <c r="J29" s="197">
        <v>6.5000000000000002E-2</v>
      </c>
      <c r="K29" s="196">
        <v>7.1999999999999995E-2</v>
      </c>
    </row>
    <row r="30" spans="1:11" x14ac:dyDescent="0.35">
      <c r="A30" s="59" t="s">
        <v>1504</v>
      </c>
      <c r="B30" s="197">
        <v>0</v>
      </c>
      <c r="C30" s="197">
        <v>0.38100000000000001</v>
      </c>
      <c r="D30" s="197">
        <v>0</v>
      </c>
      <c r="E30" s="197">
        <v>0.39700000000000002</v>
      </c>
      <c r="F30" s="197">
        <v>0</v>
      </c>
      <c r="G30" s="197">
        <v>0.41199999999999998</v>
      </c>
      <c r="H30" s="197">
        <v>0</v>
      </c>
      <c r="I30" s="197">
        <v>0.42599999999999999</v>
      </c>
      <c r="J30" s="197">
        <v>0</v>
      </c>
      <c r="K30" s="196">
        <v>0.42299999999999999</v>
      </c>
    </row>
    <row r="31" spans="1:11" x14ac:dyDescent="0.35">
      <c r="A31" s="59" t="s">
        <v>1497</v>
      </c>
      <c r="B31" s="197">
        <v>0.18099999999999999</v>
      </c>
      <c r="C31" s="197">
        <v>0.23599999999999999</v>
      </c>
      <c r="D31" s="197">
        <v>0.18099999999999999</v>
      </c>
      <c r="E31" s="197">
        <v>0.22900000000000001</v>
      </c>
      <c r="F31" s="197">
        <v>0.18099999999999999</v>
      </c>
      <c r="G31" s="197">
        <v>0.24299999999999999</v>
      </c>
      <c r="H31" s="197">
        <v>0.18099999999999999</v>
      </c>
      <c r="I31" s="197">
        <v>0.23799999999999999</v>
      </c>
      <c r="J31" s="197">
        <v>0.18099999999999999</v>
      </c>
      <c r="K31" s="196">
        <v>0.22</v>
      </c>
    </row>
    <row r="32" spans="1:11" x14ac:dyDescent="0.35">
      <c r="A32" s="59" t="s">
        <v>1457</v>
      </c>
      <c r="B32" s="197">
        <v>5.0000000000000001E-3</v>
      </c>
      <c r="C32" s="197">
        <v>8.9999999999999993E-3</v>
      </c>
      <c r="D32" s="197">
        <v>5.0000000000000001E-3</v>
      </c>
      <c r="E32" s="197">
        <v>8.0000000000000002E-3</v>
      </c>
      <c r="F32" s="197">
        <v>5.0000000000000001E-3</v>
      </c>
      <c r="G32" s="197">
        <v>8.0000000000000002E-3</v>
      </c>
      <c r="H32" s="197">
        <v>5.0000000000000001E-3</v>
      </c>
      <c r="I32" s="197">
        <v>8.0000000000000002E-3</v>
      </c>
      <c r="J32" s="197">
        <v>5.0000000000000001E-3</v>
      </c>
      <c r="K32" s="196">
        <v>8.0000000000000002E-3</v>
      </c>
    </row>
    <row r="33" spans="1:11" x14ac:dyDescent="0.35">
      <c r="A33" s="57" t="s">
        <v>1466</v>
      </c>
      <c r="B33" s="194">
        <v>3.9599999999999969E-2</v>
      </c>
      <c r="C33" s="194">
        <v>4.9999999999999933E-2</v>
      </c>
      <c r="D33" s="194">
        <v>3.9599999999999969E-2</v>
      </c>
      <c r="E33" s="194">
        <v>4.9999999999999933E-2</v>
      </c>
      <c r="F33" s="194">
        <v>3.9599999999999969E-2</v>
      </c>
      <c r="G33" s="194">
        <v>4.9000000000000044E-2</v>
      </c>
      <c r="H33" s="194">
        <v>3.9599999999999969E-2</v>
      </c>
      <c r="I33" s="194">
        <v>4.500000000000004E-2</v>
      </c>
      <c r="J33" s="194">
        <v>3.9599999999999969E-2</v>
      </c>
      <c r="K33" s="193">
        <v>4.7000000000000042E-2</v>
      </c>
    </row>
    <row r="34" spans="1:11" ht="13.15" x14ac:dyDescent="0.4">
      <c r="A34" s="131" t="s">
        <v>1830</v>
      </c>
      <c r="B34" s="101"/>
      <c r="C34" s="101"/>
      <c r="D34" s="101"/>
      <c r="E34" s="101"/>
      <c r="F34" s="101"/>
      <c r="G34" s="101"/>
      <c r="H34" s="101"/>
      <c r="I34" s="101"/>
      <c r="J34" s="101"/>
      <c r="K34" s="60"/>
    </row>
    <row r="35" spans="1:11" x14ac:dyDescent="0.35">
      <c r="A35" s="59" t="s">
        <v>1438</v>
      </c>
      <c r="B35" s="197">
        <v>0.39500000000000002</v>
      </c>
      <c r="C35" s="197">
        <v>0.54800000000000004</v>
      </c>
      <c r="D35" s="197">
        <v>0.48399999999999999</v>
      </c>
      <c r="E35" s="197">
        <v>0.59599999999999997</v>
      </c>
      <c r="F35" s="197">
        <v>0.502</v>
      </c>
      <c r="G35" s="197">
        <v>0.60699999999999998</v>
      </c>
      <c r="H35" s="197">
        <v>0.5</v>
      </c>
      <c r="I35" s="197">
        <v>0</v>
      </c>
      <c r="J35" s="197">
        <v>0.18710919904856269</v>
      </c>
      <c r="K35" s="196">
        <v>0.18710919904856269</v>
      </c>
    </row>
    <row r="36" spans="1:11" x14ac:dyDescent="0.35">
      <c r="A36" s="59" t="s">
        <v>1495</v>
      </c>
      <c r="B36" s="197">
        <v>0</v>
      </c>
      <c r="C36" s="197">
        <v>3.5999999999999997E-2</v>
      </c>
      <c r="D36" s="197">
        <v>0</v>
      </c>
      <c r="E36" s="197">
        <v>3.2000000000000001E-2</v>
      </c>
      <c r="F36" s="197">
        <v>0</v>
      </c>
      <c r="G36" s="197">
        <v>0.03</v>
      </c>
      <c r="H36" s="197">
        <v>0</v>
      </c>
      <c r="I36" s="197">
        <v>0</v>
      </c>
      <c r="J36" s="197">
        <v>0.31347914244110364</v>
      </c>
      <c r="K36" s="196">
        <v>0.31347914244110364</v>
      </c>
    </row>
    <row r="37" spans="1:11" x14ac:dyDescent="0.35">
      <c r="A37" s="59" t="s">
        <v>1512</v>
      </c>
      <c r="B37" s="197">
        <v>0.28599999999999998</v>
      </c>
      <c r="C37" s="197">
        <v>5.2999999999999999E-2</v>
      </c>
      <c r="D37" s="197">
        <v>0.24</v>
      </c>
      <c r="E37" s="197">
        <v>4.7E-2</v>
      </c>
      <c r="F37" s="197">
        <v>0.22800000000000001</v>
      </c>
      <c r="G37" s="197">
        <v>4.3999999999999997E-2</v>
      </c>
      <c r="H37" s="197">
        <v>0</v>
      </c>
      <c r="I37" s="197">
        <v>0</v>
      </c>
      <c r="J37" s="197">
        <v>7.6391227457442282E-4</v>
      </c>
      <c r="K37" s="196">
        <v>7.6391227457442282E-4</v>
      </c>
    </row>
    <row r="38" spans="1:11" x14ac:dyDescent="0.35">
      <c r="A38" s="59" t="s">
        <v>1446</v>
      </c>
      <c r="B38" s="197">
        <v>0</v>
      </c>
      <c r="C38" s="197">
        <v>1.7999999999999999E-2</v>
      </c>
      <c r="D38" s="197">
        <v>0</v>
      </c>
      <c r="E38" s="197">
        <v>2.5000000000000001E-2</v>
      </c>
      <c r="F38" s="197">
        <v>0</v>
      </c>
      <c r="G38" s="197">
        <v>2.7E-2</v>
      </c>
      <c r="H38" s="197">
        <v>0</v>
      </c>
      <c r="I38" s="197">
        <v>0.3</v>
      </c>
      <c r="J38" s="197">
        <v>0.16794927778569879</v>
      </c>
      <c r="K38" s="196">
        <v>0.16794927778569879</v>
      </c>
    </row>
    <row r="39" spans="1:11" x14ac:dyDescent="0.35">
      <c r="A39" s="59" t="s">
        <v>1445</v>
      </c>
      <c r="B39" s="197">
        <v>0.17100000000000001</v>
      </c>
      <c r="C39" s="197">
        <v>0.17799999999999999</v>
      </c>
      <c r="D39" s="197">
        <v>0.14399999999999999</v>
      </c>
      <c r="E39" s="197">
        <v>0.158</v>
      </c>
      <c r="F39" s="197">
        <v>0.13700000000000001</v>
      </c>
      <c r="G39" s="197">
        <v>0.14899999999999999</v>
      </c>
      <c r="H39" s="197">
        <v>0</v>
      </c>
      <c r="I39" s="197">
        <v>0</v>
      </c>
      <c r="J39" s="197">
        <v>0</v>
      </c>
      <c r="K39" s="196">
        <v>0</v>
      </c>
    </row>
    <row r="40" spans="1:11" x14ac:dyDescent="0.35">
      <c r="A40" s="59" t="s">
        <v>1498</v>
      </c>
      <c r="B40" s="197">
        <v>2.9000000000000001E-2</v>
      </c>
      <c r="C40" s="197">
        <v>3.7999999999999999E-2</v>
      </c>
      <c r="D40" s="197">
        <v>2.5999999999999999E-2</v>
      </c>
      <c r="E40" s="197">
        <v>3.2000000000000001E-2</v>
      </c>
      <c r="F40" s="197">
        <v>2.8000000000000001E-2</v>
      </c>
      <c r="G40" s="197">
        <v>3.4000000000000002E-2</v>
      </c>
      <c r="H40" s="197">
        <v>0.20499999999999999</v>
      </c>
      <c r="I40" s="197">
        <v>0.28299999999999997</v>
      </c>
      <c r="J40" s="197">
        <v>1.7274919301796213E-2</v>
      </c>
      <c r="K40" s="196">
        <v>1.7274919301796213E-2</v>
      </c>
    </row>
    <row r="41" spans="1:11" x14ac:dyDescent="0.35">
      <c r="A41" s="59" t="s">
        <v>1427</v>
      </c>
      <c r="B41" s="197">
        <v>0</v>
      </c>
      <c r="C41" s="197">
        <v>0</v>
      </c>
      <c r="D41" s="197">
        <v>0</v>
      </c>
      <c r="E41" s="197">
        <v>0</v>
      </c>
      <c r="F41" s="197">
        <v>0</v>
      </c>
      <c r="G41" s="197">
        <v>0</v>
      </c>
      <c r="H41" s="197">
        <v>0</v>
      </c>
      <c r="I41" s="197">
        <v>0</v>
      </c>
      <c r="J41" s="197">
        <v>0</v>
      </c>
      <c r="K41" s="196">
        <v>0</v>
      </c>
    </row>
    <row r="42" spans="1:11" x14ac:dyDescent="0.35">
      <c r="A42" s="59" t="s">
        <v>1493</v>
      </c>
      <c r="B42" s="197">
        <v>0</v>
      </c>
      <c r="C42" s="197">
        <v>0</v>
      </c>
      <c r="D42" s="197">
        <v>0</v>
      </c>
      <c r="E42" s="197">
        <v>0</v>
      </c>
      <c r="F42" s="197">
        <v>0</v>
      </c>
      <c r="G42" s="197">
        <v>0</v>
      </c>
      <c r="H42" s="197">
        <v>0</v>
      </c>
      <c r="I42" s="197">
        <v>0</v>
      </c>
      <c r="J42" s="197">
        <v>2.5916749175188158E-2</v>
      </c>
      <c r="K42" s="196">
        <v>2.5916749175188158E-2</v>
      </c>
    </row>
    <row r="43" spans="1:11" x14ac:dyDescent="0.35">
      <c r="A43" s="59" t="s">
        <v>1497</v>
      </c>
      <c r="B43" s="197">
        <v>9.2999999999999999E-2</v>
      </c>
      <c r="C43" s="197">
        <v>0.111</v>
      </c>
      <c r="D43" s="197">
        <v>8.4000000000000005E-2</v>
      </c>
      <c r="E43" s="197">
        <v>9.4E-2</v>
      </c>
      <c r="F43" s="197">
        <v>8.4000000000000005E-2</v>
      </c>
      <c r="G43" s="197">
        <v>9.4E-2</v>
      </c>
      <c r="H43" s="197">
        <v>0.29499999999999998</v>
      </c>
      <c r="I43" s="197">
        <v>0.40699999999999997</v>
      </c>
      <c r="J43" s="197">
        <v>0.16617678413030071</v>
      </c>
      <c r="K43" s="196">
        <v>0.16617678413030071</v>
      </c>
    </row>
    <row r="44" spans="1:11" x14ac:dyDescent="0.35">
      <c r="A44" s="59" t="s">
        <v>1457</v>
      </c>
      <c r="B44" s="197">
        <v>2.5999999999999999E-2</v>
      </c>
      <c r="C44" s="197">
        <v>1.7999999999999999E-2</v>
      </c>
      <c r="D44" s="197">
        <v>2.1999999999999999E-2</v>
      </c>
      <c r="E44" s="197">
        <v>1.6E-2</v>
      </c>
      <c r="F44" s="197">
        <v>2.1000000000000001E-2</v>
      </c>
      <c r="G44" s="197">
        <v>1.4999999999999999E-2</v>
      </c>
      <c r="H44" s="197">
        <v>0</v>
      </c>
      <c r="I44" s="197">
        <v>0</v>
      </c>
      <c r="J44" s="197">
        <v>6.4615988571509395E-2</v>
      </c>
      <c r="K44" s="196">
        <v>6.4615988571509395E-2</v>
      </c>
    </row>
    <row r="45" spans="1:11" x14ac:dyDescent="0.35">
      <c r="A45" s="59" t="s">
        <v>1504</v>
      </c>
      <c r="B45" s="197">
        <v>0</v>
      </c>
      <c r="C45" s="197">
        <v>0</v>
      </c>
      <c r="D45" s="197">
        <v>0</v>
      </c>
      <c r="E45" s="197">
        <v>0</v>
      </c>
      <c r="F45" s="197">
        <v>0</v>
      </c>
      <c r="G45" s="197">
        <v>0</v>
      </c>
      <c r="H45" s="197">
        <v>0</v>
      </c>
      <c r="I45" s="197">
        <v>0</v>
      </c>
      <c r="J45" s="197">
        <v>0</v>
      </c>
      <c r="K45" s="196">
        <v>0</v>
      </c>
    </row>
    <row r="46" spans="1:11" x14ac:dyDescent="0.35">
      <c r="A46" s="59" t="s">
        <v>1511</v>
      </c>
      <c r="B46" s="197">
        <v>0</v>
      </c>
      <c r="C46" s="197">
        <v>0</v>
      </c>
      <c r="D46" s="197">
        <v>0</v>
      </c>
      <c r="E46" s="197">
        <v>0</v>
      </c>
      <c r="F46" s="197">
        <v>0</v>
      </c>
      <c r="G46" s="197">
        <v>0</v>
      </c>
      <c r="H46" s="197">
        <v>0</v>
      </c>
      <c r="I46" s="197">
        <v>0</v>
      </c>
      <c r="J46" s="197">
        <v>6.1984188925405387E-3</v>
      </c>
      <c r="K46" s="196">
        <v>6.1984188925405387E-3</v>
      </c>
    </row>
    <row r="47" spans="1:11" x14ac:dyDescent="0.35">
      <c r="A47" s="59" t="s">
        <v>1510</v>
      </c>
      <c r="B47" s="197">
        <v>0</v>
      </c>
      <c r="C47" s="197">
        <v>0</v>
      </c>
      <c r="D47" s="197">
        <v>0</v>
      </c>
      <c r="E47" s="197">
        <v>0</v>
      </c>
      <c r="F47" s="197">
        <v>0</v>
      </c>
      <c r="G47" s="197">
        <v>0</v>
      </c>
      <c r="H47" s="197">
        <v>0</v>
      </c>
      <c r="I47" s="197">
        <v>0</v>
      </c>
      <c r="J47" s="197">
        <v>2.1400740290504861E-2</v>
      </c>
      <c r="K47" s="196">
        <v>2.1400740290504861E-2</v>
      </c>
    </row>
    <row r="48" spans="1:11" x14ac:dyDescent="0.35">
      <c r="A48" s="59" t="s">
        <v>1509</v>
      </c>
      <c r="B48" s="197">
        <v>0</v>
      </c>
      <c r="C48" s="197">
        <v>0</v>
      </c>
      <c r="D48" s="197">
        <v>0</v>
      </c>
      <c r="E48" s="197">
        <v>0</v>
      </c>
      <c r="F48" s="197">
        <v>0</v>
      </c>
      <c r="G48" s="197">
        <v>0</v>
      </c>
      <c r="H48" s="197">
        <v>0</v>
      </c>
      <c r="I48" s="197">
        <v>0</v>
      </c>
      <c r="J48" s="197">
        <v>2.565086908263094E-2</v>
      </c>
      <c r="K48" s="196">
        <v>2.565086908263094E-2</v>
      </c>
    </row>
    <row r="49" spans="1:11" x14ac:dyDescent="0.35">
      <c r="A49" s="59" t="s">
        <v>1508</v>
      </c>
      <c r="B49" s="197">
        <v>0</v>
      </c>
      <c r="C49" s="197">
        <v>0</v>
      </c>
      <c r="D49" s="197">
        <v>0</v>
      </c>
      <c r="E49" s="197">
        <v>0</v>
      </c>
      <c r="F49" s="197">
        <v>0</v>
      </c>
      <c r="G49" s="197">
        <v>0</v>
      </c>
      <c r="H49" s="197">
        <v>0</v>
      </c>
      <c r="I49" s="197">
        <v>0</v>
      </c>
      <c r="J49" s="197">
        <v>0</v>
      </c>
      <c r="K49" s="196">
        <v>0</v>
      </c>
    </row>
    <row r="50" spans="1:11" x14ac:dyDescent="0.35">
      <c r="A50" s="59" t="s">
        <v>1507</v>
      </c>
      <c r="B50" s="197">
        <v>2.0000000000000002E-5</v>
      </c>
      <c r="C50" s="197">
        <v>3.0000000000000001E-5</v>
      </c>
      <c r="D50" s="197">
        <v>2.0000000000000002E-5</v>
      </c>
      <c r="E50" s="197">
        <v>2.0000000000000002E-5</v>
      </c>
      <c r="F50" s="197">
        <v>2.0000000000000002E-5</v>
      </c>
      <c r="G50" s="197">
        <v>2.0000000000000002E-5</v>
      </c>
      <c r="H50" s="197">
        <v>0</v>
      </c>
      <c r="I50" s="197">
        <v>0</v>
      </c>
      <c r="J50" s="197">
        <v>1.7668053030533081E-4</v>
      </c>
      <c r="K50" s="196">
        <v>1.7668053030533081E-4</v>
      </c>
    </row>
    <row r="51" spans="1:11" x14ac:dyDescent="0.35">
      <c r="A51" s="59" t="s">
        <v>1506</v>
      </c>
      <c r="B51" s="197">
        <v>0</v>
      </c>
      <c r="C51" s="197">
        <v>0</v>
      </c>
      <c r="D51" s="197">
        <v>0</v>
      </c>
      <c r="E51" s="197">
        <v>0</v>
      </c>
      <c r="F51" s="197">
        <v>0</v>
      </c>
      <c r="G51" s="197">
        <v>0</v>
      </c>
      <c r="H51" s="197">
        <v>0</v>
      </c>
      <c r="I51" s="197">
        <v>0</v>
      </c>
      <c r="J51" s="197">
        <v>2.7278836091788705E-3</v>
      </c>
      <c r="K51" s="196">
        <v>2.7278836091788705E-3</v>
      </c>
    </row>
    <row r="52" spans="1:11" x14ac:dyDescent="0.35">
      <c r="A52" s="59" t="s">
        <v>1460</v>
      </c>
      <c r="B52" s="197">
        <v>0</v>
      </c>
      <c r="C52" s="197">
        <v>0</v>
      </c>
      <c r="D52" s="197">
        <v>0</v>
      </c>
      <c r="E52" s="197">
        <v>0</v>
      </c>
      <c r="F52" s="197">
        <v>0</v>
      </c>
      <c r="G52" s="197">
        <v>0</v>
      </c>
      <c r="H52" s="197">
        <v>0</v>
      </c>
      <c r="I52" s="197">
        <v>0</v>
      </c>
      <c r="J52" s="197">
        <v>1.912608023438235E-5</v>
      </c>
      <c r="K52" s="196">
        <v>1.912608023438235E-5</v>
      </c>
    </row>
    <row r="53" spans="1:11" x14ac:dyDescent="0.35">
      <c r="A53" s="59" t="s">
        <v>1449</v>
      </c>
      <c r="B53" s="197">
        <v>0</v>
      </c>
      <c r="C53" s="197">
        <v>0</v>
      </c>
      <c r="D53" s="197">
        <v>0</v>
      </c>
      <c r="E53" s="197">
        <v>0</v>
      </c>
      <c r="F53" s="197">
        <v>0</v>
      </c>
      <c r="G53" s="197">
        <v>0</v>
      </c>
      <c r="H53" s="197">
        <v>0</v>
      </c>
      <c r="I53" s="197">
        <v>0</v>
      </c>
      <c r="J53" s="197">
        <v>5.4030878587086771E-4</v>
      </c>
      <c r="K53" s="196">
        <v>5.4030878587086771E-4</v>
      </c>
    </row>
    <row r="54" spans="1:11" x14ac:dyDescent="0.35">
      <c r="A54" s="57" t="s">
        <v>1466</v>
      </c>
      <c r="B54" s="194">
        <v>-1.9999999999908979E-5</v>
      </c>
      <c r="C54" s="194">
        <v>-3.0000000000196536E-5</v>
      </c>
      <c r="D54" s="194">
        <v>-1.9999999999908979E-5</v>
      </c>
      <c r="E54" s="194">
        <v>-1.9999999999908979E-5</v>
      </c>
      <c r="F54" s="194">
        <v>-1.9999999999908979E-5</v>
      </c>
      <c r="G54" s="194">
        <v>-1.9999999999908979E-5</v>
      </c>
      <c r="H54" s="194">
        <v>0</v>
      </c>
      <c r="I54" s="194">
        <v>1.0000000000000009E-2</v>
      </c>
      <c r="J54" s="194">
        <v>0</v>
      </c>
      <c r="K54" s="193">
        <v>0</v>
      </c>
    </row>
    <row r="55" spans="1:11" ht="13.15" x14ac:dyDescent="0.4">
      <c r="A55" s="131" t="s">
        <v>1505</v>
      </c>
      <c r="B55" s="101"/>
      <c r="C55" s="101"/>
      <c r="D55" s="101"/>
      <c r="E55" s="101"/>
      <c r="F55" s="101"/>
      <c r="G55" s="101"/>
      <c r="H55" s="101"/>
      <c r="I55" s="101"/>
      <c r="J55" s="101"/>
      <c r="K55" s="60"/>
    </row>
    <row r="56" spans="1:11" x14ac:dyDescent="0.35">
      <c r="A56" s="59" t="s">
        <v>1438</v>
      </c>
      <c r="B56" s="197">
        <v>0.3</v>
      </c>
      <c r="C56" s="197">
        <v>0.3</v>
      </c>
      <c r="D56" s="197">
        <v>0.60499999999999998</v>
      </c>
      <c r="E56" s="197">
        <v>0.60499999999999998</v>
      </c>
      <c r="F56" s="197">
        <v>0.60499999999999998</v>
      </c>
      <c r="G56" s="197">
        <v>0.60499999999999998</v>
      </c>
      <c r="H56" s="197">
        <v>0.60499999999999998</v>
      </c>
      <c r="I56" s="197">
        <v>0.60499999999999998</v>
      </c>
      <c r="J56" s="197">
        <v>0.60499999999999998</v>
      </c>
      <c r="K56" s="196">
        <v>0.60499999999999998</v>
      </c>
    </row>
    <row r="57" spans="1:11" x14ac:dyDescent="0.35">
      <c r="A57" s="59" t="s">
        <v>1447</v>
      </c>
      <c r="B57" s="197">
        <v>0</v>
      </c>
      <c r="C57" s="197">
        <v>0</v>
      </c>
      <c r="D57" s="197">
        <v>0.189</v>
      </c>
      <c r="E57" s="197">
        <v>0.189</v>
      </c>
      <c r="F57" s="197">
        <v>0.189</v>
      </c>
      <c r="G57" s="197">
        <v>0.189</v>
      </c>
      <c r="H57" s="197">
        <v>0.189</v>
      </c>
      <c r="I57" s="197">
        <v>0.189</v>
      </c>
      <c r="J57" s="197">
        <v>0.189</v>
      </c>
      <c r="K57" s="196">
        <v>0.189</v>
      </c>
    </row>
    <row r="58" spans="1:11" x14ac:dyDescent="0.35">
      <c r="A58" s="59" t="s">
        <v>1502</v>
      </c>
      <c r="B58" s="197">
        <v>0.3</v>
      </c>
      <c r="C58" s="197">
        <v>0</v>
      </c>
      <c r="D58" s="197">
        <v>0</v>
      </c>
      <c r="E58" s="197">
        <v>0</v>
      </c>
      <c r="F58" s="197">
        <v>0</v>
      </c>
      <c r="G58" s="197">
        <v>0</v>
      </c>
      <c r="H58" s="197">
        <v>0</v>
      </c>
      <c r="I58" s="197">
        <v>0</v>
      </c>
      <c r="J58" s="197">
        <v>0</v>
      </c>
      <c r="K58" s="196">
        <v>0</v>
      </c>
    </row>
    <row r="59" spans="1:11" x14ac:dyDescent="0.35">
      <c r="A59" s="59" t="s">
        <v>1427</v>
      </c>
      <c r="B59" s="197">
        <v>0</v>
      </c>
      <c r="C59" s="197">
        <v>0</v>
      </c>
      <c r="D59" s="197">
        <v>0</v>
      </c>
      <c r="E59" s="197">
        <v>0</v>
      </c>
      <c r="F59" s="197">
        <v>0</v>
      </c>
      <c r="G59" s="197">
        <v>0</v>
      </c>
      <c r="H59" s="197">
        <v>0</v>
      </c>
      <c r="I59" s="197">
        <v>0</v>
      </c>
      <c r="J59" s="197">
        <v>0</v>
      </c>
      <c r="K59" s="196">
        <v>0</v>
      </c>
    </row>
    <row r="60" spans="1:11" x14ac:dyDescent="0.35">
      <c r="A60" s="59" t="s">
        <v>1446</v>
      </c>
      <c r="B60" s="197">
        <v>0.3</v>
      </c>
      <c r="C60" s="197">
        <v>0.3</v>
      </c>
      <c r="D60" s="197">
        <v>0.2</v>
      </c>
      <c r="E60" s="197">
        <v>0.2</v>
      </c>
      <c r="F60" s="197">
        <v>0.2</v>
      </c>
      <c r="G60" s="197">
        <v>0.2</v>
      </c>
      <c r="H60" s="197">
        <v>0.2</v>
      </c>
      <c r="I60" s="197">
        <v>0.2</v>
      </c>
      <c r="J60" s="197">
        <v>0.2</v>
      </c>
      <c r="K60" s="196">
        <v>0.2</v>
      </c>
    </row>
    <row r="61" spans="1:11" x14ac:dyDescent="0.35">
      <c r="A61" s="59" t="s">
        <v>1445</v>
      </c>
      <c r="B61" s="197">
        <v>0</v>
      </c>
      <c r="C61" s="197">
        <v>0.3</v>
      </c>
      <c r="D61" s="197">
        <v>0</v>
      </c>
      <c r="E61" s="197">
        <v>0</v>
      </c>
      <c r="F61" s="197">
        <v>0</v>
      </c>
      <c r="G61" s="197">
        <v>0</v>
      </c>
      <c r="H61" s="197">
        <v>0</v>
      </c>
      <c r="I61" s="197">
        <v>0</v>
      </c>
      <c r="J61" s="197">
        <v>0</v>
      </c>
      <c r="K61" s="196">
        <v>0</v>
      </c>
    </row>
    <row r="62" spans="1:11" x14ac:dyDescent="0.35">
      <c r="A62" s="59" t="s">
        <v>1504</v>
      </c>
      <c r="B62" s="197">
        <v>0</v>
      </c>
      <c r="C62" s="197">
        <v>0</v>
      </c>
      <c r="D62" s="197">
        <v>0</v>
      </c>
      <c r="E62" s="197">
        <v>0</v>
      </c>
      <c r="F62" s="197">
        <v>0</v>
      </c>
      <c r="G62" s="197">
        <v>0</v>
      </c>
      <c r="H62" s="197">
        <v>0</v>
      </c>
      <c r="I62" s="197">
        <v>0</v>
      </c>
      <c r="J62" s="197">
        <v>0</v>
      </c>
      <c r="K62" s="196">
        <v>0</v>
      </c>
    </row>
    <row r="63" spans="1:11" x14ac:dyDescent="0.35">
      <c r="A63" s="59" t="s">
        <v>1497</v>
      </c>
      <c r="B63" s="197">
        <v>0.05</v>
      </c>
      <c r="C63" s="197">
        <v>0.05</v>
      </c>
      <c r="D63" s="197">
        <v>2E-3</v>
      </c>
      <c r="E63" s="197">
        <v>2E-3</v>
      </c>
      <c r="F63" s="197">
        <v>2E-3</v>
      </c>
      <c r="G63" s="197">
        <v>2E-3</v>
      </c>
      <c r="H63" s="197">
        <v>2E-3</v>
      </c>
      <c r="I63" s="197">
        <v>2E-3</v>
      </c>
      <c r="J63" s="197">
        <v>2E-3</v>
      </c>
      <c r="K63" s="196">
        <v>2E-3</v>
      </c>
    </row>
    <row r="64" spans="1:11" x14ac:dyDescent="0.35">
      <c r="A64" s="59" t="s">
        <v>1457</v>
      </c>
      <c r="B64" s="197">
        <v>0.05</v>
      </c>
      <c r="C64" s="197">
        <v>0.05</v>
      </c>
      <c r="D64" s="197">
        <v>0</v>
      </c>
      <c r="E64" s="197">
        <v>0</v>
      </c>
      <c r="F64" s="197">
        <v>0</v>
      </c>
      <c r="G64" s="197">
        <v>0</v>
      </c>
      <c r="H64" s="197">
        <v>0</v>
      </c>
      <c r="I64" s="197">
        <v>0</v>
      </c>
      <c r="J64" s="197">
        <v>0</v>
      </c>
      <c r="K64" s="196">
        <v>0</v>
      </c>
    </row>
    <row r="65" spans="1:11" x14ac:dyDescent="0.35">
      <c r="A65" s="57" t="s">
        <v>1466</v>
      </c>
      <c r="B65" s="194">
        <v>0</v>
      </c>
      <c r="C65" s="194">
        <v>0</v>
      </c>
      <c r="D65" s="194">
        <v>4.0000000000000036E-3</v>
      </c>
      <c r="E65" s="194">
        <v>4.0000000000000036E-3</v>
      </c>
      <c r="F65" s="194">
        <v>4.0000000000000036E-3</v>
      </c>
      <c r="G65" s="194">
        <v>4.0000000000000036E-3</v>
      </c>
      <c r="H65" s="194">
        <v>4.0000000000000036E-3</v>
      </c>
      <c r="I65" s="194">
        <v>4.0000000000000036E-3</v>
      </c>
      <c r="J65" s="194">
        <v>4.0000000000000036E-3</v>
      </c>
      <c r="K65" s="193">
        <v>4.0000000000000036E-3</v>
      </c>
    </row>
    <row r="66" spans="1:11" ht="13.15" x14ac:dyDescent="0.4">
      <c r="A66" s="131" t="s">
        <v>1503</v>
      </c>
      <c r="B66" s="101"/>
      <c r="C66" s="101"/>
      <c r="D66" s="101"/>
      <c r="E66" s="101"/>
      <c r="F66" s="101"/>
      <c r="G66" s="101"/>
      <c r="H66" s="101"/>
      <c r="I66" s="101"/>
      <c r="J66" s="101"/>
      <c r="K66" s="60"/>
    </row>
    <row r="67" spans="1:11" x14ac:dyDescent="0.35">
      <c r="A67" s="59" t="s">
        <v>1438</v>
      </c>
      <c r="B67" s="197">
        <v>0.84099999999999997</v>
      </c>
      <c r="C67" s="197">
        <v>0.36899999999999999</v>
      </c>
      <c r="D67" s="197">
        <v>0.84099999999999997</v>
      </c>
      <c r="E67" s="197">
        <v>0.35599999999999998</v>
      </c>
      <c r="F67" s="197">
        <v>0.84099999999999997</v>
      </c>
      <c r="G67" s="197">
        <v>0.34799999999999998</v>
      </c>
      <c r="H67" s="197">
        <v>0.84099999999999997</v>
      </c>
      <c r="I67" s="197">
        <v>0.34300000000000003</v>
      </c>
      <c r="J67" s="197">
        <v>0.84099999999999997</v>
      </c>
      <c r="K67" s="196">
        <v>0.34399999999999997</v>
      </c>
    </row>
    <row r="68" spans="1:11" x14ac:dyDescent="0.35">
      <c r="A68" s="59" t="s">
        <v>1502</v>
      </c>
      <c r="B68" s="197">
        <v>6.9000000000000006E-2</v>
      </c>
      <c r="C68" s="197">
        <v>8.6999999999999994E-2</v>
      </c>
      <c r="D68" s="197">
        <v>6.9000000000000006E-2</v>
      </c>
      <c r="E68" s="197">
        <v>8.6999999999999994E-2</v>
      </c>
      <c r="F68" s="197">
        <v>6.9000000000000006E-2</v>
      </c>
      <c r="G68" s="197">
        <v>8.8999999999999996E-2</v>
      </c>
      <c r="H68" s="197">
        <v>6.9000000000000006E-2</v>
      </c>
      <c r="I68" s="197">
        <v>9.1999999999999998E-2</v>
      </c>
      <c r="J68" s="197">
        <v>6.9000000000000006E-2</v>
      </c>
      <c r="K68" s="196">
        <v>9.0999999999999998E-2</v>
      </c>
    </row>
    <row r="69" spans="1:11" x14ac:dyDescent="0.35">
      <c r="A69" s="59" t="s">
        <v>1446</v>
      </c>
      <c r="B69" s="197">
        <v>0</v>
      </c>
      <c r="C69" s="197">
        <v>2.3E-2</v>
      </c>
      <c r="D69" s="197">
        <v>0</v>
      </c>
      <c r="E69" s="197">
        <v>2.1999999999999999E-2</v>
      </c>
      <c r="F69" s="197">
        <v>0</v>
      </c>
      <c r="G69" s="197">
        <v>2.1000000000000001E-2</v>
      </c>
      <c r="H69" s="197">
        <v>0</v>
      </c>
      <c r="I69" s="197">
        <v>0.02</v>
      </c>
      <c r="J69" s="197">
        <v>0</v>
      </c>
      <c r="K69" s="196">
        <v>0.02</v>
      </c>
    </row>
    <row r="70" spans="1:11" x14ac:dyDescent="0.35">
      <c r="A70" s="59" t="s">
        <v>1445</v>
      </c>
      <c r="B70" s="197">
        <v>0.01</v>
      </c>
      <c r="C70" s="197">
        <v>0.31</v>
      </c>
      <c r="D70" s="197">
        <v>0.01</v>
      </c>
      <c r="E70" s="197">
        <v>0.33200000000000002</v>
      </c>
      <c r="F70" s="197">
        <v>0.01</v>
      </c>
      <c r="G70" s="197">
        <v>0.34200000000000003</v>
      </c>
      <c r="H70" s="197">
        <v>0.01</v>
      </c>
      <c r="I70" s="197">
        <v>0.34699999999999998</v>
      </c>
      <c r="J70" s="197">
        <v>0.01</v>
      </c>
      <c r="K70" s="196">
        <v>0.34599999999999997</v>
      </c>
    </row>
    <row r="71" spans="1:11" x14ac:dyDescent="0.35">
      <c r="A71" s="59" t="s">
        <v>1498</v>
      </c>
      <c r="B71" s="197">
        <v>1.2E-2</v>
      </c>
      <c r="C71" s="197">
        <v>2.1000000000000001E-2</v>
      </c>
      <c r="D71" s="197">
        <v>1.2E-2</v>
      </c>
      <c r="E71" s="197">
        <v>0.02</v>
      </c>
      <c r="F71" s="197">
        <v>1.2E-2</v>
      </c>
      <c r="G71" s="197">
        <v>1.9E-2</v>
      </c>
      <c r="H71" s="197">
        <v>1.2E-2</v>
      </c>
      <c r="I71" s="197">
        <v>1.7999999999999999E-2</v>
      </c>
      <c r="J71" s="197">
        <v>1.2E-2</v>
      </c>
      <c r="K71" s="196">
        <v>1.7999999999999999E-2</v>
      </c>
    </row>
    <row r="72" spans="1:11" x14ac:dyDescent="0.35">
      <c r="A72" s="59" t="s">
        <v>241</v>
      </c>
      <c r="B72" s="197">
        <v>0</v>
      </c>
      <c r="C72" s="197">
        <v>0</v>
      </c>
      <c r="D72" s="197">
        <v>0</v>
      </c>
      <c r="E72" s="197">
        <v>0</v>
      </c>
      <c r="F72" s="197">
        <v>0</v>
      </c>
      <c r="G72" s="197">
        <v>0</v>
      </c>
      <c r="H72" s="197">
        <v>0</v>
      </c>
      <c r="I72" s="197">
        <v>0</v>
      </c>
      <c r="J72" s="197">
        <v>0</v>
      </c>
      <c r="K72" s="196">
        <v>0</v>
      </c>
    </row>
    <row r="73" spans="1:11" x14ac:dyDescent="0.35">
      <c r="A73" s="59" t="s">
        <v>1427</v>
      </c>
      <c r="B73" s="197">
        <v>0</v>
      </c>
      <c r="C73" s="197">
        <v>0</v>
      </c>
      <c r="D73" s="197">
        <v>0</v>
      </c>
      <c r="E73" s="197">
        <v>0</v>
      </c>
      <c r="F73" s="197">
        <v>0</v>
      </c>
      <c r="G73" s="197">
        <v>0</v>
      </c>
      <c r="H73" s="197">
        <v>0</v>
      </c>
      <c r="I73" s="197">
        <v>0</v>
      </c>
      <c r="J73" s="197">
        <v>0</v>
      </c>
      <c r="K73" s="196">
        <v>0</v>
      </c>
    </row>
    <row r="74" spans="1:11" x14ac:dyDescent="0.35">
      <c r="A74" s="59" t="s">
        <v>1493</v>
      </c>
      <c r="B74" s="197">
        <v>0</v>
      </c>
      <c r="C74" s="197">
        <v>7.8E-2</v>
      </c>
      <c r="D74" s="197">
        <v>0</v>
      </c>
      <c r="E74" s="197">
        <v>7.8E-2</v>
      </c>
      <c r="F74" s="197">
        <v>0</v>
      </c>
      <c r="G74" s="197">
        <v>0.08</v>
      </c>
      <c r="H74" s="197">
        <v>0</v>
      </c>
      <c r="I74" s="197">
        <v>8.3000000000000004E-2</v>
      </c>
      <c r="J74" s="197">
        <v>0</v>
      </c>
      <c r="K74" s="196">
        <v>8.2000000000000003E-2</v>
      </c>
    </row>
    <row r="75" spans="1:11" x14ac:dyDescent="0.35">
      <c r="A75" s="59" t="s">
        <v>1497</v>
      </c>
      <c r="B75" s="197">
        <v>1.7999999999999999E-2</v>
      </c>
      <c r="C75" s="197">
        <v>3.1E-2</v>
      </c>
      <c r="D75" s="197">
        <v>1.7999999999999999E-2</v>
      </c>
      <c r="E75" s="197">
        <v>2.9000000000000001E-2</v>
      </c>
      <c r="F75" s="197">
        <v>1.7999999999999999E-2</v>
      </c>
      <c r="G75" s="197">
        <v>2.7E-2</v>
      </c>
      <c r="H75" s="197">
        <v>1.7999999999999999E-2</v>
      </c>
      <c r="I75" s="197">
        <v>2.5999999999999999E-2</v>
      </c>
      <c r="J75" s="197">
        <v>1.7999999999999999E-2</v>
      </c>
      <c r="K75" s="196">
        <v>2.5999999999999999E-2</v>
      </c>
    </row>
    <row r="76" spans="1:11" x14ac:dyDescent="0.35">
      <c r="A76" s="59" t="s">
        <v>1457</v>
      </c>
      <c r="B76" s="197">
        <v>4.3999999999999997E-2</v>
      </c>
      <c r="C76" s="197">
        <v>7.3999999999999996E-2</v>
      </c>
      <c r="D76" s="197">
        <v>4.3999999999999997E-2</v>
      </c>
      <c r="E76" s="197">
        <v>6.9000000000000006E-2</v>
      </c>
      <c r="F76" s="197">
        <v>4.3999999999999997E-2</v>
      </c>
      <c r="G76" s="197">
        <v>6.6000000000000003E-2</v>
      </c>
      <c r="H76" s="197">
        <v>4.3999999999999997E-2</v>
      </c>
      <c r="I76" s="197">
        <v>6.4000000000000001E-2</v>
      </c>
      <c r="J76" s="197">
        <v>4.3999999999999997E-2</v>
      </c>
      <c r="K76" s="196">
        <v>6.4000000000000001E-2</v>
      </c>
    </row>
    <row r="77" spans="1:11" x14ac:dyDescent="0.35">
      <c r="A77" s="57" t="s">
        <v>1466</v>
      </c>
      <c r="B77" s="194">
        <v>6.0000000000000053E-3</v>
      </c>
      <c r="C77" s="194">
        <v>7.0000000000001172E-3</v>
      </c>
      <c r="D77" s="194">
        <v>6.0000000000000053E-3</v>
      </c>
      <c r="E77" s="194">
        <v>7.0000000000001172E-3</v>
      </c>
      <c r="F77" s="194">
        <v>6.0000000000000053E-3</v>
      </c>
      <c r="G77" s="194">
        <v>8.0000000000000071E-3</v>
      </c>
      <c r="H77" s="194">
        <v>6.0000000000000053E-3</v>
      </c>
      <c r="I77" s="194">
        <v>6.9999999999998952E-3</v>
      </c>
      <c r="J77" s="194">
        <v>6.0000000000000053E-3</v>
      </c>
      <c r="K77" s="193">
        <v>9.000000000000119E-3</v>
      </c>
    </row>
    <row r="78" spans="1:11" ht="13.15" x14ac:dyDescent="0.4">
      <c r="A78" s="128" t="s">
        <v>1501</v>
      </c>
      <c r="K78" s="99"/>
    </row>
    <row r="79" spans="1:11" x14ac:dyDescent="0.35">
      <c r="A79" s="59" t="s">
        <v>1438</v>
      </c>
      <c r="B79" s="197"/>
      <c r="C79" s="197"/>
      <c r="D79" s="197">
        <v>0.36099999999999999</v>
      </c>
      <c r="E79" s="197">
        <v>0.36099999999999999</v>
      </c>
      <c r="F79" s="197">
        <v>0.36099999999999999</v>
      </c>
      <c r="G79" s="197">
        <v>0.36099999999999999</v>
      </c>
      <c r="H79" s="197">
        <v>0.36099999999999999</v>
      </c>
      <c r="I79" s="197">
        <v>0.36099999999999999</v>
      </c>
      <c r="J79" s="197">
        <v>0.36099999999999999</v>
      </c>
      <c r="K79" s="196">
        <v>0.36099999999999999</v>
      </c>
    </row>
    <row r="80" spans="1:11" x14ac:dyDescent="0.35">
      <c r="A80" s="59" t="s">
        <v>2246</v>
      </c>
      <c r="B80" s="197"/>
      <c r="C80" s="197"/>
      <c r="D80" s="197">
        <v>0</v>
      </c>
      <c r="E80" s="197">
        <v>0</v>
      </c>
      <c r="F80" s="197">
        <v>0</v>
      </c>
      <c r="G80" s="197">
        <v>0</v>
      </c>
      <c r="H80" s="197">
        <v>0</v>
      </c>
      <c r="I80" s="197">
        <v>0</v>
      </c>
      <c r="J80" s="197">
        <v>0</v>
      </c>
      <c r="K80" s="196">
        <v>0</v>
      </c>
    </row>
    <row r="81" spans="1:11" x14ac:dyDescent="0.35">
      <c r="A81" s="59" t="s">
        <v>1445</v>
      </c>
      <c r="B81" s="197"/>
      <c r="C81" s="197"/>
      <c r="D81" s="197">
        <v>0.36099999999999999</v>
      </c>
      <c r="E81" s="197">
        <v>0.36099999999999999</v>
      </c>
      <c r="F81" s="197">
        <v>0.36099999999999999</v>
      </c>
      <c r="G81" s="197">
        <v>0.36099999999999999</v>
      </c>
      <c r="H81" s="197">
        <v>0.36099999999999999</v>
      </c>
      <c r="I81" s="197">
        <v>0.36099999999999999</v>
      </c>
      <c r="J81" s="197">
        <v>0.36099999999999999</v>
      </c>
      <c r="K81" s="196">
        <v>0.36099999999999999</v>
      </c>
    </row>
    <row r="82" spans="1:11" x14ac:dyDescent="0.35">
      <c r="A82" s="59" t="s">
        <v>1498</v>
      </c>
      <c r="B82" s="197"/>
      <c r="C82" s="197"/>
      <c r="D82" s="197">
        <v>0.27800000000000002</v>
      </c>
      <c r="E82" s="197">
        <v>0.27800000000000002</v>
      </c>
      <c r="F82" s="197">
        <v>0.27800000000000002</v>
      </c>
      <c r="G82" s="197">
        <v>0.27800000000000002</v>
      </c>
      <c r="H82" s="197">
        <v>0.27800000000000002</v>
      </c>
      <c r="I82" s="197">
        <v>0.27800000000000002</v>
      </c>
      <c r="J82" s="197">
        <v>0.27800000000000002</v>
      </c>
      <c r="K82" s="196">
        <v>0.27800000000000002</v>
      </c>
    </row>
    <row r="83" spans="1:11" x14ac:dyDescent="0.35">
      <c r="A83" s="59" t="s">
        <v>1466</v>
      </c>
      <c r="B83" s="194"/>
      <c r="C83" s="194"/>
      <c r="D83" s="194">
        <v>0</v>
      </c>
      <c r="E83" s="194">
        <v>0</v>
      </c>
      <c r="F83" s="194">
        <v>0</v>
      </c>
      <c r="G83" s="194">
        <v>0</v>
      </c>
      <c r="H83" s="194">
        <v>0</v>
      </c>
      <c r="I83" s="194">
        <v>0</v>
      </c>
      <c r="J83" s="194">
        <v>0</v>
      </c>
      <c r="K83" s="193">
        <v>0</v>
      </c>
    </row>
    <row r="84" spans="1:11" ht="13.15" x14ac:dyDescent="0.4">
      <c r="A84" s="131" t="s">
        <v>1500</v>
      </c>
      <c r="B84" s="101"/>
      <c r="C84" s="101"/>
      <c r="D84" s="101"/>
      <c r="E84" s="101"/>
      <c r="F84" s="101"/>
      <c r="G84" s="101"/>
      <c r="H84" s="101"/>
      <c r="I84" s="101"/>
      <c r="J84" s="101"/>
      <c r="K84" s="60"/>
    </row>
    <row r="85" spans="1:11" x14ac:dyDescent="0.35">
      <c r="A85" s="59" t="s">
        <v>1438</v>
      </c>
      <c r="B85" s="675"/>
      <c r="C85" s="675"/>
      <c r="D85" s="197">
        <v>0.36099999999999999</v>
      </c>
      <c r="E85" s="197">
        <v>0.36099999999999999</v>
      </c>
      <c r="F85" s="197">
        <v>0.36099999999999999</v>
      </c>
      <c r="G85" s="197">
        <v>0.36099999999999999</v>
      </c>
      <c r="H85" s="197">
        <v>0</v>
      </c>
      <c r="I85" s="197">
        <v>0</v>
      </c>
      <c r="J85" s="675"/>
      <c r="K85" s="677"/>
    </row>
    <row r="86" spans="1:11" x14ac:dyDescent="0.35">
      <c r="A86" s="59" t="s">
        <v>1445</v>
      </c>
      <c r="B86" s="675"/>
      <c r="C86" s="675"/>
      <c r="D86" s="197">
        <v>0.36099999999999999</v>
      </c>
      <c r="E86" s="197">
        <v>0.36099999999999999</v>
      </c>
      <c r="F86" s="197">
        <v>0.36099999999999999</v>
      </c>
      <c r="G86" s="197">
        <v>0.36099999999999999</v>
      </c>
      <c r="H86" s="197">
        <v>0</v>
      </c>
      <c r="I86" s="197">
        <v>0</v>
      </c>
      <c r="J86" s="675"/>
      <c r="K86" s="677"/>
    </row>
    <row r="87" spans="1:11" x14ac:dyDescent="0.35">
      <c r="A87" s="59" t="s">
        <v>1498</v>
      </c>
      <c r="B87" s="675"/>
      <c r="C87" s="675"/>
      <c r="D87" s="197">
        <v>0.27800000000000002</v>
      </c>
      <c r="E87" s="197">
        <v>0.27800000000000002</v>
      </c>
      <c r="F87" s="197">
        <v>0.27800000000000002</v>
      </c>
      <c r="G87" s="197">
        <v>0.27800000000000002</v>
      </c>
      <c r="H87" s="197">
        <v>0</v>
      </c>
      <c r="I87" s="197">
        <v>0</v>
      </c>
      <c r="J87" s="675"/>
      <c r="K87" s="677"/>
    </row>
    <row r="88" spans="1:11" x14ac:dyDescent="0.35">
      <c r="A88" s="57" t="s">
        <v>1466</v>
      </c>
      <c r="B88" s="675"/>
      <c r="C88" s="675"/>
      <c r="D88" s="194">
        <v>0</v>
      </c>
      <c r="E88" s="194">
        <v>0</v>
      </c>
      <c r="F88" s="194">
        <v>0</v>
      </c>
      <c r="G88" s="194">
        <v>0</v>
      </c>
      <c r="H88" s="194">
        <v>0</v>
      </c>
      <c r="I88" s="194">
        <v>0</v>
      </c>
      <c r="J88" s="675"/>
      <c r="K88" s="677"/>
    </row>
    <row r="89" spans="1:11" ht="13.15" x14ac:dyDescent="0.4">
      <c r="A89" s="131" t="s">
        <v>1499</v>
      </c>
      <c r="B89" s="101"/>
      <c r="C89" s="101"/>
      <c r="D89" s="101"/>
      <c r="E89" s="101"/>
      <c r="F89" s="101"/>
      <c r="G89" s="101"/>
      <c r="H89" s="101"/>
      <c r="I89" s="101"/>
      <c r="J89" s="101"/>
      <c r="K89" s="60"/>
    </row>
    <row r="90" spans="1:11" x14ac:dyDescent="0.35">
      <c r="A90" s="59" t="s">
        <v>1438</v>
      </c>
      <c r="B90" s="197"/>
      <c r="C90" s="197"/>
      <c r="D90" s="197">
        <v>0.05</v>
      </c>
      <c r="E90" s="197">
        <v>0.05</v>
      </c>
      <c r="F90" s="197">
        <v>0.05</v>
      </c>
      <c r="G90" s="197">
        <v>0.05</v>
      </c>
      <c r="H90" s="197">
        <v>0.05</v>
      </c>
      <c r="I90" s="197">
        <v>0.05</v>
      </c>
      <c r="J90" s="197">
        <v>0.05</v>
      </c>
      <c r="K90" s="196">
        <v>0.05</v>
      </c>
    </row>
    <row r="91" spans="1:11" x14ac:dyDescent="0.35">
      <c r="A91" s="59" t="s">
        <v>1445</v>
      </c>
      <c r="B91" s="197"/>
      <c r="C91" s="197"/>
      <c r="D91" s="197">
        <v>0.46899999999999997</v>
      </c>
      <c r="E91" s="197">
        <v>0.46899999999999997</v>
      </c>
      <c r="F91" s="197">
        <v>0.46899999999999997</v>
      </c>
      <c r="G91" s="197">
        <v>0.46899999999999997</v>
      </c>
      <c r="H91" s="197">
        <v>0.46899999999999997</v>
      </c>
      <c r="I91" s="197">
        <v>0.46899999999999997</v>
      </c>
      <c r="J91" s="197">
        <v>0.46899999999999997</v>
      </c>
      <c r="K91" s="196">
        <v>0.46899999999999997</v>
      </c>
    </row>
    <row r="92" spans="1:11" x14ac:dyDescent="0.35">
      <c r="A92" s="59" t="s">
        <v>1498</v>
      </c>
      <c r="B92" s="197"/>
      <c r="C92" s="197"/>
      <c r="D92" s="197">
        <v>8.2000000000000003E-2</v>
      </c>
      <c r="E92" s="197">
        <v>8.2000000000000003E-2</v>
      </c>
      <c r="F92" s="197">
        <v>8.2000000000000003E-2</v>
      </c>
      <c r="G92" s="197">
        <v>8.2000000000000003E-2</v>
      </c>
      <c r="H92" s="197">
        <v>8.2000000000000003E-2</v>
      </c>
      <c r="I92" s="197">
        <v>8.2000000000000003E-2</v>
      </c>
      <c r="J92" s="197">
        <v>8.2000000000000003E-2</v>
      </c>
      <c r="K92" s="196">
        <v>8.2000000000000003E-2</v>
      </c>
    </row>
    <row r="93" spans="1:11" x14ac:dyDescent="0.35">
      <c r="A93" s="59" t="s">
        <v>1457</v>
      </c>
      <c r="B93" s="197"/>
      <c r="C93" s="197"/>
      <c r="D93" s="197">
        <v>3.6999999999999998E-2</v>
      </c>
      <c r="E93" s="197">
        <v>3.6999999999999998E-2</v>
      </c>
      <c r="F93" s="197">
        <v>3.6999999999999998E-2</v>
      </c>
      <c r="G93" s="197">
        <v>3.6999999999999998E-2</v>
      </c>
      <c r="H93" s="197">
        <v>3.6999999999999998E-2</v>
      </c>
      <c r="I93" s="197">
        <v>3.6999999999999998E-2</v>
      </c>
      <c r="J93" s="197">
        <v>3.6999999999999998E-2</v>
      </c>
      <c r="K93" s="196">
        <v>3.6999999999999998E-2</v>
      </c>
    </row>
    <row r="94" spans="1:11" x14ac:dyDescent="0.35">
      <c r="A94" s="59" t="s">
        <v>1497</v>
      </c>
      <c r="B94" s="197"/>
      <c r="C94" s="197"/>
      <c r="D94" s="197">
        <v>0.23799999999999999</v>
      </c>
      <c r="E94" s="197">
        <v>0.23799999999999999</v>
      </c>
      <c r="F94" s="197">
        <v>0.23799999999999999</v>
      </c>
      <c r="G94" s="197">
        <v>0.23799999999999999</v>
      </c>
      <c r="H94" s="197">
        <v>0.23799999999999999</v>
      </c>
      <c r="I94" s="197">
        <v>0.23799999999999999</v>
      </c>
      <c r="J94" s="197">
        <v>0.23799999999999999</v>
      </c>
      <c r="K94" s="196">
        <v>0.23799999999999999</v>
      </c>
    </row>
    <row r="95" spans="1:11" x14ac:dyDescent="0.35">
      <c r="A95" s="57" t="s">
        <v>1466</v>
      </c>
      <c r="B95" s="194"/>
      <c r="C95" s="194"/>
      <c r="D95" s="194">
        <v>0.124</v>
      </c>
      <c r="E95" s="194">
        <v>0.124</v>
      </c>
      <c r="F95" s="194">
        <v>0.124</v>
      </c>
      <c r="G95" s="194">
        <v>0.124</v>
      </c>
      <c r="H95" s="194">
        <v>0.124</v>
      </c>
      <c r="I95" s="194">
        <v>0.124</v>
      </c>
      <c r="J95" s="194">
        <v>0.124</v>
      </c>
      <c r="K95" s="193">
        <v>0.124</v>
      </c>
    </row>
    <row r="96" spans="1:11" ht="13.15" x14ac:dyDescent="0.4">
      <c r="A96" s="178" t="s">
        <v>2227</v>
      </c>
      <c r="B96" s="61"/>
      <c r="C96" s="101"/>
      <c r="D96" s="101"/>
      <c r="E96" s="101"/>
      <c r="F96" s="101"/>
      <c r="G96" s="101"/>
      <c r="H96" s="101"/>
      <c r="I96" s="101"/>
      <c r="J96" s="101"/>
      <c r="K96" s="60"/>
    </row>
    <row r="97" spans="1:11" x14ac:dyDescent="0.35">
      <c r="A97" s="50" t="s">
        <v>1438</v>
      </c>
      <c r="B97" s="676"/>
      <c r="C97" s="675"/>
      <c r="D97" s="675"/>
      <c r="E97" s="675"/>
      <c r="F97" s="675"/>
      <c r="G97" s="675"/>
      <c r="H97" s="675"/>
      <c r="I97" s="675"/>
      <c r="J97" s="197">
        <v>9.1528724440116851E-2</v>
      </c>
      <c r="K97" s="196">
        <v>9.1528724440116851E-2</v>
      </c>
    </row>
    <row r="98" spans="1:11" x14ac:dyDescent="0.35">
      <c r="A98" s="50" t="s">
        <v>1495</v>
      </c>
      <c r="B98" s="676"/>
      <c r="C98" s="675"/>
      <c r="D98" s="675"/>
      <c r="E98" s="675"/>
      <c r="F98" s="675"/>
      <c r="G98" s="675"/>
      <c r="H98" s="675"/>
      <c r="I98" s="675"/>
      <c r="J98" s="197">
        <v>8.081791626095422E-2</v>
      </c>
      <c r="K98" s="196">
        <v>8.081791626095422E-2</v>
      </c>
    </row>
    <row r="99" spans="1:11" x14ac:dyDescent="0.35">
      <c r="A99" s="50" t="s">
        <v>1494</v>
      </c>
      <c r="B99" s="676"/>
      <c r="C99" s="675"/>
      <c r="D99" s="675"/>
      <c r="E99" s="675"/>
      <c r="F99" s="675"/>
      <c r="G99" s="675"/>
      <c r="H99" s="675"/>
      <c r="I99" s="675"/>
      <c r="J99" s="197">
        <v>0.65628042843232726</v>
      </c>
      <c r="K99" s="196">
        <v>0.65628042843232726</v>
      </c>
    </row>
    <row r="100" spans="1:11" x14ac:dyDescent="0.35">
      <c r="A100" s="50" t="s">
        <v>1493</v>
      </c>
      <c r="B100" s="676"/>
      <c r="C100" s="675"/>
      <c r="D100" s="675"/>
      <c r="E100" s="675"/>
      <c r="F100" s="675"/>
      <c r="G100" s="675"/>
      <c r="H100" s="675"/>
      <c r="I100" s="675"/>
      <c r="J100" s="197">
        <v>4.4790652385589089E-2</v>
      </c>
      <c r="K100" s="196">
        <v>4.4790652385589089E-2</v>
      </c>
    </row>
    <row r="101" spans="1:11" x14ac:dyDescent="0.35">
      <c r="A101" s="50" t="s">
        <v>1446</v>
      </c>
      <c r="B101" s="676"/>
      <c r="C101" s="675"/>
      <c r="D101" s="675"/>
      <c r="E101" s="675"/>
      <c r="F101" s="675"/>
      <c r="G101" s="675"/>
      <c r="H101" s="675"/>
      <c r="I101" s="675"/>
      <c r="J101" s="197">
        <v>0</v>
      </c>
      <c r="K101" s="196">
        <v>0</v>
      </c>
    </row>
    <row r="102" spans="1:11" x14ac:dyDescent="0.35">
      <c r="A102" s="50" t="s">
        <v>1447</v>
      </c>
      <c r="B102" s="676"/>
      <c r="C102" s="675"/>
      <c r="D102" s="675"/>
      <c r="E102" s="675"/>
      <c r="F102" s="675"/>
      <c r="G102" s="675"/>
      <c r="H102" s="675"/>
      <c r="I102" s="675"/>
      <c r="J102" s="197">
        <v>0</v>
      </c>
      <c r="K102" s="196">
        <v>0</v>
      </c>
    </row>
    <row r="103" spans="1:11" x14ac:dyDescent="0.35">
      <c r="A103" s="50" t="s">
        <v>1492</v>
      </c>
      <c r="B103" s="676"/>
      <c r="C103" s="675"/>
      <c r="D103" s="675"/>
      <c r="E103" s="675"/>
      <c r="F103" s="675"/>
      <c r="G103" s="675"/>
      <c r="H103" s="675"/>
      <c r="I103" s="675"/>
      <c r="J103" s="197">
        <v>7.7896786757546244E-2</v>
      </c>
      <c r="K103" s="196">
        <v>7.7896786757546244E-2</v>
      </c>
    </row>
    <row r="104" spans="1:11" x14ac:dyDescent="0.35">
      <c r="A104" s="50" t="s">
        <v>1457</v>
      </c>
      <c r="B104" s="676"/>
      <c r="C104" s="675"/>
      <c r="D104" s="675"/>
      <c r="E104" s="675"/>
      <c r="F104" s="675"/>
      <c r="G104" s="675"/>
      <c r="H104" s="675"/>
      <c r="I104" s="675"/>
      <c r="J104" s="197">
        <v>0</v>
      </c>
      <c r="K104" s="196">
        <v>0</v>
      </c>
    </row>
    <row r="105" spans="1:11" x14ac:dyDescent="0.35">
      <c r="A105" s="50" t="s">
        <v>1460</v>
      </c>
      <c r="B105" s="676"/>
      <c r="C105" s="675"/>
      <c r="D105" s="675"/>
      <c r="E105" s="675"/>
      <c r="F105" s="675"/>
      <c r="G105" s="675"/>
      <c r="H105" s="675"/>
      <c r="I105" s="675"/>
      <c r="J105" s="197">
        <v>0</v>
      </c>
      <c r="K105" s="196">
        <v>0</v>
      </c>
    </row>
    <row r="106" spans="1:11" x14ac:dyDescent="0.35">
      <c r="A106" s="50" t="s">
        <v>1449</v>
      </c>
      <c r="B106" s="676"/>
      <c r="C106" s="675"/>
      <c r="D106" s="675"/>
      <c r="E106" s="675"/>
      <c r="F106" s="675"/>
      <c r="G106" s="675"/>
      <c r="H106" s="675"/>
      <c r="I106" s="675"/>
      <c r="J106" s="197">
        <v>9.7370983446932804E-3</v>
      </c>
      <c r="K106" s="196">
        <v>9.7370983446932804E-3</v>
      </c>
    </row>
    <row r="107" spans="1:11" x14ac:dyDescent="0.35">
      <c r="A107" s="46" t="s">
        <v>1466</v>
      </c>
      <c r="B107" s="674"/>
      <c r="C107" s="673"/>
      <c r="D107" s="673"/>
      <c r="E107" s="673"/>
      <c r="F107" s="673"/>
      <c r="G107" s="673"/>
      <c r="H107" s="673"/>
      <c r="I107" s="673"/>
      <c r="J107" s="194">
        <v>3.8948393378772983E-2</v>
      </c>
      <c r="K107" s="193">
        <v>3.8948393378772983E-2</v>
      </c>
    </row>
    <row r="109" spans="1:11" x14ac:dyDescent="0.35">
      <c r="A109" s="39" t="s">
        <v>2245</v>
      </c>
      <c r="C109" s="657"/>
      <c r="D109" s="657"/>
      <c r="E109" s="657"/>
      <c r="H109" s="657"/>
    </row>
    <row r="110" spans="1:11" ht="38.65" x14ac:dyDescent="0.4">
      <c r="A110" s="131"/>
      <c r="B110" s="134" t="s">
        <v>1481</v>
      </c>
      <c r="C110" s="134" t="s">
        <v>1480</v>
      </c>
      <c r="D110" s="134" t="s">
        <v>1479</v>
      </c>
      <c r="E110" s="134" t="s">
        <v>1478</v>
      </c>
      <c r="F110" s="134" t="s">
        <v>1477</v>
      </c>
      <c r="G110" s="134" t="s">
        <v>1476</v>
      </c>
      <c r="H110" s="134" t="s">
        <v>1475</v>
      </c>
      <c r="I110" s="134" t="s">
        <v>1474</v>
      </c>
      <c r="J110" s="134" t="s">
        <v>1473</v>
      </c>
      <c r="K110" s="133" t="s">
        <v>1472</v>
      </c>
    </row>
    <row r="111" spans="1:11" x14ac:dyDescent="0.35">
      <c r="A111" s="59" t="s">
        <v>234</v>
      </c>
      <c r="B111" s="671">
        <v>0.62949855052382242</v>
      </c>
      <c r="C111" s="671">
        <v>0.30704706482486721</v>
      </c>
      <c r="D111" s="671">
        <v>0.6479254061843891</v>
      </c>
      <c r="E111" s="671">
        <v>0.3305582148208302</v>
      </c>
      <c r="F111" s="671">
        <v>0.64311431679840092</v>
      </c>
      <c r="G111" s="671">
        <v>0.34021931880200718</v>
      </c>
      <c r="H111" s="671">
        <v>0.65495028487564355</v>
      </c>
      <c r="I111" s="671">
        <v>0.21658588631519882</v>
      </c>
      <c r="J111" s="671">
        <v>0.59107825370866074</v>
      </c>
      <c r="K111" s="672">
        <v>0.19930245952027761</v>
      </c>
    </row>
    <row r="112" spans="1:11" x14ac:dyDescent="0.35">
      <c r="A112" s="59" t="s">
        <v>287</v>
      </c>
      <c r="B112" s="671">
        <v>0</v>
      </c>
      <c r="C112" s="671">
        <v>1.0301905888644543E-2</v>
      </c>
      <c r="D112" s="671">
        <v>0</v>
      </c>
      <c r="E112" s="671">
        <v>8.2061125266089767E-3</v>
      </c>
      <c r="F112" s="671">
        <v>0</v>
      </c>
      <c r="G112" s="671">
        <v>7.9728948452022011E-3</v>
      </c>
      <c r="H112" s="671">
        <v>0</v>
      </c>
      <c r="I112" s="671">
        <v>0</v>
      </c>
      <c r="J112" s="671">
        <v>3.2968744739484586E-2</v>
      </c>
      <c r="K112" s="672">
        <v>2.6743219720010897E-2</v>
      </c>
    </row>
    <row r="113" spans="1:11" x14ac:dyDescent="0.35">
      <c r="A113" s="59" t="s">
        <v>288</v>
      </c>
      <c r="B113" s="671">
        <v>0.1029001497222494</v>
      </c>
      <c r="C113" s="671">
        <v>3.5176694780504468E-2</v>
      </c>
      <c r="D113" s="671">
        <v>7.0947503286341432E-2</v>
      </c>
      <c r="E113" s="671">
        <v>3.336772777345693E-2</v>
      </c>
      <c r="F113" s="671">
        <v>7.1620763223259692E-2</v>
      </c>
      <c r="G113" s="671">
        <v>3.4477579106296563E-2</v>
      </c>
      <c r="H113" s="671">
        <v>1.9941E-2</v>
      </c>
      <c r="I113" s="671">
        <v>2.8704E-2</v>
      </c>
      <c r="J113" s="671">
        <v>1.7310939527567605E-2</v>
      </c>
      <c r="K113" s="672">
        <v>2.4888093880816704E-2</v>
      </c>
    </row>
    <row r="114" spans="1:11" x14ac:dyDescent="0.35">
      <c r="A114" s="59" t="s">
        <v>289</v>
      </c>
      <c r="B114" s="671">
        <v>1.8990028893467775E-2</v>
      </c>
      <c r="C114" s="671">
        <v>6.7356559328203974E-2</v>
      </c>
      <c r="D114" s="671">
        <v>1.2903177230393945E-2</v>
      </c>
      <c r="E114" s="671">
        <v>5.8452471525774666E-2</v>
      </c>
      <c r="F114" s="671">
        <v>1.2137339890270034E-2</v>
      </c>
      <c r="G114" s="671">
        <v>4.8169204306852766E-2</v>
      </c>
      <c r="H114" s="671">
        <v>1.478403601766028E-2</v>
      </c>
      <c r="I114" s="671">
        <v>6.899402849364053E-2</v>
      </c>
      <c r="J114" s="671">
        <v>2.2850532112855398E-2</v>
      </c>
      <c r="K114" s="672">
        <v>6.3360444323702261E-2</v>
      </c>
    </row>
    <row r="115" spans="1:11" x14ac:dyDescent="0.35">
      <c r="A115" s="59" t="s">
        <v>290</v>
      </c>
      <c r="B115" s="671">
        <v>4.463131232739953E-2</v>
      </c>
      <c r="C115" s="671">
        <v>0.14073462022531535</v>
      </c>
      <c r="D115" s="671">
        <v>5.8669245914124021E-2</v>
      </c>
      <c r="E115" s="671">
        <v>0.14155851993586258</v>
      </c>
      <c r="F115" s="671">
        <v>6.7103279300399582E-2</v>
      </c>
      <c r="G115" s="671">
        <v>0.15133606659119314</v>
      </c>
      <c r="H115" s="671">
        <v>5.6485089101058358E-2</v>
      </c>
      <c r="I115" s="671">
        <v>0.1587956629674708</v>
      </c>
      <c r="J115" s="671">
        <v>3.4989864281186181E-2</v>
      </c>
      <c r="K115" s="672">
        <v>0.12901195998062087</v>
      </c>
    </row>
    <row r="116" spans="1:11" x14ac:dyDescent="0.35">
      <c r="A116" s="59" t="s">
        <v>291</v>
      </c>
      <c r="B116" s="671">
        <v>1.8799122821085756E-2</v>
      </c>
      <c r="C116" s="671">
        <v>3.0902637838482617E-2</v>
      </c>
      <c r="D116" s="671">
        <v>3.9481269927300076E-2</v>
      </c>
      <c r="E116" s="671">
        <v>4.8216764294362946E-2</v>
      </c>
      <c r="F116" s="671">
        <v>4.5415399878956077E-2</v>
      </c>
      <c r="G116" s="671">
        <v>5.0935207584843739E-2</v>
      </c>
      <c r="H116" s="671">
        <v>5.7949669938508218E-2</v>
      </c>
      <c r="I116" s="671">
        <v>7.2751007631823461E-2</v>
      </c>
      <c r="J116" s="671">
        <v>3.3491409563151178E-2</v>
      </c>
      <c r="K116" s="672">
        <v>4.3466067560274359E-2</v>
      </c>
    </row>
    <row r="117" spans="1:11" x14ac:dyDescent="0.35">
      <c r="A117" s="59" t="s">
        <v>241</v>
      </c>
      <c r="B117" s="671">
        <v>0</v>
      </c>
      <c r="C117" s="671">
        <v>0</v>
      </c>
      <c r="D117" s="671">
        <v>0</v>
      </c>
      <c r="E117" s="671">
        <v>0</v>
      </c>
      <c r="F117" s="671">
        <v>0</v>
      </c>
      <c r="G117" s="671">
        <v>0</v>
      </c>
      <c r="H117" s="671">
        <v>0</v>
      </c>
      <c r="I117" s="671">
        <v>0</v>
      </c>
      <c r="J117" s="671">
        <v>0</v>
      </c>
      <c r="K117" s="672">
        <v>0</v>
      </c>
    </row>
    <row r="118" spans="1:11" x14ac:dyDescent="0.35">
      <c r="A118" s="59" t="s">
        <v>1427</v>
      </c>
      <c r="B118" s="667">
        <v>1.8457666296227494E-4</v>
      </c>
      <c r="C118" s="671">
        <v>3.7996009612283436E-3</v>
      </c>
      <c r="D118" s="667">
        <v>1.6778504055261717E-4</v>
      </c>
      <c r="E118" s="671">
        <v>3.5045486330930334E-3</v>
      </c>
      <c r="F118" s="671">
        <v>1.5276981618672788E-4</v>
      </c>
      <c r="G118" s="671">
        <v>3.2242908947320813E-3</v>
      </c>
      <c r="H118" s="671">
        <v>1.899824730483687E-4</v>
      </c>
      <c r="I118" s="671">
        <v>3.8678353371311121E-3</v>
      </c>
      <c r="J118" s="667">
        <v>1.8935842012651795E-4</v>
      </c>
      <c r="K118" s="672">
        <v>4.2557019870078719E-3</v>
      </c>
    </row>
    <row r="119" spans="1:11" x14ac:dyDescent="0.35">
      <c r="A119" s="59" t="s">
        <v>242</v>
      </c>
      <c r="B119" s="671">
        <v>2.9993707731369678E-2</v>
      </c>
      <c r="C119" s="671">
        <v>3.2507697112731382E-2</v>
      </c>
      <c r="D119" s="671">
        <v>2.7265069089800288E-2</v>
      </c>
      <c r="E119" s="671">
        <v>2.9204571942441946E-2</v>
      </c>
      <c r="F119" s="671">
        <v>2.482509513034328E-2</v>
      </c>
      <c r="G119" s="671">
        <v>2.615258170171577E-2</v>
      </c>
      <c r="H119" s="671">
        <v>3.0872151870359917E-2</v>
      </c>
      <c r="I119" s="671">
        <v>3.0942682697048897E-2</v>
      </c>
      <c r="J119" s="671">
        <v>3.0770743270559165E-2</v>
      </c>
      <c r="K119" s="672">
        <v>3.4045615896062975E-2</v>
      </c>
    </row>
    <row r="120" spans="1:11" x14ac:dyDescent="0.35">
      <c r="A120" s="59" t="s">
        <v>1490</v>
      </c>
      <c r="B120" s="671">
        <v>0.11342294150656715</v>
      </c>
      <c r="C120" s="671">
        <v>0.14161109373225569</v>
      </c>
      <c r="D120" s="671">
        <v>0.103631276390486</v>
      </c>
      <c r="E120" s="671">
        <v>0.12478570208526325</v>
      </c>
      <c r="F120" s="671">
        <v>9.8045735377291637E-2</v>
      </c>
      <c r="G120" s="671">
        <v>0.12311173678447584</v>
      </c>
      <c r="H120" s="671">
        <v>0.119466553124042</v>
      </c>
      <c r="I120" s="671">
        <v>0.15387078068244223</v>
      </c>
      <c r="J120" s="671">
        <v>0.1195124542298121</v>
      </c>
      <c r="K120" s="672">
        <v>0.13716837311709154</v>
      </c>
    </row>
    <row r="121" spans="1:11" x14ac:dyDescent="0.35">
      <c r="A121" s="59" t="s">
        <v>239</v>
      </c>
      <c r="B121" s="671">
        <v>2.18725201778108E-2</v>
      </c>
      <c r="C121" s="671">
        <v>2.9053457053386841E-2</v>
      </c>
      <c r="D121" s="671">
        <v>1.8497209141489012E-2</v>
      </c>
      <c r="E121" s="671">
        <v>2.478921060383163E-2</v>
      </c>
      <c r="F121" s="671">
        <v>1.8545811420265911E-2</v>
      </c>
      <c r="G121" s="671">
        <v>2.4377483773474064E-2</v>
      </c>
      <c r="H121" s="671">
        <v>1.7273780913104608E-2</v>
      </c>
      <c r="I121" s="671">
        <v>2.5848075855227654E-2</v>
      </c>
      <c r="J121" s="671">
        <v>2.0078377418373705E-2</v>
      </c>
      <c r="K121" s="672">
        <v>2.7031391970529801E-2</v>
      </c>
    </row>
    <row r="122" spans="1:11" x14ac:dyDescent="0.35">
      <c r="A122" s="59" t="s">
        <v>1384</v>
      </c>
      <c r="B122" s="671">
        <v>0</v>
      </c>
      <c r="C122" s="671">
        <v>0.16084977402533324</v>
      </c>
      <c r="D122" s="671">
        <v>0</v>
      </c>
      <c r="E122" s="671">
        <v>0.15458953414865939</v>
      </c>
      <c r="F122" s="671">
        <v>0</v>
      </c>
      <c r="G122" s="671">
        <v>0.14760087206995748</v>
      </c>
      <c r="H122" s="671">
        <v>0</v>
      </c>
      <c r="I122" s="671">
        <v>0.18307753929087264</v>
      </c>
      <c r="J122" s="671">
        <v>0</v>
      </c>
      <c r="K122" s="672">
        <v>0.20001799338937001</v>
      </c>
    </row>
    <row r="123" spans="1:11" ht="25.5" x14ac:dyDescent="0.35">
      <c r="A123" s="98" t="s">
        <v>1383</v>
      </c>
      <c r="B123" s="671">
        <v>0</v>
      </c>
      <c r="C123" s="671">
        <v>0</v>
      </c>
      <c r="D123" s="671">
        <v>0</v>
      </c>
      <c r="E123" s="671">
        <v>0</v>
      </c>
      <c r="F123" s="671">
        <v>0</v>
      </c>
      <c r="G123" s="671">
        <v>0</v>
      </c>
      <c r="H123" s="671">
        <v>0</v>
      </c>
      <c r="I123" s="671">
        <v>0</v>
      </c>
      <c r="J123" s="671">
        <v>5.6891501383987512E-2</v>
      </c>
      <c r="K123" s="672">
        <v>4.6500297409572254E-2</v>
      </c>
    </row>
    <row r="124" spans="1:11" x14ac:dyDescent="0.35">
      <c r="A124" s="59" t="s">
        <v>1368</v>
      </c>
      <c r="B124" s="671">
        <v>0</v>
      </c>
      <c r="C124" s="671">
        <v>1.7940000000000001E-2</v>
      </c>
      <c r="D124" s="671">
        <v>0</v>
      </c>
      <c r="E124" s="671">
        <v>1.9109999999999999E-2</v>
      </c>
      <c r="F124" s="671">
        <v>0</v>
      </c>
      <c r="G124" s="671">
        <v>2.0480000000000002E-2</v>
      </c>
      <c r="H124" s="671">
        <v>0</v>
      </c>
      <c r="I124" s="671">
        <v>2.5896000000000002E-2</v>
      </c>
      <c r="J124" s="671">
        <v>6.0292672380815541E-3</v>
      </c>
      <c r="K124" s="672">
        <v>2.7291659058442615E-2</v>
      </c>
    </row>
    <row r="125" spans="1:11" x14ac:dyDescent="0.35">
      <c r="A125" s="59" t="s">
        <v>237</v>
      </c>
      <c r="B125" s="671">
        <v>0</v>
      </c>
      <c r="C125" s="671">
        <v>0</v>
      </c>
      <c r="D125" s="671">
        <v>0</v>
      </c>
      <c r="E125" s="671">
        <v>0</v>
      </c>
      <c r="F125" s="671">
        <v>0</v>
      </c>
      <c r="G125" s="671">
        <v>0</v>
      </c>
      <c r="H125" s="671">
        <v>0</v>
      </c>
      <c r="I125" s="671">
        <v>0</v>
      </c>
      <c r="J125" s="671">
        <v>1.5840509723417094E-6</v>
      </c>
      <c r="K125" s="672">
        <v>1.2822905304179673E-6</v>
      </c>
    </row>
    <row r="126" spans="1:11" x14ac:dyDescent="0.35">
      <c r="A126" s="59" t="s">
        <v>1489</v>
      </c>
      <c r="B126" s="671">
        <v>0</v>
      </c>
      <c r="C126" s="671">
        <v>0</v>
      </c>
      <c r="D126" s="671">
        <v>0</v>
      </c>
      <c r="E126" s="671">
        <v>0</v>
      </c>
      <c r="F126" s="671">
        <v>0</v>
      </c>
      <c r="G126" s="671">
        <v>0</v>
      </c>
      <c r="H126" s="671">
        <v>0</v>
      </c>
      <c r="I126" s="671">
        <v>0</v>
      </c>
      <c r="J126" s="671">
        <v>5.1336245343462769E-4</v>
      </c>
      <c r="K126" s="672">
        <v>4.1556731709095184E-4</v>
      </c>
    </row>
    <row r="127" spans="1:11" x14ac:dyDescent="0.35">
      <c r="A127" s="59" t="s">
        <v>1488</v>
      </c>
      <c r="B127" s="671">
        <v>0</v>
      </c>
      <c r="C127" s="671">
        <v>0</v>
      </c>
      <c r="D127" s="671">
        <v>0</v>
      </c>
      <c r="E127" s="671">
        <v>0</v>
      </c>
      <c r="F127" s="671">
        <v>0</v>
      </c>
      <c r="G127" s="671">
        <v>0</v>
      </c>
      <c r="H127" s="671">
        <v>0</v>
      </c>
      <c r="I127" s="671">
        <v>0</v>
      </c>
      <c r="J127" s="671">
        <v>1.7724417680244752E-3</v>
      </c>
      <c r="K127" s="672">
        <v>1.4347930303626503E-3</v>
      </c>
    </row>
    <row r="128" spans="1:11" x14ac:dyDescent="0.35">
      <c r="A128" s="59" t="s">
        <v>1185</v>
      </c>
      <c r="B128" s="671">
        <v>0</v>
      </c>
      <c r="C128" s="671">
        <v>0</v>
      </c>
      <c r="D128" s="671">
        <v>0</v>
      </c>
      <c r="E128" s="671">
        <v>0</v>
      </c>
      <c r="F128" s="671">
        <v>0</v>
      </c>
      <c r="G128" s="671">
        <v>0</v>
      </c>
      <c r="H128" s="671">
        <v>0</v>
      </c>
      <c r="I128" s="671">
        <v>0</v>
      </c>
      <c r="J128" s="671">
        <v>2.1244438804929855E-3</v>
      </c>
      <c r="K128" s="672">
        <v>1.7197390222446101E-3</v>
      </c>
    </row>
    <row r="129" spans="1:11" x14ac:dyDescent="0.35">
      <c r="A129" s="59" t="s">
        <v>1487</v>
      </c>
      <c r="B129" s="671">
        <v>0</v>
      </c>
      <c r="C129" s="671">
        <v>0</v>
      </c>
      <c r="D129" s="671">
        <v>0</v>
      </c>
      <c r="E129" s="671">
        <v>0</v>
      </c>
      <c r="F129" s="671">
        <v>0</v>
      </c>
      <c r="G129" s="671">
        <v>0</v>
      </c>
      <c r="H129" s="671">
        <v>0</v>
      </c>
      <c r="I129" s="671">
        <v>0</v>
      </c>
      <c r="J129" s="667">
        <v>0</v>
      </c>
      <c r="K129" s="666">
        <v>0</v>
      </c>
    </row>
    <row r="130" spans="1:11" x14ac:dyDescent="0.35">
      <c r="A130" s="59" t="s">
        <v>1486</v>
      </c>
      <c r="B130" s="670">
        <v>4.9405043657777228E-6</v>
      </c>
      <c r="C130" s="670">
        <v>8.5849215738704534E-6</v>
      </c>
      <c r="D130" s="670">
        <v>4.5035419405284531E-6</v>
      </c>
      <c r="E130" s="670">
        <v>5.1288203291306102E-6</v>
      </c>
      <c r="F130" s="670">
        <v>4.7754178266017273E-6</v>
      </c>
      <c r="G130" s="670">
        <v>5.3152632301348015E-6</v>
      </c>
      <c r="H130" s="670">
        <v>0</v>
      </c>
      <c r="I130" s="670">
        <v>0</v>
      </c>
      <c r="J130" s="669">
        <v>1.4632949480202061E-5</v>
      </c>
      <c r="K130" s="668">
        <v>1.1845384320435833E-5</v>
      </c>
    </row>
    <row r="131" spans="1:11" x14ac:dyDescent="0.35">
      <c r="A131" s="59" t="s">
        <v>1485</v>
      </c>
      <c r="B131" s="667">
        <v>0</v>
      </c>
      <c r="C131" s="667">
        <v>0</v>
      </c>
      <c r="D131" s="667">
        <v>0</v>
      </c>
      <c r="E131" s="667">
        <v>0</v>
      </c>
      <c r="F131" s="667">
        <v>0</v>
      </c>
      <c r="G131" s="667">
        <v>0</v>
      </c>
      <c r="H131" s="667">
        <v>0</v>
      </c>
      <c r="I131" s="667">
        <v>0</v>
      </c>
      <c r="J131" s="667">
        <v>8.8883675072430894E-4</v>
      </c>
      <c r="K131" s="666">
        <v>7.2613989947604117E-4</v>
      </c>
    </row>
    <row r="132" spans="1:11" x14ac:dyDescent="0.35">
      <c r="A132" s="59" t="s">
        <v>1484</v>
      </c>
      <c r="B132" s="667">
        <v>0</v>
      </c>
      <c r="C132" s="667">
        <v>0</v>
      </c>
      <c r="D132" s="667">
        <v>0</v>
      </c>
      <c r="E132" s="667">
        <v>0</v>
      </c>
      <c r="F132" s="667">
        <v>0</v>
      </c>
      <c r="G132" s="667">
        <v>0</v>
      </c>
      <c r="H132" s="667">
        <v>0</v>
      </c>
      <c r="I132" s="667">
        <v>0</v>
      </c>
      <c r="J132" s="667">
        <v>2.2592745772272168E-4</v>
      </c>
      <c r="K132" s="666">
        <v>1.8288845792063121E-4</v>
      </c>
    </row>
    <row r="133" spans="1:11" x14ac:dyDescent="0.35">
      <c r="A133" s="57" t="s">
        <v>292</v>
      </c>
      <c r="B133" s="665">
        <v>1.9702149128899449E-2</v>
      </c>
      <c r="C133" s="665">
        <v>2.2710309307472643E-2</v>
      </c>
      <c r="D133" s="665">
        <v>2.0507554253183069E-2</v>
      </c>
      <c r="E133" s="665">
        <v>2.3651492889485315E-2</v>
      </c>
      <c r="F133" s="665">
        <v>1.9034713746799548E-2</v>
      </c>
      <c r="G133" s="665">
        <v>2.1937448276018956E-2</v>
      </c>
      <c r="H133" s="665">
        <v>2.8087451686574672E-2</v>
      </c>
      <c r="I133" s="665">
        <v>3.0666500729143897E-2</v>
      </c>
      <c r="J133" s="665">
        <v>2.8297324795302004E-2</v>
      </c>
      <c r="K133" s="664">
        <v>3.2424466784274575E-2</v>
      </c>
    </row>
    <row r="134" spans="1:11" x14ac:dyDescent="0.35">
      <c r="C134" s="657"/>
      <c r="D134" s="657"/>
      <c r="E134" s="657"/>
      <c r="H134" s="657"/>
    </row>
    <row r="135" spans="1:11" x14ac:dyDescent="0.35">
      <c r="A135" s="39" t="s">
        <v>2244</v>
      </c>
      <c r="C135" s="657"/>
      <c r="D135" s="657"/>
      <c r="E135" s="657"/>
      <c r="H135" s="657"/>
    </row>
    <row r="136" spans="1:11" x14ac:dyDescent="0.35">
      <c r="A136" s="380">
        <v>3</v>
      </c>
      <c r="C136" s="657"/>
      <c r="D136" s="657"/>
      <c r="E136" s="657"/>
      <c r="H136" s="657"/>
    </row>
    <row r="137" spans="1:11" x14ac:dyDescent="0.35">
      <c r="C137" s="657"/>
      <c r="D137" s="657"/>
      <c r="E137" s="657"/>
      <c r="H137" s="657"/>
    </row>
    <row r="138" spans="1:11" x14ac:dyDescent="0.35">
      <c r="A138" s="39" t="s">
        <v>2243</v>
      </c>
    </row>
    <row r="139" spans="1:11" ht="38.65" x14ac:dyDescent="0.4">
      <c r="A139" s="663"/>
      <c r="B139" s="662" t="s">
        <v>1481</v>
      </c>
      <c r="C139" s="662" t="s">
        <v>1480</v>
      </c>
      <c r="D139" s="662" t="s">
        <v>1479</v>
      </c>
      <c r="E139" s="662" t="s">
        <v>1478</v>
      </c>
      <c r="F139" s="662" t="s">
        <v>1477</v>
      </c>
      <c r="G139" s="662" t="s">
        <v>1476</v>
      </c>
      <c r="H139" s="662" t="s">
        <v>1475</v>
      </c>
      <c r="I139" s="662" t="s">
        <v>1474</v>
      </c>
      <c r="J139" s="662" t="s">
        <v>1473</v>
      </c>
      <c r="K139" s="661" t="s">
        <v>1472</v>
      </c>
    </row>
    <row r="140" spans="1:11" x14ac:dyDescent="0.35">
      <c r="A140" s="660"/>
      <c r="B140" s="659">
        <v>20</v>
      </c>
      <c r="C140" s="659">
        <v>20</v>
      </c>
      <c r="D140" s="659">
        <v>20</v>
      </c>
      <c r="E140" s="659">
        <v>20</v>
      </c>
      <c r="F140" s="659">
        <v>20</v>
      </c>
      <c r="G140" s="659">
        <v>20</v>
      </c>
      <c r="H140" s="659">
        <v>20</v>
      </c>
      <c r="I140" s="659">
        <v>20</v>
      </c>
      <c r="J140" s="659">
        <v>20</v>
      </c>
      <c r="K140" s="658">
        <v>20</v>
      </c>
    </row>
    <row r="141" spans="1:11" x14ac:dyDescent="0.35">
      <c r="C141" s="657"/>
      <c r="D141" s="657"/>
      <c r="E141" s="657"/>
      <c r="H141" s="657"/>
    </row>
    <row r="142" spans="1:11" x14ac:dyDescent="0.35">
      <c r="A142" s="39" t="s">
        <v>2242</v>
      </c>
      <c r="C142" s="657"/>
      <c r="D142" s="657"/>
      <c r="E142" s="657"/>
      <c r="H142" s="657"/>
    </row>
    <row r="143" spans="1:11" x14ac:dyDescent="0.35">
      <c r="A143" s="368" t="s">
        <v>239</v>
      </c>
      <c r="B143" s="218" t="s">
        <v>234</v>
      </c>
      <c r="C143" s="657"/>
      <c r="D143" s="657"/>
      <c r="E143" s="657"/>
      <c r="H143" s="657"/>
    </row>
    <row r="144" spans="1:11" x14ac:dyDescent="0.35">
      <c r="A144" s="123">
        <v>0.66700000000000004</v>
      </c>
      <c r="B144" s="56">
        <v>0.33299999999999996</v>
      </c>
      <c r="C144" s="657"/>
      <c r="D144" s="657"/>
      <c r="E144" s="657"/>
      <c r="H144" s="657"/>
    </row>
    <row r="145" spans="1:11" x14ac:dyDescent="0.35">
      <c r="C145" s="657"/>
      <c r="D145" s="657"/>
      <c r="E145" s="657"/>
      <c r="H145" s="657"/>
    </row>
    <row r="146" spans="1:11" ht="13.9" x14ac:dyDescent="0.4">
      <c r="A146" s="72" t="s">
        <v>2241</v>
      </c>
      <c r="C146" s="657"/>
      <c r="D146" s="657"/>
      <c r="E146" s="657"/>
      <c r="H146" s="657"/>
    </row>
    <row r="147" spans="1:11" ht="35.450000000000003" customHeight="1" x14ac:dyDescent="0.4">
      <c r="A147" s="61"/>
      <c r="B147" s="160" t="s">
        <v>1481</v>
      </c>
      <c r="C147" s="160" t="s">
        <v>1480</v>
      </c>
      <c r="D147" s="160" t="s">
        <v>1479</v>
      </c>
      <c r="E147" s="160" t="s">
        <v>1478</v>
      </c>
      <c r="F147" s="160" t="s">
        <v>1477</v>
      </c>
      <c r="G147" s="160" t="s">
        <v>1476</v>
      </c>
      <c r="H147" s="160" t="s">
        <v>1475</v>
      </c>
      <c r="I147" s="160" t="s">
        <v>1474</v>
      </c>
      <c r="J147" s="160" t="s">
        <v>1473</v>
      </c>
      <c r="K147" s="159" t="s">
        <v>1472</v>
      </c>
    </row>
    <row r="148" spans="1:11" ht="13.15" x14ac:dyDescent="0.4">
      <c r="A148" s="535" t="s">
        <v>1870</v>
      </c>
      <c r="B148" s="656">
        <v>3053.9316231000003</v>
      </c>
      <c r="C148" s="656">
        <v>2575.5290831000002</v>
      </c>
      <c r="D148" s="656">
        <v>3246.55009565</v>
      </c>
      <c r="E148" s="656">
        <v>2677.75813565</v>
      </c>
      <c r="F148" s="656">
        <v>3422.91969565</v>
      </c>
      <c r="G148" s="656">
        <v>2768.1475556499995</v>
      </c>
      <c r="H148" s="656">
        <v>2830.1735771311996</v>
      </c>
      <c r="I148" s="656">
        <v>2294.4509171311997</v>
      </c>
      <c r="J148" s="656">
        <v>3460.6948971311999</v>
      </c>
      <c r="K148" s="655">
        <v>2766.2395971312003</v>
      </c>
    </row>
    <row r="149" spans="1:11" ht="13.15" x14ac:dyDescent="0.4">
      <c r="A149" s="131" t="s">
        <v>1869</v>
      </c>
      <c r="B149" s="101"/>
      <c r="C149" s="101"/>
      <c r="D149" s="101"/>
      <c r="E149" s="101"/>
      <c r="F149" s="101"/>
      <c r="G149" s="101"/>
      <c r="H149" s="101"/>
      <c r="I149" s="101"/>
      <c r="J149" s="101"/>
      <c r="K149" s="60"/>
    </row>
    <row r="150" spans="1:11" x14ac:dyDescent="0.35">
      <c r="A150" s="59" t="s">
        <v>234</v>
      </c>
      <c r="B150" s="120">
        <v>2002.3655301403146</v>
      </c>
      <c r="C150" s="120">
        <v>870.72864533693655</v>
      </c>
      <c r="D150" s="120">
        <v>2183.4422894219938</v>
      </c>
      <c r="E150" s="120">
        <v>965.07494904241844</v>
      </c>
      <c r="F150" s="120">
        <v>2281.2486615237403</v>
      </c>
      <c r="G150" s="120">
        <v>1021.697275726684</v>
      </c>
      <c r="H150" s="120">
        <v>1933.5429905895985</v>
      </c>
      <c r="I150" s="120">
        <v>576.86568549358162</v>
      </c>
      <c r="J150" s="120">
        <v>2125.4614964147831</v>
      </c>
      <c r="K150" s="121">
        <v>631.23835533063004</v>
      </c>
    </row>
    <row r="151" spans="1:11" x14ac:dyDescent="0.35">
      <c r="A151" s="59" t="s">
        <v>1868</v>
      </c>
      <c r="B151" s="120">
        <v>0</v>
      </c>
      <c r="C151" s="120">
        <v>26.532858227563175</v>
      </c>
      <c r="D151" s="120">
        <v>0</v>
      </c>
      <c r="E151" s="120">
        <v>21.973984580186563</v>
      </c>
      <c r="F151" s="120">
        <v>0</v>
      </c>
      <c r="G151" s="120">
        <v>22.070149377200956</v>
      </c>
      <c r="H151" s="120">
        <v>0</v>
      </c>
      <c r="I151" s="120">
        <v>0</v>
      </c>
      <c r="J151" s="120">
        <v>114.0947666847554</v>
      </c>
      <c r="K151" s="121">
        <v>73.978153344274119</v>
      </c>
    </row>
    <row r="152" spans="1:11" x14ac:dyDescent="0.35">
      <c r="A152" s="59" t="s">
        <v>1867</v>
      </c>
      <c r="B152" s="120">
        <v>314.25002125850216</v>
      </c>
      <c r="C152" s="120">
        <v>90.598600454521232</v>
      </c>
      <c r="D152" s="120">
        <v>230.33462358040046</v>
      </c>
      <c r="E152" s="120">
        <v>89.350704513528754</v>
      </c>
      <c r="F152" s="120">
        <v>245.15212105438079</v>
      </c>
      <c r="G152" s="120">
        <v>95.439026327824322</v>
      </c>
      <c r="H152" s="120">
        <v>56.436491301573255</v>
      </c>
      <c r="I152" s="120">
        <v>65.85991912533396</v>
      </c>
      <c r="J152" s="120">
        <v>59.907880087599999</v>
      </c>
      <c r="K152" s="121">
        <v>68.846430790233896</v>
      </c>
    </row>
    <row r="153" spans="1:11" x14ac:dyDescent="0.35">
      <c r="A153" s="59" t="s">
        <v>289</v>
      </c>
      <c r="B153" s="120">
        <v>57.994249761343944</v>
      </c>
      <c r="C153" s="120">
        <v>173.47877748733995</v>
      </c>
      <c r="D153" s="120">
        <v>41.890811271524363</v>
      </c>
      <c r="E153" s="120">
        <v>156.52158117699307</v>
      </c>
      <c r="F153" s="120">
        <v>41.545139763203707</v>
      </c>
      <c r="G153" s="120">
        <v>133.33946515961992</v>
      </c>
      <c r="H153" s="120">
        <v>41.84138810053809</v>
      </c>
      <c r="I153" s="120">
        <v>158.30341195380964</v>
      </c>
      <c r="J153" s="120">
        <v>79.078719879691292</v>
      </c>
      <c r="K153" s="121">
        <v>175.270169980052</v>
      </c>
    </row>
    <row r="154" spans="1:11" x14ac:dyDescent="0.35">
      <c r="A154" s="59" t="s">
        <v>290</v>
      </c>
      <c r="B154" s="120">
        <v>136.3009760970983</v>
      </c>
      <c r="C154" s="120">
        <v>362.46610738933322</v>
      </c>
      <c r="D154" s="120">
        <v>190.47264593421272</v>
      </c>
      <c r="E154" s="120">
        <v>379.05947842882875</v>
      </c>
      <c r="F154" s="120">
        <v>229.68913636004069</v>
      </c>
      <c r="G154" s="120">
        <v>418.92056281609683</v>
      </c>
      <c r="H154" s="120">
        <v>159.86260667571688</v>
      </c>
      <c r="I154" s="120">
        <v>364.34885453217026</v>
      </c>
      <c r="J154" s="120">
        <v>121.08924476921426</v>
      </c>
      <c r="K154" s="121">
        <v>356.87799220189919</v>
      </c>
    </row>
    <row r="155" spans="1:11" x14ac:dyDescent="0.35">
      <c r="A155" s="59" t="s">
        <v>291</v>
      </c>
      <c r="B155" s="120">
        <v>57.411235669854676</v>
      </c>
      <c r="C155" s="120">
        <v>79.590642497518502</v>
      </c>
      <c r="D155" s="120">
        <v>128.17792065885953</v>
      </c>
      <c r="E155" s="120">
        <v>129.1128328639488</v>
      </c>
      <c r="F155" s="120">
        <v>155.45326673149938</v>
      </c>
      <c r="G155" s="120">
        <v>140.99617037251051</v>
      </c>
      <c r="H155" s="120">
        <v>164.00762466344014</v>
      </c>
      <c r="I155" s="120">
        <v>166.92361618305625</v>
      </c>
      <c r="J155" s="120">
        <v>115.90355017292835</v>
      </c>
      <c r="K155" s="121">
        <v>120.23755721681087</v>
      </c>
    </row>
    <row r="156" spans="1:11" x14ac:dyDescent="0.35">
      <c r="A156" s="59" t="s">
        <v>241</v>
      </c>
      <c r="B156" s="120">
        <v>0</v>
      </c>
      <c r="C156" s="120">
        <v>0</v>
      </c>
      <c r="D156" s="120">
        <v>0</v>
      </c>
      <c r="E156" s="120">
        <v>0</v>
      </c>
      <c r="F156" s="120">
        <v>0</v>
      </c>
      <c r="G156" s="120">
        <v>0</v>
      </c>
      <c r="H156" s="120">
        <v>0</v>
      </c>
      <c r="I156" s="120">
        <v>0</v>
      </c>
      <c r="J156" s="120">
        <v>0</v>
      </c>
      <c r="K156" s="121">
        <v>0</v>
      </c>
    </row>
    <row r="157" spans="1:11" x14ac:dyDescent="0.35">
      <c r="A157" s="59" t="s">
        <v>1427</v>
      </c>
      <c r="B157" s="120">
        <v>0.56368450790676206</v>
      </c>
      <c r="C157" s="120">
        <v>9.7859827798183154</v>
      </c>
      <c r="D157" s="120">
        <v>0.54472253945473836</v>
      </c>
      <c r="E157" s="120">
        <v>9.384333614045957</v>
      </c>
      <c r="F157" s="120">
        <v>0.52291881272638108</v>
      </c>
      <c r="G157" s="120">
        <v>8.9253129589571607</v>
      </c>
      <c r="H157" s="120">
        <v>0.53768337533953336</v>
      </c>
      <c r="I157" s="120">
        <v>8.8745583365929441</v>
      </c>
      <c r="J157" s="120">
        <v>0.65531171826066659</v>
      </c>
      <c r="K157" s="121">
        <v>11.772291350051104</v>
      </c>
    </row>
    <row r="158" spans="1:11" x14ac:dyDescent="0.35">
      <c r="A158" s="59" t="s">
        <v>242</v>
      </c>
      <c r="B158" s="120">
        <v>91.598732534848821</v>
      </c>
      <c r="C158" s="120">
        <v>83.724519338445575</v>
      </c>
      <c r="D158" s="120">
        <v>88.517412661394985</v>
      </c>
      <c r="E158" s="120">
        <v>78.202780117049642</v>
      </c>
      <c r="F158" s="120">
        <v>84.974307068036921</v>
      </c>
      <c r="G158" s="120">
        <v>72.39420511154141</v>
      </c>
      <c r="H158" s="120">
        <v>87.373548492674175</v>
      </c>
      <c r="I158" s="120">
        <v>70.996466692743553</v>
      </c>
      <c r="J158" s="120">
        <v>106.48815421735831</v>
      </c>
      <c r="K158" s="121">
        <v>94.17833080040883</v>
      </c>
    </row>
    <row r="159" spans="1:11" x14ac:dyDescent="0.35">
      <c r="A159" s="59" t="s">
        <v>1490</v>
      </c>
      <c r="B159" s="120">
        <v>346.38590785192702</v>
      </c>
      <c r="C159" s="120">
        <v>364.7234903970247</v>
      </c>
      <c r="D159" s="120">
        <v>336.44413027786391</v>
      </c>
      <c r="E159" s="120">
        <v>334.14592897161083</v>
      </c>
      <c r="F159" s="120">
        <v>335.60267869741955</v>
      </c>
      <c r="G159" s="120">
        <v>340.79145325177296</v>
      </c>
      <c r="H159" s="120">
        <v>338.11108200260446</v>
      </c>
      <c r="I159" s="120">
        <v>353.04895385652327</v>
      </c>
      <c r="J159" s="120">
        <v>413.59614049673684</v>
      </c>
      <c r="K159" s="121">
        <v>379.44058519056546</v>
      </c>
    </row>
    <row r="160" spans="1:11" x14ac:dyDescent="0.35">
      <c r="A160" s="59" t="s">
        <v>239</v>
      </c>
      <c r="B160" s="120">
        <v>226.87718104790926</v>
      </c>
      <c r="C160" s="120">
        <v>234.90802360559468</v>
      </c>
      <c r="D160" s="120">
        <v>220.13211610755923</v>
      </c>
      <c r="E160" s="120">
        <v>226.45951037075139</v>
      </c>
      <c r="F160" s="120">
        <v>223.56082318223889</v>
      </c>
      <c r="G160" s="120">
        <v>227.56047212043978</v>
      </c>
      <c r="H160" s="120">
        <v>208.96779831742191</v>
      </c>
      <c r="I160" s="120">
        <v>219.38714135210392</v>
      </c>
      <c r="J160" s="120">
        <v>229.56513827444022</v>
      </c>
      <c r="K160" s="121">
        <v>234.85530683445393</v>
      </c>
    </row>
    <row r="161" spans="1:11" x14ac:dyDescent="0.35">
      <c r="A161" s="59" t="s">
        <v>1384</v>
      </c>
      <c r="B161" s="120">
        <v>0</v>
      </c>
      <c r="C161" s="120">
        <v>414.27327101230873</v>
      </c>
      <c r="D161" s="120">
        <v>0</v>
      </c>
      <c r="E161" s="120">
        <v>413.95338275291618</v>
      </c>
      <c r="F161" s="120">
        <v>0</v>
      </c>
      <c r="G161" s="120">
        <v>408.58099323226105</v>
      </c>
      <c r="H161" s="120">
        <v>0</v>
      </c>
      <c r="I161" s="120">
        <v>420.06242793206599</v>
      </c>
      <c r="J161" s="120">
        <v>0</v>
      </c>
      <c r="K161" s="121">
        <v>553.29769345240197</v>
      </c>
    </row>
    <row r="162" spans="1:11" ht="25.5" x14ac:dyDescent="0.35">
      <c r="A162" s="98" t="s">
        <v>1383</v>
      </c>
      <c r="B162" s="120">
        <v>0</v>
      </c>
      <c r="C162" s="120">
        <v>0</v>
      </c>
      <c r="D162" s="120">
        <v>0</v>
      </c>
      <c r="E162" s="120">
        <v>0</v>
      </c>
      <c r="F162" s="120">
        <v>0</v>
      </c>
      <c r="G162" s="120">
        <v>0</v>
      </c>
      <c r="H162" s="120">
        <v>0</v>
      </c>
      <c r="I162" s="120">
        <v>0</v>
      </c>
      <c r="J162" s="120">
        <v>196.88412852969819</v>
      </c>
      <c r="K162" s="121">
        <v>128.63096397273614</v>
      </c>
    </row>
    <row r="163" spans="1:11" x14ac:dyDescent="0.35">
      <c r="A163" s="59" t="s">
        <v>1368</v>
      </c>
      <c r="B163" s="120">
        <v>0</v>
      </c>
      <c r="C163" s="120">
        <v>46.20499175081401</v>
      </c>
      <c r="D163" s="120">
        <v>0</v>
      </c>
      <c r="E163" s="120">
        <v>51.171957972271493</v>
      </c>
      <c r="F163" s="120">
        <v>0</v>
      </c>
      <c r="G163" s="120">
        <v>56.691661939711992</v>
      </c>
      <c r="H163" s="120">
        <v>0</v>
      </c>
      <c r="I163" s="120">
        <v>59.417100950029557</v>
      </c>
      <c r="J163" s="120">
        <v>20.865454364269159</v>
      </c>
      <c r="K163" s="121">
        <v>75.495267958868368</v>
      </c>
    </row>
    <row r="164" spans="1:11" x14ac:dyDescent="0.35">
      <c r="A164" s="59" t="s">
        <v>237</v>
      </c>
      <c r="B164" s="120">
        <v>0</v>
      </c>
      <c r="C164" s="120">
        <v>0</v>
      </c>
      <c r="D164" s="120">
        <v>0</v>
      </c>
      <c r="E164" s="120">
        <v>0</v>
      </c>
      <c r="F164" s="120">
        <v>0</v>
      </c>
      <c r="G164" s="120">
        <v>0</v>
      </c>
      <c r="H164" s="120">
        <v>0</v>
      </c>
      <c r="I164" s="120">
        <v>0</v>
      </c>
      <c r="J164" s="120">
        <v>5.4819171167786694E-3</v>
      </c>
      <c r="K164" s="121">
        <v>3.5471228402685511E-3</v>
      </c>
    </row>
    <row r="165" spans="1:11" x14ac:dyDescent="0.35">
      <c r="A165" s="59" t="s">
        <v>1866</v>
      </c>
      <c r="B165" s="120">
        <v>0</v>
      </c>
      <c r="C165" s="120">
        <v>0</v>
      </c>
      <c r="D165" s="120">
        <v>0</v>
      </c>
      <c r="E165" s="120">
        <v>0</v>
      </c>
      <c r="F165" s="120">
        <v>0</v>
      </c>
      <c r="G165" s="120">
        <v>0</v>
      </c>
      <c r="H165" s="120">
        <v>0</v>
      </c>
      <c r="I165" s="120">
        <v>0</v>
      </c>
      <c r="J165" s="120">
        <v>1.7765908229799692</v>
      </c>
      <c r="K165" s="121">
        <v>1.1495587678105683</v>
      </c>
    </row>
    <row r="166" spans="1:11" x14ac:dyDescent="0.35">
      <c r="A166" s="59" t="s">
        <v>1488</v>
      </c>
      <c r="B166" s="120">
        <v>0</v>
      </c>
      <c r="C166" s="120">
        <v>0</v>
      </c>
      <c r="D166" s="120">
        <v>0</v>
      </c>
      <c r="E166" s="120">
        <v>0</v>
      </c>
      <c r="F166" s="120">
        <v>0</v>
      </c>
      <c r="G166" s="120">
        <v>0</v>
      </c>
      <c r="H166" s="120">
        <v>0</v>
      </c>
      <c r="I166" s="120">
        <v>0</v>
      </c>
      <c r="J166" s="120">
        <v>6.1338801820645035</v>
      </c>
      <c r="K166" s="121">
        <v>3.9689812942770319</v>
      </c>
    </row>
    <row r="167" spans="1:11" x14ac:dyDescent="0.35">
      <c r="A167" s="59" t="s">
        <v>1865</v>
      </c>
      <c r="B167" s="120">
        <v>0</v>
      </c>
      <c r="C167" s="120">
        <v>0</v>
      </c>
      <c r="D167" s="120">
        <v>0</v>
      </c>
      <c r="E167" s="120">
        <v>0</v>
      </c>
      <c r="F167" s="120">
        <v>0</v>
      </c>
      <c r="G167" s="120">
        <v>0</v>
      </c>
      <c r="H167" s="120">
        <v>0</v>
      </c>
      <c r="I167" s="120">
        <v>0</v>
      </c>
      <c r="J167" s="120">
        <v>7.3520520964636802</v>
      </c>
      <c r="K167" s="121">
        <v>4.7572101800647344</v>
      </c>
    </row>
    <row r="168" spans="1:11" x14ac:dyDescent="0.35">
      <c r="A168" s="59" t="s">
        <v>1864</v>
      </c>
      <c r="B168" s="120">
        <v>0</v>
      </c>
      <c r="C168" s="120">
        <v>0</v>
      </c>
      <c r="D168" s="120">
        <v>0</v>
      </c>
      <c r="E168" s="120">
        <v>0</v>
      </c>
      <c r="F168" s="120">
        <v>0</v>
      </c>
      <c r="G168" s="120">
        <v>0</v>
      </c>
      <c r="H168" s="120">
        <v>0</v>
      </c>
      <c r="I168" s="120">
        <v>0</v>
      </c>
      <c r="J168" s="120">
        <v>0</v>
      </c>
      <c r="K168" s="121">
        <v>0</v>
      </c>
    </row>
    <row r="169" spans="1:11" x14ac:dyDescent="0.35">
      <c r="A169" s="59" t="s">
        <v>1486</v>
      </c>
      <c r="B169" s="120">
        <v>1.5087962516712199E-2</v>
      </c>
      <c r="C169" s="120">
        <v>2.211071518963598E-2</v>
      </c>
      <c r="D169" s="120">
        <v>1.4620974517786435E-2</v>
      </c>
      <c r="E169" s="120">
        <v>1.3733740362616603E-2</v>
      </c>
      <c r="F169" s="120">
        <v>1.634587173363317E-2</v>
      </c>
      <c r="G169" s="120">
        <v>1.4713432918133972E-2</v>
      </c>
      <c r="H169" s="120">
        <v>0</v>
      </c>
      <c r="I169" s="120">
        <v>0</v>
      </c>
      <c r="J169" s="120">
        <v>5.0640173596113919E-2</v>
      </c>
      <c r="K169" s="121">
        <v>3.2767171150426655E-2</v>
      </c>
    </row>
    <row r="170" spans="1:11" x14ac:dyDescent="0.35">
      <c r="A170" s="59" t="s">
        <v>1485</v>
      </c>
      <c r="B170" s="120">
        <v>0</v>
      </c>
      <c r="C170" s="120">
        <v>0</v>
      </c>
      <c r="D170" s="120">
        <v>0</v>
      </c>
      <c r="E170" s="120">
        <v>0</v>
      </c>
      <c r="F170" s="120">
        <v>0</v>
      </c>
      <c r="G170" s="120">
        <v>0</v>
      </c>
      <c r="H170" s="120">
        <v>0</v>
      </c>
      <c r="I170" s="120">
        <v>0</v>
      </c>
      <c r="J170" s="120">
        <v>3.0759928076142922</v>
      </c>
      <c r="K170" s="121">
        <v>2.0086769429874942</v>
      </c>
    </row>
    <row r="171" spans="1:11" x14ac:dyDescent="0.35">
      <c r="A171" s="59" t="s">
        <v>1484</v>
      </c>
      <c r="B171" s="120">
        <v>0</v>
      </c>
      <c r="C171" s="120">
        <v>0</v>
      </c>
      <c r="D171" s="120">
        <v>0</v>
      </c>
      <c r="E171" s="120">
        <v>0</v>
      </c>
      <c r="F171" s="120">
        <v>0</v>
      </c>
      <c r="G171" s="120">
        <v>0</v>
      </c>
      <c r="H171" s="120">
        <v>0</v>
      </c>
      <c r="I171" s="120">
        <v>0</v>
      </c>
      <c r="J171" s="120">
        <v>0.78186600006284779</v>
      </c>
      <c r="K171" s="121">
        <v>0.50591329415831332</v>
      </c>
    </row>
    <row r="172" spans="1:11" x14ac:dyDescent="0.35">
      <c r="A172" s="57" t="s">
        <v>292</v>
      </c>
      <c r="B172" s="119">
        <v>60.169016267778147</v>
      </c>
      <c r="C172" s="119">
        <v>58.491062107592413</v>
      </c>
      <c r="D172" s="119">
        <v>66.578802222219053</v>
      </c>
      <c r="E172" s="119">
        <v>63.332977505087428</v>
      </c>
      <c r="F172" s="119">
        <v>65.154296584979974</v>
      </c>
      <c r="G172" s="119">
        <v>60.726093822460172</v>
      </c>
      <c r="H172" s="119">
        <v>79.492363612292777</v>
      </c>
      <c r="I172" s="119">
        <v>70.36278072318882</v>
      </c>
      <c r="J172" s="119">
        <v>97.928407521565816</v>
      </c>
      <c r="K172" s="466">
        <v>89.693843934525688</v>
      </c>
    </row>
    <row r="173" spans="1:11" ht="13.15" x14ac:dyDescent="0.4">
      <c r="A173" s="131" t="s">
        <v>320</v>
      </c>
      <c r="B173" s="200"/>
      <c r="C173" s="200"/>
      <c r="D173" s="200"/>
      <c r="E173" s="200"/>
      <c r="F173" s="200"/>
      <c r="G173" s="200"/>
      <c r="H173" s="200"/>
      <c r="I173" s="200"/>
      <c r="J173" s="101"/>
      <c r="K173" s="60"/>
    </row>
    <row r="174" spans="1:11" x14ac:dyDescent="0.35">
      <c r="A174" s="59" t="s">
        <v>1537</v>
      </c>
      <c r="B174" s="120">
        <v>57.688785529593453</v>
      </c>
      <c r="C174" s="120">
        <v>110.07083572953118</v>
      </c>
      <c r="D174" s="120">
        <v>59.917853910594374</v>
      </c>
      <c r="E174" s="120">
        <v>110.36051853693448</v>
      </c>
      <c r="F174" s="120">
        <v>62.772389598403223</v>
      </c>
      <c r="G174" s="120">
        <v>110.71800838384443</v>
      </c>
      <c r="H174" s="120">
        <v>53.827200466399454</v>
      </c>
      <c r="I174" s="120">
        <v>106.656185980123</v>
      </c>
      <c r="J174" s="120">
        <v>118.03292177773312</v>
      </c>
      <c r="K174" s="121">
        <v>164.94598840726476</v>
      </c>
    </row>
    <row r="175" spans="1:11" x14ac:dyDescent="0.35">
      <c r="A175" s="59" t="s">
        <v>1536</v>
      </c>
      <c r="B175" s="120">
        <v>52.573818993194067</v>
      </c>
      <c r="C175" s="120">
        <v>100.05538975955176</v>
      </c>
      <c r="D175" s="120">
        <v>54.452403306165621</v>
      </c>
      <c r="E175" s="120">
        <v>100.38081045914892</v>
      </c>
      <c r="F175" s="120">
        <v>56.911893003143462</v>
      </c>
      <c r="G175" s="120">
        <v>100.88714948401474</v>
      </c>
      <c r="H175" s="120">
        <v>48.79237424429197</v>
      </c>
      <c r="I175" s="120">
        <v>97.093270739682225</v>
      </c>
      <c r="J175" s="120">
        <v>107.85186726141951</v>
      </c>
      <c r="K175" s="121">
        <v>151.33198862200194</v>
      </c>
    </row>
    <row r="176" spans="1:11" x14ac:dyDescent="0.35">
      <c r="A176" s="59" t="s">
        <v>1535</v>
      </c>
      <c r="B176" s="120">
        <v>24.253385208534851</v>
      </c>
      <c r="C176" s="120">
        <v>22.43241182839277</v>
      </c>
      <c r="D176" s="120">
        <v>25.363428061361699</v>
      </c>
      <c r="E176" s="120">
        <v>23.301614876476432</v>
      </c>
      <c r="F176" s="120">
        <v>26.700743637318016</v>
      </c>
      <c r="G176" s="120">
        <v>23.745927057253034</v>
      </c>
      <c r="H176" s="120">
        <v>21.35445754077266</v>
      </c>
      <c r="I176" s="120">
        <v>19.859377412777647</v>
      </c>
      <c r="J176" s="120">
        <v>34.10641041483094</v>
      </c>
      <c r="K176" s="121">
        <v>29.926723104525049</v>
      </c>
    </row>
    <row r="177" spans="1:11" x14ac:dyDescent="0.35">
      <c r="A177" s="59" t="s">
        <v>1534</v>
      </c>
      <c r="B177" s="120">
        <v>22.217222729877864</v>
      </c>
      <c r="C177" s="120">
        <v>62.258084677066478</v>
      </c>
      <c r="D177" s="120">
        <v>22.983776856225091</v>
      </c>
      <c r="E177" s="120">
        <v>61.959854050703861</v>
      </c>
      <c r="F177" s="120">
        <v>23.920753025682608</v>
      </c>
      <c r="G177" s="120">
        <v>62.056377216562211</v>
      </c>
      <c r="H177" s="120">
        <v>21.486727528153249</v>
      </c>
      <c r="I177" s="120">
        <v>61.750847138944579</v>
      </c>
      <c r="J177" s="120">
        <v>61.341888786134589</v>
      </c>
      <c r="K177" s="121">
        <v>99.450152268574271</v>
      </c>
    </row>
    <row r="178" spans="1:11" x14ac:dyDescent="0.35">
      <c r="A178" s="59" t="s">
        <v>1533</v>
      </c>
      <c r="B178" s="120">
        <v>6.1032110547813483</v>
      </c>
      <c r="C178" s="120">
        <v>15.364893254092511</v>
      </c>
      <c r="D178" s="120">
        <v>6.105198388578839</v>
      </c>
      <c r="E178" s="120">
        <v>15.119341531968631</v>
      </c>
      <c r="F178" s="120">
        <v>6.2903963401428307</v>
      </c>
      <c r="G178" s="120">
        <v>15.084845210199497</v>
      </c>
      <c r="H178" s="120">
        <v>5.9511891753660642</v>
      </c>
      <c r="I178" s="120">
        <v>15.483046187959996</v>
      </c>
      <c r="J178" s="120">
        <v>12.403568060454001</v>
      </c>
      <c r="K178" s="121">
        <v>21.955113248902645</v>
      </c>
    </row>
    <row r="179" spans="1:11" s="48" customFormat="1" x14ac:dyDescent="0.35">
      <c r="A179" s="45" t="s">
        <v>1532</v>
      </c>
      <c r="B179" s="120">
        <v>7295.9393860653345</v>
      </c>
      <c r="C179" s="120">
        <v>11671.841747652988</v>
      </c>
      <c r="D179" s="120">
        <v>7713.550584284535</v>
      </c>
      <c r="E179" s="120">
        <v>11578.859309559441</v>
      </c>
      <c r="F179" s="120">
        <v>8238.8732514115618</v>
      </c>
      <c r="G179" s="120">
        <v>11374.644898752304</v>
      </c>
      <c r="H179" s="120">
        <v>7001.1789554055522</v>
      </c>
      <c r="I179" s="120">
        <v>10821.41677206866</v>
      </c>
      <c r="J179" s="120">
        <v>10985.852079230144</v>
      </c>
      <c r="K179" s="121">
        <v>13707.012726929555</v>
      </c>
    </row>
    <row r="180" spans="1:11" ht="13.15" x14ac:dyDescent="0.4">
      <c r="A180" s="131" t="s">
        <v>335</v>
      </c>
      <c r="B180" s="455"/>
      <c r="C180" s="455"/>
      <c r="D180" s="455"/>
      <c r="E180" s="455"/>
      <c r="F180" s="455"/>
      <c r="G180" s="455"/>
      <c r="H180" s="455"/>
      <c r="I180" s="455"/>
      <c r="J180" s="455"/>
      <c r="K180" s="654"/>
    </row>
    <row r="181" spans="1:11" x14ac:dyDescent="0.35">
      <c r="A181" s="59" t="s">
        <v>1525</v>
      </c>
      <c r="B181" s="145">
        <v>3602.3435521799743</v>
      </c>
      <c r="C181" s="145">
        <v>2733.9197914407546</v>
      </c>
      <c r="D181" s="145">
        <v>3722.9215926556262</v>
      </c>
      <c r="E181" s="145">
        <v>2807.1293278739054</v>
      </c>
      <c r="F181" s="145">
        <v>3875.8566582849967</v>
      </c>
      <c r="G181" s="145">
        <v>2879.2960651180038</v>
      </c>
      <c r="H181" s="145">
        <v>3218.222073894086</v>
      </c>
      <c r="I181" s="145">
        <v>2319.3859199136214</v>
      </c>
      <c r="J181" s="145">
        <v>4109.508372106603</v>
      </c>
      <c r="K181" s="144">
        <v>2983.2533877753544</v>
      </c>
    </row>
    <row r="182" spans="1:11" x14ac:dyDescent="0.35">
      <c r="A182" s="59" t="s">
        <v>1524</v>
      </c>
      <c r="B182" s="145">
        <v>18844.725811992394</v>
      </c>
      <c r="C182" s="145">
        <v>11758.404231037839</v>
      </c>
      <c r="D182" s="145">
        <v>20410.891785882854</v>
      </c>
      <c r="E182" s="145">
        <v>12495.835348097589</v>
      </c>
      <c r="F182" s="145">
        <v>21307.42650112648</v>
      </c>
      <c r="G182" s="145">
        <v>12992.286668481078</v>
      </c>
      <c r="H182" s="145">
        <v>18210.975882156599</v>
      </c>
      <c r="I182" s="145">
        <v>9232.614599335433</v>
      </c>
      <c r="J182" s="145">
        <v>22514.190505473511</v>
      </c>
      <c r="K182" s="144">
        <v>12065.983111060639</v>
      </c>
    </row>
    <row r="183" spans="1:11" x14ac:dyDescent="0.35">
      <c r="A183" s="59" t="s">
        <v>1563</v>
      </c>
      <c r="B183" s="145">
        <v>4301.0919664324429</v>
      </c>
      <c r="C183" s="145">
        <v>7733.6545703983411</v>
      </c>
      <c r="D183" s="145">
        <v>4629.8106885323332</v>
      </c>
      <c r="E183" s="145">
        <v>7873.678822486534</v>
      </c>
      <c r="F183" s="145">
        <v>4875.1179760832965</v>
      </c>
      <c r="G183" s="145">
        <v>7939.1575661643183</v>
      </c>
      <c r="H183" s="145">
        <v>4280.6938799180343</v>
      </c>
      <c r="I183" s="145">
        <v>7625.0760413244425</v>
      </c>
      <c r="J183" s="145">
        <v>8643.0618978307102</v>
      </c>
      <c r="K183" s="144">
        <v>11612.586556782555</v>
      </c>
    </row>
    <row r="184" spans="1:11" x14ac:dyDescent="0.35">
      <c r="A184" s="59" t="s">
        <v>1522</v>
      </c>
      <c r="B184" s="145">
        <v>2031.7123220410895</v>
      </c>
      <c r="C184" s="145">
        <v>3099.7140480681205</v>
      </c>
      <c r="D184" s="145">
        <v>2130.2090325363338</v>
      </c>
      <c r="E184" s="145">
        <v>3141.4277544451716</v>
      </c>
      <c r="F184" s="145">
        <v>2238.650686633538</v>
      </c>
      <c r="G184" s="145">
        <v>3163.0845539681727</v>
      </c>
      <c r="H184" s="145">
        <v>1858.0677236477852</v>
      </c>
      <c r="I184" s="145">
        <v>2900.6521616362434</v>
      </c>
      <c r="J184" s="145">
        <v>2827.0746793920889</v>
      </c>
      <c r="K184" s="144">
        <v>3937.9802117706208</v>
      </c>
    </row>
    <row r="185" spans="1:11" x14ac:dyDescent="0.35">
      <c r="A185" s="59" t="s">
        <v>1521</v>
      </c>
      <c r="B185" s="145">
        <v>938.41246842575958</v>
      </c>
      <c r="C185" s="145">
        <v>1100.1156097720257</v>
      </c>
      <c r="D185" s="145">
        <v>988.82181146510788</v>
      </c>
      <c r="E185" s="145">
        <v>1121.4658619503334</v>
      </c>
      <c r="F185" s="145">
        <v>1041.739489520671</v>
      </c>
      <c r="G185" s="145">
        <v>1132.6102580131758</v>
      </c>
      <c r="H185" s="145">
        <v>860.3840463057328</v>
      </c>
      <c r="I185" s="145">
        <v>995.69650830255023</v>
      </c>
      <c r="J185" s="145">
        <v>1273.0946453843444</v>
      </c>
      <c r="K185" s="144">
        <v>1351.7683347931302</v>
      </c>
    </row>
    <row r="186" spans="1:11" x14ac:dyDescent="0.35">
      <c r="A186" s="59" t="s">
        <v>1520</v>
      </c>
      <c r="B186" s="145">
        <v>18289.812786572067</v>
      </c>
      <c r="C186" s="145">
        <v>23565.210331592574</v>
      </c>
      <c r="D186" s="145">
        <v>23480.721145002506</v>
      </c>
      <c r="E186" s="145">
        <v>26792.510451577353</v>
      </c>
      <c r="F186" s="145">
        <v>25866.21784963863</v>
      </c>
      <c r="G186" s="145">
        <v>27678.477753943102</v>
      </c>
      <c r="H186" s="145">
        <v>24350.161063435811</v>
      </c>
      <c r="I186" s="145">
        <v>27750.326345182133</v>
      </c>
      <c r="J186" s="145">
        <v>29895.880972588569</v>
      </c>
      <c r="K186" s="144">
        <v>31938.799540084197</v>
      </c>
    </row>
    <row r="187" spans="1:11" x14ac:dyDescent="0.35">
      <c r="A187" s="59" t="s">
        <v>1519</v>
      </c>
      <c r="B187" s="145">
        <v>27.093694400956387</v>
      </c>
      <c r="C187" s="145">
        <v>57.879746334497376</v>
      </c>
      <c r="D187" s="145">
        <v>30.559607695084708</v>
      </c>
      <c r="E187" s="145">
        <v>59.553352539023884</v>
      </c>
      <c r="F187" s="145">
        <v>32.646211124759951</v>
      </c>
      <c r="G187" s="145">
        <v>60.062691436783801</v>
      </c>
      <c r="H187" s="145">
        <v>29.714031451836366</v>
      </c>
      <c r="I187" s="145">
        <v>59.641284300968636</v>
      </c>
      <c r="J187" s="145">
        <v>61.625159144811455</v>
      </c>
      <c r="K187" s="144">
        <v>89.061079813002664</v>
      </c>
    </row>
    <row r="188" spans="1:11" x14ac:dyDescent="0.35">
      <c r="A188" s="59" t="s">
        <v>1518</v>
      </c>
      <c r="B188" s="145">
        <v>48.220196840097188</v>
      </c>
      <c r="C188" s="145">
        <v>106.03282171033315</v>
      </c>
      <c r="D188" s="145">
        <v>51.398469579052993</v>
      </c>
      <c r="E188" s="145">
        <v>107.0896829893305</v>
      </c>
      <c r="F188" s="145">
        <v>54.099939775097454</v>
      </c>
      <c r="G188" s="145">
        <v>107.57542639123473</v>
      </c>
      <c r="H188" s="145">
        <v>47.23106969379949</v>
      </c>
      <c r="I188" s="145">
        <v>104.5597508343275</v>
      </c>
      <c r="J188" s="145">
        <v>114.71970892424923</v>
      </c>
      <c r="K188" s="144">
        <v>166.87422300127736</v>
      </c>
    </row>
    <row r="189" spans="1:11" x14ac:dyDescent="0.35">
      <c r="A189" s="59" t="s">
        <v>1531</v>
      </c>
      <c r="B189" s="145">
        <v>9795.064983039767</v>
      </c>
      <c r="C189" s="145">
        <v>18646.282750994014</v>
      </c>
      <c r="D189" s="145">
        <v>10085.594488549315</v>
      </c>
      <c r="E189" s="145">
        <v>18579.652886580381</v>
      </c>
      <c r="F189" s="145">
        <v>10479.132375433424</v>
      </c>
      <c r="G189" s="145">
        <v>18685.394560929559</v>
      </c>
      <c r="H189" s="145">
        <v>9213.5951929711464</v>
      </c>
      <c r="I189" s="145">
        <v>18142.188782675978</v>
      </c>
      <c r="J189" s="145">
        <v>19880.217461237062</v>
      </c>
      <c r="K189" s="144">
        <v>27877.478247405794</v>
      </c>
    </row>
    <row r="190" spans="1:11" x14ac:dyDescent="0.35">
      <c r="A190" s="59" t="s">
        <v>1530</v>
      </c>
      <c r="B190" s="145">
        <v>83.181886558797501</v>
      </c>
      <c r="C190" s="145">
        <v>174.05444365493972</v>
      </c>
      <c r="D190" s="145">
        <v>85.468371439648166</v>
      </c>
      <c r="E190" s="145">
        <v>172.07170496164858</v>
      </c>
      <c r="F190" s="145">
        <v>88.302980152674081</v>
      </c>
      <c r="G190" s="145">
        <v>172.78597788171373</v>
      </c>
      <c r="H190" s="145">
        <v>81.156067443146696</v>
      </c>
      <c r="I190" s="145">
        <v>171.23969091739139</v>
      </c>
      <c r="J190" s="145">
        <v>182.92313429711479</v>
      </c>
      <c r="K190" s="144">
        <v>262.8372843050829</v>
      </c>
    </row>
    <row r="191" spans="1:11" x14ac:dyDescent="0.35">
      <c r="A191" s="59" t="s">
        <v>1529</v>
      </c>
      <c r="B191" s="48">
        <v>3748253.2149588093</v>
      </c>
      <c r="C191" s="48">
        <v>6553583.0650315313</v>
      </c>
      <c r="D191" s="48">
        <v>4003365.5963126607</v>
      </c>
      <c r="E191" s="48">
        <v>6636034.4738654103</v>
      </c>
      <c r="F191" s="48">
        <v>4204104.1766815679</v>
      </c>
      <c r="G191" s="48">
        <v>6670972.6583530204</v>
      </c>
      <c r="H191" s="48">
        <v>3641573.5688317725</v>
      </c>
      <c r="I191" s="48">
        <v>6276955.1508456133</v>
      </c>
      <c r="J191" s="48">
        <v>7690827.9669902194</v>
      </c>
      <c r="K191" s="47">
        <v>9894751.735243544</v>
      </c>
    </row>
    <row r="192" spans="1:11" x14ac:dyDescent="0.35">
      <c r="A192" s="59" t="s">
        <v>1528</v>
      </c>
      <c r="B192" s="48">
        <v>3789093.6595914718</v>
      </c>
      <c r="C192" s="48">
        <v>6580581.2740779137</v>
      </c>
      <c r="D192" s="48">
        <v>4047042.9604637772</v>
      </c>
      <c r="E192" s="48">
        <v>6664419.6729604853</v>
      </c>
      <c r="F192" s="48">
        <v>4249667.0287207076</v>
      </c>
      <c r="G192" s="48">
        <v>6700362.9149016785</v>
      </c>
      <c r="H192" s="48">
        <v>3680220.942110226</v>
      </c>
      <c r="I192" s="48">
        <v>6298692.2979997285</v>
      </c>
      <c r="J192" s="48">
        <v>7739015.3769728364</v>
      </c>
      <c r="K192" s="47">
        <v>9923010.3722385354</v>
      </c>
    </row>
    <row r="193" spans="1:17" x14ac:dyDescent="0.35">
      <c r="A193" s="57" t="s">
        <v>1527</v>
      </c>
      <c r="B193" s="48">
        <v>4135166.1042820862</v>
      </c>
      <c r="C193" s="48">
        <v>7351193.0660197586</v>
      </c>
      <c r="D193" s="48">
        <v>4401827.719363668</v>
      </c>
      <c r="E193" s="48">
        <v>7425356.5904506091</v>
      </c>
      <c r="F193" s="48">
        <v>4619455.3689501556</v>
      </c>
      <c r="G193" s="48">
        <v>7456956.3282484077</v>
      </c>
      <c r="H193" s="48">
        <v>4005478.1958850226</v>
      </c>
      <c r="I193" s="48">
        <v>7040812.5270708222</v>
      </c>
      <c r="J193" s="48">
        <v>8419417.6337482724</v>
      </c>
      <c r="K193" s="47">
        <v>11013291.198857313</v>
      </c>
    </row>
    <row r="194" spans="1:17" ht="13.15" x14ac:dyDescent="0.4">
      <c r="A194" s="131" t="s">
        <v>1526</v>
      </c>
      <c r="B194" s="157"/>
      <c r="C194" s="157"/>
      <c r="D194" s="157"/>
      <c r="E194" s="157"/>
      <c r="F194" s="157"/>
      <c r="G194" s="157"/>
      <c r="H194" s="157"/>
      <c r="I194" s="157"/>
      <c r="J194" s="157"/>
      <c r="K194" s="156"/>
    </row>
    <row r="195" spans="1:17" x14ac:dyDescent="0.35">
      <c r="A195" s="59" t="s">
        <v>1525</v>
      </c>
      <c r="B195" s="145">
        <v>26.145494748213487</v>
      </c>
      <c r="C195" s="145">
        <v>63.014400685225162</v>
      </c>
      <c r="D195" s="145">
        <v>27.194188317172532</v>
      </c>
      <c r="E195" s="145">
        <v>62.929095177003127</v>
      </c>
      <c r="F195" s="145">
        <v>28.435582002422827</v>
      </c>
      <c r="G195" s="145">
        <v>62.990004764312609</v>
      </c>
      <c r="H195" s="145">
        <v>25.396478068862187</v>
      </c>
      <c r="I195" s="145">
        <v>62.520902847731627</v>
      </c>
      <c r="J195" s="145">
        <v>62.592779313795361</v>
      </c>
      <c r="K195" s="144">
        <v>97.235611080578991</v>
      </c>
    </row>
    <row r="196" spans="1:17" x14ac:dyDescent="0.35">
      <c r="A196" s="59" t="s">
        <v>1524</v>
      </c>
      <c r="B196" s="145">
        <v>122.51350411052263</v>
      </c>
      <c r="C196" s="145">
        <v>268.14692955966649</v>
      </c>
      <c r="D196" s="145">
        <v>130.13503398592147</v>
      </c>
      <c r="E196" s="145">
        <v>269.65203155196542</v>
      </c>
      <c r="F196" s="145">
        <v>136.4075614682707</v>
      </c>
      <c r="G196" s="145">
        <v>270.67890693587714</v>
      </c>
      <c r="H196" s="145">
        <v>120.45964097585806</v>
      </c>
      <c r="I196" s="145">
        <v>262.4851111589299</v>
      </c>
      <c r="J196" s="145">
        <v>298.49845069113479</v>
      </c>
      <c r="K196" s="144">
        <v>423.60977429821526</v>
      </c>
    </row>
    <row r="197" spans="1:17" x14ac:dyDescent="0.35">
      <c r="A197" s="59" t="s">
        <v>1523</v>
      </c>
      <c r="B197" s="145">
        <v>270.38798632487845</v>
      </c>
      <c r="C197" s="145">
        <v>515.97925449192292</v>
      </c>
      <c r="D197" s="145">
        <v>289.92878940047893</v>
      </c>
      <c r="E197" s="145">
        <v>521.68608616580423</v>
      </c>
      <c r="F197" s="145">
        <v>304.99787950945284</v>
      </c>
      <c r="G197" s="145">
        <v>523.99591879934349</v>
      </c>
      <c r="H197" s="145">
        <v>266.5871483490954</v>
      </c>
      <c r="I197" s="145">
        <v>499.76135103948076</v>
      </c>
      <c r="J197" s="145">
        <v>609.33943829262864</v>
      </c>
      <c r="K197" s="144">
        <v>800.95572513998127</v>
      </c>
    </row>
    <row r="198" spans="1:17" x14ac:dyDescent="0.35">
      <c r="A198" s="59" t="s">
        <v>1522</v>
      </c>
      <c r="B198" s="145">
        <v>26.962017200686976</v>
      </c>
      <c r="C198" s="145">
        <v>45.21985695970568</v>
      </c>
      <c r="D198" s="145">
        <v>29.319163094441635</v>
      </c>
      <c r="E198" s="145">
        <v>46.078175598469755</v>
      </c>
      <c r="F198" s="145">
        <v>30.982807099485733</v>
      </c>
      <c r="G198" s="145">
        <v>46.29469826378871</v>
      </c>
      <c r="H198" s="145">
        <v>26.968597880863204</v>
      </c>
      <c r="I198" s="145">
        <v>43.385136682725076</v>
      </c>
      <c r="J198" s="145">
        <v>57.340955909892855</v>
      </c>
      <c r="K198" s="144">
        <v>69.014045745293643</v>
      </c>
    </row>
    <row r="199" spans="1:17" x14ac:dyDescent="0.35">
      <c r="A199" s="59" t="s">
        <v>1521</v>
      </c>
      <c r="B199" s="145">
        <v>20.011817908581239</v>
      </c>
      <c r="C199" s="145">
        <v>33.617863901032003</v>
      </c>
      <c r="D199" s="145">
        <v>21.727083796319722</v>
      </c>
      <c r="E199" s="145">
        <v>34.23748305307285</v>
      </c>
      <c r="F199" s="145">
        <v>22.947375673917822</v>
      </c>
      <c r="G199" s="145">
        <v>34.398751206410914</v>
      </c>
      <c r="H199" s="145">
        <v>19.968720306427503</v>
      </c>
      <c r="I199" s="145">
        <v>32.23963352594194</v>
      </c>
      <c r="J199" s="145">
        <v>42.565702861803224</v>
      </c>
      <c r="K199" s="144">
        <v>51.343751686008083</v>
      </c>
    </row>
    <row r="200" spans="1:17" x14ac:dyDescent="0.35">
      <c r="A200" s="59" t="s">
        <v>1520</v>
      </c>
      <c r="B200" s="145">
        <v>853.1362238893397</v>
      </c>
      <c r="C200" s="145">
        <v>1395.4900620932938</v>
      </c>
      <c r="D200" s="145">
        <v>930.0987561873269</v>
      </c>
      <c r="E200" s="145">
        <v>1423.0219416961104</v>
      </c>
      <c r="F200" s="145">
        <v>983.34285595863923</v>
      </c>
      <c r="G200" s="145">
        <v>1429.7405761331934</v>
      </c>
      <c r="H200" s="145">
        <v>854.11731919154693</v>
      </c>
      <c r="I200" s="145">
        <v>1330.5798475143226</v>
      </c>
      <c r="J200" s="145">
        <v>1814.9257978553983</v>
      </c>
      <c r="K200" s="144">
        <v>2131.0672925422969</v>
      </c>
    </row>
    <row r="201" spans="1:17" x14ac:dyDescent="0.35">
      <c r="A201" s="59" t="s">
        <v>1519</v>
      </c>
      <c r="B201" s="145">
        <v>1.2792454883511932</v>
      </c>
      <c r="C201" s="145">
        <v>2.2722958177349852</v>
      </c>
      <c r="D201" s="145">
        <v>1.3814636321292426</v>
      </c>
      <c r="E201" s="145">
        <v>2.3080160848307418</v>
      </c>
      <c r="F201" s="145">
        <v>1.4572597266957987</v>
      </c>
      <c r="G201" s="145">
        <v>2.3177954701341315</v>
      </c>
      <c r="H201" s="145">
        <v>1.2732601448098664</v>
      </c>
      <c r="I201" s="145">
        <v>2.197256331346138</v>
      </c>
      <c r="J201" s="145">
        <v>2.7763658338065529</v>
      </c>
      <c r="K201" s="144">
        <v>3.4897399670357085</v>
      </c>
    </row>
    <row r="202" spans="1:17" x14ac:dyDescent="0.35">
      <c r="A202" s="57" t="s">
        <v>1518</v>
      </c>
      <c r="B202" s="142">
        <v>3.2839161724675647</v>
      </c>
      <c r="C202" s="142">
        <v>5.2962580681239224</v>
      </c>
      <c r="D202" s="142">
        <v>3.5501149980580218</v>
      </c>
      <c r="E202" s="142">
        <v>5.4025576383294727</v>
      </c>
      <c r="F202" s="142">
        <v>3.742252597186754</v>
      </c>
      <c r="G202" s="142">
        <v>5.4396706896403773</v>
      </c>
      <c r="H202" s="142">
        <v>3.2406660017995175</v>
      </c>
      <c r="I202" s="142">
        <v>5.0681623999570586</v>
      </c>
      <c r="J202" s="142">
        <v>6.8455890844666412</v>
      </c>
      <c r="K202" s="141">
        <v>8.1265318391991528</v>
      </c>
    </row>
    <row r="204" spans="1:17" ht="13.9" x14ac:dyDescent="0.4">
      <c r="A204" s="72" t="s">
        <v>2240</v>
      </c>
    </row>
    <row r="205" spans="1:17" ht="13.15" x14ac:dyDescent="0.4">
      <c r="A205" s="41" t="s">
        <v>2239</v>
      </c>
    </row>
    <row r="206" spans="1:17" ht="13.15" x14ac:dyDescent="0.4">
      <c r="A206" s="131"/>
      <c r="B206" s="2193" t="s">
        <v>2229</v>
      </c>
      <c r="C206" s="2194"/>
      <c r="D206" s="2194"/>
      <c r="E206" s="2194"/>
      <c r="F206" s="2194"/>
      <c r="G206" s="2194"/>
      <c r="H206" s="2194"/>
      <c r="I206" s="2195"/>
      <c r="J206" s="2194" t="s">
        <v>2228</v>
      </c>
      <c r="K206" s="2194"/>
      <c r="L206" s="2194"/>
      <c r="M206" s="2194"/>
      <c r="N206" s="2194"/>
      <c r="O206" s="2194"/>
      <c r="P206" s="2194"/>
      <c r="Q206" s="2195"/>
    </row>
    <row r="207" spans="1:17" ht="52.5" x14ac:dyDescent="0.4">
      <c r="A207" s="59"/>
      <c r="B207" s="653" t="s">
        <v>405</v>
      </c>
      <c r="C207" s="652" t="s">
        <v>1830</v>
      </c>
      <c r="D207" s="652" t="s">
        <v>1829</v>
      </c>
      <c r="E207" s="652" t="s">
        <v>1503</v>
      </c>
      <c r="F207" s="652" t="s">
        <v>1501</v>
      </c>
      <c r="G207" s="652" t="s">
        <v>1500</v>
      </c>
      <c r="H207" s="180" t="s">
        <v>1499</v>
      </c>
      <c r="I207" s="651" t="s">
        <v>2227</v>
      </c>
      <c r="J207" s="653" t="s">
        <v>405</v>
      </c>
      <c r="K207" s="652" t="s">
        <v>1830</v>
      </c>
      <c r="L207" s="652" t="s">
        <v>1829</v>
      </c>
      <c r="M207" s="652" t="s">
        <v>1503</v>
      </c>
      <c r="N207" s="652" t="s">
        <v>1501</v>
      </c>
      <c r="O207" s="652" t="s">
        <v>1500</v>
      </c>
      <c r="P207" s="180" t="s">
        <v>1499</v>
      </c>
      <c r="Q207" s="651" t="s">
        <v>2227</v>
      </c>
    </row>
    <row r="208" spans="1:17" ht="13.15" x14ac:dyDescent="0.4">
      <c r="A208" s="128" t="s">
        <v>2226</v>
      </c>
      <c r="B208" s="650"/>
      <c r="C208" s="198"/>
      <c r="D208" s="198"/>
      <c r="E208" s="198"/>
      <c r="I208" s="99"/>
      <c r="J208" s="198"/>
      <c r="K208" s="198"/>
      <c r="L208" s="198"/>
      <c r="M208" s="198"/>
      <c r="Q208" s="99"/>
    </row>
    <row r="209" spans="1:17" x14ac:dyDescent="0.35">
      <c r="A209" s="59" t="s">
        <v>1537</v>
      </c>
      <c r="B209" s="232">
        <v>24.572705783361265</v>
      </c>
      <c r="C209" s="145">
        <v>13.399948802498995</v>
      </c>
      <c r="D209" s="145">
        <v>4.3670428138519526</v>
      </c>
      <c r="E209" s="145">
        <v>15.349088129881231</v>
      </c>
      <c r="F209" s="145"/>
      <c r="G209" s="145"/>
      <c r="H209" s="145"/>
      <c r="I209" s="144"/>
      <c r="J209" s="197">
        <v>0.42595290501922334</v>
      </c>
      <c r="K209" s="197">
        <v>0.23227996012543944</v>
      </c>
      <c r="L209" s="197">
        <v>7.5700030322387826E-2</v>
      </c>
      <c r="M209" s="197">
        <v>0.26606710453294924</v>
      </c>
      <c r="N209" s="197"/>
      <c r="O209" s="197"/>
      <c r="P209" s="197"/>
      <c r="Q209" s="196"/>
    </row>
    <row r="210" spans="1:17" x14ac:dyDescent="0.35">
      <c r="A210" s="59" t="s">
        <v>1536</v>
      </c>
      <c r="B210" s="232">
        <v>22.776800081796782</v>
      </c>
      <c r="C210" s="145">
        <v>12.152987707759541</v>
      </c>
      <c r="D210" s="145">
        <v>3.3631310706435746</v>
      </c>
      <c r="E210" s="145">
        <v>14.280900132994162</v>
      </c>
      <c r="F210" s="145"/>
      <c r="G210" s="145"/>
      <c r="H210" s="145"/>
      <c r="I210" s="144"/>
      <c r="J210" s="197">
        <v>0.43323465021145502</v>
      </c>
      <c r="K210" s="197">
        <v>0.23116045097147697</v>
      </c>
      <c r="L210" s="197">
        <v>6.3969693186621046E-2</v>
      </c>
      <c r="M210" s="197">
        <v>0.27163520563044685</v>
      </c>
      <c r="N210" s="197"/>
      <c r="O210" s="197"/>
      <c r="P210" s="197"/>
      <c r="Q210" s="196"/>
    </row>
    <row r="211" spans="1:17" x14ac:dyDescent="0.35">
      <c r="A211" s="59" t="s">
        <v>1535</v>
      </c>
      <c r="B211" s="232">
        <v>9.7580410891027558</v>
      </c>
      <c r="C211" s="145">
        <v>5.8197185681033874</v>
      </c>
      <c r="D211" s="145">
        <v>1.5686566836859264</v>
      </c>
      <c r="E211" s="145">
        <v>7.1069688676427836</v>
      </c>
      <c r="F211" s="145"/>
      <c r="G211" s="145"/>
      <c r="H211" s="145"/>
      <c r="I211" s="144"/>
      <c r="J211" s="197">
        <v>0.40233728220623266</v>
      </c>
      <c r="K211" s="197">
        <v>0.23995489776228879</v>
      </c>
      <c r="L211" s="197">
        <v>6.4677844770878026E-2</v>
      </c>
      <c r="M211" s="197">
        <v>0.29302997526060059</v>
      </c>
      <c r="N211" s="197"/>
      <c r="O211" s="197"/>
      <c r="P211" s="197"/>
      <c r="Q211" s="196"/>
    </row>
    <row r="212" spans="1:17" x14ac:dyDescent="0.35">
      <c r="A212" s="59" t="s">
        <v>1534</v>
      </c>
      <c r="B212" s="232">
        <v>10.536194889773281</v>
      </c>
      <c r="C212" s="145">
        <v>5.0739695045297273</v>
      </c>
      <c r="D212" s="145">
        <v>1.3187118802006084</v>
      </c>
      <c r="E212" s="145">
        <v>5.2883464553742474</v>
      </c>
      <c r="F212" s="145"/>
      <c r="G212" s="145"/>
      <c r="H212" s="145"/>
      <c r="I212" s="144"/>
      <c r="J212" s="197">
        <v>0.47423546218511542</v>
      </c>
      <c r="K212" s="197">
        <v>0.22838000798840713</v>
      </c>
      <c r="L212" s="197">
        <v>5.9355388215431452E-2</v>
      </c>
      <c r="M212" s="197">
        <v>0.23802914161104596</v>
      </c>
      <c r="N212" s="197"/>
      <c r="O212" s="197"/>
      <c r="P212" s="197"/>
      <c r="Q212" s="196"/>
    </row>
    <row r="213" spans="1:17" x14ac:dyDescent="0.35">
      <c r="A213" s="59" t="s">
        <v>1533</v>
      </c>
      <c r="B213" s="232">
        <v>2.4825641029207497</v>
      </c>
      <c r="C213" s="145">
        <v>1.259299635126427</v>
      </c>
      <c r="D213" s="145">
        <v>0.47576250675703979</v>
      </c>
      <c r="E213" s="145">
        <v>1.8855848099771317</v>
      </c>
      <c r="F213" s="145"/>
      <c r="G213" s="145"/>
      <c r="H213" s="145"/>
      <c r="I213" s="144"/>
      <c r="J213" s="197">
        <v>0.40676360044535431</v>
      </c>
      <c r="K213" s="197">
        <v>0.20633394844503575</v>
      </c>
      <c r="L213" s="197">
        <v>7.7952819013905841E-2</v>
      </c>
      <c r="M213" s="197">
        <v>0.30894963209570409</v>
      </c>
      <c r="N213" s="197"/>
      <c r="O213" s="197"/>
      <c r="P213" s="197"/>
      <c r="Q213" s="196"/>
    </row>
    <row r="214" spans="1:17" x14ac:dyDescent="0.35">
      <c r="A214" s="59" t="s">
        <v>1532</v>
      </c>
      <c r="B214" s="49">
        <v>2582.0349470492188</v>
      </c>
      <c r="C214" s="48">
        <v>1704.3897835876155</v>
      </c>
      <c r="D214" s="48">
        <v>1432.7350245611176</v>
      </c>
      <c r="E214" s="48">
        <v>1576.7796308673828</v>
      </c>
      <c r="F214" s="48"/>
      <c r="G214" s="48"/>
      <c r="H214" s="48"/>
      <c r="I214" s="47"/>
      <c r="J214" s="197">
        <v>0.35390027389491485</v>
      </c>
      <c r="K214" s="197">
        <v>0.23360799664027704</v>
      </c>
      <c r="L214" s="197">
        <v>0.19637430476704998</v>
      </c>
      <c r="M214" s="197">
        <v>0.21611742469775816</v>
      </c>
      <c r="N214" s="197"/>
      <c r="O214" s="197"/>
      <c r="P214" s="197"/>
      <c r="Q214" s="196"/>
    </row>
    <row r="215" spans="1:17" ht="13.15" x14ac:dyDescent="0.4">
      <c r="A215" s="128" t="s">
        <v>2225</v>
      </c>
      <c r="B215" s="232"/>
      <c r="C215" s="145"/>
      <c r="D215" s="145"/>
      <c r="E215" s="145"/>
      <c r="F215" s="145"/>
      <c r="G215" s="145"/>
      <c r="H215" s="145"/>
      <c r="I215" s="144"/>
      <c r="J215" s="197"/>
      <c r="K215" s="197"/>
      <c r="L215" s="197"/>
      <c r="M215" s="197"/>
      <c r="N215" s="197"/>
      <c r="O215" s="197"/>
      <c r="P215" s="197"/>
      <c r="Q215" s="196"/>
    </row>
    <row r="216" spans="1:17" x14ac:dyDescent="0.35">
      <c r="A216" s="59" t="s">
        <v>1525</v>
      </c>
      <c r="B216" s="232">
        <v>1314.9353564125931</v>
      </c>
      <c r="C216" s="145">
        <v>695.22912461698536</v>
      </c>
      <c r="D216" s="145">
        <v>158.63176109544705</v>
      </c>
      <c r="E216" s="145">
        <v>1433.5473100549489</v>
      </c>
      <c r="F216" s="145"/>
      <c r="G216" s="145"/>
      <c r="H216" s="145"/>
      <c r="I216" s="144"/>
      <c r="J216" s="197">
        <v>0.36502219662443192</v>
      </c>
      <c r="K216" s="197">
        <v>0.19299356503525722</v>
      </c>
      <c r="L216" s="197">
        <v>4.4035711418876286E-2</v>
      </c>
      <c r="M216" s="197">
        <v>0.39794852692143462</v>
      </c>
      <c r="N216" s="197"/>
      <c r="O216" s="197"/>
      <c r="P216" s="197"/>
      <c r="Q216" s="196"/>
    </row>
    <row r="217" spans="1:17" x14ac:dyDescent="0.35">
      <c r="A217" s="59" t="s">
        <v>1524</v>
      </c>
      <c r="B217" s="232">
        <v>9128.1153158717916</v>
      </c>
      <c r="C217" s="145">
        <v>2989.942327948082</v>
      </c>
      <c r="D217" s="145">
        <v>520.33185861963898</v>
      </c>
      <c r="E217" s="145">
        <v>6206.3363095528821</v>
      </c>
      <c r="F217" s="145"/>
      <c r="G217" s="145"/>
      <c r="H217" s="145"/>
      <c r="I217" s="144"/>
      <c r="J217" s="197">
        <v>0.4843856794171475</v>
      </c>
      <c r="K217" s="197">
        <v>0.15866202341056851</v>
      </c>
      <c r="L217" s="197">
        <v>2.7611537775121701E-2</v>
      </c>
      <c r="M217" s="197">
        <v>0.32934075939716234</v>
      </c>
      <c r="N217" s="197"/>
      <c r="O217" s="197"/>
      <c r="P217" s="197"/>
      <c r="Q217" s="196"/>
    </row>
    <row r="218" spans="1:17" x14ac:dyDescent="0.35">
      <c r="A218" s="59" t="s">
        <v>1523</v>
      </c>
      <c r="B218" s="232">
        <v>1856.8248061220115</v>
      </c>
      <c r="C218" s="145">
        <v>903.5853836070703</v>
      </c>
      <c r="D218" s="145">
        <v>241.92161734022727</v>
      </c>
      <c r="E218" s="145">
        <v>1298.7601593631325</v>
      </c>
      <c r="F218" s="145"/>
      <c r="G218" s="145"/>
      <c r="H218" s="145"/>
      <c r="I218" s="144"/>
      <c r="J218" s="197">
        <v>0.43171009144037481</v>
      </c>
      <c r="K218" s="197">
        <v>0.21008278610618797</v>
      </c>
      <c r="L218" s="197">
        <v>5.6246557671467343E-2</v>
      </c>
      <c r="M218" s="197">
        <v>0.30196056478196959</v>
      </c>
      <c r="N218" s="197"/>
      <c r="O218" s="197"/>
      <c r="P218" s="197"/>
      <c r="Q218" s="196"/>
    </row>
    <row r="219" spans="1:17" x14ac:dyDescent="0.35">
      <c r="A219" s="59" t="s">
        <v>1522</v>
      </c>
      <c r="B219" s="232">
        <v>833.7284269965088</v>
      </c>
      <c r="C219" s="145">
        <v>450.42707354791293</v>
      </c>
      <c r="D219" s="145">
        <v>159.92823823085337</v>
      </c>
      <c r="E219" s="145">
        <v>587.62858326581409</v>
      </c>
      <c r="F219" s="145"/>
      <c r="G219" s="145"/>
      <c r="H219" s="145"/>
      <c r="I219" s="144"/>
      <c r="J219" s="197">
        <v>0.41035751860722702</v>
      </c>
      <c r="K219" s="197">
        <v>0.22169825356741793</v>
      </c>
      <c r="L219" s="197">
        <v>7.871598577016406E-2</v>
      </c>
      <c r="M219" s="197">
        <v>0.28922824205519088</v>
      </c>
      <c r="N219" s="197"/>
      <c r="O219" s="197"/>
      <c r="P219" s="197"/>
      <c r="Q219" s="196"/>
    </row>
    <row r="220" spans="1:17" x14ac:dyDescent="0.35">
      <c r="A220" s="59" t="s">
        <v>1521</v>
      </c>
      <c r="B220" s="232">
        <v>371.03472257757835</v>
      </c>
      <c r="C220" s="145">
        <v>208.09687900069309</v>
      </c>
      <c r="D220" s="145">
        <v>76.912878705285365</v>
      </c>
      <c r="E220" s="145">
        <v>282.36798814220271</v>
      </c>
      <c r="F220" s="145"/>
      <c r="G220" s="145"/>
      <c r="H220" s="145"/>
      <c r="I220" s="144"/>
      <c r="J220" s="197">
        <v>0.39538554213800065</v>
      </c>
      <c r="K220" s="197">
        <v>0.22175417100945757</v>
      </c>
      <c r="L220" s="197">
        <v>8.1960631697819517E-2</v>
      </c>
      <c r="M220" s="197">
        <v>0.30089965515472222</v>
      </c>
      <c r="N220" s="197"/>
      <c r="O220" s="197"/>
      <c r="P220" s="197"/>
      <c r="Q220" s="196"/>
    </row>
    <row r="221" spans="1:17" x14ac:dyDescent="0.35">
      <c r="A221" s="59" t="s">
        <v>1520</v>
      </c>
      <c r="B221" s="232">
        <v>8166.5352362299591</v>
      </c>
      <c r="C221" s="145">
        <v>4174.3181263652505</v>
      </c>
      <c r="D221" s="145">
        <v>974.56282495598828</v>
      </c>
      <c r="E221" s="145">
        <v>4974.3965990208726</v>
      </c>
      <c r="F221" s="145"/>
      <c r="G221" s="145"/>
      <c r="H221" s="145"/>
      <c r="I221" s="144"/>
      <c r="J221" s="197">
        <v>0.44650731702544433</v>
      </c>
      <c r="K221" s="197">
        <v>0.22823186738302387</v>
      </c>
      <c r="L221" s="197">
        <v>5.3284461482923894E-2</v>
      </c>
      <c r="M221" s="197">
        <v>0.2719763541086081</v>
      </c>
      <c r="N221" s="197"/>
      <c r="O221" s="197"/>
      <c r="P221" s="197"/>
      <c r="Q221" s="196"/>
    </row>
    <row r="222" spans="1:17" x14ac:dyDescent="0.35">
      <c r="A222" s="59" t="s">
        <v>1519</v>
      </c>
      <c r="B222" s="232">
        <v>11.401968161213391</v>
      </c>
      <c r="C222" s="145">
        <v>6.0171732922976613</v>
      </c>
      <c r="D222" s="145">
        <v>1.6699472557447921</v>
      </c>
      <c r="E222" s="145">
        <v>8.0046056917005455</v>
      </c>
      <c r="F222" s="145"/>
      <c r="G222" s="145"/>
      <c r="H222" s="145"/>
      <c r="I222" s="144"/>
      <c r="J222" s="197">
        <v>0.4208347518975083</v>
      </c>
      <c r="K222" s="197">
        <v>0.22208758994806038</v>
      </c>
      <c r="L222" s="197">
        <v>6.1636011354946271E-2</v>
      </c>
      <c r="M222" s="197">
        <v>0.29544164679948515</v>
      </c>
      <c r="N222" s="197"/>
      <c r="O222" s="197"/>
      <c r="P222" s="197"/>
      <c r="Q222" s="196"/>
    </row>
    <row r="223" spans="1:17" x14ac:dyDescent="0.35">
      <c r="A223" s="59" t="s">
        <v>1518</v>
      </c>
      <c r="B223" s="232">
        <v>20.095242089381319</v>
      </c>
      <c r="C223" s="145">
        <v>10.631684075989725</v>
      </c>
      <c r="D223" s="145">
        <v>2.9831878120671562</v>
      </c>
      <c r="E223" s="145">
        <v>14.51008286265898</v>
      </c>
      <c r="F223" s="145"/>
      <c r="G223" s="145"/>
      <c r="H223" s="145"/>
      <c r="I223" s="144"/>
      <c r="J223" s="197">
        <v>0.41673911361289284</v>
      </c>
      <c r="K223" s="197">
        <v>0.22048197171914108</v>
      </c>
      <c r="L223" s="197">
        <v>6.1865940156978085E-2</v>
      </c>
      <c r="M223" s="197">
        <v>0.30091297451098781</v>
      </c>
      <c r="N223" s="197"/>
      <c r="O223" s="197"/>
      <c r="P223" s="197"/>
      <c r="Q223" s="196"/>
    </row>
    <row r="224" spans="1:17" x14ac:dyDescent="0.35">
      <c r="A224" s="59" t="s">
        <v>1531</v>
      </c>
      <c r="B224" s="232">
        <v>4720.8597644852689</v>
      </c>
      <c r="C224" s="145">
        <v>2210.130975752797</v>
      </c>
      <c r="D224" s="145">
        <v>555.00176700161933</v>
      </c>
      <c r="E224" s="145">
        <v>2309.0724758000797</v>
      </c>
      <c r="F224" s="145"/>
      <c r="G224" s="145"/>
      <c r="H224" s="145"/>
      <c r="I224" s="144"/>
      <c r="J224" s="197">
        <v>0.48196308780589769</v>
      </c>
      <c r="K224" s="197">
        <v>0.225637193788878</v>
      </c>
      <c r="L224" s="197">
        <v>5.6661366510851054E-2</v>
      </c>
      <c r="M224" s="197">
        <v>0.23573835189437303</v>
      </c>
      <c r="N224" s="197"/>
      <c r="O224" s="197"/>
      <c r="P224" s="197"/>
      <c r="Q224" s="196"/>
    </row>
    <row r="225" spans="1:17" x14ac:dyDescent="0.35">
      <c r="A225" s="59" t="s">
        <v>1530</v>
      </c>
      <c r="B225" s="232">
        <v>43.134918600368138</v>
      </c>
      <c r="C225" s="145">
        <v>17.616648161703452</v>
      </c>
      <c r="D225" s="145">
        <v>4.402102281493776</v>
      </c>
      <c r="E225" s="145">
        <v>18.028217515232122</v>
      </c>
      <c r="F225" s="145"/>
      <c r="G225" s="145"/>
      <c r="H225" s="145"/>
      <c r="I225" s="144"/>
      <c r="J225" s="197">
        <v>0.51856143668823884</v>
      </c>
      <c r="K225" s="197">
        <v>0.21178466719735964</v>
      </c>
      <c r="L225" s="197">
        <v>5.2921404690456614E-2</v>
      </c>
      <c r="M225" s="197">
        <v>0.21673249142394471</v>
      </c>
      <c r="N225" s="197"/>
      <c r="O225" s="197"/>
      <c r="P225" s="197"/>
      <c r="Q225" s="196"/>
    </row>
    <row r="226" spans="1:17" x14ac:dyDescent="0.35">
      <c r="A226" s="59" t="s">
        <v>1529</v>
      </c>
      <c r="B226" s="49">
        <v>1600431.5642800306</v>
      </c>
      <c r="C226" s="48">
        <v>740813.30327646842</v>
      </c>
      <c r="D226" s="48">
        <v>239543.74956343658</v>
      </c>
      <c r="E226" s="48">
        <v>1167464.597838873</v>
      </c>
      <c r="F226" s="48"/>
      <c r="G226" s="48"/>
      <c r="H226" s="48"/>
      <c r="I226" s="47"/>
      <c r="J226" s="197">
        <v>0.42698064204758329</v>
      </c>
      <c r="K226" s="197">
        <v>0.19764227782690222</v>
      </c>
      <c r="L226" s="197">
        <v>6.3908102208102557E-2</v>
      </c>
      <c r="M226" s="197">
        <v>0.31146897791741179</v>
      </c>
      <c r="N226" s="197"/>
      <c r="O226" s="197"/>
      <c r="P226" s="197"/>
      <c r="Q226" s="196"/>
    </row>
    <row r="227" spans="1:17" x14ac:dyDescent="0.35">
      <c r="A227" s="59" t="s">
        <v>1528</v>
      </c>
      <c r="B227" s="49">
        <v>1618873.9606848392</v>
      </c>
      <c r="C227" s="48">
        <v>747678.58151591918</v>
      </c>
      <c r="D227" s="48">
        <v>240855.81623477681</v>
      </c>
      <c r="E227" s="48">
        <v>1181685.3011559371</v>
      </c>
      <c r="F227" s="48"/>
      <c r="G227" s="48"/>
      <c r="H227" s="48"/>
      <c r="I227" s="47"/>
      <c r="J227" s="197">
        <v>0.42724569676099827</v>
      </c>
      <c r="K227" s="197">
        <v>0.19732385860225254</v>
      </c>
      <c r="L227" s="197">
        <v>6.3565548353519755E-2</v>
      </c>
      <c r="M227" s="197">
        <v>0.31186489628322955</v>
      </c>
      <c r="N227" s="197"/>
      <c r="O227" s="197"/>
      <c r="P227" s="197"/>
      <c r="Q227" s="196"/>
    </row>
    <row r="228" spans="1:17" x14ac:dyDescent="0.35">
      <c r="A228" s="59" t="s">
        <v>1527</v>
      </c>
      <c r="B228" s="49">
        <v>1779944.425343337</v>
      </c>
      <c r="C228" s="48">
        <v>827686.64160082501</v>
      </c>
      <c r="D228" s="48">
        <v>271288.84615999786</v>
      </c>
      <c r="E228" s="48">
        <v>1256246.1911779263</v>
      </c>
      <c r="F228" s="48"/>
      <c r="G228" s="48"/>
      <c r="H228" s="48"/>
      <c r="I228" s="47"/>
      <c r="J228" s="197">
        <v>0.43044085302889096</v>
      </c>
      <c r="K228" s="197">
        <v>0.20015801559790575</v>
      </c>
      <c r="L228" s="197">
        <v>6.5605308062249373E-2</v>
      </c>
      <c r="M228" s="197">
        <v>0.30379582331095389</v>
      </c>
      <c r="N228" s="197"/>
      <c r="O228" s="197"/>
      <c r="P228" s="197"/>
      <c r="Q228" s="196"/>
    </row>
    <row r="229" spans="1:17" ht="13.15" x14ac:dyDescent="0.4">
      <c r="A229" s="128" t="s">
        <v>2224</v>
      </c>
      <c r="B229" s="232"/>
      <c r="C229" s="145"/>
      <c r="D229" s="145"/>
      <c r="E229" s="145"/>
      <c r="F229" s="145"/>
      <c r="G229" s="145"/>
      <c r="H229" s="145"/>
      <c r="I229" s="144"/>
      <c r="J229" s="197"/>
      <c r="K229" s="197"/>
      <c r="L229" s="197"/>
      <c r="M229" s="197"/>
      <c r="N229" s="197"/>
      <c r="O229" s="197"/>
      <c r="P229" s="197"/>
      <c r="Q229" s="196"/>
    </row>
    <row r="230" spans="1:17" x14ac:dyDescent="0.35">
      <c r="A230" s="59" t="s">
        <v>1525</v>
      </c>
      <c r="B230" s="232">
        <v>10.930839787643531</v>
      </c>
      <c r="C230" s="145">
        <v>5.8063669281739276</v>
      </c>
      <c r="D230" s="145">
        <v>1.9244414657341469</v>
      </c>
      <c r="E230" s="145">
        <v>7.4838465666618825</v>
      </c>
      <c r="F230" s="145"/>
      <c r="G230" s="145"/>
      <c r="H230" s="145"/>
      <c r="I230" s="144"/>
      <c r="J230" s="197">
        <v>0.41807737405276801</v>
      </c>
      <c r="K230" s="197">
        <v>0.22207906119545415</v>
      </c>
      <c r="L230" s="197">
        <v>7.3605088917494788E-2</v>
      </c>
      <c r="M230" s="197">
        <v>0.28623847583428313</v>
      </c>
      <c r="N230" s="197"/>
      <c r="O230" s="197"/>
      <c r="P230" s="197"/>
      <c r="Q230" s="196"/>
    </row>
    <row r="231" spans="1:17" x14ac:dyDescent="0.35">
      <c r="A231" s="59" t="s">
        <v>1524</v>
      </c>
      <c r="B231" s="232">
        <v>55.840866483652462</v>
      </c>
      <c r="C231" s="145">
        <v>25.761239685357079</v>
      </c>
      <c r="D231" s="145">
        <v>7.6128685702937631</v>
      </c>
      <c r="E231" s="145">
        <v>33.298529371219345</v>
      </c>
      <c r="F231" s="145"/>
      <c r="G231" s="145"/>
      <c r="H231" s="145"/>
      <c r="I231" s="144"/>
      <c r="J231" s="197">
        <v>0.45579356242457125</v>
      </c>
      <c r="K231" s="197">
        <v>0.21027265420567182</v>
      </c>
      <c r="L231" s="197">
        <v>6.2139015821684407E-2</v>
      </c>
      <c r="M231" s="197">
        <v>0.27179476754807269</v>
      </c>
      <c r="N231" s="197"/>
      <c r="O231" s="197"/>
      <c r="P231" s="197"/>
      <c r="Q231" s="196"/>
    </row>
    <row r="232" spans="1:17" x14ac:dyDescent="0.35">
      <c r="A232" s="59" t="s">
        <v>1523</v>
      </c>
      <c r="B232" s="232">
        <v>120.60845428835536</v>
      </c>
      <c r="C232" s="145">
        <v>55.781641174744863</v>
      </c>
      <c r="D232" s="145">
        <v>18.761427756304659</v>
      </c>
      <c r="E232" s="145">
        <v>75.236463105473547</v>
      </c>
      <c r="F232" s="145"/>
      <c r="G232" s="145"/>
      <c r="H232" s="145"/>
      <c r="I232" s="144"/>
      <c r="J232" s="197">
        <v>0.44605700100684598</v>
      </c>
      <c r="K232" s="197">
        <v>0.20630221753906519</v>
      </c>
      <c r="L232" s="197">
        <v>6.9387061205309242E-2</v>
      </c>
      <c r="M232" s="197">
        <v>0.27825372024877948</v>
      </c>
      <c r="N232" s="197"/>
      <c r="O232" s="197"/>
      <c r="P232" s="197"/>
      <c r="Q232" s="196"/>
    </row>
    <row r="233" spans="1:17" x14ac:dyDescent="0.35">
      <c r="A233" s="59" t="s">
        <v>1522</v>
      </c>
      <c r="B233" s="232">
        <v>11.645011036048468</v>
      </c>
      <c r="C233" s="145">
        <v>5.3555065976786693</v>
      </c>
      <c r="D233" s="145">
        <v>2.0991283541026298</v>
      </c>
      <c r="E233" s="145">
        <v>7.8623712128572114</v>
      </c>
      <c r="F233" s="145"/>
      <c r="G233" s="145"/>
      <c r="H233" s="145"/>
      <c r="I233" s="144"/>
      <c r="J233" s="197">
        <v>0.43190429519315637</v>
      </c>
      <c r="K233" s="197">
        <v>0.19863152514946894</v>
      </c>
      <c r="L233" s="197">
        <v>7.7855018727943884E-2</v>
      </c>
      <c r="M233" s="197">
        <v>0.29160916092943084</v>
      </c>
      <c r="N233" s="197"/>
      <c r="O233" s="197"/>
      <c r="P233" s="197"/>
      <c r="Q233" s="196"/>
    </row>
    <row r="234" spans="1:17" x14ac:dyDescent="0.35">
      <c r="A234" s="59" t="s">
        <v>1521</v>
      </c>
      <c r="B234" s="232">
        <v>8.6345931238359537</v>
      </c>
      <c r="C234" s="145">
        <v>3.9682018095694325</v>
      </c>
      <c r="D234" s="145">
        <v>1.5399215341710388</v>
      </c>
      <c r="E234" s="145">
        <v>5.8691014410048155</v>
      </c>
      <c r="F234" s="145"/>
      <c r="G234" s="145"/>
      <c r="H234" s="145"/>
      <c r="I234" s="144"/>
      <c r="J234" s="197">
        <v>0.43147469976395131</v>
      </c>
      <c r="K234" s="197">
        <v>0.19829292009837016</v>
      </c>
      <c r="L234" s="197">
        <v>7.6950606946643629E-2</v>
      </c>
      <c r="M234" s="197">
        <v>0.29328177319103499</v>
      </c>
      <c r="N234" s="197"/>
      <c r="O234" s="197"/>
      <c r="P234" s="197"/>
      <c r="Q234" s="196"/>
    </row>
    <row r="235" spans="1:17" x14ac:dyDescent="0.35">
      <c r="A235" s="59" t="s">
        <v>1520</v>
      </c>
      <c r="B235" s="232">
        <v>376.17973360160897</v>
      </c>
      <c r="C235" s="145">
        <v>168.68988101896667</v>
      </c>
      <c r="D235" s="145">
        <v>67.981260514200812</v>
      </c>
      <c r="E235" s="145">
        <v>240.28534875456353</v>
      </c>
      <c r="F235" s="145"/>
      <c r="G235" s="145"/>
      <c r="H235" s="145"/>
      <c r="I235" s="144"/>
      <c r="J235" s="197">
        <v>0.44093747641690018</v>
      </c>
      <c r="K235" s="197">
        <v>0.19772912730153566</v>
      </c>
      <c r="L235" s="197">
        <v>7.9683945670813133E-2</v>
      </c>
      <c r="M235" s="197">
        <v>0.28164945061075142</v>
      </c>
      <c r="N235" s="197"/>
      <c r="O235" s="197"/>
      <c r="P235" s="197"/>
      <c r="Q235" s="196"/>
    </row>
    <row r="236" spans="1:17" x14ac:dyDescent="0.35">
      <c r="A236" s="59" t="s">
        <v>1519</v>
      </c>
      <c r="B236" s="232">
        <v>0.54091801474698042</v>
      </c>
      <c r="C236" s="145">
        <v>0.25609235028660282</v>
      </c>
      <c r="D236" s="145">
        <v>9.605084886303375E-2</v>
      </c>
      <c r="E236" s="145">
        <v>0.38618427445457626</v>
      </c>
      <c r="F236" s="145"/>
      <c r="G236" s="145"/>
      <c r="H236" s="145"/>
      <c r="I236" s="144"/>
      <c r="J236" s="197">
        <v>0.42284144808215368</v>
      </c>
      <c r="K236" s="197">
        <v>0.20019015319465985</v>
      </c>
      <c r="L236" s="197">
        <v>7.508398484706226E-2</v>
      </c>
      <c r="M236" s="197">
        <v>0.30188441387612419</v>
      </c>
      <c r="N236" s="197"/>
      <c r="O236" s="197"/>
      <c r="P236" s="197"/>
      <c r="Q236" s="196"/>
    </row>
    <row r="237" spans="1:17" x14ac:dyDescent="0.35">
      <c r="A237" s="57" t="s">
        <v>1518</v>
      </c>
      <c r="B237" s="231">
        <v>1.4286347945786741</v>
      </c>
      <c r="C237" s="142">
        <v>0.65438053386187733</v>
      </c>
      <c r="D237" s="142">
        <v>0.22152788382390781</v>
      </c>
      <c r="E237" s="142">
        <v>0.97937296020310483</v>
      </c>
      <c r="F237" s="142"/>
      <c r="G237" s="142"/>
      <c r="H237" s="142"/>
      <c r="I237" s="141"/>
      <c r="J237" s="194">
        <v>0.43503997043419806</v>
      </c>
      <c r="K237" s="194">
        <v>0.19926834288530873</v>
      </c>
      <c r="L237" s="194">
        <v>6.7458446619680229E-2</v>
      </c>
      <c r="M237" s="194">
        <v>0.29823324006081281</v>
      </c>
      <c r="N237" s="194"/>
      <c r="O237" s="194"/>
      <c r="P237" s="194"/>
      <c r="Q237" s="193"/>
    </row>
    <row r="239" spans="1:17" ht="13.15" x14ac:dyDescent="0.4">
      <c r="A239" s="41" t="s">
        <v>2238</v>
      </c>
    </row>
    <row r="240" spans="1:17" ht="13.15" x14ac:dyDescent="0.4">
      <c r="A240" s="131"/>
      <c r="B240" s="2193" t="s">
        <v>2229</v>
      </c>
      <c r="C240" s="2194"/>
      <c r="D240" s="2194"/>
      <c r="E240" s="2194"/>
      <c r="F240" s="2194"/>
      <c r="G240" s="2194"/>
      <c r="H240" s="2194"/>
      <c r="I240" s="2195"/>
      <c r="J240" s="2194" t="s">
        <v>2228</v>
      </c>
      <c r="K240" s="2194"/>
      <c r="L240" s="2194"/>
      <c r="M240" s="2194"/>
      <c r="N240" s="2194"/>
      <c r="O240" s="2194"/>
      <c r="P240" s="2194"/>
      <c r="Q240" s="2195"/>
    </row>
    <row r="241" spans="1:17" ht="52.5" x14ac:dyDescent="0.4">
      <c r="A241" s="59"/>
      <c r="B241" s="653" t="s">
        <v>405</v>
      </c>
      <c r="C241" s="652" t="s">
        <v>1830</v>
      </c>
      <c r="D241" s="652" t="s">
        <v>1829</v>
      </c>
      <c r="E241" s="652" t="s">
        <v>1503</v>
      </c>
      <c r="F241" s="652" t="s">
        <v>1501</v>
      </c>
      <c r="G241" s="652" t="s">
        <v>1500</v>
      </c>
      <c r="H241" s="180" t="s">
        <v>1499</v>
      </c>
      <c r="I241" s="651" t="s">
        <v>2227</v>
      </c>
      <c r="J241" s="653" t="s">
        <v>405</v>
      </c>
      <c r="K241" s="652" t="s">
        <v>1830</v>
      </c>
      <c r="L241" s="652" t="s">
        <v>1829</v>
      </c>
      <c r="M241" s="652" t="s">
        <v>1503</v>
      </c>
      <c r="N241" s="652" t="s">
        <v>1501</v>
      </c>
      <c r="O241" s="652" t="s">
        <v>1500</v>
      </c>
      <c r="P241" s="180" t="s">
        <v>1499</v>
      </c>
      <c r="Q241" s="651" t="s">
        <v>2227</v>
      </c>
    </row>
    <row r="242" spans="1:17" ht="13.15" x14ac:dyDescent="0.4">
      <c r="A242" s="128" t="s">
        <v>2226</v>
      </c>
      <c r="B242" s="650"/>
      <c r="C242" s="198"/>
      <c r="D242" s="198"/>
      <c r="E242" s="198"/>
      <c r="I242" s="99"/>
      <c r="J242" s="198"/>
      <c r="K242" s="198"/>
      <c r="L242" s="198"/>
      <c r="M242" s="198"/>
      <c r="Q242" s="99"/>
    </row>
    <row r="243" spans="1:17" x14ac:dyDescent="0.35">
      <c r="A243" s="59" t="s">
        <v>1537</v>
      </c>
      <c r="B243" s="232">
        <v>75.081672514339004</v>
      </c>
      <c r="C243" s="145">
        <v>13.654961317667011</v>
      </c>
      <c r="D243" s="145">
        <v>4.6019060952133373</v>
      </c>
      <c r="E243" s="145">
        <v>16.73229580231181</v>
      </c>
      <c r="F243" s="145"/>
      <c r="G243" s="145"/>
      <c r="H243" s="145"/>
      <c r="I243" s="144"/>
      <c r="J243" s="197">
        <v>0.68212139952159145</v>
      </c>
      <c r="K243" s="197">
        <v>0.1240561246506779</v>
      </c>
      <c r="L243" s="197">
        <v>4.1808586849665215E-2</v>
      </c>
      <c r="M243" s="197">
        <v>0.15201388897806525</v>
      </c>
      <c r="N243" s="197"/>
      <c r="O243" s="197"/>
      <c r="P243" s="197"/>
      <c r="Q243" s="196"/>
    </row>
    <row r="244" spans="1:17" x14ac:dyDescent="0.35">
      <c r="A244" s="59" t="s">
        <v>1536</v>
      </c>
      <c r="B244" s="232">
        <v>69.877581008230308</v>
      </c>
      <c r="C244" s="145">
        <v>11.971774696965747</v>
      </c>
      <c r="D244" s="145">
        <v>3.3661482292757183</v>
      </c>
      <c r="E244" s="145">
        <v>14.839885825079985</v>
      </c>
      <c r="F244" s="145"/>
      <c r="G244" s="145"/>
      <c r="H244" s="145"/>
      <c r="I244" s="144"/>
      <c r="J244" s="197">
        <v>0.69838897410880818</v>
      </c>
      <c r="K244" s="197">
        <v>0.11965147230684657</v>
      </c>
      <c r="L244" s="197">
        <v>3.3642847600364977E-2</v>
      </c>
      <c r="M244" s="197">
        <v>0.14831670598398025</v>
      </c>
      <c r="N244" s="197"/>
      <c r="O244" s="197"/>
      <c r="P244" s="197"/>
      <c r="Q244" s="196"/>
    </row>
    <row r="245" spans="1:17" x14ac:dyDescent="0.35">
      <c r="A245" s="59" t="s">
        <v>1535</v>
      </c>
      <c r="B245" s="232">
        <v>11.250734392331042</v>
      </c>
      <c r="C245" s="145">
        <v>5.2312200057138778</v>
      </c>
      <c r="D245" s="145">
        <v>1.2196062721336405</v>
      </c>
      <c r="E245" s="145">
        <v>4.730851158214211</v>
      </c>
      <c r="F245" s="145"/>
      <c r="G245" s="145"/>
      <c r="H245" s="145"/>
      <c r="I245" s="144"/>
      <c r="J245" s="197">
        <v>0.50153922272820228</v>
      </c>
      <c r="K245" s="197">
        <v>0.23319917830202758</v>
      </c>
      <c r="L245" s="197">
        <v>5.4368040381194374E-2</v>
      </c>
      <c r="M245" s="197">
        <v>0.21089355858857578</v>
      </c>
      <c r="N245" s="197"/>
      <c r="O245" s="197"/>
      <c r="P245" s="197"/>
      <c r="Q245" s="196"/>
    </row>
    <row r="246" spans="1:17" x14ac:dyDescent="0.35">
      <c r="A246" s="59" t="s">
        <v>1534</v>
      </c>
      <c r="B246" s="232">
        <v>47.737814600320696</v>
      </c>
      <c r="C246" s="145">
        <v>5.4719752228093466</v>
      </c>
      <c r="D246" s="145">
        <v>1.6351381332781276</v>
      </c>
      <c r="E246" s="145">
        <v>7.4131567206583053</v>
      </c>
      <c r="F246" s="145"/>
      <c r="G246" s="145"/>
      <c r="H246" s="145"/>
      <c r="I246" s="144"/>
      <c r="J246" s="197">
        <v>0.76677293957784576</v>
      </c>
      <c r="K246" s="197">
        <v>8.7891801541800652E-2</v>
      </c>
      <c r="L246" s="197">
        <v>2.6263868247145911E-2</v>
      </c>
      <c r="M246" s="197">
        <v>0.11907139063320771</v>
      </c>
      <c r="N246" s="197"/>
      <c r="O246" s="197"/>
      <c r="P246" s="197"/>
      <c r="Q246" s="196"/>
    </row>
    <row r="247" spans="1:17" x14ac:dyDescent="0.35">
      <c r="A247" s="59" t="s">
        <v>1533</v>
      </c>
      <c r="B247" s="232">
        <v>10.889032015578566</v>
      </c>
      <c r="C247" s="145">
        <v>1.268579468442524</v>
      </c>
      <c r="D247" s="145">
        <v>0.51140382386395011</v>
      </c>
      <c r="E247" s="145">
        <v>2.6958779462074691</v>
      </c>
      <c r="F247" s="145"/>
      <c r="G247" s="145"/>
      <c r="H247" s="145"/>
      <c r="I247" s="144"/>
      <c r="J247" s="197">
        <v>0.70869558515665065</v>
      </c>
      <c r="K247" s="197">
        <v>8.2563506785485283E-2</v>
      </c>
      <c r="L247" s="197">
        <v>3.3283916484596165E-2</v>
      </c>
      <c r="M247" s="197">
        <v>0.1754569915732678</v>
      </c>
      <c r="N247" s="197"/>
      <c r="O247" s="197"/>
      <c r="P247" s="197"/>
      <c r="Q247" s="196"/>
    </row>
    <row r="248" spans="1:17" x14ac:dyDescent="0.35">
      <c r="A248" s="59" t="s">
        <v>1532</v>
      </c>
      <c r="B248" s="49">
        <v>4924.2077755671426</v>
      </c>
      <c r="C248" s="48">
        <v>2311.3076193272805</v>
      </c>
      <c r="D248" s="48">
        <v>1769.3823586454077</v>
      </c>
      <c r="E248" s="48">
        <v>2666.9439941131559</v>
      </c>
      <c r="F248" s="48"/>
      <c r="G248" s="48"/>
      <c r="H248" s="48"/>
      <c r="I248" s="47"/>
      <c r="J248" s="197">
        <v>0.42188781188344315</v>
      </c>
      <c r="K248" s="197">
        <v>0.19802424238591529</v>
      </c>
      <c r="L248" s="197">
        <v>0.15159410116241517</v>
      </c>
      <c r="M248" s="197">
        <v>0.22849384456822622</v>
      </c>
      <c r="N248" s="197"/>
      <c r="O248" s="197"/>
      <c r="P248" s="197"/>
      <c r="Q248" s="196"/>
    </row>
    <row r="249" spans="1:17" ht="13.15" x14ac:dyDescent="0.4">
      <c r="A249" s="128" t="s">
        <v>2225</v>
      </c>
      <c r="B249" s="232"/>
      <c r="C249" s="145"/>
      <c r="D249" s="145"/>
      <c r="E249" s="145"/>
      <c r="F249" s="145"/>
      <c r="G249" s="145"/>
      <c r="H249" s="145"/>
      <c r="I249" s="144"/>
      <c r="J249" s="197"/>
      <c r="K249" s="197"/>
      <c r="L249" s="197"/>
      <c r="M249" s="197"/>
      <c r="N249" s="197"/>
      <c r="O249" s="197"/>
      <c r="P249" s="197"/>
      <c r="Q249" s="196"/>
    </row>
    <row r="250" spans="1:17" x14ac:dyDescent="0.35">
      <c r="A250" s="59" t="s">
        <v>1525</v>
      </c>
      <c r="B250" s="232">
        <v>907.65526462544483</v>
      </c>
      <c r="C250" s="145">
        <v>645.58115590377793</v>
      </c>
      <c r="D250" s="145">
        <v>119.06170759330776</v>
      </c>
      <c r="E250" s="145">
        <v>1061.6216633182235</v>
      </c>
      <c r="F250" s="145"/>
      <c r="G250" s="145"/>
      <c r="H250" s="145"/>
      <c r="I250" s="144"/>
      <c r="J250" s="197">
        <v>0.33199776652815316</v>
      </c>
      <c r="K250" s="197">
        <v>0.23613756260331312</v>
      </c>
      <c r="L250" s="197">
        <v>4.3549817359697728E-2</v>
      </c>
      <c r="M250" s="197">
        <v>0.38831485350883577</v>
      </c>
      <c r="N250" s="197"/>
      <c r="O250" s="197"/>
      <c r="P250" s="197"/>
      <c r="Q250" s="196"/>
    </row>
    <row r="251" spans="1:17" x14ac:dyDescent="0.35">
      <c r="A251" s="59" t="s">
        <v>1524</v>
      </c>
      <c r="B251" s="232">
        <v>4252.366883749668</v>
      </c>
      <c r="C251" s="145">
        <v>3942.0899929900538</v>
      </c>
      <c r="D251" s="145">
        <v>522.31026886516645</v>
      </c>
      <c r="E251" s="145">
        <v>3041.6370854329534</v>
      </c>
      <c r="F251" s="145"/>
      <c r="G251" s="145"/>
      <c r="H251" s="145"/>
      <c r="I251" s="144"/>
      <c r="J251" s="197">
        <v>0.3616448967220392</v>
      </c>
      <c r="K251" s="197">
        <v>0.33525722670635816</v>
      </c>
      <c r="L251" s="197">
        <v>4.4420166087372683E-2</v>
      </c>
      <c r="M251" s="197">
        <v>0.25867771048423016</v>
      </c>
      <c r="N251" s="197"/>
      <c r="O251" s="197"/>
      <c r="P251" s="197"/>
      <c r="Q251" s="196"/>
    </row>
    <row r="252" spans="1:17" x14ac:dyDescent="0.35">
      <c r="A252" s="59" t="s">
        <v>1523</v>
      </c>
      <c r="B252" s="232">
        <v>5218.5188753110506</v>
      </c>
      <c r="C252" s="145">
        <v>970.34538530867951</v>
      </c>
      <c r="D252" s="145">
        <v>257.01833067556737</v>
      </c>
      <c r="E252" s="145">
        <v>1287.7719791030433</v>
      </c>
      <c r="F252" s="145"/>
      <c r="G252" s="145"/>
      <c r="H252" s="145"/>
      <c r="I252" s="144"/>
      <c r="J252" s="197">
        <v>0.67478044536481774</v>
      </c>
      <c r="K252" s="197">
        <v>0.12547048442308426</v>
      </c>
      <c r="L252" s="197">
        <v>3.3233748460830076E-2</v>
      </c>
      <c r="M252" s="197">
        <v>0.1665153217512679</v>
      </c>
      <c r="N252" s="197"/>
      <c r="O252" s="197"/>
      <c r="P252" s="197"/>
      <c r="Q252" s="196"/>
    </row>
    <row r="253" spans="1:17" x14ac:dyDescent="0.35">
      <c r="A253" s="59" t="s">
        <v>1522</v>
      </c>
      <c r="B253" s="232">
        <v>1889.0379648999212</v>
      </c>
      <c r="C253" s="145">
        <v>482.55451555972166</v>
      </c>
      <c r="D253" s="145">
        <v>166.12282559177038</v>
      </c>
      <c r="E253" s="145">
        <v>561.99874201670673</v>
      </c>
      <c r="F253" s="145"/>
      <c r="G253" s="145"/>
      <c r="H253" s="145"/>
      <c r="I253" s="144"/>
      <c r="J253" s="197">
        <v>0.60942330021611302</v>
      </c>
      <c r="K253" s="197">
        <v>0.15567710700942594</v>
      </c>
      <c r="L253" s="197">
        <v>5.3592951806411146E-2</v>
      </c>
      <c r="M253" s="197">
        <v>0.18130664096804971</v>
      </c>
      <c r="N253" s="197"/>
      <c r="O253" s="197"/>
      <c r="P253" s="197"/>
      <c r="Q253" s="196"/>
    </row>
    <row r="254" spans="1:17" x14ac:dyDescent="0.35">
      <c r="A254" s="59" t="s">
        <v>1521</v>
      </c>
      <c r="B254" s="232">
        <v>543.08638462305566</v>
      </c>
      <c r="C254" s="145">
        <v>224.66101799070995</v>
      </c>
      <c r="D254" s="145">
        <v>81.291606267146918</v>
      </c>
      <c r="E254" s="145">
        <v>251.0766008911132</v>
      </c>
      <c r="F254" s="145"/>
      <c r="G254" s="145"/>
      <c r="H254" s="145"/>
      <c r="I254" s="144"/>
      <c r="J254" s="197">
        <v>0.4936630112316997</v>
      </c>
      <c r="K254" s="197">
        <v>0.20421582604147023</v>
      </c>
      <c r="L254" s="197">
        <v>7.3893694030932613E-2</v>
      </c>
      <c r="M254" s="197">
        <v>0.22822746869589752</v>
      </c>
      <c r="N254" s="197"/>
      <c r="O254" s="197"/>
      <c r="P254" s="197"/>
      <c r="Q254" s="196"/>
    </row>
    <row r="255" spans="1:17" x14ac:dyDescent="0.35">
      <c r="A255" s="59" t="s">
        <v>1520</v>
      </c>
      <c r="B255" s="232">
        <v>12895.651254694914</v>
      </c>
      <c r="C255" s="145">
        <v>5032.1114175400298</v>
      </c>
      <c r="D255" s="145">
        <v>1056.264873285676</v>
      </c>
      <c r="E255" s="145">
        <v>4581.1827860719568</v>
      </c>
      <c r="F255" s="145"/>
      <c r="G255" s="145"/>
      <c r="H255" s="145"/>
      <c r="I255" s="144"/>
      <c r="J255" s="197">
        <v>0.54723259725827389</v>
      </c>
      <c r="K255" s="197">
        <v>0.2135398473738109</v>
      </c>
      <c r="L255" s="197">
        <v>4.4823061556535315E-2</v>
      </c>
      <c r="M255" s="197">
        <v>0.19440449381138</v>
      </c>
      <c r="N255" s="197"/>
      <c r="O255" s="197"/>
      <c r="P255" s="197"/>
      <c r="Q255" s="196"/>
    </row>
    <row r="256" spans="1:17" x14ac:dyDescent="0.35">
      <c r="A256" s="59" t="s">
        <v>1519</v>
      </c>
      <c r="B256" s="232">
        <v>40.082218607401472</v>
      </c>
      <c r="C256" s="145">
        <v>6.662199544545321</v>
      </c>
      <c r="D256" s="145">
        <v>1.9298547838612583</v>
      </c>
      <c r="E256" s="145">
        <v>9.205473398689314</v>
      </c>
      <c r="F256" s="145"/>
      <c r="G256" s="145"/>
      <c r="H256" s="145"/>
      <c r="I256" s="144"/>
      <c r="J256" s="197">
        <v>0.69250853961520809</v>
      </c>
      <c r="K256" s="197">
        <v>0.11510415933828186</v>
      </c>
      <c r="L256" s="197">
        <v>3.3342488626475368E-2</v>
      </c>
      <c r="M256" s="197">
        <v>0.15904481242003449</v>
      </c>
      <c r="N256" s="197"/>
      <c r="O256" s="197"/>
      <c r="P256" s="197"/>
      <c r="Q256" s="196"/>
    </row>
    <row r="257" spans="1:17" x14ac:dyDescent="0.35">
      <c r="A257" s="59" t="s">
        <v>1518</v>
      </c>
      <c r="B257" s="232">
        <v>75.423464328639156</v>
      </c>
      <c r="C257" s="145">
        <v>11.283018320183102</v>
      </c>
      <c r="D257" s="145">
        <v>3.3955726151386521</v>
      </c>
      <c r="E257" s="145">
        <v>15.93076644637225</v>
      </c>
      <c r="F257" s="145"/>
      <c r="G257" s="145"/>
      <c r="H257" s="145"/>
      <c r="I257" s="144"/>
      <c r="J257" s="197">
        <v>0.71132186347625004</v>
      </c>
      <c r="K257" s="197">
        <v>0.10641062020406031</v>
      </c>
      <c r="L257" s="197">
        <v>3.2023788109825861E-2</v>
      </c>
      <c r="M257" s="197">
        <v>0.1502437282098639</v>
      </c>
      <c r="N257" s="197"/>
      <c r="O257" s="197"/>
      <c r="P257" s="197"/>
      <c r="Q257" s="196"/>
    </row>
    <row r="258" spans="1:17" x14ac:dyDescent="0.35">
      <c r="A258" s="59" t="s">
        <v>1531</v>
      </c>
      <c r="B258" s="232">
        <v>13316.475008855421</v>
      </c>
      <c r="C258" s="145">
        <v>2271.4373515703778</v>
      </c>
      <c r="D258" s="145">
        <v>576.28254525714533</v>
      </c>
      <c r="E258" s="145">
        <v>2482.0878453110718</v>
      </c>
      <c r="F258" s="145"/>
      <c r="G258" s="145"/>
      <c r="H258" s="145"/>
      <c r="I258" s="144"/>
      <c r="J258" s="197"/>
      <c r="K258" s="197"/>
      <c r="L258" s="197"/>
      <c r="M258" s="197"/>
      <c r="N258" s="197"/>
      <c r="O258" s="197"/>
      <c r="P258" s="197"/>
      <c r="Q258" s="196"/>
    </row>
    <row r="259" spans="1:17" x14ac:dyDescent="0.35">
      <c r="A259" s="59" t="s">
        <v>1530</v>
      </c>
      <c r="B259" s="232">
        <v>126.88586981002075</v>
      </c>
      <c r="C259" s="145">
        <v>19.811234322138862</v>
      </c>
      <c r="D259" s="145">
        <v>5.199651705404273</v>
      </c>
      <c r="E259" s="145">
        <v>22.157687817375805</v>
      </c>
      <c r="F259" s="145"/>
      <c r="G259" s="145"/>
      <c r="H259" s="145"/>
      <c r="I259" s="144"/>
      <c r="J259" s="197">
        <v>0.7290010363744005</v>
      </c>
      <c r="K259" s="197">
        <v>0.11382205421548634</v>
      </c>
      <c r="L259" s="197">
        <v>2.9873708457064753E-2</v>
      </c>
      <c r="M259" s="197">
        <v>0.12730320095304826</v>
      </c>
      <c r="N259" s="197"/>
      <c r="O259" s="197"/>
      <c r="P259" s="197"/>
      <c r="Q259" s="196"/>
    </row>
    <row r="260" spans="1:17" x14ac:dyDescent="0.35">
      <c r="A260" s="59" t="s">
        <v>1529</v>
      </c>
      <c r="B260" s="49">
        <v>4317859.1476652054</v>
      </c>
      <c r="C260" s="48">
        <v>867737.15823641233</v>
      </c>
      <c r="D260" s="48">
        <v>274838.17127492401</v>
      </c>
      <c r="E260" s="48">
        <v>1093148.5878549879</v>
      </c>
      <c r="F260" s="48"/>
      <c r="G260" s="48"/>
      <c r="H260" s="48"/>
      <c r="I260" s="47"/>
      <c r="J260" s="197">
        <v>0.65885472188555083</v>
      </c>
      <c r="K260" s="197">
        <v>0.1324065247401022</v>
      </c>
      <c r="L260" s="197">
        <v>4.1937085186483661E-2</v>
      </c>
      <c r="M260" s="197">
        <v>0.16680166818786304</v>
      </c>
      <c r="N260" s="197"/>
      <c r="O260" s="197"/>
      <c r="P260" s="197"/>
      <c r="Q260" s="196"/>
    </row>
    <row r="261" spans="1:17" x14ac:dyDescent="0.35">
      <c r="A261" s="59" t="s">
        <v>1528</v>
      </c>
      <c r="B261" s="49">
        <v>4327370.297390609</v>
      </c>
      <c r="C261" s="48">
        <v>875943.93235177314</v>
      </c>
      <c r="D261" s="48">
        <v>276030.02020990173</v>
      </c>
      <c r="E261" s="48">
        <v>1101237.0241256291</v>
      </c>
      <c r="F261" s="48"/>
      <c r="G261" s="48"/>
      <c r="H261" s="48"/>
      <c r="I261" s="47"/>
      <c r="J261" s="197">
        <v>0.65759696858952177</v>
      </c>
      <c r="K261" s="197">
        <v>0.13311041925768366</v>
      </c>
      <c r="L261" s="197">
        <v>4.1946145593130708E-2</v>
      </c>
      <c r="M261" s="197">
        <v>0.16734646655966376</v>
      </c>
      <c r="N261" s="197"/>
      <c r="O261" s="197"/>
      <c r="P261" s="197"/>
      <c r="Q261" s="196"/>
    </row>
    <row r="262" spans="1:17" x14ac:dyDescent="0.35">
      <c r="A262" s="59" t="s">
        <v>1527</v>
      </c>
      <c r="B262" s="49">
        <v>4880662.671811508</v>
      </c>
      <c r="C262" s="48">
        <v>962003.58904320502</v>
      </c>
      <c r="D262" s="48">
        <v>310521.509744515</v>
      </c>
      <c r="E262" s="48">
        <v>1198005.2954205305</v>
      </c>
      <c r="F262" s="48"/>
      <c r="G262" s="48"/>
      <c r="H262" s="48"/>
      <c r="I262" s="47"/>
      <c r="J262" s="197">
        <v>0.66392796760731809</v>
      </c>
      <c r="K262" s="197">
        <v>0.13086360001752392</v>
      </c>
      <c r="L262" s="197">
        <v>4.2240967820566883E-2</v>
      </c>
      <c r="M262" s="197">
        <v>0.16296746455459105</v>
      </c>
      <c r="N262" s="197"/>
      <c r="O262" s="197"/>
      <c r="P262" s="197"/>
      <c r="Q262" s="196"/>
    </row>
    <row r="263" spans="1:17" ht="13.15" x14ac:dyDescent="0.4">
      <c r="A263" s="128" t="s">
        <v>2224</v>
      </c>
      <c r="B263" s="232"/>
      <c r="C263" s="145"/>
      <c r="D263" s="145"/>
      <c r="E263" s="145"/>
      <c r="F263" s="145"/>
      <c r="G263" s="145"/>
      <c r="H263" s="145"/>
      <c r="I263" s="144"/>
      <c r="J263" s="197"/>
      <c r="K263" s="197"/>
      <c r="L263" s="197"/>
      <c r="M263" s="197"/>
      <c r="N263" s="197"/>
      <c r="O263" s="197"/>
      <c r="P263" s="197"/>
      <c r="Q263" s="196"/>
    </row>
    <row r="264" spans="1:17" x14ac:dyDescent="0.35">
      <c r="A264" s="59" t="s">
        <v>1525</v>
      </c>
      <c r="B264" s="232">
        <v>45.183200874162225</v>
      </c>
      <c r="C264" s="145">
        <v>6.1377971146213737</v>
      </c>
      <c r="D264" s="145">
        <v>2.1668993847312339</v>
      </c>
      <c r="E264" s="145">
        <v>9.5265033117103179</v>
      </c>
      <c r="F264" s="145"/>
      <c r="G264" s="145"/>
      <c r="H264" s="145"/>
      <c r="I264" s="144"/>
      <c r="J264" s="197">
        <v>0.71702976435283661</v>
      </c>
      <c r="K264" s="197">
        <v>9.7403086403716102E-2</v>
      </c>
      <c r="L264" s="197">
        <v>3.4387367985224709E-2</v>
      </c>
      <c r="M264" s="197">
        <v>0.15117978125822237</v>
      </c>
      <c r="N264" s="197"/>
      <c r="O264" s="197"/>
      <c r="P264" s="197"/>
      <c r="Q264" s="196"/>
    </row>
    <row r="265" spans="1:17" x14ac:dyDescent="0.35">
      <c r="A265" s="59" t="s">
        <v>1524</v>
      </c>
      <c r="B265" s="232">
        <v>192.61152538821918</v>
      </c>
      <c r="C265" s="145">
        <v>29.953889166508564</v>
      </c>
      <c r="D265" s="145">
        <v>8.9420095307749303</v>
      </c>
      <c r="E265" s="145">
        <v>36.639505474163848</v>
      </c>
      <c r="F265" s="145"/>
      <c r="G265" s="145"/>
      <c r="H265" s="145"/>
      <c r="I265" s="144"/>
      <c r="J265" s="197">
        <v>0.71830591424079826</v>
      </c>
      <c r="K265" s="197">
        <v>0.11170700039600266</v>
      </c>
      <c r="L265" s="197">
        <v>3.3347424658036993E-2</v>
      </c>
      <c r="M265" s="197">
        <v>0.13663966070516217</v>
      </c>
      <c r="N265" s="197"/>
      <c r="O265" s="197"/>
      <c r="P265" s="197"/>
      <c r="Q265" s="196"/>
    </row>
    <row r="266" spans="1:17" x14ac:dyDescent="0.35">
      <c r="A266" s="59" t="s">
        <v>1523</v>
      </c>
      <c r="B266" s="232">
        <v>350.86437123241916</v>
      </c>
      <c r="C266" s="145">
        <v>67.097514294088455</v>
      </c>
      <c r="D266" s="145">
        <v>21.664470165114064</v>
      </c>
      <c r="E266" s="145">
        <v>76.35289880030119</v>
      </c>
      <c r="F266" s="145"/>
      <c r="G266" s="145"/>
      <c r="H266" s="145"/>
      <c r="I266" s="144"/>
      <c r="J266" s="197">
        <v>0.67999705061380822</v>
      </c>
      <c r="K266" s="197">
        <v>0.13003917058672906</v>
      </c>
      <c r="L266" s="197">
        <v>4.1987095365775405E-2</v>
      </c>
      <c r="M266" s="197">
        <v>0.14797668343368717</v>
      </c>
      <c r="N266" s="197"/>
      <c r="O266" s="197"/>
      <c r="P266" s="197"/>
      <c r="Q266" s="196"/>
    </row>
    <row r="267" spans="1:17" x14ac:dyDescent="0.35">
      <c r="A267" s="59" t="s">
        <v>1522</v>
      </c>
      <c r="B267" s="232">
        <v>28.474907446746194</v>
      </c>
      <c r="C267" s="145">
        <v>6.8257016279727942</v>
      </c>
      <c r="D267" s="145">
        <v>2.4258924256678696</v>
      </c>
      <c r="E267" s="145">
        <v>7.4933554593188241</v>
      </c>
      <c r="F267" s="145"/>
      <c r="G267" s="145"/>
      <c r="H267" s="145"/>
      <c r="I267" s="144"/>
      <c r="J267" s="197">
        <v>0.62969919325749957</v>
      </c>
      <c r="K267" s="197">
        <v>0.15094478591683763</v>
      </c>
      <c r="L267" s="197">
        <v>5.3646618737195999E-2</v>
      </c>
      <c r="M267" s="197">
        <v>0.16570940208846682</v>
      </c>
      <c r="N267" s="197"/>
      <c r="O267" s="197"/>
      <c r="P267" s="197"/>
      <c r="Q267" s="196"/>
    </row>
    <row r="268" spans="1:17" x14ac:dyDescent="0.35">
      <c r="A268" s="59" t="s">
        <v>1521</v>
      </c>
      <c r="B268" s="232">
        <v>21.226458210667694</v>
      </c>
      <c r="C268" s="145">
        <v>5.0361613150373117</v>
      </c>
      <c r="D268" s="145">
        <v>1.7742690220832082</v>
      </c>
      <c r="E268" s="145">
        <v>5.5809753532437956</v>
      </c>
      <c r="F268" s="145"/>
      <c r="G268" s="145"/>
      <c r="H268" s="145"/>
      <c r="I268" s="144"/>
      <c r="J268" s="197">
        <v>0.63140413302750276</v>
      </c>
      <c r="K268" s="197">
        <v>0.14980610695145063</v>
      </c>
      <c r="L268" s="197">
        <v>5.2777565740241505E-2</v>
      </c>
      <c r="M268" s="197">
        <v>0.1660121942808053</v>
      </c>
      <c r="N268" s="197"/>
      <c r="O268" s="197"/>
      <c r="P268" s="197"/>
      <c r="Q268" s="196"/>
    </row>
    <row r="269" spans="1:17" x14ac:dyDescent="0.35">
      <c r="A269" s="59" t="s">
        <v>1520</v>
      </c>
      <c r="B269" s="232">
        <v>869.98586307529422</v>
      </c>
      <c r="C269" s="145">
        <v>220.80133844862536</v>
      </c>
      <c r="D269" s="145">
        <v>79.710682747550308</v>
      </c>
      <c r="E269" s="145">
        <v>224.99217782182399</v>
      </c>
      <c r="F269" s="145"/>
      <c r="G269" s="145"/>
      <c r="H269" s="145"/>
      <c r="I269" s="144"/>
      <c r="J269" s="197">
        <v>0.62342677078637077</v>
      </c>
      <c r="K269" s="197">
        <v>0.15822494509019583</v>
      </c>
      <c r="L269" s="197">
        <v>5.7120208099497985E-2</v>
      </c>
      <c r="M269" s="197">
        <v>0.16122807602393546</v>
      </c>
      <c r="N269" s="197"/>
      <c r="O269" s="197"/>
      <c r="P269" s="197"/>
      <c r="Q269" s="196"/>
    </row>
    <row r="270" spans="1:17" x14ac:dyDescent="0.35">
      <c r="A270" s="59" t="s">
        <v>1519</v>
      </c>
      <c r="B270" s="232">
        <v>1.4676493468811642</v>
      </c>
      <c r="C270" s="145">
        <v>0.31419543008645967</v>
      </c>
      <c r="D270" s="145">
        <v>0.10906761831780641</v>
      </c>
      <c r="E270" s="145">
        <v>0.38138342244955481</v>
      </c>
      <c r="F270" s="145"/>
      <c r="G270" s="145"/>
      <c r="H270" s="145"/>
      <c r="I270" s="144"/>
      <c r="J270" s="197">
        <v>0.64588832819492259</v>
      </c>
      <c r="K270" s="197">
        <v>0.138272238867054</v>
      </c>
      <c r="L270" s="197">
        <v>4.7998864173646433E-2</v>
      </c>
      <c r="M270" s="197">
        <v>0.16784056876437689</v>
      </c>
      <c r="N270" s="197"/>
      <c r="O270" s="197"/>
      <c r="P270" s="197"/>
      <c r="Q270" s="196"/>
    </row>
    <row r="271" spans="1:17" x14ac:dyDescent="0.35">
      <c r="A271" s="57" t="s">
        <v>1518</v>
      </c>
      <c r="B271" s="231">
        <v>3.3793267826331896</v>
      </c>
      <c r="C271" s="142">
        <v>0.79480245624691115</v>
      </c>
      <c r="D271" s="142">
        <v>0.244349293321657</v>
      </c>
      <c r="E271" s="142">
        <v>0.87777953592216562</v>
      </c>
      <c r="F271" s="142"/>
      <c r="G271" s="142"/>
      <c r="H271" s="142"/>
      <c r="I271" s="141"/>
      <c r="J271" s="194">
        <v>0.6380593126630324</v>
      </c>
      <c r="K271" s="194">
        <v>0.15006867981575747</v>
      </c>
      <c r="L271" s="194">
        <v>4.6136213564119642E-2</v>
      </c>
      <c r="M271" s="194">
        <v>0.1657357939570907</v>
      </c>
      <c r="N271" s="194"/>
      <c r="O271" s="194"/>
      <c r="P271" s="194"/>
      <c r="Q271" s="193"/>
    </row>
    <row r="273" spans="1:17" ht="13.15" x14ac:dyDescent="0.4">
      <c r="A273" s="41" t="s">
        <v>2237</v>
      </c>
    </row>
    <row r="274" spans="1:17" ht="13.15" x14ac:dyDescent="0.4">
      <c r="A274" s="131"/>
      <c r="B274" s="2193" t="s">
        <v>2229</v>
      </c>
      <c r="C274" s="2194"/>
      <c r="D274" s="2194"/>
      <c r="E274" s="2194"/>
      <c r="F274" s="2194"/>
      <c r="G274" s="2194"/>
      <c r="H274" s="2194"/>
      <c r="I274" s="2195"/>
      <c r="J274" s="2194" t="s">
        <v>2228</v>
      </c>
      <c r="K274" s="2194"/>
      <c r="L274" s="2194"/>
      <c r="M274" s="2194"/>
      <c r="N274" s="2194"/>
      <c r="O274" s="2194"/>
      <c r="P274" s="2194"/>
      <c r="Q274" s="2195"/>
    </row>
    <row r="275" spans="1:17" ht="52.5" x14ac:dyDescent="0.4">
      <c r="A275" s="59"/>
      <c r="B275" s="653" t="s">
        <v>405</v>
      </c>
      <c r="C275" s="652" t="s">
        <v>1830</v>
      </c>
      <c r="D275" s="652" t="s">
        <v>1829</v>
      </c>
      <c r="E275" s="652" t="s">
        <v>1503</v>
      </c>
      <c r="F275" s="652" t="s">
        <v>1501</v>
      </c>
      <c r="G275" s="652" t="s">
        <v>1500</v>
      </c>
      <c r="H275" s="180" t="s">
        <v>1499</v>
      </c>
      <c r="I275" s="651" t="s">
        <v>2227</v>
      </c>
      <c r="J275" s="653" t="s">
        <v>405</v>
      </c>
      <c r="K275" s="652" t="s">
        <v>1830</v>
      </c>
      <c r="L275" s="652" t="s">
        <v>1829</v>
      </c>
      <c r="M275" s="652" t="s">
        <v>1503</v>
      </c>
      <c r="N275" s="652" t="s">
        <v>1501</v>
      </c>
      <c r="O275" s="652" t="s">
        <v>1500</v>
      </c>
      <c r="P275" s="180" t="s">
        <v>1499</v>
      </c>
      <c r="Q275" s="651" t="s">
        <v>2227</v>
      </c>
    </row>
    <row r="276" spans="1:17" ht="13.15" x14ac:dyDescent="0.4">
      <c r="A276" s="128" t="s">
        <v>2226</v>
      </c>
      <c r="B276" s="650"/>
      <c r="C276" s="198"/>
      <c r="D276" s="198"/>
      <c r="E276" s="198"/>
      <c r="I276" s="99"/>
      <c r="J276" s="198"/>
      <c r="K276" s="198"/>
      <c r="L276" s="198"/>
      <c r="M276" s="198"/>
      <c r="Q276" s="99"/>
    </row>
    <row r="277" spans="1:17" x14ac:dyDescent="0.35">
      <c r="A277" s="59" t="s">
        <v>1537</v>
      </c>
      <c r="B277" s="232">
        <v>23.746096456141608</v>
      </c>
      <c r="C277" s="145">
        <v>12.580688465675268</v>
      </c>
      <c r="D277" s="145">
        <v>3.5916107475908956</v>
      </c>
      <c r="E277" s="145">
        <v>16.291260619044955</v>
      </c>
      <c r="F277" s="145">
        <v>1.2160447763270703</v>
      </c>
      <c r="G277" s="145">
        <v>1.2160447763270703</v>
      </c>
      <c r="H277" s="145">
        <v>1.2761080694875047</v>
      </c>
      <c r="I277" s="144"/>
      <c r="J277" s="197">
        <v>0.39631086406355653</v>
      </c>
      <c r="K277" s="197">
        <v>0.2099656053176967</v>
      </c>
      <c r="L277" s="197">
        <v>5.9942246145031658E-2</v>
      </c>
      <c r="M277" s="197">
        <v>0.27189325978453338</v>
      </c>
      <c r="N277" s="197">
        <v>2.0295199126149868E-2</v>
      </c>
      <c r="O277" s="197">
        <v>2.0295199126149868E-2</v>
      </c>
      <c r="P277" s="197">
        <v>2.129762643688194E-2</v>
      </c>
      <c r="Q277" s="196"/>
    </row>
    <row r="278" spans="1:17" x14ac:dyDescent="0.35">
      <c r="A278" s="59" t="s">
        <v>1536</v>
      </c>
      <c r="B278" s="232">
        <v>22.01060381680999</v>
      </c>
      <c r="C278" s="145">
        <v>11.416320572014337</v>
      </c>
      <c r="D278" s="145">
        <v>2.7729438700013915</v>
      </c>
      <c r="E278" s="145">
        <v>15.144327006993521</v>
      </c>
      <c r="F278" s="145">
        <v>1.0046111490356266</v>
      </c>
      <c r="G278" s="145">
        <v>1.0046111490356266</v>
      </c>
      <c r="H278" s="145">
        <v>1.0989857422751172</v>
      </c>
      <c r="I278" s="144"/>
      <c r="J278" s="197">
        <v>0.40421730686619189</v>
      </c>
      <c r="K278" s="197">
        <v>0.20965687240330994</v>
      </c>
      <c r="L278" s="197">
        <v>5.0924177844091818E-2</v>
      </c>
      <c r="M278" s="197">
        <v>0.2781204517611941</v>
      </c>
      <c r="N278" s="197">
        <v>1.8449344529149092E-2</v>
      </c>
      <c r="O278" s="197">
        <v>1.8449344529149092E-2</v>
      </c>
      <c r="P278" s="197">
        <v>2.0182502066913906E-2</v>
      </c>
      <c r="Q278" s="196"/>
    </row>
    <row r="279" spans="1:17" x14ac:dyDescent="0.35">
      <c r="A279" s="59" t="s">
        <v>1535</v>
      </c>
      <c r="B279" s="232">
        <v>9.4297871373093507</v>
      </c>
      <c r="C279" s="145">
        <v>5.7494683208269572</v>
      </c>
      <c r="D279" s="145">
        <v>1.4573173262680368</v>
      </c>
      <c r="E279" s="145">
        <v>7.6614055190999544</v>
      </c>
      <c r="F279" s="145">
        <v>0.43271049571138581</v>
      </c>
      <c r="G279" s="145">
        <v>0.43271049571138581</v>
      </c>
      <c r="H279" s="145">
        <v>0.20002876643462641</v>
      </c>
      <c r="I279" s="144"/>
      <c r="J279" s="197">
        <v>0.3717867756084029</v>
      </c>
      <c r="K279" s="197">
        <v>0.22668340836724746</v>
      </c>
      <c r="L279" s="197">
        <v>5.7457427392793727E-2</v>
      </c>
      <c r="M279" s="197">
        <v>0.3020650639402816</v>
      </c>
      <c r="N279" s="197">
        <v>1.706041055114987E-2</v>
      </c>
      <c r="O279" s="197">
        <v>1.706041055114987E-2</v>
      </c>
      <c r="P279" s="197">
        <v>7.8865035889745336E-3</v>
      </c>
      <c r="Q279" s="196"/>
    </row>
    <row r="280" spans="1:17" x14ac:dyDescent="0.35">
      <c r="A280" s="59" t="s">
        <v>1534</v>
      </c>
      <c r="B280" s="232">
        <v>10.181764366489681</v>
      </c>
      <c r="C280" s="145">
        <v>4.6011067948509368</v>
      </c>
      <c r="D280" s="145">
        <v>1.0165662840201606</v>
      </c>
      <c r="E280" s="145">
        <v>5.5553623073821701</v>
      </c>
      <c r="F280" s="145">
        <v>0.46761657496094089</v>
      </c>
      <c r="G280" s="145">
        <v>0.46761657496094089</v>
      </c>
      <c r="H280" s="145">
        <v>0.69374395356025631</v>
      </c>
      <c r="I280" s="144"/>
      <c r="J280" s="197">
        <v>0.442997877597823</v>
      </c>
      <c r="K280" s="197">
        <v>0.20018932587246815</v>
      </c>
      <c r="L280" s="197">
        <v>4.4229731709426442E-2</v>
      </c>
      <c r="M280" s="197">
        <v>0.2417079813354312</v>
      </c>
      <c r="N280" s="197">
        <v>2.0345506218847936E-2</v>
      </c>
      <c r="O280" s="197">
        <v>2.0345506218847936E-2</v>
      </c>
      <c r="P280" s="197">
        <v>3.0184071047155057E-2</v>
      </c>
      <c r="Q280" s="196"/>
    </row>
    <row r="281" spans="1:17" x14ac:dyDescent="0.35">
      <c r="A281" s="59" t="s">
        <v>1533</v>
      </c>
      <c r="B281" s="232">
        <v>2.3990523130109658</v>
      </c>
      <c r="C281" s="145">
        <v>1.0657454563364468</v>
      </c>
      <c r="D281" s="145">
        <v>0.29906025971319455</v>
      </c>
      <c r="E281" s="145">
        <v>1.9275591805113974</v>
      </c>
      <c r="F281" s="145">
        <v>0.10428407836329986</v>
      </c>
      <c r="G281" s="145">
        <v>0.10428407836329986</v>
      </c>
      <c r="H281" s="145">
        <v>0.20521302228023452</v>
      </c>
      <c r="I281" s="144"/>
      <c r="J281" s="197">
        <v>0.39295239242330576</v>
      </c>
      <c r="K281" s="197">
        <v>0.17456360768393142</v>
      </c>
      <c r="L281" s="197">
        <v>4.8984527721925422E-2</v>
      </c>
      <c r="M281" s="197">
        <v>0.31572424970126028</v>
      </c>
      <c r="N281" s="197">
        <v>1.7081194045780221E-2</v>
      </c>
      <c r="O281" s="197">
        <v>1.7081194045780221E-2</v>
      </c>
      <c r="P281" s="197">
        <v>3.3612834378016626E-2</v>
      </c>
      <c r="Q281" s="196"/>
    </row>
    <row r="282" spans="1:17" x14ac:dyDescent="0.35">
      <c r="A282" s="59" t="s">
        <v>1532</v>
      </c>
      <c r="B282" s="49">
        <v>2495.1770247164163</v>
      </c>
      <c r="C282" s="48">
        <v>1619.1432361825455</v>
      </c>
      <c r="D282" s="48">
        <v>1133.1294468884569</v>
      </c>
      <c r="E282" s="48">
        <v>1697.125419898422</v>
      </c>
      <c r="F282" s="48">
        <v>268.78436471907344</v>
      </c>
      <c r="G282" s="48">
        <v>268.78436471907344</v>
      </c>
      <c r="H282" s="48">
        <v>231.40672716054809</v>
      </c>
      <c r="I282" s="47"/>
      <c r="J282" s="197">
        <v>0.32347969945255173</v>
      </c>
      <c r="K282" s="197">
        <v>0.20990894121850476</v>
      </c>
      <c r="L282" s="197">
        <v>0.14690114941322571</v>
      </c>
      <c r="M282" s="197">
        <v>0.22001870621761635</v>
      </c>
      <c r="N282" s="197">
        <v>3.4845738260495814E-2</v>
      </c>
      <c r="O282" s="197">
        <v>3.4845738260495814E-2</v>
      </c>
      <c r="P282" s="197">
        <v>3.0000027177109912E-2</v>
      </c>
      <c r="Q282" s="196"/>
    </row>
    <row r="283" spans="1:17" ht="13.15" x14ac:dyDescent="0.4">
      <c r="A283" s="128" t="s">
        <v>2225</v>
      </c>
      <c r="B283" s="232"/>
      <c r="C283" s="145"/>
      <c r="D283" s="145"/>
      <c r="E283" s="145"/>
      <c r="F283" s="145"/>
      <c r="G283" s="145"/>
      <c r="H283" s="145"/>
      <c r="I283" s="144"/>
      <c r="J283" s="197"/>
      <c r="K283" s="197"/>
      <c r="L283" s="197"/>
      <c r="M283" s="197"/>
      <c r="N283" s="197"/>
      <c r="O283" s="197"/>
      <c r="P283" s="197"/>
      <c r="Q283" s="196"/>
    </row>
    <row r="284" spans="1:17" x14ac:dyDescent="0.35">
      <c r="A284" s="59" t="s">
        <v>1525</v>
      </c>
      <c r="B284" s="232">
        <v>1270.7018137215987</v>
      </c>
      <c r="C284" s="145">
        <v>700.88570491587984</v>
      </c>
      <c r="D284" s="145">
        <v>138.99603302584006</v>
      </c>
      <c r="E284" s="145">
        <v>1512.7404820289789</v>
      </c>
      <c r="F284" s="145">
        <v>38.116406578051489</v>
      </c>
      <c r="G284" s="145">
        <v>38.116406578051489</v>
      </c>
      <c r="H284" s="145">
        <v>23.364745807225674</v>
      </c>
      <c r="I284" s="144"/>
      <c r="J284" s="197">
        <v>0.34131844630528047</v>
      </c>
      <c r="K284" s="197">
        <v>0.18826227936106643</v>
      </c>
      <c r="L284" s="197">
        <v>3.7335202895501143E-2</v>
      </c>
      <c r="M284" s="197">
        <v>0.40633154483114275</v>
      </c>
      <c r="N284" s="197">
        <v>1.0238304952015489E-2</v>
      </c>
      <c r="O284" s="197">
        <v>1.0238304952015489E-2</v>
      </c>
      <c r="P284" s="197">
        <v>6.2759167029782072E-3</v>
      </c>
      <c r="Q284" s="196"/>
    </row>
    <row r="285" spans="1:17" x14ac:dyDescent="0.35">
      <c r="A285" s="59" t="s">
        <v>1524</v>
      </c>
      <c r="B285" s="232">
        <v>8821.05164422903</v>
      </c>
      <c r="C285" s="145">
        <v>3400.504018699</v>
      </c>
      <c r="D285" s="145">
        <v>908.84698931374623</v>
      </c>
      <c r="E285" s="145">
        <v>6687.5005247485942</v>
      </c>
      <c r="F285" s="145">
        <v>249.93558002299119</v>
      </c>
      <c r="G285" s="145">
        <v>249.93558002299119</v>
      </c>
      <c r="H285" s="145">
        <v>93.117448846491527</v>
      </c>
      <c r="I285" s="144"/>
      <c r="J285" s="197">
        <v>0.43217375001371033</v>
      </c>
      <c r="K285" s="197">
        <v>0.16660242258748101</v>
      </c>
      <c r="L285" s="197">
        <v>4.4527549253989392E-2</v>
      </c>
      <c r="M285" s="197">
        <v>0.32764372056364477</v>
      </c>
      <c r="N285" s="197">
        <v>1.2245206267560468E-2</v>
      </c>
      <c r="O285" s="197">
        <v>1.2245206267560468E-2</v>
      </c>
      <c r="P285" s="197">
        <v>4.5621450460531076E-3</v>
      </c>
      <c r="Q285" s="196"/>
    </row>
    <row r="286" spans="1:17" x14ac:dyDescent="0.35">
      <c r="A286" s="59" t="s">
        <v>1523</v>
      </c>
      <c r="B286" s="232">
        <v>1794.3624661060178</v>
      </c>
      <c r="C286" s="145">
        <v>870.33473189345943</v>
      </c>
      <c r="D286" s="145">
        <v>278.48778676194871</v>
      </c>
      <c r="E286" s="145">
        <v>1374.3936849977288</v>
      </c>
      <c r="F286" s="145">
        <v>113.25544195336532</v>
      </c>
      <c r="G286" s="145">
        <v>113.25544195336532</v>
      </c>
      <c r="H286" s="145">
        <v>85.721134866448253</v>
      </c>
      <c r="I286" s="144"/>
      <c r="J286" s="197">
        <v>0.3875671354231629</v>
      </c>
      <c r="K286" s="197">
        <v>0.18798495023764325</v>
      </c>
      <c r="L286" s="197">
        <v>6.0151009511412737E-2</v>
      </c>
      <c r="M286" s="197">
        <v>0.29685742624466066</v>
      </c>
      <c r="N286" s="197">
        <v>2.4462218775789232E-2</v>
      </c>
      <c r="O286" s="197">
        <v>2.4462218775789232E-2</v>
      </c>
      <c r="P286" s="197">
        <v>1.8515041031542084E-2</v>
      </c>
      <c r="Q286" s="196"/>
    </row>
    <row r="287" spans="1:17" x14ac:dyDescent="0.35">
      <c r="A287" s="59" t="s">
        <v>1522</v>
      </c>
      <c r="B287" s="232">
        <v>805.68236238321981</v>
      </c>
      <c r="C287" s="145">
        <v>445.70165736204319</v>
      </c>
      <c r="D287" s="145">
        <v>140.25429632139057</v>
      </c>
      <c r="E287" s="145">
        <v>630.03867263366101</v>
      </c>
      <c r="F287" s="145">
        <v>39.256296694299031</v>
      </c>
      <c r="G287" s="145">
        <v>39.256296694299031</v>
      </c>
      <c r="H287" s="145">
        <v>30.019450447420535</v>
      </c>
      <c r="I287" s="144"/>
      <c r="J287" s="197">
        <v>0.37821751296582101</v>
      </c>
      <c r="K287" s="197">
        <v>0.20922907121061657</v>
      </c>
      <c r="L287" s="197">
        <v>6.5840626050860732E-2</v>
      </c>
      <c r="M287" s="197">
        <v>0.29576377858256725</v>
      </c>
      <c r="N287" s="197">
        <v>1.8428377729465598E-2</v>
      </c>
      <c r="O287" s="197">
        <v>1.8428377729465598E-2</v>
      </c>
      <c r="P287" s="197">
        <v>1.4092255731202994E-2</v>
      </c>
      <c r="Q287" s="196"/>
    </row>
    <row r="288" spans="1:17" x14ac:dyDescent="0.35">
      <c r="A288" s="59" t="s">
        <v>1521</v>
      </c>
      <c r="B288" s="232">
        <v>358.55336358077392</v>
      </c>
      <c r="C288" s="145">
        <v>206.61336201183877</v>
      </c>
      <c r="D288" s="145">
        <v>68.622188596037958</v>
      </c>
      <c r="E288" s="145">
        <v>302.49075974130261</v>
      </c>
      <c r="F288" s="145">
        <v>19.556209243760144</v>
      </c>
      <c r="G288" s="145">
        <v>19.556209243760144</v>
      </c>
      <c r="H288" s="145">
        <v>13.42971904763403</v>
      </c>
      <c r="I288" s="144"/>
      <c r="J288" s="197">
        <v>0.36260664906806217</v>
      </c>
      <c r="K288" s="197">
        <v>0.20894903370477427</v>
      </c>
      <c r="L288" s="197">
        <v>6.9397931761196185E-2</v>
      </c>
      <c r="M288" s="197">
        <v>0.30591028255445846</v>
      </c>
      <c r="N288" s="197">
        <v>1.9777283446836887E-2</v>
      </c>
      <c r="O288" s="197">
        <v>1.9777283446836887E-2</v>
      </c>
      <c r="P288" s="197">
        <v>1.3581536017834815E-2</v>
      </c>
      <c r="Q288" s="196"/>
    </row>
    <row r="289" spans="1:17" x14ac:dyDescent="0.35">
      <c r="A289" s="59" t="s">
        <v>1520</v>
      </c>
      <c r="B289" s="232">
        <v>7891.8184729703498</v>
      </c>
      <c r="C289" s="145">
        <v>3990.4735310152437</v>
      </c>
      <c r="D289" s="145">
        <v>2832.5872937623681</v>
      </c>
      <c r="E289" s="145">
        <v>5299.3246049205418</v>
      </c>
      <c r="F289" s="145">
        <v>1459.3675566304137</v>
      </c>
      <c r="G289" s="145">
        <v>1459.3675566304137</v>
      </c>
      <c r="H289" s="145">
        <v>547.78212907317447</v>
      </c>
      <c r="I289" s="144"/>
      <c r="J289" s="197">
        <v>0.33609778951146041</v>
      </c>
      <c r="K289" s="197">
        <v>0.1699468047157722</v>
      </c>
      <c r="L289" s="197">
        <v>0.12063459534611605</v>
      </c>
      <c r="M289" s="197">
        <v>0.22568832414452561</v>
      </c>
      <c r="N289" s="197">
        <v>6.2151734932596674E-2</v>
      </c>
      <c r="O289" s="197">
        <v>6.2151734932596674E-2</v>
      </c>
      <c r="P289" s="197">
        <v>2.3329016416932368E-2</v>
      </c>
      <c r="Q289" s="196"/>
    </row>
    <row r="290" spans="1:17" x14ac:dyDescent="0.35">
      <c r="A290" s="59" t="s">
        <v>1519</v>
      </c>
      <c r="B290" s="232">
        <v>11.018413606260699</v>
      </c>
      <c r="C290" s="145">
        <v>5.5900100930846257</v>
      </c>
      <c r="D290" s="145">
        <v>2.4375576038121913</v>
      </c>
      <c r="E290" s="145">
        <v>8.4135109031171069</v>
      </c>
      <c r="F290" s="145">
        <v>1.1697394013236719</v>
      </c>
      <c r="G290" s="145">
        <v>1.1697394013236719</v>
      </c>
      <c r="H290" s="145">
        <v>0.76063668616274238</v>
      </c>
      <c r="I290" s="144"/>
      <c r="J290" s="197">
        <v>0.36055481196615397</v>
      </c>
      <c r="K290" s="197">
        <v>0.18292152663935338</v>
      </c>
      <c r="L290" s="197">
        <v>7.9764034543030299E-2</v>
      </c>
      <c r="M290" s="197">
        <v>0.27531475492306007</v>
      </c>
      <c r="N290" s="197">
        <v>3.8277304244053373E-2</v>
      </c>
      <c r="O290" s="197">
        <v>3.8277304244053373E-2</v>
      </c>
      <c r="P290" s="197">
        <v>2.4890263440295581E-2</v>
      </c>
      <c r="Q290" s="196"/>
    </row>
    <row r="291" spans="1:17" x14ac:dyDescent="0.35">
      <c r="A291" s="59" t="s">
        <v>1518</v>
      </c>
      <c r="B291" s="232">
        <v>19.419251635164944</v>
      </c>
      <c r="C291" s="145">
        <v>10.046615758215449</v>
      </c>
      <c r="D291" s="145">
        <v>3.000003486014494</v>
      </c>
      <c r="E291" s="145">
        <v>15.311609401603832</v>
      </c>
      <c r="F291" s="145">
        <v>1.2593155967201535</v>
      </c>
      <c r="G291" s="145">
        <v>1.2593155967201535</v>
      </c>
      <c r="H291" s="145">
        <v>1.1023581046139681</v>
      </c>
      <c r="I291" s="144"/>
      <c r="J291" s="197">
        <v>0.37781770146477461</v>
      </c>
      <c r="K291" s="197">
        <v>0.19546527047392595</v>
      </c>
      <c r="L291" s="197">
        <v>5.8367564454431142E-2</v>
      </c>
      <c r="M291" s="197">
        <v>0.29790010338836914</v>
      </c>
      <c r="N291" s="197">
        <v>2.4501032949692664E-2</v>
      </c>
      <c r="O291" s="197">
        <v>2.4501032949692664E-2</v>
      </c>
      <c r="P291" s="197">
        <v>2.1447294319113828E-2</v>
      </c>
      <c r="Q291" s="196"/>
    </row>
    <row r="292" spans="1:17" x14ac:dyDescent="0.35">
      <c r="A292" s="59" t="s">
        <v>1531</v>
      </c>
      <c r="B292" s="232">
        <v>4562.0532110587492</v>
      </c>
      <c r="C292" s="145">
        <v>2062.3357206315427</v>
      </c>
      <c r="D292" s="145">
        <v>441.49099600168472</v>
      </c>
      <c r="E292" s="145">
        <v>2451.6169793170479</v>
      </c>
      <c r="F292" s="145">
        <v>165.18422768588371</v>
      </c>
      <c r="G292" s="145">
        <v>165.18422768588371</v>
      </c>
      <c r="H292" s="145">
        <v>237.72912616852309</v>
      </c>
      <c r="I292" s="144"/>
      <c r="J292" s="197">
        <v>0.452333594835513</v>
      </c>
      <c r="K292" s="197">
        <v>0.20448330764963996</v>
      </c>
      <c r="L292" s="197">
        <v>4.377441473608043E-2</v>
      </c>
      <c r="M292" s="197">
        <v>0.24308105804774249</v>
      </c>
      <c r="N292" s="197">
        <v>1.6378234111377937E-2</v>
      </c>
      <c r="O292" s="197">
        <v>1.6378234111377937E-2</v>
      </c>
      <c r="P292" s="197">
        <v>2.3571156508268201E-2</v>
      </c>
      <c r="Q292" s="196"/>
    </row>
    <row r="293" spans="1:17" x14ac:dyDescent="0.35">
      <c r="A293" s="59" t="s">
        <v>1530</v>
      </c>
      <c r="B293" s="232">
        <v>41.683888894552496</v>
      </c>
      <c r="C293" s="145">
        <v>16.135914101409746</v>
      </c>
      <c r="D293" s="145">
        <v>3.4021620971608191</v>
      </c>
      <c r="E293" s="145">
        <v>18.975446479983034</v>
      </c>
      <c r="F293" s="145">
        <v>1.3735339885545144</v>
      </c>
      <c r="G293" s="145">
        <v>1.3735339885545144</v>
      </c>
      <c r="H293" s="145">
        <v>2.5238918894330453</v>
      </c>
      <c r="I293" s="144"/>
      <c r="J293" s="197">
        <v>0.48771128070442721</v>
      </c>
      <c r="K293" s="197">
        <v>0.18879398109046466</v>
      </c>
      <c r="L293" s="197">
        <v>3.9806094814421378E-2</v>
      </c>
      <c r="M293" s="197">
        <v>0.22201717618291322</v>
      </c>
      <c r="N293" s="197">
        <v>1.6070669949811888E-2</v>
      </c>
      <c r="O293" s="197">
        <v>1.6070669949811888E-2</v>
      </c>
      <c r="P293" s="197">
        <v>2.9530127308149808E-2</v>
      </c>
      <c r="Q293" s="196"/>
    </row>
    <row r="294" spans="1:17" x14ac:dyDescent="0.35">
      <c r="A294" s="59" t="s">
        <v>1529</v>
      </c>
      <c r="B294" s="49">
        <v>1546594.1208062063</v>
      </c>
      <c r="C294" s="48">
        <v>737800.52238936233</v>
      </c>
      <c r="D294" s="48">
        <v>246602.33023011242</v>
      </c>
      <c r="E294" s="48">
        <v>1240237.8343332349</v>
      </c>
      <c r="F294" s="48">
        <v>83299.068106605104</v>
      </c>
      <c r="G294" s="48">
        <v>83299.068106605104</v>
      </c>
      <c r="H294" s="48">
        <v>65532.652340533132</v>
      </c>
      <c r="I294" s="47"/>
      <c r="J294" s="197">
        <v>0.38632347798330285</v>
      </c>
      <c r="K294" s="197">
        <v>0.18429506489962363</v>
      </c>
      <c r="L294" s="197">
        <v>6.1598753423181718E-2</v>
      </c>
      <c r="M294" s="197">
        <v>0.30979879416348288</v>
      </c>
      <c r="N294" s="197">
        <v>2.0807259817421753E-2</v>
      </c>
      <c r="O294" s="197">
        <v>2.0807259817421753E-2</v>
      </c>
      <c r="P294" s="197">
        <v>1.6369389895565026E-2</v>
      </c>
      <c r="Q294" s="196"/>
    </row>
    <row r="295" spans="1:17" x14ac:dyDescent="0.35">
      <c r="A295" s="59" t="s">
        <v>1528</v>
      </c>
      <c r="B295" s="49">
        <v>1564416.1273760942</v>
      </c>
      <c r="C295" s="48">
        <v>745328.59867525811</v>
      </c>
      <c r="D295" s="48">
        <v>248463.72265910738</v>
      </c>
      <c r="E295" s="48">
        <v>1255461.4715649257</v>
      </c>
      <c r="F295" s="48">
        <v>83810.620151904732</v>
      </c>
      <c r="G295" s="48">
        <v>83810.620151904732</v>
      </c>
      <c r="H295" s="48">
        <v>65751.79988458156</v>
      </c>
      <c r="I295" s="47"/>
      <c r="J295" s="197">
        <v>0.38655782571599329</v>
      </c>
      <c r="K295" s="197">
        <v>0.18416621863333174</v>
      </c>
      <c r="L295" s="197">
        <v>6.1393893043980512E-2</v>
      </c>
      <c r="M295" s="197">
        <v>0.31021698653306468</v>
      </c>
      <c r="N295" s="197">
        <v>2.0709100686764226E-2</v>
      </c>
      <c r="O295" s="197">
        <v>2.0709100686764226E-2</v>
      </c>
      <c r="P295" s="197">
        <v>1.624687470010119E-2</v>
      </c>
      <c r="Q295" s="196"/>
    </row>
    <row r="296" spans="1:17" x14ac:dyDescent="0.35">
      <c r="A296" s="59" t="s">
        <v>1527</v>
      </c>
      <c r="B296" s="49">
        <v>1720068.2897279542</v>
      </c>
      <c r="C296" s="48">
        <v>818848.20688018121</v>
      </c>
      <c r="D296" s="48">
        <v>271092.18133393605</v>
      </c>
      <c r="E296" s="48">
        <v>1334595.6012544855</v>
      </c>
      <c r="F296" s="48">
        <v>90875.617354271599</v>
      </c>
      <c r="G296" s="48">
        <v>90875.617354271599</v>
      </c>
      <c r="H296" s="48">
        <v>75472.2054585679</v>
      </c>
      <c r="I296" s="47"/>
      <c r="J296" s="197">
        <v>0.3907622922545021</v>
      </c>
      <c r="K296" s="197">
        <v>0.18602459230243445</v>
      </c>
      <c r="L296" s="197">
        <v>6.158627702338277E-2</v>
      </c>
      <c r="M296" s="197">
        <v>0.30319123926263425</v>
      </c>
      <c r="N296" s="197">
        <v>2.0644973667303966E-2</v>
      </c>
      <c r="O296" s="197">
        <v>2.0644973667303966E-2</v>
      </c>
      <c r="P296" s="197">
        <v>1.7145651822438483E-2</v>
      </c>
      <c r="Q296" s="196"/>
    </row>
    <row r="297" spans="1:17" ht="13.15" x14ac:dyDescent="0.4">
      <c r="A297" s="128" t="s">
        <v>2224</v>
      </c>
      <c r="B297" s="232"/>
      <c r="C297" s="145"/>
      <c r="D297" s="145"/>
      <c r="E297" s="145"/>
      <c r="F297" s="145"/>
      <c r="G297" s="145"/>
      <c r="H297" s="145"/>
      <c r="I297" s="144"/>
      <c r="J297" s="197"/>
      <c r="K297" s="197"/>
      <c r="L297" s="197"/>
      <c r="M297" s="197"/>
      <c r="N297" s="197"/>
      <c r="O297" s="197"/>
      <c r="P297" s="197"/>
      <c r="Q297" s="196"/>
    </row>
    <row r="298" spans="1:17" x14ac:dyDescent="0.35">
      <c r="A298" s="59" t="s">
        <v>1525</v>
      </c>
      <c r="B298" s="232">
        <v>10.563133674915479</v>
      </c>
      <c r="C298" s="145">
        <v>5.2792114891801649</v>
      </c>
      <c r="D298" s="145">
        <v>1.5835264651132503</v>
      </c>
      <c r="E298" s="145">
        <v>7.8240175470767674</v>
      </c>
      <c r="F298" s="145">
        <v>0.61013644940327805</v>
      </c>
      <c r="G298" s="145">
        <v>0.61013644940327805</v>
      </c>
      <c r="H298" s="145">
        <v>0.72402624208031396</v>
      </c>
      <c r="I298" s="144"/>
      <c r="J298" s="197">
        <v>0.38843349732358412</v>
      </c>
      <c r="K298" s="197">
        <v>0.19413013646913885</v>
      </c>
      <c r="L298" s="197">
        <v>5.8230326518452773E-2</v>
      </c>
      <c r="M298" s="197">
        <v>0.28770917726329315</v>
      </c>
      <c r="N298" s="197">
        <v>2.2436280954118065E-2</v>
      </c>
      <c r="O298" s="197">
        <v>2.2436280954118065E-2</v>
      </c>
      <c r="P298" s="197">
        <v>2.6624300517294988E-2</v>
      </c>
      <c r="Q298" s="196"/>
    </row>
    <row r="299" spans="1:17" x14ac:dyDescent="0.35">
      <c r="A299" s="59" t="s">
        <v>1524</v>
      </c>
      <c r="B299" s="232">
        <v>53.962417220378008</v>
      </c>
      <c r="C299" s="145">
        <v>24.704118871345255</v>
      </c>
      <c r="D299" s="145">
        <v>7.5478108264036576</v>
      </c>
      <c r="E299" s="145">
        <v>35.312645455270136</v>
      </c>
      <c r="F299" s="145">
        <v>2.8732353964842896</v>
      </c>
      <c r="G299" s="145">
        <v>2.8732353964842896</v>
      </c>
      <c r="H299" s="145">
        <v>2.861570819555852</v>
      </c>
      <c r="I299" s="144"/>
      <c r="J299" s="197">
        <v>0.41466479523274169</v>
      </c>
      <c r="K299" s="197">
        <v>0.18983449817224352</v>
      </c>
      <c r="L299" s="197">
        <v>5.7999837516623007E-2</v>
      </c>
      <c r="M299" s="197">
        <v>0.27135387277103568</v>
      </c>
      <c r="N299" s="197">
        <v>2.207887690562349E-2</v>
      </c>
      <c r="O299" s="197">
        <v>2.207887690562349E-2</v>
      </c>
      <c r="P299" s="197">
        <v>2.1989242496109299E-2</v>
      </c>
      <c r="Q299" s="196"/>
    </row>
    <row r="300" spans="1:17" x14ac:dyDescent="0.35">
      <c r="A300" s="59" t="s">
        <v>1523</v>
      </c>
      <c r="B300" s="232">
        <v>116.55126684895636</v>
      </c>
      <c r="C300" s="145">
        <v>54.716297121229474</v>
      </c>
      <c r="D300" s="145">
        <v>19.444953599652006</v>
      </c>
      <c r="E300" s="145">
        <v>80.165474218840515</v>
      </c>
      <c r="F300" s="145">
        <v>6.7375092727845187</v>
      </c>
      <c r="G300" s="145">
        <v>6.7375092727845187</v>
      </c>
      <c r="H300" s="145">
        <v>5.5757790662315001</v>
      </c>
      <c r="I300" s="144"/>
      <c r="J300" s="197">
        <v>0.40199963270278749</v>
      </c>
      <c r="K300" s="197">
        <v>0.18872322832918051</v>
      </c>
      <c r="L300" s="197">
        <v>6.706803294650629E-2</v>
      </c>
      <c r="M300" s="197">
        <v>0.27650056548233248</v>
      </c>
      <c r="N300" s="197">
        <v>2.3238496896829348E-2</v>
      </c>
      <c r="O300" s="197">
        <v>2.3238496896829348E-2</v>
      </c>
      <c r="P300" s="197">
        <v>1.9231546745534369E-2</v>
      </c>
      <c r="Q300" s="196"/>
    </row>
    <row r="301" spans="1:17" x14ac:dyDescent="0.35">
      <c r="A301" s="59" t="s">
        <v>1522</v>
      </c>
      <c r="B301" s="232">
        <v>11.253280681937792</v>
      </c>
      <c r="C301" s="145">
        <v>5.3832221080790825</v>
      </c>
      <c r="D301" s="145">
        <v>2.2974516995657388</v>
      </c>
      <c r="E301" s="145">
        <v>8.3985728013770586</v>
      </c>
      <c r="F301" s="145">
        <v>0.74601625390964721</v>
      </c>
      <c r="G301" s="145">
        <v>0.74601625390964721</v>
      </c>
      <c r="H301" s="145">
        <v>0.49460329566266242</v>
      </c>
      <c r="I301" s="144"/>
      <c r="J301" s="197">
        <v>0.38381998304962545</v>
      </c>
      <c r="K301" s="197">
        <v>0.18360763200296262</v>
      </c>
      <c r="L301" s="197">
        <v>7.836007092580663E-2</v>
      </c>
      <c r="M301" s="197">
        <v>0.28645336070214333</v>
      </c>
      <c r="N301" s="197">
        <v>2.5444664007175495E-2</v>
      </c>
      <c r="O301" s="197">
        <v>2.5444664007175495E-2</v>
      </c>
      <c r="P301" s="197">
        <v>1.6869625305110773E-2</v>
      </c>
      <c r="Q301" s="196"/>
    </row>
    <row r="302" spans="1:17" x14ac:dyDescent="0.35">
      <c r="A302" s="59" t="s">
        <v>1521</v>
      </c>
      <c r="B302" s="232">
        <v>8.3441312074383536</v>
      </c>
      <c r="C302" s="145">
        <v>3.9873226821532115</v>
      </c>
      <c r="D302" s="145">
        <v>1.6776353601681533</v>
      </c>
      <c r="E302" s="145">
        <v>6.2665374969547862</v>
      </c>
      <c r="F302" s="145">
        <v>0.54367998284334651</v>
      </c>
      <c r="G302" s="145">
        <v>0.54367998284334651</v>
      </c>
      <c r="H302" s="145">
        <v>0.36409708391851753</v>
      </c>
      <c r="I302" s="144"/>
      <c r="J302" s="197">
        <v>0.3840428511097167</v>
      </c>
      <c r="K302" s="197">
        <v>0.1835185393277956</v>
      </c>
      <c r="L302" s="197">
        <v>7.7214014356235067E-2</v>
      </c>
      <c r="M302" s="197">
        <v>0.28842055177309411</v>
      </c>
      <c r="N302" s="197">
        <v>2.5023145671092716E-2</v>
      </c>
      <c r="O302" s="197">
        <v>2.5023145671092716E-2</v>
      </c>
      <c r="P302" s="197">
        <v>1.6757752090972775E-2</v>
      </c>
      <c r="Q302" s="196"/>
    </row>
    <row r="303" spans="1:17" x14ac:dyDescent="0.35">
      <c r="A303" s="59" t="s">
        <v>1520</v>
      </c>
      <c r="B303" s="232">
        <v>363.52529988773398</v>
      </c>
      <c r="C303" s="145">
        <v>171.14237162740912</v>
      </c>
      <c r="D303" s="145">
        <v>74.785615502986616</v>
      </c>
      <c r="E303" s="145">
        <v>257.65857737844846</v>
      </c>
      <c r="F303" s="145">
        <v>23.74823601552524</v>
      </c>
      <c r="G303" s="145">
        <v>23.74823601552524</v>
      </c>
      <c r="H303" s="145">
        <v>15.490419759698083</v>
      </c>
      <c r="I303" s="144"/>
      <c r="J303" s="197">
        <v>0.39084591552181158</v>
      </c>
      <c r="K303" s="197">
        <v>0.18400451617520508</v>
      </c>
      <c r="L303" s="197">
        <v>8.0406102046140557E-2</v>
      </c>
      <c r="M303" s="197">
        <v>0.27702281684005892</v>
      </c>
      <c r="N303" s="197">
        <v>2.5533026313113591E-2</v>
      </c>
      <c r="O303" s="197">
        <v>2.5533026313113591E-2</v>
      </c>
      <c r="P303" s="197">
        <v>1.6654596790556538E-2</v>
      </c>
      <c r="Q303" s="196"/>
    </row>
    <row r="304" spans="1:17" x14ac:dyDescent="0.35">
      <c r="A304" s="59" t="s">
        <v>1519</v>
      </c>
      <c r="B304" s="232">
        <v>0.52272189584200601</v>
      </c>
      <c r="C304" s="145">
        <v>0.2534688907069963</v>
      </c>
      <c r="D304" s="145">
        <v>0.10230436130387384</v>
      </c>
      <c r="E304" s="145">
        <v>0.4104328121497719</v>
      </c>
      <c r="F304" s="145">
        <v>3.411010088169316E-2</v>
      </c>
      <c r="G304" s="145">
        <v>3.411010088169316E-2</v>
      </c>
      <c r="H304" s="145">
        <v>2.4315470363208216E-2</v>
      </c>
      <c r="I304" s="144"/>
      <c r="J304" s="197">
        <v>0.37838266870358178</v>
      </c>
      <c r="K304" s="197">
        <v>0.18347851134982543</v>
      </c>
      <c r="L304" s="197">
        <v>7.4055052137849381E-2</v>
      </c>
      <c r="M304" s="197">
        <v>0.29709997614426809</v>
      </c>
      <c r="N304" s="197">
        <v>2.4691276765005706E-2</v>
      </c>
      <c r="O304" s="197">
        <v>2.4691276765005706E-2</v>
      </c>
      <c r="P304" s="197">
        <v>1.7601238134463886E-2</v>
      </c>
      <c r="Q304" s="196"/>
    </row>
    <row r="305" spans="1:17" x14ac:dyDescent="0.35">
      <c r="A305" s="57" t="s">
        <v>1518</v>
      </c>
      <c r="B305" s="231">
        <v>1.3805764791127029</v>
      </c>
      <c r="C305" s="142">
        <v>0.65803005941631409</v>
      </c>
      <c r="D305" s="142">
        <v>0.24740274428992806</v>
      </c>
      <c r="E305" s="142">
        <v>1.0456524130103642</v>
      </c>
      <c r="F305" s="142">
        <v>8.2135880942433626E-2</v>
      </c>
      <c r="G305" s="142">
        <v>8.2135880942433626E-2</v>
      </c>
      <c r="H305" s="142">
        <v>5.4181540343844828E-2</v>
      </c>
      <c r="I305" s="141"/>
      <c r="J305" s="194">
        <v>0.38888218546945763</v>
      </c>
      <c r="K305" s="194">
        <v>0.18535457577466324</v>
      </c>
      <c r="L305" s="194">
        <v>6.9688656402753693E-2</v>
      </c>
      <c r="M305" s="194">
        <v>0.29454043420631593</v>
      </c>
      <c r="N305" s="194">
        <v>2.3136118403872398E-2</v>
      </c>
      <c r="O305" s="194">
        <v>2.3136118403872398E-2</v>
      </c>
      <c r="P305" s="194">
        <v>1.5261911339064545E-2</v>
      </c>
      <c r="Q305" s="193"/>
    </row>
    <row r="307" spans="1:17" ht="13.15" x14ac:dyDescent="0.4">
      <c r="A307" s="41" t="s">
        <v>2236</v>
      </c>
    </row>
    <row r="308" spans="1:17" ht="13.15" x14ac:dyDescent="0.4">
      <c r="A308" s="131"/>
      <c r="B308" s="2193" t="s">
        <v>2229</v>
      </c>
      <c r="C308" s="2194"/>
      <c r="D308" s="2194"/>
      <c r="E308" s="2194"/>
      <c r="F308" s="2194"/>
      <c r="G308" s="2194"/>
      <c r="H308" s="2194"/>
      <c r="I308" s="2195"/>
      <c r="J308" s="2194" t="s">
        <v>2228</v>
      </c>
      <c r="K308" s="2194"/>
      <c r="L308" s="2194"/>
      <c r="M308" s="2194"/>
      <c r="N308" s="2194"/>
      <c r="O308" s="2194"/>
      <c r="P308" s="2194"/>
      <c r="Q308" s="2195"/>
    </row>
    <row r="309" spans="1:17" ht="52.5" x14ac:dyDescent="0.4">
      <c r="A309" s="59"/>
      <c r="B309" s="653" t="s">
        <v>405</v>
      </c>
      <c r="C309" s="652" t="s">
        <v>1830</v>
      </c>
      <c r="D309" s="652" t="s">
        <v>1829</v>
      </c>
      <c r="E309" s="652" t="s">
        <v>1503</v>
      </c>
      <c r="F309" s="652" t="s">
        <v>1501</v>
      </c>
      <c r="G309" s="652" t="s">
        <v>1500</v>
      </c>
      <c r="H309" s="180" t="s">
        <v>1499</v>
      </c>
      <c r="I309" s="651" t="s">
        <v>2227</v>
      </c>
      <c r="J309" s="653" t="s">
        <v>405</v>
      </c>
      <c r="K309" s="652" t="s">
        <v>1830</v>
      </c>
      <c r="L309" s="652" t="s">
        <v>1829</v>
      </c>
      <c r="M309" s="652" t="s">
        <v>1503</v>
      </c>
      <c r="N309" s="652" t="s">
        <v>1501</v>
      </c>
      <c r="O309" s="652" t="s">
        <v>1500</v>
      </c>
      <c r="P309" s="180" t="s">
        <v>1499</v>
      </c>
      <c r="Q309" s="651" t="s">
        <v>2227</v>
      </c>
    </row>
    <row r="310" spans="1:17" ht="13.15" x14ac:dyDescent="0.4">
      <c r="A310" s="128" t="s">
        <v>2226</v>
      </c>
      <c r="B310" s="650"/>
      <c r="C310" s="198"/>
      <c r="D310" s="198"/>
      <c r="E310" s="198"/>
      <c r="I310" s="99"/>
      <c r="J310" s="198"/>
      <c r="K310" s="198"/>
      <c r="L310" s="198"/>
      <c r="M310" s="198"/>
      <c r="Q310" s="99"/>
    </row>
    <row r="311" spans="1:17" x14ac:dyDescent="0.35">
      <c r="A311" s="59" t="s">
        <v>1537</v>
      </c>
      <c r="B311" s="232">
        <v>73.773894337318481</v>
      </c>
      <c r="C311" s="145">
        <v>12.47622285912359</v>
      </c>
      <c r="D311" s="145">
        <v>3.5652482226406494</v>
      </c>
      <c r="E311" s="145">
        <v>18.021441512033562</v>
      </c>
      <c r="F311" s="145">
        <v>0.73558812424039466</v>
      </c>
      <c r="G311" s="145">
        <v>0.73558812424039466</v>
      </c>
      <c r="H311" s="145">
        <v>1.0525353573374119</v>
      </c>
      <c r="I311" s="144"/>
      <c r="J311" s="197">
        <v>0.66848085996106021</v>
      </c>
      <c r="K311" s="197">
        <v>0.1130496940801176</v>
      </c>
      <c r="L311" s="197">
        <v>3.2305468204623052E-2</v>
      </c>
      <c r="M311" s="197">
        <v>0.163296093122309</v>
      </c>
      <c r="N311" s="197">
        <v>6.6653195725445468E-3</v>
      </c>
      <c r="O311" s="197">
        <v>6.6653195725445468E-3</v>
      </c>
      <c r="P311" s="197">
        <v>9.5372454868011391E-3</v>
      </c>
      <c r="Q311" s="196"/>
    </row>
    <row r="312" spans="1:17" x14ac:dyDescent="0.35">
      <c r="A312" s="59" t="s">
        <v>1536</v>
      </c>
      <c r="B312" s="232">
        <v>68.73115569230562</v>
      </c>
      <c r="C312" s="145">
        <v>10.877333249725689</v>
      </c>
      <c r="D312" s="145">
        <v>2.752590383196738</v>
      </c>
      <c r="E312" s="145">
        <v>15.897903540903915</v>
      </c>
      <c r="F312" s="145">
        <v>0.60769146424205867</v>
      </c>
      <c r="G312" s="145">
        <v>0.60769146424205867</v>
      </c>
      <c r="H312" s="145">
        <v>0.90644466453284778</v>
      </c>
      <c r="I312" s="144"/>
      <c r="J312" s="197">
        <v>0.68470413197427338</v>
      </c>
      <c r="K312" s="197">
        <v>0.10836068368019743</v>
      </c>
      <c r="L312" s="197">
        <v>2.7421479968195068E-2</v>
      </c>
      <c r="M312" s="197">
        <v>0.15837592332823158</v>
      </c>
      <c r="N312" s="197">
        <v>6.053860906904766E-3</v>
      </c>
      <c r="O312" s="197">
        <v>6.053860906904766E-3</v>
      </c>
      <c r="P312" s="197">
        <v>9.0300592352931391E-3</v>
      </c>
      <c r="Q312" s="196"/>
    </row>
    <row r="313" spans="1:17" x14ac:dyDescent="0.35">
      <c r="A313" s="59" t="s">
        <v>1535</v>
      </c>
      <c r="B313" s="232">
        <v>11.014411431360671</v>
      </c>
      <c r="C313" s="145">
        <v>5.0550593173821783</v>
      </c>
      <c r="D313" s="145">
        <v>1.4466205756805919</v>
      </c>
      <c r="E313" s="145">
        <v>5.0970445668255531</v>
      </c>
      <c r="F313" s="145">
        <v>0.26174751791693879</v>
      </c>
      <c r="G313" s="145">
        <v>0.26174751791693879</v>
      </c>
      <c r="H313" s="145">
        <v>0.1649839493935531</v>
      </c>
      <c r="I313" s="144"/>
      <c r="J313" s="197">
        <v>0.4726887595451591</v>
      </c>
      <c r="K313" s="197">
        <v>0.21694029981095381</v>
      </c>
      <c r="L313" s="197">
        <v>6.2082417177918077E-2</v>
      </c>
      <c r="M313" s="197">
        <v>0.21874211696680079</v>
      </c>
      <c r="N313" s="197">
        <v>1.12330205140065E-2</v>
      </c>
      <c r="O313" s="197">
        <v>1.12330205140065E-2</v>
      </c>
      <c r="P313" s="197">
        <v>7.0803654711549006E-3</v>
      </c>
      <c r="Q313" s="196"/>
    </row>
    <row r="314" spans="1:17" x14ac:dyDescent="0.35">
      <c r="A314" s="59" t="s">
        <v>1534</v>
      </c>
      <c r="B314" s="232">
        <v>47.053450966893358</v>
      </c>
      <c r="C314" s="145">
        <v>4.7691193170120165</v>
      </c>
      <c r="D314" s="145">
        <v>1.0091046586076529</v>
      </c>
      <c r="E314" s="145">
        <v>7.9902537604268069</v>
      </c>
      <c r="F314" s="145">
        <v>0.28286228100758726</v>
      </c>
      <c r="G314" s="145">
        <v>0.28286228100758726</v>
      </c>
      <c r="H314" s="145">
        <v>0.57220078574886157</v>
      </c>
      <c r="I314" s="144"/>
      <c r="J314" s="197">
        <v>0.75941836351628456</v>
      </c>
      <c r="K314" s="197">
        <v>7.6971119284904771E-2</v>
      </c>
      <c r="L314" s="197">
        <v>1.628642730148893E-2</v>
      </c>
      <c r="M314" s="197">
        <v>0.1289585632962936</v>
      </c>
      <c r="N314" s="197">
        <v>4.5652509248345135E-3</v>
      </c>
      <c r="O314" s="197">
        <v>4.5652509248345135E-3</v>
      </c>
      <c r="P314" s="197">
        <v>9.2350247513593269E-3</v>
      </c>
      <c r="Q314" s="196"/>
    </row>
    <row r="315" spans="1:17" x14ac:dyDescent="0.35">
      <c r="A315" s="59" t="s">
        <v>1533</v>
      </c>
      <c r="B315" s="232">
        <v>10.66329329405159</v>
      </c>
      <c r="C315" s="145">
        <v>1.0531546153314937</v>
      </c>
      <c r="D315" s="145">
        <v>0.2968651489084938</v>
      </c>
      <c r="E315" s="145">
        <v>2.810605213651554</v>
      </c>
      <c r="F315" s="145">
        <v>6.3081665317532634E-2</v>
      </c>
      <c r="G315" s="145">
        <v>6.3081665317532634E-2</v>
      </c>
      <c r="H315" s="145">
        <v>0.16925992939043305</v>
      </c>
      <c r="I315" s="144"/>
      <c r="J315" s="197">
        <v>0.70527497983327603</v>
      </c>
      <c r="K315" s="197">
        <v>6.9656116511733202E-2</v>
      </c>
      <c r="L315" s="197">
        <v>1.9634793504783019E-2</v>
      </c>
      <c r="M315" s="197">
        <v>0.1858946838199769</v>
      </c>
      <c r="N315" s="197">
        <v>4.1722495112734587E-3</v>
      </c>
      <c r="O315" s="197">
        <v>4.1722495112734587E-3</v>
      </c>
      <c r="P315" s="197">
        <v>1.1194927307683773E-2</v>
      </c>
      <c r="Q315" s="196"/>
    </row>
    <row r="316" spans="1:17" x14ac:dyDescent="0.35">
      <c r="A316" s="59" t="s">
        <v>1532</v>
      </c>
      <c r="B316" s="49">
        <v>4711.0663841072665</v>
      </c>
      <c r="C316" s="48">
        <v>2228.7251547739165</v>
      </c>
      <c r="D316" s="48">
        <v>1124.8122445481165</v>
      </c>
      <c r="E316" s="48">
        <v>2998.2145087139711</v>
      </c>
      <c r="F316" s="48">
        <v>162.58824552992576</v>
      </c>
      <c r="G316" s="48">
        <v>162.58824552992576</v>
      </c>
      <c r="H316" s="48">
        <v>190.86452635631841</v>
      </c>
      <c r="I316" s="47"/>
      <c r="J316" s="197">
        <v>0.40686791834648484</v>
      </c>
      <c r="K316" s="197">
        <v>0.19248227266514015</v>
      </c>
      <c r="L316" s="197">
        <v>9.7143614450818816E-2</v>
      </c>
      <c r="M316" s="197">
        <v>0.2589386768210114</v>
      </c>
      <c r="N316" s="197">
        <v>1.4041818903153425E-2</v>
      </c>
      <c r="O316" s="197">
        <v>1.4041818903153425E-2</v>
      </c>
      <c r="P316" s="197">
        <v>1.648387991023794E-2</v>
      </c>
      <c r="Q316" s="196"/>
    </row>
    <row r="317" spans="1:17" ht="13.15" x14ac:dyDescent="0.4">
      <c r="A317" s="128" t="s">
        <v>2225</v>
      </c>
      <c r="B317" s="232"/>
      <c r="C317" s="145"/>
      <c r="D317" s="145"/>
      <c r="E317" s="145"/>
      <c r="F317" s="145"/>
      <c r="G317" s="145"/>
      <c r="H317" s="145"/>
      <c r="I317" s="144"/>
      <c r="J317" s="197"/>
      <c r="K317" s="197"/>
      <c r="L317" s="197"/>
      <c r="M317" s="197"/>
      <c r="N317" s="197"/>
      <c r="O317" s="197"/>
      <c r="P317" s="197"/>
      <c r="Q317" s="196"/>
    </row>
    <row r="318" spans="1:17" x14ac:dyDescent="0.35">
      <c r="A318" s="59" t="s">
        <v>1525</v>
      </c>
      <c r="B318" s="232">
        <v>879.87907276324495</v>
      </c>
      <c r="C318" s="145">
        <v>624.9525089663415</v>
      </c>
      <c r="D318" s="145">
        <v>137.97579819357523</v>
      </c>
      <c r="E318" s="145">
        <v>1098.9372854625799</v>
      </c>
      <c r="F318" s="145">
        <v>23.056697058654997</v>
      </c>
      <c r="G318" s="145">
        <v>23.056697058654997</v>
      </c>
      <c r="H318" s="145">
        <v>19.271268370853971</v>
      </c>
      <c r="I318" s="144"/>
      <c r="J318" s="197">
        <v>0.31344443735681299</v>
      </c>
      <c r="K318" s="197">
        <v>0.22263046549396959</v>
      </c>
      <c r="L318" s="197">
        <v>4.9151920726814846E-2</v>
      </c>
      <c r="M318" s="197">
        <v>0.39148081798386725</v>
      </c>
      <c r="N318" s="197">
        <v>8.213621235654979E-3</v>
      </c>
      <c r="O318" s="197">
        <v>8.213621235654979E-3</v>
      </c>
      <c r="P318" s="197">
        <v>6.8651159672254419E-3</v>
      </c>
      <c r="Q318" s="196"/>
    </row>
    <row r="319" spans="1:17" x14ac:dyDescent="0.35">
      <c r="A319" s="59" t="s">
        <v>1524</v>
      </c>
      <c r="B319" s="232">
        <v>4110.5774285827802</v>
      </c>
      <c r="C319" s="145">
        <v>3899.4006710525168</v>
      </c>
      <c r="D319" s="145">
        <v>902.17602658544649</v>
      </c>
      <c r="E319" s="145">
        <v>3204.5046968086253</v>
      </c>
      <c r="F319" s="145">
        <v>151.18657476194653</v>
      </c>
      <c r="G319" s="145">
        <v>151.18657476194653</v>
      </c>
      <c r="H319" s="145">
        <v>76.803375544323202</v>
      </c>
      <c r="I319" s="144"/>
      <c r="J319" s="197">
        <v>0.32895579319621793</v>
      </c>
      <c r="K319" s="197">
        <v>0.31205602206067606</v>
      </c>
      <c r="L319" s="197">
        <v>7.2198136535369523E-2</v>
      </c>
      <c r="M319" s="197">
        <v>0.25644581634924396</v>
      </c>
      <c r="N319" s="197">
        <v>1.20989570165042E-2</v>
      </c>
      <c r="O319" s="197">
        <v>1.20989570165042E-2</v>
      </c>
      <c r="P319" s="197">
        <v>6.1463178254838342E-3</v>
      </c>
      <c r="Q319" s="196"/>
    </row>
    <row r="320" spans="1:17" x14ac:dyDescent="0.35">
      <c r="A320" s="59" t="s">
        <v>1523</v>
      </c>
      <c r="B320" s="232">
        <v>5131.6400328547834</v>
      </c>
      <c r="C320" s="145">
        <v>888.09641517144667</v>
      </c>
      <c r="D320" s="145">
        <v>276.44367849331877</v>
      </c>
      <c r="E320" s="145">
        <v>1369.7788831877911</v>
      </c>
      <c r="F320" s="145">
        <v>68.508462622667295</v>
      </c>
      <c r="G320" s="145">
        <v>68.508462622667295</v>
      </c>
      <c r="H320" s="145">
        <v>70.702887533859482</v>
      </c>
      <c r="I320" s="144"/>
      <c r="J320" s="197">
        <v>0.65174617209420216</v>
      </c>
      <c r="K320" s="197">
        <v>0.11279307109087577</v>
      </c>
      <c r="L320" s="197">
        <v>3.5109849503109011E-2</v>
      </c>
      <c r="M320" s="197">
        <v>0.17396936223456602</v>
      </c>
      <c r="N320" s="197">
        <v>8.7009470626377532E-3</v>
      </c>
      <c r="O320" s="197">
        <v>8.7009470626377532E-3</v>
      </c>
      <c r="P320" s="197">
        <v>8.9796509519715559E-3</v>
      </c>
      <c r="Q320" s="196"/>
    </row>
    <row r="321" spans="1:17" x14ac:dyDescent="0.35">
      <c r="A321" s="59" t="s">
        <v>1522</v>
      </c>
      <c r="B321" s="232">
        <v>1858.7256547609215</v>
      </c>
      <c r="C321" s="145">
        <v>460.85319504662135</v>
      </c>
      <c r="D321" s="145">
        <v>139.22482580078028</v>
      </c>
      <c r="E321" s="145">
        <v>610.37156453772582</v>
      </c>
      <c r="F321" s="145">
        <v>23.746219063743709</v>
      </c>
      <c r="G321" s="145">
        <v>23.746219063743709</v>
      </c>
      <c r="H321" s="145">
        <v>24.760076171634839</v>
      </c>
      <c r="I321" s="144"/>
      <c r="J321" s="197">
        <v>0.59168180841682394</v>
      </c>
      <c r="K321" s="197">
        <v>0.14670182829909317</v>
      </c>
      <c r="L321" s="197">
        <v>4.431896471398232E-2</v>
      </c>
      <c r="M321" s="197">
        <v>0.19429750172482563</v>
      </c>
      <c r="N321" s="197">
        <v>7.559053054822738E-3</v>
      </c>
      <c r="O321" s="197">
        <v>7.559053054822738E-3</v>
      </c>
      <c r="P321" s="197">
        <v>7.8817907356293418E-3</v>
      </c>
      <c r="Q321" s="196"/>
    </row>
    <row r="322" spans="1:17" x14ac:dyDescent="0.35">
      <c r="A322" s="59" t="s">
        <v>1521</v>
      </c>
      <c r="B322" s="232">
        <v>530.48602396276101</v>
      </c>
      <c r="C322" s="145">
        <v>215.8156316725653</v>
      </c>
      <c r="D322" s="145">
        <v>68.118499781703889</v>
      </c>
      <c r="E322" s="145">
        <v>272.30967247746827</v>
      </c>
      <c r="F322" s="145">
        <v>11.829593412110578</v>
      </c>
      <c r="G322" s="145">
        <v>11.829593412110578</v>
      </c>
      <c r="H322" s="145">
        <v>11.076847231613669</v>
      </c>
      <c r="I322" s="144"/>
      <c r="J322" s="197">
        <v>0.47302913263913043</v>
      </c>
      <c r="K322" s="197">
        <v>0.19244066091966622</v>
      </c>
      <c r="L322" s="197">
        <v>6.0740591481972965E-2</v>
      </c>
      <c r="M322" s="197">
        <v>0.24281583748246818</v>
      </c>
      <c r="N322" s="197">
        <v>1.0548331263100435E-2</v>
      </c>
      <c r="O322" s="197">
        <v>1.0548331263100435E-2</v>
      </c>
      <c r="P322" s="197">
        <v>9.8771149505612246E-3</v>
      </c>
      <c r="Q322" s="196"/>
    </row>
    <row r="323" spans="1:17" x14ac:dyDescent="0.35">
      <c r="A323" s="59" t="s">
        <v>1520</v>
      </c>
      <c r="B323" s="232">
        <v>12449.695130137819</v>
      </c>
      <c r="C323" s="145">
        <v>4455.3676357048826</v>
      </c>
      <c r="D323" s="145">
        <v>2811.79602253242</v>
      </c>
      <c r="E323" s="145">
        <v>4858.2911486944558</v>
      </c>
      <c r="F323" s="145">
        <v>882.7746021009383</v>
      </c>
      <c r="G323" s="145">
        <v>882.7746021009383</v>
      </c>
      <c r="H323" s="145">
        <v>451.81131030589995</v>
      </c>
      <c r="I323" s="144"/>
      <c r="J323" s="197">
        <v>0.46467072029843587</v>
      </c>
      <c r="K323" s="197">
        <v>0.16629153299229496</v>
      </c>
      <c r="L323" s="197">
        <v>0.10494709062871267</v>
      </c>
      <c r="M323" s="197">
        <v>0.18133019514819054</v>
      </c>
      <c r="N323" s="197">
        <v>3.2948558653971408E-2</v>
      </c>
      <c r="O323" s="197">
        <v>3.2948558653971408E-2</v>
      </c>
      <c r="P323" s="197">
        <v>1.6863343624423238E-2</v>
      </c>
      <c r="Q323" s="196"/>
    </row>
    <row r="324" spans="1:17" x14ac:dyDescent="0.35">
      <c r="A324" s="59" t="s">
        <v>1519</v>
      </c>
      <c r="B324" s="232">
        <v>39.393727777293655</v>
      </c>
      <c r="C324" s="145">
        <v>5.9073503899603299</v>
      </c>
      <c r="D324" s="145">
        <v>2.4196658617320499</v>
      </c>
      <c r="E324" s="145">
        <v>9.790078719098501</v>
      </c>
      <c r="F324" s="145">
        <v>0.70757790240968421</v>
      </c>
      <c r="G324" s="145">
        <v>0.70757790240968421</v>
      </c>
      <c r="H324" s="145">
        <v>0.62737398611997897</v>
      </c>
      <c r="I324" s="144"/>
      <c r="J324" s="197">
        <v>0.6614863160135257</v>
      </c>
      <c r="K324" s="197">
        <v>9.9194254195670767E-2</v>
      </c>
      <c r="L324" s="197">
        <v>4.0630220778024223E-2</v>
      </c>
      <c r="M324" s="197">
        <v>0.16439173114029637</v>
      </c>
      <c r="N324" s="197">
        <v>1.1881411746652304E-2</v>
      </c>
      <c r="O324" s="197">
        <v>1.1881411746652304E-2</v>
      </c>
      <c r="P324" s="197">
        <v>1.0534654379178332E-2</v>
      </c>
      <c r="Q324" s="196"/>
    </row>
    <row r="325" spans="1:17" x14ac:dyDescent="0.35">
      <c r="A325" s="59" t="s">
        <v>1518</v>
      </c>
      <c r="B325" s="232">
        <v>74.39016124219134</v>
      </c>
      <c r="C325" s="145">
        <v>10.2504053758071</v>
      </c>
      <c r="D325" s="145">
        <v>2.9779833751759432</v>
      </c>
      <c r="E325" s="145">
        <v>17.038381328605674</v>
      </c>
      <c r="F325" s="145">
        <v>0.76176273740178546</v>
      </c>
      <c r="G325" s="145">
        <v>0.76176273740178546</v>
      </c>
      <c r="H325" s="145">
        <v>0.90922619274684879</v>
      </c>
      <c r="I325" s="144"/>
      <c r="J325" s="197">
        <v>0.69465292235110021</v>
      </c>
      <c r="K325" s="197">
        <v>9.5717954238676406E-2</v>
      </c>
      <c r="L325" s="197">
        <v>2.780831254746215E-2</v>
      </c>
      <c r="M325" s="197">
        <v>0.15910385438626456</v>
      </c>
      <c r="N325" s="197">
        <v>7.1133158315323519E-3</v>
      </c>
      <c r="O325" s="197">
        <v>7.1133158315323519E-3</v>
      </c>
      <c r="P325" s="197">
        <v>8.4903248134317131E-3</v>
      </c>
      <c r="Q325" s="196"/>
    </row>
    <row r="326" spans="1:17" x14ac:dyDescent="0.35">
      <c r="A326" s="59" t="s">
        <v>1531</v>
      </c>
      <c r="B326" s="232">
        <v>13058.586308329146</v>
      </c>
      <c r="C326" s="145">
        <v>2023.0012050175678</v>
      </c>
      <c r="D326" s="145">
        <v>438.25043954516724</v>
      </c>
      <c r="E326" s="145">
        <v>2663.8950899725451</v>
      </c>
      <c r="F326" s="145">
        <v>99.920297807254855</v>
      </c>
      <c r="G326" s="145">
        <v>99.920297807254855</v>
      </c>
      <c r="H326" s="145">
        <v>196.07924810144553</v>
      </c>
      <c r="I326" s="144"/>
      <c r="J326" s="197">
        <v>0.70284339476336699</v>
      </c>
      <c r="K326" s="197">
        <v>0.10888261569615927</v>
      </c>
      <c r="L326" s="197">
        <v>2.3587654851275751E-2</v>
      </c>
      <c r="M326" s="197">
        <v>0.14337701065968836</v>
      </c>
      <c r="N326" s="197">
        <v>5.3779421185755731E-3</v>
      </c>
      <c r="O326" s="197">
        <v>5.3779421185755731E-3</v>
      </c>
      <c r="P326" s="197">
        <v>1.0553439792358482E-2</v>
      </c>
      <c r="Q326" s="196"/>
    </row>
    <row r="327" spans="1:17" x14ac:dyDescent="0.35">
      <c r="A327" s="59" t="s">
        <v>1530</v>
      </c>
      <c r="B327" s="232">
        <v>124.14391265719875</v>
      </c>
      <c r="C327" s="145">
        <v>17.138005294535549</v>
      </c>
      <c r="D327" s="145">
        <v>3.377190130688299</v>
      </c>
      <c r="E327" s="145">
        <v>23.66918065613293</v>
      </c>
      <c r="F327" s="145">
        <v>0.83085369049724478</v>
      </c>
      <c r="G327" s="145">
        <v>0.83085369049724478</v>
      </c>
      <c r="H327" s="145">
        <v>2.0817088420985161</v>
      </c>
      <c r="I327" s="144"/>
      <c r="J327" s="197">
        <v>0.72146616252142093</v>
      </c>
      <c r="K327" s="197">
        <v>9.959804430574612E-2</v>
      </c>
      <c r="L327" s="197">
        <v>1.9626644203014135E-2</v>
      </c>
      <c r="M327" s="197">
        <v>0.13755417057911018</v>
      </c>
      <c r="N327" s="197">
        <v>4.828531748914941E-3</v>
      </c>
      <c r="O327" s="197">
        <v>4.828531748914941E-3</v>
      </c>
      <c r="P327" s="197">
        <v>1.2097914892878456E-2</v>
      </c>
      <c r="Q327" s="196"/>
    </row>
    <row r="328" spans="1:17" x14ac:dyDescent="0.35">
      <c r="A328" s="59" t="s">
        <v>1529</v>
      </c>
      <c r="B328" s="49">
        <v>4251385.2586950622</v>
      </c>
      <c r="C328" s="48">
        <v>815254.3866671701</v>
      </c>
      <c r="D328" s="48">
        <v>244792.26211851632</v>
      </c>
      <c r="E328" s="48">
        <v>1169775.5875848988</v>
      </c>
      <c r="F328" s="48">
        <v>50387.78707193771</v>
      </c>
      <c r="G328" s="48">
        <v>50387.78707193771</v>
      </c>
      <c r="H328" s="48">
        <v>54051.404655886639</v>
      </c>
      <c r="I328" s="47"/>
      <c r="J328" s="197">
        <v>0.64065147271886935</v>
      </c>
      <c r="K328" s="197">
        <v>0.12285264488571805</v>
      </c>
      <c r="L328" s="197">
        <v>3.6888334905820309E-2</v>
      </c>
      <c r="M328" s="197">
        <v>0.17627629756774282</v>
      </c>
      <c r="N328" s="197">
        <v>7.5930568580345886E-3</v>
      </c>
      <c r="O328" s="197">
        <v>7.5930568580345886E-3</v>
      </c>
      <c r="P328" s="197">
        <v>8.1451362057801888E-3</v>
      </c>
      <c r="Q328" s="196"/>
    </row>
    <row r="329" spans="1:17" x14ac:dyDescent="0.35">
      <c r="A329" s="59" t="s">
        <v>1528</v>
      </c>
      <c r="B329" s="49">
        <v>4260587.0272881845</v>
      </c>
      <c r="C329" s="48">
        <v>823329.78494605469</v>
      </c>
      <c r="D329" s="48">
        <v>246639.9918741872</v>
      </c>
      <c r="E329" s="48">
        <v>1178236.2590290993</v>
      </c>
      <c r="F329" s="48">
        <v>50697.226014301195</v>
      </c>
      <c r="G329" s="48">
        <v>50697.226014301195</v>
      </c>
      <c r="H329" s="48">
        <v>54232.157794354971</v>
      </c>
      <c r="I329" s="47"/>
      <c r="J329" s="197">
        <v>0.63930353074471613</v>
      </c>
      <c r="K329" s="197">
        <v>0.12354110715544314</v>
      </c>
      <c r="L329" s="197">
        <v>3.7008472451829276E-2</v>
      </c>
      <c r="M329" s="197">
        <v>0.17679502745146003</v>
      </c>
      <c r="N329" s="197">
        <v>7.6071478841578336E-3</v>
      </c>
      <c r="O329" s="197">
        <v>7.6071478841578336E-3</v>
      </c>
      <c r="P329" s="197">
        <v>8.1375664282354269E-3</v>
      </c>
      <c r="Q329" s="196"/>
    </row>
    <row r="330" spans="1:17" x14ac:dyDescent="0.35">
      <c r="A330" s="59" t="s">
        <v>1527</v>
      </c>
      <c r="B330" s="49">
        <v>4799937.1538008125</v>
      </c>
      <c r="C330" s="48">
        <v>900660.92830126733</v>
      </c>
      <c r="D330" s="48">
        <v>269102.3570193089</v>
      </c>
      <c r="E330" s="48">
        <v>1283464.8758799015</v>
      </c>
      <c r="F330" s="48">
        <v>54970.85815435234</v>
      </c>
      <c r="G330" s="48">
        <v>54970.85815435234</v>
      </c>
      <c r="H330" s="48">
        <v>62249.559140613324</v>
      </c>
      <c r="I330" s="47"/>
      <c r="J330" s="197">
        <v>0.64642513734273432</v>
      </c>
      <c r="K330" s="197">
        <v>0.12129530983866332</v>
      </c>
      <c r="L330" s="197">
        <v>3.6241001188466612E-2</v>
      </c>
      <c r="M330" s="197">
        <v>0.17284892115895192</v>
      </c>
      <c r="N330" s="197">
        <v>7.4031270397232765E-3</v>
      </c>
      <c r="O330" s="197">
        <v>7.4031270397232765E-3</v>
      </c>
      <c r="P330" s="197">
        <v>8.3833763917371268E-3</v>
      </c>
      <c r="Q330" s="196"/>
    </row>
    <row r="331" spans="1:17" ht="13.15" x14ac:dyDescent="0.4">
      <c r="A331" s="128" t="s">
        <v>2224</v>
      </c>
      <c r="B331" s="232"/>
      <c r="C331" s="145"/>
      <c r="D331" s="145"/>
      <c r="E331" s="145"/>
      <c r="F331" s="145"/>
      <c r="G331" s="145"/>
      <c r="H331" s="145"/>
      <c r="I331" s="144"/>
      <c r="J331" s="197"/>
      <c r="K331" s="197"/>
      <c r="L331" s="197"/>
      <c r="M331" s="197"/>
      <c r="N331" s="197"/>
      <c r="O331" s="197"/>
      <c r="P331" s="197"/>
      <c r="Q331" s="196"/>
    </row>
    <row r="332" spans="1:17" x14ac:dyDescent="0.35">
      <c r="A332" s="59" t="s">
        <v>1525</v>
      </c>
      <c r="B332" s="232">
        <v>44.452942352212204</v>
      </c>
      <c r="C332" s="145">
        <v>5.4274044275627054</v>
      </c>
      <c r="D332" s="145">
        <v>1.5719033358601919</v>
      </c>
      <c r="E332" s="145">
        <v>10.141521685608382</v>
      </c>
      <c r="F332" s="145">
        <v>0.36907286235201836</v>
      </c>
      <c r="G332" s="145">
        <v>0.36907286235201836</v>
      </c>
      <c r="H332" s="145">
        <v>0.59717765105561749</v>
      </c>
      <c r="I332" s="144"/>
      <c r="J332" s="197">
        <v>0.70639729090618064</v>
      </c>
      <c r="K332" s="197">
        <v>8.6246344593019053E-2</v>
      </c>
      <c r="L332" s="197">
        <v>2.4978959755242593E-2</v>
      </c>
      <c r="M332" s="197">
        <v>0.16115791363411355</v>
      </c>
      <c r="N332" s="197">
        <v>5.86490019146013E-3</v>
      </c>
      <c r="O332" s="197">
        <v>5.86490019146013E-3</v>
      </c>
      <c r="P332" s="197">
        <v>9.4896907285241042E-3</v>
      </c>
      <c r="Q332" s="196"/>
    </row>
    <row r="333" spans="1:17" x14ac:dyDescent="0.35">
      <c r="A333" s="59" t="s">
        <v>1524</v>
      </c>
      <c r="B333" s="232">
        <v>189.70010219252453</v>
      </c>
      <c r="C333" s="145">
        <v>27.218771393143243</v>
      </c>
      <c r="D333" s="145">
        <v>7.4924096804514493</v>
      </c>
      <c r="E333" s="145">
        <v>39.404468832435505</v>
      </c>
      <c r="F333" s="145">
        <v>1.7380263267810203</v>
      </c>
      <c r="G333" s="145">
        <v>1.7380263267810203</v>
      </c>
      <c r="H333" s="145">
        <v>2.3602267998486477</v>
      </c>
      <c r="I333" s="144"/>
      <c r="J333" s="197">
        <v>0.70349962171884051</v>
      </c>
      <c r="K333" s="197">
        <v>0.10094035352334378</v>
      </c>
      <c r="L333" s="197">
        <v>2.778547462568464E-2</v>
      </c>
      <c r="M333" s="197">
        <v>0.14613080645321136</v>
      </c>
      <c r="N333" s="197">
        <v>6.4454412480333201E-3</v>
      </c>
      <c r="O333" s="197">
        <v>6.4454412480333201E-3</v>
      </c>
      <c r="P333" s="197">
        <v>8.7528611828529886E-3</v>
      </c>
      <c r="Q333" s="196"/>
    </row>
    <row r="334" spans="1:17" x14ac:dyDescent="0.35">
      <c r="A334" s="59" t="s">
        <v>1523</v>
      </c>
      <c r="B334" s="232">
        <v>345.1248769916117</v>
      </c>
      <c r="C334" s="145">
        <v>62.148238088091269</v>
      </c>
      <c r="D334" s="145">
        <v>19.302227087662629</v>
      </c>
      <c r="E334" s="145">
        <v>82.360767251543393</v>
      </c>
      <c r="F334" s="145">
        <v>4.0755339807379292</v>
      </c>
      <c r="G334" s="145">
        <v>4.0755339807379292</v>
      </c>
      <c r="H334" s="145">
        <v>4.5989087854192094</v>
      </c>
      <c r="I334" s="144"/>
      <c r="J334" s="197">
        <v>0.6615566068248997</v>
      </c>
      <c r="K334" s="197">
        <v>0.11912956802213637</v>
      </c>
      <c r="L334" s="197">
        <v>3.6999696943283866E-2</v>
      </c>
      <c r="M334" s="197">
        <v>0.15787418801383785</v>
      </c>
      <c r="N334" s="197">
        <v>7.8122343854166503E-3</v>
      </c>
      <c r="O334" s="197">
        <v>7.8122343854166503E-3</v>
      </c>
      <c r="P334" s="197">
        <v>8.815471425008577E-3</v>
      </c>
      <c r="Q334" s="196"/>
    </row>
    <row r="335" spans="1:17" x14ac:dyDescent="0.35">
      <c r="A335" s="59" t="s">
        <v>1522</v>
      </c>
      <c r="B335" s="232">
        <v>27.962292469719984</v>
      </c>
      <c r="C335" s="145">
        <v>6.4329267059323865</v>
      </c>
      <c r="D335" s="145">
        <v>2.2805883388041606</v>
      </c>
      <c r="E335" s="145">
        <v>8.0918850327831677</v>
      </c>
      <c r="F335" s="145">
        <v>0.45126685098201308</v>
      </c>
      <c r="G335" s="145">
        <v>0.45126685098201308</v>
      </c>
      <c r="H335" s="145">
        <v>0.4079493492660336</v>
      </c>
      <c r="I335" s="144"/>
      <c r="J335" s="197">
        <v>0.60684460933059603</v>
      </c>
      <c r="K335" s="197">
        <v>0.13960897154413426</v>
      </c>
      <c r="L335" s="197">
        <v>4.9493894000436474E-2</v>
      </c>
      <c r="M335" s="197">
        <v>0.17561209678301362</v>
      </c>
      <c r="N335" s="197">
        <v>9.7935051707429051E-3</v>
      </c>
      <c r="O335" s="197">
        <v>9.7935051707429051E-3</v>
      </c>
      <c r="P335" s="197">
        <v>8.8534180003337955E-3</v>
      </c>
      <c r="Q335" s="196"/>
    </row>
    <row r="336" spans="1:17" x14ac:dyDescent="0.35">
      <c r="A336" s="59" t="s">
        <v>1521</v>
      </c>
      <c r="B336" s="232">
        <v>20.847693765544957</v>
      </c>
      <c r="C336" s="145">
        <v>4.7453956365820646</v>
      </c>
      <c r="D336" s="145">
        <v>1.6653214689510962</v>
      </c>
      <c r="E336" s="145">
        <v>6.0210180985488524</v>
      </c>
      <c r="F336" s="145">
        <v>0.32887320150719729</v>
      </c>
      <c r="G336" s="145">
        <v>0.32887320150719729</v>
      </c>
      <c r="H336" s="145">
        <v>0.30030768043148004</v>
      </c>
      <c r="I336" s="144"/>
      <c r="J336" s="197">
        <v>0.60891432157054703</v>
      </c>
      <c r="K336" s="197">
        <v>0.138602350798569</v>
      </c>
      <c r="L336" s="197">
        <v>4.864030064270837E-2</v>
      </c>
      <c r="M336" s="197">
        <v>0.17586041851310855</v>
      </c>
      <c r="N336" s="197">
        <v>9.6056477340170764E-3</v>
      </c>
      <c r="O336" s="197">
        <v>9.6056477340170764E-3</v>
      </c>
      <c r="P336" s="197">
        <v>8.7713130070327158E-3</v>
      </c>
      <c r="Q336" s="196"/>
    </row>
    <row r="337" spans="1:17" x14ac:dyDescent="0.35">
      <c r="A337" s="59" t="s">
        <v>1520</v>
      </c>
      <c r="B337" s="232">
        <v>853.88048871989884</v>
      </c>
      <c r="C337" s="145">
        <v>208.96930281424932</v>
      </c>
      <c r="D337" s="145">
        <v>74.236686960009223</v>
      </c>
      <c r="E337" s="145">
        <v>244.42822871970827</v>
      </c>
      <c r="F337" s="145">
        <v>14.365359503818068</v>
      </c>
      <c r="G337" s="145">
        <v>14.365359503818068</v>
      </c>
      <c r="H337" s="145">
        <v>12.77651547460885</v>
      </c>
      <c r="I337" s="144"/>
      <c r="J337" s="197">
        <v>0.60004731037537784</v>
      </c>
      <c r="K337" s="197">
        <v>0.14684896746228471</v>
      </c>
      <c r="L337" s="197">
        <v>5.2168336119628601E-2</v>
      </c>
      <c r="M337" s="197">
        <v>0.17176701325376084</v>
      </c>
      <c r="N337" s="197">
        <v>1.0094966973380529E-2</v>
      </c>
      <c r="O337" s="197">
        <v>1.0094966973380529E-2</v>
      </c>
      <c r="P337" s="197">
        <v>8.9784388421870892E-3</v>
      </c>
      <c r="Q337" s="196"/>
    </row>
    <row r="338" spans="1:17" x14ac:dyDescent="0.35">
      <c r="A338" s="59" t="s">
        <v>1519</v>
      </c>
      <c r="B338" s="232">
        <v>1.4424289787921605</v>
      </c>
      <c r="C338" s="145">
        <v>0.29368991631159963</v>
      </c>
      <c r="D338" s="145">
        <v>0.10155344438471678</v>
      </c>
      <c r="E338" s="145">
        <v>0.40902177020148001</v>
      </c>
      <c r="F338" s="145">
        <v>2.0633274048509852E-2</v>
      </c>
      <c r="G338" s="145">
        <v>2.0633274048509852E-2</v>
      </c>
      <c r="H338" s="145">
        <v>2.0055427043765124E-2</v>
      </c>
      <c r="I338" s="144"/>
      <c r="J338" s="197">
        <v>0.62496487276341528</v>
      </c>
      <c r="K338" s="197">
        <v>0.12724777710253149</v>
      </c>
      <c r="L338" s="197">
        <v>4.4000319171156987E-2</v>
      </c>
      <c r="M338" s="197">
        <v>0.17721790280827943</v>
      </c>
      <c r="N338" s="197">
        <v>8.9398311320793896E-3</v>
      </c>
      <c r="O338" s="197">
        <v>8.9398311320793896E-3</v>
      </c>
      <c r="P338" s="197">
        <v>8.689465890457989E-3</v>
      </c>
      <c r="Q338" s="196"/>
    </row>
    <row r="339" spans="1:17" x14ac:dyDescent="0.35">
      <c r="A339" s="57" t="s">
        <v>1518</v>
      </c>
      <c r="B339" s="231">
        <v>3.3215077542423694</v>
      </c>
      <c r="C339" s="142">
        <v>0.74867966250299833</v>
      </c>
      <c r="D339" s="142">
        <v>0.2455868011163875</v>
      </c>
      <c r="E339" s="142">
        <v>0.9427260803681895</v>
      </c>
      <c r="F339" s="142">
        <v>4.9684172632000943E-2</v>
      </c>
      <c r="G339" s="142">
        <v>4.9684172632000943E-2</v>
      </c>
      <c r="H339" s="142">
        <v>4.4688994835525971E-2</v>
      </c>
      <c r="I339" s="141"/>
      <c r="J339" s="194">
        <v>0.61480283536029323</v>
      </c>
      <c r="K339" s="194">
        <v>0.13857874596123659</v>
      </c>
      <c r="L339" s="194">
        <v>4.5457506898959346E-2</v>
      </c>
      <c r="M339" s="194">
        <v>0.17449625593623289</v>
      </c>
      <c r="N339" s="194">
        <v>9.1964169487997929E-3</v>
      </c>
      <c r="O339" s="194">
        <v>9.1964169487997929E-3</v>
      </c>
      <c r="P339" s="194">
        <v>8.2718219456783572E-3</v>
      </c>
      <c r="Q339" s="193"/>
    </row>
    <row r="341" spans="1:17" ht="13.15" x14ac:dyDescent="0.4">
      <c r="A341" s="41" t="s">
        <v>2235</v>
      </c>
    </row>
    <row r="342" spans="1:17" ht="13.15" x14ac:dyDescent="0.4">
      <c r="A342" s="131"/>
      <c r="B342" s="2193" t="s">
        <v>2229</v>
      </c>
      <c r="C342" s="2194"/>
      <c r="D342" s="2194"/>
      <c r="E342" s="2194"/>
      <c r="F342" s="2194"/>
      <c r="G342" s="2194"/>
      <c r="H342" s="2194"/>
      <c r="I342" s="2195"/>
      <c r="J342" s="2194" t="s">
        <v>2228</v>
      </c>
      <c r="K342" s="2194"/>
      <c r="L342" s="2194"/>
      <c r="M342" s="2194"/>
      <c r="N342" s="2194"/>
      <c r="O342" s="2194"/>
      <c r="P342" s="2194"/>
      <c r="Q342" s="2195"/>
    </row>
    <row r="343" spans="1:17" ht="52.5" x14ac:dyDescent="0.4">
      <c r="A343" s="59"/>
      <c r="B343" s="653" t="s">
        <v>405</v>
      </c>
      <c r="C343" s="652" t="s">
        <v>1830</v>
      </c>
      <c r="D343" s="652" t="s">
        <v>1829</v>
      </c>
      <c r="E343" s="652" t="s">
        <v>1503</v>
      </c>
      <c r="F343" s="652" t="s">
        <v>1501</v>
      </c>
      <c r="G343" s="652" t="s">
        <v>1500</v>
      </c>
      <c r="H343" s="180" t="s">
        <v>1499</v>
      </c>
      <c r="I343" s="651" t="s">
        <v>2227</v>
      </c>
      <c r="J343" s="653" t="s">
        <v>405</v>
      </c>
      <c r="K343" s="652" t="s">
        <v>1830</v>
      </c>
      <c r="L343" s="652" t="s">
        <v>1829</v>
      </c>
      <c r="M343" s="652" t="s">
        <v>1503</v>
      </c>
      <c r="N343" s="652" t="s">
        <v>1501</v>
      </c>
      <c r="O343" s="652" t="s">
        <v>1500</v>
      </c>
      <c r="P343" s="180" t="s">
        <v>1499</v>
      </c>
      <c r="Q343" s="651" t="s">
        <v>2227</v>
      </c>
    </row>
    <row r="344" spans="1:17" ht="13.15" x14ac:dyDescent="0.4">
      <c r="A344" s="128" t="s">
        <v>2226</v>
      </c>
      <c r="B344" s="650"/>
      <c r="C344" s="198"/>
      <c r="D344" s="198"/>
      <c r="E344" s="198"/>
      <c r="I344" s="99"/>
      <c r="J344" s="198"/>
      <c r="K344" s="198"/>
      <c r="L344" s="198"/>
      <c r="M344" s="198"/>
      <c r="Q344" s="99"/>
    </row>
    <row r="345" spans="1:17" x14ac:dyDescent="0.35">
      <c r="A345" s="59" t="s">
        <v>1537</v>
      </c>
      <c r="B345" s="232">
        <v>22.795606324939779</v>
      </c>
      <c r="C345" s="145">
        <v>14.007698342461534</v>
      </c>
      <c r="D345" s="145">
        <v>3.5955947876391754</v>
      </c>
      <c r="E345" s="145">
        <v>17.109571263776807</v>
      </c>
      <c r="F345" s="145">
        <v>1.9592429690569537</v>
      </c>
      <c r="G345" s="145">
        <v>1.9592429690569537</v>
      </c>
      <c r="H345" s="145">
        <v>1.3454329414720299</v>
      </c>
      <c r="I345" s="144"/>
      <c r="J345" s="197">
        <v>0.36314702165678975</v>
      </c>
      <c r="K345" s="197">
        <v>0.22315063090760298</v>
      </c>
      <c r="L345" s="197">
        <v>5.7279877516892216E-2</v>
      </c>
      <c r="M345" s="197">
        <v>0.27256523725220799</v>
      </c>
      <c r="N345" s="197">
        <v>3.1211858933386728E-2</v>
      </c>
      <c r="O345" s="197">
        <v>3.1211858933386728E-2</v>
      </c>
      <c r="P345" s="197">
        <v>2.1433514799733773E-2</v>
      </c>
      <c r="Q345" s="196"/>
    </row>
    <row r="346" spans="1:17" x14ac:dyDescent="0.35">
      <c r="A346" s="59" t="s">
        <v>1536</v>
      </c>
      <c r="B346" s="232">
        <v>21.129580624290266</v>
      </c>
      <c r="C346" s="145">
        <v>12.716180887323544</v>
      </c>
      <c r="D346" s="145">
        <v>2.7760197933700717</v>
      </c>
      <c r="E346" s="145">
        <v>15.894244256825726</v>
      </c>
      <c r="F346" s="145">
        <v>1.6185895196468376</v>
      </c>
      <c r="G346" s="145">
        <v>1.6185895196468376</v>
      </c>
      <c r="H346" s="145">
        <v>1.158688402040162</v>
      </c>
      <c r="I346" s="144"/>
      <c r="J346" s="197">
        <v>0.37126827995553052</v>
      </c>
      <c r="K346" s="197">
        <v>0.22343626641660261</v>
      </c>
      <c r="L346" s="197">
        <v>4.8777498812361444E-2</v>
      </c>
      <c r="M346" s="197">
        <v>0.27927808087402445</v>
      </c>
      <c r="N346" s="197">
        <v>2.8440268531525332E-2</v>
      </c>
      <c r="O346" s="197">
        <v>2.8440268531525332E-2</v>
      </c>
      <c r="P346" s="197">
        <v>2.0359336878430018E-2</v>
      </c>
      <c r="Q346" s="196"/>
    </row>
    <row r="347" spans="1:17" x14ac:dyDescent="0.35">
      <c r="A347" s="59" t="s">
        <v>1535</v>
      </c>
      <c r="B347" s="232">
        <v>9.0523390110499147</v>
      </c>
      <c r="C347" s="145">
        <v>6.4412898377254226</v>
      </c>
      <c r="D347" s="145">
        <v>1.4589338741065794</v>
      </c>
      <c r="E347" s="145">
        <v>8.142953663346443</v>
      </c>
      <c r="F347" s="145">
        <v>0.69716593735990817</v>
      </c>
      <c r="G347" s="145">
        <v>0.69716593735990817</v>
      </c>
      <c r="H347" s="145">
        <v>0.21089537636984296</v>
      </c>
      <c r="I347" s="144"/>
      <c r="J347" s="197">
        <v>0.33902947176340092</v>
      </c>
      <c r="K347" s="197">
        <v>0.24124009148280129</v>
      </c>
      <c r="L347" s="197">
        <v>5.4640196315263505E-2</v>
      </c>
      <c r="M347" s="197">
        <v>0.30497104402611203</v>
      </c>
      <c r="N347" s="197">
        <v>2.6110356581436987E-2</v>
      </c>
      <c r="O347" s="197">
        <v>2.6110356581436987E-2</v>
      </c>
      <c r="P347" s="197">
        <v>7.8984832495484214E-3</v>
      </c>
      <c r="Q347" s="196"/>
    </row>
    <row r="348" spans="1:17" x14ac:dyDescent="0.35">
      <c r="A348" s="59" t="s">
        <v>1534</v>
      </c>
      <c r="B348" s="232">
        <v>9.7742166852762526</v>
      </c>
      <c r="C348" s="145">
        <v>5.1033250477237857</v>
      </c>
      <c r="D348" s="145">
        <v>1.0176939231414057</v>
      </c>
      <c r="E348" s="145">
        <v>5.7872751646596861</v>
      </c>
      <c r="F348" s="145">
        <v>0.7534052236743467</v>
      </c>
      <c r="G348" s="145">
        <v>0.7534052236743467</v>
      </c>
      <c r="H348" s="145">
        <v>0.73143175753278178</v>
      </c>
      <c r="I348" s="144"/>
      <c r="J348" s="197">
        <v>0.40860823548414749</v>
      </c>
      <c r="K348" s="197">
        <v>0.21334299310078497</v>
      </c>
      <c r="L348" s="197">
        <v>4.2544393232468676E-2</v>
      </c>
      <c r="M348" s="197">
        <v>0.24193532529875444</v>
      </c>
      <c r="N348" s="197">
        <v>3.149588237734198E-2</v>
      </c>
      <c r="O348" s="197">
        <v>3.149588237734198E-2</v>
      </c>
      <c r="P348" s="197">
        <v>3.0577288129160368E-2</v>
      </c>
      <c r="Q348" s="196"/>
    </row>
    <row r="349" spans="1:17" x14ac:dyDescent="0.35">
      <c r="A349" s="59" t="s">
        <v>1533</v>
      </c>
      <c r="B349" s="232">
        <v>2.3030249279641035</v>
      </c>
      <c r="C349" s="145">
        <v>1.1715660018743372</v>
      </c>
      <c r="D349" s="145">
        <v>0.29939199612208728</v>
      </c>
      <c r="E349" s="145">
        <v>1.9640154288195983</v>
      </c>
      <c r="F349" s="145">
        <v>0.16801835861258274</v>
      </c>
      <c r="G349" s="145">
        <v>0.16801835861258274</v>
      </c>
      <c r="H349" s="145">
        <v>0.21636126813753731</v>
      </c>
      <c r="I349" s="144"/>
      <c r="J349" s="197">
        <v>0.36611761857787972</v>
      </c>
      <c r="K349" s="197">
        <v>0.18624677023892194</v>
      </c>
      <c r="L349" s="197">
        <v>4.7595092571748703E-2</v>
      </c>
      <c r="M349" s="197">
        <v>0.31222443270959349</v>
      </c>
      <c r="N349" s="197">
        <v>2.6710297654911789E-2</v>
      </c>
      <c r="O349" s="197">
        <v>2.6710297654911789E-2</v>
      </c>
      <c r="P349" s="197">
        <v>3.4395490592032327E-2</v>
      </c>
      <c r="Q349" s="196"/>
    </row>
    <row r="350" spans="1:17" x14ac:dyDescent="0.35">
      <c r="A350" s="59" t="s">
        <v>1532</v>
      </c>
      <c r="B350" s="49">
        <v>2395.3020350744405</v>
      </c>
      <c r="C350" s="48">
        <v>1797.4474668202756</v>
      </c>
      <c r="D350" s="48">
        <v>1134.3863851853805</v>
      </c>
      <c r="E350" s="48">
        <v>1801.6500598612852</v>
      </c>
      <c r="F350" s="48">
        <v>433.05467612702881</v>
      </c>
      <c r="G350" s="48">
        <v>433.05467612702881</v>
      </c>
      <c r="H350" s="48">
        <v>243.97795221612319</v>
      </c>
      <c r="I350" s="47"/>
      <c r="J350" s="197">
        <v>0.29073174959501347</v>
      </c>
      <c r="K350" s="197">
        <v>0.21816666089775322</v>
      </c>
      <c r="L350" s="197">
        <v>0.13768707814397152</v>
      </c>
      <c r="M350" s="197">
        <v>0.21867675407588161</v>
      </c>
      <c r="N350" s="197">
        <v>5.2562366589731645E-2</v>
      </c>
      <c r="O350" s="197">
        <v>5.2562366589731645E-2</v>
      </c>
      <c r="P350" s="197">
        <v>2.961302410791701E-2</v>
      </c>
      <c r="Q350" s="196"/>
    </row>
    <row r="351" spans="1:17" ht="13.15" x14ac:dyDescent="0.4">
      <c r="A351" s="128" t="s">
        <v>2225</v>
      </c>
      <c r="B351" s="232"/>
      <c r="C351" s="145"/>
      <c r="D351" s="145"/>
      <c r="E351" s="145"/>
      <c r="F351" s="145"/>
      <c r="G351" s="145"/>
      <c r="H351" s="145"/>
      <c r="I351" s="144"/>
      <c r="J351" s="197"/>
      <c r="K351" s="197"/>
      <c r="L351" s="197"/>
      <c r="M351" s="197"/>
      <c r="N351" s="197"/>
      <c r="O351" s="197"/>
      <c r="P351" s="197"/>
      <c r="Q351" s="196"/>
    </row>
    <row r="352" spans="1:17" x14ac:dyDescent="0.35">
      <c r="A352" s="59" t="s">
        <v>1525</v>
      </c>
      <c r="B352" s="232">
        <v>1219.8391577952491</v>
      </c>
      <c r="C352" s="145">
        <v>787.88737111573528</v>
      </c>
      <c r="D352" s="145">
        <v>139.15021614896898</v>
      </c>
      <c r="E352" s="145">
        <v>1581.5225960917128</v>
      </c>
      <c r="F352" s="145">
        <v>61.411637998498897</v>
      </c>
      <c r="G352" s="145">
        <v>61.411637998498897</v>
      </c>
      <c r="H352" s="145">
        <v>24.634041136333181</v>
      </c>
      <c r="I352" s="144"/>
      <c r="J352" s="197">
        <v>0.31472762419831285</v>
      </c>
      <c r="K352" s="197">
        <v>0.20328083326599664</v>
      </c>
      <c r="L352" s="197">
        <v>3.5901796278126723E-2</v>
      </c>
      <c r="M352" s="197">
        <v>0.4080446558081719</v>
      </c>
      <c r="N352" s="197">
        <v>1.5844661816175769E-2</v>
      </c>
      <c r="O352" s="197">
        <v>1.5844661816175769E-2</v>
      </c>
      <c r="P352" s="197">
        <v>6.3557668170404792E-3</v>
      </c>
      <c r="Q352" s="196"/>
    </row>
    <row r="353" spans="1:17" x14ac:dyDescent="0.35">
      <c r="A353" s="59" t="s">
        <v>1524</v>
      </c>
      <c r="B353" s="232">
        <v>8467.9695050173505</v>
      </c>
      <c r="C353" s="145">
        <v>3920.6443258407089</v>
      </c>
      <c r="D353" s="145">
        <v>909.85513943291312</v>
      </c>
      <c r="E353" s="145">
        <v>7105.4089265404828</v>
      </c>
      <c r="F353" s="145">
        <v>402.68626403400657</v>
      </c>
      <c r="G353" s="145">
        <v>402.68626403400657</v>
      </c>
      <c r="H353" s="145">
        <v>98.176076227008835</v>
      </c>
      <c r="I353" s="144"/>
      <c r="J353" s="197">
        <v>0.39741868895193261</v>
      </c>
      <c r="K353" s="197">
        <v>0.18400365363848292</v>
      </c>
      <c r="L353" s="197">
        <v>4.2701315402158539E-2</v>
      </c>
      <c r="M353" s="197">
        <v>0.33347100487075876</v>
      </c>
      <c r="N353" s="197">
        <v>1.8898869087391544E-2</v>
      </c>
      <c r="O353" s="197">
        <v>1.8898869087391544E-2</v>
      </c>
      <c r="P353" s="197">
        <v>4.6075989618839458E-3</v>
      </c>
      <c r="Q353" s="196"/>
    </row>
    <row r="354" spans="1:17" x14ac:dyDescent="0.35">
      <c r="A354" s="59" t="s">
        <v>1523</v>
      </c>
      <c r="B354" s="232">
        <v>1722.5391321537279</v>
      </c>
      <c r="C354" s="145">
        <v>978.37474142954909</v>
      </c>
      <c r="D354" s="145">
        <v>278.79670289272946</v>
      </c>
      <c r="E354" s="145">
        <v>1440.0841183708415</v>
      </c>
      <c r="F354" s="145">
        <v>182.47266274583922</v>
      </c>
      <c r="G354" s="145">
        <v>182.47266274583922</v>
      </c>
      <c r="H354" s="145">
        <v>90.377955744770361</v>
      </c>
      <c r="I354" s="144"/>
      <c r="J354" s="197">
        <v>0.35333280970927966</v>
      </c>
      <c r="K354" s="197">
        <v>0.20068739797258858</v>
      </c>
      <c r="L354" s="197">
        <v>5.7187683305403136E-2</v>
      </c>
      <c r="M354" s="197">
        <v>0.29539472181713539</v>
      </c>
      <c r="N354" s="197">
        <v>3.7429383994608274E-2</v>
      </c>
      <c r="O354" s="197">
        <v>3.7429383994608274E-2</v>
      </c>
      <c r="P354" s="197">
        <v>1.8538619206376752E-2</v>
      </c>
      <c r="Q354" s="196"/>
    </row>
    <row r="355" spans="1:17" x14ac:dyDescent="0.35">
      <c r="A355" s="59" t="s">
        <v>1522</v>
      </c>
      <c r="B355" s="232">
        <v>773.43314046402884</v>
      </c>
      <c r="C355" s="145">
        <v>499.78768118909164</v>
      </c>
      <c r="D355" s="145">
        <v>140.40987518913468</v>
      </c>
      <c r="E355" s="145">
        <v>666.87335839756201</v>
      </c>
      <c r="F355" s="145">
        <v>63.24818360868688</v>
      </c>
      <c r="G355" s="145">
        <v>63.24818360868688</v>
      </c>
      <c r="H355" s="145">
        <v>31.650264176346333</v>
      </c>
      <c r="I355" s="144"/>
      <c r="J355" s="197">
        <v>0.34549076596988448</v>
      </c>
      <c r="K355" s="197">
        <v>0.22325398248740078</v>
      </c>
      <c r="L355" s="197">
        <v>6.2720761227952782E-2</v>
      </c>
      <c r="M355" s="197">
        <v>0.29789076177864976</v>
      </c>
      <c r="N355" s="197">
        <v>2.825281495962146E-2</v>
      </c>
      <c r="O355" s="197">
        <v>2.825281495962146E-2</v>
      </c>
      <c r="P355" s="197">
        <v>1.4138098616868943E-2</v>
      </c>
      <c r="Q355" s="196"/>
    </row>
    <row r="356" spans="1:17" x14ac:dyDescent="0.35">
      <c r="A356" s="59" t="s">
        <v>1521</v>
      </c>
      <c r="B356" s="232">
        <v>344.20147066135462</v>
      </c>
      <c r="C356" s="145">
        <v>231.69593617629323</v>
      </c>
      <c r="D356" s="145">
        <v>68.698308634310649</v>
      </c>
      <c r="E356" s="145">
        <v>319.96810957951232</v>
      </c>
      <c r="F356" s="145">
        <v>31.508186382717771</v>
      </c>
      <c r="G356" s="145">
        <v>31.508186382717771</v>
      </c>
      <c r="H356" s="145">
        <v>14.159291703764376</v>
      </c>
      <c r="I356" s="144"/>
      <c r="J356" s="197">
        <v>0.33041031286980382</v>
      </c>
      <c r="K356" s="197">
        <v>0.22241254988125872</v>
      </c>
      <c r="L356" s="197">
        <v>6.5945766024402483E-2</v>
      </c>
      <c r="M356" s="197">
        <v>0.30714791250424539</v>
      </c>
      <c r="N356" s="197">
        <v>3.0245744449234072E-2</v>
      </c>
      <c r="O356" s="197">
        <v>3.0245744449234072E-2</v>
      </c>
      <c r="P356" s="197">
        <v>1.3591969821821193E-2</v>
      </c>
      <c r="Q356" s="196"/>
    </row>
    <row r="357" spans="1:17" x14ac:dyDescent="0.35">
      <c r="A357" s="59" t="s">
        <v>1520</v>
      </c>
      <c r="B357" s="232">
        <v>7575.9309505875062</v>
      </c>
      <c r="C357" s="145">
        <v>4592.9308449651407</v>
      </c>
      <c r="D357" s="145">
        <v>2835.7293773598649</v>
      </c>
      <c r="E357" s="145">
        <v>5581.5362477537983</v>
      </c>
      <c r="F357" s="145">
        <v>2351.2749532414682</v>
      </c>
      <c r="G357" s="145">
        <v>2351.2749532414682</v>
      </c>
      <c r="H357" s="145">
        <v>577.54052248938365</v>
      </c>
      <c r="I357" s="144"/>
      <c r="J357" s="197">
        <v>0.29288901047020865</v>
      </c>
      <c r="K357" s="197">
        <v>0.17756484042870255</v>
      </c>
      <c r="L357" s="197">
        <v>0.10963061526211812</v>
      </c>
      <c r="M357" s="197">
        <v>0.21578478462523953</v>
      </c>
      <c r="N357" s="197">
        <v>9.0901382139032635E-2</v>
      </c>
      <c r="O357" s="197">
        <v>9.0901382139032635E-2</v>
      </c>
      <c r="P357" s="197">
        <v>2.2327984935665898E-2</v>
      </c>
      <c r="Q357" s="196"/>
    </row>
    <row r="358" spans="1:17" x14ac:dyDescent="0.35">
      <c r="A358" s="59" t="s">
        <v>1519</v>
      </c>
      <c r="B358" s="232">
        <v>10.577377185239085</v>
      </c>
      <c r="C358" s="145">
        <v>6.288679043473298</v>
      </c>
      <c r="D358" s="145">
        <v>2.4402614956858</v>
      </c>
      <c r="E358" s="145">
        <v>8.7686597649624609</v>
      </c>
      <c r="F358" s="145">
        <v>1.8846375908907202</v>
      </c>
      <c r="G358" s="145">
        <v>1.8846375908907202</v>
      </c>
      <c r="H358" s="145">
        <v>0.80195845361786289</v>
      </c>
      <c r="I358" s="144"/>
      <c r="J358" s="197">
        <v>0.32400014644323782</v>
      </c>
      <c r="K358" s="197">
        <v>0.19263120671004172</v>
      </c>
      <c r="L358" s="197">
        <v>7.4748689407176758E-2</v>
      </c>
      <c r="M358" s="197">
        <v>0.26859655264288917</v>
      </c>
      <c r="N358" s="197">
        <v>5.7729136887843924E-2</v>
      </c>
      <c r="O358" s="197">
        <v>5.7729136887843924E-2</v>
      </c>
      <c r="P358" s="197">
        <v>2.4565131020966517E-2</v>
      </c>
      <c r="Q358" s="196"/>
    </row>
    <row r="359" spans="1:17" x14ac:dyDescent="0.35">
      <c r="A359" s="59" t="s">
        <v>1518</v>
      </c>
      <c r="B359" s="232">
        <v>18.641953056064153</v>
      </c>
      <c r="C359" s="145">
        <v>11.226729097708469</v>
      </c>
      <c r="D359" s="145">
        <v>3.0033312781593637</v>
      </c>
      <c r="E359" s="145">
        <v>16.007763987305889</v>
      </c>
      <c r="F359" s="145">
        <v>2.0289591935503783</v>
      </c>
      <c r="G359" s="145">
        <v>2.0289591935503783</v>
      </c>
      <c r="H359" s="145">
        <v>1.1622439687588115</v>
      </c>
      <c r="I359" s="144"/>
      <c r="J359" s="197">
        <v>0.34458361938223753</v>
      </c>
      <c r="K359" s="197">
        <v>0.20751832893677646</v>
      </c>
      <c r="L359" s="197">
        <v>5.5514503170330999E-2</v>
      </c>
      <c r="M359" s="197">
        <v>0.29589245485027998</v>
      </c>
      <c r="N359" s="197">
        <v>3.7503908543800653E-2</v>
      </c>
      <c r="O359" s="197">
        <v>3.7503908543800653E-2</v>
      </c>
      <c r="P359" s="197">
        <v>2.1483276572773557E-2</v>
      </c>
      <c r="Q359" s="196"/>
    </row>
    <row r="360" spans="1:17" x14ac:dyDescent="0.35">
      <c r="A360" s="59" t="s">
        <v>1531</v>
      </c>
      <c r="B360" s="232">
        <v>4379.4469219308594</v>
      </c>
      <c r="C360" s="145">
        <v>2299.362397709765</v>
      </c>
      <c r="D360" s="145">
        <v>441.980725522125</v>
      </c>
      <c r="E360" s="145">
        <v>2575.4220000723099</v>
      </c>
      <c r="F360" s="145">
        <v>266.13825657816466</v>
      </c>
      <c r="G360" s="145">
        <v>266.13825657816466</v>
      </c>
      <c r="H360" s="145">
        <v>250.64381704203555</v>
      </c>
      <c r="I360" s="144"/>
      <c r="J360" s="197">
        <v>0.4179207557486096</v>
      </c>
      <c r="K360" s="197">
        <v>0.21942297466345936</v>
      </c>
      <c r="L360" s="197">
        <v>4.2177225144924689E-2</v>
      </c>
      <c r="M360" s="197">
        <v>0.24576672073634231</v>
      </c>
      <c r="N360" s="197">
        <v>2.5396974390941119E-2</v>
      </c>
      <c r="O360" s="197">
        <v>2.5396974390941119E-2</v>
      </c>
      <c r="P360" s="197">
        <v>2.3918374924781761E-2</v>
      </c>
      <c r="Q360" s="196"/>
    </row>
    <row r="361" spans="1:17" x14ac:dyDescent="0.35">
      <c r="A361" s="59" t="s">
        <v>1530</v>
      </c>
      <c r="B361" s="232">
        <v>40.015398871463312</v>
      </c>
      <c r="C361" s="145">
        <v>17.996526879431418</v>
      </c>
      <c r="D361" s="145">
        <v>3.4059359888763736</v>
      </c>
      <c r="E361" s="145">
        <v>19.798148855364438</v>
      </c>
      <c r="F361" s="145">
        <v>2.212983322838094</v>
      </c>
      <c r="G361" s="145">
        <v>2.212983322838094</v>
      </c>
      <c r="H361" s="145">
        <v>2.661002911862357</v>
      </c>
      <c r="I361" s="144"/>
      <c r="J361" s="197">
        <v>0.45316023085831858</v>
      </c>
      <c r="K361" s="197">
        <v>0.20380429797857086</v>
      </c>
      <c r="L361" s="197">
        <v>3.8571019720824579E-2</v>
      </c>
      <c r="M361" s="197">
        <v>0.22420702926598668</v>
      </c>
      <c r="N361" s="197">
        <v>2.5061252961246498E-2</v>
      </c>
      <c r="O361" s="197">
        <v>2.5061252961246498E-2</v>
      </c>
      <c r="P361" s="197">
        <v>3.0134916253806342E-2</v>
      </c>
      <c r="Q361" s="196"/>
    </row>
    <row r="362" spans="1:17" x14ac:dyDescent="0.35">
      <c r="A362" s="59" t="s">
        <v>1529</v>
      </c>
      <c r="B362" s="49">
        <v>1484688.2639207954</v>
      </c>
      <c r="C362" s="48">
        <v>831587.01299416332</v>
      </c>
      <c r="D362" s="48">
        <v>246875.87701139849</v>
      </c>
      <c r="E362" s="48">
        <v>1303444.0038614734</v>
      </c>
      <c r="F362" s="48">
        <v>134208.14487588152</v>
      </c>
      <c r="G362" s="48">
        <v>134208.14487588152</v>
      </c>
      <c r="H362" s="48">
        <v>69092.729141973905</v>
      </c>
      <c r="I362" s="47"/>
      <c r="J362" s="197">
        <v>0.35315211077683301</v>
      </c>
      <c r="K362" s="197">
        <v>0.19780361714313208</v>
      </c>
      <c r="L362" s="197">
        <v>5.8722587889405112E-2</v>
      </c>
      <c r="M362" s="197">
        <v>0.31004084320534675</v>
      </c>
      <c r="N362" s="197">
        <v>3.1923125411658149E-2</v>
      </c>
      <c r="O362" s="197">
        <v>3.1923125411658149E-2</v>
      </c>
      <c r="P362" s="197">
        <v>1.6434590161966675E-2</v>
      </c>
      <c r="Q362" s="196"/>
    </row>
    <row r="363" spans="1:17" x14ac:dyDescent="0.35">
      <c r="A363" s="59" t="s">
        <v>1528</v>
      </c>
      <c r="B363" s="49">
        <v>1501796.9051847609</v>
      </c>
      <c r="C363" s="48">
        <v>840203.6078128427</v>
      </c>
      <c r="D363" s="48">
        <v>248739.33421369543</v>
      </c>
      <c r="E363" s="48">
        <v>1319538.7252181421</v>
      </c>
      <c r="F363" s="48">
        <v>135032.33718160173</v>
      </c>
      <c r="G363" s="48">
        <v>135032.33718160173</v>
      </c>
      <c r="H363" s="48">
        <v>69323.781928062686</v>
      </c>
      <c r="I363" s="47"/>
      <c r="J363" s="197">
        <v>0.35339166457868398</v>
      </c>
      <c r="K363" s="197">
        <v>0.19771045640386847</v>
      </c>
      <c r="L363" s="197">
        <v>5.8531487886610806E-2</v>
      </c>
      <c r="M363" s="197">
        <v>0.3105040268567506</v>
      </c>
      <c r="N363" s="197">
        <v>3.1774804065590759E-2</v>
      </c>
      <c r="O363" s="197">
        <v>3.1774804065590759E-2</v>
      </c>
      <c r="P363" s="197">
        <v>1.6312756142904557E-2</v>
      </c>
      <c r="Q363" s="196"/>
    </row>
    <row r="364" spans="1:17" x14ac:dyDescent="0.35">
      <c r="A364" s="59" t="s">
        <v>1527</v>
      </c>
      <c r="B364" s="49">
        <v>1651218.7448185729</v>
      </c>
      <c r="C364" s="48">
        <v>921796.24244886066</v>
      </c>
      <c r="D364" s="48">
        <v>271392.89379503293</v>
      </c>
      <c r="E364" s="48">
        <v>1402644.8778057648</v>
      </c>
      <c r="F364" s="48">
        <v>146415.17962672343</v>
      </c>
      <c r="G364" s="48">
        <v>146415.17962672343</v>
      </c>
      <c r="H364" s="48">
        <v>79572.250828476288</v>
      </c>
      <c r="I364" s="47"/>
      <c r="J364" s="197">
        <v>0.35744879275537594</v>
      </c>
      <c r="K364" s="197">
        <v>0.19954651984403812</v>
      </c>
      <c r="L364" s="197">
        <v>5.8749976375832215E-2</v>
      </c>
      <c r="M364" s="197">
        <v>0.30363858199252136</v>
      </c>
      <c r="N364" s="197">
        <v>3.1695333742340841E-2</v>
      </c>
      <c r="O364" s="197">
        <v>3.1695333742340841E-2</v>
      </c>
      <c r="P364" s="197">
        <v>1.722546154755043E-2</v>
      </c>
      <c r="Q364" s="196"/>
    </row>
    <row r="365" spans="1:17" ht="13.15" x14ac:dyDescent="0.4">
      <c r="A365" s="128" t="s">
        <v>2224</v>
      </c>
      <c r="B365" s="232"/>
      <c r="C365" s="145"/>
      <c r="D365" s="145"/>
      <c r="E365" s="145"/>
      <c r="F365" s="145"/>
      <c r="G365" s="145"/>
      <c r="H365" s="145"/>
      <c r="I365" s="144"/>
      <c r="J365" s="197"/>
      <c r="K365" s="197"/>
      <c r="L365" s="197"/>
      <c r="M365" s="197"/>
      <c r="N365" s="197"/>
      <c r="O365" s="197"/>
      <c r="P365" s="197"/>
      <c r="Q365" s="196"/>
    </row>
    <row r="366" spans="1:17" x14ac:dyDescent="0.35">
      <c r="A366" s="59" t="s">
        <v>1525</v>
      </c>
      <c r="B366" s="232">
        <v>10.140320842030851</v>
      </c>
      <c r="C366" s="145">
        <v>5.8610955972961838</v>
      </c>
      <c r="D366" s="145">
        <v>1.5852830120493999</v>
      </c>
      <c r="E366" s="145">
        <v>8.1194682607241671</v>
      </c>
      <c r="F366" s="145">
        <v>0.98302757590007295</v>
      </c>
      <c r="G366" s="145">
        <v>0.98302757590007295</v>
      </c>
      <c r="H366" s="145">
        <v>0.76335913852208048</v>
      </c>
      <c r="I366" s="144"/>
      <c r="J366" s="197">
        <v>0.3566067626527516</v>
      </c>
      <c r="K366" s="197">
        <v>0.20611836243748394</v>
      </c>
      <c r="L366" s="197">
        <v>5.5749975925033904E-2</v>
      </c>
      <c r="M366" s="197">
        <v>0.28553902149892185</v>
      </c>
      <c r="N366" s="197">
        <v>3.4570334302154074E-2</v>
      </c>
      <c r="O366" s="197">
        <v>3.4570334302154074E-2</v>
      </c>
      <c r="P366" s="197">
        <v>2.6845208881500621E-2</v>
      </c>
      <c r="Q366" s="196"/>
    </row>
    <row r="367" spans="1:17" x14ac:dyDescent="0.35">
      <c r="A367" s="59" t="s">
        <v>1524</v>
      </c>
      <c r="B367" s="232">
        <v>51.802451892245131</v>
      </c>
      <c r="C367" s="145">
        <v>27.711437158258203</v>
      </c>
      <c r="D367" s="145">
        <v>7.5561833318677882</v>
      </c>
      <c r="E367" s="145">
        <v>37.061977610751896</v>
      </c>
      <c r="F367" s="145">
        <v>4.6292425728025384</v>
      </c>
      <c r="G367" s="145">
        <v>4.6292425728025384</v>
      </c>
      <c r="H367" s="145">
        <v>3.0170263295425821</v>
      </c>
      <c r="I367" s="144"/>
      <c r="J367" s="197">
        <v>0.37976231914603004</v>
      </c>
      <c r="K367" s="197">
        <v>0.20315176710129862</v>
      </c>
      <c r="L367" s="197">
        <v>5.5394167673215144E-2</v>
      </c>
      <c r="M367" s="197">
        <v>0.27170031640344772</v>
      </c>
      <c r="N367" s="197">
        <v>3.3936847217075503E-2</v>
      </c>
      <c r="O367" s="197">
        <v>3.3936847217075503E-2</v>
      </c>
      <c r="P367" s="197">
        <v>2.2117735241857266E-2</v>
      </c>
      <c r="Q367" s="196"/>
    </row>
    <row r="368" spans="1:17" x14ac:dyDescent="0.35">
      <c r="A368" s="59" t="s">
        <v>1523</v>
      </c>
      <c r="B368" s="232">
        <v>111.8860441196706</v>
      </c>
      <c r="C368" s="145">
        <v>61.609716411503911</v>
      </c>
      <c r="D368" s="145">
        <v>19.466523162536827</v>
      </c>
      <c r="E368" s="145">
        <v>84.446497395021254</v>
      </c>
      <c r="F368" s="145">
        <v>10.855206920529284</v>
      </c>
      <c r="G368" s="145">
        <v>10.855206920529284</v>
      </c>
      <c r="H368" s="145">
        <v>5.8786845796616678</v>
      </c>
      <c r="I368" s="144"/>
      <c r="J368" s="197">
        <v>0.3668420393598274</v>
      </c>
      <c r="K368" s="197">
        <v>0.20200047459541248</v>
      </c>
      <c r="L368" s="197">
        <v>6.382510984616041E-2</v>
      </c>
      <c r="M368" s="197">
        <v>0.27687568690917402</v>
      </c>
      <c r="N368" s="197">
        <v>3.5591089806881256E-2</v>
      </c>
      <c r="O368" s="197">
        <v>3.5591089806881256E-2</v>
      </c>
      <c r="P368" s="197">
        <v>1.9274509675663069E-2</v>
      </c>
      <c r="Q368" s="196"/>
    </row>
    <row r="369" spans="1:17" x14ac:dyDescent="0.35">
      <c r="A369" s="59" t="s">
        <v>1522</v>
      </c>
      <c r="B369" s="232">
        <v>10.802843185754725</v>
      </c>
      <c r="C369" s="145">
        <v>6.0903044384159433</v>
      </c>
      <c r="D369" s="145">
        <v>2.3000001771774059</v>
      </c>
      <c r="E369" s="145">
        <v>8.8642831385546828</v>
      </c>
      <c r="F369" s="145">
        <v>1.2019517115885878</v>
      </c>
      <c r="G369" s="145">
        <v>1.2019517115885878</v>
      </c>
      <c r="H369" s="145">
        <v>0.52147273640580316</v>
      </c>
      <c r="I369" s="144"/>
      <c r="J369" s="197">
        <v>0.34867218941998435</v>
      </c>
      <c r="K369" s="197">
        <v>0.19657045337628665</v>
      </c>
      <c r="L369" s="197">
        <v>7.4234725400836338E-2</v>
      </c>
      <c r="M369" s="197">
        <v>0.28610329303253534</v>
      </c>
      <c r="N369" s="197">
        <v>3.879415147017258E-2</v>
      </c>
      <c r="O369" s="197">
        <v>3.879415147017258E-2</v>
      </c>
      <c r="P369" s="197">
        <v>1.6831035830012279E-2</v>
      </c>
      <c r="Q369" s="196"/>
    </row>
    <row r="370" spans="1:17" x14ac:dyDescent="0.35">
      <c r="A370" s="59" t="s">
        <v>1521</v>
      </c>
      <c r="B370" s="232">
        <v>8.0101388655487415</v>
      </c>
      <c r="C370" s="145">
        <v>4.5102276592254684</v>
      </c>
      <c r="D370" s="145">
        <v>1.6794962985969082</v>
      </c>
      <c r="E370" s="145">
        <v>6.6117249853655089</v>
      </c>
      <c r="F370" s="145">
        <v>0.87595556063334701</v>
      </c>
      <c r="G370" s="145">
        <v>0.87595556063334701</v>
      </c>
      <c r="H370" s="145">
        <v>0.38387674391449816</v>
      </c>
      <c r="I370" s="144"/>
      <c r="J370" s="197">
        <v>0.34906557418036832</v>
      </c>
      <c r="K370" s="197">
        <v>0.19654655605572496</v>
      </c>
      <c r="L370" s="197">
        <v>7.3189035751301076E-2</v>
      </c>
      <c r="M370" s="197">
        <v>0.2881255390297397</v>
      </c>
      <c r="N370" s="197">
        <v>3.8172363283744265E-2</v>
      </c>
      <c r="O370" s="197">
        <v>3.8172363283744265E-2</v>
      </c>
      <c r="P370" s="197">
        <v>1.672856841537726E-2</v>
      </c>
      <c r="Q370" s="196"/>
    </row>
    <row r="371" spans="1:17" x14ac:dyDescent="0.35">
      <c r="A371" s="59" t="s">
        <v>1520</v>
      </c>
      <c r="B371" s="232">
        <v>348.97439419998631</v>
      </c>
      <c r="C371" s="145">
        <v>193.89567218062561</v>
      </c>
      <c r="D371" s="145">
        <v>74.868572401196985</v>
      </c>
      <c r="E371" s="145">
        <v>272.74785039352446</v>
      </c>
      <c r="F371" s="145">
        <v>38.26221315752646</v>
      </c>
      <c r="G371" s="145">
        <v>38.26221315752646</v>
      </c>
      <c r="H371" s="145">
        <v>16.331940468252888</v>
      </c>
      <c r="I371" s="144"/>
      <c r="J371" s="197">
        <v>0.35488577771765972</v>
      </c>
      <c r="K371" s="197">
        <v>0.19718013000826756</v>
      </c>
      <c r="L371" s="197">
        <v>7.6136793944782635E-2</v>
      </c>
      <c r="M371" s="197">
        <v>0.27736800927650873</v>
      </c>
      <c r="N371" s="197">
        <v>3.8910348436126556E-2</v>
      </c>
      <c r="O371" s="197">
        <v>3.8910348436126556E-2</v>
      </c>
      <c r="P371" s="197">
        <v>1.6608592180528164E-2</v>
      </c>
      <c r="Q371" s="196"/>
    </row>
    <row r="372" spans="1:17" x14ac:dyDescent="0.35">
      <c r="A372" s="59" t="s">
        <v>1519</v>
      </c>
      <c r="B372" s="232">
        <v>0.50179879362692859</v>
      </c>
      <c r="C372" s="145">
        <v>0.28599946203570803</v>
      </c>
      <c r="D372" s="145">
        <v>0.10241784372198436</v>
      </c>
      <c r="E372" s="145">
        <v>0.43149353801831491</v>
      </c>
      <c r="F372" s="145">
        <v>5.4956837632355392E-2</v>
      </c>
      <c r="G372" s="145">
        <v>5.4956837632355392E-2</v>
      </c>
      <c r="H372" s="145">
        <v>2.563641402815181E-2</v>
      </c>
      <c r="I372" s="144"/>
      <c r="J372" s="197">
        <v>0.34434410313713315</v>
      </c>
      <c r="K372" s="197">
        <v>0.19625839978723991</v>
      </c>
      <c r="L372" s="197">
        <v>7.0281118626812883E-2</v>
      </c>
      <c r="M372" s="197">
        <v>0.29609926776518175</v>
      </c>
      <c r="N372" s="197">
        <v>3.7712452094565821E-2</v>
      </c>
      <c r="O372" s="197">
        <v>3.7712452094565821E-2</v>
      </c>
      <c r="P372" s="197">
        <v>1.7592206494500471E-2</v>
      </c>
      <c r="Q372" s="196"/>
    </row>
    <row r="373" spans="1:17" x14ac:dyDescent="0.35">
      <c r="A373" s="57" t="s">
        <v>1518</v>
      </c>
      <c r="B373" s="231">
        <v>1.3253158462255403</v>
      </c>
      <c r="C373" s="142">
        <v>0.74424798055143415</v>
      </c>
      <c r="D373" s="142">
        <v>0.24767717894072272</v>
      </c>
      <c r="E373" s="142">
        <v>1.1032184981837108</v>
      </c>
      <c r="F373" s="142">
        <v>0.13233406398884082</v>
      </c>
      <c r="G373" s="142">
        <v>0.13233406398884082</v>
      </c>
      <c r="H373" s="142">
        <v>5.712496530766463E-2</v>
      </c>
      <c r="I373" s="141"/>
      <c r="J373" s="194">
        <v>0.35414922210805577</v>
      </c>
      <c r="K373" s="194">
        <v>0.19887700288081145</v>
      </c>
      <c r="L373" s="194">
        <v>6.6183982109308856E-2</v>
      </c>
      <c r="M373" s="194">
        <v>0.29480065001840267</v>
      </c>
      <c r="N373" s="194">
        <v>3.5362140997195972E-2</v>
      </c>
      <c r="O373" s="194">
        <v>3.5362140997195972E-2</v>
      </c>
      <c r="P373" s="194">
        <v>1.5264860889029362E-2</v>
      </c>
      <c r="Q373" s="193"/>
    </row>
    <row r="375" spans="1:17" ht="13.15" x14ac:dyDescent="0.4">
      <c r="A375" s="41" t="s">
        <v>2234</v>
      </c>
    </row>
    <row r="376" spans="1:17" ht="13.15" x14ac:dyDescent="0.4">
      <c r="A376" s="131"/>
      <c r="B376" s="2193" t="s">
        <v>2229</v>
      </c>
      <c r="C376" s="2194"/>
      <c r="D376" s="2194"/>
      <c r="E376" s="2194"/>
      <c r="F376" s="2194"/>
      <c r="G376" s="2194"/>
      <c r="H376" s="2194"/>
      <c r="I376" s="2195"/>
      <c r="J376" s="2194" t="s">
        <v>2228</v>
      </c>
      <c r="K376" s="2194"/>
      <c r="L376" s="2194"/>
      <c r="M376" s="2194"/>
      <c r="N376" s="2194"/>
      <c r="O376" s="2194"/>
      <c r="P376" s="2194"/>
      <c r="Q376" s="2195"/>
    </row>
    <row r="377" spans="1:17" ht="52.5" x14ac:dyDescent="0.4">
      <c r="A377" s="59"/>
      <c r="B377" s="653" t="s">
        <v>405</v>
      </c>
      <c r="C377" s="652" t="s">
        <v>1830</v>
      </c>
      <c r="D377" s="652" t="s">
        <v>1829</v>
      </c>
      <c r="E377" s="652" t="s">
        <v>1503</v>
      </c>
      <c r="F377" s="652" t="s">
        <v>1501</v>
      </c>
      <c r="G377" s="652" t="s">
        <v>1500</v>
      </c>
      <c r="H377" s="180" t="s">
        <v>1499</v>
      </c>
      <c r="I377" s="651" t="s">
        <v>2227</v>
      </c>
      <c r="J377" s="653" t="s">
        <v>405</v>
      </c>
      <c r="K377" s="652" t="s">
        <v>1830</v>
      </c>
      <c r="L377" s="652" t="s">
        <v>1829</v>
      </c>
      <c r="M377" s="652" t="s">
        <v>1503</v>
      </c>
      <c r="N377" s="652" t="s">
        <v>1501</v>
      </c>
      <c r="O377" s="652" t="s">
        <v>1500</v>
      </c>
      <c r="P377" s="180" t="s">
        <v>1499</v>
      </c>
      <c r="Q377" s="651" t="s">
        <v>2227</v>
      </c>
    </row>
    <row r="378" spans="1:17" ht="13.15" x14ac:dyDescent="0.4">
      <c r="A378" s="128" t="s">
        <v>2226</v>
      </c>
      <c r="B378" s="650"/>
      <c r="C378" s="198"/>
      <c r="D378" s="198"/>
      <c r="E378" s="198"/>
      <c r="I378" s="99"/>
      <c r="J378" s="198"/>
      <c r="K378" s="198"/>
      <c r="L378" s="198"/>
      <c r="M378" s="198"/>
      <c r="Q378" s="99"/>
    </row>
    <row r="379" spans="1:17" x14ac:dyDescent="0.35">
      <c r="A379" s="59" t="s">
        <v>1537</v>
      </c>
      <c r="B379" s="232">
        <v>71.490937878606658</v>
      </c>
      <c r="C379" s="145">
        <v>13.372997488697953</v>
      </c>
      <c r="D379" s="145">
        <v>3.5685909653821053</v>
      </c>
      <c r="E379" s="145">
        <v>19.06791122071856</v>
      </c>
      <c r="F379" s="145">
        <v>1.094977247944559</v>
      </c>
      <c r="G379" s="145">
        <v>1.094977247944559</v>
      </c>
      <c r="H379" s="145">
        <v>1.0276163345500653</v>
      </c>
      <c r="I379" s="144"/>
      <c r="J379" s="197">
        <v>0.64570288900751538</v>
      </c>
      <c r="K379" s="197">
        <v>0.12078430314909179</v>
      </c>
      <c r="L379" s="197">
        <v>3.2231350775478916E-2</v>
      </c>
      <c r="M379" s="197">
        <v>0.17222050413526838</v>
      </c>
      <c r="N379" s="197">
        <v>9.8897845429843732E-3</v>
      </c>
      <c r="O379" s="197">
        <v>9.8897845429843732E-3</v>
      </c>
      <c r="P379" s="197">
        <v>9.2813838466770261E-3</v>
      </c>
      <c r="Q379" s="196"/>
    </row>
    <row r="380" spans="1:17" x14ac:dyDescent="0.35">
      <c r="A380" s="59" t="s">
        <v>1536</v>
      </c>
      <c r="B380" s="232">
        <v>67.007446169850141</v>
      </c>
      <c r="C380" s="145">
        <v>11.656819750650532</v>
      </c>
      <c r="D380" s="145">
        <v>2.7551711856960424</v>
      </c>
      <c r="E380" s="145">
        <v>16.773540756369069</v>
      </c>
      <c r="F380" s="145">
        <v>0.90459362405055532</v>
      </c>
      <c r="G380" s="145">
        <v>0.90459362405055532</v>
      </c>
      <c r="H380" s="145">
        <v>0.88498437334785363</v>
      </c>
      <c r="I380" s="144"/>
      <c r="J380" s="197">
        <v>0.66418217297800908</v>
      </c>
      <c r="K380" s="197">
        <v>0.11554315698549417</v>
      </c>
      <c r="L380" s="197">
        <v>2.7309436333440969E-2</v>
      </c>
      <c r="M380" s="197">
        <v>0.16626042902547053</v>
      </c>
      <c r="N380" s="197">
        <v>8.9663909494626503E-3</v>
      </c>
      <c r="O380" s="197">
        <v>8.9663909494626503E-3</v>
      </c>
      <c r="P380" s="197">
        <v>8.7720227786599984E-3</v>
      </c>
      <c r="Q380" s="196"/>
    </row>
    <row r="381" spans="1:17" x14ac:dyDescent="0.35">
      <c r="A381" s="59" t="s">
        <v>1535</v>
      </c>
      <c r="B381" s="232">
        <v>10.488966249727312</v>
      </c>
      <c r="C381" s="145">
        <v>5.4584332393759061</v>
      </c>
      <c r="D381" s="145">
        <v>1.4479769133398572</v>
      </c>
      <c r="E381" s="145">
        <v>5.4102117170744943</v>
      </c>
      <c r="F381" s="145">
        <v>0.38963051112465164</v>
      </c>
      <c r="G381" s="145">
        <v>0.38963051112465164</v>
      </c>
      <c r="H381" s="145">
        <v>0.16107791548616537</v>
      </c>
      <c r="I381" s="144"/>
      <c r="J381" s="197">
        <v>0.44171643517802889</v>
      </c>
      <c r="K381" s="197">
        <v>0.22986818860410271</v>
      </c>
      <c r="L381" s="197">
        <v>6.0977906225715556E-2</v>
      </c>
      <c r="M381" s="197">
        <v>0.22783746046343478</v>
      </c>
      <c r="N381" s="197">
        <v>1.6408309104345608E-2</v>
      </c>
      <c r="O381" s="197">
        <v>1.6408309104345608E-2</v>
      </c>
      <c r="P381" s="197">
        <v>6.7833913200270358E-3</v>
      </c>
      <c r="Q381" s="196"/>
    </row>
    <row r="382" spans="1:17" x14ac:dyDescent="0.35">
      <c r="A382" s="59" t="s">
        <v>1534</v>
      </c>
      <c r="B382" s="232">
        <v>46.111178531025381</v>
      </c>
      <c r="C382" s="145">
        <v>5.0761331918777524</v>
      </c>
      <c r="D382" s="145">
        <v>1.010050785514472</v>
      </c>
      <c r="E382" s="145">
        <v>8.4582381202054897</v>
      </c>
      <c r="F382" s="145">
        <v>0.42106139536285869</v>
      </c>
      <c r="G382" s="145">
        <v>0.42106139536285869</v>
      </c>
      <c r="H382" s="145">
        <v>0.55865379721340425</v>
      </c>
      <c r="I382" s="144"/>
      <c r="J382" s="197">
        <v>0.74305302048342547</v>
      </c>
      <c r="K382" s="197">
        <v>8.1798735594300606E-2</v>
      </c>
      <c r="L382" s="197">
        <v>1.6276341462693376E-2</v>
      </c>
      <c r="M382" s="197">
        <v>0.13629925721716274</v>
      </c>
      <c r="N382" s="197">
        <v>6.7851430304004551E-3</v>
      </c>
      <c r="O382" s="197">
        <v>6.7851430304004551E-3</v>
      </c>
      <c r="P382" s="197">
        <v>9.002359181616959E-3</v>
      </c>
      <c r="Q382" s="196"/>
    </row>
    <row r="383" spans="1:17" x14ac:dyDescent="0.35">
      <c r="A383" s="59" t="s">
        <v>1533</v>
      </c>
      <c r="B383" s="232">
        <v>10.407301389097452</v>
      </c>
      <c r="C383" s="145">
        <v>1.122253319396874</v>
      </c>
      <c r="D383" s="145">
        <v>0.29714348684171349</v>
      </c>
      <c r="E383" s="145">
        <v>2.9050909190890852</v>
      </c>
      <c r="F383" s="145">
        <v>9.3901717563045023E-2</v>
      </c>
      <c r="G383" s="145">
        <v>9.3901717563045023E-2</v>
      </c>
      <c r="H383" s="145">
        <v>0.16525266064828403</v>
      </c>
      <c r="I383" s="144"/>
      <c r="J383" s="197">
        <v>0.68991767857588882</v>
      </c>
      <c r="K383" s="197">
        <v>7.4396077901950991E-2</v>
      </c>
      <c r="L383" s="197">
        <v>1.9698146232273058E-2</v>
      </c>
      <c r="M383" s="197">
        <v>0.19258340928316794</v>
      </c>
      <c r="N383" s="197">
        <v>6.2249042833766787E-3</v>
      </c>
      <c r="O383" s="197">
        <v>6.2249042833766787E-3</v>
      </c>
      <c r="P383" s="197">
        <v>1.0954879439965998E-2</v>
      </c>
      <c r="Q383" s="196"/>
    </row>
    <row r="384" spans="1:17" x14ac:dyDescent="0.35">
      <c r="A384" s="59" t="s">
        <v>1532</v>
      </c>
      <c r="B384" s="49">
        <v>3939.2012281681532</v>
      </c>
      <c r="C384" s="48">
        <v>2394.718439394785</v>
      </c>
      <c r="D384" s="48">
        <v>1125.8668577843243</v>
      </c>
      <c r="E384" s="48">
        <v>3244.4633876833773</v>
      </c>
      <c r="F384" s="48">
        <v>242.0246110176609</v>
      </c>
      <c r="G384" s="48">
        <v>242.0246110176609</v>
      </c>
      <c r="H384" s="48">
        <v>186.3457636863395</v>
      </c>
      <c r="I384" s="47"/>
      <c r="J384" s="197">
        <v>0.34631421580468402</v>
      </c>
      <c r="K384" s="197">
        <v>0.21053127026914609</v>
      </c>
      <c r="L384" s="197">
        <v>9.8980396118372171E-2</v>
      </c>
      <c r="M384" s="197">
        <v>0.28523645498940065</v>
      </c>
      <c r="N384" s="197">
        <v>2.1277553116775438E-2</v>
      </c>
      <c r="O384" s="197">
        <v>2.1277553116775438E-2</v>
      </c>
      <c r="P384" s="197">
        <v>1.6382556584845998E-2</v>
      </c>
      <c r="Q384" s="196"/>
    </row>
    <row r="385" spans="1:17" ht="13.15" x14ac:dyDescent="0.4">
      <c r="A385" s="128" t="s">
        <v>2225</v>
      </c>
      <c r="B385" s="232"/>
      <c r="C385" s="145"/>
      <c r="D385" s="145"/>
      <c r="E385" s="145"/>
      <c r="F385" s="145"/>
      <c r="G385" s="145"/>
      <c r="H385" s="145"/>
      <c r="I385" s="144"/>
      <c r="J385" s="197"/>
      <c r="K385" s="197"/>
      <c r="L385" s="197"/>
      <c r="M385" s="197"/>
      <c r="N385" s="197"/>
      <c r="O385" s="197"/>
      <c r="P385" s="197"/>
      <c r="Q385" s="196"/>
    </row>
    <row r="386" spans="1:17" x14ac:dyDescent="0.35">
      <c r="A386" s="59" t="s">
        <v>1525</v>
      </c>
      <c r="B386" s="232">
        <v>847.39276856130118</v>
      </c>
      <c r="C386" s="145">
        <v>674.10207279212921</v>
      </c>
      <c r="D386" s="145">
        <v>138.10516298646098</v>
      </c>
      <c r="E386" s="145">
        <v>1132.2378514978927</v>
      </c>
      <c r="F386" s="145">
        <v>34.32159636623868</v>
      </c>
      <c r="G386" s="145">
        <v>34.32159636623868</v>
      </c>
      <c r="H386" s="145">
        <v>18.815016547742594</v>
      </c>
      <c r="I386" s="144"/>
      <c r="J386" s="197">
        <v>0.29430553489349903</v>
      </c>
      <c r="K386" s="197">
        <v>0.23412044386776257</v>
      </c>
      <c r="L386" s="197">
        <v>4.7964905262634375E-2</v>
      </c>
      <c r="M386" s="197">
        <v>0.39323425791973554</v>
      </c>
      <c r="N386" s="197">
        <v>1.1920134501636273E-2</v>
      </c>
      <c r="O386" s="197">
        <v>1.1920134501636273E-2</v>
      </c>
      <c r="P386" s="197">
        <v>6.5345890530960349E-3</v>
      </c>
      <c r="Q386" s="196"/>
    </row>
    <row r="387" spans="1:17" x14ac:dyDescent="0.35">
      <c r="A387" s="59" t="s">
        <v>1524</v>
      </c>
      <c r="B387" s="232">
        <v>3980.1904245844062</v>
      </c>
      <c r="C387" s="145">
        <v>4240.3186142691002</v>
      </c>
      <c r="D387" s="145">
        <v>903.02189822636979</v>
      </c>
      <c r="E387" s="145">
        <v>3343.6659298086342</v>
      </c>
      <c r="F387" s="145">
        <v>225.05238203777623</v>
      </c>
      <c r="G387" s="145">
        <v>225.05238203777623</v>
      </c>
      <c r="H387" s="145">
        <v>74.985037517013978</v>
      </c>
      <c r="I387" s="144"/>
      <c r="J387" s="197">
        <v>0.30635026197815018</v>
      </c>
      <c r="K387" s="197">
        <v>0.32637200228624835</v>
      </c>
      <c r="L387" s="197">
        <v>6.9504462245054632E-2</v>
      </c>
      <c r="M387" s="197">
        <v>0.25735777043161107</v>
      </c>
      <c r="N387" s="197">
        <v>1.7321999412447307E-2</v>
      </c>
      <c r="O387" s="197">
        <v>1.7321999412447307E-2</v>
      </c>
      <c r="P387" s="197">
        <v>5.7715042340410767E-3</v>
      </c>
      <c r="Q387" s="196"/>
    </row>
    <row r="388" spans="1:17" x14ac:dyDescent="0.35">
      <c r="A388" s="59" t="s">
        <v>1523</v>
      </c>
      <c r="B388" s="232">
        <v>4994.9552358359751</v>
      </c>
      <c r="C388" s="145">
        <v>956.57756564712827</v>
      </c>
      <c r="D388" s="145">
        <v>276.70286945058132</v>
      </c>
      <c r="E388" s="145">
        <v>1437.93310296342</v>
      </c>
      <c r="F388" s="145">
        <v>101.97990613421796</v>
      </c>
      <c r="G388" s="145">
        <v>101.97990613421796</v>
      </c>
      <c r="H388" s="145">
        <v>69.028979998777359</v>
      </c>
      <c r="I388" s="144"/>
      <c r="J388" s="197">
        <v>0.62915431444815262</v>
      </c>
      <c r="K388" s="197">
        <v>0.12048854776783124</v>
      </c>
      <c r="L388" s="197">
        <v>3.4852925785205956E-2</v>
      </c>
      <c r="M388" s="197">
        <v>0.18111910375626103</v>
      </c>
      <c r="N388" s="197">
        <v>1.2845179766785756E-2</v>
      </c>
      <c r="O388" s="197">
        <v>1.2845179766785756E-2</v>
      </c>
      <c r="P388" s="197">
        <v>8.6947487089776513E-3</v>
      </c>
      <c r="Q388" s="196"/>
    </row>
    <row r="389" spans="1:17" x14ac:dyDescent="0.35">
      <c r="A389" s="59" t="s">
        <v>1522</v>
      </c>
      <c r="B389" s="232">
        <v>1781.6092181199128</v>
      </c>
      <c r="C389" s="145">
        <v>495.99377338360341</v>
      </c>
      <c r="D389" s="145">
        <v>139.35536167004196</v>
      </c>
      <c r="E389" s="145">
        <v>651.25632367765422</v>
      </c>
      <c r="F389" s="145">
        <v>35.348000793728467</v>
      </c>
      <c r="G389" s="145">
        <v>35.348000793728467</v>
      </c>
      <c r="H389" s="145">
        <v>24.173875529503238</v>
      </c>
      <c r="I389" s="144"/>
      <c r="J389" s="197">
        <v>0.56325058268987382</v>
      </c>
      <c r="K389" s="197">
        <v>0.15680699169466278</v>
      </c>
      <c r="L389" s="197">
        <v>4.4056793074095033E-2</v>
      </c>
      <c r="M389" s="197">
        <v>0.20589279627717699</v>
      </c>
      <c r="N389" s="197">
        <v>1.1175167843484763E-2</v>
      </c>
      <c r="O389" s="197">
        <v>1.1175167843484763E-2</v>
      </c>
      <c r="P389" s="197">
        <v>7.6425005772218372E-3</v>
      </c>
      <c r="Q389" s="196"/>
    </row>
    <row r="390" spans="1:17" x14ac:dyDescent="0.35">
      <c r="A390" s="59" t="s">
        <v>1521</v>
      </c>
      <c r="B390" s="232">
        <v>496.62354112805548</v>
      </c>
      <c r="C390" s="145">
        <v>232.22849692695641</v>
      </c>
      <c r="D390" s="145">
        <v>68.182367037638031</v>
      </c>
      <c r="E390" s="145">
        <v>289.54280578154243</v>
      </c>
      <c r="F390" s="145">
        <v>17.609223438825886</v>
      </c>
      <c r="G390" s="145">
        <v>17.609223438825886</v>
      </c>
      <c r="H390" s="145">
        <v>10.814600261331558</v>
      </c>
      <c r="I390" s="144"/>
      <c r="J390" s="197">
        <v>0.43847699384184652</v>
      </c>
      <c r="K390" s="197">
        <v>0.20503831329793137</v>
      </c>
      <c r="L390" s="197">
        <v>6.0199319717661307E-2</v>
      </c>
      <c r="M390" s="197">
        <v>0.25564204785630162</v>
      </c>
      <c r="N390" s="197">
        <v>1.5547469497332626E-2</v>
      </c>
      <c r="O390" s="197">
        <v>1.5547469497332626E-2</v>
      </c>
      <c r="P390" s="197">
        <v>9.5483862915938297E-3</v>
      </c>
      <c r="Q390" s="196"/>
    </row>
    <row r="391" spans="1:17" x14ac:dyDescent="0.35">
      <c r="A391" s="59" t="s">
        <v>1520</v>
      </c>
      <c r="B391" s="232">
        <v>11838.381378463206</v>
      </c>
      <c r="C391" s="145">
        <v>4889.9960904765803</v>
      </c>
      <c r="D391" s="145">
        <v>2814.4323356746818</v>
      </c>
      <c r="E391" s="145">
        <v>5066.4029976825914</v>
      </c>
      <c r="F391" s="145">
        <v>1314.0751903274906</v>
      </c>
      <c r="G391" s="145">
        <v>1314.0751903274906</v>
      </c>
      <c r="H391" s="145">
        <v>441.11457099105678</v>
      </c>
      <c r="I391" s="144"/>
      <c r="J391" s="197">
        <v>0.42771071023863294</v>
      </c>
      <c r="K391" s="197">
        <v>0.17667142441675454</v>
      </c>
      <c r="L391" s="197">
        <v>0.10168306077720388</v>
      </c>
      <c r="M391" s="197">
        <v>0.18304485682782273</v>
      </c>
      <c r="N391" s="197">
        <v>4.7476425618828921E-2</v>
      </c>
      <c r="O391" s="197">
        <v>4.7476425618828921E-2</v>
      </c>
      <c r="P391" s="197">
        <v>1.5937096501927935E-2</v>
      </c>
      <c r="Q391" s="196"/>
    </row>
    <row r="392" spans="1:17" x14ac:dyDescent="0.35">
      <c r="A392" s="59" t="s">
        <v>1519</v>
      </c>
      <c r="B392" s="232">
        <v>38.294404079361414</v>
      </c>
      <c r="C392" s="145">
        <v>6.3711966631852794</v>
      </c>
      <c r="D392" s="145">
        <v>2.4219345173742259</v>
      </c>
      <c r="E392" s="145">
        <v>10.256071489557772</v>
      </c>
      <c r="F392" s="145">
        <v>1.0532819641249895</v>
      </c>
      <c r="G392" s="145">
        <v>1.0532819641249895</v>
      </c>
      <c r="H392" s="145">
        <v>0.61252075905513215</v>
      </c>
      <c r="I392" s="144"/>
      <c r="J392" s="197">
        <v>0.63757389426456879</v>
      </c>
      <c r="K392" s="197">
        <v>0.10607577700528101</v>
      </c>
      <c r="L392" s="197">
        <v>4.0323443046559458E-2</v>
      </c>
      <c r="M392" s="197">
        <v>0.1707561090623507</v>
      </c>
      <c r="N392" s="197">
        <v>1.7536376391550361E-2</v>
      </c>
      <c r="O392" s="197">
        <v>1.7536376391550361E-2</v>
      </c>
      <c r="P392" s="197">
        <v>1.0198023838139395E-2</v>
      </c>
      <c r="Q392" s="196"/>
    </row>
    <row r="393" spans="1:17" x14ac:dyDescent="0.35">
      <c r="A393" s="59" t="s">
        <v>1518</v>
      </c>
      <c r="B393" s="232">
        <v>72.51429599424857</v>
      </c>
      <c r="C393" s="145">
        <v>10.985420764152689</v>
      </c>
      <c r="D393" s="145">
        <v>2.9807755039955666</v>
      </c>
      <c r="E393" s="145">
        <v>17.939353895221288</v>
      </c>
      <c r="F393" s="145">
        <v>1.1339400926955798</v>
      </c>
      <c r="G393" s="145">
        <v>1.1339400926955798</v>
      </c>
      <c r="H393" s="145">
        <v>0.88770004822546533</v>
      </c>
      <c r="I393" s="144"/>
      <c r="J393" s="197">
        <v>0.67407862954245334</v>
      </c>
      <c r="K393" s="197">
        <v>0.10211831021891989</v>
      </c>
      <c r="L393" s="197">
        <v>2.7708702665560067E-2</v>
      </c>
      <c r="M393" s="197">
        <v>0.16676070453096517</v>
      </c>
      <c r="N393" s="197">
        <v>1.0540884017244049E-2</v>
      </c>
      <c r="O393" s="197">
        <v>1.0540884017244049E-2</v>
      </c>
      <c r="P393" s="197">
        <v>8.2518850076135544E-3</v>
      </c>
      <c r="Q393" s="196"/>
    </row>
    <row r="394" spans="1:17" x14ac:dyDescent="0.35">
      <c r="A394" s="59" t="s">
        <v>1531</v>
      </c>
      <c r="B394" s="232">
        <v>12778.431049691364</v>
      </c>
      <c r="C394" s="145">
        <v>2166.8732063868151</v>
      </c>
      <c r="D394" s="145">
        <v>438.66133897888028</v>
      </c>
      <c r="E394" s="145">
        <v>2812.5144549107699</v>
      </c>
      <c r="F394" s="145">
        <v>148.73874264864105</v>
      </c>
      <c r="G394" s="145">
        <v>148.73874264864105</v>
      </c>
      <c r="H394" s="145">
        <v>191.43702566444728</v>
      </c>
      <c r="I394" s="144"/>
      <c r="J394" s="197">
        <v>0.6838726904065795</v>
      </c>
      <c r="K394" s="197">
        <v>0.11596614667787983</v>
      </c>
      <c r="L394" s="197">
        <v>2.3476161423752018E-2</v>
      </c>
      <c r="M394" s="197">
        <v>0.15051940411210954</v>
      </c>
      <c r="N394" s="197">
        <v>7.9601606572251918E-3</v>
      </c>
      <c r="O394" s="197">
        <v>7.9601606572251918E-3</v>
      </c>
      <c r="P394" s="197">
        <v>1.0245276065228761E-2</v>
      </c>
      <c r="Q394" s="196"/>
    </row>
    <row r="395" spans="1:17" x14ac:dyDescent="0.35">
      <c r="A395" s="59" t="s">
        <v>1530</v>
      </c>
      <c r="B395" s="232">
        <v>121.71354615077304</v>
      </c>
      <c r="C395" s="145">
        <v>18.322498962010961</v>
      </c>
      <c r="D395" s="145">
        <v>3.3803565519557393</v>
      </c>
      <c r="E395" s="145">
        <v>24.86357816477404</v>
      </c>
      <c r="F395" s="145">
        <v>1.2367870789169189</v>
      </c>
      <c r="G395" s="145">
        <v>1.2367870789169189</v>
      </c>
      <c r="H395" s="145">
        <v>2.0324238943661195</v>
      </c>
      <c r="I395" s="144"/>
      <c r="J395" s="197">
        <v>0.70441796054825701</v>
      </c>
      <c r="K395" s="197">
        <v>0.10604158500960202</v>
      </c>
      <c r="L395" s="197">
        <v>1.9563836101734323E-2</v>
      </c>
      <c r="M395" s="197">
        <v>0.14389812454454615</v>
      </c>
      <c r="N395" s="197">
        <v>7.1579134723744869E-3</v>
      </c>
      <c r="O395" s="197">
        <v>7.1579134723744869E-3</v>
      </c>
      <c r="P395" s="197">
        <v>1.1762666851111502E-2</v>
      </c>
      <c r="Q395" s="196"/>
    </row>
    <row r="396" spans="1:17" x14ac:dyDescent="0.35">
      <c r="A396" s="59" t="s">
        <v>1529</v>
      </c>
      <c r="B396" s="49">
        <v>4113686.5512649971</v>
      </c>
      <c r="C396" s="48">
        <v>877620.37591547857</v>
      </c>
      <c r="D396" s="48">
        <v>245021.77700955948</v>
      </c>
      <c r="E396" s="48">
        <v>1231860.3446184082</v>
      </c>
      <c r="F396" s="48">
        <v>75005.942319992857</v>
      </c>
      <c r="G396" s="48">
        <v>75005.942319992857</v>
      </c>
      <c r="H396" s="48">
        <v>52771.724904590308</v>
      </c>
      <c r="I396" s="47"/>
      <c r="J396" s="197">
        <v>0.61665468619693231</v>
      </c>
      <c r="K396" s="197">
        <v>0.1315580831854514</v>
      </c>
      <c r="L396" s="197">
        <v>3.6729542985423101E-2</v>
      </c>
      <c r="M396" s="197">
        <v>0.18465978017102819</v>
      </c>
      <c r="N396" s="197">
        <v>1.1243629101983291E-2</v>
      </c>
      <c r="O396" s="197">
        <v>1.1243629101983291E-2</v>
      </c>
      <c r="P396" s="197">
        <v>7.9106492571982736E-3</v>
      </c>
      <c r="Q396" s="196"/>
    </row>
    <row r="397" spans="1:17" x14ac:dyDescent="0.35">
      <c r="A397" s="59" t="s">
        <v>1528</v>
      </c>
      <c r="B397" s="49">
        <v>4122582.1770132645</v>
      </c>
      <c r="C397" s="48">
        <v>886384.68519810366</v>
      </c>
      <c r="D397" s="48">
        <v>246871.23917903251</v>
      </c>
      <c r="E397" s="48">
        <v>1240643.4847643236</v>
      </c>
      <c r="F397" s="48">
        <v>75466.565038536515</v>
      </c>
      <c r="G397" s="48">
        <v>75466.565038536515</v>
      </c>
      <c r="H397" s="48">
        <v>52948.19866988132</v>
      </c>
      <c r="I397" s="47"/>
      <c r="J397" s="197">
        <v>0.61527744532234185</v>
      </c>
      <c r="K397" s="197">
        <v>0.13228905604900515</v>
      </c>
      <c r="L397" s="197">
        <v>3.6844457877048459E-2</v>
      </c>
      <c r="M397" s="197">
        <v>0.18516063988192627</v>
      </c>
      <c r="N397" s="197">
        <v>1.1263056344410549E-2</v>
      </c>
      <c r="O397" s="197">
        <v>1.1263056344410549E-2</v>
      </c>
      <c r="P397" s="197">
        <v>7.9022881808571838E-3</v>
      </c>
      <c r="Q397" s="196"/>
    </row>
    <row r="398" spans="1:17" x14ac:dyDescent="0.35">
      <c r="A398" s="59" t="s">
        <v>1527</v>
      </c>
      <c r="B398" s="49">
        <v>4641554.4162007878</v>
      </c>
      <c r="C398" s="48">
        <v>969130.92544584873</v>
      </c>
      <c r="D398" s="48">
        <v>269354.66482355172</v>
      </c>
      <c r="E398" s="48">
        <v>1352484.1714348337</v>
      </c>
      <c r="F398" s="48">
        <v>81828.182097366735</v>
      </c>
      <c r="G398" s="48">
        <v>81828.182097366735</v>
      </c>
      <c r="H398" s="48">
        <v>60775.786148652973</v>
      </c>
      <c r="I398" s="47"/>
      <c r="J398" s="197">
        <v>0.62244623836908797</v>
      </c>
      <c r="K398" s="197">
        <v>0.12996333661960596</v>
      </c>
      <c r="L398" s="197">
        <v>3.61212608692884E-2</v>
      </c>
      <c r="M398" s="197">
        <v>0.18137214593994058</v>
      </c>
      <c r="N398" s="197">
        <v>1.0973402350149965E-2</v>
      </c>
      <c r="O398" s="197">
        <v>1.0973402350149965E-2</v>
      </c>
      <c r="P398" s="197">
        <v>8.1502135017771822E-3</v>
      </c>
      <c r="Q398" s="196"/>
    </row>
    <row r="399" spans="1:17" ht="13.15" x14ac:dyDescent="0.4">
      <c r="A399" s="128" t="s">
        <v>2224</v>
      </c>
      <c r="B399" s="232"/>
      <c r="C399" s="145"/>
      <c r="D399" s="145"/>
      <c r="E399" s="145"/>
      <c r="F399" s="145"/>
      <c r="G399" s="145"/>
      <c r="H399" s="145"/>
      <c r="I399" s="144"/>
      <c r="J399" s="197"/>
      <c r="K399" s="197"/>
      <c r="L399" s="197"/>
      <c r="M399" s="197"/>
      <c r="N399" s="197"/>
      <c r="O399" s="197"/>
      <c r="P399" s="197"/>
      <c r="Q399" s="196"/>
    </row>
    <row r="400" spans="1:17" x14ac:dyDescent="0.35">
      <c r="A400" s="59" t="s">
        <v>1525</v>
      </c>
      <c r="B400" s="232">
        <v>43.293716071529893</v>
      </c>
      <c r="C400" s="145">
        <v>5.7994205108603643</v>
      </c>
      <c r="D400" s="145">
        <v>1.5733771374409204</v>
      </c>
      <c r="E400" s="145">
        <v>10.64166729001745</v>
      </c>
      <c r="F400" s="145">
        <v>0.5493922125599231</v>
      </c>
      <c r="G400" s="145">
        <v>0.5493922125599231</v>
      </c>
      <c r="H400" s="145">
        <v>0.58303932934413261</v>
      </c>
      <c r="I400" s="144"/>
      <c r="J400" s="197">
        <v>0.68731088739428425</v>
      </c>
      <c r="K400" s="197">
        <v>9.2068900971826295E-2</v>
      </c>
      <c r="L400" s="197">
        <v>2.4978203182044009E-2</v>
      </c>
      <c r="M400" s="197">
        <v>0.16894215724915385</v>
      </c>
      <c r="N400" s="197">
        <v>8.7218950786805589E-3</v>
      </c>
      <c r="O400" s="197">
        <v>8.7218950786805589E-3</v>
      </c>
      <c r="P400" s="197">
        <v>9.2560610453304368E-3</v>
      </c>
      <c r="Q400" s="196"/>
    </row>
    <row r="401" spans="1:17" x14ac:dyDescent="0.35">
      <c r="A401" s="59" t="s">
        <v>1524</v>
      </c>
      <c r="B401" s="232">
        <v>184.8519643864098</v>
      </c>
      <c r="C401" s="145">
        <v>29.187338528817016</v>
      </c>
      <c r="D401" s="145">
        <v>7.4994344923330729</v>
      </c>
      <c r="E401" s="145">
        <v>41.66146056456698</v>
      </c>
      <c r="F401" s="145">
        <v>2.5871805449810767</v>
      </c>
      <c r="G401" s="145">
        <v>2.5871805449810767</v>
      </c>
      <c r="H401" s="145">
        <v>2.3043478737881333</v>
      </c>
      <c r="I401" s="144"/>
      <c r="J401" s="197">
        <v>0.68291972388598632</v>
      </c>
      <c r="K401" s="197">
        <v>0.10783011819879777</v>
      </c>
      <c r="L401" s="197">
        <v>2.7706017351805185E-2</v>
      </c>
      <c r="M401" s="197">
        <v>0.15391469189890156</v>
      </c>
      <c r="N401" s="197">
        <v>9.5581165679598755E-3</v>
      </c>
      <c r="O401" s="197">
        <v>9.5581165679598755E-3</v>
      </c>
      <c r="P401" s="197">
        <v>8.5132155285894701E-3</v>
      </c>
      <c r="Q401" s="196"/>
    </row>
    <row r="402" spans="1:17" x14ac:dyDescent="0.35">
      <c r="A402" s="59" t="s">
        <v>1523</v>
      </c>
      <c r="B402" s="232">
        <v>333.9854737366112</v>
      </c>
      <c r="C402" s="145">
        <v>66.832791616473273</v>
      </c>
      <c r="D402" s="145">
        <v>19.320324671747091</v>
      </c>
      <c r="E402" s="145">
        <v>87.233833601772375</v>
      </c>
      <c r="F402" s="145">
        <v>6.0667333186506696</v>
      </c>
      <c r="G402" s="145">
        <v>6.0667333186506696</v>
      </c>
      <c r="H402" s="145">
        <v>4.4900285354381611</v>
      </c>
      <c r="I402" s="144"/>
      <c r="J402" s="197">
        <v>0.63738182255672493</v>
      </c>
      <c r="K402" s="197">
        <v>0.12754448883802452</v>
      </c>
      <c r="L402" s="197">
        <v>3.6871135782921095E-2</v>
      </c>
      <c r="M402" s="197">
        <v>0.16647807830575354</v>
      </c>
      <c r="N402" s="197">
        <v>1.1577825515419396E-2</v>
      </c>
      <c r="O402" s="197">
        <v>1.1577825515419396E-2</v>
      </c>
      <c r="P402" s="197">
        <v>8.5688234857370163E-3</v>
      </c>
      <c r="Q402" s="196"/>
    </row>
    <row r="403" spans="1:17" x14ac:dyDescent="0.35">
      <c r="A403" s="59" t="s">
        <v>1522</v>
      </c>
      <c r="B403" s="232">
        <v>26.75962162715852</v>
      </c>
      <c r="C403" s="145">
        <v>6.9372327785419028</v>
      </c>
      <c r="D403" s="145">
        <v>2.2827265966868442</v>
      </c>
      <c r="E403" s="145">
        <v>8.5733381394470118</v>
      </c>
      <c r="F403" s="145">
        <v>0.67174403486618595</v>
      </c>
      <c r="G403" s="145">
        <v>0.67174403486618595</v>
      </c>
      <c r="H403" s="145">
        <v>0.39829105222206584</v>
      </c>
      <c r="I403" s="144"/>
      <c r="J403" s="197">
        <v>0.57802777922174409</v>
      </c>
      <c r="K403" s="197">
        <v>0.14984940044350917</v>
      </c>
      <c r="L403" s="197">
        <v>4.9308596498022154E-2</v>
      </c>
      <c r="M403" s="197">
        <v>0.1851904961254062</v>
      </c>
      <c r="N403" s="197">
        <v>1.4510172008003301E-2</v>
      </c>
      <c r="O403" s="197">
        <v>1.4510172008003301E-2</v>
      </c>
      <c r="P403" s="197">
        <v>8.6033836953119409E-3</v>
      </c>
      <c r="Q403" s="196"/>
    </row>
    <row r="404" spans="1:17" x14ac:dyDescent="0.35">
      <c r="A404" s="59" t="s">
        <v>1521</v>
      </c>
      <c r="B404" s="232">
        <v>19.967040014373218</v>
      </c>
      <c r="C404" s="145">
        <v>5.1168559350568934</v>
      </c>
      <c r="D404" s="145">
        <v>1.6668828584827353</v>
      </c>
      <c r="E404" s="145">
        <v>6.375670476122588</v>
      </c>
      <c r="F404" s="145">
        <v>0.48955204854745793</v>
      </c>
      <c r="G404" s="145">
        <v>0.48955204854745793</v>
      </c>
      <c r="H404" s="145">
        <v>0.29319782528056343</v>
      </c>
      <c r="I404" s="144"/>
      <c r="J404" s="197">
        <v>0.58045828159750024</v>
      </c>
      <c r="K404" s="197">
        <v>0.14875121205281611</v>
      </c>
      <c r="L404" s="197">
        <v>4.8457656165497007E-2</v>
      </c>
      <c r="M404" s="197">
        <v>0.18534598648262413</v>
      </c>
      <c r="N404" s="197">
        <v>1.4231680842420229E-2</v>
      </c>
      <c r="O404" s="197">
        <v>1.4231680842420229E-2</v>
      </c>
      <c r="P404" s="197">
        <v>8.5235020167220479E-3</v>
      </c>
      <c r="Q404" s="196"/>
    </row>
    <row r="405" spans="1:17" x14ac:dyDescent="0.35">
      <c r="A405" s="59" t="s">
        <v>1520</v>
      </c>
      <c r="B405" s="232">
        <v>814.79695228398532</v>
      </c>
      <c r="C405" s="145">
        <v>225.41870594776302</v>
      </c>
      <c r="D405" s="145">
        <v>74.306290569909208</v>
      </c>
      <c r="E405" s="145">
        <v>259.97680179573518</v>
      </c>
      <c r="F405" s="145">
        <v>21.383898538966008</v>
      </c>
      <c r="G405" s="145">
        <v>21.383898538966008</v>
      </c>
      <c r="H405" s="145">
        <v>12.474028457868563</v>
      </c>
      <c r="I405" s="144"/>
      <c r="J405" s="197">
        <v>0.56989146554659964</v>
      </c>
      <c r="K405" s="197">
        <v>0.15766406137637881</v>
      </c>
      <c r="L405" s="197">
        <v>5.1971869449823113E-2</v>
      </c>
      <c r="M405" s="197">
        <v>0.18183494693761562</v>
      </c>
      <c r="N405" s="197">
        <v>1.4956488537801632E-2</v>
      </c>
      <c r="O405" s="197">
        <v>1.4956488537801632E-2</v>
      </c>
      <c r="P405" s="197">
        <v>8.7246796139794896E-3</v>
      </c>
      <c r="Q405" s="196"/>
    </row>
    <row r="406" spans="1:17" x14ac:dyDescent="0.35">
      <c r="A406" s="59" t="s">
        <v>1519</v>
      </c>
      <c r="B406" s="232">
        <v>1.3872994011676203</v>
      </c>
      <c r="C406" s="145">
        <v>0.31639053540865331</v>
      </c>
      <c r="D406" s="145">
        <v>0.10164865992593242</v>
      </c>
      <c r="E406" s="145">
        <v>0.43144795907312827</v>
      </c>
      <c r="F406" s="145">
        <v>3.0714152239820127E-2</v>
      </c>
      <c r="G406" s="145">
        <v>3.0714152239820127E-2</v>
      </c>
      <c r="H406" s="145">
        <v>1.958061007915712E-2</v>
      </c>
      <c r="I406" s="144"/>
      <c r="J406" s="197">
        <v>0.59854263201547153</v>
      </c>
      <c r="K406" s="197">
        <v>0.13650494165058649</v>
      </c>
      <c r="L406" s="197">
        <v>4.3855750533523127E-2</v>
      </c>
      <c r="M406" s="197">
        <v>0.18614582892776138</v>
      </c>
      <c r="N406" s="197">
        <v>1.3251450628662542E-2</v>
      </c>
      <c r="O406" s="197">
        <v>1.3251450628662542E-2</v>
      </c>
      <c r="P406" s="197">
        <v>8.4479456153324795E-3</v>
      </c>
      <c r="Q406" s="196"/>
    </row>
    <row r="407" spans="1:17" x14ac:dyDescent="0.35">
      <c r="A407" s="57" t="s">
        <v>1518</v>
      </c>
      <c r="B407" s="231">
        <v>3.1987827812019707</v>
      </c>
      <c r="C407" s="142">
        <v>0.80751713300245664</v>
      </c>
      <c r="D407" s="142">
        <v>0.24581706095961972</v>
      </c>
      <c r="E407" s="142">
        <v>0.99600562160687622</v>
      </c>
      <c r="F407" s="142">
        <v>7.3958560262470358E-2</v>
      </c>
      <c r="G407" s="142">
        <v>7.3958560262470358E-2</v>
      </c>
      <c r="H407" s="142">
        <v>4.3630972344512305E-2</v>
      </c>
      <c r="I407" s="141"/>
      <c r="J407" s="194">
        <v>0.58804713809126663</v>
      </c>
      <c r="K407" s="194">
        <v>0.14844963584658513</v>
      </c>
      <c r="L407" s="194">
        <v>4.5189695293093371E-2</v>
      </c>
      <c r="M407" s="194">
        <v>0.18310035265622362</v>
      </c>
      <c r="N407" s="194">
        <v>1.3596146620294737E-2</v>
      </c>
      <c r="O407" s="194">
        <v>1.3596146620294737E-2</v>
      </c>
      <c r="P407" s="194">
        <v>8.0208848722415575E-3</v>
      </c>
      <c r="Q407" s="193"/>
    </row>
    <row r="409" spans="1:17" ht="13.15" x14ac:dyDescent="0.4">
      <c r="A409" s="41" t="s">
        <v>2233</v>
      </c>
    </row>
    <row r="410" spans="1:17" ht="13.15" x14ac:dyDescent="0.4">
      <c r="A410" s="131"/>
      <c r="B410" s="2193" t="s">
        <v>2229</v>
      </c>
      <c r="C410" s="2194"/>
      <c r="D410" s="2194"/>
      <c r="E410" s="2194"/>
      <c r="F410" s="2194"/>
      <c r="G410" s="2194"/>
      <c r="H410" s="2194"/>
      <c r="I410" s="2195"/>
      <c r="J410" s="2194" t="s">
        <v>2228</v>
      </c>
      <c r="K410" s="2194"/>
      <c r="L410" s="2194"/>
      <c r="M410" s="2194"/>
      <c r="N410" s="2194"/>
      <c r="O410" s="2194"/>
      <c r="P410" s="2194"/>
      <c r="Q410" s="2195"/>
    </row>
    <row r="411" spans="1:17" ht="52.5" x14ac:dyDescent="0.4">
      <c r="A411" s="59"/>
      <c r="B411" s="653" t="s">
        <v>405</v>
      </c>
      <c r="C411" s="652" t="s">
        <v>1830</v>
      </c>
      <c r="D411" s="652" t="s">
        <v>1829</v>
      </c>
      <c r="E411" s="652" t="s">
        <v>1503</v>
      </c>
      <c r="F411" s="652" t="s">
        <v>1501</v>
      </c>
      <c r="G411" s="652" t="s">
        <v>1500</v>
      </c>
      <c r="H411" s="180" t="s">
        <v>1499</v>
      </c>
      <c r="I411" s="651" t="s">
        <v>2227</v>
      </c>
      <c r="J411" s="653" t="s">
        <v>405</v>
      </c>
      <c r="K411" s="652" t="s">
        <v>1830</v>
      </c>
      <c r="L411" s="652" t="s">
        <v>1829</v>
      </c>
      <c r="M411" s="652" t="s">
        <v>1503</v>
      </c>
      <c r="N411" s="652" t="s">
        <v>1501</v>
      </c>
      <c r="O411" s="652" t="s">
        <v>1500</v>
      </c>
      <c r="P411" s="180" t="s">
        <v>1499</v>
      </c>
      <c r="Q411" s="651" t="s">
        <v>2227</v>
      </c>
    </row>
    <row r="412" spans="1:17" ht="13.15" x14ac:dyDescent="0.4">
      <c r="A412" s="128" t="s">
        <v>2226</v>
      </c>
      <c r="B412" s="650"/>
      <c r="C412" s="198"/>
      <c r="D412" s="198"/>
      <c r="E412" s="198"/>
      <c r="I412" s="99"/>
      <c r="J412" s="198"/>
      <c r="K412" s="198"/>
      <c r="L412" s="198"/>
      <c r="M412" s="198"/>
      <c r="Q412" s="99"/>
    </row>
    <row r="413" spans="1:17" x14ac:dyDescent="0.35">
      <c r="A413" s="59" t="s">
        <v>1537</v>
      </c>
      <c r="B413" s="232">
        <v>23.439238087076159</v>
      </c>
      <c r="C413" s="145">
        <v>2.94648923813758</v>
      </c>
      <c r="D413" s="145">
        <v>3.5997980196130634</v>
      </c>
      <c r="E413" s="145">
        <v>16.615054314753408</v>
      </c>
      <c r="F413" s="145">
        <v>3.5802743985481489</v>
      </c>
      <c r="G413" s="145">
        <v>0</v>
      </c>
      <c r="H413" s="145">
        <v>3.6463464082710777</v>
      </c>
      <c r="I413" s="144"/>
      <c r="J413" s="197">
        <v>0.43545341173200403</v>
      </c>
      <c r="K413" s="197">
        <v>5.4739782351803094E-2</v>
      </c>
      <c r="L413" s="197">
        <v>6.6876931893572369E-2</v>
      </c>
      <c r="M413" s="197">
        <v>0.3086739449718367</v>
      </c>
      <c r="N413" s="197">
        <v>6.6514222689011346E-2</v>
      </c>
      <c r="O413" s="197">
        <v>0</v>
      </c>
      <c r="P413" s="197">
        <v>6.7741706361772167E-2</v>
      </c>
      <c r="Q413" s="196"/>
    </row>
    <row r="414" spans="1:17" x14ac:dyDescent="0.35">
      <c r="A414" s="59" t="s">
        <v>1536</v>
      </c>
      <c r="B414" s="232">
        <v>21.726172310273885</v>
      </c>
      <c r="C414" s="145">
        <v>2.7478685091902197</v>
      </c>
      <c r="D414" s="145">
        <v>2.7792649463544268</v>
      </c>
      <c r="E414" s="145">
        <v>15.441058424777111</v>
      </c>
      <c r="F414" s="145">
        <v>2.9577723184272724</v>
      </c>
      <c r="G414" s="145">
        <v>0</v>
      </c>
      <c r="H414" s="145">
        <v>3.1402377352690469</v>
      </c>
      <c r="I414" s="144"/>
      <c r="J414" s="197">
        <v>0.44527803056879417</v>
      </c>
      <c r="K414" s="197">
        <v>5.6317581420249951E-2</v>
      </c>
      <c r="L414" s="197">
        <v>5.6961051586448722E-2</v>
      </c>
      <c r="M414" s="197">
        <v>0.31646458414725537</v>
      </c>
      <c r="N414" s="197">
        <v>6.0619561237549136E-2</v>
      </c>
      <c r="O414" s="197">
        <v>0</v>
      </c>
      <c r="P414" s="197">
        <v>6.4359191039702501E-2</v>
      </c>
      <c r="Q414" s="196"/>
    </row>
    <row r="415" spans="1:17" x14ac:dyDescent="0.35">
      <c r="A415" s="59" t="s">
        <v>1535</v>
      </c>
      <c r="B415" s="232">
        <v>9.3079309363571863</v>
      </c>
      <c r="C415" s="145">
        <v>0.88839404397127852</v>
      </c>
      <c r="D415" s="145">
        <v>1.4606393603667427</v>
      </c>
      <c r="E415" s="145">
        <v>7.851947160334757</v>
      </c>
      <c r="F415" s="145">
        <v>1.2739845932793767</v>
      </c>
      <c r="G415" s="145">
        <v>0</v>
      </c>
      <c r="H415" s="145">
        <v>0.57156144646332097</v>
      </c>
      <c r="I415" s="144"/>
      <c r="J415" s="197">
        <v>0.4358776577951135</v>
      </c>
      <c r="K415" s="197">
        <v>4.1602276352608956E-2</v>
      </c>
      <c r="L415" s="197">
        <v>6.8399740783763915E-2</v>
      </c>
      <c r="M415" s="197">
        <v>0.36769593164999931</v>
      </c>
      <c r="N415" s="197">
        <v>5.9658953679667233E-2</v>
      </c>
      <c r="O415" s="197">
        <v>0</v>
      </c>
      <c r="P415" s="197">
        <v>2.6765439738847159E-2</v>
      </c>
      <c r="Q415" s="196"/>
    </row>
    <row r="416" spans="1:17" x14ac:dyDescent="0.35">
      <c r="A416" s="59" t="s">
        <v>1534</v>
      </c>
      <c r="B416" s="232">
        <v>10.050190757602833</v>
      </c>
      <c r="C416" s="145">
        <v>1.4114699870569944</v>
      </c>
      <c r="D416" s="145">
        <v>1.0188836021486412</v>
      </c>
      <c r="E416" s="145">
        <v>5.6471268733494133</v>
      </c>
      <c r="F416" s="145">
        <v>1.3767549388486762</v>
      </c>
      <c r="G416" s="145">
        <v>0</v>
      </c>
      <c r="H416" s="145">
        <v>1.982301369146688</v>
      </c>
      <c r="I416" s="144"/>
      <c r="J416" s="197">
        <v>0.46773947984561381</v>
      </c>
      <c r="K416" s="197">
        <v>6.5690319068252651E-2</v>
      </c>
      <c r="L416" s="197">
        <v>4.7419208011719623E-2</v>
      </c>
      <c r="M416" s="197">
        <v>0.26281930861505998</v>
      </c>
      <c r="N416" s="197">
        <v>6.4074668282769726E-2</v>
      </c>
      <c r="O416" s="197">
        <v>0</v>
      </c>
      <c r="P416" s="197">
        <v>9.2257016176584036E-2</v>
      </c>
      <c r="Q416" s="196"/>
    </row>
    <row r="417" spans="1:17" x14ac:dyDescent="0.35">
      <c r="A417" s="59" t="s">
        <v>1533</v>
      </c>
      <c r="B417" s="232">
        <v>2.3680506163138721</v>
      </c>
      <c r="C417" s="145">
        <v>0.44800447816194727</v>
      </c>
      <c r="D417" s="145">
        <v>0.29974198383904377</v>
      </c>
      <c r="E417" s="145">
        <v>1.9419843910929431</v>
      </c>
      <c r="F417" s="145">
        <v>0.30703278629921943</v>
      </c>
      <c r="G417" s="145">
        <v>0</v>
      </c>
      <c r="H417" s="145">
        <v>0.5863749196590381</v>
      </c>
      <c r="I417" s="144"/>
      <c r="J417" s="197">
        <v>0.39791217293444731</v>
      </c>
      <c r="K417" s="197">
        <v>7.5279824747696747E-2</v>
      </c>
      <c r="L417" s="197">
        <v>5.0366737639558623E-2</v>
      </c>
      <c r="M417" s="197">
        <v>0.32631871275936869</v>
      </c>
      <c r="N417" s="197">
        <v>5.1591837740619886E-2</v>
      </c>
      <c r="O417" s="197">
        <v>0</v>
      </c>
      <c r="P417" s="197">
        <v>9.8530714178308665E-2</v>
      </c>
      <c r="Q417" s="196"/>
    </row>
    <row r="418" spans="1:17" x14ac:dyDescent="0.35">
      <c r="A418" s="59" t="s">
        <v>1532</v>
      </c>
      <c r="B418" s="49">
        <v>2462.9331587088718</v>
      </c>
      <c r="C418" s="48">
        <v>211.47439381277408</v>
      </c>
      <c r="D418" s="48">
        <v>1135.7124770857654</v>
      </c>
      <c r="E418" s="48">
        <v>1738.4843093178074</v>
      </c>
      <c r="F418" s="48">
        <v>791.35390280637057</v>
      </c>
      <c r="G418" s="48">
        <v>0</v>
      </c>
      <c r="H418" s="48">
        <v>661.220713673962</v>
      </c>
      <c r="I418" s="47"/>
      <c r="J418" s="197">
        <v>0.35178834513396656</v>
      </c>
      <c r="K418" s="197">
        <v>3.0205540403948173E-2</v>
      </c>
      <c r="L418" s="197">
        <v>0.16221731858587776</v>
      </c>
      <c r="M418" s="197">
        <v>0.24831307989571358</v>
      </c>
      <c r="N418" s="197">
        <v>0.11303152052632118</v>
      </c>
      <c r="O418" s="197">
        <v>0</v>
      </c>
      <c r="P418" s="197">
        <v>9.4444195454172611E-2</v>
      </c>
      <c r="Q418" s="196"/>
    </row>
    <row r="419" spans="1:17" ht="13.15" x14ac:dyDescent="0.4">
      <c r="A419" s="128" t="s">
        <v>2225</v>
      </c>
      <c r="B419" s="232"/>
      <c r="C419" s="145"/>
      <c r="D419" s="145"/>
      <c r="E419" s="145"/>
      <c r="F419" s="145"/>
      <c r="G419" s="145"/>
      <c r="H419" s="145"/>
      <c r="I419" s="144"/>
      <c r="J419" s="197"/>
      <c r="K419" s="197"/>
      <c r="L419" s="197"/>
      <c r="M419" s="197"/>
      <c r="N419" s="197"/>
      <c r="O419" s="197"/>
      <c r="P419" s="197"/>
      <c r="Q419" s="196"/>
    </row>
    <row r="420" spans="1:17" x14ac:dyDescent="0.35">
      <c r="A420" s="59" t="s">
        <v>1525</v>
      </c>
      <c r="B420" s="232">
        <v>1254.2811996283604</v>
      </c>
      <c r="C420" s="145">
        <v>105.68690567590821</v>
      </c>
      <c r="D420" s="145">
        <v>139.31288204216182</v>
      </c>
      <c r="E420" s="145">
        <v>1539.9565705088137</v>
      </c>
      <c r="F420" s="145">
        <v>112.22217906172351</v>
      </c>
      <c r="G420" s="145">
        <v>0</v>
      </c>
      <c r="H420" s="145">
        <v>66.762336977117812</v>
      </c>
      <c r="I420" s="144"/>
      <c r="J420" s="197">
        <v>0.38974352012652302</v>
      </c>
      <c r="K420" s="197">
        <v>3.2840153118465755E-2</v>
      </c>
      <c r="L420" s="197">
        <v>4.3288772136719458E-2</v>
      </c>
      <c r="M420" s="197">
        <v>0.47851159278310723</v>
      </c>
      <c r="N420" s="197">
        <v>3.4870862384562967E-2</v>
      </c>
      <c r="O420" s="197">
        <v>0</v>
      </c>
      <c r="P420" s="197">
        <v>2.0745099450621383E-2</v>
      </c>
      <c r="Q420" s="196"/>
    </row>
    <row r="421" spans="1:17" x14ac:dyDescent="0.35">
      <c r="A421" s="59" t="s">
        <v>1524</v>
      </c>
      <c r="B421" s="232">
        <v>8707.0618132692507</v>
      </c>
      <c r="C421" s="145">
        <v>738.20164226014617</v>
      </c>
      <c r="D421" s="145">
        <v>910.91875545183098</v>
      </c>
      <c r="E421" s="145">
        <v>6852.8608396301734</v>
      </c>
      <c r="F421" s="145">
        <v>735.85938269917767</v>
      </c>
      <c r="G421" s="145">
        <v>0</v>
      </c>
      <c r="H421" s="145">
        <v>266.07344884601468</v>
      </c>
      <c r="I421" s="144"/>
      <c r="J421" s="197">
        <v>0.47812164870310803</v>
      </c>
      <c r="K421" s="197">
        <v>4.0536083680361566E-2</v>
      </c>
      <c r="L421" s="197">
        <v>5.0020315294819734E-2</v>
      </c>
      <c r="M421" s="197">
        <v>0.37630387761617512</v>
      </c>
      <c r="N421" s="197">
        <v>4.0407465665812249E-2</v>
      </c>
      <c r="O421" s="197">
        <v>0</v>
      </c>
      <c r="P421" s="197">
        <v>1.4610609039722998E-2</v>
      </c>
      <c r="Q421" s="196"/>
    </row>
    <row r="422" spans="1:17" x14ac:dyDescent="0.35">
      <c r="A422" s="59" t="s">
        <v>1523</v>
      </c>
      <c r="B422" s="232">
        <v>1771.1748596344228</v>
      </c>
      <c r="C422" s="145">
        <v>251.62447550792731</v>
      </c>
      <c r="D422" s="145">
        <v>279.12261481691013</v>
      </c>
      <c r="E422" s="145">
        <v>1400.3864401103544</v>
      </c>
      <c r="F422" s="145">
        <v>333.44624080917021</v>
      </c>
      <c r="G422" s="145">
        <v>0</v>
      </c>
      <c r="H422" s="145">
        <v>244.93924903924827</v>
      </c>
      <c r="I422" s="144"/>
      <c r="J422" s="197">
        <v>0.41375882259264396</v>
      </c>
      <c r="K422" s="197">
        <v>5.8781235604902761E-2</v>
      </c>
      <c r="L422" s="197">
        <v>6.5204993079826273E-2</v>
      </c>
      <c r="M422" s="197">
        <v>0.32714005705476157</v>
      </c>
      <c r="N422" s="197">
        <v>7.7895371676414984E-2</v>
      </c>
      <c r="O422" s="197">
        <v>0</v>
      </c>
      <c r="P422" s="197">
        <v>5.7219519991450148E-2</v>
      </c>
      <c r="Q422" s="196"/>
    </row>
    <row r="423" spans="1:17" x14ac:dyDescent="0.35">
      <c r="A423" s="59" t="s">
        <v>1522</v>
      </c>
      <c r="B423" s="232">
        <v>795.27095113664552</v>
      </c>
      <c r="C423" s="145">
        <v>76.253429206908962</v>
      </c>
      <c r="D423" s="145">
        <v>140.57401361732283</v>
      </c>
      <c r="E423" s="145">
        <v>644.61362544716269</v>
      </c>
      <c r="F423" s="145">
        <v>115.57823920013858</v>
      </c>
      <c r="G423" s="145">
        <v>0</v>
      </c>
      <c r="H423" s="145">
        <v>85.777465039605929</v>
      </c>
      <c r="I423" s="144"/>
      <c r="J423" s="197">
        <v>0.42800966887006581</v>
      </c>
      <c r="K423" s="197">
        <v>4.1039101124477388E-2</v>
      </c>
      <c r="L423" s="197">
        <v>7.565602255947157E-2</v>
      </c>
      <c r="M423" s="197">
        <v>0.34692687313982723</v>
      </c>
      <c r="N423" s="197">
        <v>6.2203458856297078E-2</v>
      </c>
      <c r="O423" s="197">
        <v>0</v>
      </c>
      <c r="P423" s="197">
        <v>4.616487544986056E-2</v>
      </c>
      <c r="Q423" s="196"/>
    </row>
    <row r="424" spans="1:17" x14ac:dyDescent="0.35">
      <c r="A424" s="59" t="s">
        <v>1521</v>
      </c>
      <c r="B424" s="232">
        <v>353.91996623167529</v>
      </c>
      <c r="C424" s="145">
        <v>32.327823413345769</v>
      </c>
      <c r="D424" s="145">
        <v>68.778616606832031</v>
      </c>
      <c r="E424" s="145">
        <v>309.40629448563902</v>
      </c>
      <c r="F424" s="145">
        <v>57.577316765886316</v>
      </c>
      <c r="G424" s="145">
        <v>0</v>
      </c>
      <c r="H424" s="145">
        <v>38.374028802354125</v>
      </c>
      <c r="I424" s="144"/>
      <c r="J424" s="197">
        <v>0.41135114923540989</v>
      </c>
      <c r="K424" s="197">
        <v>3.7573713218129863E-2</v>
      </c>
      <c r="L424" s="197">
        <v>7.9939437396764471E-2</v>
      </c>
      <c r="M424" s="197">
        <v>0.35961416975843502</v>
      </c>
      <c r="N424" s="197">
        <v>6.6920483954936716E-2</v>
      </c>
      <c r="O424" s="197">
        <v>0</v>
      </c>
      <c r="P424" s="197">
        <v>4.4601046436323767E-2</v>
      </c>
      <c r="Q424" s="196"/>
    </row>
    <row r="425" spans="1:17" x14ac:dyDescent="0.35">
      <c r="A425" s="59" t="s">
        <v>1520</v>
      </c>
      <c r="B425" s="232">
        <v>7789.8366356587312</v>
      </c>
      <c r="C425" s="145">
        <v>2448.3934226495458</v>
      </c>
      <c r="D425" s="145">
        <v>2839.0443305434628</v>
      </c>
      <c r="E425" s="145">
        <v>5410.9916734026792</v>
      </c>
      <c r="F425" s="145">
        <v>4296.6644015008906</v>
      </c>
      <c r="G425" s="145">
        <v>0</v>
      </c>
      <c r="H425" s="145">
        <v>1565.230599680501</v>
      </c>
      <c r="I425" s="144"/>
      <c r="J425" s="197">
        <v>0.31990903942544946</v>
      </c>
      <c r="K425" s="197">
        <v>0.10054937280583544</v>
      </c>
      <c r="L425" s="197">
        <v>0.11659242512389663</v>
      </c>
      <c r="M425" s="197">
        <v>0.22221584733284666</v>
      </c>
      <c r="N425" s="197">
        <v>0.17645322305291686</v>
      </c>
      <c r="O425" s="197">
        <v>0</v>
      </c>
      <c r="P425" s="197">
        <v>6.4280092259054927E-2</v>
      </c>
      <c r="Q425" s="196"/>
    </row>
    <row r="426" spans="1:17" x14ac:dyDescent="0.35">
      <c r="A426" s="59" t="s">
        <v>1519</v>
      </c>
      <c r="B426" s="232">
        <v>10.876028417387637</v>
      </c>
      <c r="C426" s="145">
        <v>2.2234680083957632</v>
      </c>
      <c r="D426" s="145">
        <v>2.4431141489320933</v>
      </c>
      <c r="E426" s="145">
        <v>8.554038175057018</v>
      </c>
      <c r="F426" s="145">
        <v>3.443942289840296</v>
      </c>
      <c r="G426" s="145">
        <v>0</v>
      </c>
      <c r="H426" s="145">
        <v>2.1734404122235578</v>
      </c>
      <c r="I426" s="144"/>
      <c r="J426" s="197">
        <v>0.36602331915198549</v>
      </c>
      <c r="K426" s="197">
        <v>7.4828890586583457E-2</v>
      </c>
      <c r="L426" s="197">
        <v>8.2220891261158904E-2</v>
      </c>
      <c r="M426" s="197">
        <v>0.28787874808984787</v>
      </c>
      <c r="N426" s="197">
        <v>0.1159028957555827</v>
      </c>
      <c r="O426" s="197">
        <v>0</v>
      </c>
      <c r="P426" s="197">
        <v>7.3145255154841549E-2</v>
      </c>
      <c r="Q426" s="196"/>
    </row>
    <row r="427" spans="1:17" x14ac:dyDescent="0.35">
      <c r="A427" s="59" t="s">
        <v>1518</v>
      </c>
      <c r="B427" s="232">
        <v>19.168306815824039</v>
      </c>
      <c r="C427" s="145">
        <v>2.6113069167937284</v>
      </c>
      <c r="D427" s="145">
        <v>3.006842157110444</v>
      </c>
      <c r="E427" s="145">
        <v>15.587067710181397</v>
      </c>
      <c r="F427" s="145">
        <v>3.7076721831309287</v>
      </c>
      <c r="G427" s="145">
        <v>0</v>
      </c>
      <c r="H427" s="145">
        <v>3.1498739107589464</v>
      </c>
      <c r="I427" s="144"/>
      <c r="J427" s="197">
        <v>0.40584104785457487</v>
      </c>
      <c r="K427" s="197">
        <v>5.5287905476689672E-2</v>
      </c>
      <c r="L427" s="197">
        <v>6.3662376833806558E-2</v>
      </c>
      <c r="M427" s="197">
        <v>0.33001724947651723</v>
      </c>
      <c r="N427" s="197">
        <v>7.8500703184744364E-2</v>
      </c>
      <c r="O427" s="197">
        <v>0</v>
      </c>
      <c r="P427" s="197">
        <v>6.6690717173667202E-2</v>
      </c>
      <c r="Q427" s="196"/>
    </row>
    <row r="428" spans="1:17" x14ac:dyDescent="0.35">
      <c r="A428" s="59" t="s">
        <v>1531</v>
      </c>
      <c r="B428" s="232">
        <v>4503.1001864839154</v>
      </c>
      <c r="C428" s="145">
        <v>601.77168414268601</v>
      </c>
      <c r="D428" s="145">
        <v>442.49739873673286</v>
      </c>
      <c r="E428" s="145">
        <v>2500.604836771528</v>
      </c>
      <c r="F428" s="145">
        <v>486.33477396612915</v>
      </c>
      <c r="G428" s="145">
        <v>0</v>
      </c>
      <c r="H428" s="145">
        <v>679.28631287015298</v>
      </c>
      <c r="I428" s="144"/>
      <c r="J428" s="197">
        <v>0.48874517407919482</v>
      </c>
      <c r="K428" s="197">
        <v>6.531344947754647E-2</v>
      </c>
      <c r="L428" s="197">
        <v>4.8026572631962888E-2</v>
      </c>
      <c r="M428" s="197">
        <v>0.27140380973967532</v>
      </c>
      <c r="N428" s="197">
        <v>5.2784473789031179E-2</v>
      </c>
      <c r="O428" s="197">
        <v>0</v>
      </c>
      <c r="P428" s="197">
        <v>7.3726520282589136E-2</v>
      </c>
      <c r="Q428" s="196"/>
    </row>
    <row r="429" spans="1:17" x14ac:dyDescent="0.35">
      <c r="A429" s="59" t="s">
        <v>1530</v>
      </c>
      <c r="B429" s="232">
        <v>41.145229827530159</v>
      </c>
      <c r="C429" s="145">
        <v>6.0442294353765451</v>
      </c>
      <c r="D429" s="145">
        <v>3.4099175106815212</v>
      </c>
      <c r="E429" s="145">
        <v>19.30097792003922</v>
      </c>
      <c r="F429" s="145">
        <v>4.0439535373118503</v>
      </c>
      <c r="G429" s="145">
        <v>0</v>
      </c>
      <c r="H429" s="145">
        <v>7.2117592122073813</v>
      </c>
      <c r="I429" s="144"/>
      <c r="J429" s="197">
        <v>0.5069889550322797</v>
      </c>
      <c r="K429" s="197">
        <v>7.4476618025026739E-2</v>
      </c>
      <c r="L429" s="197">
        <v>4.2016790834158081E-2</v>
      </c>
      <c r="M429" s="197">
        <v>0.23782544581229717</v>
      </c>
      <c r="N429" s="197">
        <v>4.9829343199075199E-2</v>
      </c>
      <c r="O429" s="197">
        <v>0</v>
      </c>
      <c r="P429" s="197">
        <v>8.8862847097162856E-2</v>
      </c>
      <c r="Q429" s="196"/>
    </row>
    <row r="430" spans="1:17" x14ac:dyDescent="0.35">
      <c r="A430" s="59" t="s">
        <v>1529</v>
      </c>
      <c r="B430" s="49">
        <v>1526608.2949087438</v>
      </c>
      <c r="C430" s="48">
        <v>170051.64425019268</v>
      </c>
      <c r="D430" s="48">
        <v>247164.47365287857</v>
      </c>
      <c r="E430" s="48">
        <v>1265247.6021455913</v>
      </c>
      <c r="F430" s="48">
        <v>245248.79903335343</v>
      </c>
      <c r="G430" s="48">
        <v>0</v>
      </c>
      <c r="H430" s="48">
        <v>187252.75484101151</v>
      </c>
      <c r="I430" s="47"/>
      <c r="J430" s="197">
        <v>0.41921665622108639</v>
      </c>
      <c r="K430" s="197">
        <v>4.6697297483061902E-2</v>
      </c>
      <c r="L430" s="197">
        <v>6.7872986493629911E-2</v>
      </c>
      <c r="M430" s="197">
        <v>0.34744529479641584</v>
      </c>
      <c r="N430" s="197">
        <v>6.7346929671403002E-2</v>
      </c>
      <c r="O430" s="197">
        <v>0</v>
      </c>
      <c r="P430" s="197">
        <v>5.1420835334402636E-2</v>
      </c>
      <c r="Q430" s="196"/>
    </row>
    <row r="431" spans="1:17" x14ac:dyDescent="0.35">
      <c r="A431" s="59" t="s">
        <v>1528</v>
      </c>
      <c r="B431" s="49">
        <v>1544199.9970208183</v>
      </c>
      <c r="C431" s="48">
        <v>171541.06625833904</v>
      </c>
      <c r="D431" s="48">
        <v>249030.10922714378</v>
      </c>
      <c r="E431" s="48">
        <v>1280815.9147764295</v>
      </c>
      <c r="F431" s="48">
        <v>246754.90861662308</v>
      </c>
      <c r="G431" s="48">
        <v>0</v>
      </c>
      <c r="H431" s="48">
        <v>187878.94621087203</v>
      </c>
      <c r="I431" s="47"/>
      <c r="J431" s="197">
        <v>0.41959437254204074</v>
      </c>
      <c r="K431" s="197">
        <v>4.6611621681598818E-2</v>
      </c>
      <c r="L431" s="197">
        <v>6.7667162690604868E-2</v>
      </c>
      <c r="M431" s="197">
        <v>0.34802690787418161</v>
      </c>
      <c r="N431" s="197">
        <v>6.7048938772446276E-2</v>
      </c>
      <c r="O431" s="197">
        <v>0</v>
      </c>
      <c r="P431" s="197">
        <v>5.1050996439127617E-2</v>
      </c>
      <c r="Q431" s="196"/>
    </row>
    <row r="432" spans="1:17" x14ac:dyDescent="0.35">
      <c r="A432" s="59" t="s">
        <v>1527</v>
      </c>
      <c r="B432" s="49">
        <v>1697840.7479910639</v>
      </c>
      <c r="C432" s="48">
        <v>191195.93758299437</v>
      </c>
      <c r="D432" s="48">
        <v>271710.15070412814</v>
      </c>
      <c r="E432" s="48">
        <v>1361521.7165221726</v>
      </c>
      <c r="F432" s="48">
        <v>267555.64646926039</v>
      </c>
      <c r="G432" s="48">
        <v>0</v>
      </c>
      <c r="H432" s="48">
        <v>215653.99661540225</v>
      </c>
      <c r="I432" s="47"/>
      <c r="J432" s="197">
        <v>0.42387966304131153</v>
      </c>
      <c r="K432" s="197">
        <v>4.7733610878076205E-2</v>
      </c>
      <c r="L432" s="197">
        <v>6.783463482169648E-2</v>
      </c>
      <c r="M432" s="197">
        <v>0.33991489903026179</v>
      </c>
      <c r="N432" s="197">
        <v>6.6797429266780256E-2</v>
      </c>
      <c r="O432" s="197">
        <v>0</v>
      </c>
      <c r="P432" s="197">
        <v>5.3839762961873483E-2</v>
      </c>
      <c r="Q432" s="196"/>
    </row>
    <row r="433" spans="1:17" ht="13.15" x14ac:dyDescent="0.4">
      <c r="A433" s="128" t="s">
        <v>2224</v>
      </c>
      <c r="B433" s="232"/>
      <c r="C433" s="145"/>
      <c r="D433" s="145"/>
      <c r="E433" s="145"/>
      <c r="F433" s="145"/>
      <c r="G433" s="145"/>
      <c r="H433" s="145"/>
      <c r="I433" s="144"/>
      <c r="J433" s="197"/>
      <c r="K433" s="197"/>
      <c r="L433" s="197"/>
      <c r="M433" s="197"/>
      <c r="N433" s="197"/>
      <c r="O433" s="197"/>
      <c r="P433" s="197"/>
      <c r="Q433" s="196"/>
    </row>
    <row r="434" spans="1:17" x14ac:dyDescent="0.35">
      <c r="A434" s="59" t="s">
        <v>1525</v>
      </c>
      <c r="B434" s="232">
        <v>10.426631830172635</v>
      </c>
      <c r="C434" s="145">
        <v>1.5765956373037282</v>
      </c>
      <c r="D434" s="145">
        <v>1.5871361998076019</v>
      </c>
      <c r="E434" s="145">
        <v>7.940923124545991</v>
      </c>
      <c r="F434" s="145">
        <v>1.7963614103236671</v>
      </c>
      <c r="G434" s="145">
        <v>0</v>
      </c>
      <c r="H434" s="145">
        <v>2.0688298667085649</v>
      </c>
      <c r="I434" s="144"/>
      <c r="J434" s="197">
        <v>0.41055424306870314</v>
      </c>
      <c r="K434" s="197">
        <v>6.207930221776467E-2</v>
      </c>
      <c r="L434" s="197">
        <v>6.2494342542462181E-2</v>
      </c>
      <c r="M434" s="197">
        <v>0.31267812422707952</v>
      </c>
      <c r="N434" s="197">
        <v>7.0732697874597364E-2</v>
      </c>
      <c r="O434" s="197">
        <v>0</v>
      </c>
      <c r="P434" s="197">
        <v>8.1461290069393177E-2</v>
      </c>
      <c r="Q434" s="196"/>
    </row>
    <row r="435" spans="1:17" x14ac:dyDescent="0.35">
      <c r="A435" s="59" t="s">
        <v>1524</v>
      </c>
      <c r="B435" s="232">
        <v>53.265089161862875</v>
      </c>
      <c r="C435" s="145">
        <v>6.9886940049498163</v>
      </c>
      <c r="D435" s="145">
        <v>7.5650164716560235</v>
      </c>
      <c r="E435" s="145">
        <v>36.004830907447257</v>
      </c>
      <c r="F435" s="145">
        <v>8.459368710176701</v>
      </c>
      <c r="G435" s="145">
        <v>0</v>
      </c>
      <c r="H435" s="145">
        <v>8.1766417197653922</v>
      </c>
      <c r="I435" s="144"/>
      <c r="J435" s="197">
        <v>0.44218203483221408</v>
      </c>
      <c r="K435" s="197">
        <v>5.8016892200022881E-2</v>
      </c>
      <c r="L435" s="197">
        <v>6.2801253684395153E-2</v>
      </c>
      <c r="M435" s="197">
        <v>0.29889538617056954</v>
      </c>
      <c r="N435" s="197">
        <v>7.0225750646825236E-2</v>
      </c>
      <c r="O435" s="197">
        <v>0</v>
      </c>
      <c r="P435" s="197">
        <v>6.7878682465973103E-2</v>
      </c>
      <c r="Q435" s="196"/>
    </row>
    <row r="436" spans="1:17" x14ac:dyDescent="0.35">
      <c r="A436" s="59" t="s">
        <v>1523</v>
      </c>
      <c r="B436" s="232">
        <v>115.04513586343464</v>
      </c>
      <c r="C436" s="145">
        <v>14.424560522842574</v>
      </c>
      <c r="D436" s="145">
        <v>19.489279428859852</v>
      </c>
      <c r="E436" s="145">
        <v>81.859413219332566</v>
      </c>
      <c r="F436" s="145">
        <v>19.836549137762361</v>
      </c>
      <c r="G436" s="145">
        <v>0</v>
      </c>
      <c r="H436" s="145">
        <v>15.93221017686337</v>
      </c>
      <c r="I436" s="144"/>
      <c r="J436" s="197">
        <v>0.43154794436220623</v>
      </c>
      <c r="K436" s="197">
        <v>5.4108236695467549E-2</v>
      </c>
      <c r="L436" s="197">
        <v>7.3106597784446364E-2</v>
      </c>
      <c r="M436" s="197">
        <v>0.30706436422860794</v>
      </c>
      <c r="N436" s="197">
        <v>7.4409247634797587E-2</v>
      </c>
      <c r="O436" s="197">
        <v>0</v>
      </c>
      <c r="P436" s="197">
        <v>5.9763609294474197E-2</v>
      </c>
      <c r="Q436" s="196"/>
    </row>
    <row r="437" spans="1:17" x14ac:dyDescent="0.35">
      <c r="A437" s="59" t="s">
        <v>1522</v>
      </c>
      <c r="B437" s="232">
        <v>11.10786042884175</v>
      </c>
      <c r="C437" s="145">
        <v>1.3655051212485845</v>
      </c>
      <c r="D437" s="145">
        <v>2.3026888656575135</v>
      </c>
      <c r="E437" s="145">
        <v>8.5828476512463094</v>
      </c>
      <c r="F437" s="145">
        <v>2.1964182131852046</v>
      </c>
      <c r="G437" s="145">
        <v>0</v>
      </c>
      <c r="H437" s="145">
        <v>1.4132776006838395</v>
      </c>
      <c r="I437" s="144"/>
      <c r="J437" s="197">
        <v>0.41188127309814049</v>
      </c>
      <c r="K437" s="197">
        <v>5.0633152204681016E-2</v>
      </c>
      <c r="L437" s="197">
        <v>8.5384078024000318E-2</v>
      </c>
      <c r="M437" s="197">
        <v>0.31825338822440818</v>
      </c>
      <c r="N437" s="197">
        <v>8.1443544929110795E-2</v>
      </c>
      <c r="O437" s="197">
        <v>0</v>
      </c>
      <c r="P437" s="197">
        <v>5.2404563519659095E-2</v>
      </c>
      <c r="Q437" s="196"/>
    </row>
    <row r="438" spans="1:17" x14ac:dyDescent="0.35">
      <c r="A438" s="59" t="s">
        <v>1521</v>
      </c>
      <c r="B438" s="232">
        <v>8.2363043695278879</v>
      </c>
      <c r="C438" s="145">
        <v>1.0067629426302858</v>
      </c>
      <c r="D438" s="145">
        <v>1.6814596212067188</v>
      </c>
      <c r="E438" s="145">
        <v>6.4031231973906522</v>
      </c>
      <c r="F438" s="145">
        <v>1.6007005346105683</v>
      </c>
      <c r="G438" s="145">
        <v>0</v>
      </c>
      <c r="H438" s="145">
        <v>1.0403696410613907</v>
      </c>
      <c r="I438" s="144"/>
      <c r="J438" s="197">
        <v>0.41246030006623902</v>
      </c>
      <c r="K438" s="197">
        <v>5.0416998544780572E-2</v>
      </c>
      <c r="L438" s="197">
        <v>8.4204675883285965E-2</v>
      </c>
      <c r="M438" s="197">
        <v>0.32065766354239655</v>
      </c>
      <c r="N438" s="197">
        <v>8.0160396362271499E-2</v>
      </c>
      <c r="O438" s="197">
        <v>0</v>
      </c>
      <c r="P438" s="197">
        <v>5.2099965601026421E-2</v>
      </c>
      <c r="Q438" s="196"/>
    </row>
    <row r="439" spans="1:17" x14ac:dyDescent="0.35">
      <c r="A439" s="59" t="s">
        <v>1520</v>
      </c>
      <c r="B439" s="232">
        <v>358.8276528094612</v>
      </c>
      <c r="C439" s="145">
        <v>42.522655061899485</v>
      </c>
      <c r="D439" s="145">
        <v>74.95609338060153</v>
      </c>
      <c r="E439" s="145">
        <v>263.62918463690136</v>
      </c>
      <c r="F439" s="145">
        <v>69.919466019889001</v>
      </c>
      <c r="G439" s="145">
        <v>0</v>
      </c>
      <c r="H439" s="145">
        <v>44.262267282794191</v>
      </c>
      <c r="I439" s="144"/>
      <c r="J439" s="197">
        <v>0.42011518177515078</v>
      </c>
      <c r="K439" s="197">
        <v>4.9785496800543422E-2</v>
      </c>
      <c r="L439" s="197">
        <v>8.775854522134055E-2</v>
      </c>
      <c r="M439" s="197">
        <v>0.30865687735548547</v>
      </c>
      <c r="N439" s="197">
        <v>8.1861665193805361E-2</v>
      </c>
      <c r="O439" s="197">
        <v>0</v>
      </c>
      <c r="P439" s="197">
        <v>5.1822233653674221E-2</v>
      </c>
      <c r="Q439" s="196"/>
    </row>
    <row r="440" spans="1:17" x14ac:dyDescent="0.35">
      <c r="A440" s="59" t="s">
        <v>1519</v>
      </c>
      <c r="B440" s="232">
        <v>0.51596703452283577</v>
      </c>
      <c r="C440" s="145">
        <v>6.6083540780739344E-2</v>
      </c>
      <c r="D440" s="145">
        <v>0.10253756965909741</v>
      </c>
      <c r="E440" s="145">
        <v>0.41876623700154403</v>
      </c>
      <c r="F440" s="145">
        <v>0.10042682909052195</v>
      </c>
      <c r="G440" s="145">
        <v>0</v>
      </c>
      <c r="H440" s="145">
        <v>6.9478933755127606E-2</v>
      </c>
      <c r="I440" s="144"/>
      <c r="J440" s="197">
        <v>0.40523300491737624</v>
      </c>
      <c r="K440" s="197">
        <v>5.1901051839337575E-2</v>
      </c>
      <c r="L440" s="197">
        <v>8.053151594909079E-2</v>
      </c>
      <c r="M440" s="197">
        <v>0.3288929121896591</v>
      </c>
      <c r="N440" s="197">
        <v>7.8873771004211002E-2</v>
      </c>
      <c r="O440" s="197">
        <v>0</v>
      </c>
      <c r="P440" s="197">
        <v>5.4567744100325048E-2</v>
      </c>
      <c r="Q440" s="196"/>
    </row>
    <row r="441" spans="1:17" x14ac:dyDescent="0.35">
      <c r="A441" s="57" t="s">
        <v>1518</v>
      </c>
      <c r="B441" s="231">
        <v>1.3627360122581571</v>
      </c>
      <c r="C441" s="142">
        <v>0.16489051844622163</v>
      </c>
      <c r="D441" s="142">
        <v>0.24796671230007258</v>
      </c>
      <c r="E441" s="142">
        <v>1.0684304809552745</v>
      </c>
      <c r="F441" s="142">
        <v>0.24182414781517916</v>
      </c>
      <c r="G441" s="142">
        <v>0</v>
      </c>
      <c r="H441" s="142">
        <v>0.15481813002461198</v>
      </c>
      <c r="I441" s="141"/>
      <c r="J441" s="194">
        <v>0.4205110960220646</v>
      </c>
      <c r="K441" s="194">
        <v>5.0881676283411857E-2</v>
      </c>
      <c r="L441" s="194">
        <v>7.6517207315526664E-2</v>
      </c>
      <c r="M441" s="194">
        <v>0.32969472335686029</v>
      </c>
      <c r="N441" s="194">
        <v>7.4621743703576993E-2</v>
      </c>
      <c r="O441" s="194">
        <v>0</v>
      </c>
      <c r="P441" s="194">
        <v>4.7773553318559404E-2</v>
      </c>
      <c r="Q441" s="193"/>
    </row>
    <row r="443" spans="1:17" ht="13.15" x14ac:dyDescent="0.4">
      <c r="A443" s="41" t="s">
        <v>2232</v>
      </c>
    </row>
    <row r="444" spans="1:17" ht="13.15" x14ac:dyDescent="0.4">
      <c r="A444" s="131"/>
      <c r="B444" s="2193" t="s">
        <v>2229</v>
      </c>
      <c r="C444" s="2194"/>
      <c r="D444" s="2194"/>
      <c r="E444" s="2194"/>
      <c r="F444" s="2194"/>
      <c r="G444" s="2194"/>
      <c r="H444" s="2194"/>
      <c r="I444" s="2195"/>
      <c r="J444" s="2194" t="s">
        <v>2228</v>
      </c>
      <c r="K444" s="2194"/>
      <c r="L444" s="2194"/>
      <c r="M444" s="2194"/>
      <c r="N444" s="2194"/>
      <c r="O444" s="2194"/>
      <c r="P444" s="2194"/>
      <c r="Q444" s="2195"/>
    </row>
    <row r="445" spans="1:17" ht="52.5" x14ac:dyDescent="0.4">
      <c r="A445" s="59"/>
      <c r="B445" s="653" t="s">
        <v>405</v>
      </c>
      <c r="C445" s="652" t="s">
        <v>1830</v>
      </c>
      <c r="D445" s="652" t="s">
        <v>1829</v>
      </c>
      <c r="E445" s="652" t="s">
        <v>1503</v>
      </c>
      <c r="F445" s="652" t="s">
        <v>1501</v>
      </c>
      <c r="G445" s="652" t="s">
        <v>1500</v>
      </c>
      <c r="H445" s="180" t="s">
        <v>1499</v>
      </c>
      <c r="I445" s="651" t="s">
        <v>2227</v>
      </c>
      <c r="J445" s="653" t="s">
        <v>405</v>
      </c>
      <c r="K445" s="652" t="s">
        <v>1830</v>
      </c>
      <c r="L445" s="652" t="s">
        <v>1829</v>
      </c>
      <c r="M445" s="652" t="s">
        <v>1503</v>
      </c>
      <c r="N445" s="652" t="s">
        <v>1501</v>
      </c>
      <c r="O445" s="652" t="s">
        <v>1500</v>
      </c>
      <c r="P445" s="180" t="s">
        <v>1499</v>
      </c>
      <c r="Q445" s="651" t="s">
        <v>2227</v>
      </c>
    </row>
    <row r="446" spans="1:17" ht="13.15" x14ac:dyDescent="0.4">
      <c r="A446" s="128" t="s">
        <v>2226</v>
      </c>
      <c r="B446" s="650"/>
      <c r="C446" s="198"/>
      <c r="D446" s="198"/>
      <c r="E446" s="198"/>
      <c r="I446" s="99"/>
      <c r="J446" s="198"/>
      <c r="K446" s="198"/>
      <c r="L446" s="198"/>
      <c r="M446" s="198"/>
      <c r="Q446" s="99"/>
    </row>
    <row r="447" spans="1:17" x14ac:dyDescent="0.35">
      <c r="A447" s="59" t="s">
        <v>1537</v>
      </c>
      <c r="B447" s="232">
        <v>72.666279678756837</v>
      </c>
      <c r="C447" s="145">
        <v>5.6803109834444143</v>
      </c>
      <c r="D447" s="145">
        <v>3.5719143438897927</v>
      </c>
      <c r="E447" s="145">
        <v>19.238828987346849</v>
      </c>
      <c r="F447" s="145">
        <v>2.1919939696688395</v>
      </c>
      <c r="G447" s="145">
        <v>0</v>
      </c>
      <c r="H447" s="145">
        <v>3.3068580170162711</v>
      </c>
      <c r="I447" s="144"/>
      <c r="J447" s="197">
        <v>0.68131331540675288</v>
      </c>
      <c r="K447" s="197">
        <v>5.3258148425662122E-2</v>
      </c>
      <c r="L447" s="197">
        <v>3.3489987580799796E-2</v>
      </c>
      <c r="M447" s="197">
        <v>0.18038174542386409</v>
      </c>
      <c r="N447" s="197">
        <v>2.0551962828272811E-2</v>
      </c>
      <c r="O447" s="197">
        <v>0</v>
      </c>
      <c r="P447" s="197">
        <v>3.1004840334648329E-2</v>
      </c>
      <c r="Q447" s="196"/>
    </row>
    <row r="448" spans="1:17" x14ac:dyDescent="0.35">
      <c r="A448" s="59" t="s">
        <v>1536</v>
      </c>
      <c r="B448" s="232">
        <v>68.148415864452232</v>
      </c>
      <c r="C448" s="145">
        <v>4.6081531183653031</v>
      </c>
      <c r="D448" s="145">
        <v>2.7577370378187331</v>
      </c>
      <c r="E448" s="145">
        <v>16.920222659443844</v>
      </c>
      <c r="F448" s="145">
        <v>1.8108721187055161</v>
      </c>
      <c r="G448" s="145">
        <v>0</v>
      </c>
      <c r="H448" s="145">
        <v>2.8478699408965955</v>
      </c>
      <c r="I448" s="144"/>
      <c r="J448" s="197">
        <v>0.70188608690674004</v>
      </c>
      <c r="K448" s="197">
        <v>4.7461096770756342E-2</v>
      </c>
      <c r="L448" s="197">
        <v>2.8402967752652299E-2</v>
      </c>
      <c r="M448" s="197">
        <v>0.17426771732521842</v>
      </c>
      <c r="N448" s="197">
        <v>1.8650850928285896E-2</v>
      </c>
      <c r="O448" s="197">
        <v>0</v>
      </c>
      <c r="P448" s="197">
        <v>2.9331280316347044E-2</v>
      </c>
      <c r="Q448" s="196"/>
    </row>
    <row r="449" spans="1:17" x14ac:dyDescent="0.35">
      <c r="A449" s="59" t="s">
        <v>1535</v>
      </c>
      <c r="B449" s="232">
        <v>10.63518825005289</v>
      </c>
      <c r="C449" s="145">
        <v>1.0212980724804208</v>
      </c>
      <c r="D449" s="145">
        <v>1.4493253938466182</v>
      </c>
      <c r="E449" s="145">
        <v>5.4552320060191715</v>
      </c>
      <c r="F449" s="145">
        <v>0.77998673706457455</v>
      </c>
      <c r="G449" s="145">
        <v>0</v>
      </c>
      <c r="H449" s="145">
        <v>0.51834695331396963</v>
      </c>
      <c r="I449" s="144"/>
      <c r="J449" s="197">
        <v>0.53552475634055596</v>
      </c>
      <c r="K449" s="197">
        <v>5.1426489927288016E-2</v>
      </c>
      <c r="L449" s="197">
        <v>7.2979397275269725E-2</v>
      </c>
      <c r="M449" s="197">
        <v>0.27469300233496952</v>
      </c>
      <c r="N449" s="197">
        <v>3.9275487889299403E-2</v>
      </c>
      <c r="O449" s="197">
        <v>0</v>
      </c>
      <c r="P449" s="197">
        <v>2.6100866232617242E-2</v>
      </c>
      <c r="Q449" s="196"/>
    </row>
    <row r="450" spans="1:17" x14ac:dyDescent="0.35">
      <c r="A450" s="59" t="s">
        <v>1534</v>
      </c>
      <c r="B450" s="232">
        <v>46.960276159095315</v>
      </c>
      <c r="C450" s="145">
        <v>2.5881334561508744</v>
      </c>
      <c r="D450" s="145">
        <v>1.010991431585937</v>
      </c>
      <c r="E450" s="145">
        <v>8.5507972938547567</v>
      </c>
      <c r="F450" s="145">
        <v>0.84290704782065473</v>
      </c>
      <c r="G450" s="145">
        <v>0</v>
      </c>
      <c r="H450" s="145">
        <v>1.7977417504370385</v>
      </c>
      <c r="I450" s="144"/>
      <c r="J450" s="197">
        <v>0.76047986926285815</v>
      </c>
      <c r="K450" s="197">
        <v>4.1912517415791196E-2</v>
      </c>
      <c r="L450" s="197">
        <v>1.6372106269426905E-2</v>
      </c>
      <c r="M450" s="197">
        <v>0.13847255041885898</v>
      </c>
      <c r="N450" s="197">
        <v>1.3650129299830385E-2</v>
      </c>
      <c r="O450" s="197">
        <v>0</v>
      </c>
      <c r="P450" s="197">
        <v>2.9112827333234295E-2</v>
      </c>
      <c r="Q450" s="196"/>
    </row>
    <row r="451" spans="1:17" x14ac:dyDescent="0.35">
      <c r="A451" s="59" t="s">
        <v>1533</v>
      </c>
      <c r="B451" s="232">
        <v>10.552951455304017</v>
      </c>
      <c r="C451" s="145">
        <v>0.99872158973400837</v>
      </c>
      <c r="D451" s="145">
        <v>0.29742021238617872</v>
      </c>
      <c r="E451" s="145">
        <v>2.9141933595699161</v>
      </c>
      <c r="F451" s="145">
        <v>0.18797833382028681</v>
      </c>
      <c r="G451" s="145">
        <v>0</v>
      </c>
      <c r="H451" s="145">
        <v>0.53178123714558712</v>
      </c>
      <c r="I451" s="144"/>
      <c r="J451" s="197">
        <v>0.68158108728696143</v>
      </c>
      <c r="K451" s="197">
        <v>6.4504205284270172E-2</v>
      </c>
      <c r="L451" s="197">
        <v>1.920941194488331E-2</v>
      </c>
      <c r="M451" s="197">
        <v>0.18821834697077025</v>
      </c>
      <c r="N451" s="197">
        <v>1.2140914102966603E-2</v>
      </c>
      <c r="O451" s="197">
        <v>0</v>
      </c>
      <c r="P451" s="197">
        <v>3.4346034410148149E-2</v>
      </c>
      <c r="Q451" s="196"/>
    </row>
    <row r="452" spans="1:17" x14ac:dyDescent="0.35">
      <c r="A452" s="59" t="s">
        <v>1532</v>
      </c>
      <c r="B452" s="49">
        <v>3931.2576061102764</v>
      </c>
      <c r="C452" s="48">
        <v>1397.8840182630215</v>
      </c>
      <c r="D452" s="48">
        <v>1126.9153617327945</v>
      </c>
      <c r="E452" s="48">
        <v>3281.2011659047384</v>
      </c>
      <c r="F452" s="48">
        <v>484.50001025867937</v>
      </c>
      <c r="G452" s="48">
        <v>0</v>
      </c>
      <c r="H452" s="48">
        <v>599.6586097991509</v>
      </c>
      <c r="I452" s="47"/>
      <c r="J452" s="197">
        <v>0.3632849273726626</v>
      </c>
      <c r="K452" s="197">
        <v>0.12917754187890845</v>
      </c>
      <c r="L452" s="197">
        <v>0.10413750671182859</v>
      </c>
      <c r="M452" s="197">
        <v>0.30321363967552767</v>
      </c>
      <c r="N452" s="197">
        <v>4.4772326994116929E-2</v>
      </c>
      <c r="O452" s="197">
        <v>0</v>
      </c>
      <c r="P452" s="197">
        <v>5.541405736695585E-2</v>
      </c>
      <c r="Q452" s="196"/>
    </row>
    <row r="453" spans="1:17" ht="13.15" x14ac:dyDescent="0.4">
      <c r="A453" s="128" t="s">
        <v>2225</v>
      </c>
      <c r="B453" s="232"/>
      <c r="C453" s="145"/>
      <c r="D453" s="145"/>
      <c r="E453" s="145"/>
      <c r="F453" s="145"/>
      <c r="G453" s="145"/>
      <c r="H453" s="145"/>
      <c r="I453" s="144"/>
      <c r="J453" s="197"/>
      <c r="K453" s="197"/>
      <c r="L453" s="197"/>
      <c r="M453" s="197"/>
      <c r="N453" s="197"/>
      <c r="O453" s="197"/>
      <c r="P453" s="197"/>
      <c r="Q453" s="196"/>
    </row>
    <row r="454" spans="1:17" x14ac:dyDescent="0.35">
      <c r="A454" s="59" t="s">
        <v>1525</v>
      </c>
      <c r="B454" s="232">
        <v>854.62935696488216</v>
      </c>
      <c r="C454" s="145">
        <v>64.663181096816032</v>
      </c>
      <c r="D454" s="145">
        <v>138.23377837974147</v>
      </c>
      <c r="E454" s="145">
        <v>1132.6059688172954</v>
      </c>
      <c r="F454" s="145">
        <v>68.70711917113033</v>
      </c>
      <c r="G454" s="145">
        <v>0</v>
      </c>
      <c r="H454" s="145">
        <v>60.546515483756274</v>
      </c>
      <c r="I454" s="144"/>
      <c r="J454" s="197">
        <v>0.36847225363716546</v>
      </c>
      <c r="K454" s="197">
        <v>2.7879440218048845E-2</v>
      </c>
      <c r="L454" s="197">
        <v>5.9599300484194359E-2</v>
      </c>
      <c r="M454" s="197">
        <v>0.488321481601249</v>
      </c>
      <c r="N454" s="197">
        <v>2.9622978470822622E-2</v>
      </c>
      <c r="O454" s="197">
        <v>0</v>
      </c>
      <c r="P454" s="197">
        <v>2.6104545588519892E-2</v>
      </c>
      <c r="Q454" s="196"/>
    </row>
    <row r="455" spans="1:17" x14ac:dyDescent="0.35">
      <c r="A455" s="59" t="s">
        <v>1524</v>
      </c>
      <c r="B455" s="232">
        <v>3995.3160124660312</v>
      </c>
      <c r="C455" s="145">
        <v>302.46749744603426</v>
      </c>
      <c r="D455" s="145">
        <v>903.86286980244824</v>
      </c>
      <c r="E455" s="145">
        <v>3339.143256618383</v>
      </c>
      <c r="F455" s="145">
        <v>450.52394030327002</v>
      </c>
      <c r="G455" s="145">
        <v>0</v>
      </c>
      <c r="H455" s="145">
        <v>241.30102269926766</v>
      </c>
      <c r="I455" s="144"/>
      <c r="J455" s="197">
        <v>0.43273939028643255</v>
      </c>
      <c r="K455" s="197">
        <v>3.2760762857772269E-2</v>
      </c>
      <c r="L455" s="197">
        <v>9.7898906109165282E-2</v>
      </c>
      <c r="M455" s="197">
        <v>0.36166821659150983</v>
      </c>
      <c r="N455" s="197">
        <v>4.8797004949789509E-2</v>
      </c>
      <c r="O455" s="197">
        <v>0</v>
      </c>
      <c r="P455" s="197">
        <v>2.6135719205330699E-2</v>
      </c>
      <c r="Q455" s="196"/>
    </row>
    <row r="456" spans="1:17" x14ac:dyDescent="0.35">
      <c r="A456" s="59" t="s">
        <v>1523</v>
      </c>
      <c r="B456" s="232">
        <v>5079.3212095386671</v>
      </c>
      <c r="C456" s="145">
        <v>395.39683694908001</v>
      </c>
      <c r="D456" s="145">
        <v>276.96055893594632</v>
      </c>
      <c r="E456" s="145">
        <v>1447.1131833556233</v>
      </c>
      <c r="F456" s="145">
        <v>204.14975716912645</v>
      </c>
      <c r="G456" s="145">
        <v>0</v>
      </c>
      <c r="H456" s="145">
        <v>222.13449537599922</v>
      </c>
      <c r="I456" s="144"/>
      <c r="J456" s="197">
        <v>0.66613384338871606</v>
      </c>
      <c r="K456" s="197">
        <v>5.1854805749635684E-2</v>
      </c>
      <c r="L456" s="197">
        <v>3.6322334024598064E-2</v>
      </c>
      <c r="M456" s="197">
        <v>0.18978344288147794</v>
      </c>
      <c r="N456" s="197">
        <v>2.6773471643132169E-2</v>
      </c>
      <c r="O456" s="197">
        <v>0</v>
      </c>
      <c r="P456" s="197">
        <v>2.9132102312440077E-2</v>
      </c>
      <c r="Q456" s="196"/>
    </row>
    <row r="457" spans="1:17" x14ac:dyDescent="0.35">
      <c r="A457" s="59" t="s">
        <v>1522</v>
      </c>
      <c r="B457" s="232">
        <v>1813.3775190003405</v>
      </c>
      <c r="C457" s="145">
        <v>139.7963759857347</v>
      </c>
      <c r="D457" s="145">
        <v>139.48514135574925</v>
      </c>
      <c r="E457" s="145">
        <v>659.44002100505827</v>
      </c>
      <c r="F457" s="145">
        <v>70.761839778085744</v>
      </c>
      <c r="G457" s="145">
        <v>0</v>
      </c>
      <c r="H457" s="145">
        <v>77.791264511275244</v>
      </c>
      <c r="I457" s="144"/>
      <c r="J457" s="197">
        <v>0.62516200424990753</v>
      </c>
      <c r="K457" s="197">
        <v>4.8194808682912281E-2</v>
      </c>
      <c r="L457" s="197">
        <v>4.8087510526276404E-2</v>
      </c>
      <c r="M457" s="197">
        <v>0.2273419852703302</v>
      </c>
      <c r="N457" s="197">
        <v>2.4395148344215578E-2</v>
      </c>
      <c r="O457" s="197">
        <v>0</v>
      </c>
      <c r="P457" s="197">
        <v>2.6818542926358182E-2</v>
      </c>
      <c r="Q457" s="196"/>
    </row>
    <row r="458" spans="1:17" x14ac:dyDescent="0.35">
      <c r="A458" s="59" t="s">
        <v>1521</v>
      </c>
      <c r="B458" s="232">
        <v>503.09534032167312</v>
      </c>
      <c r="C458" s="145">
        <v>62.108575393533336</v>
      </c>
      <c r="D458" s="145">
        <v>68.245864315811488</v>
      </c>
      <c r="E458" s="145">
        <v>292.1942187307456</v>
      </c>
      <c r="F458" s="145">
        <v>35.251245321228716</v>
      </c>
      <c r="G458" s="145">
        <v>0</v>
      </c>
      <c r="H458" s="145">
        <v>34.801264219557993</v>
      </c>
      <c r="I458" s="144"/>
      <c r="J458" s="197">
        <v>0.50526976455842265</v>
      </c>
      <c r="K458" s="197">
        <v>6.2377014356930091E-2</v>
      </c>
      <c r="L458" s="197">
        <v>6.8540829205232523E-2</v>
      </c>
      <c r="M458" s="197">
        <v>0.29345710896272431</v>
      </c>
      <c r="N458" s="197">
        <v>3.5403604438991709E-2</v>
      </c>
      <c r="O458" s="197">
        <v>0</v>
      </c>
      <c r="P458" s="197">
        <v>3.49516784776987E-2</v>
      </c>
      <c r="Q458" s="196"/>
    </row>
    <row r="459" spans="1:17" x14ac:dyDescent="0.35">
      <c r="A459" s="59" t="s">
        <v>1520</v>
      </c>
      <c r="B459" s="232">
        <v>11858.267288791551</v>
      </c>
      <c r="C459" s="145">
        <v>3983.1837605300184</v>
      </c>
      <c r="D459" s="145">
        <v>2817.0533768717414</v>
      </c>
      <c r="E459" s="145">
        <v>5041.7221605046834</v>
      </c>
      <c r="F459" s="145">
        <v>2630.5979400908386</v>
      </c>
      <c r="G459" s="145">
        <v>0</v>
      </c>
      <c r="H459" s="145">
        <v>1419.5018183932939</v>
      </c>
      <c r="I459" s="144"/>
      <c r="J459" s="197">
        <v>0.42731992198175794</v>
      </c>
      <c r="K459" s="197">
        <v>0.1435364655169743</v>
      </c>
      <c r="L459" s="197">
        <v>0.10151424317793017</v>
      </c>
      <c r="M459" s="197">
        <v>0.18168154485073293</v>
      </c>
      <c r="N459" s="197">
        <v>9.4795207356094729E-2</v>
      </c>
      <c r="O459" s="197">
        <v>0</v>
      </c>
      <c r="P459" s="197">
        <v>5.1152617116509709E-2</v>
      </c>
      <c r="Q459" s="196"/>
    </row>
    <row r="460" spans="1:17" x14ac:dyDescent="0.35">
      <c r="A460" s="59" t="s">
        <v>1519</v>
      </c>
      <c r="B460" s="232">
        <v>38.92145185777273</v>
      </c>
      <c r="C460" s="145">
        <v>3.9149568550899887</v>
      </c>
      <c r="D460" s="145">
        <v>2.424190030880859</v>
      </c>
      <c r="E460" s="145">
        <v>10.301074776844665</v>
      </c>
      <c r="F460" s="145">
        <v>2.1085257415684926</v>
      </c>
      <c r="G460" s="145">
        <v>0</v>
      </c>
      <c r="H460" s="145">
        <v>1.9710850388118977</v>
      </c>
      <c r="I460" s="144"/>
      <c r="J460" s="197">
        <v>0.65259245024575374</v>
      </c>
      <c r="K460" s="197">
        <v>6.5641726213236593E-2</v>
      </c>
      <c r="L460" s="197">
        <v>4.0646174194499826E-2</v>
      </c>
      <c r="M460" s="197">
        <v>0.17271718571421449</v>
      </c>
      <c r="N460" s="197">
        <v>3.5353459709690525E-2</v>
      </c>
      <c r="O460" s="197">
        <v>0</v>
      </c>
      <c r="P460" s="197">
        <v>3.304900392260475E-2</v>
      </c>
      <c r="Q460" s="196"/>
    </row>
    <row r="461" spans="1:17" x14ac:dyDescent="0.35">
      <c r="A461" s="59" t="s">
        <v>1518</v>
      </c>
      <c r="B461" s="232">
        <v>73.9009627827798</v>
      </c>
      <c r="C461" s="145">
        <v>4.4708635724205186</v>
      </c>
      <c r="D461" s="145">
        <v>2.9835514582425837</v>
      </c>
      <c r="E461" s="145">
        <v>18.077771837951929</v>
      </c>
      <c r="F461" s="145">
        <v>2.2699922302680453</v>
      </c>
      <c r="G461" s="145">
        <v>0</v>
      </c>
      <c r="H461" s="145">
        <v>2.856608952664613</v>
      </c>
      <c r="I461" s="144"/>
      <c r="J461" s="197">
        <v>0.70678212403044227</v>
      </c>
      <c r="K461" s="197">
        <v>4.2758934836259296E-2</v>
      </c>
      <c r="L461" s="197">
        <v>2.853441629724187E-2</v>
      </c>
      <c r="M461" s="197">
        <v>0.17289417480150404</v>
      </c>
      <c r="N461" s="197">
        <v>2.1710000379254874E-2</v>
      </c>
      <c r="O461" s="197">
        <v>0</v>
      </c>
      <c r="P461" s="197">
        <v>2.7320349655297511E-2</v>
      </c>
      <c r="Q461" s="196"/>
    </row>
    <row r="462" spans="1:17" x14ac:dyDescent="0.35">
      <c r="A462" s="59" t="s">
        <v>1531</v>
      </c>
      <c r="B462" s="232">
        <v>12964.739213923502</v>
      </c>
      <c r="C462" s="145">
        <v>987.7352202701353</v>
      </c>
      <c r="D462" s="145">
        <v>439.06985810596927</v>
      </c>
      <c r="E462" s="145">
        <v>2836.8477338626844</v>
      </c>
      <c r="F462" s="145">
        <v>297.75452188980501</v>
      </c>
      <c r="G462" s="145">
        <v>0</v>
      </c>
      <c r="H462" s="145">
        <v>616.04223462388416</v>
      </c>
      <c r="I462" s="144"/>
      <c r="J462" s="197">
        <v>0.71461825082007546</v>
      </c>
      <c r="K462" s="197">
        <v>5.4444104407805866E-2</v>
      </c>
      <c r="L462" s="197">
        <v>2.4201592396901866E-2</v>
      </c>
      <c r="M462" s="197">
        <v>0.15636744649970777</v>
      </c>
      <c r="N462" s="197">
        <v>1.6412271168412245E-2</v>
      </c>
      <c r="O462" s="197">
        <v>0</v>
      </c>
      <c r="P462" s="197">
        <v>3.3956334707096886E-2</v>
      </c>
      <c r="Q462" s="196"/>
    </row>
    <row r="463" spans="1:17" x14ac:dyDescent="0.35">
      <c r="A463" s="59" t="s">
        <v>1530</v>
      </c>
      <c r="B463" s="232">
        <v>123.27510555680811</v>
      </c>
      <c r="C463" s="145">
        <v>10.540692957690629</v>
      </c>
      <c r="D463" s="145">
        <v>3.3835046304052088</v>
      </c>
      <c r="E463" s="145">
        <v>25.02419236107017</v>
      </c>
      <c r="F463" s="145">
        <v>2.4758777626103612</v>
      </c>
      <c r="G463" s="145">
        <v>0</v>
      </c>
      <c r="H463" s="145">
        <v>6.5403176488068855</v>
      </c>
      <c r="I463" s="144"/>
      <c r="J463" s="197">
        <v>0.71989796814266549</v>
      </c>
      <c r="K463" s="197">
        <v>6.1555197286449315E-2</v>
      </c>
      <c r="L463" s="197">
        <v>1.9758880737745916E-2</v>
      </c>
      <c r="M463" s="197">
        <v>0.14613546793390453</v>
      </c>
      <c r="N463" s="197">
        <v>1.4458550756230704E-2</v>
      </c>
      <c r="O463" s="197">
        <v>0</v>
      </c>
      <c r="P463" s="197">
        <v>3.8193935143003926E-2</v>
      </c>
      <c r="Q463" s="196"/>
    </row>
    <row r="464" spans="1:17" x14ac:dyDescent="0.35">
      <c r="A464" s="59" t="s">
        <v>1529</v>
      </c>
      <c r="B464" s="49">
        <v>4188179.1418117131</v>
      </c>
      <c r="C464" s="48">
        <v>283813.3318181379</v>
      </c>
      <c r="D464" s="48">
        <v>245249.96233971589</v>
      </c>
      <c r="E464" s="48">
        <v>1239742.2982751688</v>
      </c>
      <c r="F464" s="48">
        <v>150151.58859545336</v>
      </c>
      <c r="G464" s="48">
        <v>0</v>
      </c>
      <c r="H464" s="48">
        <v>169818.82800542389</v>
      </c>
      <c r="I464" s="47"/>
      <c r="J464" s="197">
        <v>0.66723101267459173</v>
      </c>
      <c r="K464" s="197">
        <v>4.5215128194743173E-2</v>
      </c>
      <c r="L464" s="197">
        <v>3.9071485528564993E-2</v>
      </c>
      <c r="M464" s="197">
        <v>0.19750695496177861</v>
      </c>
      <c r="N464" s="197">
        <v>2.3921086735059015E-2</v>
      </c>
      <c r="O464" s="197">
        <v>0</v>
      </c>
      <c r="P464" s="197">
        <v>2.7054331905262439E-2</v>
      </c>
      <c r="Q464" s="196"/>
    </row>
    <row r="465" spans="1:17" x14ac:dyDescent="0.35">
      <c r="A465" s="59" t="s">
        <v>1528</v>
      </c>
      <c r="B465" s="49">
        <v>4197121.0903747957</v>
      </c>
      <c r="C465" s="48">
        <v>284490.17146663816</v>
      </c>
      <c r="D465" s="48">
        <v>247101.14688726037</v>
      </c>
      <c r="E465" s="48">
        <v>1248519.4786621926</v>
      </c>
      <c r="F465" s="48">
        <v>151073.69197544185</v>
      </c>
      <c r="G465" s="48">
        <v>0</v>
      </c>
      <c r="H465" s="48">
        <v>170386.71863339949</v>
      </c>
      <c r="I465" s="47"/>
      <c r="J465" s="197">
        <v>0.66634801190521287</v>
      </c>
      <c r="K465" s="197">
        <v>4.5166545372756738E-2</v>
      </c>
      <c r="L465" s="197">
        <v>3.9230547421046764E-2</v>
      </c>
      <c r="M465" s="197">
        <v>0.19821883965639725</v>
      </c>
      <c r="N465" s="197">
        <v>2.3984929700950501E-2</v>
      </c>
      <c r="O465" s="197">
        <v>0</v>
      </c>
      <c r="P465" s="197">
        <v>2.7051125943635807E-2</v>
      </c>
      <c r="Q465" s="196"/>
    </row>
    <row r="466" spans="1:17" x14ac:dyDescent="0.35">
      <c r="A466" s="59" t="s">
        <v>1527</v>
      </c>
      <c r="B466" s="49">
        <v>4721250.1120242355</v>
      </c>
      <c r="C466" s="48">
        <v>329163.7542575472</v>
      </c>
      <c r="D466" s="48">
        <v>269605.51102943619</v>
      </c>
      <c r="E466" s="48">
        <v>1361408.5659946604</v>
      </c>
      <c r="F466" s="48">
        <v>163808.77506184796</v>
      </c>
      <c r="G466" s="48">
        <v>0</v>
      </c>
      <c r="H466" s="48">
        <v>195575.80870309527</v>
      </c>
      <c r="I466" s="47"/>
      <c r="J466" s="197">
        <v>0.67055472559051499</v>
      </c>
      <c r="K466" s="197">
        <v>4.6750819311260468E-2</v>
      </c>
      <c r="L466" s="197">
        <v>3.8291817882218165E-2</v>
      </c>
      <c r="M466" s="197">
        <v>0.19335958183238902</v>
      </c>
      <c r="N466" s="197">
        <v>2.3265606694117882E-2</v>
      </c>
      <c r="O466" s="197">
        <v>0</v>
      </c>
      <c r="P466" s="197">
        <v>2.777744868949953E-2</v>
      </c>
      <c r="Q466" s="196"/>
    </row>
    <row r="467" spans="1:17" ht="13.15" x14ac:dyDescent="0.4">
      <c r="A467" s="128" t="s">
        <v>2224</v>
      </c>
      <c r="B467" s="232"/>
      <c r="C467" s="145"/>
      <c r="D467" s="145"/>
      <c r="E467" s="145"/>
      <c r="F467" s="145"/>
      <c r="G467" s="145"/>
      <c r="H467" s="145"/>
      <c r="I467" s="144"/>
      <c r="J467" s="197"/>
      <c r="K467" s="197"/>
      <c r="L467" s="197"/>
      <c r="M467" s="197"/>
      <c r="N467" s="197"/>
      <c r="O467" s="197"/>
      <c r="P467" s="197"/>
      <c r="Q467" s="196"/>
    </row>
    <row r="468" spans="1:17" x14ac:dyDescent="0.35">
      <c r="A468" s="59" t="s">
        <v>1525</v>
      </c>
      <c r="B468" s="232">
        <v>44.044281685139282</v>
      </c>
      <c r="C468" s="145">
        <v>3.2067851670819834</v>
      </c>
      <c r="D468" s="145">
        <v>1.5748424014103084</v>
      </c>
      <c r="E468" s="145">
        <v>10.718971762966039</v>
      </c>
      <c r="F468" s="145">
        <v>1.099807707580192</v>
      </c>
      <c r="G468" s="145">
        <v>0</v>
      </c>
      <c r="H468" s="145">
        <v>1.8762141235538152</v>
      </c>
      <c r="I468" s="144"/>
      <c r="J468" s="197">
        <v>0.70447289912636457</v>
      </c>
      <c r="K468" s="197">
        <v>5.1291408489286261E-2</v>
      </c>
      <c r="L468" s="197">
        <v>2.5189054055182226E-2</v>
      </c>
      <c r="M468" s="197">
        <v>0.17144620878351474</v>
      </c>
      <c r="N468" s="197">
        <v>1.7591040075968688E-2</v>
      </c>
      <c r="O468" s="197">
        <v>0</v>
      </c>
      <c r="P468" s="197">
        <v>3.0009389469683383E-2</v>
      </c>
      <c r="Q468" s="196"/>
    </row>
    <row r="469" spans="1:17" x14ac:dyDescent="0.35">
      <c r="A469" s="59" t="s">
        <v>1524</v>
      </c>
      <c r="B469" s="232">
        <v>188.17457044668504</v>
      </c>
      <c r="C469" s="145">
        <v>12.174637138064254</v>
      </c>
      <c r="D469" s="145">
        <v>7.5064186100572403</v>
      </c>
      <c r="E469" s="145">
        <v>42.034939052714762</v>
      </c>
      <c r="F469" s="145">
        <v>5.1791798995719418</v>
      </c>
      <c r="G469" s="145">
        <v>0</v>
      </c>
      <c r="H469" s="145">
        <v>7.4153660118366229</v>
      </c>
      <c r="I469" s="144"/>
      <c r="J469" s="197">
        <v>0.71689616838018977</v>
      </c>
      <c r="K469" s="197">
        <v>4.6382200820117125E-2</v>
      </c>
      <c r="L469" s="197">
        <v>2.8597502452290494E-2</v>
      </c>
      <c r="M469" s="197">
        <v>0.16014218432093613</v>
      </c>
      <c r="N469" s="197">
        <v>1.9731328290220788E-2</v>
      </c>
      <c r="O469" s="197">
        <v>0</v>
      </c>
      <c r="P469" s="197">
        <v>2.8250615736245533E-2</v>
      </c>
      <c r="Q469" s="196"/>
    </row>
    <row r="470" spans="1:17" x14ac:dyDescent="0.35">
      <c r="A470" s="59" t="s">
        <v>1523</v>
      </c>
      <c r="B470" s="232">
        <v>339.73422933263998</v>
      </c>
      <c r="C470" s="145">
        <v>26.127619054940656</v>
      </c>
      <c r="D470" s="145">
        <v>19.338317418015436</v>
      </c>
      <c r="E470" s="145">
        <v>87.967556624577583</v>
      </c>
      <c r="F470" s="145">
        <v>12.144766363898562</v>
      </c>
      <c r="G470" s="145">
        <v>0</v>
      </c>
      <c r="H470" s="145">
        <v>14.448862245408499</v>
      </c>
      <c r="I470" s="144"/>
      <c r="J470" s="197">
        <v>0.67979292241388478</v>
      </c>
      <c r="K470" s="197">
        <v>5.2280191336517727E-2</v>
      </c>
      <c r="L470" s="197">
        <v>3.8695103928690404E-2</v>
      </c>
      <c r="M470" s="197">
        <v>0.17601912681244575</v>
      </c>
      <c r="N470" s="197">
        <v>2.4301131607392213E-2</v>
      </c>
      <c r="O470" s="197">
        <v>0</v>
      </c>
      <c r="P470" s="197">
        <v>2.8911523901069033E-2</v>
      </c>
      <c r="Q470" s="196"/>
    </row>
    <row r="471" spans="1:17" x14ac:dyDescent="0.35">
      <c r="A471" s="59" t="s">
        <v>1522</v>
      </c>
      <c r="B471" s="232">
        <v>27.194704345765555</v>
      </c>
      <c r="C471" s="145">
        <v>2.6434507007170218</v>
      </c>
      <c r="D471" s="145">
        <v>2.2848524678174806</v>
      </c>
      <c r="E471" s="145">
        <v>8.6356937192962846</v>
      </c>
      <c r="F471" s="145">
        <v>1.3447392412506531</v>
      </c>
      <c r="G471" s="145">
        <v>0</v>
      </c>
      <c r="H471" s="145">
        <v>1.2816962078780738</v>
      </c>
      <c r="I471" s="144"/>
      <c r="J471" s="197">
        <v>0.62682075994458797</v>
      </c>
      <c r="K471" s="197">
        <v>6.0929869140404963E-2</v>
      </c>
      <c r="L471" s="197">
        <v>5.2664406350187994E-2</v>
      </c>
      <c r="M471" s="197">
        <v>0.19904728622728557</v>
      </c>
      <c r="N471" s="197">
        <v>3.0995390220496785E-2</v>
      </c>
      <c r="O471" s="197">
        <v>0</v>
      </c>
      <c r="P471" s="197">
        <v>2.9542288117036509E-2</v>
      </c>
      <c r="Q471" s="196"/>
    </row>
    <row r="472" spans="1:17" x14ac:dyDescent="0.35">
      <c r="A472" s="59" t="s">
        <v>1521</v>
      </c>
      <c r="B472" s="232">
        <v>20.293916981188811</v>
      </c>
      <c r="C472" s="145">
        <v>1.9321083916593178</v>
      </c>
      <c r="D472" s="145">
        <v>1.6684352030132386</v>
      </c>
      <c r="E472" s="145">
        <v>6.4216496630454927</v>
      </c>
      <c r="F472" s="145">
        <v>0.98001592295129403</v>
      </c>
      <c r="G472" s="145">
        <v>0</v>
      </c>
      <c r="H472" s="145">
        <v>0.94350736408377922</v>
      </c>
      <c r="I472" s="144"/>
      <c r="J472" s="197">
        <v>0.62947108145193742</v>
      </c>
      <c r="K472" s="197">
        <v>5.9929601560285345E-2</v>
      </c>
      <c r="L472" s="197">
        <v>5.1751059814954647E-2</v>
      </c>
      <c r="M472" s="197">
        <v>0.19918494600375183</v>
      </c>
      <c r="N472" s="197">
        <v>3.0397861754933243E-2</v>
      </c>
      <c r="O472" s="197">
        <v>0</v>
      </c>
      <c r="P472" s="197">
        <v>2.9265449414137314E-2</v>
      </c>
      <c r="Q472" s="196"/>
    </row>
    <row r="473" spans="1:17" x14ac:dyDescent="0.35">
      <c r="A473" s="59" t="s">
        <v>1520</v>
      </c>
      <c r="B473" s="232">
        <v>827.74125698662795</v>
      </c>
      <c r="C473" s="145">
        <v>83.458032866919453</v>
      </c>
      <c r="D473" s="145">
        <v>74.375490971821776</v>
      </c>
      <c r="E473" s="145">
        <v>262.05615473232785</v>
      </c>
      <c r="F473" s="145">
        <v>42.807626125028946</v>
      </c>
      <c r="G473" s="145">
        <v>0</v>
      </c>
      <c r="H473" s="145">
        <v>40.141285831596605</v>
      </c>
      <c r="I473" s="144"/>
      <c r="J473" s="197">
        <v>0.62209063103799789</v>
      </c>
      <c r="K473" s="197">
        <v>6.2723054931899599E-2</v>
      </c>
      <c r="L473" s="197">
        <v>5.5897052033941304E-2</v>
      </c>
      <c r="M473" s="197">
        <v>0.19694883792346557</v>
      </c>
      <c r="N473" s="197">
        <v>3.2172158780999542E-2</v>
      </c>
      <c r="O473" s="197">
        <v>0</v>
      </c>
      <c r="P473" s="197">
        <v>3.0168265291696084E-2</v>
      </c>
      <c r="Q473" s="196"/>
    </row>
    <row r="474" spans="1:17" x14ac:dyDescent="0.35">
      <c r="A474" s="59" t="s">
        <v>1519</v>
      </c>
      <c r="B474" s="232">
        <v>1.4106386682961101</v>
      </c>
      <c r="C474" s="145">
        <v>0.12604849620960332</v>
      </c>
      <c r="D474" s="145">
        <v>0.10174332389134906</v>
      </c>
      <c r="E474" s="145">
        <v>0.4343301441409031</v>
      </c>
      <c r="F474" s="145">
        <v>6.14855117944745E-2</v>
      </c>
      <c r="G474" s="145">
        <v>0</v>
      </c>
      <c r="H474" s="145">
        <v>6.3010187013697871E-2</v>
      </c>
      <c r="I474" s="144"/>
      <c r="J474" s="197">
        <v>0.64200004713691705</v>
      </c>
      <c r="K474" s="197">
        <v>5.7366313802987359E-2</v>
      </c>
      <c r="L474" s="197">
        <v>4.6304713036833769E-2</v>
      </c>
      <c r="M474" s="197">
        <v>0.1976693105600533</v>
      </c>
      <c r="N474" s="197">
        <v>2.798285794757761E-2</v>
      </c>
      <c r="O474" s="197">
        <v>0</v>
      </c>
      <c r="P474" s="197">
        <v>2.8676757515630869E-2</v>
      </c>
      <c r="Q474" s="196"/>
    </row>
    <row r="475" spans="1:17" x14ac:dyDescent="0.35">
      <c r="A475" s="57" t="s">
        <v>1518</v>
      </c>
      <c r="B475" s="231">
        <v>3.2524256547056014</v>
      </c>
      <c r="C475" s="142">
        <v>0.27828870713300791</v>
      </c>
      <c r="D475" s="142">
        <v>0.24604598692651841</v>
      </c>
      <c r="E475" s="142">
        <v>1.002943190330988</v>
      </c>
      <c r="F475" s="142">
        <v>0.14805487365608971</v>
      </c>
      <c r="G475" s="142">
        <v>0</v>
      </c>
      <c r="H475" s="142">
        <v>0.14040398720485342</v>
      </c>
      <c r="I475" s="141"/>
      <c r="J475" s="194">
        <v>0.64173666864604784</v>
      </c>
      <c r="K475" s="194">
        <v>5.4909192952334318E-2</v>
      </c>
      <c r="L475" s="194">
        <v>4.8547376249940828E-2</v>
      </c>
      <c r="M475" s="194">
        <v>0.19789089440770202</v>
      </c>
      <c r="N475" s="194">
        <v>2.9212732736690551E-2</v>
      </c>
      <c r="O475" s="194">
        <v>0</v>
      </c>
      <c r="P475" s="194">
        <v>2.77031350072845E-2</v>
      </c>
      <c r="Q475" s="193"/>
    </row>
    <row r="477" spans="1:17" ht="13.15" x14ac:dyDescent="0.4">
      <c r="A477" s="41" t="s">
        <v>2231</v>
      </c>
    </row>
    <row r="478" spans="1:17" ht="13.15" x14ac:dyDescent="0.4">
      <c r="A478" s="131"/>
      <c r="B478" s="2193" t="s">
        <v>2229</v>
      </c>
      <c r="C478" s="2194"/>
      <c r="D478" s="2194"/>
      <c r="E478" s="2194"/>
      <c r="F478" s="2194"/>
      <c r="G478" s="2194"/>
      <c r="H478" s="2194"/>
      <c r="I478" s="2195"/>
      <c r="J478" s="2194" t="s">
        <v>2228</v>
      </c>
      <c r="K478" s="2194"/>
      <c r="L478" s="2194"/>
      <c r="M478" s="2194"/>
      <c r="N478" s="2194"/>
      <c r="O478" s="2194"/>
      <c r="P478" s="2194"/>
      <c r="Q478" s="2195"/>
    </row>
    <row r="479" spans="1:17" ht="52.5" x14ac:dyDescent="0.4">
      <c r="A479" s="59"/>
      <c r="B479" s="653" t="s">
        <v>405</v>
      </c>
      <c r="C479" s="652" t="s">
        <v>1830</v>
      </c>
      <c r="D479" s="652" t="s">
        <v>1829</v>
      </c>
      <c r="E479" s="652" t="s">
        <v>1503</v>
      </c>
      <c r="F479" s="652" t="s">
        <v>1501</v>
      </c>
      <c r="G479" s="652" t="s">
        <v>1500</v>
      </c>
      <c r="H479" s="180" t="s">
        <v>1499</v>
      </c>
      <c r="I479" s="651" t="s">
        <v>2227</v>
      </c>
      <c r="J479" s="653" t="s">
        <v>405</v>
      </c>
      <c r="K479" s="652" t="s">
        <v>1830</v>
      </c>
      <c r="L479" s="652" t="s">
        <v>1829</v>
      </c>
      <c r="M479" s="652" t="s">
        <v>1503</v>
      </c>
      <c r="N479" s="652" t="s">
        <v>1501</v>
      </c>
      <c r="O479" s="652" t="s">
        <v>1500</v>
      </c>
      <c r="P479" s="180" t="s">
        <v>1499</v>
      </c>
      <c r="Q479" s="651" t="s">
        <v>2227</v>
      </c>
    </row>
    <row r="480" spans="1:17" ht="13.15" x14ac:dyDescent="0.4">
      <c r="A480" s="128" t="s">
        <v>2226</v>
      </c>
      <c r="B480" s="650"/>
      <c r="C480" s="198"/>
      <c r="D480" s="198"/>
      <c r="E480" s="198"/>
      <c r="I480" s="99"/>
      <c r="J480" s="198"/>
      <c r="K480" s="198"/>
      <c r="L480" s="198"/>
      <c r="M480" s="198"/>
      <c r="Q480" s="99"/>
    </row>
    <row r="481" spans="1:17" x14ac:dyDescent="0.35">
      <c r="A481" s="59" t="s">
        <v>1537</v>
      </c>
      <c r="B481" s="232">
        <v>28.567011907078736</v>
      </c>
      <c r="C481" s="145">
        <v>13.119241079426603</v>
      </c>
      <c r="D481" s="145">
        <v>2.1614311272696671</v>
      </c>
      <c r="E481" s="145">
        <v>17.292927742227548</v>
      </c>
      <c r="F481" s="145">
        <v>2.5727894707947061</v>
      </c>
      <c r="G481" s="145"/>
      <c r="H481" s="145">
        <v>2.7803819696294085</v>
      </c>
      <c r="I481" s="144">
        <v>51.539138481306452</v>
      </c>
      <c r="J481" s="197">
        <v>0.2420257965050891</v>
      </c>
      <c r="K481" s="197">
        <v>0.11114899878638389</v>
      </c>
      <c r="L481" s="197">
        <v>1.8312103900468051E-2</v>
      </c>
      <c r="M481" s="197">
        <v>0.14650935926835501</v>
      </c>
      <c r="N481" s="197">
        <v>2.1797219216851262E-2</v>
      </c>
      <c r="O481" s="197"/>
      <c r="P481" s="197">
        <v>2.355598698865664E-2</v>
      </c>
      <c r="Q481" s="196">
        <v>0.43665053533419601</v>
      </c>
    </row>
    <row r="482" spans="1:17" x14ac:dyDescent="0.35">
      <c r="A482" s="59" t="s">
        <v>1536</v>
      </c>
      <c r="B482" s="232">
        <v>26.479180798331971</v>
      </c>
      <c r="C482" s="145">
        <v>11.467731545172606</v>
      </c>
      <c r="D482" s="145">
        <v>1.6687574506265279</v>
      </c>
      <c r="E482" s="145">
        <v>16.062276026843524</v>
      </c>
      <c r="F482" s="145">
        <v>2.1254587304659061</v>
      </c>
      <c r="G482" s="145"/>
      <c r="H482" s="145">
        <v>2.3944681612496042</v>
      </c>
      <c r="I482" s="144">
        <v>47.653994548729386</v>
      </c>
      <c r="J482" s="197">
        <v>0.24551434732372068</v>
      </c>
      <c r="K482" s="197">
        <v>0.10632853965686334</v>
      </c>
      <c r="L482" s="197">
        <v>1.5472680195528441E-2</v>
      </c>
      <c r="M482" s="197">
        <v>0.14892904902527615</v>
      </c>
      <c r="N482" s="197">
        <v>1.9707203819791626E-2</v>
      </c>
      <c r="O482" s="197"/>
      <c r="P482" s="197">
        <v>2.2201452993351623E-2</v>
      </c>
      <c r="Q482" s="196">
        <v>0.44184672698546823</v>
      </c>
    </row>
    <row r="483" spans="1:17" x14ac:dyDescent="0.35">
      <c r="A483" s="59" t="s">
        <v>1535</v>
      </c>
      <c r="B483" s="232">
        <v>11.344215750587605</v>
      </c>
      <c r="C483" s="145">
        <v>2.8356221753635524</v>
      </c>
      <c r="D483" s="145">
        <v>0.87701347742595914</v>
      </c>
      <c r="E483" s="145">
        <v>8.2508527509386091</v>
      </c>
      <c r="F483" s="145">
        <v>0.91548685454751932</v>
      </c>
      <c r="G483" s="145"/>
      <c r="H483" s="145">
        <v>0.43582231701222951</v>
      </c>
      <c r="I483" s="144">
        <v>9.4473970889554764</v>
      </c>
      <c r="J483" s="197">
        <v>0.33261242131932622</v>
      </c>
      <c r="K483" s="197">
        <v>8.3140446059093376E-2</v>
      </c>
      <c r="L483" s="197">
        <v>2.571403635735867E-2</v>
      </c>
      <c r="M483" s="197">
        <v>0.24191501393974846</v>
      </c>
      <c r="N483" s="197">
        <v>2.6842075827171366E-2</v>
      </c>
      <c r="O483" s="197"/>
      <c r="P483" s="197">
        <v>1.2778310930742661E-2</v>
      </c>
      <c r="Q483" s="196">
        <v>0.27699769556655957</v>
      </c>
    </row>
    <row r="484" spans="1:17" x14ac:dyDescent="0.35">
      <c r="A484" s="59" t="s">
        <v>1534</v>
      </c>
      <c r="B484" s="232">
        <v>12.248858856856577</v>
      </c>
      <c r="C484" s="145">
        <v>7.0244081663318596</v>
      </c>
      <c r="D484" s="145">
        <v>0.61176952727626432</v>
      </c>
      <c r="E484" s="145">
        <v>5.8392392019010551</v>
      </c>
      <c r="F484" s="145">
        <v>0.98933774795888696</v>
      </c>
      <c r="G484" s="145"/>
      <c r="H484" s="145">
        <v>1.5115280799007946</v>
      </c>
      <c r="I484" s="144">
        <v>33.116747205909149</v>
      </c>
      <c r="J484" s="197">
        <v>0.19968180144503878</v>
      </c>
      <c r="K484" s="197">
        <v>0.11451242055526045</v>
      </c>
      <c r="L484" s="197">
        <v>9.9731120019660308E-3</v>
      </c>
      <c r="M484" s="197">
        <v>9.5191708593442059E-2</v>
      </c>
      <c r="N484" s="197">
        <v>1.6128257012237808E-2</v>
      </c>
      <c r="O484" s="197"/>
      <c r="P484" s="197">
        <v>2.4641042358031415E-2</v>
      </c>
      <c r="Q484" s="196">
        <v>0.53987165803402337</v>
      </c>
    </row>
    <row r="485" spans="1:17" x14ac:dyDescent="0.35">
      <c r="A485" s="59" t="s">
        <v>1533</v>
      </c>
      <c r="B485" s="232">
        <v>2.8861061908877961</v>
      </c>
      <c r="C485" s="145">
        <v>1.6077012034771943</v>
      </c>
      <c r="D485" s="145">
        <v>0.17997444592430478</v>
      </c>
      <c r="E485" s="145">
        <v>1.9721840740038583</v>
      </c>
      <c r="F485" s="145">
        <v>0.22063412795949963</v>
      </c>
      <c r="G485" s="145"/>
      <c r="H485" s="145">
        <v>0.44711776433657996</v>
      </c>
      <c r="I485" s="144">
        <v>5.0898502538647667</v>
      </c>
      <c r="J485" s="197">
        <v>0.23268354531705271</v>
      </c>
      <c r="K485" s="197">
        <v>0.12961602626287749</v>
      </c>
      <c r="L485" s="197">
        <v>1.4509893044253371E-2</v>
      </c>
      <c r="M485" s="197">
        <v>0.15900135061069448</v>
      </c>
      <c r="N485" s="197">
        <v>1.7787956407716434E-2</v>
      </c>
      <c r="O485" s="197"/>
      <c r="P485" s="197">
        <v>3.6047511664173054E-2</v>
      </c>
      <c r="Q485" s="196">
        <v>0.4103537166932324</v>
      </c>
    </row>
    <row r="486" spans="1:17" x14ac:dyDescent="0.35">
      <c r="A486" s="59" t="s">
        <v>1532</v>
      </c>
      <c r="B486" s="49">
        <v>3001.7460725384872</v>
      </c>
      <c r="C486" s="48">
        <v>1836.8116863343294</v>
      </c>
      <c r="D486" s="48">
        <v>681.91723152999862</v>
      </c>
      <c r="E486" s="48">
        <v>1825.0705909496987</v>
      </c>
      <c r="F486" s="48">
        <v>568.66786233986659</v>
      </c>
      <c r="G486" s="48"/>
      <c r="H486" s="48">
        <v>504.1885614801684</v>
      </c>
      <c r="I486" s="47">
        <v>2567.4500740575932</v>
      </c>
      <c r="J486" s="197">
        <v>0.27323743765070252</v>
      </c>
      <c r="K486" s="197">
        <v>0.16719792630441532</v>
      </c>
      <c r="L486" s="197">
        <v>6.2072311424912735E-2</v>
      </c>
      <c r="M486" s="197">
        <v>0.16612917940158486</v>
      </c>
      <c r="N486" s="197">
        <v>5.1763655494232466E-2</v>
      </c>
      <c r="O486" s="197"/>
      <c r="P486" s="197">
        <v>4.5894351921357789E-2</v>
      </c>
      <c r="Q486" s="196">
        <v>0.23370513780279412</v>
      </c>
    </row>
    <row r="487" spans="1:17" ht="13.15" x14ac:dyDescent="0.4">
      <c r="A487" s="128" t="s">
        <v>2225</v>
      </c>
      <c r="B487" s="232"/>
      <c r="C487" s="145"/>
      <c r="D487" s="145"/>
      <c r="E487" s="145"/>
      <c r="F487" s="145"/>
      <c r="G487" s="145"/>
      <c r="H487" s="145"/>
      <c r="I487" s="144"/>
      <c r="J487" s="197"/>
      <c r="K487" s="197"/>
      <c r="L487" s="197"/>
      <c r="M487" s="197"/>
      <c r="N487" s="197"/>
      <c r="O487" s="197"/>
      <c r="P487" s="197"/>
      <c r="Q487" s="196"/>
    </row>
    <row r="488" spans="1:17" x14ac:dyDescent="0.35">
      <c r="A488" s="59" t="s">
        <v>1525</v>
      </c>
      <c r="B488" s="232">
        <v>1528.6787834782383</v>
      </c>
      <c r="C488" s="145">
        <v>250.50794226297015</v>
      </c>
      <c r="D488" s="145">
        <v>83.647804136506068</v>
      </c>
      <c r="E488" s="145">
        <v>1596.9344036933021</v>
      </c>
      <c r="F488" s="145">
        <v>80.642992279229219</v>
      </c>
      <c r="G488" s="145"/>
      <c r="H488" s="145">
        <v>50.907066196575514</v>
      </c>
      <c r="I488" s="144">
        <v>518.18938005978191</v>
      </c>
      <c r="J488" s="197">
        <v>0.37198580585799168</v>
      </c>
      <c r="K488" s="197">
        <v>6.0958129192119292E-2</v>
      </c>
      <c r="L488" s="197">
        <v>2.035469855817006E-2</v>
      </c>
      <c r="M488" s="197">
        <v>0.38859499947306025</v>
      </c>
      <c r="N488" s="197">
        <v>1.9623513320132322E-2</v>
      </c>
      <c r="O488" s="197"/>
      <c r="P488" s="197">
        <v>1.2387629270233047E-2</v>
      </c>
      <c r="Q488" s="196">
        <v>0.1260952243282934</v>
      </c>
    </row>
    <row r="489" spans="1:17" x14ac:dyDescent="0.35">
      <c r="A489" s="59" t="s">
        <v>1524</v>
      </c>
      <c r="B489" s="232">
        <v>10611.895214822691</v>
      </c>
      <c r="C489" s="145">
        <v>1179.3413009717385</v>
      </c>
      <c r="D489" s="145">
        <v>546.94406233907705</v>
      </c>
      <c r="E489" s="145">
        <v>7199.0484427325846</v>
      </c>
      <c r="F489" s="145">
        <v>528.78943372654896</v>
      </c>
      <c r="G489" s="145"/>
      <c r="H489" s="145">
        <v>202.88413028737523</v>
      </c>
      <c r="I489" s="144">
        <v>2245.2879205934873</v>
      </c>
      <c r="J489" s="197">
        <v>0.47134251672263289</v>
      </c>
      <c r="K489" s="197">
        <v>5.2382132090648535E-2</v>
      </c>
      <c r="L489" s="197">
        <v>2.429330347036494E-2</v>
      </c>
      <c r="M489" s="197">
        <v>0.31975604190532175</v>
      </c>
      <c r="N489" s="197">
        <v>2.3486939652482417E-2</v>
      </c>
      <c r="O489" s="197"/>
      <c r="P489" s="197">
        <v>9.0113890720632962E-3</v>
      </c>
      <c r="Q489" s="196">
        <v>9.9727677086485819E-2</v>
      </c>
    </row>
    <row r="490" spans="1:17" x14ac:dyDescent="0.35">
      <c r="A490" s="59" t="s">
        <v>1523</v>
      </c>
      <c r="B490" s="232">
        <v>2158.6526454796817</v>
      </c>
      <c r="C490" s="145">
        <v>871.33042645586761</v>
      </c>
      <c r="D490" s="145">
        <v>167.59393296599993</v>
      </c>
      <c r="E490" s="145">
        <v>1454.8031821013931</v>
      </c>
      <c r="F490" s="145">
        <v>239.61486800503178</v>
      </c>
      <c r="G490" s="145"/>
      <c r="H490" s="145">
        <v>186.769054673059</v>
      </c>
      <c r="I490" s="144">
        <v>3564.2977881496772</v>
      </c>
      <c r="J490" s="197">
        <v>0.24975554624009738</v>
      </c>
      <c r="K490" s="197">
        <v>0.10081270234505199</v>
      </c>
      <c r="L490" s="197">
        <v>1.9390574190850548E-2</v>
      </c>
      <c r="M490" s="197">
        <v>0.16832034749936578</v>
      </c>
      <c r="N490" s="197">
        <v>2.7723377529573382E-2</v>
      </c>
      <c r="O490" s="197"/>
      <c r="P490" s="197">
        <v>2.1609130754916318E-2</v>
      </c>
      <c r="Q490" s="196">
        <v>0.41238832144014459</v>
      </c>
    </row>
    <row r="491" spans="1:17" x14ac:dyDescent="0.35">
      <c r="A491" s="59" t="s">
        <v>1522</v>
      </c>
      <c r="B491" s="232">
        <v>969.25141705014869</v>
      </c>
      <c r="C491" s="145">
        <v>284.79081899584219</v>
      </c>
      <c r="D491" s="145">
        <v>84.405026910473993</v>
      </c>
      <c r="E491" s="145">
        <v>675.12679895829388</v>
      </c>
      <c r="F491" s="145">
        <v>83.054661114156914</v>
      </c>
      <c r="G491" s="145"/>
      <c r="H491" s="145">
        <v>65.406324713323031</v>
      </c>
      <c r="I491" s="144">
        <v>665.03963164984941</v>
      </c>
      <c r="J491" s="197">
        <v>0.34284606067023621</v>
      </c>
      <c r="K491" s="197">
        <v>0.10073692820066617</v>
      </c>
      <c r="L491" s="197">
        <v>2.9855959421851482E-2</v>
      </c>
      <c r="M491" s="197">
        <v>0.23880755746553806</v>
      </c>
      <c r="N491" s="197">
        <v>2.9378304619818642E-2</v>
      </c>
      <c r="O491" s="197"/>
      <c r="P491" s="197">
        <v>2.3135690468349238E-2</v>
      </c>
      <c r="Q491" s="196">
        <v>0.23523949915353992</v>
      </c>
    </row>
    <row r="492" spans="1:17" x14ac:dyDescent="0.35">
      <c r="A492" s="59" t="s">
        <v>1521</v>
      </c>
      <c r="B492" s="232">
        <v>431.34660998506718</v>
      </c>
      <c r="C492" s="145">
        <v>135.43706788394437</v>
      </c>
      <c r="D492" s="145">
        <v>41.296828881674998</v>
      </c>
      <c r="E492" s="145">
        <v>323.88420836133355</v>
      </c>
      <c r="F492" s="145">
        <v>41.375128786764044</v>
      </c>
      <c r="G492" s="145"/>
      <c r="H492" s="145">
        <v>29.260647738264232</v>
      </c>
      <c r="I492" s="144">
        <v>270.49415374729568</v>
      </c>
      <c r="J492" s="197">
        <v>0.338817393937624</v>
      </c>
      <c r="K492" s="197">
        <v>0.10638413127804509</v>
      </c>
      <c r="L492" s="197">
        <v>3.2438145138225426E-2</v>
      </c>
      <c r="M492" s="197">
        <v>0.25440701485595646</v>
      </c>
      <c r="N492" s="197">
        <v>3.2499648739212933E-2</v>
      </c>
      <c r="O492" s="197"/>
      <c r="P492" s="197">
        <v>2.2983874643059635E-2</v>
      </c>
      <c r="Q492" s="196">
        <v>0.21246979140787614</v>
      </c>
    </row>
    <row r="493" spans="1:17" x14ac:dyDescent="0.35">
      <c r="A493" s="59" t="s">
        <v>1520</v>
      </c>
      <c r="B493" s="232">
        <v>9494.0097923985086</v>
      </c>
      <c r="C493" s="145">
        <v>2609.9875721263074</v>
      </c>
      <c r="D493" s="145">
        <v>1704.6508593820233</v>
      </c>
      <c r="E493" s="145">
        <v>5644.7705871099242</v>
      </c>
      <c r="F493" s="145">
        <v>3087.5881849175162</v>
      </c>
      <c r="G493" s="145"/>
      <c r="H493" s="145">
        <v>1193.5067188877899</v>
      </c>
      <c r="I493" s="144">
        <v>6161.3672577665056</v>
      </c>
      <c r="J493" s="197">
        <v>0.31756915948064995</v>
      </c>
      <c r="K493" s="197">
        <v>8.7302581065244272E-2</v>
      </c>
      <c r="L493" s="197">
        <v>5.7019589452641045E-2</v>
      </c>
      <c r="M493" s="197">
        <v>0.18881432503312395</v>
      </c>
      <c r="N493" s="197">
        <v>0.10327804648903022</v>
      </c>
      <c r="O493" s="197"/>
      <c r="P493" s="197">
        <v>3.9922112346584201E-2</v>
      </c>
      <c r="Q493" s="196">
        <v>0.20609418613272651</v>
      </c>
    </row>
    <row r="494" spans="1:17" x14ac:dyDescent="0.35">
      <c r="A494" s="59" t="s">
        <v>1519</v>
      </c>
      <c r="B494" s="232">
        <v>13.255364024505111</v>
      </c>
      <c r="C494" s="145">
        <v>6.601798576007611</v>
      </c>
      <c r="D494" s="145">
        <v>1.4669220162364482</v>
      </c>
      <c r="E494" s="145">
        <v>8.8482369341621734</v>
      </c>
      <c r="F494" s="145">
        <v>2.4748210541959565</v>
      </c>
      <c r="G494" s="145"/>
      <c r="H494" s="145">
        <v>1.6572738455410732</v>
      </c>
      <c r="I494" s="144">
        <v>27.320742694163066</v>
      </c>
      <c r="J494" s="197">
        <v>0.21509662950089353</v>
      </c>
      <c r="K494" s="197">
        <v>0.10712830064250553</v>
      </c>
      <c r="L494" s="197">
        <v>2.3803946904045539E-2</v>
      </c>
      <c r="M494" s="197">
        <v>0.143581567284393</v>
      </c>
      <c r="N494" s="197">
        <v>4.015926430924803E-2</v>
      </c>
      <c r="O494" s="197"/>
      <c r="P494" s="197">
        <v>2.6892812424981913E-2</v>
      </c>
      <c r="Q494" s="196">
        <v>0.44333747893393216</v>
      </c>
    </row>
    <row r="495" spans="1:17" x14ac:dyDescent="0.35">
      <c r="A495" s="59" t="s">
        <v>1518</v>
      </c>
      <c r="B495" s="232">
        <v>23.361734157566627</v>
      </c>
      <c r="C495" s="145">
        <v>12.309983842986291</v>
      </c>
      <c r="D495" s="145">
        <v>1.8054019135950747</v>
      </c>
      <c r="E495" s="145">
        <v>16.163749314043869</v>
      </c>
      <c r="F495" s="145">
        <v>2.6643376713767797</v>
      </c>
      <c r="G495" s="145"/>
      <c r="H495" s="145">
        <v>2.4018158582559903</v>
      </c>
      <c r="I495" s="144">
        <v>56.012686166424579</v>
      </c>
      <c r="J495" s="197">
        <v>0.20364185349347996</v>
      </c>
      <c r="K495" s="197">
        <v>0.10730487340335494</v>
      </c>
      <c r="L495" s="197">
        <v>1.5737504309631771E-2</v>
      </c>
      <c r="M495" s="197">
        <v>0.14089775388740727</v>
      </c>
      <c r="N495" s="197">
        <v>2.3224759689166166E-2</v>
      </c>
      <c r="O495" s="197"/>
      <c r="P495" s="197">
        <v>2.0936383824351729E-2</v>
      </c>
      <c r="Q495" s="196">
        <v>0.48825687139260798</v>
      </c>
    </row>
    <row r="496" spans="1:17" x14ac:dyDescent="0.35">
      <c r="A496" s="59" t="s">
        <v>1531</v>
      </c>
      <c r="B496" s="232">
        <v>5488.2379780503024</v>
      </c>
      <c r="C496" s="145">
        <v>2124.1019942307985</v>
      </c>
      <c r="D496" s="145">
        <v>265.6892542732819</v>
      </c>
      <c r="E496" s="145">
        <v>2603.1626298274614</v>
      </c>
      <c r="F496" s="145">
        <v>349.48075104209175</v>
      </c>
      <c r="G496" s="145"/>
      <c r="H496" s="145">
        <v>517.96379308232918</v>
      </c>
      <c r="I496" s="144">
        <v>8531.5810607307958</v>
      </c>
      <c r="J496" s="197">
        <v>0.27606528896132065</v>
      </c>
      <c r="K496" s="197">
        <v>0.10684500802732289</v>
      </c>
      <c r="L496" s="197">
        <v>1.3364504427143684E-2</v>
      </c>
      <c r="M496" s="197">
        <v>0.13094236191848363</v>
      </c>
      <c r="N496" s="197">
        <v>1.757932234511609E-2</v>
      </c>
      <c r="O496" s="197"/>
      <c r="P496" s="197">
        <v>2.6054231755375301E-2</v>
      </c>
      <c r="Q496" s="196">
        <v>0.42914928256523766</v>
      </c>
    </row>
    <row r="497" spans="1:17" x14ac:dyDescent="0.35">
      <c r="A497" s="59" t="s">
        <v>1530</v>
      </c>
      <c r="B497" s="232">
        <v>50.146522085572009</v>
      </c>
      <c r="C497" s="145">
        <v>20.818047476111783</v>
      </c>
      <c r="D497" s="145">
        <v>2.0474209410785664</v>
      </c>
      <c r="E497" s="145">
        <v>19.982489376087372</v>
      </c>
      <c r="F497" s="145">
        <v>2.9059898552462906</v>
      </c>
      <c r="G497" s="145"/>
      <c r="H497" s="145">
        <v>5.4990511152333497</v>
      </c>
      <c r="I497" s="144">
        <v>81.523613447785365</v>
      </c>
      <c r="J497" s="197">
        <v>0.274139858133641</v>
      </c>
      <c r="K497" s="197">
        <v>0.1138076250229665</v>
      </c>
      <c r="L497" s="197">
        <v>1.1192793896440796E-2</v>
      </c>
      <c r="M497" s="197">
        <v>0.10923981514350507</v>
      </c>
      <c r="N497" s="197">
        <v>1.5886398767507484E-2</v>
      </c>
      <c r="O497" s="197"/>
      <c r="P497" s="197">
        <v>3.006208665931483E-2</v>
      </c>
      <c r="Q497" s="196">
        <v>0.44567142237662405</v>
      </c>
    </row>
    <row r="498" spans="1:17" x14ac:dyDescent="0.35">
      <c r="A498" s="59" t="s">
        <v>1529</v>
      </c>
      <c r="B498" s="49">
        <v>1860582.5486345105</v>
      </c>
      <c r="C498" s="48">
        <v>798433.35705533763</v>
      </c>
      <c r="D498" s="48">
        <v>148405.26718384569</v>
      </c>
      <c r="E498" s="48">
        <v>1317606.4258410335</v>
      </c>
      <c r="F498" s="48">
        <v>176236.08071323449</v>
      </c>
      <c r="G498" s="48"/>
      <c r="H498" s="48">
        <v>142782.42520853746</v>
      </c>
      <c r="I498" s="47">
        <v>3246781.8623537188</v>
      </c>
      <c r="J498" s="197">
        <v>0.24192226852821458</v>
      </c>
      <c r="K498" s="197">
        <v>0.10381630696750611</v>
      </c>
      <c r="L498" s="197">
        <v>1.9296396671569759E-2</v>
      </c>
      <c r="M498" s="197">
        <v>0.17132179155434607</v>
      </c>
      <c r="N498" s="197">
        <v>2.2915098539410435E-2</v>
      </c>
      <c r="O498" s="197"/>
      <c r="P498" s="197">
        <v>1.856528657530418E-2</v>
      </c>
      <c r="Q498" s="196">
        <v>0.42216285116364871</v>
      </c>
    </row>
    <row r="499" spans="1:17" x14ac:dyDescent="0.35">
      <c r="A499" s="59" t="s">
        <v>1528</v>
      </c>
      <c r="B499" s="49">
        <v>1882022.7661805965</v>
      </c>
      <c r="C499" s="48">
        <v>801067.35742453625</v>
      </c>
      <c r="D499" s="48">
        <v>149525.45303327061</v>
      </c>
      <c r="E499" s="48">
        <v>1333896.328475886</v>
      </c>
      <c r="F499" s="48">
        <v>177318.37286359887</v>
      </c>
      <c r="G499" s="48"/>
      <c r="H499" s="48">
        <v>143259.90348387315</v>
      </c>
      <c r="I499" s="47">
        <v>3251925.1955110752</v>
      </c>
      <c r="J499" s="197">
        <v>0.24318633243454821</v>
      </c>
      <c r="K499" s="197">
        <v>0.10351024237632135</v>
      </c>
      <c r="L499" s="197">
        <v>1.9320991851001904E-2</v>
      </c>
      <c r="M499" s="197">
        <v>0.17235995323705477</v>
      </c>
      <c r="N499" s="197">
        <v>2.2912265220612345E-2</v>
      </c>
      <c r="O499" s="197"/>
      <c r="P499" s="197">
        <v>1.8511386333478271E-2</v>
      </c>
      <c r="Q499" s="196">
        <v>0.42019882854698315</v>
      </c>
    </row>
    <row r="500" spans="1:17" x14ac:dyDescent="0.35">
      <c r="A500" s="59" t="s">
        <v>1527</v>
      </c>
      <c r="B500" s="49">
        <v>2069275.3187624805</v>
      </c>
      <c r="C500" s="48">
        <v>882925.67768543959</v>
      </c>
      <c r="D500" s="48">
        <v>163143.25807372961</v>
      </c>
      <c r="E500" s="48">
        <v>1417892.4806444785</v>
      </c>
      <c r="F500" s="48">
        <v>192265.80799698629</v>
      </c>
      <c r="G500" s="48"/>
      <c r="H500" s="48">
        <v>164438.70568849429</v>
      </c>
      <c r="I500" s="47">
        <v>3529476.3848966612</v>
      </c>
      <c r="J500" s="197">
        <v>0.24577416262949436</v>
      </c>
      <c r="K500" s="197">
        <v>0.10486778493399983</v>
      </c>
      <c r="L500" s="197">
        <v>1.9377024061591686E-2</v>
      </c>
      <c r="M500" s="197">
        <v>0.16840742938811096</v>
      </c>
      <c r="N500" s="197">
        <v>2.2835998445582602E-2</v>
      </c>
      <c r="O500" s="197"/>
      <c r="P500" s="197">
        <v>1.9530888339516564E-2</v>
      </c>
      <c r="Q500" s="196">
        <v>0.41920671220170369</v>
      </c>
    </row>
    <row r="501" spans="1:17" ht="13.15" x14ac:dyDescent="0.4">
      <c r="A501" s="128" t="s">
        <v>2224</v>
      </c>
      <c r="B501" s="232"/>
      <c r="C501" s="145"/>
      <c r="D501" s="145"/>
      <c r="E501" s="145"/>
      <c r="F501" s="145"/>
      <c r="G501" s="145"/>
      <c r="H501" s="145"/>
      <c r="I501" s="144"/>
      <c r="J501" s="197"/>
      <c r="K501" s="197"/>
      <c r="L501" s="197"/>
      <c r="M501" s="197"/>
      <c r="N501" s="197"/>
      <c r="O501" s="197"/>
      <c r="P501" s="197"/>
      <c r="Q501" s="196"/>
    </row>
    <row r="502" spans="1:17" x14ac:dyDescent="0.35">
      <c r="A502" s="59" t="s">
        <v>1525</v>
      </c>
      <c r="B502" s="232">
        <v>12.707653488425441</v>
      </c>
      <c r="C502" s="145">
        <v>7.449091641490277</v>
      </c>
      <c r="D502" s="145">
        <v>0.95296612943005565</v>
      </c>
      <c r="E502" s="145">
        <v>8.1856690400478875</v>
      </c>
      <c r="F502" s="145">
        <v>1.29086746091216</v>
      </c>
      <c r="G502" s="145"/>
      <c r="H502" s="145">
        <v>1.577507075734665</v>
      </c>
      <c r="I502" s="144">
        <v>30.429024477754872</v>
      </c>
      <c r="J502" s="197">
        <v>0.20302107731497859</v>
      </c>
      <c r="K502" s="197">
        <v>0.1190088013849947</v>
      </c>
      <c r="L502" s="197">
        <v>1.5224857241960228E-2</v>
      </c>
      <c r="M502" s="197">
        <v>0.13077657087266897</v>
      </c>
      <c r="N502" s="197">
        <v>2.0623264776926987E-2</v>
      </c>
      <c r="O502" s="197"/>
      <c r="P502" s="197">
        <v>2.5202700583499806E-2</v>
      </c>
      <c r="Q502" s="196">
        <v>0.48614272782497064</v>
      </c>
    </row>
    <row r="503" spans="1:17" x14ac:dyDescent="0.35">
      <c r="A503" s="59" t="s">
        <v>1524</v>
      </c>
      <c r="B503" s="232">
        <v>64.917828415145237</v>
      </c>
      <c r="C503" s="145">
        <v>33.640942671809448</v>
      </c>
      <c r="D503" s="145">
        <v>4.542272091672146</v>
      </c>
      <c r="E503" s="145">
        <v>37.453945362527733</v>
      </c>
      <c r="F503" s="145">
        <v>6.0789124866905411</v>
      </c>
      <c r="G503" s="145"/>
      <c r="H503" s="145">
        <v>6.2347853616395028</v>
      </c>
      <c r="I503" s="144">
        <v>145.62976430165023</v>
      </c>
      <c r="J503" s="197">
        <v>0.21748129099108002</v>
      </c>
      <c r="K503" s="197">
        <v>0.11270056040129578</v>
      </c>
      <c r="L503" s="197">
        <v>1.5217070913283131E-2</v>
      </c>
      <c r="M503" s="197">
        <v>0.12547450506295071</v>
      </c>
      <c r="N503" s="197">
        <v>2.0364971652668887E-2</v>
      </c>
      <c r="O503" s="197"/>
      <c r="P503" s="197">
        <v>2.0887161548757319E-2</v>
      </c>
      <c r="Q503" s="196">
        <v>0.48787443942996428</v>
      </c>
    </row>
    <row r="504" spans="1:17" x14ac:dyDescent="0.35">
      <c r="A504" s="59" t="s">
        <v>1523</v>
      </c>
      <c r="B504" s="232">
        <v>140.21342135153805</v>
      </c>
      <c r="C504" s="145">
        <v>69.256831963590031</v>
      </c>
      <c r="D504" s="145">
        <v>11.701971881778524</v>
      </c>
      <c r="E504" s="145">
        <v>85.405733766689991</v>
      </c>
      <c r="F504" s="145">
        <v>14.254567968095495</v>
      </c>
      <c r="G504" s="145"/>
      <c r="H504" s="145">
        <v>12.148497414183117</v>
      </c>
      <c r="I504" s="144">
        <v>276.35841394675339</v>
      </c>
      <c r="J504" s="197">
        <v>0.23010724817749623</v>
      </c>
      <c r="K504" s="197">
        <v>0.11365886993569287</v>
      </c>
      <c r="L504" s="197">
        <v>1.9204356630136223E-2</v>
      </c>
      <c r="M504" s="197">
        <v>0.14016117848205784</v>
      </c>
      <c r="N504" s="197">
        <v>2.3393476726267459E-2</v>
      </c>
      <c r="O504" s="197"/>
      <c r="P504" s="197">
        <v>1.9937159242840497E-2</v>
      </c>
      <c r="Q504" s="196">
        <v>0.45353771080550881</v>
      </c>
    </row>
    <row r="505" spans="1:17" x14ac:dyDescent="0.35">
      <c r="A505" s="59" t="s">
        <v>1522</v>
      </c>
      <c r="B505" s="232">
        <v>13.5379136452329</v>
      </c>
      <c r="C505" s="145">
        <v>6.6906562418717392</v>
      </c>
      <c r="D505" s="145">
        <v>1.3826062916675561</v>
      </c>
      <c r="E505" s="145">
        <v>8.9686334949294046</v>
      </c>
      <c r="F505" s="145">
        <v>1.578348758585695</v>
      </c>
      <c r="G505" s="145"/>
      <c r="H505" s="145">
        <v>1.0776407721738142</v>
      </c>
      <c r="I505" s="144">
        <v>24.105156705431753</v>
      </c>
      <c r="J505" s="197">
        <v>0.23609501150463461</v>
      </c>
      <c r="K505" s="197">
        <v>0.11668197949796336</v>
      </c>
      <c r="L505" s="197">
        <v>2.4112020278145022E-2</v>
      </c>
      <c r="M505" s="197">
        <v>0.15640885912371186</v>
      </c>
      <c r="N505" s="197">
        <v>2.7525679220729338E-2</v>
      </c>
      <c r="O505" s="197"/>
      <c r="P505" s="197">
        <v>1.8793561339773411E-2</v>
      </c>
      <c r="Q505" s="196">
        <v>0.42038288903504251</v>
      </c>
    </row>
    <row r="506" spans="1:17" x14ac:dyDescent="0.35">
      <c r="A506" s="59" t="s">
        <v>1521</v>
      </c>
      <c r="B506" s="232">
        <v>10.038150733421633</v>
      </c>
      <c r="C506" s="145">
        <v>4.9501373230075361</v>
      </c>
      <c r="D506" s="145">
        <v>1.0096008566930421</v>
      </c>
      <c r="E506" s="145">
        <v>6.6890701386855973</v>
      </c>
      <c r="F506" s="145">
        <v>1.1502653212869778</v>
      </c>
      <c r="G506" s="145"/>
      <c r="H506" s="145">
        <v>0.79329407244345007</v>
      </c>
      <c r="I506" s="144">
        <v>17.935184416264995</v>
      </c>
      <c r="J506" s="197">
        <v>0.23582720496856804</v>
      </c>
      <c r="K506" s="197">
        <v>0.1162940346381451</v>
      </c>
      <c r="L506" s="197">
        <v>2.3718646441029827E-2</v>
      </c>
      <c r="M506" s="197">
        <v>0.1571469443463156</v>
      </c>
      <c r="N506" s="197">
        <v>2.7023289736845396E-2</v>
      </c>
      <c r="O506" s="197"/>
      <c r="P506" s="197">
        <v>1.8636931123139536E-2</v>
      </c>
      <c r="Q506" s="196">
        <v>0.42135294874595669</v>
      </c>
    </row>
    <row r="507" spans="1:17" x14ac:dyDescent="0.35">
      <c r="A507" s="59" t="s">
        <v>1520</v>
      </c>
      <c r="B507" s="232">
        <v>437.32794523082003</v>
      </c>
      <c r="C507" s="145">
        <v>212.56589805835924</v>
      </c>
      <c r="D507" s="145">
        <v>45.00597881566101</v>
      </c>
      <c r="E507" s="145">
        <v>276.12885976965538</v>
      </c>
      <c r="F507" s="145">
        <v>50.244212022549384</v>
      </c>
      <c r="G507" s="145"/>
      <c r="H507" s="145">
        <v>33.750498748238961</v>
      </c>
      <c r="I507" s="144">
        <v>759.90240521011413</v>
      </c>
      <c r="J507" s="197">
        <v>0.24096188711824323</v>
      </c>
      <c r="K507" s="197">
        <v>0.11712098550229277</v>
      </c>
      <c r="L507" s="197">
        <v>2.4797696340446641E-2</v>
      </c>
      <c r="M507" s="197">
        <v>0.15214333285467771</v>
      </c>
      <c r="N507" s="197">
        <v>2.7683893237905544E-2</v>
      </c>
      <c r="O507" s="197"/>
      <c r="P507" s="197">
        <v>1.8596076372995599E-2</v>
      </c>
      <c r="Q507" s="196">
        <v>0.41869612857343841</v>
      </c>
    </row>
    <row r="508" spans="1:17" x14ac:dyDescent="0.35">
      <c r="A508" s="59" t="s">
        <v>1519</v>
      </c>
      <c r="B508" s="232">
        <v>0.62884451977989164</v>
      </c>
      <c r="C508" s="145">
        <v>0.32243220267159928</v>
      </c>
      <c r="D508" s="145">
        <v>6.1566758348174593E-2</v>
      </c>
      <c r="E508" s="145">
        <v>0.43621255341147025</v>
      </c>
      <c r="F508" s="145">
        <v>7.2166839662951496E-2</v>
      </c>
      <c r="G508" s="145"/>
      <c r="H508" s="145">
        <v>5.2978503151440454E-2</v>
      </c>
      <c r="I508" s="144">
        <v>1.2021644567810257</v>
      </c>
      <c r="J508" s="197">
        <v>0.22649915660347636</v>
      </c>
      <c r="K508" s="197">
        <v>0.11613462417145751</v>
      </c>
      <c r="L508" s="197">
        <v>2.217530470894865E-2</v>
      </c>
      <c r="M508" s="197">
        <v>0.15711638145805823</v>
      </c>
      <c r="N508" s="197">
        <v>2.5993274655741864E-2</v>
      </c>
      <c r="O508" s="197"/>
      <c r="P508" s="197">
        <v>1.9081960491785753E-2</v>
      </c>
      <c r="Q508" s="196">
        <v>0.43299929791053182</v>
      </c>
    </row>
    <row r="509" spans="1:17" x14ac:dyDescent="0.35">
      <c r="A509" s="57" t="s">
        <v>1518</v>
      </c>
      <c r="B509" s="231">
        <v>1.6608601245382826</v>
      </c>
      <c r="C509" s="145">
        <v>0.7555976771171532</v>
      </c>
      <c r="D509" s="142">
        <v>0.14888695631587379</v>
      </c>
      <c r="E509" s="142">
        <v>1.1161171629188358</v>
      </c>
      <c r="F509" s="142">
        <v>0.17377512224624214</v>
      </c>
      <c r="G509" s="142"/>
      <c r="H509" s="142">
        <v>0.11805064277923964</v>
      </c>
      <c r="I509" s="141">
        <v>2.8723013985510129</v>
      </c>
      <c r="J509" s="194">
        <v>0.24261756059926942</v>
      </c>
      <c r="K509" s="194">
        <v>0.11037730541432636</v>
      </c>
      <c r="L509" s="194">
        <v>2.1749327118350398E-2</v>
      </c>
      <c r="M509" s="194">
        <v>0.16304179949267222</v>
      </c>
      <c r="N509" s="194">
        <v>2.5384977114760818E-2</v>
      </c>
      <c r="O509" s="194"/>
      <c r="P509" s="194">
        <v>1.7244774894115238E-2</v>
      </c>
      <c r="Q509" s="193">
        <v>0.41958425536650534</v>
      </c>
    </row>
    <row r="511" spans="1:17" ht="13.15" x14ac:dyDescent="0.4">
      <c r="A511" s="41" t="s">
        <v>2230</v>
      </c>
    </row>
    <row r="512" spans="1:17" ht="13.15" x14ac:dyDescent="0.4">
      <c r="A512" s="131"/>
      <c r="B512" s="2193" t="s">
        <v>2229</v>
      </c>
      <c r="C512" s="2194"/>
      <c r="D512" s="2194"/>
      <c r="E512" s="2194"/>
      <c r="F512" s="2194"/>
      <c r="G512" s="2194"/>
      <c r="H512" s="2194"/>
      <c r="I512" s="2195"/>
      <c r="J512" s="2194" t="s">
        <v>2228</v>
      </c>
      <c r="K512" s="2194"/>
      <c r="L512" s="2194"/>
      <c r="M512" s="2194"/>
      <c r="N512" s="2194"/>
      <c r="O512" s="2194"/>
      <c r="P512" s="2194"/>
      <c r="Q512" s="2195"/>
    </row>
    <row r="513" spans="1:17" ht="52.5" x14ac:dyDescent="0.4">
      <c r="A513" s="59"/>
      <c r="B513" s="653" t="s">
        <v>405</v>
      </c>
      <c r="C513" s="652" t="s">
        <v>1830</v>
      </c>
      <c r="D513" s="652" t="s">
        <v>1829</v>
      </c>
      <c r="E513" s="652" t="s">
        <v>1503</v>
      </c>
      <c r="F513" s="652" t="s">
        <v>1501</v>
      </c>
      <c r="G513" s="652" t="s">
        <v>1500</v>
      </c>
      <c r="H513" s="180" t="s">
        <v>1499</v>
      </c>
      <c r="I513" s="651" t="s">
        <v>2227</v>
      </c>
      <c r="J513" s="653" t="s">
        <v>405</v>
      </c>
      <c r="K513" s="652" t="s">
        <v>1830</v>
      </c>
      <c r="L513" s="652" t="s">
        <v>1829</v>
      </c>
      <c r="M513" s="652" t="s">
        <v>1503</v>
      </c>
      <c r="N513" s="652" t="s">
        <v>1501</v>
      </c>
      <c r="O513" s="652" t="s">
        <v>1500</v>
      </c>
      <c r="P513" s="180" t="s">
        <v>1499</v>
      </c>
      <c r="Q513" s="651" t="s">
        <v>2227</v>
      </c>
    </row>
    <row r="514" spans="1:17" ht="13.15" x14ac:dyDescent="0.4">
      <c r="A514" s="128" t="s">
        <v>2226</v>
      </c>
      <c r="B514" s="650"/>
      <c r="C514" s="198"/>
      <c r="D514" s="198"/>
      <c r="E514" s="198"/>
      <c r="I514" s="99"/>
      <c r="J514" s="198"/>
      <c r="K514" s="198"/>
      <c r="L514" s="198"/>
      <c r="M514" s="198"/>
      <c r="Q514" s="99"/>
    </row>
    <row r="515" spans="1:17" x14ac:dyDescent="0.35">
      <c r="A515" s="59" t="s">
        <v>1537</v>
      </c>
      <c r="B515" s="232">
        <v>96.27052003890833</v>
      </c>
      <c r="C515" s="145">
        <v>8.4889206984525085</v>
      </c>
      <c r="D515" s="145">
        <v>1.9801151223619469</v>
      </c>
      <c r="E515" s="145">
        <v>19.980379099762619</v>
      </c>
      <c r="F515" s="145">
        <v>2.1886111394141552</v>
      </c>
      <c r="G515" s="145"/>
      <c r="H515" s="145">
        <v>2.3652051672450094</v>
      </c>
      <c r="I515" s="144">
        <v>33.672237141120213</v>
      </c>
      <c r="J515" s="197">
        <v>0.58364875053043885</v>
      </c>
      <c r="K515" s="197">
        <v>5.146485089102433E-2</v>
      </c>
      <c r="L515" s="197">
        <v>1.2004627341847715E-2</v>
      </c>
      <c r="M515" s="197">
        <v>0.12113285865691667</v>
      </c>
      <c r="N515" s="197">
        <v>1.3268653336450355E-2</v>
      </c>
      <c r="O515" s="197"/>
      <c r="P515" s="197">
        <v>1.4339270630851171E-2</v>
      </c>
      <c r="Q515" s="196">
        <v>0.20414098861247101</v>
      </c>
    </row>
    <row r="516" spans="1:17" x14ac:dyDescent="0.35">
      <c r="A516" s="59" t="s">
        <v>1536</v>
      </c>
      <c r="B516" s="232">
        <v>89.853559935224695</v>
      </c>
      <c r="C516" s="145">
        <v>7.4202968821705095</v>
      </c>
      <c r="D516" s="145">
        <v>1.5287703697104658</v>
      </c>
      <c r="E516" s="145">
        <v>17.550423448940268</v>
      </c>
      <c r="F516" s="145">
        <v>1.8080774609303185</v>
      </c>
      <c r="G516" s="145"/>
      <c r="H516" s="145">
        <v>2.0369174198558353</v>
      </c>
      <c r="I516" s="144">
        <v>31.133943105169866</v>
      </c>
      <c r="J516" s="197">
        <v>0.59375126669128442</v>
      </c>
      <c r="K516" s="197">
        <v>4.9033234478303045E-2</v>
      </c>
      <c r="L516" s="197">
        <v>1.0102096613089771E-2</v>
      </c>
      <c r="M516" s="197">
        <v>0.11597299162424829</v>
      </c>
      <c r="N516" s="197">
        <v>1.1947754585096655E-2</v>
      </c>
      <c r="O516" s="197"/>
      <c r="P516" s="197">
        <v>1.3459926340779551E-2</v>
      </c>
      <c r="Q516" s="196">
        <v>0.20573272966719838</v>
      </c>
    </row>
    <row r="517" spans="1:17" x14ac:dyDescent="0.35">
      <c r="A517" s="59" t="s">
        <v>1535</v>
      </c>
      <c r="B517" s="232">
        <v>14.272469296472046</v>
      </c>
      <c r="C517" s="145">
        <v>1.8348143487646518</v>
      </c>
      <c r="D517" s="145">
        <v>0.80344343488753567</v>
      </c>
      <c r="E517" s="145">
        <v>5.6941698480527982</v>
      </c>
      <c r="F517" s="145">
        <v>0.77878300987877702</v>
      </c>
      <c r="G517" s="145"/>
      <c r="H517" s="145">
        <v>0.37074373501832636</v>
      </c>
      <c r="I517" s="144">
        <v>6.1722994314509112</v>
      </c>
      <c r="J517" s="197">
        <v>0.47691386880623715</v>
      </c>
      <c r="K517" s="197">
        <v>6.1310232408546592E-2</v>
      </c>
      <c r="L517" s="197">
        <v>2.6847023380453292E-2</v>
      </c>
      <c r="M517" s="197">
        <v>0.19027040909774098</v>
      </c>
      <c r="N517" s="197">
        <v>2.6022996475715768E-2</v>
      </c>
      <c r="O517" s="197"/>
      <c r="P517" s="197">
        <v>1.2388383911042647E-2</v>
      </c>
      <c r="Q517" s="196">
        <v>0.20624708592026345</v>
      </c>
    </row>
    <row r="518" spans="1:17" x14ac:dyDescent="0.35">
      <c r="A518" s="59" t="s">
        <v>1534</v>
      </c>
      <c r="B518" s="232">
        <v>61.714413402824484</v>
      </c>
      <c r="C518" s="145">
        <v>4.5452052840970856</v>
      </c>
      <c r="D518" s="145">
        <v>0.5604500079029423</v>
      </c>
      <c r="E518" s="145">
        <v>8.8663813347192892</v>
      </c>
      <c r="F518" s="145">
        <v>0.84160621784451906</v>
      </c>
      <c r="G518" s="145"/>
      <c r="H518" s="145">
        <v>1.2858211799919714</v>
      </c>
      <c r="I518" s="144">
        <v>21.63627484119398</v>
      </c>
      <c r="J518" s="197">
        <v>0.62055624848274782</v>
      </c>
      <c r="K518" s="197">
        <v>4.5703351683387482E-2</v>
      </c>
      <c r="L518" s="197">
        <v>5.6354866746648668E-3</v>
      </c>
      <c r="M518" s="197">
        <v>8.9154024729643566E-2</v>
      </c>
      <c r="N518" s="197">
        <v>8.4625935571388984E-3</v>
      </c>
      <c r="O518" s="197"/>
      <c r="P518" s="197">
        <v>1.2929303280697784E-2</v>
      </c>
      <c r="Q518" s="196">
        <v>0.21755899159171957</v>
      </c>
    </row>
    <row r="519" spans="1:17" x14ac:dyDescent="0.35">
      <c r="A519" s="59" t="s">
        <v>1533</v>
      </c>
      <c r="B519" s="232">
        <v>13.866677235928165</v>
      </c>
      <c r="C519" s="145">
        <v>1.0402772493087729</v>
      </c>
      <c r="D519" s="145">
        <v>0.16487692691998806</v>
      </c>
      <c r="E519" s="145">
        <v>2.9898722661681818</v>
      </c>
      <c r="F519" s="145">
        <v>0.18768823320702258</v>
      </c>
      <c r="G519" s="145"/>
      <c r="H519" s="145">
        <v>0.38035250484553768</v>
      </c>
      <c r="I519" s="144">
        <v>3.3253688325249811</v>
      </c>
      <c r="J519" s="197">
        <v>0.6315921525306295</v>
      </c>
      <c r="K519" s="197">
        <v>4.7382003340874029E-2</v>
      </c>
      <c r="L519" s="197">
        <v>7.509727918539837E-3</v>
      </c>
      <c r="M519" s="197">
        <v>0.13618113613317939</v>
      </c>
      <c r="N519" s="197">
        <v>8.5487253506380135E-3</v>
      </c>
      <c r="O519" s="197"/>
      <c r="P519" s="197">
        <v>1.7324096693718871E-2</v>
      </c>
      <c r="Q519" s="196">
        <v>0.15146215803242047</v>
      </c>
    </row>
    <row r="520" spans="1:17" x14ac:dyDescent="0.35">
      <c r="A520" s="59" t="s">
        <v>1532</v>
      </c>
      <c r="B520" s="49">
        <v>5863.1536364268795</v>
      </c>
      <c r="C520" s="48">
        <v>1188.5252088045661</v>
      </c>
      <c r="D520" s="48">
        <v>624.71323065353386</v>
      </c>
      <c r="E520" s="48">
        <v>3440.5663563599569</v>
      </c>
      <c r="F520" s="48">
        <v>483.75229775774324</v>
      </c>
      <c r="G520" s="48"/>
      <c r="H520" s="48">
        <v>428.90128187591057</v>
      </c>
      <c r="I520" s="47">
        <v>1677.4007150509608</v>
      </c>
      <c r="J520" s="197">
        <v>0.42774846374132297</v>
      </c>
      <c r="K520" s="197">
        <v>8.6709280313829698E-2</v>
      </c>
      <c r="L520" s="197">
        <v>4.5576176450627177E-2</v>
      </c>
      <c r="M520" s="197">
        <v>0.25100774507930745</v>
      </c>
      <c r="N520" s="197">
        <v>3.5292321339086288E-2</v>
      </c>
      <c r="O520" s="197"/>
      <c r="P520" s="197">
        <v>3.1290645921212827E-2</v>
      </c>
      <c r="Q520" s="196">
        <v>0.12237536715461324</v>
      </c>
    </row>
    <row r="521" spans="1:17" ht="13.15" x14ac:dyDescent="0.4">
      <c r="A521" s="128" t="s">
        <v>2225</v>
      </c>
      <c r="B521" s="232"/>
      <c r="C521" s="145"/>
      <c r="D521" s="145"/>
      <c r="E521" s="145"/>
      <c r="F521" s="145"/>
      <c r="G521" s="145"/>
      <c r="H521" s="145"/>
      <c r="I521" s="144"/>
      <c r="J521" s="197"/>
      <c r="K521" s="197"/>
      <c r="L521" s="197"/>
      <c r="M521" s="197"/>
      <c r="N521" s="197"/>
      <c r="O521" s="197"/>
      <c r="P521" s="197"/>
      <c r="Q521" s="196"/>
    </row>
    <row r="522" spans="1:17" x14ac:dyDescent="0.35">
      <c r="A522" s="59" t="s">
        <v>1525</v>
      </c>
      <c r="B522" s="232">
        <v>1129.9696467247188</v>
      </c>
      <c r="C522" s="145">
        <v>162.09337440545127</v>
      </c>
      <c r="D522" s="145">
        <v>76.630839555037582</v>
      </c>
      <c r="E522" s="145">
        <v>1164.1026093964101</v>
      </c>
      <c r="F522" s="145">
        <v>68.601085794825281</v>
      </c>
      <c r="G522" s="145"/>
      <c r="H522" s="145">
        <v>43.305436926521566</v>
      </c>
      <c r="I522" s="144">
        <v>338.55039497239085</v>
      </c>
      <c r="J522" s="197">
        <v>0.37877092551207991</v>
      </c>
      <c r="K522" s="197">
        <v>5.4334430682177526E-2</v>
      </c>
      <c r="L522" s="197">
        <v>2.5687003279390243E-2</v>
      </c>
      <c r="M522" s="197">
        <v>0.39021244865307753</v>
      </c>
      <c r="N522" s="197">
        <v>2.2995393578009771E-2</v>
      </c>
      <c r="O522" s="197"/>
      <c r="P522" s="197">
        <v>1.4516177909652829E-2</v>
      </c>
      <c r="Q522" s="196">
        <v>0.11348362038561252</v>
      </c>
    </row>
    <row r="523" spans="1:17" x14ac:dyDescent="0.35">
      <c r="A523" s="59" t="s">
        <v>1524</v>
      </c>
      <c r="B523" s="232">
        <v>5232.3836798164739</v>
      </c>
      <c r="C523" s="145">
        <v>763.10319474641904</v>
      </c>
      <c r="D523" s="145">
        <v>501.06255770071624</v>
      </c>
      <c r="E523" s="145">
        <v>3480.0948453276014</v>
      </c>
      <c r="F523" s="145">
        <v>449.82866192349059</v>
      </c>
      <c r="G523" s="145"/>
      <c r="H523" s="145">
        <v>172.5887300915239</v>
      </c>
      <c r="I523" s="144">
        <v>1466.9214414544117</v>
      </c>
      <c r="J523" s="197">
        <v>0.43364752226613473</v>
      </c>
      <c r="K523" s="197">
        <v>6.3244178922055513E-2</v>
      </c>
      <c r="L523" s="197">
        <v>4.1526873781333448E-2</v>
      </c>
      <c r="M523" s="197">
        <v>0.28842198876753522</v>
      </c>
      <c r="N523" s="197">
        <v>3.7280730279751664E-2</v>
      </c>
      <c r="O523" s="197"/>
      <c r="P523" s="197">
        <v>1.4303743715115542E-2</v>
      </c>
      <c r="Q523" s="196">
        <v>0.1215749622680737</v>
      </c>
    </row>
    <row r="524" spans="1:17" x14ac:dyDescent="0.35">
      <c r="A524" s="59" t="s">
        <v>1523</v>
      </c>
      <c r="B524" s="232">
        <v>6705.4017032240954</v>
      </c>
      <c r="C524" s="145">
        <v>563.80204064791428</v>
      </c>
      <c r="D524" s="145">
        <v>153.53497823513464</v>
      </c>
      <c r="E524" s="145">
        <v>1498.4585635125834</v>
      </c>
      <c r="F524" s="145">
        <v>203.83469974442809</v>
      </c>
      <c r="G524" s="145"/>
      <c r="H524" s="145">
        <v>158.88001649394397</v>
      </c>
      <c r="I524" s="144">
        <v>2328.6745549244561</v>
      </c>
      <c r="J524" s="197">
        <v>0.5774253367616603</v>
      </c>
      <c r="K524" s="197">
        <v>4.8550944089076765E-2</v>
      </c>
      <c r="L524" s="197">
        <v>1.3221428101688472E-2</v>
      </c>
      <c r="M524" s="197">
        <v>0.12903745054433027</v>
      </c>
      <c r="N524" s="197">
        <v>1.7552911123437397E-2</v>
      </c>
      <c r="O524" s="197"/>
      <c r="P524" s="197">
        <v>1.3681707836325838E-2</v>
      </c>
      <c r="Q524" s="196">
        <v>0.2005302215434811</v>
      </c>
    </row>
    <row r="525" spans="1:17" x14ac:dyDescent="0.35">
      <c r="A525" s="59" t="s">
        <v>1522</v>
      </c>
      <c r="B525" s="232">
        <v>2428.2676119100488</v>
      </c>
      <c r="C525" s="145">
        <v>184.27641229142731</v>
      </c>
      <c r="D525" s="145">
        <v>77.324541170977938</v>
      </c>
      <c r="E525" s="145">
        <v>687.32683848882687</v>
      </c>
      <c r="F525" s="145">
        <v>70.652635420870027</v>
      </c>
      <c r="G525" s="145"/>
      <c r="H525" s="145">
        <v>55.639613143900569</v>
      </c>
      <c r="I525" s="144">
        <v>434.49255934456824</v>
      </c>
      <c r="J525" s="197">
        <v>0.61662768254953593</v>
      </c>
      <c r="K525" s="197">
        <v>4.6794651669560247E-2</v>
      </c>
      <c r="L525" s="197">
        <v>1.9635583982838441E-2</v>
      </c>
      <c r="M525" s="197">
        <v>0.17453791068690677</v>
      </c>
      <c r="N525" s="197">
        <v>1.7941338356574098E-2</v>
      </c>
      <c r="O525" s="197"/>
      <c r="P525" s="197">
        <v>1.4128972252728389E-2</v>
      </c>
      <c r="Q525" s="196">
        <v>0.1103338605018558</v>
      </c>
    </row>
    <row r="526" spans="1:17" x14ac:dyDescent="0.35">
      <c r="A526" s="59" t="s">
        <v>1521</v>
      </c>
      <c r="B526" s="232">
        <v>685.02589688180456</v>
      </c>
      <c r="C526" s="145">
        <v>87.635749807258122</v>
      </c>
      <c r="D526" s="145">
        <v>37.832561187130558</v>
      </c>
      <c r="E526" s="145">
        <v>304.46309571284553</v>
      </c>
      <c r="F526" s="145">
        <v>35.196843265001355</v>
      </c>
      <c r="G526" s="145"/>
      <c r="H526" s="145">
        <v>24.891340824190095</v>
      </c>
      <c r="I526" s="144">
        <v>176.72284711489985</v>
      </c>
      <c r="J526" s="197">
        <v>0.50676279303926619</v>
      </c>
      <c r="K526" s="197">
        <v>6.4830450271399193E-2</v>
      </c>
      <c r="L526" s="197">
        <v>2.7987459251233547E-2</v>
      </c>
      <c r="M526" s="197">
        <v>0.22523319112918819</v>
      </c>
      <c r="N526" s="197">
        <v>2.6037629643386902E-2</v>
      </c>
      <c r="O526" s="197"/>
      <c r="P526" s="197">
        <v>1.8413910271096397E-2</v>
      </c>
      <c r="Q526" s="196">
        <v>0.13073456639442949</v>
      </c>
    </row>
    <row r="527" spans="1:17" x14ac:dyDescent="0.35">
      <c r="A527" s="59" t="s">
        <v>1520</v>
      </c>
      <c r="B527" s="232">
        <v>15781.132262496609</v>
      </c>
      <c r="C527" s="145">
        <v>1688.8154878464343</v>
      </c>
      <c r="D527" s="145">
        <v>1561.6527875553754</v>
      </c>
      <c r="E527" s="145">
        <v>5239.9462351601978</v>
      </c>
      <c r="F527" s="145">
        <v>2626.5382271432732</v>
      </c>
      <c r="G527" s="145"/>
      <c r="H527" s="145">
        <v>1015.2879314748594</v>
      </c>
      <c r="I527" s="144">
        <v>4025.4266084074507</v>
      </c>
      <c r="J527" s="197">
        <v>0.49410536681852402</v>
      </c>
      <c r="K527" s="197">
        <v>5.2876611274225188E-2</v>
      </c>
      <c r="L527" s="197">
        <v>4.8895162311766042E-2</v>
      </c>
      <c r="M527" s="197">
        <v>0.16406209095566979</v>
      </c>
      <c r="N527" s="197">
        <v>8.2236598274361722E-2</v>
      </c>
      <c r="O527" s="197"/>
      <c r="P527" s="197">
        <v>3.1788543905685661E-2</v>
      </c>
      <c r="Q527" s="196">
        <v>0.12603562645976765</v>
      </c>
    </row>
    <row r="528" spans="1:17" x14ac:dyDescent="0.35">
      <c r="A528" s="59" t="s">
        <v>1519</v>
      </c>
      <c r="B528" s="232">
        <v>51.424170718111696</v>
      </c>
      <c r="C528" s="145">
        <v>4.2717520197696306</v>
      </c>
      <c r="D528" s="145">
        <v>1.3438663073871202</v>
      </c>
      <c r="E528" s="145">
        <v>10.656663494227107</v>
      </c>
      <c r="F528" s="145">
        <v>2.1052717250109394</v>
      </c>
      <c r="G528" s="145"/>
      <c r="H528" s="145">
        <v>1.4098036549763033</v>
      </c>
      <c r="I528" s="144">
        <v>17.84955189351987</v>
      </c>
      <c r="J528" s="197">
        <v>0.57740340478786689</v>
      </c>
      <c r="K528" s="197">
        <v>4.7964296286759897E-2</v>
      </c>
      <c r="L528" s="197">
        <v>1.5089265818568254E-2</v>
      </c>
      <c r="M528" s="197">
        <v>0.11965567357371368</v>
      </c>
      <c r="N528" s="197">
        <v>2.3638515605596506E-2</v>
      </c>
      <c r="O528" s="197"/>
      <c r="P528" s="197">
        <v>1.5829626790247787E-2</v>
      </c>
      <c r="Q528" s="196">
        <v>0.20041921713724703</v>
      </c>
    </row>
    <row r="529" spans="1:17" x14ac:dyDescent="0.35">
      <c r="A529" s="59" t="s">
        <v>1518</v>
      </c>
      <c r="B529" s="232">
        <v>97.627165193979465</v>
      </c>
      <c r="C529" s="145">
        <v>7.9652836631087771</v>
      </c>
      <c r="D529" s="145">
        <v>1.653952136595092</v>
      </c>
      <c r="E529" s="145">
        <v>18.72321008571981</v>
      </c>
      <c r="F529" s="145">
        <v>2.2664890279323155</v>
      </c>
      <c r="G529" s="145"/>
      <c r="H529" s="145">
        <v>2.0431679318778118</v>
      </c>
      <c r="I529" s="144">
        <v>36.594954962064058</v>
      </c>
      <c r="J529" s="197">
        <v>0.5850344255579375</v>
      </c>
      <c r="K529" s="197">
        <v>4.7732259182101514E-2</v>
      </c>
      <c r="L529" s="197">
        <v>9.9113698140331219E-3</v>
      </c>
      <c r="M529" s="197">
        <v>0.11219953416997477</v>
      </c>
      <c r="N529" s="197">
        <v>1.3582019961914467E-2</v>
      </c>
      <c r="O529" s="197"/>
      <c r="P529" s="197">
        <v>1.2243759971617498E-2</v>
      </c>
      <c r="Q529" s="196">
        <v>0.21929663134242092</v>
      </c>
    </row>
    <row r="530" spans="1:17" x14ac:dyDescent="0.35">
      <c r="A530" s="59" t="s">
        <v>1531</v>
      </c>
      <c r="B530" s="232">
        <v>17002.207981997875</v>
      </c>
      <c r="C530" s="145">
        <v>1374.4189374434579</v>
      </c>
      <c r="D530" s="145">
        <v>243.40137587458582</v>
      </c>
      <c r="E530" s="145">
        <v>2945.5691061606485</v>
      </c>
      <c r="F530" s="145">
        <v>297.2950073933896</v>
      </c>
      <c r="G530" s="145"/>
      <c r="H530" s="145">
        <v>440.61954552504869</v>
      </c>
      <c r="I530" s="144">
        <v>5573.9662930107861</v>
      </c>
      <c r="J530" s="197">
        <v>0.60989045820814358</v>
      </c>
      <c r="K530" s="197">
        <v>4.9302125724781362E-2</v>
      </c>
      <c r="L530" s="197">
        <v>8.7311116778375081E-3</v>
      </c>
      <c r="M530" s="197">
        <v>0.10566124668879459</v>
      </c>
      <c r="N530" s="197">
        <v>1.066434362372985E-2</v>
      </c>
      <c r="O530" s="197"/>
      <c r="P530" s="197">
        <v>1.5805574005462692E-2</v>
      </c>
      <c r="Q530" s="196">
        <v>0.19994514007125036</v>
      </c>
    </row>
    <row r="531" spans="1:17" x14ac:dyDescent="0.35">
      <c r="A531" s="59" t="s">
        <v>1530</v>
      </c>
      <c r="B531" s="232">
        <v>161.15036035817795</v>
      </c>
      <c r="C531" s="145">
        <v>13.470501308072331</v>
      </c>
      <c r="D531" s="145">
        <v>1.8756689103443227</v>
      </c>
      <c r="E531" s="145">
        <v>25.928690090176048</v>
      </c>
      <c r="F531" s="145">
        <v>2.4720568240867378</v>
      </c>
      <c r="G531" s="145"/>
      <c r="H531" s="145">
        <v>4.6779126950056957</v>
      </c>
      <c r="I531" s="144">
        <v>53.262094119219775</v>
      </c>
      <c r="J531" s="197">
        <v>0.61311834348100336</v>
      </c>
      <c r="K531" s="197">
        <v>5.1250344271692928E-2</v>
      </c>
      <c r="L531" s="197">
        <v>7.1362360758802359E-3</v>
      </c>
      <c r="M531" s="197">
        <v>9.8649208611057859E-2</v>
      </c>
      <c r="N531" s="197">
        <v>9.4052745622548329E-3</v>
      </c>
      <c r="O531" s="197"/>
      <c r="P531" s="197">
        <v>1.7797751591345411E-2</v>
      </c>
      <c r="Q531" s="196">
        <v>0.20264284140676522</v>
      </c>
    </row>
    <row r="532" spans="1:17" x14ac:dyDescent="0.35">
      <c r="A532" s="59" t="s">
        <v>1529</v>
      </c>
      <c r="B532" s="49">
        <v>5563405.5134120658</v>
      </c>
      <c r="C532" s="48">
        <v>516633.34868286556</v>
      </c>
      <c r="D532" s="48">
        <v>135955.99234295433</v>
      </c>
      <c r="E532" s="48">
        <v>1286144.5679659257</v>
      </c>
      <c r="F532" s="48">
        <v>149919.86472042536</v>
      </c>
      <c r="G532" s="48"/>
      <c r="H532" s="48">
        <v>121461.63138153983</v>
      </c>
      <c r="I532" s="47">
        <v>2121230.8167377627</v>
      </c>
      <c r="J532" s="197">
        <v>0.56225822155760552</v>
      </c>
      <c r="K532" s="197">
        <v>5.221286622510185E-2</v>
      </c>
      <c r="L532" s="197">
        <v>1.3740212587517536E-2</v>
      </c>
      <c r="M532" s="197">
        <v>0.12998250005453715</v>
      </c>
      <c r="N532" s="197">
        <v>1.5151452884505881E-2</v>
      </c>
      <c r="O532" s="197"/>
      <c r="P532" s="197">
        <v>1.2275359163273665E-2</v>
      </c>
      <c r="Q532" s="196">
        <v>0.21437938752745794</v>
      </c>
    </row>
    <row r="533" spans="1:17" x14ac:dyDescent="0.35">
      <c r="A533" s="59" t="s">
        <v>1528</v>
      </c>
      <c r="B533" s="49">
        <v>5575149.5693554981</v>
      </c>
      <c r="C533" s="48">
        <v>518337.70186293521</v>
      </c>
      <c r="D533" s="48">
        <v>136982.20914547818</v>
      </c>
      <c r="E533" s="48">
        <v>1295241.4082364405</v>
      </c>
      <c r="F533" s="48">
        <v>150840.54504941331</v>
      </c>
      <c r="G533" s="48"/>
      <c r="H533" s="48">
        <v>121867.81085486655</v>
      </c>
      <c r="I533" s="47">
        <v>2124591.1277339025</v>
      </c>
      <c r="J533" s="197">
        <v>0.56184054638832326</v>
      </c>
      <c r="K533" s="197">
        <v>5.2235932687632901E-2</v>
      </c>
      <c r="L533" s="197">
        <v>1.380450125585995E-2</v>
      </c>
      <c r="M533" s="197">
        <v>0.13052907934673927</v>
      </c>
      <c r="N533" s="197">
        <v>1.5201087108748545E-2</v>
      </c>
      <c r="O533" s="197"/>
      <c r="P533" s="197">
        <v>1.2281334623595113E-2</v>
      </c>
      <c r="Q533" s="196">
        <v>0.21410751858910082</v>
      </c>
    </row>
    <row r="534" spans="1:17" x14ac:dyDescent="0.35">
      <c r="A534" s="59" t="s">
        <v>1527</v>
      </c>
      <c r="B534" s="49">
        <v>6270428.9229658628</v>
      </c>
      <c r="C534" s="48">
        <v>571304.85026704916</v>
      </c>
      <c r="D534" s="48">
        <v>149457.6571733095</v>
      </c>
      <c r="E534" s="48">
        <v>1412735.1056006458</v>
      </c>
      <c r="F534" s="48">
        <v>163555.97451224347</v>
      </c>
      <c r="G534" s="48"/>
      <c r="H534" s="48">
        <v>139884.11687238349</v>
      </c>
      <c r="I534" s="47">
        <v>2305924.5714658187</v>
      </c>
      <c r="J534" s="197">
        <v>0.56935105135660558</v>
      </c>
      <c r="K534" s="197">
        <v>5.1874125540812457E-2</v>
      </c>
      <c r="L534" s="197">
        <v>1.357066243638564E-2</v>
      </c>
      <c r="M534" s="197">
        <v>0.12827547007448822</v>
      </c>
      <c r="N534" s="197">
        <v>1.4850780893654502E-2</v>
      </c>
      <c r="O534" s="197"/>
      <c r="P534" s="197">
        <v>1.2701390923623013E-2</v>
      </c>
      <c r="Q534" s="196">
        <v>0.20937651877443053</v>
      </c>
    </row>
    <row r="535" spans="1:17" ht="13.15" x14ac:dyDescent="0.4">
      <c r="A535" s="128" t="s">
        <v>2224</v>
      </c>
      <c r="B535" s="232"/>
      <c r="C535" s="145"/>
      <c r="D535" s="145"/>
      <c r="E535" s="145"/>
      <c r="F535" s="145"/>
      <c r="G535" s="145"/>
      <c r="H535" s="145"/>
      <c r="I535" s="144"/>
      <c r="J535" s="197"/>
      <c r="K535" s="197"/>
      <c r="L535" s="197"/>
      <c r="M535" s="197"/>
      <c r="N535" s="197"/>
      <c r="O535" s="197"/>
      <c r="P535" s="197"/>
      <c r="Q535" s="196"/>
    </row>
    <row r="536" spans="1:17" x14ac:dyDescent="0.35">
      <c r="A536" s="59" t="s">
        <v>1525</v>
      </c>
      <c r="B536" s="232">
        <v>58.144445521473529</v>
      </c>
      <c r="C536" s="145">
        <v>4.8200004739054734</v>
      </c>
      <c r="D536" s="145">
        <v>0.87302464565078852</v>
      </c>
      <c r="E536" s="145">
        <v>11.077786085012184</v>
      </c>
      <c r="F536" s="145">
        <v>1.0981104114931504</v>
      </c>
      <c r="G536" s="145"/>
      <c r="H536" s="145">
        <v>1.3419479509106831</v>
      </c>
      <c r="I536" s="144">
        <v>19.880295992133181</v>
      </c>
      <c r="J536" s="197">
        <v>0.59797480444987716</v>
      </c>
      <c r="K536" s="197">
        <v>4.957032120578897E-2</v>
      </c>
      <c r="L536" s="197">
        <v>8.9784456121462988E-3</v>
      </c>
      <c r="M536" s="197">
        <v>0.11392725321417521</v>
      </c>
      <c r="N536" s="197">
        <v>1.1293294702319998E-2</v>
      </c>
      <c r="O536" s="197"/>
      <c r="P536" s="197">
        <v>1.3800992619860362E-2</v>
      </c>
      <c r="Q536" s="196">
        <v>0.20445488819583199</v>
      </c>
    </row>
    <row r="537" spans="1:17" x14ac:dyDescent="0.35">
      <c r="A537" s="59" t="s">
        <v>1524</v>
      </c>
      <c r="B537" s="232">
        <v>248.4213372758754</v>
      </c>
      <c r="C537" s="145">
        <v>21.767668787641409</v>
      </c>
      <c r="D537" s="145">
        <v>4.1612344456074357</v>
      </c>
      <c r="E537" s="145">
        <v>43.639782985706738</v>
      </c>
      <c r="F537" s="145">
        <v>5.1711870461694422</v>
      </c>
      <c r="G537" s="145"/>
      <c r="H537" s="145">
        <v>5.303784413469935</v>
      </c>
      <c r="I537" s="144">
        <v>95.144779343744815</v>
      </c>
      <c r="J537" s="197">
        <v>0.58643910586678372</v>
      </c>
      <c r="K537" s="197">
        <v>5.1386134382058142E-2</v>
      </c>
      <c r="L537" s="197">
        <v>9.8232729698016497E-3</v>
      </c>
      <c r="M537" s="197">
        <v>0.10301882919959479</v>
      </c>
      <c r="N537" s="197">
        <v>1.2207430894946726E-2</v>
      </c>
      <c r="O537" s="197"/>
      <c r="P537" s="197">
        <v>1.2520448618676457E-2</v>
      </c>
      <c r="Q537" s="196">
        <v>0.22460477806813836</v>
      </c>
    </row>
    <row r="538" spans="1:17" x14ac:dyDescent="0.35">
      <c r="A538" s="59" t="s">
        <v>1523</v>
      </c>
      <c r="B538" s="232">
        <v>450.92650187655505</v>
      </c>
      <c r="C538" s="145">
        <v>44.813244211734727</v>
      </c>
      <c r="D538" s="145">
        <v>10.7203283936389</v>
      </c>
      <c r="E538" s="145">
        <v>91.48102376493847</v>
      </c>
      <c r="F538" s="145">
        <v>12.126023756181407</v>
      </c>
      <c r="G538" s="145"/>
      <c r="H538" s="145">
        <v>10.334439358387293</v>
      </c>
      <c r="I538" s="144">
        <v>180.55416377854556</v>
      </c>
      <c r="J538" s="197">
        <v>0.56298555303758846</v>
      </c>
      <c r="K538" s="197">
        <v>5.5949714578671393E-2</v>
      </c>
      <c r="L538" s="197">
        <v>1.3384420707855395E-2</v>
      </c>
      <c r="M538" s="197">
        <v>0.11421483222303022</v>
      </c>
      <c r="N538" s="197">
        <v>1.5139443262063167E-2</v>
      </c>
      <c r="O538" s="197"/>
      <c r="P538" s="197">
        <v>1.2902634982203499E-2</v>
      </c>
      <c r="Q538" s="196">
        <v>0.22542340120858803</v>
      </c>
    </row>
    <row r="539" spans="1:17" x14ac:dyDescent="0.35">
      <c r="A539" s="59" t="s">
        <v>1522</v>
      </c>
      <c r="B539" s="232">
        <v>36.420633059197648</v>
      </c>
      <c r="C539" s="145">
        <v>4.3292481565052432</v>
      </c>
      <c r="D539" s="145">
        <v>1.2666235772508767</v>
      </c>
      <c r="E539" s="145">
        <v>8.9894511092601963</v>
      </c>
      <c r="F539" s="145">
        <v>1.3426639506007196</v>
      </c>
      <c r="G539" s="145"/>
      <c r="H539" s="145">
        <v>0.91672351159691101</v>
      </c>
      <c r="I539" s="144">
        <v>15.748702380882079</v>
      </c>
      <c r="J539" s="197">
        <v>0.52772783664376499</v>
      </c>
      <c r="K539" s="197">
        <v>6.2729957499998795E-2</v>
      </c>
      <c r="L539" s="197">
        <v>1.8353127447788452E-2</v>
      </c>
      <c r="M539" s="197">
        <v>0.13025538514923571</v>
      </c>
      <c r="N539" s="197">
        <v>1.9454937558015594E-2</v>
      </c>
      <c r="O539" s="197"/>
      <c r="P539" s="197">
        <v>1.3283144057083862E-2</v>
      </c>
      <c r="Q539" s="196">
        <v>0.22819561164411303</v>
      </c>
    </row>
    <row r="540" spans="1:17" x14ac:dyDescent="0.35">
      <c r="A540" s="59" t="s">
        <v>1521</v>
      </c>
      <c r="B540" s="232">
        <v>27.162101666212507</v>
      </c>
      <c r="C540" s="145">
        <v>3.2030300325342878</v>
      </c>
      <c r="D540" s="145">
        <v>0.92490845471110505</v>
      </c>
      <c r="E540" s="145">
        <v>6.6827177156387023</v>
      </c>
      <c r="F540" s="145">
        <v>0.97850349747927823</v>
      </c>
      <c r="G540" s="145"/>
      <c r="H540" s="145">
        <v>0.67483650080574131</v>
      </c>
      <c r="I540" s="144">
        <v>11.717653818626465</v>
      </c>
      <c r="J540" s="197">
        <v>0.52902448251779333</v>
      </c>
      <c r="K540" s="197">
        <v>6.2384027799962265E-2</v>
      </c>
      <c r="L540" s="197">
        <v>1.8014041131379888E-2</v>
      </c>
      <c r="M540" s="197">
        <v>0.13015639676092933</v>
      </c>
      <c r="N540" s="197">
        <v>1.9057888552112458E-2</v>
      </c>
      <c r="O540" s="197"/>
      <c r="P540" s="197">
        <v>1.3143498062484672E-2</v>
      </c>
      <c r="Q540" s="196">
        <v>0.22821966517533807</v>
      </c>
    </row>
    <row r="541" spans="1:17" x14ac:dyDescent="0.35">
      <c r="A541" s="59" t="s">
        <v>1520</v>
      </c>
      <c r="B541" s="232">
        <v>1111.0088318928476</v>
      </c>
      <c r="C541" s="145">
        <v>137.54263992011479</v>
      </c>
      <c r="D541" s="145">
        <v>41.230561605802798</v>
      </c>
      <c r="E541" s="145">
        <v>273.36337429418046</v>
      </c>
      <c r="F541" s="145">
        <v>42.741562561538011</v>
      </c>
      <c r="G541" s="145"/>
      <c r="H541" s="145">
        <v>28.710750863871763</v>
      </c>
      <c r="I541" s="144">
        <v>496.46957140394125</v>
      </c>
      <c r="J541" s="197">
        <v>0.52133915985705392</v>
      </c>
      <c r="K541" s="197">
        <v>6.4541669050736883E-2</v>
      </c>
      <c r="L541" s="197">
        <v>1.9347376664307969E-2</v>
      </c>
      <c r="M541" s="197">
        <v>0.12827533661223173</v>
      </c>
      <c r="N541" s="197">
        <v>2.0056411503809747E-2</v>
      </c>
      <c r="O541" s="197"/>
      <c r="P541" s="197">
        <v>1.3472475019604253E-2</v>
      </c>
      <c r="Q541" s="196">
        <v>0.2329675712922554</v>
      </c>
    </row>
    <row r="542" spans="1:17" x14ac:dyDescent="0.35">
      <c r="A542" s="59" t="s">
        <v>1519</v>
      </c>
      <c r="B542" s="232">
        <v>1.8818801750188507</v>
      </c>
      <c r="C542" s="145">
        <v>0.20863260172868189</v>
      </c>
      <c r="D542" s="145">
        <v>5.6402106780992216E-2</v>
      </c>
      <c r="E542" s="145">
        <v>0.45095278912175096</v>
      </c>
      <c r="F542" s="145">
        <v>6.1390623280910508E-2</v>
      </c>
      <c r="G542" s="145"/>
      <c r="H542" s="145">
        <v>4.5067559340918412E-2</v>
      </c>
      <c r="I542" s="144">
        <v>0.78541411176360343</v>
      </c>
      <c r="J542" s="197">
        <v>0.53926085977614457</v>
      </c>
      <c r="K542" s="197">
        <v>5.9784569537970698E-2</v>
      </c>
      <c r="L542" s="197">
        <v>1.6162266333242557E-2</v>
      </c>
      <c r="M542" s="197">
        <v>0.12922246166805487</v>
      </c>
      <c r="N542" s="197">
        <v>1.7591747196298288E-2</v>
      </c>
      <c r="O542" s="197"/>
      <c r="P542" s="197">
        <v>1.291430300441559E-2</v>
      </c>
      <c r="Q542" s="196">
        <v>0.22506379248387326</v>
      </c>
    </row>
    <row r="543" spans="1:17" x14ac:dyDescent="0.35">
      <c r="A543" s="57" t="s">
        <v>1518</v>
      </c>
      <c r="B543" s="231">
        <v>4.3335275623117226</v>
      </c>
      <c r="C543" s="142">
        <v>0.48891614401698147</v>
      </c>
      <c r="D543" s="142">
        <v>0.13639727401164717</v>
      </c>
      <c r="E543" s="142">
        <v>1.0428713370968299</v>
      </c>
      <c r="F543" s="142">
        <v>0.14782638557040717</v>
      </c>
      <c r="G543" s="142"/>
      <c r="H543" s="142">
        <v>0.10042288913823888</v>
      </c>
      <c r="I543" s="141">
        <v>1.8765702470533283</v>
      </c>
      <c r="J543" s="194">
        <v>0.53325670138994741</v>
      </c>
      <c r="K543" s="194">
        <v>6.0162951882947742E-2</v>
      </c>
      <c r="L543" s="194">
        <v>1.6784192409573916E-2</v>
      </c>
      <c r="M543" s="194">
        <v>0.12832920091033595</v>
      </c>
      <c r="N543" s="194">
        <v>1.819058714042706E-2</v>
      </c>
      <c r="O543" s="194"/>
      <c r="P543" s="194">
        <v>1.2357410408932241E-2</v>
      </c>
      <c r="Q543" s="193">
        <v>0.23091895585783603</v>
      </c>
    </row>
  </sheetData>
  <mergeCells count="20">
    <mergeCell ref="B206:I206"/>
    <mergeCell ref="J206:Q206"/>
    <mergeCell ref="B240:I240"/>
    <mergeCell ref="J240:Q240"/>
    <mergeCell ref="B274:I274"/>
    <mergeCell ref="J274:Q274"/>
    <mergeCell ref="B308:I308"/>
    <mergeCell ref="J308:Q308"/>
    <mergeCell ref="B342:I342"/>
    <mergeCell ref="J342:Q342"/>
    <mergeCell ref="B376:I376"/>
    <mergeCell ref="J376:Q376"/>
    <mergeCell ref="B512:I512"/>
    <mergeCell ref="J512:Q512"/>
    <mergeCell ref="B410:I410"/>
    <mergeCell ref="J410:Q410"/>
    <mergeCell ref="B444:I444"/>
    <mergeCell ref="J444:Q444"/>
    <mergeCell ref="B478:I478"/>
    <mergeCell ref="J478:Q478"/>
  </mergeCells>
  <pageMargins left="0.75" right="0.75" top="1" bottom="1" header="0.5" footer="0.5"/>
  <pageSetup orientation="landscape" r:id="rId1"/>
  <headerFooter alignWithMargins="0">
    <oddHeader>&amp;A</oddHeader>
    <oddFooter>Page &amp;P</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162"/>
  <sheetViews>
    <sheetView showGridLines="0" zoomScale="85" zoomScaleNormal="85" workbookViewId="0">
      <selection activeCell="A3" sqref="A3"/>
    </sheetView>
  </sheetViews>
  <sheetFormatPr defaultColWidth="9.1328125" defaultRowHeight="12.75" x14ac:dyDescent="0.35"/>
  <cols>
    <col min="1" max="1" width="35.1328125" style="39" customWidth="1"/>
    <col min="2" max="2" width="11.46484375" style="39" customWidth="1"/>
    <col min="3" max="3" width="12.19921875" style="39" bestFit="1" customWidth="1"/>
    <col min="4" max="4" width="11.86328125" style="39" bestFit="1" customWidth="1"/>
    <col min="5" max="5" width="12.1328125" style="39" customWidth="1"/>
    <col min="6" max="6" width="11.86328125" style="39" bestFit="1" customWidth="1"/>
    <col min="7" max="7" width="12.796875" style="39" bestFit="1" customWidth="1"/>
    <col min="8" max="8" width="11.19921875" style="39" bestFit="1" customWidth="1"/>
    <col min="9" max="9" width="12.796875" style="39" bestFit="1" customWidth="1"/>
    <col min="10" max="10" width="9.46484375" style="39" customWidth="1"/>
    <col min="11" max="11" width="12.796875" style="39" bestFit="1" customWidth="1"/>
    <col min="12" max="12" width="10.19921875" style="39" customWidth="1"/>
    <col min="13" max="13" width="12.86328125" style="39" bestFit="1" customWidth="1"/>
    <col min="14" max="14" width="10.86328125" style="703" customWidth="1"/>
    <col min="15" max="15" width="9.46484375" style="39" bestFit="1" customWidth="1"/>
    <col min="16" max="16384" width="9.1328125" style="39"/>
  </cols>
  <sheetData>
    <row r="1" spans="1:8" ht="15" x14ac:dyDescent="0.4">
      <c r="A1" s="140" t="s">
        <v>89</v>
      </c>
      <c r="G1" s="230" t="s">
        <v>1561</v>
      </c>
    </row>
    <row r="2" spans="1:8" ht="13.15" x14ac:dyDescent="0.4">
      <c r="A2" s="41"/>
    </row>
    <row r="3" spans="1:8" ht="13.9" x14ac:dyDescent="0.4">
      <c r="A3" s="72" t="s">
        <v>2320</v>
      </c>
    </row>
    <row r="4" spans="1:8" ht="25.5" x14ac:dyDescent="0.35">
      <c r="A4" s="61"/>
      <c r="B4" s="134" t="s">
        <v>1799</v>
      </c>
      <c r="C4" s="134" t="s">
        <v>1798</v>
      </c>
      <c r="D4" s="134" t="s">
        <v>1797</v>
      </c>
      <c r="E4" s="134" t="s">
        <v>1796</v>
      </c>
      <c r="F4" s="134" t="s">
        <v>1795</v>
      </c>
      <c r="G4" s="134" t="s">
        <v>1794</v>
      </c>
      <c r="H4" s="218" t="s">
        <v>1793</v>
      </c>
    </row>
    <row r="5" spans="1:8" x14ac:dyDescent="0.35">
      <c r="A5" s="61" t="s">
        <v>2319</v>
      </c>
      <c r="B5" s="101"/>
      <c r="C5" s="101"/>
      <c r="D5" s="101"/>
      <c r="E5" s="101"/>
      <c r="F5" s="101"/>
      <c r="G5" s="101"/>
      <c r="H5" s="60"/>
    </row>
    <row r="6" spans="1:8" x14ac:dyDescent="0.35">
      <c r="A6" s="59" t="s">
        <v>2318</v>
      </c>
      <c r="B6" s="176">
        <v>8.5</v>
      </c>
      <c r="C6" s="176">
        <v>0</v>
      </c>
      <c r="D6" s="176">
        <v>2</v>
      </c>
      <c r="E6" s="176">
        <v>24.039656900000001</v>
      </c>
      <c r="F6" s="176">
        <v>23</v>
      </c>
      <c r="G6" s="176">
        <v>6</v>
      </c>
      <c r="H6" s="623">
        <v>30</v>
      </c>
    </row>
    <row r="7" spans="1:8" x14ac:dyDescent="0.35">
      <c r="A7" s="59" t="s">
        <v>2317</v>
      </c>
      <c r="B7" s="176">
        <v>8.5</v>
      </c>
      <c r="C7" s="176">
        <v>0</v>
      </c>
      <c r="D7" s="176">
        <v>2</v>
      </c>
      <c r="E7" s="176">
        <v>24.039656900000001</v>
      </c>
      <c r="F7" s="176">
        <v>23</v>
      </c>
      <c r="G7" s="176">
        <v>6</v>
      </c>
      <c r="H7" s="623">
        <v>30</v>
      </c>
    </row>
    <row r="8" spans="1:8" x14ac:dyDescent="0.35">
      <c r="A8" s="59" t="s">
        <v>2316</v>
      </c>
      <c r="B8" s="176">
        <v>8.5</v>
      </c>
      <c r="C8" s="176">
        <v>0</v>
      </c>
      <c r="D8" s="176">
        <v>2</v>
      </c>
      <c r="E8" s="176">
        <v>1.8492043499999999</v>
      </c>
      <c r="F8" s="176">
        <v>23</v>
      </c>
      <c r="G8" s="176">
        <v>6</v>
      </c>
      <c r="H8" s="623">
        <v>30</v>
      </c>
    </row>
    <row r="9" spans="1:8" x14ac:dyDescent="0.35">
      <c r="A9" s="59" t="s">
        <v>2315</v>
      </c>
      <c r="B9" s="176">
        <v>8.5</v>
      </c>
      <c r="C9" s="176">
        <v>0</v>
      </c>
      <c r="D9" s="176">
        <v>2</v>
      </c>
      <c r="E9" s="176">
        <v>1.8492043499999999</v>
      </c>
      <c r="F9" s="176">
        <v>23</v>
      </c>
      <c r="G9" s="176">
        <v>6</v>
      </c>
      <c r="H9" s="623">
        <v>30</v>
      </c>
    </row>
    <row r="10" spans="1:8" x14ac:dyDescent="0.35">
      <c r="A10" s="59" t="s">
        <v>2314</v>
      </c>
      <c r="B10" s="176">
        <v>0</v>
      </c>
      <c r="C10" s="176">
        <v>0</v>
      </c>
      <c r="D10" s="176">
        <v>2</v>
      </c>
      <c r="E10" s="176">
        <v>1.8492043499999999</v>
      </c>
      <c r="F10" s="176">
        <v>15.770998518800001</v>
      </c>
      <c r="G10" s="176">
        <v>6</v>
      </c>
      <c r="H10" s="623">
        <v>30</v>
      </c>
    </row>
    <row r="11" spans="1:8" x14ac:dyDescent="0.35">
      <c r="A11" s="57" t="s">
        <v>2313</v>
      </c>
      <c r="B11" s="176">
        <v>0</v>
      </c>
      <c r="C11" s="176">
        <v>0</v>
      </c>
      <c r="D11" s="176">
        <v>2</v>
      </c>
      <c r="E11" s="176">
        <v>1.8492043499999999</v>
      </c>
      <c r="F11" s="176">
        <v>15.770998518800001</v>
      </c>
      <c r="G11" s="176">
        <v>6</v>
      </c>
      <c r="H11" s="623">
        <v>30</v>
      </c>
    </row>
    <row r="12" spans="1:8" x14ac:dyDescent="0.35">
      <c r="A12" s="91" t="s">
        <v>2312</v>
      </c>
      <c r="B12" s="69">
        <v>39</v>
      </c>
      <c r="C12" s="69">
        <v>0</v>
      </c>
      <c r="D12" s="69">
        <v>3</v>
      </c>
      <c r="E12" s="69">
        <v>1</v>
      </c>
      <c r="F12" s="69">
        <v>3</v>
      </c>
      <c r="G12" s="69">
        <v>19</v>
      </c>
      <c r="H12" s="68">
        <v>0</v>
      </c>
    </row>
    <row r="13" spans="1:8" x14ac:dyDescent="0.35">
      <c r="A13" s="57" t="s">
        <v>2311</v>
      </c>
      <c r="B13" s="194">
        <v>0.66666666666666663</v>
      </c>
      <c r="C13" s="194">
        <v>0.66666666666666663</v>
      </c>
      <c r="D13" s="194">
        <v>0.66666666666666663</v>
      </c>
      <c r="E13" s="194">
        <v>0.66666666666666663</v>
      </c>
      <c r="F13" s="194">
        <v>0.66666666666666663</v>
      </c>
      <c r="G13" s="194">
        <v>0</v>
      </c>
      <c r="H13" s="193">
        <v>0.66666666666666663</v>
      </c>
    </row>
    <row r="14" spans="1:8" ht="13.15" x14ac:dyDescent="0.4">
      <c r="A14" s="41"/>
    </row>
    <row r="15" spans="1:8" x14ac:dyDescent="0.35">
      <c r="A15" s="717">
        <v>0.5</v>
      </c>
      <c r="B15" s="39" t="s">
        <v>1433</v>
      </c>
    </row>
    <row r="16" spans="1:8" x14ac:dyDescent="0.35">
      <c r="A16" s="716">
        <v>0.5</v>
      </c>
      <c r="B16" s="39" t="s">
        <v>1432</v>
      </c>
    </row>
    <row r="17" spans="1:13" s="703" customFormat="1" ht="13.15" x14ac:dyDescent="0.4">
      <c r="A17" s="41"/>
      <c r="B17" s="39"/>
      <c r="C17" s="39"/>
      <c r="D17" s="39"/>
      <c r="E17" s="39"/>
      <c r="F17" s="39"/>
      <c r="G17" s="39"/>
      <c r="H17" s="39"/>
      <c r="I17" s="39"/>
      <c r="J17" s="39"/>
      <c r="K17" s="39"/>
      <c r="L17" s="39"/>
      <c r="M17" s="39"/>
    </row>
    <row r="18" spans="1:13" s="703" customFormat="1" ht="13.9" x14ac:dyDescent="0.4">
      <c r="A18" s="72" t="s">
        <v>1734</v>
      </c>
      <c r="B18" s="39"/>
      <c r="C18" s="39"/>
      <c r="D18" s="39"/>
      <c r="E18" s="39"/>
      <c r="F18" s="39"/>
      <c r="G18" s="39"/>
      <c r="H18" s="39"/>
      <c r="I18" s="39"/>
      <c r="J18" s="39"/>
      <c r="K18" s="39"/>
      <c r="L18" s="39"/>
      <c r="M18" s="39"/>
    </row>
    <row r="19" spans="1:13" s="703" customFormat="1" x14ac:dyDescent="0.35">
      <c r="A19" s="61" t="s">
        <v>1717</v>
      </c>
      <c r="B19" s="417">
        <v>1</v>
      </c>
      <c r="C19" s="39"/>
      <c r="D19" s="39"/>
      <c r="E19" s="39"/>
      <c r="F19" s="39"/>
      <c r="G19" s="39"/>
      <c r="H19" s="39"/>
      <c r="I19" s="39"/>
      <c r="J19" s="39"/>
      <c r="K19" s="39"/>
      <c r="L19" s="39"/>
      <c r="M19" s="39"/>
    </row>
    <row r="20" spans="1:13" s="703" customFormat="1" x14ac:dyDescent="0.35">
      <c r="A20" s="59" t="s">
        <v>1909</v>
      </c>
      <c r="B20" s="196">
        <v>1</v>
      </c>
      <c r="C20" s="39"/>
      <c r="D20" s="39"/>
      <c r="E20" s="39"/>
      <c r="F20" s="39"/>
      <c r="G20" s="39"/>
      <c r="H20" s="39"/>
      <c r="I20" s="39"/>
      <c r="J20" s="39"/>
      <c r="K20" s="39"/>
      <c r="L20" s="39"/>
      <c r="M20" s="39"/>
    </row>
    <row r="21" spans="1:13" s="703" customFormat="1" x14ac:dyDescent="0.35">
      <c r="A21" s="57" t="s">
        <v>1703</v>
      </c>
      <c r="B21" s="193">
        <v>1</v>
      </c>
      <c r="C21" s="39"/>
      <c r="D21" s="39"/>
      <c r="E21" s="39"/>
      <c r="F21" s="39"/>
      <c r="G21" s="39"/>
      <c r="H21" s="39"/>
      <c r="I21" s="39"/>
      <c r="J21" s="39"/>
      <c r="K21" s="39"/>
      <c r="L21" s="39"/>
      <c r="M21" s="39"/>
    </row>
    <row r="23" spans="1:13" s="703" customFormat="1" ht="13.9" x14ac:dyDescent="0.4">
      <c r="A23" s="72" t="s">
        <v>1701</v>
      </c>
      <c r="B23" s="39"/>
      <c r="C23" s="39"/>
      <c r="D23" s="39"/>
      <c r="E23" s="39"/>
      <c r="F23" s="39"/>
      <c r="G23" s="39"/>
      <c r="H23" s="39"/>
      <c r="I23" s="39"/>
      <c r="J23" s="39"/>
      <c r="K23" s="39"/>
      <c r="L23" s="39"/>
      <c r="M23" s="39"/>
    </row>
    <row r="24" spans="1:13" s="703" customFormat="1" ht="24" customHeight="1" x14ac:dyDescent="0.4">
      <c r="A24" s="131"/>
      <c r="B24" s="2191" t="s">
        <v>1183</v>
      </c>
      <c r="C24" s="2192"/>
      <c r="D24" s="2196" t="s">
        <v>1799</v>
      </c>
      <c r="E24" s="2196"/>
      <c r="F24" s="2191" t="s">
        <v>1798</v>
      </c>
      <c r="G24" s="2192"/>
      <c r="H24" s="2196" t="s">
        <v>1797</v>
      </c>
      <c r="I24" s="2196"/>
      <c r="J24" s="2191" t="s">
        <v>1796</v>
      </c>
      <c r="K24" s="2192"/>
      <c r="L24" s="2196" t="s">
        <v>1060</v>
      </c>
      <c r="M24" s="2192"/>
    </row>
    <row r="25" spans="1:13" s="703" customFormat="1" ht="67.5" customHeight="1" x14ac:dyDescent="0.4">
      <c r="A25" s="128"/>
      <c r="B25" s="416" t="s">
        <v>1674</v>
      </c>
      <c r="C25" s="415" t="s">
        <v>1673</v>
      </c>
      <c r="D25" s="478" t="s">
        <v>2307</v>
      </c>
      <c r="E25" s="478" t="s">
        <v>2310</v>
      </c>
      <c r="F25" s="416" t="s">
        <v>2307</v>
      </c>
      <c r="G25" s="415" t="s">
        <v>2310</v>
      </c>
      <c r="H25" s="478" t="s">
        <v>2307</v>
      </c>
      <c r="I25" s="478" t="s">
        <v>2310</v>
      </c>
      <c r="J25" s="416" t="s">
        <v>2307</v>
      </c>
      <c r="K25" s="415" t="s">
        <v>2310</v>
      </c>
      <c r="L25" s="478" t="s">
        <v>2307</v>
      </c>
      <c r="M25" s="415" t="s">
        <v>2309</v>
      </c>
    </row>
    <row r="26" spans="1:13" s="703" customFormat="1" ht="26.25" x14ac:dyDescent="0.4">
      <c r="A26" s="414" t="s">
        <v>1940</v>
      </c>
      <c r="B26" s="277">
        <v>29.654</v>
      </c>
      <c r="C26" s="99"/>
      <c r="D26" s="120"/>
      <c r="E26" s="39"/>
      <c r="F26" s="277"/>
      <c r="G26" s="99"/>
      <c r="H26" s="120"/>
      <c r="I26" s="39"/>
      <c r="J26" s="277"/>
      <c r="K26" s="99"/>
      <c r="L26" s="120"/>
      <c r="M26" s="99"/>
    </row>
    <row r="27" spans="1:13" s="703" customFormat="1" ht="13.15" x14ac:dyDescent="0.4">
      <c r="A27" s="128" t="s">
        <v>1671</v>
      </c>
      <c r="B27" s="413">
        <v>0</v>
      </c>
      <c r="C27" s="99"/>
      <c r="D27" s="197"/>
      <c r="E27" s="197">
        <v>0.5</v>
      </c>
      <c r="F27" s="413"/>
      <c r="G27" s="196">
        <v>0.5</v>
      </c>
      <c r="H27" s="197"/>
      <c r="I27" s="197">
        <v>0.5</v>
      </c>
      <c r="J27" s="413"/>
      <c r="K27" s="193">
        <v>0.5</v>
      </c>
      <c r="L27" s="197"/>
      <c r="M27" s="193">
        <v>0.7</v>
      </c>
    </row>
    <row r="28" spans="1:13" s="703" customFormat="1" ht="13.15" x14ac:dyDescent="0.4">
      <c r="A28" s="131" t="s">
        <v>1670</v>
      </c>
      <c r="B28" s="61"/>
      <c r="C28" s="60"/>
      <c r="D28" s="101"/>
      <c r="E28" s="101"/>
      <c r="F28" s="61"/>
      <c r="G28" s="60"/>
      <c r="H28" s="101"/>
      <c r="I28" s="101"/>
      <c r="J28" s="61"/>
      <c r="K28" s="60"/>
      <c r="L28" s="101"/>
      <c r="M28" s="60"/>
    </row>
    <row r="29" spans="1:13" s="703" customFormat="1" x14ac:dyDescent="0.35">
      <c r="A29" s="59" t="s">
        <v>1668</v>
      </c>
      <c r="B29" s="477">
        <v>0.48699999999999999</v>
      </c>
      <c r="C29" s="99"/>
      <c r="D29" s="254"/>
      <c r="E29" s="39"/>
      <c r="F29" s="477"/>
      <c r="G29" s="99"/>
      <c r="H29" s="254"/>
      <c r="I29" s="39"/>
      <c r="J29" s="477"/>
      <c r="K29" s="99"/>
      <c r="L29" s="254"/>
      <c r="M29" s="99"/>
    </row>
    <row r="30" spans="1:13" s="703" customFormat="1" x14ac:dyDescent="0.35">
      <c r="A30" s="59" t="s">
        <v>1667</v>
      </c>
      <c r="B30" s="477">
        <v>0</v>
      </c>
      <c r="C30" s="99"/>
      <c r="D30" s="254"/>
      <c r="E30" s="39"/>
      <c r="F30" s="477"/>
      <c r="G30" s="99"/>
      <c r="H30" s="254"/>
      <c r="I30" s="39"/>
      <c r="J30" s="477"/>
      <c r="K30" s="99"/>
      <c r="L30" s="254"/>
      <c r="M30" s="99"/>
    </row>
    <row r="31" spans="1:13" s="703" customFormat="1" x14ac:dyDescent="0.35">
      <c r="A31" s="59" t="s">
        <v>1534</v>
      </c>
      <c r="B31" s="477">
        <v>0.48699999999999999</v>
      </c>
      <c r="C31" s="99"/>
      <c r="D31" s="254"/>
      <c r="E31" s="39"/>
      <c r="F31" s="477"/>
      <c r="G31" s="99"/>
      <c r="H31" s="254"/>
      <c r="I31" s="39"/>
      <c r="J31" s="477"/>
      <c r="K31" s="99"/>
      <c r="L31" s="254"/>
      <c r="M31" s="99"/>
    </row>
    <row r="32" spans="1:13" s="703" customFormat="1" x14ac:dyDescent="0.35">
      <c r="A32" s="59" t="s">
        <v>1535</v>
      </c>
      <c r="B32" s="477">
        <v>0</v>
      </c>
      <c r="C32" s="99"/>
      <c r="D32" s="254"/>
      <c r="E32" s="39"/>
      <c r="F32" s="477"/>
      <c r="G32" s="99"/>
      <c r="H32" s="254"/>
      <c r="I32" s="39"/>
      <c r="J32" s="477"/>
      <c r="K32" s="99"/>
      <c r="L32" s="254"/>
      <c r="M32" s="99"/>
    </row>
    <row r="33" spans="1:14" x14ac:dyDescent="0.35">
      <c r="A33" s="57" t="s">
        <v>1664</v>
      </c>
      <c r="B33" s="556">
        <v>2.6000000000000023E-2</v>
      </c>
      <c r="C33" s="100"/>
      <c r="D33" s="252"/>
      <c r="E33" s="77"/>
      <c r="F33" s="556"/>
      <c r="G33" s="100"/>
      <c r="H33" s="252"/>
      <c r="I33" s="77"/>
      <c r="J33" s="556"/>
      <c r="K33" s="100"/>
      <c r="L33" s="252"/>
      <c r="M33" s="100"/>
    </row>
    <row r="34" spans="1:14" ht="13.15" x14ac:dyDescent="0.4">
      <c r="A34" s="128" t="s">
        <v>1669</v>
      </c>
      <c r="B34" s="59"/>
      <c r="C34" s="99"/>
      <c r="F34" s="59"/>
      <c r="G34" s="99"/>
      <c r="J34" s="59"/>
      <c r="K34" s="99"/>
      <c r="M34" s="99"/>
    </row>
    <row r="35" spans="1:14" s="145" customFormat="1" x14ac:dyDescent="0.35">
      <c r="A35" s="232" t="s">
        <v>1668</v>
      </c>
      <c r="B35" s="232">
        <v>14.441497999999999</v>
      </c>
      <c r="C35" s="144"/>
      <c r="F35" s="232"/>
      <c r="G35" s="144"/>
      <c r="J35" s="232"/>
      <c r="K35" s="144"/>
      <c r="M35" s="144"/>
      <c r="N35" s="704"/>
    </row>
    <row r="36" spans="1:14" s="145" customFormat="1" x14ac:dyDescent="0.35">
      <c r="A36" s="232" t="s">
        <v>1667</v>
      </c>
      <c r="B36" s="232">
        <v>0</v>
      </c>
      <c r="C36" s="144"/>
      <c r="F36" s="232"/>
      <c r="G36" s="144"/>
      <c r="J36" s="232"/>
      <c r="K36" s="144"/>
      <c r="M36" s="144"/>
      <c r="N36" s="704"/>
    </row>
    <row r="37" spans="1:14" s="145" customFormat="1" x14ac:dyDescent="0.35">
      <c r="A37" s="232" t="s">
        <v>1534</v>
      </c>
      <c r="B37" s="232">
        <v>14.441497999999999</v>
      </c>
      <c r="C37" s="144"/>
      <c r="F37" s="232"/>
      <c r="G37" s="144"/>
      <c r="J37" s="232"/>
      <c r="K37" s="144"/>
      <c r="M37" s="144"/>
      <c r="N37" s="704"/>
    </row>
    <row r="38" spans="1:14" s="145" customFormat="1" x14ac:dyDescent="0.35">
      <c r="A38" s="232" t="s">
        <v>1535</v>
      </c>
      <c r="B38" s="232">
        <v>0</v>
      </c>
      <c r="C38" s="144"/>
      <c r="F38" s="232"/>
      <c r="G38" s="144"/>
      <c r="J38" s="232"/>
      <c r="K38" s="144"/>
      <c r="M38" s="144"/>
      <c r="N38" s="704"/>
    </row>
    <row r="39" spans="1:14" s="145" customFormat="1" x14ac:dyDescent="0.35">
      <c r="A39" s="232" t="s">
        <v>1664</v>
      </c>
      <c r="B39" s="232">
        <v>0.77100400000000069</v>
      </c>
      <c r="C39" s="144"/>
      <c r="F39" s="232"/>
      <c r="G39" s="144"/>
      <c r="J39" s="232"/>
      <c r="K39" s="144"/>
      <c r="M39" s="144"/>
      <c r="N39" s="704"/>
    </row>
    <row r="40" spans="1:14" s="145" customFormat="1" x14ac:dyDescent="0.35">
      <c r="A40" s="237" t="s">
        <v>1537</v>
      </c>
      <c r="B40" s="237">
        <v>34.086988285475606</v>
      </c>
      <c r="C40" s="156"/>
      <c r="D40" s="157">
        <v>46.526590339617179</v>
      </c>
      <c r="E40" s="157">
        <v>0</v>
      </c>
      <c r="F40" s="237">
        <v>46.526590339617179</v>
      </c>
      <c r="G40" s="156">
        <v>0</v>
      </c>
      <c r="H40" s="157">
        <v>46.526590339617179</v>
      </c>
      <c r="I40" s="157">
        <v>0</v>
      </c>
      <c r="J40" s="237">
        <v>46.526590339617179</v>
      </c>
      <c r="K40" s="156">
        <v>0</v>
      </c>
      <c r="L40" s="157">
        <v>26.388815080367969</v>
      </c>
      <c r="M40" s="156">
        <v>0</v>
      </c>
      <c r="N40" s="704"/>
    </row>
    <row r="41" spans="1:14" s="145" customFormat="1" x14ac:dyDescent="0.35">
      <c r="A41" s="232" t="s">
        <v>1536</v>
      </c>
      <c r="B41" s="232">
        <v>33.695932664325483</v>
      </c>
      <c r="C41" s="144"/>
      <c r="D41" s="145">
        <v>46.278113994728322</v>
      </c>
      <c r="E41" s="145">
        <v>0</v>
      </c>
      <c r="F41" s="232">
        <v>46.278113994728322</v>
      </c>
      <c r="G41" s="144">
        <v>0</v>
      </c>
      <c r="H41" s="145">
        <v>46.278113994728322</v>
      </c>
      <c r="I41" s="145">
        <v>0</v>
      </c>
      <c r="J41" s="232">
        <v>46.278113994728322</v>
      </c>
      <c r="K41" s="144">
        <v>0</v>
      </c>
      <c r="L41" s="145">
        <v>26.078813123424165</v>
      </c>
      <c r="M41" s="144">
        <v>0</v>
      </c>
      <c r="N41" s="704"/>
    </row>
    <row r="42" spans="1:14" s="145" customFormat="1" x14ac:dyDescent="0.35">
      <c r="A42" s="232" t="s">
        <v>1535</v>
      </c>
      <c r="B42" s="232">
        <v>0.93900685476316692</v>
      </c>
      <c r="C42" s="144"/>
      <c r="D42" s="145">
        <v>0.58606559989853368</v>
      </c>
      <c r="E42" s="145">
        <v>0</v>
      </c>
      <c r="F42" s="232">
        <v>0.58606559989853368</v>
      </c>
      <c r="G42" s="144">
        <v>0</v>
      </c>
      <c r="H42" s="145">
        <v>0.58606559989853368</v>
      </c>
      <c r="I42" s="145">
        <v>0</v>
      </c>
      <c r="J42" s="232">
        <v>0.58606559989853368</v>
      </c>
      <c r="K42" s="144">
        <v>0</v>
      </c>
      <c r="L42" s="145">
        <v>0.74847053060819502</v>
      </c>
      <c r="M42" s="144">
        <v>0</v>
      </c>
      <c r="N42" s="704"/>
    </row>
    <row r="43" spans="1:14" s="145" customFormat="1" x14ac:dyDescent="0.35">
      <c r="A43" s="232" t="s">
        <v>1534</v>
      </c>
      <c r="B43" s="232">
        <v>17.577743633925369</v>
      </c>
      <c r="C43" s="144"/>
      <c r="D43" s="145">
        <v>5.3785020008134197</v>
      </c>
      <c r="E43" s="145">
        <v>0</v>
      </c>
      <c r="F43" s="232">
        <v>5.3785020008134197</v>
      </c>
      <c r="G43" s="144">
        <v>0</v>
      </c>
      <c r="H43" s="145">
        <v>5.3785020008134197</v>
      </c>
      <c r="I43" s="145">
        <v>0</v>
      </c>
      <c r="J43" s="232">
        <v>5.3785020008134197</v>
      </c>
      <c r="K43" s="144">
        <v>0</v>
      </c>
      <c r="L43" s="145">
        <v>25.043920687679915</v>
      </c>
      <c r="M43" s="144">
        <v>0</v>
      </c>
      <c r="N43" s="704"/>
    </row>
    <row r="44" spans="1:14" s="145" customFormat="1" x14ac:dyDescent="0.35">
      <c r="A44" s="232" t="s">
        <v>1533</v>
      </c>
      <c r="B44" s="232">
        <v>15.179182175636949</v>
      </c>
      <c r="C44" s="144"/>
      <c r="D44" s="145">
        <v>40.31354639401637</v>
      </c>
      <c r="E44" s="145">
        <v>0</v>
      </c>
      <c r="F44" s="232">
        <v>40.31354639401637</v>
      </c>
      <c r="G44" s="144">
        <v>0</v>
      </c>
      <c r="H44" s="145">
        <v>40.31354639401637</v>
      </c>
      <c r="I44" s="145">
        <v>0</v>
      </c>
      <c r="J44" s="232">
        <v>40.31354639401637</v>
      </c>
      <c r="K44" s="144">
        <v>0</v>
      </c>
      <c r="L44" s="145">
        <v>0.28642190513605398</v>
      </c>
      <c r="M44" s="144">
        <v>0</v>
      </c>
      <c r="N44" s="704"/>
    </row>
    <row r="45" spans="1:14" s="145" customFormat="1" x14ac:dyDescent="0.35">
      <c r="A45" s="231" t="s">
        <v>1532</v>
      </c>
      <c r="B45" s="49">
        <v>503.44185813832439</v>
      </c>
      <c r="C45" s="47"/>
      <c r="D45" s="48">
        <v>995.63986508597532</v>
      </c>
      <c r="E45" s="48">
        <v>0</v>
      </c>
      <c r="F45" s="49">
        <v>995.63986508597532</v>
      </c>
      <c r="G45" s="47">
        <v>0</v>
      </c>
      <c r="H45" s="48">
        <v>995.63986508597532</v>
      </c>
      <c r="I45" s="48">
        <v>0</v>
      </c>
      <c r="J45" s="49">
        <v>995.63986508597532</v>
      </c>
      <c r="K45" s="47">
        <v>0</v>
      </c>
      <c r="L45" s="48">
        <v>222.91232559156191</v>
      </c>
      <c r="M45" s="47">
        <v>0</v>
      </c>
      <c r="N45" s="704"/>
    </row>
    <row r="46" spans="1:14" s="145" customFormat="1" ht="13.15" x14ac:dyDescent="0.4">
      <c r="A46" s="390" t="s">
        <v>1663</v>
      </c>
      <c r="B46" s="387"/>
      <c r="C46" s="381"/>
      <c r="D46" s="382"/>
      <c r="E46" s="382"/>
      <c r="F46" s="387"/>
      <c r="G46" s="381"/>
      <c r="H46" s="382"/>
      <c r="I46" s="382"/>
      <c r="J46" s="387"/>
      <c r="K46" s="381"/>
      <c r="L46" s="382"/>
      <c r="M46" s="381"/>
      <c r="N46" s="704"/>
    </row>
    <row r="47" spans="1:14" s="145" customFormat="1" x14ac:dyDescent="0.35">
      <c r="A47" s="232" t="s">
        <v>1525</v>
      </c>
      <c r="B47" s="232">
        <v>293.42887242769234</v>
      </c>
      <c r="C47" s="321">
        <v>17323</v>
      </c>
      <c r="D47" s="145">
        <v>1037.5305880342994</v>
      </c>
      <c r="E47" s="145">
        <v>141.20307007650274</v>
      </c>
      <c r="F47" s="232">
        <v>1037.5305880342994</v>
      </c>
      <c r="G47" s="144">
        <v>141.20307007650274</v>
      </c>
      <c r="H47" s="145">
        <v>1037.5305880342994</v>
      </c>
      <c r="I47" s="145">
        <v>141.20307007650274</v>
      </c>
      <c r="J47" s="232">
        <v>1037.5305880342994</v>
      </c>
      <c r="K47" s="144">
        <v>141.20307007650274</v>
      </c>
      <c r="L47" s="145">
        <v>410.33293121628515</v>
      </c>
      <c r="M47" s="144">
        <v>908000</v>
      </c>
      <c r="N47" s="704"/>
    </row>
    <row r="48" spans="1:14" s="145" customFormat="1" x14ac:dyDescent="0.35">
      <c r="A48" s="232" t="s">
        <v>1524</v>
      </c>
      <c r="B48" s="232">
        <v>1505.4138560861436</v>
      </c>
      <c r="C48" s="321">
        <v>213</v>
      </c>
      <c r="D48" s="145">
        <v>580.91498352572239</v>
      </c>
      <c r="E48" s="145">
        <v>624.72012899089248</v>
      </c>
      <c r="F48" s="232">
        <v>580.91498352572239</v>
      </c>
      <c r="G48" s="144">
        <v>624.72012899089248</v>
      </c>
      <c r="H48" s="145">
        <v>580.91498352572239</v>
      </c>
      <c r="I48" s="145">
        <v>624.72012899089248</v>
      </c>
      <c r="J48" s="232">
        <v>580.91498352572239</v>
      </c>
      <c r="K48" s="144">
        <v>624.72012899089248</v>
      </c>
      <c r="L48" s="145">
        <v>369.87214318286163</v>
      </c>
      <c r="M48" s="144">
        <v>0</v>
      </c>
      <c r="N48" s="704"/>
    </row>
    <row r="49" spans="1:14" s="145" customFormat="1" x14ac:dyDescent="0.35">
      <c r="A49" s="232" t="s">
        <v>1523</v>
      </c>
      <c r="B49" s="232">
        <v>3580.6756879792424</v>
      </c>
      <c r="C49" s="321">
        <v>699</v>
      </c>
      <c r="D49" s="145">
        <v>1204.2954044796393</v>
      </c>
      <c r="E49" s="145">
        <v>6872.1147947832405</v>
      </c>
      <c r="F49" s="232">
        <v>1204.2954044796393</v>
      </c>
      <c r="G49" s="144">
        <v>6872.1147947832405</v>
      </c>
      <c r="H49" s="145">
        <v>1204.2954044796393</v>
      </c>
      <c r="I49" s="145">
        <v>6872.1147947832405</v>
      </c>
      <c r="J49" s="232">
        <v>1204.2954044796393</v>
      </c>
      <c r="K49" s="144">
        <v>6872.1147947832405</v>
      </c>
      <c r="L49" s="145">
        <v>557.99566631610048</v>
      </c>
      <c r="M49" s="144">
        <v>0</v>
      </c>
      <c r="N49" s="704"/>
    </row>
    <row r="50" spans="1:14" s="145" customFormat="1" x14ac:dyDescent="0.35">
      <c r="A50" s="232" t="s">
        <v>1522</v>
      </c>
      <c r="B50" s="232">
        <v>610.512864917515</v>
      </c>
      <c r="C50" s="321">
        <v>196</v>
      </c>
      <c r="D50" s="145">
        <v>96.412028180784318</v>
      </c>
      <c r="E50" s="145">
        <v>1366.9741199271405</v>
      </c>
      <c r="F50" s="232">
        <v>96.412028180784318</v>
      </c>
      <c r="G50" s="144">
        <v>1366.9741199271405</v>
      </c>
      <c r="H50" s="145">
        <v>96.412028180784318</v>
      </c>
      <c r="I50" s="145">
        <v>1366.9741199271405</v>
      </c>
      <c r="J50" s="232">
        <v>96.412028180784318</v>
      </c>
      <c r="K50" s="144">
        <v>1366.9741199271405</v>
      </c>
      <c r="L50" s="145">
        <v>37.594868931431307</v>
      </c>
      <c r="M50" s="144">
        <v>0</v>
      </c>
      <c r="N50" s="704"/>
    </row>
    <row r="51" spans="1:14" s="145" customFormat="1" x14ac:dyDescent="0.35">
      <c r="A51" s="232" t="s">
        <v>1521</v>
      </c>
      <c r="B51" s="232">
        <v>320.87361470537627</v>
      </c>
      <c r="C51" s="144">
        <v>98</v>
      </c>
      <c r="D51" s="145">
        <v>78.577759767228272</v>
      </c>
      <c r="E51" s="145">
        <v>625.49363252459011</v>
      </c>
      <c r="F51" s="232">
        <v>78.577759767228272</v>
      </c>
      <c r="G51" s="144">
        <v>625.49363252459011</v>
      </c>
      <c r="H51" s="145">
        <v>78.577759767228272</v>
      </c>
      <c r="I51" s="145">
        <v>625.49363252459011</v>
      </c>
      <c r="J51" s="232">
        <v>78.577759767228272</v>
      </c>
      <c r="K51" s="144">
        <v>625.49363252459011</v>
      </c>
      <c r="L51" s="145">
        <v>28.365711212009394</v>
      </c>
      <c r="M51" s="144">
        <v>0</v>
      </c>
      <c r="N51" s="704"/>
    </row>
    <row r="52" spans="1:14" s="145" customFormat="1" x14ac:dyDescent="0.35">
      <c r="A52" s="232" t="s">
        <v>1520</v>
      </c>
      <c r="B52" s="232">
        <v>10446.022776754269</v>
      </c>
      <c r="C52" s="321">
        <v>853</v>
      </c>
      <c r="D52" s="145">
        <v>651.2143389262028</v>
      </c>
      <c r="E52" s="145">
        <v>25826.702862513659</v>
      </c>
      <c r="F52" s="232">
        <v>651.2143389262028</v>
      </c>
      <c r="G52" s="144">
        <v>25826.702862513659</v>
      </c>
      <c r="H52" s="145">
        <v>651.2143389262028</v>
      </c>
      <c r="I52" s="145">
        <v>25826.702862513659</v>
      </c>
      <c r="J52" s="232">
        <v>651.2143389262028</v>
      </c>
      <c r="K52" s="144">
        <v>25826.702862513659</v>
      </c>
      <c r="L52" s="145">
        <v>452.79507137690962</v>
      </c>
      <c r="M52" s="144">
        <v>0</v>
      </c>
      <c r="N52" s="704"/>
    </row>
    <row r="53" spans="1:14" s="145" customFormat="1" x14ac:dyDescent="0.35">
      <c r="A53" s="232" t="s">
        <v>1519</v>
      </c>
      <c r="B53" s="232">
        <v>29.588705791920987</v>
      </c>
      <c r="C53" s="144"/>
      <c r="D53" s="145">
        <v>12.18392120378074</v>
      </c>
      <c r="E53" s="145">
        <v>39.656296302059019</v>
      </c>
      <c r="F53" s="232">
        <v>12.18392120378074</v>
      </c>
      <c r="G53" s="144">
        <v>39.656296302059019</v>
      </c>
      <c r="H53" s="145">
        <v>12.18392120378074</v>
      </c>
      <c r="I53" s="145">
        <v>39.656296302059019</v>
      </c>
      <c r="J53" s="232">
        <v>12.18392120378074</v>
      </c>
      <c r="K53" s="144">
        <v>39.656296302059019</v>
      </c>
      <c r="L53" s="145">
        <v>2.2786512232027989</v>
      </c>
      <c r="M53" s="144">
        <v>0</v>
      </c>
      <c r="N53" s="704"/>
    </row>
    <row r="54" spans="1:14" s="145" customFormat="1" x14ac:dyDescent="0.35">
      <c r="A54" s="232" t="s">
        <v>1518</v>
      </c>
      <c r="B54" s="232">
        <v>43.140705322567158</v>
      </c>
      <c r="C54" s="144"/>
      <c r="D54" s="145">
        <v>20.725113077936776</v>
      </c>
      <c r="E54" s="145">
        <v>27.521719831081967</v>
      </c>
      <c r="F54" s="232">
        <v>20.725113077936776</v>
      </c>
      <c r="G54" s="144">
        <v>27.521719831081967</v>
      </c>
      <c r="H54" s="145">
        <v>20.725113077936776</v>
      </c>
      <c r="I54" s="145">
        <v>27.521719831081967</v>
      </c>
      <c r="J54" s="232">
        <v>20.725113077936776</v>
      </c>
      <c r="K54" s="144">
        <v>27.521719831081967</v>
      </c>
      <c r="L54" s="145">
        <v>2.5198227395162989</v>
      </c>
      <c r="M54" s="144">
        <v>0</v>
      </c>
      <c r="N54" s="704"/>
    </row>
    <row r="55" spans="1:14" s="145" customFormat="1" x14ac:dyDescent="0.35">
      <c r="A55" s="232" t="s">
        <v>1531</v>
      </c>
      <c r="B55" s="232">
        <v>4963.3982717901908</v>
      </c>
      <c r="C55" s="321">
        <v>2207</v>
      </c>
      <c r="D55" s="145">
        <v>4427.0694356948097</v>
      </c>
      <c r="E55" s="145">
        <v>59.366396211293264</v>
      </c>
      <c r="F55" s="232">
        <v>4427.0694356948097</v>
      </c>
      <c r="G55" s="144">
        <v>59.366396211293264</v>
      </c>
      <c r="H55" s="145">
        <v>4427.0694356948097</v>
      </c>
      <c r="I55" s="145">
        <v>59.366396211293264</v>
      </c>
      <c r="J55" s="232">
        <v>4427.0694356948097</v>
      </c>
      <c r="K55" s="144">
        <v>59.366396211293264</v>
      </c>
      <c r="L55" s="145">
        <v>4046.0683058246891</v>
      </c>
      <c r="M55" s="144">
        <v>0</v>
      </c>
      <c r="N55" s="704"/>
    </row>
    <row r="56" spans="1:14" s="145" customFormat="1" x14ac:dyDescent="0.35">
      <c r="A56" s="232" t="s">
        <v>1530</v>
      </c>
      <c r="B56" s="232">
        <v>60.358512095531673</v>
      </c>
      <c r="C56" s="144"/>
      <c r="D56" s="145">
        <v>11.451994404892424</v>
      </c>
      <c r="E56" s="145">
        <v>66.21190248451731</v>
      </c>
      <c r="F56" s="232">
        <v>11.451994404892424</v>
      </c>
      <c r="G56" s="144">
        <v>66.21190248451731</v>
      </c>
      <c r="H56" s="145">
        <v>11.451994404892424</v>
      </c>
      <c r="I56" s="145">
        <v>66.21190248451731</v>
      </c>
      <c r="J56" s="232">
        <v>11.451994404892424</v>
      </c>
      <c r="K56" s="144">
        <v>66.21190248451731</v>
      </c>
      <c r="L56" s="145">
        <v>5.5469327602794563</v>
      </c>
      <c r="M56" s="144">
        <v>0</v>
      </c>
      <c r="N56" s="704"/>
    </row>
    <row r="57" spans="1:14" s="48" customFormat="1" x14ac:dyDescent="0.35">
      <c r="A57" s="45" t="s">
        <v>1529</v>
      </c>
      <c r="B57" s="389">
        <v>2438361.546882025</v>
      </c>
      <c r="C57" s="539">
        <v>445411</v>
      </c>
      <c r="D57" s="151">
        <v>661788.36484830314</v>
      </c>
      <c r="E57" s="151">
        <v>3288946.5898123789</v>
      </c>
      <c r="F57" s="389">
        <v>661788.36484830314</v>
      </c>
      <c r="G57" s="150">
        <v>3288946.5898123789</v>
      </c>
      <c r="H57" s="151">
        <v>661788.36484830314</v>
      </c>
      <c r="I57" s="151">
        <v>3288946.5898123789</v>
      </c>
      <c r="J57" s="389">
        <v>661788.36484830314</v>
      </c>
      <c r="K57" s="150">
        <v>3288946.5898123789</v>
      </c>
      <c r="L57" s="151">
        <v>338891.10651712626</v>
      </c>
      <c r="M57" s="150">
        <v>0</v>
      </c>
      <c r="N57" s="705"/>
    </row>
    <row r="58" spans="1:14" s="145" customFormat="1" ht="13.15" x14ac:dyDescent="0.4">
      <c r="A58" s="388" t="s">
        <v>1662</v>
      </c>
      <c r="B58" s="411"/>
      <c r="C58" s="147"/>
      <c r="D58" s="148"/>
      <c r="E58" s="148"/>
      <c r="F58" s="411"/>
      <c r="G58" s="147"/>
      <c r="H58" s="148"/>
      <c r="I58" s="148"/>
      <c r="J58" s="411"/>
      <c r="K58" s="147"/>
      <c r="L58" s="148"/>
      <c r="M58" s="147"/>
      <c r="N58" s="704"/>
    </row>
    <row r="59" spans="1:14" s="145" customFormat="1" x14ac:dyDescent="0.35">
      <c r="A59" s="232" t="s">
        <v>1525</v>
      </c>
      <c r="B59" s="232">
        <v>32.822276912982801</v>
      </c>
      <c r="C59" s="147">
        <v>0</v>
      </c>
      <c r="D59" s="145">
        <v>606.07000535241139</v>
      </c>
      <c r="E59" s="148">
        <v>70.60153503825137</v>
      </c>
      <c r="F59" s="232">
        <v>606.07000535241139</v>
      </c>
      <c r="G59" s="147">
        <v>70.60153503825137</v>
      </c>
      <c r="H59" s="145">
        <v>606.07000535241139</v>
      </c>
      <c r="I59" s="148">
        <v>70.60153503825137</v>
      </c>
      <c r="J59" s="232">
        <v>606.07000535241139</v>
      </c>
      <c r="K59" s="147">
        <v>70.60153503825137</v>
      </c>
      <c r="L59" s="145">
        <v>158.34066477650325</v>
      </c>
      <c r="M59" s="147">
        <v>635600</v>
      </c>
      <c r="N59" s="704"/>
    </row>
    <row r="60" spans="1:14" s="145" customFormat="1" x14ac:dyDescent="0.35">
      <c r="A60" s="232" t="s">
        <v>1524</v>
      </c>
      <c r="B60" s="232">
        <v>69.777471428016867</v>
      </c>
      <c r="C60" s="147">
        <v>0</v>
      </c>
      <c r="D60" s="145">
        <v>124.39087323166325</v>
      </c>
      <c r="E60" s="148">
        <v>312.36006449544624</v>
      </c>
      <c r="F60" s="232">
        <v>124.39087323166325</v>
      </c>
      <c r="G60" s="147">
        <v>312.36006449544624</v>
      </c>
      <c r="H60" s="145">
        <v>124.39087323166325</v>
      </c>
      <c r="I60" s="148">
        <v>312.36006449544624</v>
      </c>
      <c r="J60" s="232">
        <v>124.39087323166325</v>
      </c>
      <c r="K60" s="147">
        <v>312.36006449544624</v>
      </c>
      <c r="L60" s="145">
        <v>21.160973178082184</v>
      </c>
      <c r="M60" s="147">
        <v>0</v>
      </c>
      <c r="N60" s="704"/>
    </row>
    <row r="61" spans="1:14" s="145" customFormat="1" x14ac:dyDescent="0.35">
      <c r="A61" s="232" t="s">
        <v>1523</v>
      </c>
      <c r="B61" s="232">
        <v>109.59157954046481</v>
      </c>
      <c r="C61" s="147">
        <v>0</v>
      </c>
      <c r="D61" s="145">
        <v>213.74619735682694</v>
      </c>
      <c r="E61" s="148">
        <v>3436.0573973916203</v>
      </c>
      <c r="F61" s="232">
        <v>213.74619735682694</v>
      </c>
      <c r="G61" s="147">
        <v>3436.0573973916203</v>
      </c>
      <c r="H61" s="145">
        <v>213.74619735682694</v>
      </c>
      <c r="I61" s="148">
        <v>3436.0573973916203</v>
      </c>
      <c r="J61" s="232">
        <v>213.74619735682694</v>
      </c>
      <c r="K61" s="147">
        <v>3436.0573973916203</v>
      </c>
      <c r="L61" s="145">
        <v>42.477449435743495</v>
      </c>
      <c r="M61" s="147">
        <v>0</v>
      </c>
      <c r="N61" s="704"/>
    </row>
    <row r="62" spans="1:14" s="145" customFormat="1" x14ac:dyDescent="0.35">
      <c r="A62" s="232" t="s">
        <v>1522</v>
      </c>
      <c r="B62" s="232">
        <v>8.8852850397669432</v>
      </c>
      <c r="C62" s="147">
        <v>0</v>
      </c>
      <c r="D62" s="145">
        <v>37.14545402897334</v>
      </c>
      <c r="E62" s="148">
        <v>683.48705996357023</v>
      </c>
      <c r="F62" s="232">
        <v>37.14545402897334</v>
      </c>
      <c r="G62" s="147">
        <v>683.48705996357023</v>
      </c>
      <c r="H62" s="145">
        <v>37.14545402897334</v>
      </c>
      <c r="I62" s="148">
        <v>683.48705996357023</v>
      </c>
      <c r="J62" s="232">
        <v>37.14545402897334</v>
      </c>
      <c r="K62" s="147">
        <v>683.48705996357023</v>
      </c>
      <c r="L62" s="145">
        <v>4.068792491235147</v>
      </c>
      <c r="M62" s="147">
        <v>0</v>
      </c>
      <c r="N62" s="704"/>
    </row>
    <row r="63" spans="1:14" s="145" customFormat="1" x14ac:dyDescent="0.35">
      <c r="A63" s="232" t="s">
        <v>1521</v>
      </c>
      <c r="B63" s="232">
        <v>7.0572773171538152</v>
      </c>
      <c r="C63" s="147">
        <v>0</v>
      </c>
      <c r="D63" s="145">
        <v>29.819648125208627</v>
      </c>
      <c r="E63" s="148">
        <v>312.74681626229506</v>
      </c>
      <c r="F63" s="232">
        <v>29.819648125208627</v>
      </c>
      <c r="G63" s="147">
        <v>312.74681626229506</v>
      </c>
      <c r="H63" s="145">
        <v>29.819648125208627</v>
      </c>
      <c r="I63" s="148">
        <v>312.74681626229506</v>
      </c>
      <c r="J63" s="232">
        <v>29.819648125208627</v>
      </c>
      <c r="K63" s="147">
        <v>312.74681626229506</v>
      </c>
      <c r="L63" s="145">
        <v>3.2678364125404249</v>
      </c>
      <c r="M63" s="147">
        <v>0</v>
      </c>
      <c r="N63" s="704"/>
    </row>
    <row r="64" spans="1:14" s="145" customFormat="1" x14ac:dyDescent="0.35">
      <c r="A64" s="232" t="s">
        <v>1520</v>
      </c>
      <c r="B64" s="232">
        <v>122.70359487140985</v>
      </c>
      <c r="C64" s="147">
        <v>0</v>
      </c>
      <c r="D64" s="145">
        <v>235.40573063874456</v>
      </c>
      <c r="E64" s="148">
        <v>12913.35143125683</v>
      </c>
      <c r="F64" s="232">
        <v>235.40573063874456</v>
      </c>
      <c r="G64" s="147">
        <v>12913.35143125683</v>
      </c>
      <c r="H64" s="145">
        <v>235.40573063874456</v>
      </c>
      <c r="I64" s="148">
        <v>12913.35143125683</v>
      </c>
      <c r="J64" s="232">
        <v>235.40573063874456</v>
      </c>
      <c r="K64" s="147">
        <v>12913.35143125683</v>
      </c>
      <c r="L64" s="145">
        <v>74.32031321075327</v>
      </c>
      <c r="M64" s="147">
        <v>0</v>
      </c>
      <c r="N64" s="704"/>
    </row>
    <row r="65" spans="1:15" s="145" customFormat="1" x14ac:dyDescent="0.35">
      <c r="A65" s="232" t="s">
        <v>1519</v>
      </c>
      <c r="B65" s="232">
        <v>0.74338782970953909</v>
      </c>
      <c r="C65" s="147">
        <v>0</v>
      </c>
      <c r="D65" s="145">
        <v>3.4793399018311466</v>
      </c>
      <c r="E65" s="148">
        <v>19.828148151029509</v>
      </c>
      <c r="F65" s="232">
        <v>3.4793399018311466</v>
      </c>
      <c r="G65" s="147">
        <v>19.828148151029509</v>
      </c>
      <c r="H65" s="145">
        <v>3.4793399018311466</v>
      </c>
      <c r="I65" s="148">
        <v>19.828148151029509</v>
      </c>
      <c r="J65" s="232">
        <v>3.4793399018311466</v>
      </c>
      <c r="K65" s="147">
        <v>19.828148151029509</v>
      </c>
      <c r="L65" s="145">
        <v>4.8953412178242506E-2</v>
      </c>
      <c r="M65" s="147">
        <v>0</v>
      </c>
      <c r="N65" s="704"/>
    </row>
    <row r="66" spans="1:15" s="145" customFormat="1" x14ac:dyDescent="0.35">
      <c r="A66" s="231" t="s">
        <v>1518</v>
      </c>
      <c r="B66" s="231">
        <v>1.2212111798325052</v>
      </c>
      <c r="C66" s="443">
        <v>0</v>
      </c>
      <c r="D66" s="142">
        <v>4.6292210083775736</v>
      </c>
      <c r="E66" s="444">
        <v>13.760859915540983</v>
      </c>
      <c r="F66" s="231">
        <v>4.6292210083775736</v>
      </c>
      <c r="G66" s="443">
        <v>13.760859915540983</v>
      </c>
      <c r="H66" s="142">
        <v>4.6292210083775736</v>
      </c>
      <c r="I66" s="444">
        <v>13.760859915540983</v>
      </c>
      <c r="J66" s="231">
        <v>4.6292210083775736</v>
      </c>
      <c r="K66" s="443">
        <v>13.760859915540983</v>
      </c>
      <c r="L66" s="142">
        <v>0.15269209138411935</v>
      </c>
      <c r="M66" s="443">
        <v>0</v>
      </c>
      <c r="N66" s="704"/>
    </row>
    <row r="67" spans="1:15" s="145" customFormat="1" x14ac:dyDescent="0.35">
      <c r="N67" s="704"/>
    </row>
    <row r="68" spans="1:15" s="145" customFormat="1" ht="13.9" x14ac:dyDescent="0.4">
      <c r="A68" s="386" t="s">
        <v>2308</v>
      </c>
    </row>
    <row r="69" spans="1:15" s="145" customFormat="1" ht="22.5" customHeight="1" x14ac:dyDescent="0.4">
      <c r="A69" s="391"/>
      <c r="B69" s="2197" t="s">
        <v>1799</v>
      </c>
      <c r="C69" s="2198"/>
      <c r="D69" s="2199" t="s">
        <v>1798</v>
      </c>
      <c r="E69" s="2199"/>
      <c r="F69" s="2197" t="s">
        <v>1797</v>
      </c>
      <c r="G69" s="2198"/>
      <c r="H69" s="2199" t="s">
        <v>1796</v>
      </c>
      <c r="I69" s="2199"/>
      <c r="J69" s="2200" t="s">
        <v>1795</v>
      </c>
      <c r="K69" s="2201"/>
      <c r="L69" s="2199" t="s">
        <v>1794</v>
      </c>
      <c r="M69" s="2199"/>
      <c r="N69" s="2197" t="s">
        <v>1793</v>
      </c>
      <c r="O69" s="2198"/>
    </row>
    <row r="70" spans="1:15" s="145" customFormat="1" x14ac:dyDescent="0.35">
      <c r="A70" s="232"/>
      <c r="B70" s="715" t="s">
        <v>2307</v>
      </c>
      <c r="C70" s="714" t="s">
        <v>2306</v>
      </c>
      <c r="D70" s="713" t="s">
        <v>2307</v>
      </c>
      <c r="E70" s="713" t="s">
        <v>2306</v>
      </c>
      <c r="F70" s="715" t="s">
        <v>2307</v>
      </c>
      <c r="G70" s="714" t="s">
        <v>2306</v>
      </c>
      <c r="H70" s="713" t="s">
        <v>2307</v>
      </c>
      <c r="I70" s="713" t="s">
        <v>2306</v>
      </c>
      <c r="J70" s="715" t="s">
        <v>2307</v>
      </c>
      <c r="K70" s="714" t="s">
        <v>2306</v>
      </c>
      <c r="L70" s="713" t="s">
        <v>2307</v>
      </c>
      <c r="M70" s="713" t="s">
        <v>19</v>
      </c>
      <c r="N70" s="432" t="s">
        <v>2307</v>
      </c>
      <c r="O70" s="431" t="s">
        <v>2306</v>
      </c>
    </row>
    <row r="71" spans="1:15" s="145" customFormat="1" ht="13.15" x14ac:dyDescent="0.4">
      <c r="A71" s="390" t="s">
        <v>2050</v>
      </c>
      <c r="B71" s="450"/>
      <c r="C71" s="144"/>
      <c r="D71" s="403"/>
      <c r="F71" s="450"/>
      <c r="G71" s="144"/>
      <c r="H71" s="403"/>
      <c r="J71" s="529"/>
      <c r="K71" s="402"/>
      <c r="L71" s="403"/>
      <c r="N71" s="529"/>
      <c r="O71" s="430"/>
    </row>
    <row r="72" spans="1:15" s="145" customFormat="1" x14ac:dyDescent="0.35">
      <c r="A72" s="232" t="s">
        <v>1537</v>
      </c>
      <c r="B72" s="232">
        <v>2.3263295169808591E-2</v>
      </c>
      <c r="C72" s="144">
        <v>0</v>
      </c>
      <c r="D72" s="145">
        <v>2.3263295169808591E-2</v>
      </c>
      <c r="E72" s="145">
        <v>0</v>
      </c>
      <c r="F72" s="232">
        <v>2.3263295169808591E-2</v>
      </c>
      <c r="G72" s="144">
        <v>0</v>
      </c>
      <c r="H72" s="145">
        <v>2.3263295169808591E-2</v>
      </c>
      <c r="I72" s="145">
        <v>0</v>
      </c>
      <c r="J72" s="232">
        <v>8.5217470713689018E-3</v>
      </c>
      <c r="K72" s="144">
        <v>0</v>
      </c>
      <c r="L72" s="145">
        <v>6.5972037700919922E-3</v>
      </c>
      <c r="M72" s="145">
        <v>0</v>
      </c>
      <c r="N72" s="232">
        <v>3.7774887942110563E-2</v>
      </c>
      <c r="O72" s="709">
        <v>0</v>
      </c>
    </row>
    <row r="73" spans="1:15" s="145" customFormat="1" x14ac:dyDescent="0.35">
      <c r="A73" s="232" t="s">
        <v>1536</v>
      </c>
      <c r="B73" s="232">
        <v>2.3139056997364162E-2</v>
      </c>
      <c r="C73" s="144">
        <v>0</v>
      </c>
      <c r="D73" s="145">
        <v>2.3139056997364162E-2</v>
      </c>
      <c r="E73" s="145">
        <v>0</v>
      </c>
      <c r="F73" s="232">
        <v>2.3139056997364162E-2</v>
      </c>
      <c r="G73" s="144">
        <v>0</v>
      </c>
      <c r="H73" s="145">
        <v>2.3139056997364162E-2</v>
      </c>
      <c r="I73" s="145">
        <v>0</v>
      </c>
      <c r="J73" s="232">
        <v>8.4239831660813703E-3</v>
      </c>
      <c r="K73" s="144">
        <v>0</v>
      </c>
      <c r="L73" s="145">
        <v>6.5197032808560415E-3</v>
      </c>
      <c r="M73" s="145">
        <v>0</v>
      </c>
      <c r="N73" s="232">
        <v>3.6689131600548174E-2</v>
      </c>
      <c r="O73" s="709">
        <v>0</v>
      </c>
    </row>
    <row r="74" spans="1:15" s="145" customFormat="1" x14ac:dyDescent="0.35">
      <c r="A74" s="232" t="s">
        <v>1535</v>
      </c>
      <c r="B74" s="232">
        <v>2.9303279994926686E-4</v>
      </c>
      <c r="C74" s="144">
        <v>0</v>
      </c>
      <c r="D74" s="145">
        <v>2.9303279994926686E-4</v>
      </c>
      <c r="E74" s="145">
        <v>0</v>
      </c>
      <c r="F74" s="232">
        <v>2.9303279994926686E-4</v>
      </c>
      <c r="G74" s="144">
        <v>0</v>
      </c>
      <c r="H74" s="145">
        <v>2.9303279994926686E-4</v>
      </c>
      <c r="I74" s="145">
        <v>0</v>
      </c>
      <c r="J74" s="232">
        <v>2.3475171369079174E-4</v>
      </c>
      <c r="K74" s="144">
        <v>0</v>
      </c>
      <c r="L74" s="145">
        <v>1.8711763265204874E-4</v>
      </c>
      <c r="M74" s="145">
        <v>0</v>
      </c>
      <c r="N74" s="232">
        <v>2.8304422363018412E-3</v>
      </c>
      <c r="O74" s="709">
        <v>0</v>
      </c>
    </row>
    <row r="75" spans="1:15" s="145" customFormat="1" x14ac:dyDescent="0.35">
      <c r="A75" s="232" t="s">
        <v>1534</v>
      </c>
      <c r="B75" s="232">
        <v>2.689251000406713E-3</v>
      </c>
      <c r="C75" s="144">
        <v>0</v>
      </c>
      <c r="D75" s="145">
        <v>2.689251000406713E-3</v>
      </c>
      <c r="E75" s="145">
        <v>0</v>
      </c>
      <c r="F75" s="232">
        <v>2.689251000406713E-3</v>
      </c>
      <c r="G75" s="144">
        <v>0</v>
      </c>
      <c r="H75" s="145">
        <v>2.689251000406713E-3</v>
      </c>
      <c r="I75" s="145">
        <v>0</v>
      </c>
      <c r="J75" s="232">
        <v>4.3944359084813409E-3</v>
      </c>
      <c r="K75" s="144">
        <v>0</v>
      </c>
      <c r="L75" s="145">
        <v>6.2609801719199793E-3</v>
      </c>
      <c r="M75" s="145">
        <v>0</v>
      </c>
      <c r="N75" s="232">
        <v>2.4909276086489324E-2</v>
      </c>
      <c r="O75" s="709">
        <v>0</v>
      </c>
    </row>
    <row r="76" spans="1:15" s="145" customFormat="1" x14ac:dyDescent="0.35">
      <c r="A76" s="231" t="s">
        <v>1533</v>
      </c>
      <c r="B76" s="231">
        <v>2.0156773197008183E-2</v>
      </c>
      <c r="C76" s="141">
        <v>0</v>
      </c>
      <c r="D76" s="142">
        <v>2.0156773197008183E-2</v>
      </c>
      <c r="E76" s="142">
        <v>0</v>
      </c>
      <c r="F76" s="231">
        <v>2.0156773197008183E-2</v>
      </c>
      <c r="G76" s="141">
        <v>0</v>
      </c>
      <c r="H76" s="142">
        <v>2.0156773197008183E-2</v>
      </c>
      <c r="I76" s="142">
        <v>0</v>
      </c>
      <c r="J76" s="231">
        <v>3.7947955439092372E-3</v>
      </c>
      <c r="K76" s="141">
        <v>0</v>
      </c>
      <c r="L76" s="142">
        <v>7.1605476284013493E-5</v>
      </c>
      <c r="M76" s="142">
        <v>0</v>
      </c>
      <c r="N76" s="231">
        <v>8.9494132777570082E-3</v>
      </c>
      <c r="O76" s="708">
        <v>0</v>
      </c>
    </row>
    <row r="77" spans="1:15" s="145" customFormat="1" x14ac:dyDescent="0.35">
      <c r="A77" s="391" t="s">
        <v>1532</v>
      </c>
      <c r="B77" s="391">
        <v>0.49781993254298768</v>
      </c>
      <c r="C77" s="433">
        <v>0</v>
      </c>
      <c r="D77" s="434">
        <v>0.49781993254298768</v>
      </c>
      <c r="E77" s="434">
        <v>0</v>
      </c>
      <c r="F77" s="391">
        <v>0.49781993254298768</v>
      </c>
      <c r="G77" s="433">
        <v>0</v>
      </c>
      <c r="H77" s="434">
        <v>0.49781993254298768</v>
      </c>
      <c r="I77" s="434">
        <v>0</v>
      </c>
      <c r="J77" s="391">
        <v>0.18577487252316882</v>
      </c>
      <c r="K77" s="433">
        <v>0</v>
      </c>
      <c r="L77" s="434">
        <v>5.5728081397890476E-2</v>
      </c>
      <c r="M77" s="434">
        <v>0</v>
      </c>
      <c r="N77" s="391">
        <v>0.74754479415750985</v>
      </c>
      <c r="O77" s="712">
        <v>0</v>
      </c>
    </row>
    <row r="78" spans="1:15" s="145" customFormat="1" ht="13.15" x14ac:dyDescent="0.4">
      <c r="A78" s="390" t="s">
        <v>1564</v>
      </c>
      <c r="B78" s="232"/>
      <c r="C78" s="144"/>
      <c r="F78" s="232"/>
      <c r="G78" s="144"/>
      <c r="J78" s="232"/>
      <c r="K78" s="144"/>
      <c r="N78" s="232"/>
      <c r="O78" s="709"/>
    </row>
    <row r="79" spans="1:15" s="145" customFormat="1" x14ac:dyDescent="0.35">
      <c r="A79" s="232" t="s">
        <v>1525</v>
      </c>
      <c r="B79" s="232">
        <v>0.51876529401714966</v>
      </c>
      <c r="C79" s="144">
        <v>7.0601535038251367E-2</v>
      </c>
      <c r="D79" s="145">
        <v>0.51876529401714966</v>
      </c>
      <c r="E79" s="145">
        <v>7.0601535038251367E-2</v>
      </c>
      <c r="F79" s="232">
        <v>0.51876529401714966</v>
      </c>
      <c r="G79" s="144">
        <v>7.0601535038251367E-2</v>
      </c>
      <c r="H79" s="145">
        <v>0.51876529401714966</v>
      </c>
      <c r="I79" s="145">
        <v>7.0601535038251367E-2</v>
      </c>
      <c r="J79" s="232">
        <v>4.4041072181069234</v>
      </c>
      <c r="K79" s="144">
        <v>0</v>
      </c>
      <c r="L79" s="145">
        <v>0.10258323280407129</v>
      </c>
      <c r="M79" s="145">
        <v>227</v>
      </c>
      <c r="N79" s="232">
        <v>0.51015176098013593</v>
      </c>
      <c r="O79" s="709">
        <v>0</v>
      </c>
    </row>
    <row r="80" spans="1:15" s="145" customFormat="1" x14ac:dyDescent="0.35">
      <c r="A80" s="232" t="s">
        <v>1524</v>
      </c>
      <c r="B80" s="232">
        <v>0.29045749176286118</v>
      </c>
      <c r="C80" s="144">
        <v>0.31236006449544623</v>
      </c>
      <c r="D80" s="145">
        <v>0.29045749176286118</v>
      </c>
      <c r="E80" s="145">
        <v>0.31236006449544623</v>
      </c>
      <c r="F80" s="232">
        <v>0.29045749176286118</v>
      </c>
      <c r="G80" s="144">
        <v>0.31236006449544623</v>
      </c>
      <c r="H80" s="145">
        <v>0.29045749176286118</v>
      </c>
      <c r="I80" s="145">
        <v>0.31236006449544623</v>
      </c>
      <c r="J80" s="232">
        <v>0.42960346402153587</v>
      </c>
      <c r="K80" s="144">
        <v>0</v>
      </c>
      <c r="L80" s="145">
        <v>9.2468035795715414E-2</v>
      </c>
      <c r="M80" s="145">
        <v>0</v>
      </c>
      <c r="N80" s="232">
        <v>3.1613631658662924</v>
      </c>
      <c r="O80" s="709">
        <v>0</v>
      </c>
    </row>
    <row r="81" spans="1:15" s="145" customFormat="1" x14ac:dyDescent="0.35">
      <c r="A81" s="232" t="s">
        <v>1563</v>
      </c>
      <c r="B81" s="232">
        <v>0.60214770223981962</v>
      </c>
      <c r="C81" s="144">
        <v>3.4360573973916204</v>
      </c>
      <c r="D81" s="145">
        <v>0.60214770223981962</v>
      </c>
      <c r="E81" s="145">
        <v>3.4360573973916204</v>
      </c>
      <c r="F81" s="232">
        <v>0.60214770223981962</v>
      </c>
      <c r="G81" s="144">
        <v>3.4360573973916204</v>
      </c>
      <c r="H81" s="145">
        <v>0.60214770223981962</v>
      </c>
      <c r="I81" s="145">
        <v>3.4360573973916204</v>
      </c>
      <c r="J81" s="232">
        <v>1.0699189219948106</v>
      </c>
      <c r="K81" s="144">
        <v>0</v>
      </c>
      <c r="L81" s="145">
        <v>0.13949891657902513</v>
      </c>
      <c r="M81" s="145">
        <v>0</v>
      </c>
      <c r="N81" s="232">
        <v>2.3319863920627122</v>
      </c>
      <c r="O81" s="709">
        <v>0</v>
      </c>
    </row>
    <row r="82" spans="1:15" s="145" customFormat="1" x14ac:dyDescent="0.35">
      <c r="A82" s="232" t="s">
        <v>1522</v>
      </c>
      <c r="B82" s="232">
        <v>4.8206014090392157E-2</v>
      </c>
      <c r="C82" s="144">
        <v>0.68348705996357029</v>
      </c>
      <c r="D82" s="145">
        <v>4.8206014090392157E-2</v>
      </c>
      <c r="E82" s="145">
        <v>0.68348705996357029</v>
      </c>
      <c r="F82" s="232">
        <v>4.8206014090392157E-2</v>
      </c>
      <c r="G82" s="144">
        <v>0.68348705996357029</v>
      </c>
      <c r="H82" s="145">
        <v>4.8206014090392157E-2</v>
      </c>
      <c r="I82" s="145">
        <v>0.68348705996357029</v>
      </c>
      <c r="J82" s="232">
        <v>0.20162821622937874</v>
      </c>
      <c r="K82" s="144">
        <v>0</v>
      </c>
      <c r="L82" s="145">
        <v>9.3987172328578276E-3</v>
      </c>
      <c r="M82" s="145">
        <v>0</v>
      </c>
      <c r="N82" s="232">
        <v>0.54231362822312568</v>
      </c>
      <c r="O82" s="709">
        <v>0</v>
      </c>
    </row>
    <row r="83" spans="1:15" s="145" customFormat="1" x14ac:dyDescent="0.35">
      <c r="A83" s="232" t="s">
        <v>1521</v>
      </c>
      <c r="B83" s="232">
        <v>3.9288879883614139E-2</v>
      </c>
      <c r="C83" s="144">
        <v>0.31274681626229506</v>
      </c>
      <c r="D83" s="145">
        <v>3.9288879883614139E-2</v>
      </c>
      <c r="E83" s="145">
        <v>0.31274681626229506</v>
      </c>
      <c r="F83" s="232">
        <v>3.9288879883614139E-2</v>
      </c>
      <c r="G83" s="144">
        <v>0.31274681626229506</v>
      </c>
      <c r="H83" s="145">
        <v>3.9288879883614139E-2</v>
      </c>
      <c r="I83" s="145">
        <v>0.31274681626229506</v>
      </c>
      <c r="J83" s="232">
        <v>0.10471840367634407</v>
      </c>
      <c r="K83" s="144">
        <v>0</v>
      </c>
      <c r="L83" s="145">
        <v>7.0914278030023486E-3</v>
      </c>
      <c r="M83" s="145">
        <v>0</v>
      </c>
      <c r="N83" s="232">
        <v>0.14589929521441869</v>
      </c>
      <c r="O83" s="709">
        <v>0</v>
      </c>
    </row>
    <row r="84" spans="1:15" s="145" customFormat="1" x14ac:dyDescent="0.35">
      <c r="A84" s="232" t="s">
        <v>1520</v>
      </c>
      <c r="B84" s="232">
        <v>0.32560716946310142</v>
      </c>
      <c r="C84" s="144">
        <v>12.91335143125683</v>
      </c>
      <c r="D84" s="145">
        <v>0.32560716946310142</v>
      </c>
      <c r="E84" s="145">
        <v>12.91335143125683</v>
      </c>
      <c r="F84" s="232">
        <v>0.32560716946310142</v>
      </c>
      <c r="G84" s="144">
        <v>12.91335143125683</v>
      </c>
      <c r="H84" s="145">
        <v>0.32560716946310142</v>
      </c>
      <c r="I84" s="145">
        <v>12.91335143125683</v>
      </c>
      <c r="J84" s="232">
        <v>2.8247556941885672</v>
      </c>
      <c r="K84" s="144">
        <v>0</v>
      </c>
      <c r="L84" s="145">
        <v>0.1131987678442274</v>
      </c>
      <c r="M84" s="145">
        <v>0</v>
      </c>
      <c r="N84" s="232">
        <v>8.0156413364096899</v>
      </c>
      <c r="O84" s="709">
        <v>0</v>
      </c>
    </row>
    <row r="85" spans="1:15" s="145" customFormat="1" x14ac:dyDescent="0.35">
      <c r="A85" s="232" t="s">
        <v>1519</v>
      </c>
      <c r="B85" s="232">
        <v>6.0919606018903696E-3</v>
      </c>
      <c r="C85" s="144">
        <v>1.9828148151029509E-2</v>
      </c>
      <c r="D85" s="145">
        <v>6.0919606018903696E-3</v>
      </c>
      <c r="E85" s="145">
        <v>1.9828148151029509E-2</v>
      </c>
      <c r="F85" s="232">
        <v>6.0919606018903696E-3</v>
      </c>
      <c r="G85" s="144">
        <v>1.9828148151029509E-2</v>
      </c>
      <c r="H85" s="145">
        <v>6.0919606018903696E-3</v>
      </c>
      <c r="I85" s="145">
        <v>1.9828148151029509E-2</v>
      </c>
      <c r="J85" s="232">
        <v>7.3971764479802467E-3</v>
      </c>
      <c r="K85" s="709">
        <v>0</v>
      </c>
      <c r="L85" s="145">
        <v>5.6966280580069968E-4</v>
      </c>
      <c r="M85" s="145">
        <v>0</v>
      </c>
      <c r="N85" s="232">
        <v>1.7657435741789716E-2</v>
      </c>
      <c r="O85" s="709">
        <v>0</v>
      </c>
    </row>
    <row r="86" spans="1:15" s="145" customFormat="1" x14ac:dyDescent="0.35">
      <c r="A86" s="232" t="s">
        <v>1518</v>
      </c>
      <c r="B86" s="232">
        <v>1.0362556538968387E-2</v>
      </c>
      <c r="C86" s="144">
        <v>1.3760859915540984E-2</v>
      </c>
      <c r="D86" s="145">
        <v>1.0362556538968387E-2</v>
      </c>
      <c r="E86" s="145">
        <v>1.3760859915540984E-2</v>
      </c>
      <c r="F86" s="232">
        <v>1.0362556538968387E-2</v>
      </c>
      <c r="G86" s="144">
        <v>1.3760859915540984E-2</v>
      </c>
      <c r="H86" s="145">
        <v>1.0362556538968387E-2</v>
      </c>
      <c r="I86" s="145">
        <v>1.3760859915540984E-2</v>
      </c>
      <c r="J86" s="232">
        <v>1.0785176330641789E-2</v>
      </c>
      <c r="K86" s="709">
        <v>0</v>
      </c>
      <c r="L86" s="145">
        <v>6.2995568487907475E-4</v>
      </c>
      <c r="M86" s="145">
        <v>0</v>
      </c>
      <c r="N86" s="232">
        <v>2.7173467940826593E-2</v>
      </c>
      <c r="O86" s="709">
        <v>0</v>
      </c>
    </row>
    <row r="87" spans="1:15" s="145" customFormat="1" x14ac:dyDescent="0.35">
      <c r="A87" s="232" t="s">
        <v>1531</v>
      </c>
      <c r="B87" s="232">
        <v>2.2135347178474047</v>
      </c>
      <c r="C87" s="144">
        <v>2.9683198105646631E-2</v>
      </c>
      <c r="D87" s="145">
        <v>2.2135347178474047</v>
      </c>
      <c r="E87" s="145">
        <v>2.9683198105646631E-2</v>
      </c>
      <c r="F87" s="232">
        <v>2.2135347178474047</v>
      </c>
      <c r="G87" s="144">
        <v>2.9683198105646631E-2</v>
      </c>
      <c r="H87" s="145">
        <v>2.2135347178474047</v>
      </c>
      <c r="I87" s="145">
        <v>2.9683198105646631E-2</v>
      </c>
      <c r="J87" s="232">
        <v>1.7925995679475477</v>
      </c>
      <c r="K87" s="144">
        <v>0</v>
      </c>
      <c r="L87" s="145">
        <v>1.0115170764561723</v>
      </c>
      <c r="M87" s="145">
        <v>0</v>
      </c>
      <c r="N87" s="232">
        <v>9.9407761346153638</v>
      </c>
      <c r="O87" s="709">
        <v>0</v>
      </c>
    </row>
    <row r="88" spans="1:15" s="145" customFormat="1" x14ac:dyDescent="0.35">
      <c r="A88" s="232" t="s">
        <v>1530</v>
      </c>
      <c r="B88" s="232">
        <v>5.7259972024462126E-3</v>
      </c>
      <c r="C88" s="144">
        <v>3.3105951242258652E-2</v>
      </c>
      <c r="D88" s="145">
        <v>5.7259972024462126E-3</v>
      </c>
      <c r="E88" s="145">
        <v>3.3105951242258652E-2</v>
      </c>
      <c r="F88" s="232">
        <v>5.7259972024462126E-3</v>
      </c>
      <c r="G88" s="144">
        <v>3.3105951242258652E-2</v>
      </c>
      <c r="H88" s="145">
        <v>5.7259972024462126E-3</v>
      </c>
      <c r="I88" s="145">
        <v>3.3105951242258652E-2</v>
      </c>
      <c r="J88" s="232">
        <v>1.5089628023882919E-2</v>
      </c>
      <c r="K88" s="144">
        <v>0</v>
      </c>
      <c r="L88" s="145">
        <v>1.3867331900698642E-3</v>
      </c>
      <c r="M88" s="145">
        <v>0</v>
      </c>
      <c r="N88" s="232">
        <v>0.1149299325922461</v>
      </c>
      <c r="O88" s="709">
        <v>0</v>
      </c>
    </row>
    <row r="89" spans="1:15" s="48" customFormat="1" x14ac:dyDescent="0.35">
      <c r="A89" s="49" t="s">
        <v>1529</v>
      </c>
      <c r="B89" s="240">
        <v>330.89418242415155</v>
      </c>
      <c r="C89" s="153">
        <v>1644.4732949061895</v>
      </c>
      <c r="D89" s="154">
        <v>330.89418242415155</v>
      </c>
      <c r="E89" s="154">
        <v>1644.4732949061895</v>
      </c>
      <c r="F89" s="240">
        <v>330.89418242415155</v>
      </c>
      <c r="G89" s="153">
        <v>1644.4732949061895</v>
      </c>
      <c r="H89" s="154">
        <v>330.89418242415155</v>
      </c>
      <c r="I89" s="154">
        <v>1644.4732949061895</v>
      </c>
      <c r="J89" s="240">
        <v>720.94313672050623</v>
      </c>
      <c r="K89" s="153">
        <v>0</v>
      </c>
      <c r="L89" s="154">
        <v>84.722776629281569</v>
      </c>
      <c r="M89" s="154">
        <v>0</v>
      </c>
      <c r="N89" s="240">
        <v>1408.7960620246467</v>
      </c>
      <c r="O89" s="711">
        <v>0</v>
      </c>
    </row>
    <row r="90" spans="1:15" s="48" customFormat="1" x14ac:dyDescent="0.35">
      <c r="A90" s="49" t="s">
        <v>1528</v>
      </c>
      <c r="B90" s="240">
        <v>332.96743412517992</v>
      </c>
      <c r="C90" s="153">
        <v>1645.1841878869802</v>
      </c>
      <c r="D90" s="154">
        <v>332.96743412517992</v>
      </c>
      <c r="E90" s="154">
        <v>1645.1841878869802</v>
      </c>
      <c r="F90" s="240">
        <v>332.96743412517992</v>
      </c>
      <c r="G90" s="153">
        <v>1645.1841878869802</v>
      </c>
      <c r="H90" s="154">
        <v>332.96743412517992</v>
      </c>
      <c r="I90" s="154">
        <v>1645.1841878869802</v>
      </c>
      <c r="J90" s="240">
        <v>735.34436204135432</v>
      </c>
      <c r="K90" s="153">
        <v>0</v>
      </c>
      <c r="L90" s="154">
        <v>85.187801284914201</v>
      </c>
      <c r="M90" s="154">
        <v>707.48333333333335</v>
      </c>
      <c r="N90" s="240">
        <v>1415.3538914165388</v>
      </c>
      <c r="O90" s="711">
        <v>0</v>
      </c>
    </row>
    <row r="91" spans="1:15" s="48" customFormat="1" x14ac:dyDescent="0.35">
      <c r="A91" s="49" t="s">
        <v>1527</v>
      </c>
      <c r="B91" s="49">
        <v>400.8908649192503</v>
      </c>
      <c r="C91" s="47">
        <v>1654.8477609093482</v>
      </c>
      <c r="D91" s="48">
        <v>400.8908649192503</v>
      </c>
      <c r="E91" s="48">
        <v>1654.8477609093482</v>
      </c>
      <c r="F91" s="49">
        <v>400.8908649192503</v>
      </c>
      <c r="G91" s="47">
        <v>1654.8477609093482</v>
      </c>
      <c r="H91" s="48">
        <v>400.8908649192503</v>
      </c>
      <c r="I91" s="48">
        <v>1654.8477609093482</v>
      </c>
      <c r="J91" s="49">
        <v>793.12110050610977</v>
      </c>
      <c r="K91" s="47">
        <v>0</v>
      </c>
      <c r="L91" s="48">
        <v>115.90079787396789</v>
      </c>
      <c r="M91" s="48">
        <v>707.48333333333335</v>
      </c>
      <c r="N91" s="49">
        <v>1744.0336075919449</v>
      </c>
      <c r="O91" s="47">
        <v>0</v>
      </c>
    </row>
    <row r="92" spans="1:15" s="145" customFormat="1" ht="13.15" x14ac:dyDescent="0.4">
      <c r="A92" s="390" t="s">
        <v>1562</v>
      </c>
      <c r="B92" s="237"/>
      <c r="C92" s="156"/>
      <c r="D92" s="157"/>
      <c r="E92" s="157"/>
      <c r="F92" s="237"/>
      <c r="G92" s="156"/>
      <c r="H92" s="157"/>
      <c r="I92" s="157"/>
      <c r="J92" s="237"/>
      <c r="K92" s="156"/>
      <c r="L92" s="157"/>
      <c r="M92" s="157"/>
      <c r="N92" s="237"/>
      <c r="O92" s="710"/>
    </row>
    <row r="93" spans="1:15" s="145" customFormat="1" x14ac:dyDescent="0.35">
      <c r="A93" s="232" t="s">
        <v>1525</v>
      </c>
      <c r="B93" s="232">
        <v>0.3030350026762057</v>
      </c>
      <c r="C93" s="144">
        <v>3.5300767519125684E-2</v>
      </c>
      <c r="D93" s="145">
        <v>0.3030350026762057</v>
      </c>
      <c r="E93" s="145">
        <v>3.5300767519125684E-2</v>
      </c>
      <c r="F93" s="232">
        <v>0.3030350026762057</v>
      </c>
      <c r="G93" s="144">
        <v>3.5300767519125684E-2</v>
      </c>
      <c r="H93" s="145">
        <v>0.3030350026762057</v>
      </c>
      <c r="I93" s="145">
        <v>3.5300767519125684E-2</v>
      </c>
      <c r="J93" s="232">
        <v>8.2055692282456995E-3</v>
      </c>
      <c r="K93" s="144">
        <v>0</v>
      </c>
      <c r="L93" s="145">
        <v>3.9585166194125811E-2</v>
      </c>
      <c r="M93" s="145">
        <v>158.9</v>
      </c>
      <c r="N93" s="232">
        <v>2.3346308546803328E-2</v>
      </c>
      <c r="O93" s="709">
        <v>0</v>
      </c>
    </row>
    <row r="94" spans="1:15" s="145" customFormat="1" x14ac:dyDescent="0.35">
      <c r="A94" s="232" t="s">
        <v>1524</v>
      </c>
      <c r="B94" s="232">
        <v>6.2195436615831622E-2</v>
      </c>
      <c r="C94" s="144">
        <v>0.15618003224772312</v>
      </c>
      <c r="D94" s="145">
        <v>6.2195436615831622E-2</v>
      </c>
      <c r="E94" s="145">
        <v>0.15618003224772312</v>
      </c>
      <c r="F94" s="232">
        <v>6.2195436615831622E-2</v>
      </c>
      <c r="G94" s="144">
        <v>0.15618003224772312</v>
      </c>
      <c r="H94" s="145">
        <v>6.2195436615831622E-2</v>
      </c>
      <c r="I94" s="145">
        <v>0.15618003224772312</v>
      </c>
      <c r="J94" s="232">
        <v>1.7444367857004216E-2</v>
      </c>
      <c r="K94" s="144">
        <v>0</v>
      </c>
      <c r="L94" s="145">
        <v>5.290243294520546E-3</v>
      </c>
      <c r="M94" s="145">
        <v>0</v>
      </c>
      <c r="N94" s="232">
        <v>8.6538471570990011E-2</v>
      </c>
      <c r="O94" s="709">
        <v>0</v>
      </c>
    </row>
    <row r="95" spans="1:15" s="145" customFormat="1" x14ac:dyDescent="0.35">
      <c r="A95" s="232" t="s">
        <v>1523</v>
      </c>
      <c r="B95" s="232">
        <v>0.10687309867841346</v>
      </c>
      <c r="C95" s="144">
        <v>1.7180286986958102</v>
      </c>
      <c r="D95" s="145">
        <v>0.10687309867841346</v>
      </c>
      <c r="E95" s="145">
        <v>1.7180286986958102</v>
      </c>
      <c r="F95" s="232">
        <v>0.10687309867841346</v>
      </c>
      <c r="G95" s="144">
        <v>1.7180286986958102</v>
      </c>
      <c r="H95" s="145">
        <v>0.10687309867841346</v>
      </c>
      <c r="I95" s="145">
        <v>1.7180286986958102</v>
      </c>
      <c r="J95" s="232">
        <v>2.7397894885116202E-2</v>
      </c>
      <c r="K95" s="144">
        <v>0</v>
      </c>
      <c r="L95" s="145">
        <v>1.0619362358935874E-2</v>
      </c>
      <c r="M95" s="145">
        <v>0</v>
      </c>
      <c r="N95" s="232">
        <v>0.14084481550927558</v>
      </c>
      <c r="O95" s="709">
        <v>0</v>
      </c>
    </row>
    <row r="96" spans="1:15" s="145" customFormat="1" x14ac:dyDescent="0.35">
      <c r="A96" s="232" t="s">
        <v>1522</v>
      </c>
      <c r="B96" s="232">
        <v>1.8572727014486669E-2</v>
      </c>
      <c r="C96" s="144">
        <v>0.34174352998178514</v>
      </c>
      <c r="D96" s="145">
        <v>1.8572727014486669E-2</v>
      </c>
      <c r="E96" s="145">
        <v>0.34174352998178514</v>
      </c>
      <c r="F96" s="232">
        <v>1.8572727014486669E-2</v>
      </c>
      <c r="G96" s="144">
        <v>0.34174352998178514</v>
      </c>
      <c r="H96" s="145">
        <v>1.8572727014486669E-2</v>
      </c>
      <c r="I96" s="145">
        <v>0.34174352998178514</v>
      </c>
      <c r="J96" s="232">
        <v>2.2213212599417357E-3</v>
      </c>
      <c r="K96" s="144">
        <v>0</v>
      </c>
      <c r="L96" s="145">
        <v>1.0171981228087868E-3</v>
      </c>
      <c r="M96" s="145">
        <v>0</v>
      </c>
      <c r="N96" s="232">
        <v>8.7356164745997101E-3</v>
      </c>
      <c r="O96" s="709">
        <v>0</v>
      </c>
    </row>
    <row r="97" spans="1:15" s="145" customFormat="1" x14ac:dyDescent="0.35">
      <c r="A97" s="232" t="s">
        <v>1521</v>
      </c>
      <c r="B97" s="232">
        <v>1.4909824062604313E-2</v>
      </c>
      <c r="C97" s="144">
        <v>0.15637340813114753</v>
      </c>
      <c r="D97" s="145">
        <v>1.4909824062604313E-2</v>
      </c>
      <c r="E97" s="145">
        <v>0.15637340813114753</v>
      </c>
      <c r="F97" s="232">
        <v>1.4909824062604313E-2</v>
      </c>
      <c r="G97" s="144">
        <v>0.15637340813114753</v>
      </c>
      <c r="H97" s="145">
        <v>1.4909824062604313E-2</v>
      </c>
      <c r="I97" s="145">
        <v>0.15637340813114753</v>
      </c>
      <c r="J97" s="232">
        <v>1.7643193292884538E-3</v>
      </c>
      <c r="K97" s="144">
        <v>0</v>
      </c>
      <c r="L97" s="145">
        <v>8.1695910313510627E-4</v>
      </c>
      <c r="M97" s="145">
        <v>0</v>
      </c>
      <c r="N97" s="232">
        <v>6.5873107242693527E-3</v>
      </c>
      <c r="O97" s="709">
        <v>0</v>
      </c>
    </row>
    <row r="98" spans="1:15" s="145" customFormat="1" x14ac:dyDescent="0.35">
      <c r="A98" s="232" t="s">
        <v>1520</v>
      </c>
      <c r="B98" s="232">
        <v>0.11770286531937228</v>
      </c>
      <c r="C98" s="144">
        <v>6.4566757156284149</v>
      </c>
      <c r="D98" s="145">
        <v>0.11770286531937228</v>
      </c>
      <c r="E98" s="145">
        <v>6.4566757156284149</v>
      </c>
      <c r="F98" s="232">
        <v>0.11770286531937228</v>
      </c>
      <c r="G98" s="144">
        <v>6.4566757156284149</v>
      </c>
      <c r="H98" s="145">
        <v>0.11770286531937228</v>
      </c>
      <c r="I98" s="145">
        <v>6.4566757156284149</v>
      </c>
      <c r="J98" s="232">
        <v>3.0675898717852462E-2</v>
      </c>
      <c r="K98" s="144">
        <v>0</v>
      </c>
      <c r="L98" s="145">
        <v>1.8580078302688319E-2</v>
      </c>
      <c r="M98" s="145">
        <v>0</v>
      </c>
      <c r="N98" s="232">
        <v>0.2566223937429139</v>
      </c>
      <c r="O98" s="709">
        <v>0</v>
      </c>
    </row>
    <row r="99" spans="1:15" s="145" customFormat="1" x14ac:dyDescent="0.35">
      <c r="A99" s="232" t="s">
        <v>1519</v>
      </c>
      <c r="B99" s="232">
        <v>1.7396699509155734E-3</v>
      </c>
      <c r="C99" s="144">
        <v>9.9140740755147543E-3</v>
      </c>
      <c r="D99" s="145">
        <v>1.7396699509155734E-3</v>
      </c>
      <c r="E99" s="145">
        <v>9.9140740755147543E-3</v>
      </c>
      <c r="F99" s="232">
        <v>1.7396699509155734E-3</v>
      </c>
      <c r="G99" s="144">
        <v>9.9140740755147543E-3</v>
      </c>
      <c r="H99" s="145">
        <v>1.7396699509155734E-3</v>
      </c>
      <c r="I99" s="145">
        <v>9.9140740755147543E-3</v>
      </c>
      <c r="J99" s="232">
        <v>1.8584695742738478E-4</v>
      </c>
      <c r="K99" s="709">
        <v>0</v>
      </c>
      <c r="L99" s="145">
        <v>1.2238353044560626E-5</v>
      </c>
      <c r="M99" s="145">
        <v>0</v>
      </c>
      <c r="N99" s="232">
        <v>4.9915870805187904E-4</v>
      </c>
      <c r="O99" s="709">
        <v>0</v>
      </c>
    </row>
    <row r="100" spans="1:15" s="145" customFormat="1" x14ac:dyDescent="0.35">
      <c r="A100" s="231" t="s">
        <v>1518</v>
      </c>
      <c r="B100" s="231">
        <v>2.3146105041887866E-3</v>
      </c>
      <c r="C100" s="141">
        <v>6.8804299577704918E-3</v>
      </c>
      <c r="D100" s="142">
        <v>2.3146105041887866E-3</v>
      </c>
      <c r="E100" s="142">
        <v>6.8804299577704918E-3</v>
      </c>
      <c r="F100" s="231">
        <v>2.3146105041887866E-3</v>
      </c>
      <c r="G100" s="141">
        <v>6.8804299577704918E-3</v>
      </c>
      <c r="H100" s="142">
        <v>2.3146105041887866E-3</v>
      </c>
      <c r="I100" s="142">
        <v>6.8804299577704918E-3</v>
      </c>
      <c r="J100" s="231">
        <v>3.0530279495812626E-4</v>
      </c>
      <c r="K100" s="708">
        <v>0</v>
      </c>
      <c r="L100" s="142">
        <v>3.8173022846029839E-5</v>
      </c>
      <c r="M100" s="142">
        <v>0</v>
      </c>
      <c r="N100" s="231">
        <v>1.129613697874078E-3</v>
      </c>
      <c r="O100" s="708">
        <v>0</v>
      </c>
    </row>
    <row r="101" spans="1:15" s="145" customFormat="1" x14ac:dyDescent="0.35"/>
    <row r="102" spans="1:15" s="145" customFormat="1" ht="13.9" x14ac:dyDescent="0.4">
      <c r="A102" s="386" t="s">
        <v>2305</v>
      </c>
      <c r="N102" s="704"/>
    </row>
    <row r="103" spans="1:15" s="145" customFormat="1" ht="13.15" x14ac:dyDescent="0.4">
      <c r="A103" s="237"/>
      <c r="B103" s="707" t="s">
        <v>2304</v>
      </c>
      <c r="C103" s="707" t="s">
        <v>2303</v>
      </c>
      <c r="D103" s="707" t="s">
        <v>2302</v>
      </c>
      <c r="E103" s="707" t="s">
        <v>2301</v>
      </c>
      <c r="F103" s="707" t="s">
        <v>2300</v>
      </c>
      <c r="G103" s="706" t="s">
        <v>2299</v>
      </c>
      <c r="N103" s="704"/>
    </row>
    <row r="104" spans="1:15" s="145" customFormat="1" ht="13.15" x14ac:dyDescent="0.4">
      <c r="A104" s="390" t="s">
        <v>1862</v>
      </c>
      <c r="B104" s="382"/>
      <c r="C104" s="157"/>
      <c r="D104" s="382"/>
      <c r="E104" s="382"/>
      <c r="F104" s="382"/>
      <c r="G104" s="381"/>
      <c r="N104" s="704"/>
    </row>
    <row r="105" spans="1:15" s="145" customFormat="1" x14ac:dyDescent="0.35">
      <c r="A105" s="232" t="s">
        <v>1537</v>
      </c>
      <c r="B105" s="148">
        <v>11.923021808824936</v>
      </c>
      <c r="C105" s="148">
        <v>11.923021808824936</v>
      </c>
      <c r="D105" s="148">
        <v>10.890575713580372</v>
      </c>
      <c r="E105" s="148">
        <v>10.890575713580372</v>
      </c>
      <c r="F105" s="148">
        <v>2.7346404670401014</v>
      </c>
      <c r="G105" s="147">
        <v>2.7346404670401014</v>
      </c>
      <c r="N105" s="704"/>
    </row>
    <row r="106" spans="1:15" s="145" customFormat="1" x14ac:dyDescent="0.35">
      <c r="A106" s="232" t="s">
        <v>1536</v>
      </c>
      <c r="B106" s="148">
        <v>11.822946610493741</v>
      </c>
      <c r="C106" s="148">
        <v>11.822946610493741</v>
      </c>
      <c r="D106" s="148">
        <v>10.796014317790231</v>
      </c>
      <c r="E106" s="148">
        <v>10.796014317790231</v>
      </c>
      <c r="F106" s="148">
        <v>2.6851469915455928</v>
      </c>
      <c r="G106" s="147">
        <v>2.6851469915455928</v>
      </c>
      <c r="N106" s="704"/>
    </row>
    <row r="107" spans="1:15" s="145" customFormat="1" x14ac:dyDescent="0.35">
      <c r="A107" s="232" t="s">
        <v>1535</v>
      </c>
      <c r="B107" s="148">
        <v>0.24502877099165221</v>
      </c>
      <c r="C107" s="148">
        <v>0.24502877099165221</v>
      </c>
      <c r="D107" s="148">
        <v>0.23202371010591649</v>
      </c>
      <c r="E107" s="148">
        <v>0.23202371010591649</v>
      </c>
      <c r="F107" s="148">
        <v>0.1256044761792259</v>
      </c>
      <c r="G107" s="147">
        <v>0.1256044761792259</v>
      </c>
      <c r="N107" s="704"/>
    </row>
    <row r="108" spans="1:15" s="145" customFormat="1" x14ac:dyDescent="0.35">
      <c r="A108" s="232" t="s">
        <v>1534</v>
      </c>
      <c r="B108" s="148">
        <v>2.9680406976824134</v>
      </c>
      <c r="C108" s="148">
        <v>2.9680406976824134</v>
      </c>
      <c r="D108" s="148">
        <v>2.8486893042432824</v>
      </c>
      <c r="E108" s="148">
        <v>2.8486893042432824</v>
      </c>
      <c r="F108" s="148">
        <v>1.807274429339202</v>
      </c>
      <c r="G108" s="147">
        <v>1.807274429339202</v>
      </c>
      <c r="N108" s="704"/>
    </row>
    <row r="109" spans="1:15" s="145" customFormat="1" x14ac:dyDescent="0.35">
      <c r="A109" s="231" t="s">
        <v>1533</v>
      </c>
      <c r="B109" s="444">
        <v>8.6098771418196751</v>
      </c>
      <c r="C109" s="444">
        <v>8.6098771418196751</v>
      </c>
      <c r="D109" s="444">
        <v>7.7153013034410316</v>
      </c>
      <c r="E109" s="444">
        <v>7.7153013034410316</v>
      </c>
      <c r="F109" s="444">
        <v>0.75226808602716488</v>
      </c>
      <c r="G109" s="443">
        <v>0.75226808602716488</v>
      </c>
      <c r="N109" s="704"/>
    </row>
    <row r="110" spans="1:15" s="145" customFormat="1" x14ac:dyDescent="0.35">
      <c r="A110" s="231" t="s">
        <v>1532</v>
      </c>
      <c r="B110" s="444">
        <v>243.38117914219251</v>
      </c>
      <c r="C110" s="444">
        <v>243.38117914219251</v>
      </c>
      <c r="D110" s="444">
        <v>221.28747995911377</v>
      </c>
      <c r="E110" s="444">
        <v>221.28747995911377</v>
      </c>
      <c r="F110" s="444">
        <v>46.65683557993907</v>
      </c>
      <c r="G110" s="443">
        <v>46.65683557993907</v>
      </c>
      <c r="N110" s="704"/>
    </row>
    <row r="111" spans="1:15" s="145" customFormat="1" ht="13.15" x14ac:dyDescent="0.4">
      <c r="A111" s="390" t="s">
        <v>1564</v>
      </c>
      <c r="B111" s="235"/>
      <c r="C111" s="235"/>
      <c r="D111" s="235"/>
      <c r="E111" s="235"/>
      <c r="G111" s="234"/>
      <c r="N111" s="704"/>
    </row>
    <row r="112" spans="1:15" s="145" customFormat="1" x14ac:dyDescent="0.35">
      <c r="A112" s="232" t="s">
        <v>1525</v>
      </c>
      <c r="B112" s="145">
        <v>27896.907144876746</v>
      </c>
      <c r="C112" s="145">
        <v>27896.907144876746</v>
      </c>
      <c r="D112" s="145">
        <v>27871.794964909503</v>
      </c>
      <c r="E112" s="145">
        <v>27871.794964909503</v>
      </c>
      <c r="F112" s="145">
        <v>27552.062559922764</v>
      </c>
      <c r="G112" s="144">
        <v>27552.062559922764</v>
      </c>
      <c r="N112" s="704"/>
    </row>
    <row r="113" spans="1:14" s="145" customFormat="1" x14ac:dyDescent="0.35">
      <c r="A113" s="232" t="s">
        <v>1524</v>
      </c>
      <c r="B113" s="145">
        <v>342.98435532287914</v>
      </c>
      <c r="C113" s="145">
        <v>342.98435532287914</v>
      </c>
      <c r="D113" s="145">
        <v>320.85170735909941</v>
      </c>
      <c r="E113" s="145">
        <v>320.85170735909941</v>
      </c>
      <c r="F113" s="145">
        <v>138.87212922979748</v>
      </c>
      <c r="G113" s="144">
        <v>138.87212922979748</v>
      </c>
      <c r="N113" s="704"/>
    </row>
    <row r="114" spans="1:14" s="145" customFormat="1" x14ac:dyDescent="0.35">
      <c r="A114" s="232" t="s">
        <v>1563</v>
      </c>
      <c r="B114" s="145">
        <v>1330.9310887084725</v>
      </c>
      <c r="C114" s="145">
        <v>1330.9310887084725</v>
      </c>
      <c r="D114" s="145">
        <v>1202.5436704979902</v>
      </c>
      <c r="E114" s="145">
        <v>1202.5436704979902</v>
      </c>
      <c r="F114" s="145">
        <v>188.0359931068937</v>
      </c>
      <c r="G114" s="144">
        <v>188.0359931068937</v>
      </c>
      <c r="N114" s="704"/>
    </row>
    <row r="115" spans="1:14" s="145" customFormat="1" x14ac:dyDescent="0.35">
      <c r="A115" s="232" t="s">
        <v>1522</v>
      </c>
      <c r="B115" s="145">
        <v>235.51717959072877</v>
      </c>
      <c r="C115" s="145">
        <v>235.51717959072877</v>
      </c>
      <c r="D115" s="145">
        <v>213.15523682391969</v>
      </c>
      <c r="E115" s="145">
        <v>213.15523682391969</v>
      </c>
      <c r="F115" s="145">
        <v>36.011175746348187</v>
      </c>
      <c r="G115" s="144">
        <v>36.011175746348187</v>
      </c>
      <c r="N115" s="704"/>
    </row>
    <row r="116" spans="1:14" s="145" customFormat="1" x14ac:dyDescent="0.35">
      <c r="A116" s="232" t="s">
        <v>1521</v>
      </c>
      <c r="B116" s="145">
        <v>113.005252167492</v>
      </c>
      <c r="C116" s="145">
        <v>113.005252167492</v>
      </c>
      <c r="D116" s="145">
        <v>102.00825160264934</v>
      </c>
      <c r="E116" s="145">
        <v>102.00825160264934</v>
      </c>
      <c r="F116" s="145">
        <v>14.732716108292884</v>
      </c>
      <c r="G116" s="144">
        <v>14.732716108292884</v>
      </c>
      <c r="N116" s="704"/>
    </row>
    <row r="117" spans="1:14" s="145" customFormat="1" x14ac:dyDescent="0.35">
      <c r="A117" s="232" t="s">
        <v>1520</v>
      </c>
      <c r="B117" s="145">
        <v>4052.7044628485537</v>
      </c>
      <c r="C117" s="145">
        <v>4052.7044628485537</v>
      </c>
      <c r="D117" s="145">
        <v>3656.1829056983597</v>
      </c>
      <c r="E117" s="145">
        <v>3656.1829056983597</v>
      </c>
      <c r="F117" s="145">
        <v>536.76949127342141</v>
      </c>
      <c r="G117" s="144">
        <v>536.76949127342141</v>
      </c>
      <c r="N117" s="704"/>
    </row>
    <row r="118" spans="1:14" s="145" customFormat="1" x14ac:dyDescent="0.35">
      <c r="A118" s="232" t="s">
        <v>1519</v>
      </c>
      <c r="B118" s="145">
        <v>8.927201959447002</v>
      </c>
      <c r="C118" s="145">
        <v>8.927201959447002</v>
      </c>
      <c r="D118" s="145">
        <v>8.0701744598351777</v>
      </c>
      <c r="E118" s="145">
        <v>8.0701744598351777</v>
      </c>
      <c r="F118" s="145">
        <v>1.2906308096291768</v>
      </c>
      <c r="G118" s="144">
        <v>1.2906308096291768</v>
      </c>
      <c r="N118" s="704"/>
    </row>
    <row r="119" spans="1:14" s="145" customFormat="1" x14ac:dyDescent="0.35">
      <c r="A119" s="232" t="s">
        <v>1518</v>
      </c>
      <c r="B119" s="145">
        <v>9.6210238610945655</v>
      </c>
      <c r="C119" s="145">
        <v>9.6210238610945655</v>
      </c>
      <c r="D119" s="145">
        <v>8.7539779440745455</v>
      </c>
      <c r="E119" s="145">
        <v>8.7539779440745455</v>
      </c>
      <c r="F119" s="145">
        <v>1.7997162506258209</v>
      </c>
      <c r="G119" s="144">
        <v>1.7997162506258209</v>
      </c>
      <c r="N119" s="704"/>
    </row>
    <row r="120" spans="1:14" s="145" customFormat="1" x14ac:dyDescent="0.35">
      <c r="A120" s="232" t="s">
        <v>1531</v>
      </c>
      <c r="B120" s="145">
        <v>1469.0977394065685</v>
      </c>
      <c r="C120" s="145">
        <v>1469.0977394065685</v>
      </c>
      <c r="D120" s="145">
        <v>1369.9808203594337</v>
      </c>
      <c r="E120" s="145">
        <v>1369.9808203594337</v>
      </c>
      <c r="F120" s="145">
        <v>558.81600499313754</v>
      </c>
      <c r="G120" s="144">
        <v>558.81600499313754</v>
      </c>
      <c r="N120" s="704"/>
    </row>
    <row r="121" spans="1:14" s="145" customFormat="1" x14ac:dyDescent="0.35">
      <c r="A121" s="232" t="s">
        <v>1530</v>
      </c>
      <c r="B121" s="145">
        <v>16.012222415358654</v>
      </c>
      <c r="C121" s="145">
        <v>16.012222415358654</v>
      </c>
      <c r="D121" s="145">
        <v>14.778582756695416</v>
      </c>
      <c r="E121" s="145">
        <v>14.778582756695416</v>
      </c>
      <c r="F121" s="145">
        <v>4.8913963196101173</v>
      </c>
      <c r="G121" s="144">
        <v>4.8913963196101173</v>
      </c>
      <c r="N121" s="704"/>
    </row>
    <row r="122" spans="1:14" s="48" customFormat="1" x14ac:dyDescent="0.35">
      <c r="A122" s="49" t="s">
        <v>1529</v>
      </c>
      <c r="B122" s="154">
        <v>684045.62715542223</v>
      </c>
      <c r="C122" s="154">
        <v>684045.62715542223</v>
      </c>
      <c r="D122" s="154">
        <v>620704.7683533032</v>
      </c>
      <c r="E122" s="154">
        <v>620704.7683533032</v>
      </c>
      <c r="F122" s="154">
        <v>114606.67013750129</v>
      </c>
      <c r="G122" s="153">
        <v>114606.67013750129</v>
      </c>
      <c r="N122" s="705"/>
    </row>
    <row r="123" spans="1:14" s="48" customFormat="1" x14ac:dyDescent="0.35">
      <c r="A123" s="49" t="s">
        <v>1528</v>
      </c>
      <c r="B123" s="154">
        <v>771529.96317246207</v>
      </c>
      <c r="C123" s="154">
        <v>771529.96317246207</v>
      </c>
      <c r="D123" s="154">
        <v>708076.05820074026</v>
      </c>
      <c r="E123" s="154">
        <v>708076.05820074026</v>
      </c>
      <c r="F123" s="154">
        <v>200695.49274757406</v>
      </c>
      <c r="G123" s="153">
        <v>200695.49274757406</v>
      </c>
      <c r="N123" s="705"/>
    </row>
    <row r="124" spans="1:14" s="48" customFormat="1" x14ac:dyDescent="0.35">
      <c r="A124" s="45" t="s">
        <v>1527</v>
      </c>
      <c r="B124" s="151">
        <v>819846.13429472921</v>
      </c>
      <c r="C124" s="151">
        <v>819846.13429472921</v>
      </c>
      <c r="D124" s="151">
        <v>753091.80724204751</v>
      </c>
      <c r="E124" s="151">
        <v>753091.80724204751</v>
      </c>
      <c r="F124" s="151">
        <v>218756.19292206486</v>
      </c>
      <c r="G124" s="150">
        <v>218756.19292206486</v>
      </c>
      <c r="N124" s="705"/>
    </row>
    <row r="125" spans="1:14" s="145" customFormat="1" ht="13.15" x14ac:dyDescent="0.4">
      <c r="A125" s="388" t="s">
        <v>1562</v>
      </c>
      <c r="G125" s="144"/>
      <c r="N125" s="704"/>
    </row>
    <row r="126" spans="1:14" s="145" customFormat="1" x14ac:dyDescent="0.35">
      <c r="A126" s="232" t="s">
        <v>1525</v>
      </c>
      <c r="B126" s="145">
        <v>19203.552686669795</v>
      </c>
      <c r="C126" s="145">
        <v>19203.552686669795</v>
      </c>
      <c r="D126" s="145">
        <v>19189.059265631895</v>
      </c>
      <c r="E126" s="145">
        <v>19189.059265631895</v>
      </c>
      <c r="F126" s="145">
        <v>19077.78858512923</v>
      </c>
      <c r="G126" s="144">
        <v>19077.78858512923</v>
      </c>
      <c r="N126" s="704"/>
    </row>
    <row r="127" spans="1:14" s="145" customFormat="1" x14ac:dyDescent="0.35">
      <c r="A127" s="232" t="s">
        <v>1524</v>
      </c>
      <c r="B127" s="145">
        <v>70.709977709566559</v>
      </c>
      <c r="C127" s="145">
        <v>70.709977709566559</v>
      </c>
      <c r="D127" s="145">
        <v>63.328747146332176</v>
      </c>
      <c r="E127" s="145">
        <v>63.328747146332176</v>
      </c>
      <c r="F127" s="145">
        <v>6.2770699431580024</v>
      </c>
      <c r="G127" s="144">
        <v>6.2770699431580024</v>
      </c>
      <c r="N127" s="704"/>
    </row>
    <row r="128" spans="1:14" s="145" customFormat="1" x14ac:dyDescent="0.35">
      <c r="A128" s="232" t="s">
        <v>1523</v>
      </c>
      <c r="B128" s="145">
        <v>504.00091657810259</v>
      </c>
      <c r="C128" s="145">
        <v>504.00091657810259</v>
      </c>
      <c r="D128" s="145">
        <v>448.42601263731615</v>
      </c>
      <c r="E128" s="145">
        <v>448.42601263731615</v>
      </c>
      <c r="F128" s="145">
        <v>21.877083024780198</v>
      </c>
      <c r="G128" s="144">
        <v>21.877083024780198</v>
      </c>
      <c r="N128" s="704"/>
    </row>
    <row r="129" spans="1:14" s="145" customFormat="1" x14ac:dyDescent="0.35">
      <c r="A129" s="232" t="s">
        <v>1522</v>
      </c>
      <c r="B129" s="145">
        <v>98.1831286966991</v>
      </c>
      <c r="C129" s="145">
        <v>98.1831286966991</v>
      </c>
      <c r="D129" s="145">
        <v>87.247596146513885</v>
      </c>
      <c r="E129" s="145">
        <v>87.247596146513885</v>
      </c>
      <c r="F129" s="145">
        <v>3.4067704270037389</v>
      </c>
      <c r="G129" s="144">
        <v>3.4067704270037389</v>
      </c>
      <c r="N129" s="704"/>
    </row>
    <row r="130" spans="1:14" s="145" customFormat="1" x14ac:dyDescent="0.35">
      <c r="A130" s="232" t="s">
        <v>1521</v>
      </c>
      <c r="B130" s="145">
        <v>47.654292802095384</v>
      </c>
      <c r="C130" s="145">
        <v>47.654292802095384</v>
      </c>
      <c r="D130" s="145">
        <v>42.365919057693894</v>
      </c>
      <c r="E130" s="145">
        <v>42.365919057693894</v>
      </c>
      <c r="F130" s="145">
        <v>1.8009226318360378</v>
      </c>
      <c r="G130" s="144">
        <v>1.8009226318360378</v>
      </c>
      <c r="N130" s="704"/>
    </row>
    <row r="131" spans="1:14" s="145" customFormat="1" x14ac:dyDescent="0.35">
      <c r="A131" s="232" t="s">
        <v>1520</v>
      </c>
      <c r="B131" s="145">
        <v>1764.2739252687941</v>
      </c>
      <c r="C131" s="145">
        <v>1764.2739252687941</v>
      </c>
      <c r="D131" s="145">
        <v>1568.0147574418706</v>
      </c>
      <c r="E131" s="145">
        <v>1568.0147574418706</v>
      </c>
      <c r="F131" s="145">
        <v>63.595596555102972</v>
      </c>
      <c r="G131" s="144">
        <v>63.595596555102972</v>
      </c>
      <c r="N131" s="704"/>
    </row>
    <row r="132" spans="1:14" s="145" customFormat="1" x14ac:dyDescent="0.35">
      <c r="A132" s="232" t="s">
        <v>1519</v>
      </c>
      <c r="B132" s="145">
        <v>3.3404283352821786</v>
      </c>
      <c r="C132" s="145">
        <v>3.3404283352821786</v>
      </c>
      <c r="D132" s="145">
        <v>2.969889821152079</v>
      </c>
      <c r="E132" s="145">
        <v>2.969889821152079</v>
      </c>
      <c r="F132" s="145">
        <v>0.12583796233536354</v>
      </c>
      <c r="G132" s="144">
        <v>0.12583796233536354</v>
      </c>
      <c r="N132" s="704"/>
    </row>
    <row r="133" spans="1:14" s="145" customFormat="1" x14ac:dyDescent="0.35">
      <c r="A133" s="231" t="s">
        <v>1518</v>
      </c>
      <c r="B133" s="142">
        <v>2.8001236885757264</v>
      </c>
      <c r="C133" s="142">
        <v>2.8001236885757264</v>
      </c>
      <c r="D133" s="142">
        <v>2.493826040110521</v>
      </c>
      <c r="E133" s="142">
        <v>2.493826040110521</v>
      </c>
      <c r="F133" s="142">
        <v>0.13846620749715516</v>
      </c>
      <c r="G133" s="141">
        <v>0.13846620749715516</v>
      </c>
      <c r="N133" s="704"/>
    </row>
    <row r="134" spans="1:14" x14ac:dyDescent="0.35">
      <c r="M134" s="703"/>
      <c r="N134" s="39"/>
    </row>
    <row r="135" spans="1:14" x14ac:dyDescent="0.35">
      <c r="M135" s="703"/>
      <c r="N135" s="39"/>
    </row>
    <row r="136" spans="1:14" x14ac:dyDescent="0.35">
      <c r="M136" s="703"/>
      <c r="N136" s="39"/>
    </row>
    <row r="137" spans="1:14" x14ac:dyDescent="0.35">
      <c r="M137" s="703"/>
      <c r="N137" s="39"/>
    </row>
    <row r="138" spans="1:14" x14ac:dyDescent="0.35">
      <c r="M138" s="703"/>
      <c r="N138" s="39"/>
    </row>
    <row r="139" spans="1:14" x14ac:dyDescent="0.35">
      <c r="M139" s="703"/>
      <c r="N139" s="39"/>
    </row>
    <row r="140" spans="1:14" x14ac:dyDescent="0.35">
      <c r="M140" s="703"/>
      <c r="N140" s="39"/>
    </row>
    <row r="141" spans="1:14" x14ac:dyDescent="0.35">
      <c r="M141" s="703"/>
      <c r="N141" s="39"/>
    </row>
    <row r="142" spans="1:14" x14ac:dyDescent="0.35">
      <c r="M142" s="703"/>
      <c r="N142" s="39"/>
    </row>
    <row r="143" spans="1:14" x14ac:dyDescent="0.35">
      <c r="M143" s="703"/>
      <c r="N143" s="39"/>
    </row>
    <row r="144" spans="1:14" x14ac:dyDescent="0.35">
      <c r="M144" s="703"/>
      <c r="N144" s="39"/>
    </row>
    <row r="145" spans="13:14" x14ac:dyDescent="0.35">
      <c r="M145" s="703"/>
      <c r="N145" s="39"/>
    </row>
    <row r="146" spans="13:14" x14ac:dyDescent="0.35">
      <c r="M146" s="703"/>
      <c r="N146" s="39"/>
    </row>
    <row r="147" spans="13:14" x14ac:dyDescent="0.35">
      <c r="M147" s="703"/>
      <c r="N147" s="39"/>
    </row>
    <row r="148" spans="13:14" x14ac:dyDescent="0.35">
      <c r="M148" s="703"/>
      <c r="N148" s="39"/>
    </row>
    <row r="149" spans="13:14" x14ac:dyDescent="0.35">
      <c r="M149" s="703"/>
      <c r="N149" s="39"/>
    </row>
    <row r="150" spans="13:14" x14ac:dyDescent="0.35">
      <c r="M150" s="703"/>
      <c r="N150" s="39"/>
    </row>
    <row r="151" spans="13:14" x14ac:dyDescent="0.35">
      <c r="M151" s="703"/>
      <c r="N151" s="39"/>
    </row>
    <row r="152" spans="13:14" x14ac:dyDescent="0.35">
      <c r="M152" s="703"/>
      <c r="N152" s="39"/>
    </row>
    <row r="153" spans="13:14" x14ac:dyDescent="0.35">
      <c r="M153" s="703"/>
      <c r="N153" s="39"/>
    </row>
    <row r="154" spans="13:14" x14ac:dyDescent="0.35">
      <c r="M154" s="703"/>
      <c r="N154" s="39"/>
    </row>
    <row r="155" spans="13:14" x14ac:dyDescent="0.35">
      <c r="M155" s="703"/>
      <c r="N155" s="39"/>
    </row>
    <row r="156" spans="13:14" x14ac:dyDescent="0.35">
      <c r="M156" s="703"/>
      <c r="N156" s="39"/>
    </row>
    <row r="157" spans="13:14" x14ac:dyDescent="0.35">
      <c r="M157" s="703"/>
      <c r="N157" s="39"/>
    </row>
    <row r="158" spans="13:14" x14ac:dyDescent="0.35">
      <c r="M158" s="703"/>
      <c r="N158" s="39"/>
    </row>
    <row r="159" spans="13:14" x14ac:dyDescent="0.35">
      <c r="M159" s="703"/>
      <c r="N159" s="39"/>
    </row>
    <row r="160" spans="13:14" x14ac:dyDescent="0.35">
      <c r="M160" s="703"/>
      <c r="N160" s="39"/>
    </row>
    <row r="161" spans="13:14" x14ac:dyDescent="0.35">
      <c r="M161" s="703"/>
      <c r="N161" s="39"/>
    </row>
    <row r="162" spans="13:14" x14ac:dyDescent="0.35">
      <c r="M162" s="703"/>
      <c r="N162" s="39"/>
    </row>
  </sheetData>
  <mergeCells count="13">
    <mergeCell ref="L24:M24"/>
    <mergeCell ref="N69:O69"/>
    <mergeCell ref="B69:C69"/>
    <mergeCell ref="D69:E69"/>
    <mergeCell ref="F69:G69"/>
    <mergeCell ref="H69:I69"/>
    <mergeCell ref="J69:K69"/>
    <mergeCell ref="L69:M69"/>
    <mergeCell ref="B24:C24"/>
    <mergeCell ref="D24:E24"/>
    <mergeCell ref="F24:G24"/>
    <mergeCell ref="H24:I24"/>
    <mergeCell ref="J24:K24"/>
  </mergeCells>
  <pageMargins left="1.74" right="0.23" top="1.02" bottom="1" header="0.5" footer="0.5"/>
  <pageSetup scale="31" orientation="landscape" r:id="rId1"/>
  <headerFooter alignWithMargins="0">
    <oddHeader>&amp;A</oddHeader>
    <oddFooter>Page &amp;P</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155"/>
  <sheetViews>
    <sheetView showGridLines="0" topLeftCell="A114" zoomScale="85" zoomScaleNormal="85" workbookViewId="0">
      <selection activeCell="A129" sqref="A129"/>
    </sheetView>
  </sheetViews>
  <sheetFormatPr defaultColWidth="9.1328125" defaultRowHeight="12.75" x14ac:dyDescent="0.35"/>
  <cols>
    <col min="1" max="1" width="1.796875" style="39" customWidth="1"/>
    <col min="2" max="2" width="24.86328125" style="39" customWidth="1"/>
    <col min="3" max="3" width="14.46484375" style="39" customWidth="1"/>
    <col min="4" max="4" width="18.46484375" style="39" customWidth="1"/>
    <col min="5" max="5" width="14.1328125" style="39" customWidth="1"/>
    <col min="6" max="6" width="19.86328125" style="39" bestFit="1" customWidth="1"/>
    <col min="7" max="7" width="13.46484375" style="39" customWidth="1"/>
    <col min="8" max="8" width="14" style="39" customWidth="1"/>
    <col min="9" max="9" width="11.796875" style="39" customWidth="1"/>
    <col min="10" max="10" width="11.46484375" style="39" customWidth="1"/>
    <col min="11" max="11" width="12.796875" style="39" customWidth="1"/>
    <col min="12" max="12" width="10.796875" style="39" customWidth="1"/>
    <col min="13" max="17" width="9.1328125" style="39"/>
    <col min="18" max="18" width="12.1328125" style="39" bestFit="1" customWidth="1"/>
    <col min="19" max="19" width="14.46484375" style="39" bestFit="1" customWidth="1"/>
    <col min="20" max="16384" width="9.1328125" style="39"/>
  </cols>
  <sheetData>
    <row r="1" spans="1:7" ht="15" x14ac:dyDescent="0.4">
      <c r="A1" s="140" t="s">
        <v>1861</v>
      </c>
      <c r="G1" s="230" t="s">
        <v>1561</v>
      </c>
    </row>
    <row r="2" spans="1:7" ht="13.9" x14ac:dyDescent="0.4">
      <c r="A2" s="72" t="s">
        <v>1860</v>
      </c>
    </row>
    <row r="3" spans="1:7" x14ac:dyDescent="0.35">
      <c r="B3" s="380">
        <v>1</v>
      </c>
      <c r="C3" s="39" t="s">
        <v>1859</v>
      </c>
    </row>
    <row r="4" spans="1:7" x14ac:dyDescent="0.35">
      <c r="C4" s="39" t="s">
        <v>1858</v>
      </c>
    </row>
    <row r="5" spans="1:7" x14ac:dyDescent="0.35">
      <c r="C5" s="39" t="s">
        <v>1857</v>
      </c>
    </row>
    <row r="7" spans="1:7" x14ac:dyDescent="0.35">
      <c r="B7" s="39" t="s">
        <v>1856</v>
      </c>
    </row>
    <row r="8" spans="1:7" x14ac:dyDescent="0.35">
      <c r="B8" s="74">
        <v>1</v>
      </c>
      <c r="C8" s="39" t="s">
        <v>1855</v>
      </c>
    </row>
    <row r="9" spans="1:7" x14ac:dyDescent="0.35">
      <c r="C9" s="39" t="s">
        <v>1412</v>
      </c>
    </row>
    <row r="10" spans="1:7" x14ac:dyDescent="0.35">
      <c r="B10" s="39" t="s">
        <v>1854</v>
      </c>
    </row>
    <row r="11" spans="1:7" x14ac:dyDescent="0.35">
      <c r="B11" s="74">
        <v>1</v>
      </c>
      <c r="C11" s="379" t="s">
        <v>1853</v>
      </c>
    </row>
    <row r="13" spans="1:7" x14ac:dyDescent="0.35">
      <c r="B13" s="39" t="s">
        <v>1852</v>
      </c>
    </row>
    <row r="14" spans="1:7" x14ac:dyDescent="0.35">
      <c r="B14" s="74">
        <v>1</v>
      </c>
      <c r="C14" s="39" t="s">
        <v>1851</v>
      </c>
    </row>
    <row r="16" spans="1:7" ht="13.9" x14ac:dyDescent="0.4">
      <c r="A16" s="72" t="s">
        <v>1850</v>
      </c>
    </row>
    <row r="17" spans="1:12" ht="38.25" x14ac:dyDescent="0.35">
      <c r="C17" s="87" t="s">
        <v>1481</v>
      </c>
      <c r="D17" s="103" t="s">
        <v>1480</v>
      </c>
      <c r="E17" s="103" t="s">
        <v>1479</v>
      </c>
      <c r="F17" s="103" t="s">
        <v>1478</v>
      </c>
      <c r="G17" s="103" t="s">
        <v>1477</v>
      </c>
      <c r="H17" s="103" t="s">
        <v>1476</v>
      </c>
      <c r="I17" s="103" t="s">
        <v>1475</v>
      </c>
      <c r="J17" s="103" t="s">
        <v>1474</v>
      </c>
      <c r="K17" s="103" t="s">
        <v>1473</v>
      </c>
      <c r="L17" s="86" t="s">
        <v>1472</v>
      </c>
    </row>
    <row r="18" spans="1:12" x14ac:dyDescent="0.35">
      <c r="C18" s="45">
        <v>3183.4712800000002</v>
      </c>
      <c r="D18" s="44">
        <v>2692.4687400000003</v>
      </c>
      <c r="E18" s="44">
        <v>3429.0623842499999</v>
      </c>
      <c r="F18" s="44">
        <v>2838.7506116</v>
      </c>
      <c r="G18" s="44">
        <v>3755.9311881404592</v>
      </c>
      <c r="H18" s="44">
        <v>3040.8240169871879</v>
      </c>
      <c r="I18" s="44">
        <v>3323.9268636545398</v>
      </c>
      <c r="J18" s="44">
        <v>2699.6322482577566</v>
      </c>
      <c r="K18" s="44">
        <v>3643.971348</v>
      </c>
      <c r="L18" s="43">
        <v>2930.3226395000002</v>
      </c>
    </row>
    <row r="20" spans="1:12" ht="13.9" x14ac:dyDescent="0.4">
      <c r="A20" s="72" t="s">
        <v>1849</v>
      </c>
    </row>
    <row r="21" spans="1:12" ht="13.15" x14ac:dyDescent="0.4">
      <c r="A21" s="41" t="s">
        <v>1848</v>
      </c>
    </row>
    <row r="22" spans="1:12" ht="38.25" x14ac:dyDescent="0.35">
      <c r="B22" s="91"/>
      <c r="C22" s="103" t="s">
        <v>1481</v>
      </c>
      <c r="D22" s="103" t="s">
        <v>1480</v>
      </c>
      <c r="E22" s="103" t="s">
        <v>1479</v>
      </c>
      <c r="F22" s="103" t="s">
        <v>1478</v>
      </c>
      <c r="G22" s="103" t="s">
        <v>1477</v>
      </c>
      <c r="H22" s="103" t="s">
        <v>1476</v>
      </c>
      <c r="I22" s="103" t="s">
        <v>1475</v>
      </c>
      <c r="J22" s="103" t="s">
        <v>1474</v>
      </c>
      <c r="K22" s="103" t="s">
        <v>1473</v>
      </c>
      <c r="L22" s="86" t="s">
        <v>1472</v>
      </c>
    </row>
    <row r="23" spans="1:12" x14ac:dyDescent="0.35">
      <c r="B23" s="110" t="s">
        <v>1471</v>
      </c>
      <c r="C23" s="207">
        <v>36</v>
      </c>
      <c r="D23" s="207">
        <v>23.400000000000002</v>
      </c>
      <c r="E23" s="207">
        <v>22.1</v>
      </c>
      <c r="F23" s="207">
        <v>14.365000000000002</v>
      </c>
      <c r="G23" s="207">
        <v>22.1</v>
      </c>
      <c r="H23" s="207">
        <v>14.365000000000002</v>
      </c>
      <c r="I23" s="207">
        <v>22.1</v>
      </c>
      <c r="J23" s="207">
        <v>14.365000000000002</v>
      </c>
      <c r="K23" s="207">
        <v>22.1</v>
      </c>
      <c r="L23" s="206">
        <v>14.365000000000002</v>
      </c>
    </row>
    <row r="24" spans="1:12" x14ac:dyDescent="0.35">
      <c r="B24" s="110" t="s">
        <v>1465</v>
      </c>
      <c r="C24" s="207"/>
      <c r="D24" s="207"/>
      <c r="E24" s="207">
        <v>89.063084250000017</v>
      </c>
      <c r="F24" s="207">
        <v>75.278271600000011</v>
      </c>
      <c r="G24" s="207">
        <v>635.31488941132079</v>
      </c>
      <c r="H24" s="207">
        <v>495.82055065471695</v>
      </c>
      <c r="I24" s="207">
        <v>912.86001882352946</v>
      </c>
      <c r="J24" s="207">
        <v>735.48752724923088</v>
      </c>
      <c r="K24" s="207">
        <v>105.55624800000001</v>
      </c>
      <c r="L24" s="206">
        <v>94.097839500000006</v>
      </c>
    </row>
    <row r="25" spans="1:12" x14ac:dyDescent="0.35">
      <c r="B25" s="108" t="s">
        <v>1456</v>
      </c>
      <c r="C25" s="205"/>
      <c r="D25" s="205"/>
      <c r="E25" s="205">
        <v>35.712010967304302</v>
      </c>
      <c r="F25" s="205">
        <v>30.184654883865775</v>
      </c>
      <c r="G25" s="205">
        <v>239.56228814045909</v>
      </c>
      <c r="H25" s="205">
        <v>186.96225698718817</v>
      </c>
      <c r="I25" s="205">
        <v>416.03308365454018</v>
      </c>
      <c r="J25" s="205">
        <v>335.19612825775687</v>
      </c>
      <c r="K25" s="205">
        <v>42.325346331619905</v>
      </c>
      <c r="L25" s="204">
        <v>37.730818604832216</v>
      </c>
    </row>
    <row r="27" spans="1:12" ht="13.15" x14ac:dyDescent="0.4">
      <c r="A27" s="41" t="s">
        <v>1847</v>
      </c>
    </row>
    <row r="28" spans="1:12" ht="25.5" x14ac:dyDescent="0.35">
      <c r="A28" s="99"/>
      <c r="B28" s="91"/>
      <c r="C28" s="103" t="s">
        <v>1799</v>
      </c>
      <c r="D28" s="103" t="s">
        <v>1798</v>
      </c>
      <c r="E28" s="103" t="s">
        <v>1797</v>
      </c>
      <c r="F28" s="103" t="s">
        <v>1796</v>
      </c>
      <c r="G28" s="103" t="s">
        <v>1795</v>
      </c>
      <c r="H28" s="103" t="s">
        <v>1794</v>
      </c>
      <c r="I28" s="86" t="s">
        <v>1793</v>
      </c>
    </row>
    <row r="29" spans="1:12" x14ac:dyDescent="0.35">
      <c r="A29" s="99"/>
      <c r="B29" s="110" t="s">
        <v>1481</v>
      </c>
      <c r="C29" s="207">
        <v>8.5</v>
      </c>
      <c r="D29" s="207">
        <v>0</v>
      </c>
      <c r="E29" s="207">
        <v>2</v>
      </c>
      <c r="F29" s="207">
        <v>24.039656900000001</v>
      </c>
      <c r="G29" s="207">
        <v>23</v>
      </c>
      <c r="H29" s="207">
        <v>6</v>
      </c>
      <c r="I29" s="206">
        <v>30</v>
      </c>
    </row>
    <row r="30" spans="1:12" x14ac:dyDescent="0.35">
      <c r="A30" s="99"/>
      <c r="B30" s="110" t="s">
        <v>1846</v>
      </c>
      <c r="C30" s="207">
        <v>8.5</v>
      </c>
      <c r="D30" s="207">
        <v>0</v>
      </c>
      <c r="E30" s="207">
        <v>2</v>
      </c>
      <c r="F30" s="207">
        <v>24.039656900000001</v>
      </c>
      <c r="G30" s="207">
        <v>23</v>
      </c>
      <c r="H30" s="207">
        <v>6</v>
      </c>
      <c r="I30" s="206">
        <v>30</v>
      </c>
    </row>
    <row r="31" spans="1:12" x14ac:dyDescent="0.35">
      <c r="A31" s="99"/>
      <c r="B31" s="110" t="s">
        <v>1845</v>
      </c>
      <c r="C31" s="207">
        <v>8.5</v>
      </c>
      <c r="D31" s="207">
        <v>0</v>
      </c>
      <c r="E31" s="207">
        <v>2</v>
      </c>
      <c r="F31" s="207">
        <v>1.8492043499999999</v>
      </c>
      <c r="G31" s="207">
        <v>23</v>
      </c>
      <c r="H31" s="207">
        <v>6</v>
      </c>
      <c r="I31" s="206">
        <v>30</v>
      </c>
    </row>
    <row r="32" spans="1:12" x14ac:dyDescent="0.35">
      <c r="A32" s="99"/>
      <c r="B32" s="110" t="s">
        <v>294</v>
      </c>
      <c r="C32" s="207">
        <v>8.5</v>
      </c>
      <c r="D32" s="207">
        <v>0</v>
      </c>
      <c r="E32" s="207">
        <v>2</v>
      </c>
      <c r="F32" s="207">
        <v>1.8492043499999999</v>
      </c>
      <c r="G32" s="207">
        <v>23</v>
      </c>
      <c r="H32" s="207">
        <v>6</v>
      </c>
      <c r="I32" s="206">
        <v>30</v>
      </c>
    </row>
    <row r="33" spans="1:12" x14ac:dyDescent="0.35">
      <c r="A33" s="99"/>
      <c r="B33" s="110" t="s">
        <v>1453</v>
      </c>
      <c r="C33" s="207">
        <v>0</v>
      </c>
      <c r="D33" s="207">
        <v>0</v>
      </c>
      <c r="E33" s="207">
        <v>2</v>
      </c>
      <c r="F33" s="207">
        <v>1.8492043499999999</v>
      </c>
      <c r="G33" s="207">
        <v>15.770998518800001</v>
      </c>
      <c r="H33" s="207">
        <v>6</v>
      </c>
      <c r="I33" s="206">
        <v>30</v>
      </c>
    </row>
    <row r="34" spans="1:12" x14ac:dyDescent="0.35">
      <c r="A34" s="99"/>
      <c r="B34" s="108" t="s">
        <v>1844</v>
      </c>
      <c r="C34" s="205">
        <v>0</v>
      </c>
      <c r="D34" s="205">
        <v>0</v>
      </c>
      <c r="E34" s="205">
        <v>2</v>
      </c>
      <c r="F34" s="205">
        <v>1.8492043499999999</v>
      </c>
      <c r="G34" s="205">
        <v>15.770998518800001</v>
      </c>
      <c r="H34" s="205">
        <v>6</v>
      </c>
      <c r="I34" s="204">
        <v>30</v>
      </c>
    </row>
    <row r="36" spans="1:12" ht="13.9" x14ac:dyDescent="0.4">
      <c r="A36" s="72" t="s">
        <v>1843</v>
      </c>
    </row>
    <row r="37" spans="1:12" ht="13.15" x14ac:dyDescent="0.4">
      <c r="A37" s="41" t="s">
        <v>1842</v>
      </c>
    </row>
    <row r="38" spans="1:12" ht="38.25" x14ac:dyDescent="0.35">
      <c r="C38" s="87" t="s">
        <v>1481</v>
      </c>
      <c r="D38" s="103" t="s">
        <v>1480</v>
      </c>
      <c r="E38" s="103" t="s">
        <v>1479</v>
      </c>
      <c r="F38" s="103" t="s">
        <v>1478</v>
      </c>
      <c r="G38" s="103" t="s">
        <v>1477</v>
      </c>
      <c r="H38" s="103" t="s">
        <v>1476</v>
      </c>
      <c r="I38" s="103" t="s">
        <v>1475</v>
      </c>
      <c r="J38" s="103" t="s">
        <v>1474</v>
      </c>
      <c r="K38" s="103" t="s">
        <v>1473</v>
      </c>
      <c r="L38" s="86" t="s">
        <v>1472</v>
      </c>
    </row>
    <row r="39" spans="1:12" x14ac:dyDescent="0.35">
      <c r="C39" s="45">
        <v>3053.9316231000003</v>
      </c>
      <c r="D39" s="44">
        <v>2575.5290831000002</v>
      </c>
      <c r="E39" s="44">
        <v>3246.55009565</v>
      </c>
      <c r="F39" s="44">
        <v>2677.75813565</v>
      </c>
      <c r="G39" s="44">
        <v>3422.91969565</v>
      </c>
      <c r="H39" s="44">
        <v>2768.1475556499995</v>
      </c>
      <c r="I39" s="44">
        <v>2830.1735771311996</v>
      </c>
      <c r="J39" s="44">
        <v>2294.4509171311997</v>
      </c>
      <c r="K39" s="44">
        <v>3460.6948971311999</v>
      </c>
      <c r="L39" s="43">
        <v>2766.2395971312003</v>
      </c>
    </row>
    <row r="41" spans="1:12" ht="13.15" x14ac:dyDescent="0.4">
      <c r="A41" s="41" t="s">
        <v>1841</v>
      </c>
    </row>
    <row r="42" spans="1:12" x14ac:dyDescent="0.35">
      <c r="B42" s="378">
        <v>102</v>
      </c>
      <c r="C42" s="39" t="s">
        <v>1840</v>
      </c>
    </row>
    <row r="43" spans="1:12" x14ac:dyDescent="0.35">
      <c r="B43" s="377">
        <v>66</v>
      </c>
      <c r="C43" s="39" t="s">
        <v>1839</v>
      </c>
    </row>
    <row r="45" spans="1:12" ht="13.15" x14ac:dyDescent="0.4">
      <c r="A45" s="41" t="s">
        <v>1838</v>
      </c>
    </row>
    <row r="46" spans="1:12" x14ac:dyDescent="0.35">
      <c r="B46" s="376">
        <v>2.81</v>
      </c>
      <c r="C46" s="39" t="s">
        <v>1837</v>
      </c>
    </row>
    <row r="48" spans="1:12" ht="13.15" x14ac:dyDescent="0.4">
      <c r="A48" s="41" t="s">
        <v>1836</v>
      </c>
    </row>
    <row r="49" spans="1:12" x14ac:dyDescent="0.35">
      <c r="B49" s="375">
        <v>286.62</v>
      </c>
      <c r="C49" s="217" t="s">
        <v>1835</v>
      </c>
    </row>
    <row r="50" spans="1:12" x14ac:dyDescent="0.35">
      <c r="B50" s="374">
        <v>300</v>
      </c>
      <c r="C50" s="217" t="s">
        <v>1834</v>
      </c>
    </row>
    <row r="51" spans="1:12" x14ac:dyDescent="0.35">
      <c r="B51" s="374">
        <v>185.46</v>
      </c>
      <c r="C51" s="217" t="s">
        <v>1833</v>
      </c>
    </row>
    <row r="52" spans="1:12" x14ac:dyDescent="0.35">
      <c r="B52" s="373">
        <v>196</v>
      </c>
      <c r="C52" s="217" t="s">
        <v>1832</v>
      </c>
    </row>
    <row r="54" spans="1:12" ht="13.15" x14ac:dyDescent="0.4">
      <c r="A54" s="41" t="s">
        <v>1831</v>
      </c>
    </row>
    <row r="55" spans="1:12" ht="38.25" x14ac:dyDescent="0.35">
      <c r="B55" s="91"/>
      <c r="C55" s="103" t="s">
        <v>1481</v>
      </c>
      <c r="D55" s="103" t="s">
        <v>1480</v>
      </c>
      <c r="E55" s="103" t="s">
        <v>1479</v>
      </c>
      <c r="F55" s="103" t="s">
        <v>1478</v>
      </c>
      <c r="G55" s="103" t="s">
        <v>1477</v>
      </c>
      <c r="H55" s="103" t="s">
        <v>1476</v>
      </c>
      <c r="I55" s="103" t="s">
        <v>1475</v>
      </c>
      <c r="J55" s="103" t="s">
        <v>1474</v>
      </c>
      <c r="K55" s="103" t="s">
        <v>1473</v>
      </c>
      <c r="L55" s="86" t="s">
        <v>1472</v>
      </c>
    </row>
    <row r="56" spans="1:12" x14ac:dyDescent="0.35">
      <c r="B56" s="110" t="s">
        <v>1830</v>
      </c>
      <c r="C56" s="132">
        <v>0.24702521828888613</v>
      </c>
      <c r="D56" s="132">
        <v>0.28616405246234844</v>
      </c>
      <c r="E56" s="132">
        <v>0.22517709702642263</v>
      </c>
      <c r="F56" s="132">
        <v>0.2564410164565305</v>
      </c>
      <c r="G56" s="132">
        <v>0.23877089133008633</v>
      </c>
      <c r="H56" s="132">
        <v>0.26576316150674006</v>
      </c>
      <c r="I56" s="132">
        <v>4.7935222516142462E-2</v>
      </c>
      <c r="J56" s="132">
        <v>6.7881497432028093E-2</v>
      </c>
      <c r="K56" s="132">
        <v>8.2821516637481787E-2</v>
      </c>
      <c r="L56" s="136">
        <v>6.7044084031020329E-2</v>
      </c>
    </row>
    <row r="57" spans="1:12" x14ac:dyDescent="0.35">
      <c r="B57" s="110" t="s">
        <v>1829</v>
      </c>
      <c r="C57" s="132">
        <v>5.2533124305426546E-2</v>
      </c>
      <c r="D57" s="132">
        <v>6.1658062956724484E-2</v>
      </c>
      <c r="E57" s="132">
        <v>4.9834695103615718E-2</v>
      </c>
      <c r="F57" s="132">
        <v>5.9976770379984799E-2</v>
      </c>
      <c r="G57" s="132">
        <v>4.7319340535011481E-2</v>
      </c>
      <c r="H57" s="132">
        <v>5.8072722538048682E-2</v>
      </c>
      <c r="I57" s="132">
        <v>5.7296713696569135E-2</v>
      </c>
      <c r="J57" s="132">
        <v>7.0127267292019763E-2</v>
      </c>
      <c r="K57" s="132">
        <v>2.8134729281300164E-2</v>
      </c>
      <c r="L57" s="136">
        <v>3.2245216594726137E-2</v>
      </c>
    </row>
    <row r="58" spans="1:12" x14ac:dyDescent="0.35">
      <c r="B58" s="110" t="s">
        <v>1503</v>
      </c>
      <c r="C58" s="132">
        <v>0.23899999999999999</v>
      </c>
      <c r="D58" s="132">
        <v>0.23</v>
      </c>
      <c r="E58" s="132">
        <v>0.245</v>
      </c>
      <c r="F58" s="132">
        <v>0.245</v>
      </c>
      <c r="G58" s="132">
        <v>0.249</v>
      </c>
      <c r="H58" s="132">
        <v>0.25600000000000001</v>
      </c>
      <c r="I58" s="132">
        <v>0.28899999999999998</v>
      </c>
      <c r="J58" s="132">
        <v>0.312</v>
      </c>
      <c r="K58" s="132">
        <v>0.24996624861462841</v>
      </c>
      <c r="L58" s="136">
        <v>0.2729327261767891</v>
      </c>
    </row>
    <row r="59" spans="1:12" x14ac:dyDescent="0.35">
      <c r="B59" s="110" t="s">
        <v>1501</v>
      </c>
      <c r="C59" s="132">
        <v>0</v>
      </c>
      <c r="D59" s="132">
        <v>0</v>
      </c>
      <c r="E59" s="132">
        <v>2.1262803244209372E-2</v>
      </c>
      <c r="F59" s="132">
        <v>1.5593960298796047E-2</v>
      </c>
      <c r="G59" s="132">
        <v>3.2492613834041215E-2</v>
      </c>
      <c r="H59" s="132">
        <v>2.2454786048045489E-2</v>
      </c>
      <c r="I59" s="132">
        <v>7.1811881166366651E-2</v>
      </c>
      <c r="J59" s="132">
        <v>5.4231753372495271E-2</v>
      </c>
      <c r="K59" s="132">
        <v>4.2202093921950248E-2</v>
      </c>
      <c r="L59" s="136">
        <v>4.4912980256939974E-2</v>
      </c>
    </row>
    <row r="60" spans="1:12" x14ac:dyDescent="0.35">
      <c r="B60" s="110" t="s">
        <v>1500</v>
      </c>
      <c r="C60" s="132">
        <v>0</v>
      </c>
      <c r="D60" s="132">
        <v>0</v>
      </c>
      <c r="E60" s="132">
        <v>2.1262803244209372E-2</v>
      </c>
      <c r="F60" s="132">
        <v>1.5593960298796047E-2</v>
      </c>
      <c r="G60" s="132">
        <v>3.2492613834041215E-2</v>
      </c>
      <c r="H60" s="132">
        <v>2.2454786048045489E-2</v>
      </c>
      <c r="I60" s="132">
        <v>0</v>
      </c>
      <c r="J60" s="132">
        <v>0</v>
      </c>
      <c r="K60" s="132">
        <v>0</v>
      </c>
      <c r="L60" s="136">
        <v>0</v>
      </c>
    </row>
    <row r="61" spans="1:12" x14ac:dyDescent="0.35">
      <c r="B61" s="110" t="s">
        <v>1499</v>
      </c>
      <c r="C61" s="132">
        <v>0</v>
      </c>
      <c r="D61" s="132">
        <v>0</v>
      </c>
      <c r="E61" s="132">
        <v>1.7999999999999999E-2</v>
      </c>
      <c r="F61" s="132">
        <v>1.7999999999999999E-2</v>
      </c>
      <c r="G61" s="132">
        <v>1.7999999999999999E-2</v>
      </c>
      <c r="H61" s="132">
        <v>1.7000000000000001E-2</v>
      </c>
      <c r="I61" s="132">
        <v>5.8999999999999997E-2</v>
      </c>
      <c r="J61" s="132">
        <v>6.6000000000000003E-2</v>
      </c>
      <c r="K61" s="132">
        <v>3.6791569060161761E-2</v>
      </c>
      <c r="L61" s="136">
        <v>3.9154905865024597E-2</v>
      </c>
    </row>
    <row r="62" spans="1:12" x14ac:dyDescent="0.35">
      <c r="B62" s="110" t="s">
        <v>1496</v>
      </c>
      <c r="C62" s="132">
        <v>0</v>
      </c>
      <c r="D62" s="132">
        <v>0</v>
      </c>
      <c r="E62" s="132">
        <v>0</v>
      </c>
      <c r="F62" s="132">
        <v>0</v>
      </c>
      <c r="G62" s="132">
        <v>0</v>
      </c>
      <c r="H62" s="132">
        <v>0</v>
      </c>
      <c r="I62" s="132">
        <v>0</v>
      </c>
      <c r="J62" s="132">
        <v>0</v>
      </c>
      <c r="K62" s="132">
        <v>8.6687792168182745E-2</v>
      </c>
      <c r="L62" s="136">
        <v>7.0854310741291837E-2</v>
      </c>
    </row>
    <row r="63" spans="1:12" ht="25.5" x14ac:dyDescent="0.35">
      <c r="B63" s="84" t="s">
        <v>1828</v>
      </c>
      <c r="C63" s="122">
        <v>0.46144165740568732</v>
      </c>
      <c r="D63" s="122">
        <v>0.42217788458092709</v>
      </c>
      <c r="E63" s="122">
        <v>0.4194626013815429</v>
      </c>
      <c r="F63" s="122">
        <v>0.38939429256589264</v>
      </c>
      <c r="G63" s="122">
        <v>0.38192454046681967</v>
      </c>
      <c r="H63" s="122">
        <v>0.35825454385912014</v>
      </c>
      <c r="I63" s="122">
        <v>0.47495618262092176</v>
      </c>
      <c r="J63" s="122">
        <v>0.42975948190345692</v>
      </c>
      <c r="K63" s="122">
        <v>0.47339605031629484</v>
      </c>
      <c r="L63" s="56">
        <v>0.47285577633420806</v>
      </c>
    </row>
    <row r="65" spans="1:12" ht="13.15" x14ac:dyDescent="0.4">
      <c r="A65" s="41" t="s">
        <v>1827</v>
      </c>
    </row>
    <row r="66" spans="1:12" x14ac:dyDescent="0.35">
      <c r="B66" s="372">
        <v>3</v>
      </c>
    </row>
    <row r="68" spans="1:12" ht="13.15" x14ac:dyDescent="0.4">
      <c r="A68" s="41" t="s">
        <v>1826</v>
      </c>
    </row>
    <row r="69" spans="1:12" ht="38.25" x14ac:dyDescent="0.35">
      <c r="B69" s="371"/>
      <c r="C69" s="370" t="s">
        <v>1481</v>
      </c>
      <c r="D69" s="370" t="s">
        <v>1480</v>
      </c>
      <c r="E69" s="370" t="s">
        <v>1479</v>
      </c>
      <c r="F69" s="370" t="s">
        <v>1478</v>
      </c>
      <c r="G69" s="370" t="s">
        <v>1477</v>
      </c>
      <c r="H69" s="370" t="s">
        <v>1476</v>
      </c>
      <c r="I69" s="370" t="s">
        <v>1475</v>
      </c>
      <c r="J69" s="370" t="s">
        <v>1474</v>
      </c>
      <c r="K69" s="370" t="s">
        <v>1473</v>
      </c>
      <c r="L69" s="369" t="s">
        <v>1472</v>
      </c>
    </row>
    <row r="70" spans="1:12" x14ac:dyDescent="0.35">
      <c r="B70" s="91"/>
      <c r="C70" s="69">
        <v>20</v>
      </c>
      <c r="D70" s="69">
        <v>20</v>
      </c>
      <c r="E70" s="69">
        <v>20</v>
      </c>
      <c r="F70" s="69">
        <v>20</v>
      </c>
      <c r="G70" s="69">
        <v>20</v>
      </c>
      <c r="H70" s="69">
        <v>20</v>
      </c>
      <c r="I70" s="69">
        <v>20</v>
      </c>
      <c r="J70" s="69">
        <v>20</v>
      </c>
      <c r="K70" s="69">
        <v>20</v>
      </c>
      <c r="L70" s="68">
        <v>20</v>
      </c>
    </row>
    <row r="72" spans="1:12" ht="13.9" x14ac:dyDescent="0.4">
      <c r="A72" s="72" t="s">
        <v>1825</v>
      </c>
    </row>
    <row r="73" spans="1:12" ht="13.15" x14ac:dyDescent="0.4">
      <c r="A73" s="41" t="s">
        <v>1824</v>
      </c>
    </row>
    <row r="74" spans="1:12" x14ac:dyDescent="0.35">
      <c r="B74" s="368" t="s">
        <v>293</v>
      </c>
      <c r="C74" s="359">
        <v>1</v>
      </c>
      <c r="D74" s="68" t="s">
        <v>1823</v>
      </c>
    </row>
    <row r="75" spans="1:12" x14ac:dyDescent="0.35">
      <c r="B75" s="110" t="s">
        <v>294</v>
      </c>
      <c r="C75" s="358">
        <v>2</v>
      </c>
      <c r="D75" s="99" t="s">
        <v>1822</v>
      </c>
    </row>
    <row r="76" spans="1:12" x14ac:dyDescent="0.35">
      <c r="B76" s="110" t="s">
        <v>1453</v>
      </c>
      <c r="C76" s="358">
        <v>2</v>
      </c>
      <c r="D76" s="99" t="s">
        <v>1821</v>
      </c>
    </row>
    <row r="77" spans="1:12" x14ac:dyDescent="0.35">
      <c r="B77" s="108" t="s">
        <v>1548</v>
      </c>
      <c r="C77" s="357">
        <v>1</v>
      </c>
      <c r="D77" s="100"/>
    </row>
    <row r="79" spans="1:12" ht="13.15" x14ac:dyDescent="0.4">
      <c r="A79" s="41" t="s">
        <v>1820</v>
      </c>
    </row>
    <row r="80" spans="1:12" x14ac:dyDescent="0.35">
      <c r="B80" s="104"/>
      <c r="C80" s="90" t="s">
        <v>1465</v>
      </c>
      <c r="D80" s="89" t="s">
        <v>1807</v>
      </c>
    </row>
    <row r="81" spans="1:5" x14ac:dyDescent="0.35">
      <c r="B81" s="110" t="s">
        <v>1479</v>
      </c>
      <c r="C81" s="48">
        <v>32.319000000000003</v>
      </c>
      <c r="D81" s="47">
        <v>32.319000000000003</v>
      </c>
    </row>
    <row r="82" spans="1:5" x14ac:dyDescent="0.35">
      <c r="B82" s="110" t="s">
        <v>1478</v>
      </c>
      <c r="C82" s="48">
        <v>27.316800000000004</v>
      </c>
      <c r="D82" s="47">
        <v>27.316800000000004</v>
      </c>
    </row>
    <row r="83" spans="1:5" x14ac:dyDescent="0.35">
      <c r="B83" s="110" t="s">
        <v>1473</v>
      </c>
      <c r="C83" s="48">
        <v>38.304000000000002</v>
      </c>
      <c r="D83" s="47">
        <v>38.304000000000002</v>
      </c>
    </row>
    <row r="84" spans="1:5" x14ac:dyDescent="0.35">
      <c r="B84" s="108" t="s">
        <v>1472</v>
      </c>
      <c r="C84" s="44">
        <v>34.146000000000001</v>
      </c>
      <c r="D84" s="43">
        <v>34.146000000000001</v>
      </c>
    </row>
    <row r="86" spans="1:5" ht="13.15" x14ac:dyDescent="0.4">
      <c r="A86" s="41" t="s">
        <v>1819</v>
      </c>
    </row>
    <row r="87" spans="1:5" x14ac:dyDescent="0.35">
      <c r="B87" s="104"/>
      <c r="C87" s="90" t="s">
        <v>1465</v>
      </c>
      <c r="D87" s="89" t="s">
        <v>1807</v>
      </c>
    </row>
    <row r="88" spans="1:5" x14ac:dyDescent="0.35">
      <c r="B88" s="110" t="s">
        <v>1477</v>
      </c>
      <c r="C88" s="48">
        <v>15.273378000000001</v>
      </c>
      <c r="D88" s="47">
        <v>15.273378000000001</v>
      </c>
    </row>
    <row r="89" spans="1:5" x14ac:dyDescent="0.35">
      <c r="B89" s="110" t="s">
        <v>1476</v>
      </c>
      <c r="C89" s="48">
        <v>11.9198445</v>
      </c>
      <c r="D89" s="47">
        <v>11.9198445</v>
      </c>
    </row>
    <row r="90" spans="1:5" x14ac:dyDescent="0.35">
      <c r="B90" s="110" t="s">
        <v>1475</v>
      </c>
      <c r="C90" s="48">
        <v>26.914588235294119</v>
      </c>
      <c r="D90" s="47">
        <v>26.914588235294119</v>
      </c>
    </row>
    <row r="91" spans="1:5" x14ac:dyDescent="0.35">
      <c r="B91" s="108" t="s">
        <v>1474</v>
      </c>
      <c r="C91" s="44">
        <v>21.684972000000002</v>
      </c>
      <c r="D91" s="43">
        <v>21.684972000000002</v>
      </c>
    </row>
    <row r="93" spans="1:5" ht="13.15" x14ac:dyDescent="0.4">
      <c r="A93" s="41" t="s">
        <v>1818</v>
      </c>
    </row>
    <row r="94" spans="1:5" x14ac:dyDescent="0.35">
      <c r="B94" s="91"/>
      <c r="C94" s="367" t="s">
        <v>1471</v>
      </c>
      <c r="D94" s="367" t="s">
        <v>1465</v>
      </c>
      <c r="E94" s="366" t="s">
        <v>1807</v>
      </c>
    </row>
    <row r="95" spans="1:5" x14ac:dyDescent="0.35">
      <c r="B95" s="110" t="s">
        <v>1551</v>
      </c>
      <c r="C95" s="363">
        <v>2</v>
      </c>
      <c r="D95" s="365"/>
      <c r="E95" s="364"/>
    </row>
    <row r="96" spans="1:5" x14ac:dyDescent="0.35">
      <c r="B96" s="110" t="s">
        <v>293</v>
      </c>
      <c r="C96" s="363">
        <v>2</v>
      </c>
      <c r="D96" s="363">
        <v>0</v>
      </c>
      <c r="E96" s="362">
        <v>0</v>
      </c>
    </row>
    <row r="97" spans="1:10" x14ac:dyDescent="0.35">
      <c r="B97" s="110" t="s">
        <v>294</v>
      </c>
      <c r="C97" s="363">
        <v>2</v>
      </c>
      <c r="D97" s="363">
        <v>0</v>
      </c>
      <c r="E97" s="362">
        <v>0</v>
      </c>
    </row>
    <row r="98" spans="1:10" x14ac:dyDescent="0.35">
      <c r="B98" s="110" t="s">
        <v>1453</v>
      </c>
      <c r="C98" s="363">
        <v>2</v>
      </c>
      <c r="D98" s="363">
        <v>0</v>
      </c>
      <c r="E98" s="362">
        <v>0</v>
      </c>
    </row>
    <row r="99" spans="1:10" x14ac:dyDescent="0.35">
      <c r="B99" s="108" t="s">
        <v>1548</v>
      </c>
      <c r="C99" s="361">
        <v>2</v>
      </c>
      <c r="D99" s="361">
        <v>0</v>
      </c>
      <c r="E99" s="360">
        <v>0</v>
      </c>
    </row>
    <row r="101" spans="1:10" ht="13.15" x14ac:dyDescent="0.4">
      <c r="A101" s="41" t="s">
        <v>1817</v>
      </c>
    </row>
    <row r="102" spans="1:10" x14ac:dyDescent="0.35">
      <c r="B102" s="39" t="s">
        <v>293</v>
      </c>
      <c r="C102" s="359">
        <v>2</v>
      </c>
      <c r="D102" s="39" t="s">
        <v>1814</v>
      </c>
      <c r="H102" s="39" t="s">
        <v>1816</v>
      </c>
    </row>
    <row r="103" spans="1:10" x14ac:dyDescent="0.35">
      <c r="B103" s="39" t="s">
        <v>294</v>
      </c>
      <c r="C103" s="358">
        <v>2</v>
      </c>
      <c r="D103" s="39" t="s">
        <v>1814</v>
      </c>
    </row>
    <row r="104" spans="1:10" x14ac:dyDescent="0.35">
      <c r="B104" s="39" t="s">
        <v>1453</v>
      </c>
      <c r="C104" s="358">
        <v>2</v>
      </c>
      <c r="D104" s="39" t="s">
        <v>1815</v>
      </c>
    </row>
    <row r="105" spans="1:10" x14ac:dyDescent="0.35">
      <c r="B105" s="39" t="s">
        <v>1548</v>
      </c>
      <c r="C105" s="357">
        <v>2</v>
      </c>
      <c r="D105" s="39" t="s">
        <v>1814</v>
      </c>
    </row>
    <row r="107" spans="1:10" ht="13.15" x14ac:dyDescent="0.4">
      <c r="A107" s="41" t="s">
        <v>1813</v>
      </c>
    </row>
    <row r="108" spans="1:10" x14ac:dyDescent="0.35">
      <c r="B108" s="61"/>
      <c r="C108" s="2189" t="s">
        <v>1465</v>
      </c>
      <c r="D108" s="2190"/>
      <c r="E108" s="2189" t="s">
        <v>1807</v>
      </c>
      <c r="F108" s="2190"/>
      <c r="H108" s="39" t="s">
        <v>1812</v>
      </c>
    </row>
    <row r="109" spans="1:10" x14ac:dyDescent="0.35">
      <c r="B109" s="57"/>
      <c r="C109" s="108" t="s">
        <v>1811</v>
      </c>
      <c r="D109" s="212" t="s">
        <v>1810</v>
      </c>
      <c r="E109" s="213" t="s">
        <v>1811</v>
      </c>
      <c r="F109" s="212" t="s">
        <v>1810</v>
      </c>
      <c r="H109" s="91" t="s">
        <v>299</v>
      </c>
      <c r="I109" s="69" t="s">
        <v>300</v>
      </c>
      <c r="J109" s="68" t="s">
        <v>1452</v>
      </c>
    </row>
    <row r="110" spans="1:10" x14ac:dyDescent="0.35">
      <c r="B110" s="110" t="s">
        <v>293</v>
      </c>
      <c r="C110" s="353">
        <v>800</v>
      </c>
      <c r="D110" s="47">
        <v>362.87761952281591</v>
      </c>
      <c r="E110" s="353">
        <v>1995.1401634938038</v>
      </c>
      <c r="F110" s="47">
        <v>904.98964142874161</v>
      </c>
      <c r="H110" s="356">
        <v>2279.4629578141803</v>
      </c>
      <c r="I110" s="355">
        <v>1995.1401634938038</v>
      </c>
      <c r="J110" s="354">
        <v>1279.5478773501993</v>
      </c>
    </row>
    <row r="111" spans="1:10" x14ac:dyDescent="0.35">
      <c r="B111" s="108" t="s">
        <v>1548</v>
      </c>
      <c r="C111" s="351">
        <v>800</v>
      </c>
      <c r="D111" s="43">
        <v>362.87761952281591</v>
      </c>
      <c r="E111" s="351">
        <v>1995.1401634938038</v>
      </c>
      <c r="F111" s="43">
        <v>904.98964142874161</v>
      </c>
      <c r="H111" s="48"/>
      <c r="I111" s="48"/>
      <c r="J111" s="48"/>
    </row>
    <row r="113" spans="1:21" ht="13.15" x14ac:dyDescent="0.4">
      <c r="A113" s="41" t="s">
        <v>1809</v>
      </c>
      <c r="H113" s="39" t="s">
        <v>1808</v>
      </c>
    </row>
    <row r="114" spans="1:21" x14ac:dyDescent="0.35">
      <c r="B114" s="61"/>
      <c r="C114" s="2189" t="s">
        <v>1465</v>
      </c>
      <c r="D114" s="2190"/>
      <c r="E114" s="2189" t="s">
        <v>1807</v>
      </c>
      <c r="F114" s="2190"/>
      <c r="H114" s="61" t="s">
        <v>1806</v>
      </c>
      <c r="I114" s="101"/>
      <c r="J114" s="101"/>
      <c r="K114" s="61" t="s">
        <v>1805</v>
      </c>
      <c r="L114" s="101"/>
      <c r="M114" s="60"/>
      <c r="N114" s="101" t="s">
        <v>1453</v>
      </c>
      <c r="O114" s="101"/>
      <c r="P114" s="101"/>
      <c r="Q114" s="101"/>
      <c r="R114" s="101"/>
      <c r="S114" s="101"/>
      <c r="T114" s="101"/>
      <c r="U114" s="60"/>
    </row>
    <row r="115" spans="1:21" x14ac:dyDescent="0.35">
      <c r="B115" s="57"/>
      <c r="C115" s="108" t="s">
        <v>1804</v>
      </c>
      <c r="D115" s="212" t="s">
        <v>1803</v>
      </c>
      <c r="E115" s="213" t="s">
        <v>1804</v>
      </c>
      <c r="F115" s="212" t="s">
        <v>1803</v>
      </c>
      <c r="H115" s="91" t="s">
        <v>299</v>
      </c>
      <c r="I115" s="69" t="s">
        <v>300</v>
      </c>
      <c r="J115" s="69" t="s">
        <v>1452</v>
      </c>
      <c r="K115" s="91" t="s">
        <v>299</v>
      </c>
      <c r="L115" s="69" t="s">
        <v>300</v>
      </c>
      <c r="M115" s="68" t="s">
        <v>1452</v>
      </c>
      <c r="N115" s="69" t="s">
        <v>299</v>
      </c>
      <c r="O115" s="69" t="s">
        <v>300</v>
      </c>
      <c r="P115" s="69" t="s">
        <v>1452</v>
      </c>
      <c r="Q115" s="69" t="s">
        <v>303</v>
      </c>
      <c r="R115" s="69" t="s">
        <v>304</v>
      </c>
      <c r="S115" s="69" t="s">
        <v>305</v>
      </c>
      <c r="T115" s="69" t="s">
        <v>306</v>
      </c>
      <c r="U115" s="68" t="s">
        <v>307</v>
      </c>
    </row>
    <row r="116" spans="1:21" x14ac:dyDescent="0.35">
      <c r="B116" s="110" t="s">
        <v>294</v>
      </c>
      <c r="C116" s="353">
        <v>53</v>
      </c>
      <c r="D116" s="47">
        <v>24.040642293386554</v>
      </c>
      <c r="E116" s="353">
        <v>140.55504896103585</v>
      </c>
      <c r="F116" s="47">
        <v>63.755351973616911</v>
      </c>
      <c r="H116" s="352">
        <v>95.413135086213174</v>
      </c>
      <c r="I116" s="209">
        <v>113.1535065579547</v>
      </c>
      <c r="J116" s="209">
        <v>88.918120149836966</v>
      </c>
      <c r="K116" s="352">
        <v>116.58818073335337</v>
      </c>
      <c r="L116" s="209">
        <v>140.55504896103585</v>
      </c>
      <c r="M116" s="208">
        <v>111.47707343204202</v>
      </c>
      <c r="N116" s="209">
        <v>121.23932196229183</v>
      </c>
      <c r="O116" s="209">
        <v>142.62303541417381</v>
      </c>
      <c r="P116" s="209">
        <v>115.91337982671381</v>
      </c>
      <c r="Q116" s="209">
        <v>155.04780647427464</v>
      </c>
      <c r="R116" s="209">
        <v>149.22041422599696</v>
      </c>
      <c r="S116" s="209">
        <v>175</v>
      </c>
      <c r="T116" s="209">
        <v>200</v>
      </c>
      <c r="U116" s="208">
        <v>158.57163037285159</v>
      </c>
    </row>
    <row r="117" spans="1:21" x14ac:dyDescent="0.35">
      <c r="B117" s="108" t="s">
        <v>1453</v>
      </c>
      <c r="C117" s="351">
        <v>65</v>
      </c>
      <c r="D117" s="43">
        <v>29.483806586228791</v>
      </c>
      <c r="E117" s="350">
        <v>142.62303541417381</v>
      </c>
      <c r="F117" s="43">
        <v>64.693384475267081</v>
      </c>
    </row>
    <row r="119" spans="1:21" ht="13.9" x14ac:dyDescent="0.4">
      <c r="A119" s="72" t="s">
        <v>1802</v>
      </c>
    </row>
    <row r="120" spans="1:21" ht="13.15" x14ac:dyDescent="0.4">
      <c r="A120" s="41" t="s">
        <v>1801</v>
      </c>
    </row>
    <row r="121" spans="1:21" ht="25.5" x14ac:dyDescent="0.35">
      <c r="B121" s="87" t="s">
        <v>1799</v>
      </c>
      <c r="C121" s="103" t="s">
        <v>1798</v>
      </c>
      <c r="D121" s="103" t="s">
        <v>1797</v>
      </c>
      <c r="E121" s="103" t="s">
        <v>1796</v>
      </c>
      <c r="F121" s="103" t="s">
        <v>1795</v>
      </c>
      <c r="G121" s="103" t="s">
        <v>1794</v>
      </c>
      <c r="H121" s="86" t="s">
        <v>1793</v>
      </c>
    </row>
    <row r="122" spans="1:21" x14ac:dyDescent="0.35">
      <c r="B122" s="349">
        <v>39</v>
      </c>
      <c r="C122" s="348">
        <v>0</v>
      </c>
      <c r="D122" s="348">
        <v>3</v>
      </c>
      <c r="E122" s="348">
        <v>1</v>
      </c>
      <c r="F122" s="348">
        <v>3</v>
      </c>
      <c r="G122" s="348">
        <v>19</v>
      </c>
      <c r="H122" s="347">
        <v>0</v>
      </c>
    </row>
    <row r="124" spans="1:21" ht="13.15" x14ac:dyDescent="0.4">
      <c r="A124" s="41" t="s">
        <v>1800</v>
      </c>
    </row>
    <row r="125" spans="1:21" ht="25.5" x14ac:dyDescent="0.35">
      <c r="B125" s="87" t="s">
        <v>1799</v>
      </c>
      <c r="C125" s="103" t="s">
        <v>1798</v>
      </c>
      <c r="D125" s="103" t="s">
        <v>1797</v>
      </c>
      <c r="E125" s="103" t="s">
        <v>1796</v>
      </c>
      <c r="F125" s="103" t="s">
        <v>1795</v>
      </c>
      <c r="G125" s="103" t="s">
        <v>1794</v>
      </c>
      <c r="H125" s="86" t="s">
        <v>1793</v>
      </c>
    </row>
    <row r="126" spans="1:21" x14ac:dyDescent="0.35">
      <c r="B126" s="135">
        <v>0.66666666666666663</v>
      </c>
      <c r="C126" s="346">
        <v>0.66666666666666663</v>
      </c>
      <c r="D126" s="346">
        <v>0.66666666666666663</v>
      </c>
      <c r="E126" s="346">
        <v>0.66666666666666663</v>
      </c>
      <c r="F126" s="346">
        <v>0.66666666666666663</v>
      </c>
      <c r="G126" s="346">
        <v>0</v>
      </c>
      <c r="H126" s="345">
        <v>0.66666666666666663</v>
      </c>
    </row>
    <row r="128" spans="1:21" ht="13.9" x14ac:dyDescent="0.4">
      <c r="A128" s="72" t="s">
        <v>1792</v>
      </c>
    </row>
    <row r="129" spans="1:3" ht="13.15" x14ac:dyDescent="0.4">
      <c r="A129" s="41" t="s">
        <v>1791</v>
      </c>
    </row>
    <row r="130" spans="1:3" x14ac:dyDescent="0.35">
      <c r="B130" s="343">
        <v>2.2999999999999998</v>
      </c>
      <c r="C130" s="39" t="s">
        <v>1790</v>
      </c>
    </row>
    <row r="131" spans="1:3" x14ac:dyDescent="0.35">
      <c r="B131" s="342">
        <v>2.2999999999999998</v>
      </c>
      <c r="C131" s="39" t="s">
        <v>1789</v>
      </c>
    </row>
    <row r="132" spans="1:3" x14ac:dyDescent="0.35">
      <c r="B132" s="344">
        <v>0.161</v>
      </c>
      <c r="C132" s="230" t="s">
        <v>1788</v>
      </c>
    </row>
    <row r="134" spans="1:3" ht="13.15" x14ac:dyDescent="0.4">
      <c r="A134" s="41" t="s">
        <v>1787</v>
      </c>
    </row>
    <row r="135" spans="1:3" x14ac:dyDescent="0.35">
      <c r="B135" s="343">
        <v>0.28699999999999998</v>
      </c>
      <c r="C135" s="39" t="s">
        <v>1786</v>
      </c>
    </row>
    <row r="136" spans="1:3" x14ac:dyDescent="0.35">
      <c r="B136" s="342">
        <v>2.7589999999999999</v>
      </c>
      <c r="C136" s="39" t="s">
        <v>1785</v>
      </c>
    </row>
    <row r="137" spans="1:3" x14ac:dyDescent="0.35">
      <c r="B137" s="342">
        <v>0.99</v>
      </c>
      <c r="C137" s="39" t="s">
        <v>1784</v>
      </c>
    </row>
    <row r="138" spans="1:3" x14ac:dyDescent="0.35">
      <c r="B138" s="342">
        <v>2.9820000000000002</v>
      </c>
      <c r="C138" s="39" t="s">
        <v>1783</v>
      </c>
    </row>
    <row r="139" spans="1:3" x14ac:dyDescent="0.35">
      <c r="B139" s="342">
        <v>0.20499999999999999</v>
      </c>
      <c r="C139" s="39" t="s">
        <v>1782</v>
      </c>
    </row>
    <row r="140" spans="1:3" x14ac:dyDescent="0.35">
      <c r="B140" s="342">
        <v>0.27300000000000002</v>
      </c>
      <c r="C140" s="39" t="s">
        <v>1781</v>
      </c>
    </row>
    <row r="141" spans="1:3" x14ac:dyDescent="0.35">
      <c r="B141" s="342">
        <v>0.40899999999999997</v>
      </c>
      <c r="C141" s="39" t="s">
        <v>1780</v>
      </c>
    </row>
    <row r="142" spans="1:3" x14ac:dyDescent="0.35">
      <c r="B142" s="341">
        <v>1.4962315016000001</v>
      </c>
      <c r="C142" s="39" t="s">
        <v>1779</v>
      </c>
    </row>
    <row r="144" spans="1:3" ht="13.9" x14ac:dyDescent="0.4">
      <c r="A144" s="72" t="s">
        <v>1778</v>
      </c>
    </row>
    <row r="145" spans="1:11" ht="38.25" x14ac:dyDescent="0.35">
      <c r="B145" s="87" t="s">
        <v>1481</v>
      </c>
      <c r="C145" s="103" t="s">
        <v>1480</v>
      </c>
      <c r="D145" s="103" t="s">
        <v>1479</v>
      </c>
      <c r="E145" s="103" t="s">
        <v>1478</v>
      </c>
      <c r="F145" s="103" t="s">
        <v>1477</v>
      </c>
      <c r="G145" s="103" t="s">
        <v>1476</v>
      </c>
      <c r="H145" s="103" t="s">
        <v>1475</v>
      </c>
      <c r="I145" s="103" t="s">
        <v>1474</v>
      </c>
      <c r="J145" s="103" t="s">
        <v>1473</v>
      </c>
      <c r="K145" s="86" t="s">
        <v>1472</v>
      </c>
    </row>
    <row r="146" spans="1:11" x14ac:dyDescent="0.35">
      <c r="B146" s="45">
        <v>173151</v>
      </c>
      <c r="C146" s="44">
        <v>173151</v>
      </c>
      <c r="D146" s="44">
        <v>173151</v>
      </c>
      <c r="E146" s="44">
        <v>173151</v>
      </c>
      <c r="F146" s="44">
        <v>173151</v>
      </c>
      <c r="G146" s="44">
        <v>173151</v>
      </c>
      <c r="H146" s="44">
        <v>121205.7</v>
      </c>
      <c r="I146" s="44">
        <v>121205.7</v>
      </c>
      <c r="J146" s="44">
        <v>173151</v>
      </c>
      <c r="K146" s="43">
        <v>173151</v>
      </c>
    </row>
    <row r="148" spans="1:11" ht="13.9" x14ac:dyDescent="0.4">
      <c r="A148" s="72" t="s">
        <v>1777</v>
      </c>
    </row>
    <row r="149" spans="1:11" ht="42" customHeight="1" x14ac:dyDescent="0.35">
      <c r="B149" s="243" t="s">
        <v>1481</v>
      </c>
      <c r="C149" s="134" t="s">
        <v>1479</v>
      </c>
      <c r="D149" s="134" t="s">
        <v>1477</v>
      </c>
      <c r="E149" s="134" t="s">
        <v>1475</v>
      </c>
      <c r="F149" s="133" t="s">
        <v>1473</v>
      </c>
    </row>
    <row r="150" spans="1:11" x14ac:dyDescent="0.35">
      <c r="B150" s="340">
        <v>1</v>
      </c>
      <c r="C150" s="339">
        <v>0.98794175528088135</v>
      </c>
      <c r="D150" s="339">
        <v>1.0497854388413406</v>
      </c>
      <c r="E150" s="339">
        <v>1.0171662102360159</v>
      </c>
      <c r="F150" s="338">
        <v>0.98944259220382091</v>
      </c>
    </row>
    <row r="152" spans="1:11" ht="13.9" x14ac:dyDescent="0.4">
      <c r="A152" s="72" t="s">
        <v>1776</v>
      </c>
    </row>
    <row r="153" spans="1:11" ht="42" customHeight="1" x14ac:dyDescent="0.35">
      <c r="B153" s="87" t="s">
        <v>1480</v>
      </c>
      <c r="C153" s="103" t="s">
        <v>1478</v>
      </c>
      <c r="D153" s="103" t="s">
        <v>1476</v>
      </c>
      <c r="E153" s="103" t="s">
        <v>1474</v>
      </c>
      <c r="F153" s="86" t="s">
        <v>1472</v>
      </c>
    </row>
    <row r="154" spans="1:11" x14ac:dyDescent="0.35">
      <c r="B154" s="337">
        <v>1.1265243641417177</v>
      </c>
      <c r="C154" s="336">
        <v>1.1371333537462518</v>
      </c>
      <c r="D154" s="336">
        <v>1.110246963060139</v>
      </c>
      <c r="E154" s="336">
        <v>1.1286368850787556</v>
      </c>
      <c r="F154" s="323">
        <v>1.1423171027524346</v>
      </c>
      <c r="G154" s="335"/>
    </row>
    <row r="155" spans="1:11" ht="14.25" x14ac:dyDescent="0.45">
      <c r="G155" s="334"/>
    </row>
  </sheetData>
  <mergeCells count="4">
    <mergeCell ref="C108:D108"/>
    <mergeCell ref="E108:F108"/>
    <mergeCell ref="C114:D114"/>
    <mergeCell ref="E114:F114"/>
  </mergeCells>
  <dataValidations count="4">
    <dataValidation type="list" allowBlank="1" showInputMessage="1" showErrorMessage="1" sqref="C74:C77 B14 B8 B11" xr:uid="{00000000-0002-0000-2900-000000000000}">
      <formula1>"1,2"</formula1>
    </dataValidation>
    <dataValidation type="list" allowBlank="1" showInputMessage="1" showErrorMessage="1" sqref="B3" xr:uid="{00000000-0002-0000-2900-000001000000}">
      <formula1>"1,2,3"</formula1>
    </dataValidation>
    <dataValidation type="list" allowBlank="1" showInputMessage="1" showErrorMessage="1" sqref="C104" xr:uid="{00000000-0002-0000-2900-000002000000}">
      <formula1>"1,2,3,4,5,6,7,8,9"</formula1>
    </dataValidation>
    <dataValidation type="list" allowBlank="1" showInputMessage="1" showErrorMessage="1" sqref="C102:C103 C105" xr:uid="{00000000-0002-0000-2900-000003000000}">
      <formula1>"1,2,3,4"</formula1>
    </dataValidation>
  </dataValidations>
  <pageMargins left="0.75" right="0.75" top="1" bottom="1" header="0.5" footer="0.5"/>
  <pageSetup orientation="landscape"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84"/>
  <sheetViews>
    <sheetView showGridLines="0" zoomScale="85" zoomScaleNormal="85" workbookViewId="0">
      <selection activeCell="D9" sqref="D9:E9"/>
    </sheetView>
  </sheetViews>
  <sheetFormatPr defaultColWidth="9.1328125" defaultRowHeight="12.75" x14ac:dyDescent="0.35"/>
  <cols>
    <col min="1" max="1" width="35" style="39" customWidth="1"/>
    <col min="2" max="2" width="11.19921875" style="39" bestFit="1" customWidth="1"/>
    <col min="3" max="3" width="9.19921875" style="39" bestFit="1" customWidth="1"/>
    <col min="4" max="4" width="11.19921875" style="39" bestFit="1" customWidth="1"/>
    <col min="5" max="5" width="9.19921875" style="39" bestFit="1" customWidth="1"/>
    <col min="6" max="6" width="11.46484375" style="39" customWidth="1"/>
    <col min="7" max="16384" width="9.1328125" style="39"/>
  </cols>
  <sheetData>
    <row r="1" spans="1:7" ht="15" x14ac:dyDescent="0.4">
      <c r="A1" s="140" t="s">
        <v>2152</v>
      </c>
      <c r="G1" s="230" t="s">
        <v>1561</v>
      </c>
    </row>
    <row r="2" spans="1:7" ht="13.15" x14ac:dyDescent="0.4">
      <c r="A2" s="561"/>
    </row>
    <row r="3" spans="1:7" ht="13.9" x14ac:dyDescent="0.4">
      <c r="A3" s="72" t="s">
        <v>2151</v>
      </c>
    </row>
    <row r="4" spans="1:7" x14ac:dyDescent="0.35">
      <c r="A4" s="61" t="s">
        <v>1717</v>
      </c>
      <c r="B4" s="417">
        <v>1</v>
      </c>
    </row>
    <row r="5" spans="1:7" x14ac:dyDescent="0.35">
      <c r="A5" s="59" t="s">
        <v>1909</v>
      </c>
      <c r="B5" s="196">
        <v>1</v>
      </c>
    </row>
    <row r="6" spans="1:7" x14ac:dyDescent="0.35">
      <c r="A6" s="57" t="s">
        <v>1703</v>
      </c>
      <c r="B6" s="193">
        <v>1</v>
      </c>
    </row>
    <row r="8" spans="1:7" ht="13.9" x14ac:dyDescent="0.4">
      <c r="A8" s="72" t="s">
        <v>2150</v>
      </c>
    </row>
    <row r="9" spans="1:7" ht="36.75" customHeight="1" x14ac:dyDescent="0.4">
      <c r="A9" s="131"/>
      <c r="B9" s="2191" t="s">
        <v>2144</v>
      </c>
      <c r="C9" s="2192"/>
      <c r="D9" s="2202" t="s">
        <v>2143</v>
      </c>
      <c r="E9" s="2202"/>
      <c r="F9" s="2203" t="s">
        <v>2149</v>
      </c>
      <c r="G9" s="2204"/>
    </row>
    <row r="10" spans="1:7" ht="77.25" customHeight="1" x14ac:dyDescent="0.4">
      <c r="A10" s="128"/>
      <c r="B10" s="416" t="s">
        <v>1674</v>
      </c>
      <c r="C10" s="415" t="s">
        <v>1673</v>
      </c>
      <c r="D10" s="478" t="s">
        <v>1674</v>
      </c>
      <c r="E10" s="478" t="s">
        <v>1673</v>
      </c>
      <c r="F10" s="416" t="s">
        <v>1674</v>
      </c>
      <c r="G10" s="415" t="s">
        <v>1673</v>
      </c>
    </row>
    <row r="11" spans="1:7" ht="26.25" x14ac:dyDescent="0.4">
      <c r="A11" s="414" t="s">
        <v>1940</v>
      </c>
      <c r="B11" s="277">
        <v>2.2999999999999998</v>
      </c>
      <c r="C11" s="99"/>
      <c r="D11" s="120">
        <v>2.2999999999999998</v>
      </c>
      <c r="F11" s="277">
        <v>0.161</v>
      </c>
      <c r="G11" s="99"/>
    </row>
    <row r="12" spans="1:7" ht="13.15" x14ac:dyDescent="0.4">
      <c r="A12" s="128" t="s">
        <v>1671</v>
      </c>
      <c r="B12" s="413">
        <v>0</v>
      </c>
      <c r="C12" s="99"/>
      <c r="D12" s="197">
        <v>0</v>
      </c>
      <c r="F12" s="413">
        <v>0</v>
      </c>
      <c r="G12" s="99"/>
    </row>
    <row r="13" spans="1:7" ht="13.15" x14ac:dyDescent="0.4">
      <c r="A13" s="131" t="s">
        <v>1670</v>
      </c>
      <c r="B13" s="61"/>
      <c r="C13" s="60"/>
      <c r="D13" s="101"/>
      <c r="E13" s="101"/>
      <c r="F13" s="61"/>
      <c r="G13" s="60"/>
    </row>
    <row r="14" spans="1:7" x14ac:dyDescent="0.35">
      <c r="A14" s="59" t="s">
        <v>1668</v>
      </c>
      <c r="B14" s="413">
        <v>0</v>
      </c>
      <c r="C14" s="196"/>
      <c r="D14" s="197">
        <v>0</v>
      </c>
      <c r="E14" s="197"/>
      <c r="F14" s="413">
        <v>0</v>
      </c>
      <c r="G14" s="99"/>
    </row>
    <row r="15" spans="1:7" x14ac:dyDescent="0.35">
      <c r="A15" s="59" t="s">
        <v>1667</v>
      </c>
      <c r="B15" s="413">
        <v>0</v>
      </c>
      <c r="C15" s="99"/>
      <c r="D15" s="197">
        <v>0</v>
      </c>
      <c r="E15" s="197"/>
      <c r="F15" s="413">
        <v>0</v>
      </c>
      <c r="G15" s="99"/>
    </row>
    <row r="16" spans="1:7" x14ac:dyDescent="0.35">
      <c r="A16" s="59" t="s">
        <v>1534</v>
      </c>
      <c r="B16" s="413">
        <v>0.62</v>
      </c>
      <c r="C16" s="196"/>
      <c r="D16" s="197">
        <v>0.62</v>
      </c>
      <c r="E16" s="197"/>
      <c r="F16" s="413">
        <v>0.82399999999999995</v>
      </c>
      <c r="G16" s="99"/>
    </row>
    <row r="17" spans="1:7" x14ac:dyDescent="0.35">
      <c r="A17" s="59" t="s">
        <v>1535</v>
      </c>
      <c r="B17" s="413">
        <v>0</v>
      </c>
      <c r="C17" s="196"/>
      <c r="D17" s="197">
        <v>0</v>
      </c>
      <c r="E17" s="197"/>
      <c r="F17" s="413">
        <v>0</v>
      </c>
      <c r="G17" s="99"/>
    </row>
    <row r="18" spans="1:7" x14ac:dyDescent="0.35">
      <c r="A18" s="57" t="s">
        <v>1664</v>
      </c>
      <c r="B18" s="412">
        <v>0.38</v>
      </c>
      <c r="C18" s="193"/>
      <c r="D18" s="194">
        <v>0.38</v>
      </c>
      <c r="E18" s="194"/>
      <c r="F18" s="412">
        <v>0.17600000000000005</v>
      </c>
      <c r="G18" s="100"/>
    </row>
    <row r="19" spans="1:7" ht="13.15" x14ac:dyDescent="0.4">
      <c r="A19" s="128" t="s">
        <v>2148</v>
      </c>
      <c r="B19" s="59"/>
      <c r="C19" s="99"/>
      <c r="F19" s="59" t="s">
        <v>2141</v>
      </c>
      <c r="G19" s="99"/>
    </row>
    <row r="20" spans="1:7" s="145" customFormat="1" x14ac:dyDescent="0.35">
      <c r="A20" s="232" t="s">
        <v>1668</v>
      </c>
      <c r="B20" s="411">
        <v>0</v>
      </c>
      <c r="C20" s="144"/>
      <c r="D20" s="148">
        <v>0</v>
      </c>
      <c r="F20" s="411">
        <v>0</v>
      </c>
      <c r="G20" s="144"/>
    </row>
    <row r="21" spans="1:7" s="145" customFormat="1" x14ac:dyDescent="0.35">
      <c r="A21" s="232" t="s">
        <v>1667</v>
      </c>
      <c r="B21" s="411">
        <v>0</v>
      </c>
      <c r="C21" s="144"/>
      <c r="D21" s="148">
        <v>0</v>
      </c>
      <c r="F21" s="411">
        <v>0</v>
      </c>
      <c r="G21" s="144"/>
    </row>
    <row r="22" spans="1:7" s="145" customFormat="1" x14ac:dyDescent="0.35">
      <c r="A22" s="232" t="s">
        <v>1534</v>
      </c>
      <c r="B22" s="411">
        <v>1.4259999999999999</v>
      </c>
      <c r="C22" s="144"/>
      <c r="D22" s="148">
        <v>1.4259999999999999</v>
      </c>
      <c r="F22" s="411">
        <v>0.132664</v>
      </c>
      <c r="G22" s="144"/>
    </row>
    <row r="23" spans="1:7" s="145" customFormat="1" x14ac:dyDescent="0.35">
      <c r="A23" s="232" t="s">
        <v>1535</v>
      </c>
      <c r="B23" s="411">
        <v>0</v>
      </c>
      <c r="C23" s="144"/>
      <c r="D23" s="148">
        <v>0</v>
      </c>
      <c r="F23" s="411">
        <v>0</v>
      </c>
      <c r="G23" s="144"/>
    </row>
    <row r="24" spans="1:7" s="145" customFormat="1" x14ac:dyDescent="0.35">
      <c r="A24" s="232" t="s">
        <v>1664</v>
      </c>
      <c r="B24" s="411">
        <v>0.87399999999999989</v>
      </c>
      <c r="C24" s="144"/>
      <c r="D24" s="148">
        <v>0.87399999999999989</v>
      </c>
      <c r="F24" s="411">
        <v>2.8336000000000007E-2</v>
      </c>
      <c r="G24" s="144"/>
    </row>
    <row r="25" spans="1:7" s="145" customFormat="1" x14ac:dyDescent="0.35">
      <c r="A25" s="237" t="s">
        <v>1537</v>
      </c>
      <c r="B25" s="237">
        <v>3.382998134890669</v>
      </c>
      <c r="C25" s="156"/>
      <c r="D25" s="157">
        <v>3.382998134890669</v>
      </c>
      <c r="E25" s="157"/>
      <c r="F25" s="237">
        <v>0.20493620938651846</v>
      </c>
      <c r="G25" s="156"/>
    </row>
    <row r="26" spans="1:7" s="145" customFormat="1" x14ac:dyDescent="0.35">
      <c r="A26" s="232" t="s">
        <v>1536</v>
      </c>
      <c r="B26" s="232">
        <v>3.0345594462287089</v>
      </c>
      <c r="C26" s="144"/>
      <c r="D26" s="145">
        <v>3.0345594462287089</v>
      </c>
      <c r="F26" s="232">
        <v>0.19357842852174789</v>
      </c>
      <c r="G26" s="144"/>
    </row>
    <row r="27" spans="1:7" s="145" customFormat="1" x14ac:dyDescent="0.35">
      <c r="A27" s="232" t="s">
        <v>1535</v>
      </c>
      <c r="B27" s="232">
        <v>0.84137254790919913</v>
      </c>
      <c r="C27" s="144"/>
      <c r="D27" s="145">
        <v>0.84137254790919913</v>
      </c>
      <c r="F27" s="232">
        <v>2.7425436727162609E-2</v>
      </c>
      <c r="G27" s="144"/>
    </row>
    <row r="28" spans="1:7" s="145" customFormat="1" x14ac:dyDescent="0.35">
      <c r="A28" s="232" t="s">
        <v>1534</v>
      </c>
      <c r="B28" s="232">
        <v>2.1588907908448927</v>
      </c>
      <c r="C28" s="144"/>
      <c r="D28" s="145">
        <v>2.1588907908448927</v>
      </c>
      <c r="F28" s="232">
        <v>0.16469026750873944</v>
      </c>
      <c r="G28" s="144"/>
    </row>
    <row r="29" spans="1:7" s="145" customFormat="1" x14ac:dyDescent="0.35">
      <c r="A29" s="232" t="s">
        <v>1533</v>
      </c>
      <c r="B29" s="232">
        <v>3.4296107474617234E-2</v>
      </c>
      <c r="C29" s="144"/>
      <c r="D29" s="145">
        <v>3.4296107474617234E-2</v>
      </c>
      <c r="F29" s="232">
        <v>1.4627242858458525E-3</v>
      </c>
      <c r="G29" s="144"/>
    </row>
    <row r="30" spans="1:7" s="48" customFormat="1" x14ac:dyDescent="0.35">
      <c r="A30" s="59" t="s">
        <v>1532</v>
      </c>
      <c r="B30" s="49">
        <v>178.83073367560871</v>
      </c>
      <c r="C30" s="43"/>
      <c r="D30" s="48">
        <v>178.83073367560871</v>
      </c>
      <c r="E30" s="44"/>
      <c r="F30" s="45">
        <v>6.0751022648531618</v>
      </c>
      <c r="G30" s="43">
        <v>8.6</v>
      </c>
    </row>
    <row r="31" spans="1:7" s="145" customFormat="1" ht="13.15" x14ac:dyDescent="0.4">
      <c r="A31" s="390" t="s">
        <v>2147</v>
      </c>
      <c r="B31" s="237"/>
      <c r="C31" s="156"/>
      <c r="D31" s="157"/>
      <c r="E31" s="157"/>
      <c r="F31" s="59" t="s">
        <v>2141</v>
      </c>
      <c r="G31" s="156"/>
    </row>
    <row r="32" spans="1:7" s="145" customFormat="1" x14ac:dyDescent="0.35">
      <c r="A32" s="232" t="s">
        <v>1525</v>
      </c>
      <c r="B32" s="232">
        <v>31.498878289070447</v>
      </c>
      <c r="C32" s="144"/>
      <c r="D32" s="145">
        <v>31.498878289070447</v>
      </c>
      <c r="F32" s="232">
        <v>2.1328780133494769</v>
      </c>
      <c r="G32" s="144"/>
    </row>
    <row r="33" spans="1:7" s="145" customFormat="1" x14ac:dyDescent="0.35">
      <c r="A33" s="232" t="s">
        <v>1524</v>
      </c>
      <c r="B33" s="232">
        <v>114.03011924499862</v>
      </c>
      <c r="C33" s="144"/>
      <c r="D33" s="145">
        <v>114.03011924499862</v>
      </c>
      <c r="F33" s="232">
        <v>8.3814207617841188</v>
      </c>
      <c r="G33" s="144"/>
    </row>
    <row r="34" spans="1:7" s="145" customFormat="1" x14ac:dyDescent="0.35">
      <c r="A34" s="232" t="s">
        <v>1523</v>
      </c>
      <c r="B34" s="232">
        <v>191.490790356784</v>
      </c>
      <c r="C34" s="144"/>
      <c r="D34" s="145">
        <v>191.490790356784</v>
      </c>
      <c r="F34" s="232">
        <v>12.813033646328812</v>
      </c>
      <c r="G34" s="144"/>
    </row>
    <row r="35" spans="1:7" s="145" customFormat="1" x14ac:dyDescent="0.35">
      <c r="A35" s="232" t="s">
        <v>1522</v>
      </c>
      <c r="B35" s="232">
        <v>20.581178236741671</v>
      </c>
      <c r="C35" s="144"/>
      <c r="D35" s="145">
        <v>20.581178236741671</v>
      </c>
      <c r="F35" s="232">
        <v>1.0113403341968783</v>
      </c>
      <c r="G35" s="144"/>
    </row>
    <row r="36" spans="1:7" s="145" customFormat="1" x14ac:dyDescent="0.35">
      <c r="A36" s="232" t="s">
        <v>1521</v>
      </c>
      <c r="B36" s="232">
        <v>12.08932997424186</v>
      </c>
      <c r="C36" s="144"/>
      <c r="D36" s="145">
        <v>12.08932997424186</v>
      </c>
      <c r="F36" s="232">
        <v>0.73153507678634488</v>
      </c>
      <c r="G36" s="144"/>
    </row>
    <row r="37" spans="1:7" s="145" customFormat="1" x14ac:dyDescent="0.35">
      <c r="A37" s="232" t="s">
        <v>1520</v>
      </c>
      <c r="B37" s="232">
        <v>241.05435346629986</v>
      </c>
      <c r="C37" s="144"/>
      <c r="D37" s="145">
        <v>241.05435346629986</v>
      </c>
      <c r="F37" s="232">
        <v>8.8425065583422935</v>
      </c>
      <c r="G37" s="144"/>
    </row>
    <row r="38" spans="1:7" s="145" customFormat="1" x14ac:dyDescent="0.35">
      <c r="A38" s="232" t="s">
        <v>1519</v>
      </c>
      <c r="B38" s="232">
        <v>1.4934405619699076</v>
      </c>
      <c r="C38" s="144"/>
      <c r="D38" s="145">
        <v>1.4934405619699076</v>
      </c>
      <c r="F38" s="232">
        <v>0.10981689571847585</v>
      </c>
      <c r="G38" s="144"/>
    </row>
    <row r="39" spans="1:7" s="145" customFormat="1" x14ac:dyDescent="0.35">
      <c r="A39" s="232" t="s">
        <v>1518</v>
      </c>
      <c r="B39" s="232">
        <v>3.483932321868894</v>
      </c>
      <c r="C39" s="144"/>
      <c r="D39" s="145">
        <v>3.483932321868894</v>
      </c>
      <c r="F39" s="232">
        <v>0.25575260553166673</v>
      </c>
      <c r="G39" s="144"/>
    </row>
    <row r="40" spans="1:7" s="145" customFormat="1" x14ac:dyDescent="0.35">
      <c r="A40" s="232" t="s">
        <v>1531</v>
      </c>
      <c r="B40" s="232">
        <v>549.17052273756167</v>
      </c>
      <c r="C40" s="144"/>
      <c r="D40" s="145">
        <v>549.17052273756167</v>
      </c>
      <c r="F40" s="232">
        <v>37.002400711574261</v>
      </c>
      <c r="G40" s="144"/>
    </row>
    <row r="41" spans="1:7" s="145" customFormat="1" x14ac:dyDescent="0.35">
      <c r="A41" s="232" t="s">
        <v>1530</v>
      </c>
      <c r="B41" s="232">
        <v>4.9716053339507766</v>
      </c>
      <c r="C41" s="144"/>
      <c r="D41" s="145">
        <v>4.9716053339507766</v>
      </c>
      <c r="F41" s="232">
        <v>0.34844192330792911</v>
      </c>
      <c r="G41" s="144"/>
    </row>
    <row r="42" spans="1:7" s="48" customFormat="1" x14ac:dyDescent="0.35">
      <c r="A42" s="45" t="s">
        <v>1529</v>
      </c>
      <c r="B42" s="389">
        <v>215122.93581782785</v>
      </c>
      <c r="C42" s="43"/>
      <c r="D42" s="44">
        <v>215122.93581782785</v>
      </c>
      <c r="E42" s="44"/>
      <c r="F42" s="45">
        <v>12632.078072295715</v>
      </c>
      <c r="G42" s="43"/>
    </row>
    <row r="43" spans="1:7" s="145" customFormat="1" ht="13.15" x14ac:dyDescent="0.4">
      <c r="A43" s="388" t="s">
        <v>2146</v>
      </c>
      <c r="B43" s="232"/>
      <c r="C43" s="144"/>
      <c r="D43" s="148"/>
      <c r="F43" s="59" t="s">
        <v>2141</v>
      </c>
      <c r="G43" s="144"/>
    </row>
    <row r="44" spans="1:7" s="145" customFormat="1" x14ac:dyDescent="0.35">
      <c r="A44" s="232" t="s">
        <v>1525</v>
      </c>
      <c r="B44" s="232">
        <v>1.7919443111065474</v>
      </c>
      <c r="C44" s="144"/>
      <c r="D44" s="145">
        <v>1.7919443111065474</v>
      </c>
      <c r="F44" s="232">
        <v>0.10992441244881977</v>
      </c>
      <c r="G44" s="144"/>
    </row>
    <row r="45" spans="1:7" s="145" customFormat="1" x14ac:dyDescent="0.35">
      <c r="A45" s="232" t="s">
        <v>1524</v>
      </c>
      <c r="B45" s="232">
        <v>11.44781060954292</v>
      </c>
      <c r="C45" s="144"/>
      <c r="D45" s="145">
        <v>11.44781060954292</v>
      </c>
      <c r="F45" s="232">
        <v>0.62060793695515792</v>
      </c>
      <c r="G45" s="144"/>
    </row>
    <row r="46" spans="1:7" s="145" customFormat="1" x14ac:dyDescent="0.35">
      <c r="A46" s="232" t="s">
        <v>1523</v>
      </c>
      <c r="B46" s="232">
        <v>24.12656599082284</v>
      </c>
      <c r="C46" s="144"/>
      <c r="D46" s="145">
        <v>24.12656599082284</v>
      </c>
      <c r="F46" s="232">
        <v>1.0806452192752118</v>
      </c>
      <c r="G46" s="144"/>
    </row>
    <row r="47" spans="1:7" s="145" customFormat="1" x14ac:dyDescent="0.35">
      <c r="A47" s="232" t="s">
        <v>1522</v>
      </c>
      <c r="B47" s="232">
        <v>2.3889394968147393</v>
      </c>
      <c r="C47" s="144"/>
      <c r="D47" s="145">
        <v>2.3889394968147393</v>
      </c>
      <c r="F47" s="232">
        <v>7.8811024260970447E-2</v>
      </c>
      <c r="G47" s="144"/>
    </row>
    <row r="48" spans="1:7" s="145" customFormat="1" x14ac:dyDescent="0.35">
      <c r="A48" s="232" t="s">
        <v>1521</v>
      </c>
      <c r="B48" s="232">
        <v>1.7613888762236625</v>
      </c>
      <c r="C48" s="144"/>
      <c r="D48" s="145">
        <v>1.7613888762236625</v>
      </c>
      <c r="F48" s="232">
        <v>5.8285018846370176E-2</v>
      </c>
      <c r="G48" s="144"/>
    </row>
    <row r="49" spans="1:7" s="145" customFormat="1" x14ac:dyDescent="0.35">
      <c r="A49" s="232" t="s">
        <v>1520</v>
      </c>
      <c r="B49" s="232">
        <v>79.794953157630474</v>
      </c>
      <c r="C49" s="144"/>
      <c r="D49" s="145">
        <v>79.794953157630474</v>
      </c>
      <c r="F49" s="232">
        <v>2.6117903855374154</v>
      </c>
      <c r="G49" s="144"/>
    </row>
    <row r="50" spans="1:7" s="145" customFormat="1" x14ac:dyDescent="0.35">
      <c r="A50" s="232" t="s">
        <v>1519</v>
      </c>
      <c r="B50" s="232">
        <v>0.10747893304493857</v>
      </c>
      <c r="C50" s="144"/>
      <c r="D50" s="145">
        <v>0.10747893304493857</v>
      </c>
      <c r="F50" s="232">
        <v>3.7088813012397049E-3</v>
      </c>
      <c r="G50" s="144"/>
    </row>
    <row r="51" spans="1:7" s="145" customFormat="1" x14ac:dyDescent="0.35">
      <c r="A51" s="231" t="s">
        <v>1518</v>
      </c>
      <c r="B51" s="231">
        <v>0.27295869284696689</v>
      </c>
      <c r="C51" s="141"/>
      <c r="D51" s="142">
        <v>0.27295869284696689</v>
      </c>
      <c r="E51" s="142"/>
      <c r="F51" s="231">
        <v>9.2098399752139296E-3</v>
      </c>
      <c r="G51" s="141"/>
    </row>
    <row r="52" spans="1:7" s="145" customFormat="1" x14ac:dyDescent="0.35"/>
    <row r="53" spans="1:7" s="145" customFormat="1" ht="13.9" x14ac:dyDescent="0.4">
      <c r="A53" s="386" t="s">
        <v>2145</v>
      </c>
    </row>
    <row r="54" spans="1:7" s="145" customFormat="1" ht="40.5" customHeight="1" x14ac:dyDescent="0.4">
      <c r="A54" s="237"/>
      <c r="B54" s="2197" t="s">
        <v>2144</v>
      </c>
      <c r="C54" s="2199"/>
      <c r="D54" s="2205" t="s">
        <v>2143</v>
      </c>
      <c r="E54" s="2205"/>
      <c r="F54" s="560" t="s">
        <v>2142</v>
      </c>
      <c r="G54" s="39"/>
    </row>
    <row r="55" spans="1:7" s="145" customFormat="1" ht="13.15" x14ac:dyDescent="0.4">
      <c r="A55" s="390" t="s">
        <v>2050</v>
      </c>
      <c r="B55" s="429" t="s">
        <v>1873</v>
      </c>
      <c r="C55" s="381" t="s">
        <v>1872</v>
      </c>
      <c r="D55" s="429" t="s">
        <v>1873</v>
      </c>
      <c r="E55" s="381" t="s">
        <v>1872</v>
      </c>
      <c r="F55" s="429" t="s">
        <v>2141</v>
      </c>
      <c r="G55" s="39"/>
    </row>
    <row r="56" spans="1:7" s="145" customFormat="1" x14ac:dyDescent="0.35">
      <c r="A56" s="232" t="s">
        <v>1537</v>
      </c>
      <c r="B56" s="146">
        <v>3.382998134890669</v>
      </c>
      <c r="C56" s="144">
        <v>1.6914990674453344E-3</v>
      </c>
      <c r="D56" s="146">
        <v>3.382998134890669</v>
      </c>
      <c r="E56" s="144">
        <v>1.6914990674453344E-3</v>
      </c>
      <c r="F56" s="146">
        <v>0.20493620938651846</v>
      </c>
      <c r="G56" s="39"/>
    </row>
    <row r="57" spans="1:7" s="145" customFormat="1" x14ac:dyDescent="0.35">
      <c r="A57" s="232" t="s">
        <v>1536</v>
      </c>
      <c r="B57" s="146">
        <v>3.0345594462287089</v>
      </c>
      <c r="C57" s="144">
        <v>1.5172797231143545E-3</v>
      </c>
      <c r="D57" s="146">
        <v>3.0345594462287089</v>
      </c>
      <c r="E57" s="144">
        <v>1.5172797231143545E-3</v>
      </c>
      <c r="F57" s="146">
        <v>0.19357842852174789</v>
      </c>
      <c r="G57" s="39"/>
    </row>
    <row r="58" spans="1:7" s="145" customFormat="1" x14ac:dyDescent="0.35">
      <c r="A58" s="232" t="s">
        <v>1535</v>
      </c>
      <c r="B58" s="146">
        <v>0.84137254790919913</v>
      </c>
      <c r="C58" s="144">
        <v>4.2068627395459954E-4</v>
      </c>
      <c r="D58" s="146">
        <v>0.84137254790919913</v>
      </c>
      <c r="E58" s="144">
        <v>4.2068627395459954E-4</v>
      </c>
      <c r="F58" s="146">
        <v>2.7425436727162609E-2</v>
      </c>
      <c r="G58" s="39"/>
    </row>
    <row r="59" spans="1:7" s="145" customFormat="1" x14ac:dyDescent="0.35">
      <c r="A59" s="232" t="s">
        <v>1534</v>
      </c>
      <c r="B59" s="146">
        <v>2.1588907908448927</v>
      </c>
      <c r="C59" s="144">
        <v>1.0794453954224461E-3</v>
      </c>
      <c r="D59" s="146">
        <v>2.1588907908448927</v>
      </c>
      <c r="E59" s="144">
        <v>1.0794453954224461E-3</v>
      </c>
      <c r="F59" s="146">
        <v>0.16469026750873944</v>
      </c>
      <c r="G59" s="39"/>
    </row>
    <row r="60" spans="1:7" s="145" customFormat="1" x14ac:dyDescent="0.35">
      <c r="A60" s="232" t="s">
        <v>1533</v>
      </c>
      <c r="B60" s="146">
        <v>3.4296107474617234E-2</v>
      </c>
      <c r="C60" s="144">
        <v>1.7148053737308615E-5</v>
      </c>
      <c r="D60" s="146">
        <v>3.4296107474617234E-2</v>
      </c>
      <c r="E60" s="144">
        <v>1.7148053737308615E-5</v>
      </c>
      <c r="F60" s="146">
        <v>1.4627242858458525E-3</v>
      </c>
      <c r="G60" s="39"/>
    </row>
    <row r="61" spans="1:7" s="145" customFormat="1" x14ac:dyDescent="0.35">
      <c r="A61" s="391" t="s">
        <v>1532</v>
      </c>
      <c r="B61" s="383">
        <v>178.83073367560871</v>
      </c>
      <c r="C61" s="433">
        <v>8.941536683780435E-2</v>
      </c>
      <c r="D61" s="383">
        <v>178.83073367560871</v>
      </c>
      <c r="E61" s="433">
        <v>8.941536683780435E-2</v>
      </c>
      <c r="F61" s="383">
        <v>14.675102264853162</v>
      </c>
      <c r="G61" s="39"/>
    </row>
    <row r="62" spans="1:7" s="145" customFormat="1" ht="13.15" x14ac:dyDescent="0.4">
      <c r="A62" s="390" t="s">
        <v>1564</v>
      </c>
      <c r="B62" s="429" t="s">
        <v>1873</v>
      </c>
      <c r="C62" s="381" t="s">
        <v>1872</v>
      </c>
      <c r="D62" s="429" t="s">
        <v>1873</v>
      </c>
      <c r="E62" s="381" t="s">
        <v>1872</v>
      </c>
      <c r="F62" s="429" t="s">
        <v>2141</v>
      </c>
      <c r="G62" s="39"/>
    </row>
    <row r="63" spans="1:7" s="145" customFormat="1" x14ac:dyDescent="0.35">
      <c r="A63" s="232" t="s">
        <v>1525</v>
      </c>
      <c r="B63" s="146">
        <v>31.498878289070447</v>
      </c>
      <c r="C63" s="144">
        <v>1.5749439144535225E-2</v>
      </c>
      <c r="D63" s="146">
        <v>31.498878289070447</v>
      </c>
      <c r="E63" s="144">
        <v>1.5749439144535225E-2</v>
      </c>
      <c r="F63" s="146">
        <v>2.1328780133494769</v>
      </c>
      <c r="G63" s="39"/>
    </row>
    <row r="64" spans="1:7" s="145" customFormat="1" x14ac:dyDescent="0.35">
      <c r="A64" s="232" t="s">
        <v>1524</v>
      </c>
      <c r="B64" s="146">
        <v>114.03011924499862</v>
      </c>
      <c r="C64" s="144">
        <v>5.7015059622499309E-2</v>
      </c>
      <c r="D64" s="146">
        <v>114.03011924499862</v>
      </c>
      <c r="E64" s="144">
        <v>5.7015059622499309E-2</v>
      </c>
      <c r="F64" s="146">
        <v>8.3814207617841188</v>
      </c>
      <c r="G64" s="39"/>
    </row>
    <row r="65" spans="1:7" s="145" customFormat="1" x14ac:dyDescent="0.35">
      <c r="A65" s="232" t="s">
        <v>1563</v>
      </c>
      <c r="B65" s="146">
        <v>191.490790356784</v>
      </c>
      <c r="C65" s="144">
        <v>9.5745395178392007E-2</v>
      </c>
      <c r="D65" s="146">
        <v>191.490790356784</v>
      </c>
      <c r="E65" s="144">
        <v>9.5745395178392007E-2</v>
      </c>
      <c r="F65" s="146">
        <v>12.813033646328812</v>
      </c>
      <c r="G65" s="39"/>
    </row>
    <row r="66" spans="1:7" s="145" customFormat="1" x14ac:dyDescent="0.35">
      <c r="A66" s="232" t="s">
        <v>1522</v>
      </c>
      <c r="B66" s="146">
        <v>20.581178236741671</v>
      </c>
      <c r="C66" s="144">
        <v>1.0290589118370835E-2</v>
      </c>
      <c r="D66" s="146">
        <v>20.581178236741671</v>
      </c>
      <c r="E66" s="144">
        <v>1.0290589118370835E-2</v>
      </c>
      <c r="F66" s="146">
        <v>1.0113403341968783</v>
      </c>
      <c r="G66" s="39"/>
    </row>
    <row r="67" spans="1:7" s="145" customFormat="1" x14ac:dyDescent="0.35">
      <c r="A67" s="232" t="s">
        <v>1521</v>
      </c>
      <c r="B67" s="146">
        <v>12.08932997424186</v>
      </c>
      <c r="C67" s="144">
        <v>6.0446649871209301E-3</v>
      </c>
      <c r="D67" s="146">
        <v>12.08932997424186</v>
      </c>
      <c r="E67" s="144">
        <v>6.0446649871209301E-3</v>
      </c>
      <c r="F67" s="146">
        <v>0.73153507678634488</v>
      </c>
      <c r="G67" s="39"/>
    </row>
    <row r="68" spans="1:7" s="145" customFormat="1" x14ac:dyDescent="0.35">
      <c r="A68" s="232" t="s">
        <v>1520</v>
      </c>
      <c r="B68" s="146">
        <v>241.05435346629986</v>
      </c>
      <c r="C68" s="144">
        <v>0.12052717673314993</v>
      </c>
      <c r="D68" s="146">
        <v>241.05435346629986</v>
      </c>
      <c r="E68" s="144">
        <v>0.12052717673314993</v>
      </c>
      <c r="F68" s="146">
        <v>8.8425065583422935</v>
      </c>
      <c r="G68" s="39"/>
    </row>
    <row r="69" spans="1:7" s="145" customFormat="1" x14ac:dyDescent="0.35">
      <c r="A69" s="232" t="s">
        <v>1519</v>
      </c>
      <c r="B69" s="146">
        <v>1.4934405619699076</v>
      </c>
      <c r="C69" s="144">
        <v>7.4672028098495382E-4</v>
      </c>
      <c r="D69" s="146">
        <v>1.4934405619699076</v>
      </c>
      <c r="E69" s="144">
        <v>7.4672028098495382E-4</v>
      </c>
      <c r="F69" s="146">
        <v>0.10981689571847585</v>
      </c>
      <c r="G69" s="39"/>
    </row>
    <row r="70" spans="1:7" s="145" customFormat="1" x14ac:dyDescent="0.35">
      <c r="A70" s="232" t="s">
        <v>1518</v>
      </c>
      <c r="B70" s="146">
        <v>3.483932321868894</v>
      </c>
      <c r="C70" s="144">
        <v>1.7419661609344469E-3</v>
      </c>
      <c r="D70" s="146">
        <v>3.483932321868894</v>
      </c>
      <c r="E70" s="144">
        <v>1.7419661609344469E-3</v>
      </c>
      <c r="F70" s="146">
        <v>0.25575260553166673</v>
      </c>
      <c r="G70" s="39"/>
    </row>
    <row r="71" spans="1:7" s="145" customFormat="1" x14ac:dyDescent="0.35">
      <c r="A71" s="232" t="s">
        <v>1531</v>
      </c>
      <c r="B71" s="146">
        <v>549.17052273756167</v>
      </c>
      <c r="C71" s="144">
        <v>0.27458526136878081</v>
      </c>
      <c r="D71" s="146">
        <v>549.17052273756167</v>
      </c>
      <c r="E71" s="144">
        <v>0.27458526136878081</v>
      </c>
      <c r="F71" s="146">
        <v>37.002400711574261</v>
      </c>
      <c r="G71" s="39"/>
    </row>
    <row r="72" spans="1:7" s="145" customFormat="1" x14ac:dyDescent="0.35">
      <c r="A72" s="232" t="s">
        <v>1530</v>
      </c>
      <c r="B72" s="146">
        <v>4.9716053339507766</v>
      </c>
      <c r="C72" s="144">
        <v>2.4858026669753882E-3</v>
      </c>
      <c r="D72" s="146">
        <v>4.9716053339507766</v>
      </c>
      <c r="E72" s="144">
        <v>2.4858026669753882E-3</v>
      </c>
      <c r="F72" s="146">
        <v>0.34844192330792911</v>
      </c>
      <c r="G72" s="39"/>
    </row>
    <row r="73" spans="1:7" s="48" customFormat="1" x14ac:dyDescent="0.35">
      <c r="A73" s="49" t="s">
        <v>1529</v>
      </c>
      <c r="B73" s="155">
        <v>215122.93581782785</v>
      </c>
      <c r="C73" s="47">
        <v>107.56146790891393</v>
      </c>
      <c r="D73" s="155">
        <v>215122.93581782785</v>
      </c>
      <c r="E73" s="47">
        <v>107.56146790891393</v>
      </c>
      <c r="F73" s="155">
        <v>12632.078072295715</v>
      </c>
      <c r="G73" s="39"/>
    </row>
    <row r="74" spans="1:7" s="48" customFormat="1" x14ac:dyDescent="0.35">
      <c r="A74" s="49" t="s">
        <v>1528</v>
      </c>
      <c r="B74" s="155">
        <v>215400.29750921376</v>
      </c>
      <c r="C74" s="47">
        <v>107.70014875460689</v>
      </c>
      <c r="D74" s="155">
        <v>215400.29750921376</v>
      </c>
      <c r="E74" s="47">
        <v>107.70014875460689</v>
      </c>
      <c r="F74" s="155">
        <v>12651.896346158221</v>
      </c>
      <c r="G74" s="39"/>
    </row>
    <row r="75" spans="1:7" s="48" customFormat="1" x14ac:dyDescent="0.35">
      <c r="A75" s="45" t="s">
        <v>1527</v>
      </c>
      <c r="B75" s="152">
        <v>233192.88860483756</v>
      </c>
      <c r="C75" s="43">
        <v>116.59644430241879</v>
      </c>
      <c r="D75" s="152">
        <v>233192.88860483756</v>
      </c>
      <c r="E75" s="43">
        <v>116.59644430241879</v>
      </c>
      <c r="F75" s="152">
        <v>13854.30547718205</v>
      </c>
      <c r="G75" s="39"/>
    </row>
    <row r="76" spans="1:7" s="145" customFormat="1" ht="13.15" x14ac:dyDescent="0.4">
      <c r="A76" s="388" t="s">
        <v>1562</v>
      </c>
      <c r="B76" s="527" t="s">
        <v>1873</v>
      </c>
      <c r="C76" s="402" t="s">
        <v>1872</v>
      </c>
      <c r="D76" s="527" t="s">
        <v>1873</v>
      </c>
      <c r="E76" s="402" t="s">
        <v>1872</v>
      </c>
      <c r="F76" s="429" t="s">
        <v>2141</v>
      </c>
      <c r="G76" s="39"/>
    </row>
    <row r="77" spans="1:7" s="145" customFormat="1" x14ac:dyDescent="0.35">
      <c r="A77" s="232" t="s">
        <v>1525</v>
      </c>
      <c r="B77" s="146">
        <v>1.7919443111065474</v>
      </c>
      <c r="C77" s="144">
        <v>8.9597215555327369E-4</v>
      </c>
      <c r="D77" s="146">
        <v>1.7919443111065474</v>
      </c>
      <c r="E77" s="144">
        <v>8.9597215555327369E-4</v>
      </c>
      <c r="F77" s="146">
        <v>0.10992441244881977</v>
      </c>
      <c r="G77" s="39"/>
    </row>
    <row r="78" spans="1:7" s="145" customFormat="1" x14ac:dyDescent="0.35">
      <c r="A78" s="232" t="s">
        <v>1524</v>
      </c>
      <c r="B78" s="146">
        <v>11.44781060954292</v>
      </c>
      <c r="C78" s="144">
        <v>5.7239053047714603E-3</v>
      </c>
      <c r="D78" s="146">
        <v>11.44781060954292</v>
      </c>
      <c r="E78" s="144">
        <v>5.7239053047714603E-3</v>
      </c>
      <c r="F78" s="146">
        <v>0.62060793695515792</v>
      </c>
      <c r="G78" s="39"/>
    </row>
    <row r="79" spans="1:7" s="145" customFormat="1" x14ac:dyDescent="0.35">
      <c r="A79" s="232" t="s">
        <v>1523</v>
      </c>
      <c r="B79" s="146">
        <v>24.12656599082284</v>
      </c>
      <c r="C79" s="144">
        <v>1.206328299541142E-2</v>
      </c>
      <c r="D79" s="146">
        <v>24.12656599082284</v>
      </c>
      <c r="E79" s="144">
        <v>1.206328299541142E-2</v>
      </c>
      <c r="F79" s="146">
        <v>1.0806452192752118</v>
      </c>
      <c r="G79" s="39"/>
    </row>
    <row r="80" spans="1:7" s="145" customFormat="1" x14ac:dyDescent="0.35">
      <c r="A80" s="232" t="s">
        <v>1522</v>
      </c>
      <c r="B80" s="146">
        <v>2.3889394968147393</v>
      </c>
      <c r="C80" s="144">
        <v>1.1944697484073696E-3</v>
      </c>
      <c r="D80" s="146">
        <v>2.3889394968147393</v>
      </c>
      <c r="E80" s="144">
        <v>1.1944697484073696E-3</v>
      </c>
      <c r="F80" s="146">
        <v>7.8811024260970447E-2</v>
      </c>
      <c r="G80" s="39"/>
    </row>
    <row r="81" spans="1:7" s="145" customFormat="1" x14ac:dyDescent="0.35">
      <c r="A81" s="232" t="s">
        <v>1521</v>
      </c>
      <c r="B81" s="146">
        <v>1.7613888762236625</v>
      </c>
      <c r="C81" s="144">
        <v>8.8069443811183122E-4</v>
      </c>
      <c r="D81" s="146">
        <v>1.7613888762236625</v>
      </c>
      <c r="E81" s="144">
        <v>8.8069443811183122E-4</v>
      </c>
      <c r="F81" s="146">
        <v>5.8285018846370176E-2</v>
      </c>
      <c r="G81" s="39"/>
    </row>
    <row r="82" spans="1:7" s="145" customFormat="1" x14ac:dyDescent="0.35">
      <c r="A82" s="232" t="s">
        <v>1520</v>
      </c>
      <c r="B82" s="146">
        <v>79.794953157630474</v>
      </c>
      <c r="C82" s="144">
        <v>3.989747657881524E-2</v>
      </c>
      <c r="D82" s="146">
        <v>79.794953157630474</v>
      </c>
      <c r="E82" s="144">
        <v>3.989747657881524E-2</v>
      </c>
      <c r="F82" s="146">
        <v>2.6117903855374154</v>
      </c>
      <c r="G82" s="39"/>
    </row>
    <row r="83" spans="1:7" s="145" customFormat="1" x14ac:dyDescent="0.35">
      <c r="A83" s="232" t="s">
        <v>1519</v>
      </c>
      <c r="B83" s="146">
        <v>0.10747893304493857</v>
      </c>
      <c r="C83" s="144">
        <v>5.3739466522469285E-5</v>
      </c>
      <c r="D83" s="146">
        <v>0.10747893304493857</v>
      </c>
      <c r="E83" s="144">
        <v>5.3739466522469285E-5</v>
      </c>
      <c r="F83" s="146">
        <v>3.7088813012397049E-3</v>
      </c>
      <c r="G83" s="39"/>
    </row>
    <row r="84" spans="1:7" s="145" customFormat="1" x14ac:dyDescent="0.35">
      <c r="A84" s="231" t="s">
        <v>1518</v>
      </c>
      <c r="B84" s="143">
        <v>0.27295869284696689</v>
      </c>
      <c r="C84" s="141">
        <v>1.3647934642348344E-4</v>
      </c>
      <c r="D84" s="143">
        <v>0.27295869284696689</v>
      </c>
      <c r="E84" s="141">
        <v>1.3647934642348344E-4</v>
      </c>
      <c r="F84" s="143">
        <v>9.2098399752139296E-3</v>
      </c>
      <c r="G84" s="39"/>
    </row>
  </sheetData>
  <mergeCells count="5">
    <mergeCell ref="B9:C9"/>
    <mergeCell ref="D9:E9"/>
    <mergeCell ref="F9:G9"/>
    <mergeCell ref="B54:C54"/>
    <mergeCell ref="D54:E54"/>
  </mergeCells>
  <pageMargins left="0.75" right="0.75" top="1" bottom="1" header="0.5" footer="0.5"/>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T135"/>
  <sheetViews>
    <sheetView showGridLines="0" zoomScale="85" zoomScaleNormal="85" workbookViewId="0">
      <selection activeCell="G1" sqref="G1"/>
    </sheetView>
  </sheetViews>
  <sheetFormatPr defaultColWidth="8.86328125" defaultRowHeight="12.75" x14ac:dyDescent="0.35"/>
  <cols>
    <col min="1" max="1" width="29.1328125" style="39" customWidth="1"/>
    <col min="2" max="3" width="12.796875" style="39" bestFit="1" customWidth="1"/>
    <col min="4" max="4" width="19.1328125" style="39" bestFit="1" customWidth="1"/>
    <col min="5" max="5" width="14" style="39" bestFit="1" customWidth="1"/>
    <col min="6" max="6" width="15.19921875" style="39" bestFit="1" customWidth="1"/>
    <col min="7" max="7" width="14.1328125" style="39" bestFit="1" customWidth="1"/>
    <col min="8" max="8" width="12.796875" style="39" bestFit="1" customWidth="1"/>
    <col min="9" max="9" width="11" style="39" bestFit="1" customWidth="1"/>
    <col min="10" max="10" width="11.19921875" style="39" bestFit="1" customWidth="1"/>
    <col min="11" max="12" width="12.796875" style="39" bestFit="1" customWidth="1"/>
    <col min="13" max="13" width="11.19921875" style="39" bestFit="1" customWidth="1"/>
    <col min="14" max="15" width="12.796875" style="39" bestFit="1" customWidth="1"/>
    <col min="16" max="16" width="11.86328125" style="39" bestFit="1" customWidth="1"/>
    <col min="17" max="17" width="13.46484375" style="39" customWidth="1"/>
    <col min="18" max="18" width="12.46484375" style="39" customWidth="1"/>
    <col min="19" max="19" width="10.46484375" style="39" bestFit="1" customWidth="1"/>
    <col min="20" max="20" width="10.796875" style="39" customWidth="1"/>
    <col min="21" max="21" width="10.19921875" style="39" bestFit="1" customWidth="1"/>
    <col min="22" max="22" width="10.19921875" style="39" customWidth="1"/>
    <col min="23" max="24" width="8.86328125" style="39"/>
    <col min="25" max="25" width="10.19921875" style="39" bestFit="1" customWidth="1"/>
    <col min="26" max="26" width="12" style="39" customWidth="1"/>
    <col min="27" max="27" width="10.19921875" style="39" bestFit="1" customWidth="1"/>
    <col min="28" max="28" width="9.19921875" style="39" bestFit="1" customWidth="1"/>
    <col min="29" max="29" width="10.19921875" style="39" bestFit="1" customWidth="1"/>
    <col min="30" max="30" width="8.86328125" style="39"/>
    <col min="31" max="31" width="9.86328125" style="39" customWidth="1"/>
    <col min="32" max="36" width="8.86328125" style="39"/>
    <col min="37" max="37" width="10" style="39" customWidth="1"/>
    <col min="38" max="39" width="8.86328125" style="39"/>
    <col min="40" max="42" width="9.19921875" style="39" bestFit="1" customWidth="1"/>
    <col min="43" max="43" width="10.19921875" style="39" customWidth="1"/>
    <col min="44" max="16384" width="8.86328125" style="39"/>
  </cols>
  <sheetData>
    <row r="1" spans="1:12" ht="15" x14ac:dyDescent="0.4">
      <c r="A1" s="140" t="s">
        <v>1723</v>
      </c>
      <c r="G1" s="230" t="s">
        <v>1561</v>
      </c>
    </row>
    <row r="3" spans="1:12" ht="13.9" x14ac:dyDescent="0.4">
      <c r="A3" s="72" t="s">
        <v>1775</v>
      </c>
    </row>
    <row r="4" spans="1:12" ht="14.65" x14ac:dyDescent="0.5">
      <c r="A4" s="41" t="s">
        <v>1774</v>
      </c>
    </row>
    <row r="5" spans="1:12" ht="15" x14ac:dyDescent="0.5">
      <c r="A5" s="55"/>
      <c r="B5" s="333" t="s">
        <v>1773</v>
      </c>
      <c r="C5" s="333"/>
      <c r="D5" s="332" t="s">
        <v>1772</v>
      </c>
      <c r="E5" s="331"/>
      <c r="F5" s="54" t="s">
        <v>1771</v>
      </c>
    </row>
    <row r="6" spans="1:12" ht="25.5" x14ac:dyDescent="0.35">
      <c r="A6" s="46"/>
      <c r="B6" s="329" t="s">
        <v>1770</v>
      </c>
      <c r="C6" s="330" t="s">
        <v>1769</v>
      </c>
      <c r="D6" s="329" t="s">
        <v>1768</v>
      </c>
      <c r="E6" s="328" t="s">
        <v>1767</v>
      </c>
      <c r="F6" s="328" t="s">
        <v>1766</v>
      </c>
    </row>
    <row r="7" spans="1:12" x14ac:dyDescent="0.35">
      <c r="A7" s="327" t="s">
        <v>1765</v>
      </c>
      <c r="B7" s="326">
        <v>1</v>
      </c>
      <c r="C7" s="326">
        <v>0</v>
      </c>
      <c r="D7" s="325">
        <v>0</v>
      </c>
      <c r="E7" s="324">
        <v>0</v>
      </c>
      <c r="F7" s="323">
        <v>0</v>
      </c>
    </row>
    <row r="9" spans="1:12" ht="15" x14ac:dyDescent="0.5">
      <c r="A9" s="41" t="s">
        <v>1764</v>
      </c>
      <c r="E9" s="40">
        <v>7.0000000000000001E-3</v>
      </c>
      <c r="F9" s="39" t="s">
        <v>1763</v>
      </c>
    </row>
    <row r="11" spans="1:12" ht="13.15" x14ac:dyDescent="0.4">
      <c r="A11" s="41" t="s">
        <v>1762</v>
      </c>
      <c r="D11" s="39">
        <v>6.5716740664043496E-2</v>
      </c>
    </row>
    <row r="12" spans="1:12" ht="84.4" x14ac:dyDescent="0.4">
      <c r="A12" s="311"/>
      <c r="B12" s="307" t="s">
        <v>1761</v>
      </c>
      <c r="C12" s="307" t="s">
        <v>1760</v>
      </c>
      <c r="D12" s="307" t="s">
        <v>1759</v>
      </c>
      <c r="E12" s="307" t="s">
        <v>1758</v>
      </c>
      <c r="F12" s="307" t="s">
        <v>1757</v>
      </c>
      <c r="G12" s="307" t="s">
        <v>1756</v>
      </c>
      <c r="H12" s="307" t="s">
        <v>1755</v>
      </c>
      <c r="I12" s="307" t="s">
        <v>1754</v>
      </c>
      <c r="J12" s="307" t="s">
        <v>1753</v>
      </c>
      <c r="K12" s="307" t="s">
        <v>1752</v>
      </c>
      <c r="L12" s="305" t="s">
        <v>1724</v>
      </c>
    </row>
    <row r="13" spans="1:12" ht="15" x14ac:dyDescent="0.5">
      <c r="A13" s="50" t="s">
        <v>1751</v>
      </c>
      <c r="B13" s="120"/>
      <c r="C13" s="120"/>
      <c r="D13" s="42">
        <v>6.5716740664043538E-2</v>
      </c>
      <c r="H13" s="120"/>
      <c r="L13" s="99"/>
    </row>
    <row r="14" spans="1:12" x14ac:dyDescent="0.35">
      <c r="A14" s="50" t="s">
        <v>1750</v>
      </c>
      <c r="B14" s="42">
        <v>0.04</v>
      </c>
      <c r="C14" s="120"/>
      <c r="H14" s="120"/>
      <c r="J14" s="42">
        <v>0.74</v>
      </c>
      <c r="L14" s="99"/>
    </row>
    <row r="15" spans="1:12" ht="15" x14ac:dyDescent="0.5">
      <c r="A15" s="50" t="s">
        <v>1749</v>
      </c>
      <c r="B15" s="42">
        <v>2.48</v>
      </c>
      <c r="C15" s="42">
        <v>2.4</v>
      </c>
      <c r="F15" s="42">
        <v>2</v>
      </c>
      <c r="G15" s="42">
        <v>2</v>
      </c>
      <c r="H15" s="120"/>
      <c r="L15" s="99"/>
    </row>
    <row r="16" spans="1:12" x14ac:dyDescent="0.35">
      <c r="A16" s="50" t="s">
        <v>1748</v>
      </c>
      <c r="B16" s="42">
        <v>5.45</v>
      </c>
      <c r="C16" s="120"/>
      <c r="H16" s="120"/>
      <c r="L16" s="99"/>
    </row>
    <row r="17" spans="1:12" x14ac:dyDescent="0.35">
      <c r="A17" s="50" t="s">
        <v>1747</v>
      </c>
      <c r="B17" s="42">
        <v>0.09</v>
      </c>
      <c r="C17" s="42">
        <v>1.9</v>
      </c>
      <c r="H17" s="120"/>
      <c r="L17" s="99"/>
    </row>
    <row r="18" spans="1:12" x14ac:dyDescent="0.35">
      <c r="A18" s="50" t="s">
        <v>1746</v>
      </c>
      <c r="B18" s="42">
        <v>0.02</v>
      </c>
      <c r="C18" s="120"/>
      <c r="H18" s="120"/>
      <c r="L18" s="99"/>
    </row>
    <row r="19" spans="1:12" ht="15" x14ac:dyDescent="0.5">
      <c r="A19" s="50" t="s">
        <v>1745</v>
      </c>
      <c r="B19" s="42">
        <v>0.05</v>
      </c>
      <c r="C19" s="120"/>
      <c r="H19" s="120"/>
      <c r="L19" s="99"/>
    </row>
    <row r="20" spans="1:12" x14ac:dyDescent="0.35">
      <c r="A20" s="50" t="s">
        <v>1744</v>
      </c>
      <c r="B20" s="42">
        <v>7.1000000000000002E-4</v>
      </c>
      <c r="C20" s="120"/>
      <c r="H20" s="120"/>
      <c r="L20" s="99"/>
    </row>
    <row r="21" spans="1:12" x14ac:dyDescent="0.35">
      <c r="A21" s="50" t="s">
        <v>1743</v>
      </c>
      <c r="B21" s="322"/>
      <c r="C21" s="120"/>
      <c r="E21" s="42">
        <v>2.14</v>
      </c>
      <c r="H21" s="120"/>
      <c r="L21" s="99"/>
    </row>
    <row r="22" spans="1:12" ht="15" x14ac:dyDescent="0.5">
      <c r="A22" s="50" t="s">
        <v>1742</v>
      </c>
      <c r="B22" s="322"/>
      <c r="C22" s="120"/>
      <c r="E22" s="42">
        <v>2.5</v>
      </c>
      <c r="H22" s="120"/>
      <c r="J22" s="42">
        <v>0.23</v>
      </c>
      <c r="L22" s="99"/>
    </row>
    <row r="23" spans="1:12" x14ac:dyDescent="0.35">
      <c r="A23" s="50" t="s">
        <v>1741</v>
      </c>
      <c r="B23" s="322"/>
      <c r="C23" s="120"/>
      <c r="E23" s="42">
        <v>0.13</v>
      </c>
      <c r="H23" s="120"/>
      <c r="L23" s="99"/>
    </row>
    <row r="24" spans="1:12" x14ac:dyDescent="0.35">
      <c r="A24" s="50" t="s">
        <v>1740</v>
      </c>
      <c r="B24" s="322"/>
      <c r="C24" s="120"/>
      <c r="F24" s="42">
        <v>0.188</v>
      </c>
      <c r="H24" s="120"/>
      <c r="L24" s="99"/>
    </row>
    <row r="25" spans="1:12" x14ac:dyDescent="0.35">
      <c r="A25" s="50" t="s">
        <v>1739</v>
      </c>
      <c r="B25" s="322"/>
      <c r="C25" s="120"/>
      <c r="H25" s="120"/>
      <c r="J25" s="42">
        <v>0.51</v>
      </c>
      <c r="K25" s="42">
        <v>0.86</v>
      </c>
      <c r="L25" s="144"/>
    </row>
    <row r="26" spans="1:12" x14ac:dyDescent="0.35">
      <c r="A26" s="50" t="s">
        <v>1738</v>
      </c>
      <c r="B26" s="322"/>
      <c r="C26" s="120"/>
      <c r="H26" s="120"/>
      <c r="J26" s="145"/>
      <c r="K26" s="145"/>
      <c r="L26" s="321">
        <v>0.73</v>
      </c>
    </row>
    <row r="27" spans="1:12" ht="15" customHeight="1" x14ac:dyDescent="0.5">
      <c r="A27" s="50" t="s">
        <v>1737</v>
      </c>
      <c r="B27" s="120"/>
      <c r="C27" s="120"/>
      <c r="H27" s="42">
        <v>0.20433868871498501</v>
      </c>
      <c r="I27" s="42">
        <v>0.01</v>
      </c>
      <c r="J27" s="42">
        <v>0.38</v>
      </c>
      <c r="L27" s="99"/>
    </row>
    <row r="28" spans="1:12" ht="15" x14ac:dyDescent="0.5">
      <c r="A28" s="46" t="s">
        <v>1736</v>
      </c>
      <c r="B28" s="119"/>
      <c r="C28" s="119"/>
      <c r="D28" s="77"/>
      <c r="E28" s="77"/>
      <c r="F28" s="77"/>
      <c r="G28" s="77"/>
      <c r="H28" s="320">
        <v>0.87312667643724295</v>
      </c>
      <c r="I28" s="77"/>
      <c r="J28" s="77"/>
      <c r="K28" s="77"/>
      <c r="L28" s="100"/>
    </row>
    <row r="30" spans="1:12" ht="15" x14ac:dyDescent="0.5">
      <c r="A30" s="39" t="s">
        <v>1735</v>
      </c>
      <c r="C30" s="319" t="s">
        <v>1056</v>
      </c>
    </row>
    <row r="32" spans="1:12" ht="13.9" x14ac:dyDescent="0.4">
      <c r="A32" s="72" t="s">
        <v>1734</v>
      </c>
    </row>
    <row r="33" spans="1:20" ht="67.5" x14ac:dyDescent="0.35">
      <c r="A33" s="70"/>
      <c r="B33" s="307" t="s">
        <v>1733</v>
      </c>
      <c r="C33" s="307" t="s">
        <v>1683</v>
      </c>
      <c r="D33" s="307" t="s">
        <v>1732</v>
      </c>
      <c r="E33" s="307" t="s">
        <v>1731</v>
      </c>
      <c r="F33" s="307" t="s">
        <v>1730</v>
      </c>
      <c r="G33" s="307" t="s">
        <v>1691</v>
      </c>
      <c r="H33" s="307" t="s">
        <v>1729</v>
      </c>
      <c r="I33" s="309" t="s">
        <v>1728</v>
      </c>
      <c r="J33" s="309" t="s">
        <v>1727</v>
      </c>
      <c r="K33" s="307" t="s">
        <v>1726</v>
      </c>
      <c r="L33" s="309" t="s">
        <v>1725</v>
      </c>
      <c r="M33" s="307" t="s">
        <v>1724</v>
      </c>
      <c r="N33" s="307" t="s">
        <v>1723</v>
      </c>
      <c r="O33" s="307" t="s">
        <v>1722</v>
      </c>
      <c r="P33" s="309" t="s">
        <v>1721</v>
      </c>
      <c r="Q33" s="309" t="s">
        <v>1720</v>
      </c>
      <c r="R33" s="307" t="s">
        <v>1719</v>
      </c>
      <c r="S33" s="307" t="s">
        <v>1718</v>
      </c>
      <c r="T33" s="305" t="s">
        <v>1694</v>
      </c>
    </row>
    <row r="34" spans="1:20" x14ac:dyDescent="0.35">
      <c r="A34" s="50" t="s">
        <v>1717</v>
      </c>
      <c r="B34" s="132">
        <v>1</v>
      </c>
      <c r="C34" s="132">
        <v>1</v>
      </c>
      <c r="D34" s="132">
        <v>1</v>
      </c>
      <c r="E34" s="132">
        <v>1</v>
      </c>
      <c r="F34" s="132">
        <v>1</v>
      </c>
      <c r="G34" s="132">
        <v>1</v>
      </c>
      <c r="H34" s="132">
        <v>1</v>
      </c>
      <c r="I34" s="302">
        <v>1</v>
      </c>
      <c r="J34" s="302">
        <v>1</v>
      </c>
      <c r="K34" s="132">
        <v>1</v>
      </c>
      <c r="L34" s="302">
        <v>1</v>
      </c>
      <c r="M34" s="132">
        <v>1</v>
      </c>
      <c r="N34" s="132">
        <v>1</v>
      </c>
      <c r="O34" s="132">
        <v>1</v>
      </c>
      <c r="P34" s="302">
        <v>1</v>
      </c>
      <c r="Q34" s="302">
        <v>1</v>
      </c>
      <c r="R34" s="132">
        <v>1</v>
      </c>
      <c r="S34" s="132">
        <v>1</v>
      </c>
      <c r="T34" s="136">
        <v>1</v>
      </c>
    </row>
    <row r="35" spans="1:20" x14ac:dyDescent="0.35">
      <c r="A35" s="50" t="s">
        <v>1716</v>
      </c>
      <c r="B35" s="132">
        <v>0</v>
      </c>
      <c r="C35" s="132">
        <v>0</v>
      </c>
      <c r="D35" s="132">
        <v>0</v>
      </c>
      <c r="E35" s="132">
        <v>0</v>
      </c>
      <c r="F35" s="132">
        <v>0</v>
      </c>
      <c r="G35" s="132">
        <v>0</v>
      </c>
      <c r="H35" s="132">
        <v>0</v>
      </c>
      <c r="I35" s="302">
        <v>0</v>
      </c>
      <c r="J35" s="302">
        <v>0</v>
      </c>
      <c r="K35" s="132">
        <v>0</v>
      </c>
      <c r="L35" s="302">
        <v>0</v>
      </c>
      <c r="M35" s="132">
        <v>0</v>
      </c>
      <c r="N35" s="132">
        <v>0</v>
      </c>
      <c r="O35" s="132">
        <v>0</v>
      </c>
      <c r="P35" s="302">
        <v>0</v>
      </c>
      <c r="Q35" s="302">
        <v>0</v>
      </c>
      <c r="R35" s="132">
        <v>0</v>
      </c>
      <c r="S35" s="132">
        <v>0</v>
      </c>
      <c r="T35" s="136">
        <v>0</v>
      </c>
    </row>
    <row r="36" spans="1:20" x14ac:dyDescent="0.35">
      <c r="A36" s="55" t="s">
        <v>1715</v>
      </c>
      <c r="B36" s="138">
        <v>0</v>
      </c>
      <c r="C36" s="138">
        <v>0.23</v>
      </c>
      <c r="D36" s="138">
        <v>1</v>
      </c>
      <c r="E36" s="138">
        <v>0</v>
      </c>
      <c r="F36" s="138">
        <v>1</v>
      </c>
      <c r="G36" s="138">
        <v>0</v>
      </c>
      <c r="H36" s="138">
        <v>0</v>
      </c>
      <c r="I36" s="315">
        <v>0</v>
      </c>
      <c r="J36" s="315">
        <v>0</v>
      </c>
      <c r="K36" s="138">
        <v>0</v>
      </c>
      <c r="L36" s="315">
        <v>0</v>
      </c>
      <c r="M36" s="138">
        <v>0</v>
      </c>
      <c r="N36" s="138">
        <v>0</v>
      </c>
      <c r="O36" s="138">
        <v>0</v>
      </c>
      <c r="P36" s="315">
        <v>0</v>
      </c>
      <c r="Q36" s="315">
        <v>0</v>
      </c>
      <c r="R36" s="138">
        <v>0</v>
      </c>
      <c r="S36" s="138">
        <v>0</v>
      </c>
      <c r="T36" s="137">
        <v>0</v>
      </c>
    </row>
    <row r="37" spans="1:20" x14ac:dyDescent="0.35">
      <c r="A37" s="50" t="s">
        <v>1714</v>
      </c>
      <c r="B37" s="132">
        <v>0</v>
      </c>
      <c r="C37" s="132">
        <v>0.77</v>
      </c>
      <c r="D37" s="132">
        <v>0</v>
      </c>
      <c r="E37" s="132">
        <v>0</v>
      </c>
      <c r="F37" s="132">
        <v>0</v>
      </c>
      <c r="G37" s="132">
        <v>0</v>
      </c>
      <c r="H37" s="132">
        <v>0</v>
      </c>
      <c r="I37" s="302">
        <v>0</v>
      </c>
      <c r="J37" s="302">
        <v>0</v>
      </c>
      <c r="K37" s="132">
        <v>0</v>
      </c>
      <c r="L37" s="302">
        <v>0</v>
      </c>
      <c r="M37" s="132">
        <v>0</v>
      </c>
      <c r="N37" s="132">
        <v>0</v>
      </c>
      <c r="O37" s="132">
        <v>0</v>
      </c>
      <c r="P37" s="302">
        <v>0</v>
      </c>
      <c r="Q37" s="302">
        <v>0</v>
      </c>
      <c r="R37" s="132">
        <v>0</v>
      </c>
      <c r="S37" s="132">
        <v>0</v>
      </c>
      <c r="T37" s="136">
        <v>0</v>
      </c>
    </row>
    <row r="38" spans="1:20" x14ac:dyDescent="0.35">
      <c r="A38" s="46" t="s">
        <v>1713</v>
      </c>
      <c r="B38" s="122">
        <v>1</v>
      </c>
      <c r="C38" s="122">
        <v>0</v>
      </c>
      <c r="D38" s="122">
        <v>0</v>
      </c>
      <c r="E38" s="122">
        <v>1</v>
      </c>
      <c r="F38" s="122">
        <v>0</v>
      </c>
      <c r="G38" s="122">
        <v>1</v>
      </c>
      <c r="H38" s="122">
        <v>1</v>
      </c>
      <c r="I38" s="293">
        <v>1</v>
      </c>
      <c r="J38" s="293">
        <v>1</v>
      </c>
      <c r="K38" s="122">
        <v>1</v>
      </c>
      <c r="L38" s="293">
        <v>1</v>
      </c>
      <c r="M38" s="122">
        <v>1</v>
      </c>
      <c r="N38" s="122">
        <v>1</v>
      </c>
      <c r="O38" s="122">
        <v>1</v>
      </c>
      <c r="P38" s="293">
        <v>1</v>
      </c>
      <c r="Q38" s="293">
        <v>1</v>
      </c>
      <c r="R38" s="122">
        <v>1</v>
      </c>
      <c r="S38" s="122">
        <v>1</v>
      </c>
      <c r="T38" s="56">
        <v>1</v>
      </c>
    </row>
    <row r="39" spans="1:20" x14ac:dyDescent="0.35">
      <c r="A39" s="50" t="s">
        <v>1712</v>
      </c>
      <c r="B39" s="132">
        <v>1</v>
      </c>
      <c r="C39" s="132">
        <v>1</v>
      </c>
      <c r="D39" s="132">
        <v>1</v>
      </c>
      <c r="E39" s="132">
        <v>1</v>
      </c>
      <c r="F39" s="132">
        <v>1</v>
      </c>
      <c r="G39" s="132">
        <v>1</v>
      </c>
      <c r="H39" s="132">
        <v>1</v>
      </c>
      <c r="I39" s="302">
        <v>1</v>
      </c>
      <c r="J39" s="302">
        <v>1</v>
      </c>
      <c r="K39" s="132">
        <v>1</v>
      </c>
      <c r="L39" s="302">
        <v>1</v>
      </c>
      <c r="M39" s="132">
        <v>1</v>
      </c>
      <c r="N39" s="132">
        <v>1</v>
      </c>
      <c r="O39" s="132">
        <v>1</v>
      </c>
      <c r="P39" s="302">
        <v>1</v>
      </c>
      <c r="Q39" s="302">
        <v>1</v>
      </c>
      <c r="R39" s="132">
        <v>1</v>
      </c>
      <c r="S39" s="132">
        <v>1</v>
      </c>
      <c r="T39" s="136">
        <v>1</v>
      </c>
    </row>
    <row r="40" spans="1:20" x14ac:dyDescent="0.35">
      <c r="A40" s="70" t="s">
        <v>1711</v>
      </c>
      <c r="B40" s="317">
        <v>1</v>
      </c>
      <c r="C40" s="317">
        <v>1</v>
      </c>
      <c r="D40" s="317">
        <v>1</v>
      </c>
      <c r="E40" s="317">
        <v>1</v>
      </c>
      <c r="F40" s="317">
        <v>1</v>
      </c>
      <c r="G40" s="317">
        <v>1</v>
      </c>
      <c r="H40" s="317">
        <v>1</v>
      </c>
      <c r="I40" s="318">
        <v>1</v>
      </c>
      <c r="J40" s="318">
        <v>1</v>
      </c>
      <c r="K40" s="317">
        <v>1</v>
      </c>
      <c r="L40" s="318">
        <v>1</v>
      </c>
      <c r="M40" s="317">
        <v>1</v>
      </c>
      <c r="N40" s="317">
        <v>1</v>
      </c>
      <c r="O40" s="317">
        <v>1</v>
      </c>
      <c r="P40" s="318">
        <v>1</v>
      </c>
      <c r="Q40" s="318">
        <v>1</v>
      </c>
      <c r="R40" s="317">
        <v>1</v>
      </c>
      <c r="S40" s="317">
        <v>1</v>
      </c>
      <c r="T40" s="316">
        <v>1</v>
      </c>
    </row>
    <row r="41" spans="1:20" x14ac:dyDescent="0.35">
      <c r="A41" s="50" t="s">
        <v>1710</v>
      </c>
      <c r="B41" s="132">
        <v>1</v>
      </c>
      <c r="C41" s="132">
        <v>0</v>
      </c>
      <c r="D41" s="132">
        <v>0</v>
      </c>
      <c r="E41" s="132">
        <v>1</v>
      </c>
      <c r="F41" s="132">
        <v>0</v>
      </c>
      <c r="G41" s="132">
        <v>1</v>
      </c>
      <c r="H41" s="132">
        <v>0.15</v>
      </c>
      <c r="I41" s="302">
        <v>1</v>
      </c>
      <c r="J41" s="302">
        <v>1</v>
      </c>
      <c r="K41" s="132">
        <v>1</v>
      </c>
      <c r="L41" s="302">
        <v>1</v>
      </c>
      <c r="M41" s="132">
        <v>0</v>
      </c>
      <c r="N41" s="132">
        <v>0</v>
      </c>
      <c r="O41" s="132">
        <v>1</v>
      </c>
      <c r="P41" s="302">
        <v>1</v>
      </c>
      <c r="Q41" s="302">
        <v>1</v>
      </c>
      <c r="R41" s="132">
        <v>0.74</v>
      </c>
      <c r="S41" s="132">
        <v>0.86</v>
      </c>
      <c r="T41" s="136">
        <v>1</v>
      </c>
    </row>
    <row r="42" spans="1:20" x14ac:dyDescent="0.35">
      <c r="A42" s="50" t="s">
        <v>1709</v>
      </c>
      <c r="B42" s="132">
        <v>0</v>
      </c>
      <c r="C42" s="132">
        <v>1</v>
      </c>
      <c r="D42" s="132">
        <v>0</v>
      </c>
      <c r="E42" s="132">
        <v>0</v>
      </c>
      <c r="F42" s="132">
        <v>0</v>
      </c>
      <c r="G42" s="132">
        <v>0</v>
      </c>
      <c r="H42" s="132">
        <v>0</v>
      </c>
      <c r="I42" s="302">
        <v>0</v>
      </c>
      <c r="J42" s="302">
        <v>0</v>
      </c>
      <c r="K42" s="132">
        <v>0</v>
      </c>
      <c r="L42" s="302">
        <v>0</v>
      </c>
      <c r="M42" s="132">
        <v>0</v>
      </c>
      <c r="N42" s="132">
        <v>0</v>
      </c>
      <c r="O42" s="132">
        <v>0</v>
      </c>
      <c r="P42" s="302">
        <v>0</v>
      </c>
      <c r="Q42" s="302">
        <v>0</v>
      </c>
      <c r="R42" s="132">
        <v>0</v>
      </c>
      <c r="S42" s="132">
        <v>0</v>
      </c>
      <c r="T42" s="136">
        <v>0</v>
      </c>
    </row>
    <row r="43" spans="1:20" x14ac:dyDescent="0.35">
      <c r="A43" s="50" t="s">
        <v>1708</v>
      </c>
      <c r="B43" s="132">
        <v>0</v>
      </c>
      <c r="C43" s="132">
        <v>0</v>
      </c>
      <c r="D43" s="132">
        <v>0</v>
      </c>
      <c r="E43" s="132">
        <v>0</v>
      </c>
      <c r="F43" s="132">
        <v>0</v>
      </c>
      <c r="G43" s="132">
        <v>0</v>
      </c>
      <c r="H43" s="132">
        <v>0</v>
      </c>
      <c r="I43" s="302">
        <v>0</v>
      </c>
      <c r="J43" s="302">
        <v>0</v>
      </c>
      <c r="K43" s="132">
        <v>0</v>
      </c>
      <c r="L43" s="302">
        <v>0</v>
      </c>
      <c r="M43" s="132">
        <v>0</v>
      </c>
      <c r="N43" s="132">
        <v>0</v>
      </c>
      <c r="O43" s="132">
        <v>0</v>
      </c>
      <c r="P43" s="302">
        <v>0</v>
      </c>
      <c r="Q43" s="302">
        <v>0</v>
      </c>
      <c r="R43" s="132">
        <v>0</v>
      </c>
      <c r="S43" s="132">
        <v>0</v>
      </c>
      <c r="T43" s="136">
        <v>0</v>
      </c>
    </row>
    <row r="44" spans="1:20" x14ac:dyDescent="0.35">
      <c r="A44" s="50" t="s">
        <v>1707</v>
      </c>
      <c r="B44" s="132">
        <v>0</v>
      </c>
      <c r="C44" s="132">
        <v>0</v>
      </c>
      <c r="D44" s="132">
        <v>0</v>
      </c>
      <c r="E44" s="132">
        <v>0</v>
      </c>
      <c r="F44" s="132">
        <v>0</v>
      </c>
      <c r="G44" s="132">
        <v>0</v>
      </c>
      <c r="H44" s="132">
        <v>0</v>
      </c>
      <c r="I44" s="302">
        <v>0</v>
      </c>
      <c r="J44" s="302">
        <v>0</v>
      </c>
      <c r="K44" s="132">
        <v>0</v>
      </c>
      <c r="L44" s="302">
        <v>0</v>
      </c>
      <c r="M44" s="132">
        <v>0</v>
      </c>
      <c r="N44" s="132">
        <v>0</v>
      </c>
      <c r="O44" s="132">
        <v>0</v>
      </c>
      <c r="P44" s="302">
        <v>0</v>
      </c>
      <c r="Q44" s="302">
        <v>0</v>
      </c>
      <c r="R44" s="132">
        <v>0</v>
      </c>
      <c r="S44" s="132">
        <v>0</v>
      </c>
      <c r="T44" s="136">
        <v>0</v>
      </c>
    </row>
    <row r="45" spans="1:20" x14ac:dyDescent="0.35">
      <c r="A45" s="50" t="s">
        <v>1706</v>
      </c>
      <c r="B45" s="132">
        <v>0</v>
      </c>
      <c r="C45" s="132">
        <v>0</v>
      </c>
      <c r="D45" s="132">
        <v>0</v>
      </c>
      <c r="E45" s="132">
        <v>0</v>
      </c>
      <c r="F45" s="132">
        <v>0</v>
      </c>
      <c r="G45" s="132">
        <v>0</v>
      </c>
      <c r="H45" s="132">
        <v>0</v>
      </c>
      <c r="I45" s="302">
        <v>0</v>
      </c>
      <c r="J45" s="302">
        <v>0</v>
      </c>
      <c r="K45" s="132">
        <v>0</v>
      </c>
      <c r="L45" s="302">
        <v>0</v>
      </c>
      <c r="M45" s="132">
        <v>1</v>
      </c>
      <c r="N45" s="132">
        <v>1</v>
      </c>
      <c r="O45" s="132">
        <v>0</v>
      </c>
      <c r="P45" s="302">
        <v>0</v>
      </c>
      <c r="Q45" s="302">
        <v>0</v>
      </c>
      <c r="R45" s="132">
        <v>0</v>
      </c>
      <c r="S45" s="132">
        <v>0</v>
      </c>
      <c r="T45" s="136">
        <v>0</v>
      </c>
    </row>
    <row r="46" spans="1:20" x14ac:dyDescent="0.35">
      <c r="A46" s="50" t="s">
        <v>1705</v>
      </c>
      <c r="B46" s="132">
        <v>0</v>
      </c>
      <c r="C46" s="132">
        <v>0</v>
      </c>
      <c r="D46" s="132">
        <v>1</v>
      </c>
      <c r="E46" s="132">
        <v>0</v>
      </c>
      <c r="F46" s="132">
        <v>1</v>
      </c>
      <c r="G46" s="132">
        <v>0</v>
      </c>
      <c r="H46" s="132">
        <v>0</v>
      </c>
      <c r="I46" s="302">
        <v>0</v>
      </c>
      <c r="J46" s="302">
        <v>0</v>
      </c>
      <c r="K46" s="132">
        <v>0</v>
      </c>
      <c r="L46" s="302">
        <v>0</v>
      </c>
      <c r="M46" s="132">
        <v>0</v>
      </c>
      <c r="N46" s="132">
        <v>0</v>
      </c>
      <c r="O46" s="132">
        <v>0</v>
      </c>
      <c r="P46" s="302">
        <v>0</v>
      </c>
      <c r="Q46" s="302">
        <v>0</v>
      </c>
      <c r="R46" s="132">
        <v>0</v>
      </c>
      <c r="S46" s="132">
        <v>0</v>
      </c>
      <c r="T46" s="136">
        <v>0</v>
      </c>
    </row>
    <row r="47" spans="1:20" x14ac:dyDescent="0.35">
      <c r="A47" s="50" t="s">
        <v>1704</v>
      </c>
      <c r="B47" s="132">
        <v>0</v>
      </c>
      <c r="C47" s="132">
        <v>0</v>
      </c>
      <c r="D47" s="132">
        <v>0</v>
      </c>
      <c r="E47" s="132">
        <v>0</v>
      </c>
      <c r="F47" s="132">
        <v>0</v>
      </c>
      <c r="G47" s="132">
        <v>0</v>
      </c>
      <c r="H47" s="132">
        <v>0.85</v>
      </c>
      <c r="I47" s="302">
        <v>0</v>
      </c>
      <c r="J47" s="302">
        <v>0</v>
      </c>
      <c r="K47" s="132">
        <v>0</v>
      </c>
      <c r="L47" s="302">
        <v>0</v>
      </c>
      <c r="M47" s="132">
        <v>0</v>
      </c>
      <c r="N47" s="132">
        <v>0</v>
      </c>
      <c r="O47" s="132">
        <v>0</v>
      </c>
      <c r="P47" s="302">
        <v>0</v>
      </c>
      <c r="Q47" s="302">
        <v>0</v>
      </c>
      <c r="R47" s="132">
        <v>0.26</v>
      </c>
      <c r="S47" s="132">
        <v>0.14000000000000001</v>
      </c>
      <c r="T47" s="136">
        <v>0</v>
      </c>
    </row>
    <row r="48" spans="1:20" x14ac:dyDescent="0.35">
      <c r="A48" s="55" t="s">
        <v>1703</v>
      </c>
      <c r="B48" s="138">
        <v>0</v>
      </c>
      <c r="C48" s="138">
        <v>1</v>
      </c>
      <c r="D48" s="138">
        <v>1</v>
      </c>
      <c r="E48" s="138">
        <v>0</v>
      </c>
      <c r="F48" s="138">
        <v>1</v>
      </c>
      <c r="G48" s="138">
        <v>1</v>
      </c>
      <c r="H48" s="138">
        <v>1</v>
      </c>
      <c r="I48" s="315">
        <v>1</v>
      </c>
      <c r="J48" s="315">
        <v>1</v>
      </c>
      <c r="K48" s="138">
        <v>1</v>
      </c>
      <c r="L48" s="315">
        <v>1</v>
      </c>
      <c r="M48" s="138">
        <v>1</v>
      </c>
      <c r="N48" s="138">
        <v>1</v>
      </c>
      <c r="O48" s="138">
        <v>1</v>
      </c>
      <c r="P48" s="315">
        <v>1</v>
      </c>
      <c r="Q48" s="315">
        <v>1</v>
      </c>
      <c r="R48" s="138">
        <v>1</v>
      </c>
      <c r="S48" s="138">
        <v>1</v>
      </c>
      <c r="T48" s="137">
        <v>1</v>
      </c>
    </row>
    <row r="49" spans="1:46" x14ac:dyDescent="0.35">
      <c r="A49" s="46" t="s">
        <v>1702</v>
      </c>
      <c r="B49" s="122">
        <v>1</v>
      </c>
      <c r="C49" s="122">
        <v>0</v>
      </c>
      <c r="D49" s="122">
        <v>0</v>
      </c>
      <c r="E49" s="122">
        <v>1</v>
      </c>
      <c r="F49" s="122">
        <v>0</v>
      </c>
      <c r="G49" s="122">
        <v>0</v>
      </c>
      <c r="H49" s="122">
        <v>0</v>
      </c>
      <c r="I49" s="293">
        <v>0</v>
      </c>
      <c r="J49" s="293">
        <v>0</v>
      </c>
      <c r="K49" s="122">
        <v>0</v>
      </c>
      <c r="L49" s="293">
        <v>0</v>
      </c>
      <c r="M49" s="122">
        <v>0</v>
      </c>
      <c r="N49" s="122">
        <v>0</v>
      </c>
      <c r="O49" s="122">
        <v>0</v>
      </c>
      <c r="P49" s="293">
        <v>0</v>
      </c>
      <c r="Q49" s="293">
        <v>0</v>
      </c>
      <c r="R49" s="122">
        <v>0</v>
      </c>
      <c r="S49" s="122">
        <v>0</v>
      </c>
      <c r="T49" s="56">
        <v>0</v>
      </c>
    </row>
    <row r="51" spans="1:46" ht="13.9" x14ac:dyDescent="0.4">
      <c r="A51" s="72" t="s">
        <v>1701</v>
      </c>
    </row>
    <row r="52" spans="1:46" ht="30" customHeight="1" x14ac:dyDescent="0.5">
      <c r="A52" s="314"/>
      <c r="B52" s="2193" t="s">
        <v>1700</v>
      </c>
      <c r="C52" s="2194"/>
      <c r="D52" s="2194"/>
      <c r="E52" s="2194"/>
      <c r="F52" s="2194"/>
      <c r="G52" s="2194"/>
      <c r="H52" s="2194"/>
      <c r="I52" s="2194"/>
      <c r="J52" s="2194"/>
      <c r="K52" s="2194"/>
      <c r="L52" s="2194"/>
      <c r="M52" s="2194"/>
      <c r="N52" s="2194"/>
      <c r="O52" s="2194"/>
      <c r="P52" s="2195"/>
      <c r="Q52" s="2193" t="s">
        <v>1699</v>
      </c>
      <c r="R52" s="2194"/>
      <c r="S52" s="2194"/>
      <c r="T52" s="2194"/>
      <c r="U52" s="2194"/>
      <c r="V52" s="2194"/>
      <c r="W52" s="2194"/>
      <c r="X52" s="2194"/>
      <c r="Y52" s="2194"/>
      <c r="Z52" s="2194"/>
      <c r="AA52" s="2194"/>
      <c r="AB52" s="2195"/>
      <c r="AC52" s="2203" t="s">
        <v>1698</v>
      </c>
      <c r="AD52" s="2223"/>
      <c r="AE52" s="2224"/>
      <c r="AF52" s="2203" t="s">
        <v>1697</v>
      </c>
      <c r="AG52" s="2223"/>
      <c r="AH52" s="2224"/>
      <c r="AI52" s="2191" t="s">
        <v>1696</v>
      </c>
      <c r="AJ52" s="2196"/>
      <c r="AK52" s="2196"/>
      <c r="AL52" s="2192"/>
      <c r="AM52" s="2191" t="s">
        <v>1695</v>
      </c>
      <c r="AN52" s="2196"/>
      <c r="AO52" s="2196"/>
      <c r="AP52" s="2196"/>
      <c r="AQ52" s="2196"/>
      <c r="AR52" s="2192"/>
      <c r="AS52" s="2203" t="s">
        <v>1694</v>
      </c>
      <c r="AT52" s="2204"/>
    </row>
    <row r="53" spans="1:46" ht="15.75" x14ac:dyDescent="0.5">
      <c r="A53" s="313"/>
      <c r="B53" s="2193" t="s">
        <v>1693</v>
      </c>
      <c r="C53" s="2194"/>
      <c r="D53" s="2194"/>
      <c r="E53" s="2194"/>
      <c r="F53" s="2194"/>
      <c r="G53" s="2194"/>
      <c r="H53" s="2194"/>
      <c r="I53" s="2194"/>
      <c r="J53" s="2195"/>
      <c r="K53" s="2193" t="s">
        <v>1692</v>
      </c>
      <c r="L53" s="2194"/>
      <c r="M53" s="2194"/>
      <c r="N53" s="2194"/>
      <c r="O53" s="2194"/>
      <c r="P53" s="2195"/>
      <c r="Q53" s="2212" t="s">
        <v>1691</v>
      </c>
      <c r="R53" s="2215"/>
      <c r="S53" s="2193" t="s">
        <v>1690</v>
      </c>
      <c r="T53" s="2194"/>
      <c r="U53" s="2194"/>
      <c r="V53" s="2194"/>
      <c r="W53" s="2194"/>
      <c r="X53" s="2195"/>
      <c r="Y53" s="2191" t="s">
        <v>1689</v>
      </c>
      <c r="Z53" s="2196"/>
      <c r="AA53" s="2196"/>
      <c r="AB53" s="2192"/>
      <c r="AC53" s="2225"/>
      <c r="AD53" s="2226"/>
      <c r="AE53" s="2215"/>
      <c r="AF53" s="2225"/>
      <c r="AG53" s="2226"/>
      <c r="AH53" s="2215"/>
      <c r="AI53" s="2212" t="s">
        <v>1688</v>
      </c>
      <c r="AJ53" s="2218"/>
      <c r="AK53" s="2230" t="s">
        <v>1676</v>
      </c>
      <c r="AL53" s="2231"/>
      <c r="AM53" s="2234" t="s">
        <v>1687</v>
      </c>
      <c r="AN53" s="2231"/>
      <c r="AO53" s="2203" t="s">
        <v>1686</v>
      </c>
      <c r="AP53" s="2221"/>
      <c r="AQ53" s="2228" t="s">
        <v>1685</v>
      </c>
      <c r="AR53" s="2229"/>
      <c r="AS53" s="2212"/>
      <c r="AT53" s="2213"/>
    </row>
    <row r="54" spans="1:46" ht="26.25" customHeight="1" x14ac:dyDescent="0.4">
      <c r="A54" s="312"/>
      <c r="B54" s="2191" t="s">
        <v>1684</v>
      </c>
      <c r="C54" s="2196"/>
      <c r="D54" s="2192"/>
      <c r="E54" s="2191" t="s">
        <v>1683</v>
      </c>
      <c r="F54" s="2196"/>
      <c r="G54" s="2192"/>
      <c r="H54" s="2191" t="s">
        <v>1682</v>
      </c>
      <c r="I54" s="2196"/>
      <c r="J54" s="2192"/>
      <c r="K54" s="2191" t="s">
        <v>1681</v>
      </c>
      <c r="L54" s="2196"/>
      <c r="M54" s="2192"/>
      <c r="N54" s="2191" t="s">
        <v>1680</v>
      </c>
      <c r="O54" s="2196"/>
      <c r="P54" s="2192"/>
      <c r="Q54" s="2216"/>
      <c r="R54" s="2217"/>
      <c r="S54" s="2191" t="s">
        <v>1679</v>
      </c>
      <c r="T54" s="2192"/>
      <c r="U54" s="2206" t="s">
        <v>1676</v>
      </c>
      <c r="V54" s="2207"/>
      <c r="W54" s="2206" t="s">
        <v>1678</v>
      </c>
      <c r="X54" s="2207"/>
      <c r="Y54" s="2191" t="s">
        <v>1677</v>
      </c>
      <c r="Z54" s="2192"/>
      <c r="AA54" s="2206" t="s">
        <v>1676</v>
      </c>
      <c r="AB54" s="2207"/>
      <c r="AC54" s="2216"/>
      <c r="AD54" s="2227"/>
      <c r="AE54" s="2217"/>
      <c r="AF54" s="2216"/>
      <c r="AG54" s="2227"/>
      <c r="AH54" s="2217"/>
      <c r="AI54" s="2219"/>
      <c r="AJ54" s="2220"/>
      <c r="AK54" s="2232"/>
      <c r="AL54" s="2233"/>
      <c r="AM54" s="2235"/>
      <c r="AN54" s="2233"/>
      <c r="AO54" s="2219"/>
      <c r="AP54" s="2222"/>
      <c r="AQ54" s="2220"/>
      <c r="AR54" s="2222"/>
      <c r="AS54" s="2214"/>
      <c r="AT54" s="2211"/>
    </row>
    <row r="55" spans="1:46" ht="81.75" customHeight="1" x14ac:dyDescent="0.4">
      <c r="A55" s="311"/>
      <c r="B55" s="307" t="s">
        <v>1674</v>
      </c>
      <c r="C55" s="307" t="s">
        <v>1673</v>
      </c>
      <c r="D55" s="307" t="s">
        <v>1675</v>
      </c>
      <c r="E55" s="306" t="s">
        <v>1674</v>
      </c>
      <c r="F55" s="307" t="s">
        <v>1673</v>
      </c>
      <c r="G55" s="305" t="s">
        <v>1675</v>
      </c>
      <c r="H55" s="307" t="s">
        <v>1674</v>
      </c>
      <c r="I55" s="307" t="s">
        <v>1673</v>
      </c>
      <c r="J55" s="305" t="s">
        <v>1675</v>
      </c>
      <c r="K55" s="307" t="s">
        <v>1674</v>
      </c>
      <c r="L55" s="307" t="s">
        <v>1673</v>
      </c>
      <c r="M55" s="307" t="s">
        <v>1675</v>
      </c>
      <c r="N55" s="306" t="s">
        <v>1674</v>
      </c>
      <c r="O55" s="307" t="s">
        <v>1673</v>
      </c>
      <c r="P55" s="305" t="s">
        <v>1675</v>
      </c>
      <c r="Q55" s="306" t="s">
        <v>1674</v>
      </c>
      <c r="R55" s="305" t="s">
        <v>1673</v>
      </c>
      <c r="S55" s="306" t="s">
        <v>1674</v>
      </c>
      <c r="T55" s="307" t="s">
        <v>1673</v>
      </c>
      <c r="U55" s="310" t="s">
        <v>1674</v>
      </c>
      <c r="V55" s="308" t="s">
        <v>1673</v>
      </c>
      <c r="W55" s="309" t="s">
        <v>1674</v>
      </c>
      <c r="X55" s="308" t="s">
        <v>1673</v>
      </c>
      <c r="Y55" s="306" t="s">
        <v>1674</v>
      </c>
      <c r="Z55" s="305" t="s">
        <v>1673</v>
      </c>
      <c r="AA55" s="309" t="s">
        <v>1674</v>
      </c>
      <c r="AB55" s="308" t="s">
        <v>1673</v>
      </c>
      <c r="AC55" s="306" t="s">
        <v>1674</v>
      </c>
      <c r="AD55" s="307" t="s">
        <v>1673</v>
      </c>
      <c r="AE55" s="305" t="s">
        <v>1675</v>
      </c>
      <c r="AF55" s="306" t="s">
        <v>1674</v>
      </c>
      <c r="AG55" s="307" t="s">
        <v>1673</v>
      </c>
      <c r="AH55" s="305" t="s">
        <v>1675</v>
      </c>
      <c r="AI55" s="306" t="s">
        <v>1674</v>
      </c>
      <c r="AJ55" s="307" t="s">
        <v>1673</v>
      </c>
      <c r="AK55" s="310" t="s">
        <v>1674</v>
      </c>
      <c r="AL55" s="308" t="s">
        <v>1673</v>
      </c>
      <c r="AM55" s="309" t="s">
        <v>1674</v>
      </c>
      <c r="AN55" s="308" t="s">
        <v>1673</v>
      </c>
      <c r="AO55" s="306" t="s">
        <v>1674</v>
      </c>
      <c r="AP55" s="305" t="s">
        <v>1673</v>
      </c>
      <c r="AQ55" s="307" t="s">
        <v>1674</v>
      </c>
      <c r="AR55" s="305" t="s">
        <v>1673</v>
      </c>
      <c r="AS55" s="306" t="s">
        <v>1674</v>
      </c>
      <c r="AT55" s="305" t="s">
        <v>1673</v>
      </c>
    </row>
    <row r="56" spans="1:46" ht="13.15" x14ac:dyDescent="0.4">
      <c r="A56" s="304" t="s">
        <v>1672</v>
      </c>
      <c r="B56" s="145">
        <v>4.6500000000000004</v>
      </c>
      <c r="E56" s="59">
        <v>0.13</v>
      </c>
      <c r="G56" s="99"/>
      <c r="H56" s="39">
        <v>10</v>
      </c>
      <c r="J56" s="99"/>
      <c r="K56" s="145">
        <v>4.6500000000000004</v>
      </c>
      <c r="N56" s="59">
        <v>39.200000000000003</v>
      </c>
      <c r="P56" s="99"/>
      <c r="Q56" s="59">
        <v>4.08</v>
      </c>
      <c r="R56" s="99"/>
      <c r="S56" s="59">
        <v>9.33</v>
      </c>
      <c r="U56" s="282">
        <v>1.0900000000000001</v>
      </c>
      <c r="V56" s="278"/>
      <c r="W56" s="281">
        <v>0.37</v>
      </c>
      <c r="X56" s="278"/>
      <c r="Y56" s="59">
        <v>4.4000000000000004</v>
      </c>
      <c r="Z56" s="99"/>
      <c r="AA56" s="281">
        <v>0.54</v>
      </c>
      <c r="AB56" s="278"/>
      <c r="AC56" s="59">
        <v>2.57</v>
      </c>
      <c r="AE56" s="99"/>
      <c r="AF56" s="59">
        <v>13.2</v>
      </c>
      <c r="AH56" s="99"/>
      <c r="AI56" s="59">
        <v>2.4</v>
      </c>
      <c r="AK56" s="282">
        <v>2.4</v>
      </c>
      <c r="AL56" s="278"/>
      <c r="AM56" s="281">
        <v>2.4</v>
      </c>
      <c r="AN56" s="278"/>
      <c r="AO56" s="59">
        <v>1.52</v>
      </c>
      <c r="AP56" s="99"/>
      <c r="AQ56" s="39">
        <v>3.3</v>
      </c>
      <c r="AR56" s="99"/>
      <c r="AS56" s="59">
        <v>0.54</v>
      </c>
      <c r="AT56" s="99"/>
    </row>
    <row r="57" spans="1:46" ht="13.15" x14ac:dyDescent="0.4">
      <c r="A57" s="238" t="s">
        <v>1671</v>
      </c>
      <c r="B57" s="132">
        <v>0</v>
      </c>
      <c r="C57" s="132"/>
      <c r="D57" s="132"/>
      <c r="E57" s="295">
        <v>0</v>
      </c>
      <c r="F57" s="132"/>
      <c r="G57" s="136"/>
      <c r="H57" s="132">
        <v>0</v>
      </c>
      <c r="I57" s="132"/>
      <c r="J57" s="136"/>
      <c r="K57" s="132">
        <v>0</v>
      </c>
      <c r="L57" s="132"/>
      <c r="M57" s="132"/>
      <c r="N57" s="295">
        <v>0</v>
      </c>
      <c r="O57" s="132"/>
      <c r="P57" s="136"/>
      <c r="Q57" s="295">
        <v>0</v>
      </c>
      <c r="R57" s="136"/>
      <c r="S57" s="295">
        <v>0</v>
      </c>
      <c r="T57" s="132"/>
      <c r="U57" s="303">
        <v>0</v>
      </c>
      <c r="V57" s="301"/>
      <c r="W57" s="302">
        <v>0</v>
      </c>
      <c r="X57" s="301"/>
      <c r="Y57" s="295">
        <v>0</v>
      </c>
      <c r="Z57" s="136"/>
      <c r="AA57" s="302">
        <v>0</v>
      </c>
      <c r="AB57" s="301"/>
      <c r="AC57" s="295">
        <v>0</v>
      </c>
      <c r="AD57" s="132"/>
      <c r="AE57" s="136"/>
      <c r="AF57" s="295">
        <v>0</v>
      </c>
      <c r="AG57" s="132"/>
      <c r="AH57" s="136"/>
      <c r="AI57" s="295">
        <v>0</v>
      </c>
      <c r="AJ57" s="132"/>
      <c r="AK57" s="303">
        <v>0</v>
      </c>
      <c r="AL57" s="301"/>
      <c r="AM57" s="302">
        <v>0</v>
      </c>
      <c r="AN57" s="301"/>
      <c r="AO57" s="295">
        <v>0</v>
      </c>
      <c r="AP57" s="136"/>
      <c r="AQ57" s="132">
        <v>0</v>
      </c>
      <c r="AR57" s="136"/>
      <c r="AS57" s="295">
        <v>0</v>
      </c>
      <c r="AT57" s="136"/>
    </row>
    <row r="58" spans="1:46" ht="13.15" x14ac:dyDescent="0.4">
      <c r="A58" s="178" t="s">
        <v>1670</v>
      </c>
      <c r="B58" s="101"/>
      <c r="C58" s="101"/>
      <c r="D58" s="101"/>
      <c r="E58" s="61"/>
      <c r="F58" s="101"/>
      <c r="G58" s="60"/>
      <c r="H58" s="101"/>
      <c r="I58" s="101"/>
      <c r="J58" s="60"/>
      <c r="K58" s="101"/>
      <c r="L58" s="101"/>
      <c r="M58" s="101"/>
      <c r="N58" s="61"/>
      <c r="O58" s="101"/>
      <c r="P58" s="60"/>
      <c r="Q58" s="61"/>
      <c r="R58" s="60"/>
      <c r="S58" s="61"/>
      <c r="T58" s="101"/>
      <c r="U58" s="300"/>
      <c r="V58" s="287"/>
      <c r="W58" s="261"/>
      <c r="X58" s="287"/>
      <c r="Y58" s="61"/>
      <c r="Z58" s="60"/>
      <c r="AA58" s="261"/>
      <c r="AB58" s="287"/>
      <c r="AC58" s="61"/>
      <c r="AD58" s="101"/>
      <c r="AE58" s="60"/>
      <c r="AF58" s="61"/>
      <c r="AG58" s="101"/>
      <c r="AH58" s="60"/>
      <c r="AI58" s="61"/>
      <c r="AJ58" s="101"/>
      <c r="AK58" s="300"/>
      <c r="AL58" s="287"/>
      <c r="AM58" s="261"/>
      <c r="AN58" s="287"/>
      <c r="AO58" s="61"/>
      <c r="AP58" s="60"/>
      <c r="AQ58" s="101"/>
      <c r="AR58" s="60"/>
      <c r="AS58" s="61"/>
      <c r="AT58" s="60"/>
    </row>
    <row r="59" spans="1:46" x14ac:dyDescent="0.35">
      <c r="A59" s="50" t="s">
        <v>1668</v>
      </c>
      <c r="B59" s="132">
        <v>8.6999999999999994E-2</v>
      </c>
      <c r="C59" s="132"/>
      <c r="D59" s="132"/>
      <c r="E59" s="295"/>
      <c r="F59" s="132"/>
      <c r="G59" s="136"/>
      <c r="H59" s="132"/>
      <c r="I59" s="132"/>
      <c r="J59" s="136"/>
      <c r="K59" s="132">
        <v>8.6999999999999994E-2</v>
      </c>
      <c r="L59" s="132"/>
      <c r="M59" s="132"/>
      <c r="N59" s="295">
        <v>0.81499999999999995</v>
      </c>
      <c r="O59" s="132"/>
      <c r="P59" s="136"/>
      <c r="Q59" s="299">
        <v>5.0999999999999997E-2</v>
      </c>
      <c r="R59" s="99"/>
      <c r="S59" s="59"/>
      <c r="U59" s="282"/>
      <c r="V59" s="278"/>
      <c r="W59" s="281"/>
      <c r="X59" s="278"/>
      <c r="Y59" s="59"/>
      <c r="Z59" s="99"/>
      <c r="AA59" s="281"/>
      <c r="AB59" s="278"/>
      <c r="AC59" s="295"/>
      <c r="AD59" s="132"/>
      <c r="AE59" s="136"/>
      <c r="AF59" s="295"/>
      <c r="AH59" s="99"/>
      <c r="AI59" s="59"/>
      <c r="AK59" s="282"/>
      <c r="AL59" s="278"/>
      <c r="AM59" s="281"/>
      <c r="AN59" s="278"/>
      <c r="AO59" s="59"/>
      <c r="AP59" s="99"/>
      <c r="AR59" s="99"/>
      <c r="AS59" s="59"/>
      <c r="AT59" s="99"/>
    </row>
    <row r="60" spans="1:46" x14ac:dyDescent="0.35">
      <c r="A60" s="50" t="s">
        <v>1667</v>
      </c>
      <c r="B60" s="132">
        <v>3.7000000000000002E-3</v>
      </c>
      <c r="C60" s="132"/>
      <c r="D60" s="132"/>
      <c r="E60" s="295">
        <v>1</v>
      </c>
      <c r="F60" s="132"/>
      <c r="G60" s="136"/>
      <c r="H60" s="132">
        <v>0.59899999999999998</v>
      </c>
      <c r="I60" s="132"/>
      <c r="J60" s="136"/>
      <c r="K60" s="132">
        <v>3.7000000000000002E-3</v>
      </c>
      <c r="L60" s="132"/>
      <c r="M60" s="132"/>
      <c r="N60" s="295">
        <v>0.13500000000000001</v>
      </c>
      <c r="O60" s="132"/>
      <c r="P60" s="136"/>
      <c r="Q60" s="59"/>
      <c r="R60" s="99"/>
      <c r="S60" s="59"/>
      <c r="U60" s="282"/>
      <c r="V60" s="278"/>
      <c r="W60" s="281"/>
      <c r="X60" s="278"/>
      <c r="Y60" s="59"/>
      <c r="Z60" s="99"/>
      <c r="AA60" s="281"/>
      <c r="AB60" s="278"/>
      <c r="AC60" s="295"/>
      <c r="AD60" s="132"/>
      <c r="AE60" s="136"/>
      <c r="AF60" s="295"/>
      <c r="AH60" s="99"/>
      <c r="AI60" s="59"/>
      <c r="AK60" s="282"/>
      <c r="AL60" s="278"/>
      <c r="AM60" s="281"/>
      <c r="AN60" s="278"/>
      <c r="AO60" s="59"/>
      <c r="AP60" s="99"/>
      <c r="AR60" s="99"/>
      <c r="AS60" s="59"/>
      <c r="AT60" s="99"/>
    </row>
    <row r="61" spans="1:46" x14ac:dyDescent="0.35">
      <c r="A61" s="50" t="s">
        <v>1666</v>
      </c>
      <c r="B61" s="132">
        <v>2.9999999999999997E-4</v>
      </c>
      <c r="C61" s="132"/>
      <c r="D61" s="132"/>
      <c r="E61" s="295"/>
      <c r="F61" s="132"/>
      <c r="G61" s="136"/>
      <c r="H61" s="132"/>
      <c r="I61" s="132"/>
      <c r="J61" s="136"/>
      <c r="K61" s="132">
        <v>2.9999999999999997E-4</v>
      </c>
      <c r="L61" s="132"/>
      <c r="M61" s="132"/>
      <c r="N61" s="295"/>
      <c r="O61" s="132"/>
      <c r="P61" s="136"/>
      <c r="Q61" s="59"/>
      <c r="R61" s="99"/>
      <c r="S61" s="59"/>
      <c r="U61" s="282"/>
      <c r="V61" s="278"/>
      <c r="W61" s="281"/>
      <c r="X61" s="278"/>
      <c r="Y61" s="59"/>
      <c r="Z61" s="99"/>
      <c r="AA61" s="281"/>
      <c r="AB61" s="278"/>
      <c r="AC61" s="295"/>
      <c r="AD61" s="132"/>
      <c r="AE61" s="136"/>
      <c r="AF61" s="295"/>
      <c r="AH61" s="99"/>
      <c r="AI61" s="59"/>
      <c r="AK61" s="282"/>
      <c r="AL61" s="278"/>
      <c r="AM61" s="281"/>
      <c r="AN61" s="278"/>
      <c r="AO61" s="59"/>
      <c r="AP61" s="99"/>
      <c r="AR61" s="99"/>
      <c r="AS61" s="59"/>
      <c r="AT61" s="99"/>
    </row>
    <row r="62" spans="1:46" x14ac:dyDescent="0.35">
      <c r="A62" s="50" t="s">
        <v>1665</v>
      </c>
      <c r="B62" s="132">
        <v>0</v>
      </c>
      <c r="C62" s="132"/>
      <c r="D62" s="132"/>
      <c r="E62" s="295"/>
      <c r="F62" s="132"/>
      <c r="G62" s="136"/>
      <c r="H62" s="132"/>
      <c r="I62" s="132"/>
      <c r="J62" s="136"/>
      <c r="K62" s="132">
        <v>0</v>
      </c>
      <c r="L62" s="132"/>
      <c r="M62" s="132"/>
      <c r="N62" s="295">
        <v>0.05</v>
      </c>
      <c r="O62" s="132"/>
      <c r="P62" s="136"/>
      <c r="Q62" s="59"/>
      <c r="R62" s="99"/>
      <c r="S62" s="59"/>
      <c r="U62" s="282"/>
      <c r="V62" s="278"/>
      <c r="W62" s="281"/>
      <c r="X62" s="278"/>
      <c r="Y62" s="59"/>
      <c r="Z62" s="99"/>
      <c r="AA62" s="281"/>
      <c r="AB62" s="278"/>
      <c r="AC62" s="295"/>
      <c r="AD62" s="132"/>
      <c r="AE62" s="136"/>
      <c r="AF62" s="295"/>
      <c r="AH62" s="99"/>
      <c r="AI62" s="59"/>
      <c r="AK62" s="282"/>
      <c r="AL62" s="278"/>
      <c r="AM62" s="281"/>
      <c r="AN62" s="278"/>
      <c r="AO62" s="59"/>
      <c r="AP62" s="99"/>
      <c r="AR62" s="99"/>
      <c r="AS62" s="59"/>
      <c r="AT62" s="99"/>
    </row>
    <row r="63" spans="1:46" ht="14.25" x14ac:dyDescent="0.45">
      <c r="A63" s="50" t="s">
        <v>1534</v>
      </c>
      <c r="B63" s="132">
        <v>0</v>
      </c>
      <c r="C63" s="132"/>
      <c r="D63" s="132"/>
      <c r="E63" s="295"/>
      <c r="F63" s="132"/>
      <c r="G63" s="136"/>
      <c r="H63" s="132">
        <v>0.2258</v>
      </c>
      <c r="I63" s="132"/>
      <c r="J63" s="136"/>
      <c r="K63" s="132">
        <v>0</v>
      </c>
      <c r="L63" s="132"/>
      <c r="M63" s="132"/>
      <c r="N63" s="295"/>
      <c r="O63" s="132"/>
      <c r="P63" s="136"/>
      <c r="Q63" s="299">
        <v>0.52400000000000002</v>
      </c>
      <c r="R63" s="99"/>
      <c r="S63" s="299">
        <v>0.66</v>
      </c>
      <c r="U63" s="298">
        <v>0.57899999999999996</v>
      </c>
      <c r="V63" s="278"/>
      <c r="W63" s="281"/>
      <c r="X63" s="278"/>
      <c r="Y63" s="59"/>
      <c r="Z63" s="99"/>
      <c r="AA63" s="281"/>
      <c r="AB63" s="278"/>
      <c r="AC63" s="295">
        <v>0.97276264591439698</v>
      </c>
      <c r="AD63" s="132"/>
      <c r="AE63" s="136"/>
      <c r="AF63" s="295">
        <v>0.99880000000000002</v>
      </c>
      <c r="AG63" s="297"/>
      <c r="AH63" s="99"/>
      <c r="AI63" s="59"/>
      <c r="AK63" s="282"/>
      <c r="AL63" s="278"/>
      <c r="AM63" s="296">
        <v>1</v>
      </c>
      <c r="AN63" s="278"/>
      <c r="AO63" s="81">
        <v>1</v>
      </c>
      <c r="AP63" s="99"/>
      <c r="AQ63" s="73">
        <v>1</v>
      </c>
      <c r="AR63" s="99"/>
      <c r="AS63" s="81">
        <v>1</v>
      </c>
      <c r="AT63" s="99"/>
    </row>
    <row r="64" spans="1:46" x14ac:dyDescent="0.35">
      <c r="A64" s="50" t="s">
        <v>1535</v>
      </c>
      <c r="B64" s="132">
        <v>0.90900000000000003</v>
      </c>
      <c r="C64" s="132"/>
      <c r="D64" s="132"/>
      <c r="E64" s="295"/>
      <c r="F64" s="132"/>
      <c r="G64" s="136"/>
      <c r="H64" s="132"/>
      <c r="I64" s="132"/>
      <c r="J64" s="136"/>
      <c r="K64" s="132">
        <v>0.90900000000000003</v>
      </c>
      <c r="L64" s="132"/>
      <c r="M64" s="132"/>
      <c r="N64" s="295"/>
      <c r="O64" s="132"/>
      <c r="P64" s="136"/>
      <c r="Q64" s="59"/>
      <c r="R64" s="99"/>
      <c r="S64" s="59"/>
      <c r="U64" s="282"/>
      <c r="V64" s="278"/>
      <c r="W64" s="281"/>
      <c r="X64" s="278"/>
      <c r="Y64" s="59"/>
      <c r="Z64" s="99"/>
      <c r="AA64" s="281"/>
      <c r="AB64" s="278"/>
      <c r="AC64" s="295"/>
      <c r="AD64" s="132"/>
      <c r="AE64" s="136"/>
      <c r="AF64" s="295"/>
      <c r="AH64" s="99"/>
      <c r="AI64" s="59"/>
      <c r="AK64" s="282"/>
      <c r="AL64" s="278"/>
      <c r="AM64" s="281"/>
      <c r="AN64" s="278"/>
      <c r="AO64" s="59"/>
      <c r="AP64" s="99"/>
      <c r="AR64" s="99"/>
      <c r="AS64" s="59"/>
      <c r="AT64" s="99"/>
    </row>
    <row r="65" spans="1:46" x14ac:dyDescent="0.35">
      <c r="A65" s="46" t="s">
        <v>1664</v>
      </c>
      <c r="B65" s="122">
        <v>0</v>
      </c>
      <c r="C65" s="122"/>
      <c r="D65" s="122"/>
      <c r="E65" s="123">
        <v>0</v>
      </c>
      <c r="F65" s="122"/>
      <c r="G65" s="56"/>
      <c r="H65" s="122">
        <v>0.17520000000000002</v>
      </c>
      <c r="I65" s="122"/>
      <c r="J65" s="56"/>
      <c r="K65" s="122">
        <v>0</v>
      </c>
      <c r="L65" s="122"/>
      <c r="M65" s="122"/>
      <c r="N65" s="123">
        <v>0</v>
      </c>
      <c r="O65" s="122"/>
      <c r="P65" s="56"/>
      <c r="Q65" s="123">
        <v>0.42499999999999993</v>
      </c>
      <c r="R65" s="100"/>
      <c r="S65" s="123">
        <v>0.33999999999999997</v>
      </c>
      <c r="T65" s="77"/>
      <c r="U65" s="294">
        <v>0.42100000000000004</v>
      </c>
      <c r="V65" s="274"/>
      <c r="W65" s="293">
        <v>1</v>
      </c>
      <c r="X65" s="274"/>
      <c r="Y65" s="123">
        <v>1</v>
      </c>
      <c r="Z65" s="100"/>
      <c r="AA65" s="293">
        <v>1</v>
      </c>
      <c r="AB65" s="274"/>
      <c r="AC65" s="123">
        <v>2.7237354085603016E-2</v>
      </c>
      <c r="AD65" s="122"/>
      <c r="AE65" s="56"/>
      <c r="AF65" s="123">
        <v>1.1999999999999789E-3</v>
      </c>
      <c r="AG65" s="77"/>
      <c r="AH65" s="100"/>
      <c r="AI65" s="123">
        <v>1</v>
      </c>
      <c r="AJ65" s="77"/>
      <c r="AK65" s="294">
        <v>1</v>
      </c>
      <c r="AL65" s="274"/>
      <c r="AM65" s="293">
        <v>0</v>
      </c>
      <c r="AN65" s="274"/>
      <c r="AO65" s="123">
        <v>0</v>
      </c>
      <c r="AP65" s="100"/>
      <c r="AQ65" s="122">
        <v>0</v>
      </c>
      <c r="AR65" s="100"/>
      <c r="AS65" s="123">
        <v>0</v>
      </c>
      <c r="AT65" s="100"/>
    </row>
    <row r="66" spans="1:46" ht="13.15" x14ac:dyDescent="0.4">
      <c r="A66" s="238" t="s">
        <v>1669</v>
      </c>
      <c r="E66" s="59"/>
      <c r="G66" s="99"/>
      <c r="J66" s="99"/>
      <c r="N66" s="59"/>
      <c r="P66" s="99"/>
      <c r="Q66" s="59"/>
      <c r="R66" s="99"/>
      <c r="S66" s="59"/>
      <c r="U66" s="282"/>
      <c r="V66" s="278"/>
      <c r="W66" s="281"/>
      <c r="X66" s="278"/>
      <c r="Y66" s="59"/>
      <c r="Z66" s="99"/>
      <c r="AA66" s="281"/>
      <c r="AB66" s="278"/>
      <c r="AC66" s="59"/>
      <c r="AE66" s="99"/>
      <c r="AF66" s="59"/>
      <c r="AH66" s="99"/>
      <c r="AI66" s="59"/>
      <c r="AK66" s="282"/>
      <c r="AL66" s="278"/>
      <c r="AM66" s="281"/>
      <c r="AN66" s="278"/>
      <c r="AO66" s="59"/>
      <c r="AP66" s="99"/>
      <c r="AR66" s="99"/>
      <c r="AS66" s="59"/>
      <c r="AT66" s="99"/>
    </row>
    <row r="67" spans="1:46" x14ac:dyDescent="0.35">
      <c r="A67" s="50" t="s">
        <v>1668</v>
      </c>
      <c r="B67" s="120">
        <v>0.40455000000000002</v>
      </c>
      <c r="E67" s="277">
        <v>0</v>
      </c>
      <c r="G67" s="99"/>
      <c r="H67" s="120">
        <v>0</v>
      </c>
      <c r="J67" s="99"/>
      <c r="K67" s="120">
        <v>0.40455000000000002</v>
      </c>
      <c r="N67" s="277">
        <v>31.948</v>
      </c>
      <c r="P67" s="99"/>
      <c r="Q67" s="277">
        <v>0.20807999999999999</v>
      </c>
      <c r="R67" s="99"/>
      <c r="S67" s="277">
        <v>0</v>
      </c>
      <c r="U67" s="280">
        <v>0</v>
      </c>
      <c r="V67" s="278"/>
      <c r="W67" s="279">
        <v>0</v>
      </c>
      <c r="X67" s="278"/>
      <c r="Y67" s="277">
        <v>0</v>
      </c>
      <c r="Z67" s="99"/>
      <c r="AA67" s="279">
        <v>0</v>
      </c>
      <c r="AB67" s="278"/>
      <c r="AC67" s="277">
        <v>0</v>
      </c>
      <c r="AE67" s="99"/>
      <c r="AF67" s="277">
        <v>0</v>
      </c>
      <c r="AH67" s="99"/>
      <c r="AI67" s="277">
        <v>0</v>
      </c>
      <c r="AK67" s="280">
        <v>0</v>
      </c>
      <c r="AL67" s="278"/>
      <c r="AM67" s="279">
        <v>0</v>
      </c>
      <c r="AN67" s="278"/>
      <c r="AO67" s="277">
        <v>0</v>
      </c>
      <c r="AP67" s="99"/>
      <c r="AQ67" s="120">
        <v>0</v>
      </c>
      <c r="AR67" s="99"/>
      <c r="AS67" s="277">
        <v>0</v>
      </c>
      <c r="AT67" s="99"/>
    </row>
    <row r="68" spans="1:46" x14ac:dyDescent="0.35">
      <c r="A68" s="50" t="s">
        <v>1667</v>
      </c>
      <c r="B68" s="120">
        <v>1.7205000000000002E-2</v>
      </c>
      <c r="E68" s="277">
        <v>0.13</v>
      </c>
      <c r="G68" s="99"/>
      <c r="H68" s="120">
        <v>5.99</v>
      </c>
      <c r="J68" s="99"/>
      <c r="K68" s="120">
        <v>1.7205000000000002E-2</v>
      </c>
      <c r="N68" s="277">
        <v>5.2920000000000007</v>
      </c>
      <c r="P68" s="99"/>
      <c r="Q68" s="277">
        <v>0</v>
      </c>
      <c r="R68" s="99"/>
      <c r="S68" s="277">
        <v>0</v>
      </c>
      <c r="U68" s="280">
        <v>0</v>
      </c>
      <c r="V68" s="278"/>
      <c r="W68" s="279">
        <v>0</v>
      </c>
      <c r="X68" s="278"/>
      <c r="Y68" s="277">
        <v>0</v>
      </c>
      <c r="Z68" s="99"/>
      <c r="AA68" s="279">
        <v>0</v>
      </c>
      <c r="AB68" s="278"/>
      <c r="AC68" s="277">
        <v>0</v>
      </c>
      <c r="AE68" s="99"/>
      <c r="AF68" s="277">
        <v>0</v>
      </c>
      <c r="AH68" s="99"/>
      <c r="AI68" s="277">
        <v>0</v>
      </c>
      <c r="AK68" s="280">
        <v>0</v>
      </c>
      <c r="AL68" s="278"/>
      <c r="AM68" s="279">
        <v>0</v>
      </c>
      <c r="AN68" s="278"/>
      <c r="AO68" s="277">
        <v>0</v>
      </c>
      <c r="AP68" s="99"/>
      <c r="AQ68" s="120">
        <v>0</v>
      </c>
      <c r="AR68" s="99"/>
      <c r="AS68" s="277">
        <v>0</v>
      </c>
      <c r="AT68" s="99"/>
    </row>
    <row r="69" spans="1:46" x14ac:dyDescent="0.35">
      <c r="A69" s="50" t="s">
        <v>1666</v>
      </c>
      <c r="B69" s="120">
        <v>1.395E-3</v>
      </c>
      <c r="E69" s="277">
        <v>0</v>
      </c>
      <c r="G69" s="99"/>
      <c r="H69" s="120">
        <v>0</v>
      </c>
      <c r="J69" s="99"/>
      <c r="K69" s="120">
        <v>1.395E-3</v>
      </c>
      <c r="N69" s="277">
        <v>0</v>
      </c>
      <c r="P69" s="99"/>
      <c r="Q69" s="277">
        <v>0</v>
      </c>
      <c r="R69" s="99"/>
      <c r="S69" s="277">
        <v>0</v>
      </c>
      <c r="U69" s="280">
        <v>0</v>
      </c>
      <c r="V69" s="278"/>
      <c r="W69" s="279">
        <v>0</v>
      </c>
      <c r="X69" s="278"/>
      <c r="Y69" s="277">
        <v>0</v>
      </c>
      <c r="Z69" s="99"/>
      <c r="AA69" s="279">
        <v>0</v>
      </c>
      <c r="AB69" s="278"/>
      <c r="AC69" s="277">
        <v>0</v>
      </c>
      <c r="AE69" s="99"/>
      <c r="AF69" s="277">
        <v>0</v>
      </c>
      <c r="AH69" s="99"/>
      <c r="AI69" s="277">
        <v>0</v>
      </c>
      <c r="AK69" s="280">
        <v>0</v>
      </c>
      <c r="AL69" s="278"/>
      <c r="AM69" s="279">
        <v>0</v>
      </c>
      <c r="AN69" s="278"/>
      <c r="AO69" s="277">
        <v>0</v>
      </c>
      <c r="AP69" s="99"/>
      <c r="AQ69" s="120">
        <v>0</v>
      </c>
      <c r="AR69" s="99"/>
      <c r="AS69" s="277">
        <v>0</v>
      </c>
      <c r="AT69" s="99"/>
    </row>
    <row r="70" spans="1:46" x14ac:dyDescent="0.35">
      <c r="A70" s="50" t="s">
        <v>1665</v>
      </c>
      <c r="B70" s="120">
        <v>0</v>
      </c>
      <c r="E70" s="277">
        <v>0</v>
      </c>
      <c r="G70" s="99"/>
      <c r="H70" s="120">
        <v>0</v>
      </c>
      <c r="J70" s="99"/>
      <c r="K70" s="120">
        <v>0</v>
      </c>
      <c r="N70" s="277">
        <v>1.9600000000000002</v>
      </c>
      <c r="P70" s="99"/>
      <c r="Q70" s="277">
        <v>0</v>
      </c>
      <c r="R70" s="99"/>
      <c r="S70" s="277">
        <v>0</v>
      </c>
      <c r="U70" s="280">
        <v>0</v>
      </c>
      <c r="V70" s="278"/>
      <c r="W70" s="279">
        <v>0</v>
      </c>
      <c r="X70" s="278"/>
      <c r="Y70" s="277">
        <v>0</v>
      </c>
      <c r="Z70" s="99"/>
      <c r="AA70" s="279">
        <v>0</v>
      </c>
      <c r="AB70" s="278"/>
      <c r="AC70" s="277">
        <v>0</v>
      </c>
      <c r="AE70" s="99"/>
      <c r="AF70" s="277">
        <v>0</v>
      </c>
      <c r="AH70" s="99"/>
      <c r="AI70" s="277">
        <v>0</v>
      </c>
      <c r="AK70" s="280">
        <v>0</v>
      </c>
      <c r="AL70" s="278"/>
      <c r="AM70" s="279">
        <v>0</v>
      </c>
      <c r="AN70" s="278"/>
      <c r="AO70" s="277">
        <v>0</v>
      </c>
      <c r="AP70" s="99"/>
      <c r="AQ70" s="120">
        <v>0</v>
      </c>
      <c r="AR70" s="99"/>
      <c r="AS70" s="277">
        <v>0</v>
      </c>
      <c r="AT70" s="99"/>
    </row>
    <row r="71" spans="1:46" x14ac:dyDescent="0.35">
      <c r="A71" s="50" t="s">
        <v>1534</v>
      </c>
      <c r="B71" s="120">
        <v>0</v>
      </c>
      <c r="E71" s="277">
        <v>0</v>
      </c>
      <c r="G71" s="99"/>
      <c r="H71" s="120">
        <v>2.258</v>
      </c>
      <c r="J71" s="99"/>
      <c r="K71" s="120">
        <v>0</v>
      </c>
      <c r="N71" s="277">
        <v>0</v>
      </c>
      <c r="P71" s="99"/>
      <c r="Q71" s="277">
        <v>2.1379200000000003</v>
      </c>
      <c r="S71" s="277">
        <v>6.1577999999999999</v>
      </c>
      <c r="U71" s="280">
        <v>0.63110999999999995</v>
      </c>
      <c r="V71" s="278"/>
      <c r="W71" s="279">
        <v>0</v>
      </c>
      <c r="X71" s="278"/>
      <c r="Y71" s="277">
        <v>0</v>
      </c>
      <c r="Z71" s="99"/>
      <c r="AA71" s="279">
        <v>0</v>
      </c>
      <c r="AB71" s="278"/>
      <c r="AC71" s="277">
        <v>2.5</v>
      </c>
      <c r="AE71" s="99"/>
      <c r="AF71" s="277">
        <v>13.18416</v>
      </c>
      <c r="AH71" s="99"/>
      <c r="AI71" s="277">
        <v>0</v>
      </c>
      <c r="AK71" s="280">
        <v>0</v>
      </c>
      <c r="AL71" s="278"/>
      <c r="AM71" s="279">
        <v>2.4</v>
      </c>
      <c r="AN71" s="278"/>
      <c r="AO71" s="277">
        <v>1.52</v>
      </c>
      <c r="AP71" s="99"/>
      <c r="AQ71" s="120">
        <v>3.3</v>
      </c>
      <c r="AR71" s="99"/>
      <c r="AS71" s="277">
        <v>0.54</v>
      </c>
      <c r="AT71" s="99"/>
    </row>
    <row r="72" spans="1:46" x14ac:dyDescent="0.35">
      <c r="A72" s="50" t="s">
        <v>1535</v>
      </c>
      <c r="B72" s="120">
        <v>4.2268500000000007</v>
      </c>
      <c r="E72" s="277">
        <v>0</v>
      </c>
      <c r="G72" s="99"/>
      <c r="H72" s="120">
        <v>0</v>
      </c>
      <c r="J72" s="99"/>
      <c r="K72" s="120">
        <v>4.2268500000000007</v>
      </c>
      <c r="N72" s="277">
        <v>0</v>
      </c>
      <c r="P72" s="99"/>
      <c r="Q72" s="277">
        <v>0</v>
      </c>
      <c r="S72" s="277">
        <v>0</v>
      </c>
      <c r="U72" s="280">
        <v>0</v>
      </c>
      <c r="V72" s="278"/>
      <c r="W72" s="279">
        <v>0</v>
      </c>
      <c r="X72" s="278"/>
      <c r="Y72" s="277">
        <v>0</v>
      </c>
      <c r="Z72" s="99"/>
      <c r="AA72" s="279">
        <v>0</v>
      </c>
      <c r="AB72" s="278"/>
      <c r="AC72" s="277">
        <v>0</v>
      </c>
      <c r="AE72" s="99"/>
      <c r="AF72" s="277">
        <v>0</v>
      </c>
      <c r="AH72" s="99"/>
      <c r="AI72" s="277">
        <v>0</v>
      </c>
      <c r="AK72" s="280">
        <v>0</v>
      </c>
      <c r="AL72" s="278"/>
      <c r="AM72" s="279">
        <v>0</v>
      </c>
      <c r="AN72" s="278"/>
      <c r="AO72" s="277">
        <v>0</v>
      </c>
      <c r="AP72" s="99"/>
      <c r="AQ72" s="120">
        <v>0</v>
      </c>
      <c r="AR72" s="99"/>
      <c r="AS72" s="277">
        <v>0</v>
      </c>
      <c r="AT72" s="99"/>
    </row>
    <row r="73" spans="1:46" x14ac:dyDescent="0.35">
      <c r="A73" s="50" t="s">
        <v>1664</v>
      </c>
      <c r="B73" s="120">
        <v>0</v>
      </c>
      <c r="E73" s="277">
        <v>0</v>
      </c>
      <c r="G73" s="99"/>
      <c r="H73" s="120">
        <v>1.7520000000000002</v>
      </c>
      <c r="J73" s="99"/>
      <c r="K73" s="120">
        <v>0</v>
      </c>
      <c r="N73" s="277">
        <v>0</v>
      </c>
      <c r="P73" s="99"/>
      <c r="Q73" s="277">
        <v>1.7339999999999998</v>
      </c>
      <c r="S73" s="277">
        <v>3.1721999999999997</v>
      </c>
      <c r="U73" s="280">
        <v>0.45889000000000008</v>
      </c>
      <c r="V73" s="278"/>
      <c r="W73" s="279">
        <v>0.37</v>
      </c>
      <c r="X73" s="278"/>
      <c r="Y73" s="277">
        <v>4.4000000000000004</v>
      </c>
      <c r="Z73" s="99"/>
      <c r="AA73" s="279">
        <v>0.54</v>
      </c>
      <c r="AB73" s="278"/>
      <c r="AC73" s="277">
        <v>6.9999999999999743E-2</v>
      </c>
      <c r="AE73" s="99"/>
      <c r="AF73" s="277">
        <v>1.5839999999999719E-2</v>
      </c>
      <c r="AH73" s="99"/>
      <c r="AI73" s="277">
        <v>2.4</v>
      </c>
      <c r="AK73" s="280">
        <v>2.4</v>
      </c>
      <c r="AL73" s="278"/>
      <c r="AM73" s="279">
        <v>0</v>
      </c>
      <c r="AN73" s="278"/>
      <c r="AO73" s="277">
        <v>0</v>
      </c>
      <c r="AP73" s="99"/>
      <c r="AQ73" s="120">
        <v>0</v>
      </c>
      <c r="AR73" s="99"/>
      <c r="AS73" s="277">
        <v>0</v>
      </c>
      <c r="AT73" s="99"/>
    </row>
    <row r="74" spans="1:46" x14ac:dyDescent="0.35">
      <c r="A74" s="55" t="s">
        <v>1537</v>
      </c>
      <c r="B74" s="157">
        <v>4.8429852893653811</v>
      </c>
      <c r="C74" s="101"/>
      <c r="D74" s="157">
        <v>1.7807714242575774</v>
      </c>
      <c r="E74" s="237">
        <v>0.1530853910249243</v>
      </c>
      <c r="F74" s="101"/>
      <c r="G74" s="156">
        <v>0.28116491178290176</v>
      </c>
      <c r="H74" s="157">
        <v>13.981499313146628</v>
      </c>
      <c r="I74" s="101"/>
      <c r="J74" s="156">
        <v>1.9270299582903523</v>
      </c>
      <c r="K74" s="157">
        <v>4.8054866275564549</v>
      </c>
      <c r="L74" s="101"/>
      <c r="M74" s="157">
        <v>0.28116491178290176</v>
      </c>
      <c r="N74" s="237">
        <v>45.225526182868066</v>
      </c>
      <c r="O74" s="101"/>
      <c r="P74" s="156">
        <v>1.26110607454023</v>
      </c>
      <c r="Q74" s="237">
        <v>6.1887898636572176</v>
      </c>
      <c r="R74" s="60"/>
      <c r="S74" s="237">
        <v>13.361031262153586</v>
      </c>
      <c r="T74" s="101"/>
      <c r="U74" s="288">
        <v>1.6466166251703576</v>
      </c>
      <c r="V74" s="287"/>
      <c r="W74" s="257">
        <v>0.7668440677845384</v>
      </c>
      <c r="X74" s="287"/>
      <c r="Y74" s="237">
        <v>9.1192267520323487</v>
      </c>
      <c r="Z74" s="60"/>
      <c r="AA74" s="257">
        <v>1.1191778286585157</v>
      </c>
      <c r="AB74" s="287"/>
      <c r="AC74" s="237">
        <v>2.9003172008470206</v>
      </c>
      <c r="AD74" s="101"/>
      <c r="AE74" s="156">
        <v>0.75914526181383446</v>
      </c>
      <c r="AF74" s="237">
        <v>14.563031797880909</v>
      </c>
      <c r="AG74" s="101"/>
      <c r="AH74" s="156">
        <v>3.0365810472553382E-2</v>
      </c>
      <c r="AI74" s="237">
        <v>4.9741236829267361</v>
      </c>
      <c r="AJ74" s="101"/>
      <c r="AK74" s="288">
        <v>4.9741236829267361</v>
      </c>
      <c r="AL74" s="287"/>
      <c r="AM74" s="257">
        <v>2.6450290496911917</v>
      </c>
      <c r="AN74" s="287"/>
      <c r="AO74" s="237">
        <v>1.6751850648044213</v>
      </c>
      <c r="AP74" s="60"/>
      <c r="AQ74" s="157">
        <v>3.6369149433253884</v>
      </c>
      <c r="AR74" s="60"/>
      <c r="AS74" s="237">
        <v>0.59513153618051817</v>
      </c>
      <c r="AT74" s="60"/>
    </row>
    <row r="75" spans="1:46" x14ac:dyDescent="0.35">
      <c r="A75" s="50" t="s">
        <v>1536</v>
      </c>
      <c r="B75" s="145">
        <v>4.8375150355594609</v>
      </c>
      <c r="D75" s="145">
        <v>1.7721141546342845</v>
      </c>
      <c r="E75" s="232">
        <v>0.1523518346394106</v>
      </c>
      <c r="G75" s="144">
        <v>0.27974644199651044</v>
      </c>
      <c r="H75" s="145">
        <v>12.491693886003059</v>
      </c>
      <c r="J75" s="144">
        <v>1.9176130396614373</v>
      </c>
      <c r="K75" s="145">
        <v>4.8000720803534902</v>
      </c>
      <c r="M75" s="145">
        <v>0.27974644199651044</v>
      </c>
      <c r="N75" s="232">
        <v>45.025129226123568</v>
      </c>
      <c r="P75" s="144">
        <v>1.2547438266593456</v>
      </c>
      <c r="Q75" s="232">
        <v>5.4969104398835027</v>
      </c>
      <c r="R75" s="99"/>
      <c r="S75" s="232">
        <v>12.095672771731802</v>
      </c>
      <c r="U75" s="286">
        <v>1.463753411199594</v>
      </c>
      <c r="V75" s="278"/>
      <c r="W75" s="256">
        <v>0.61976197706569403</v>
      </c>
      <c r="X75" s="278"/>
      <c r="Y75" s="232">
        <v>7.3701424299704161</v>
      </c>
      <c r="Z75" s="99"/>
      <c r="AA75" s="256">
        <v>0.90451748004182386</v>
      </c>
      <c r="AB75" s="278"/>
      <c r="AC75" s="232">
        <v>2.870725538121587</v>
      </c>
      <c r="AE75" s="144">
        <v>0.75531539339057796</v>
      </c>
      <c r="AF75" s="232">
        <v>14.547425383259764</v>
      </c>
      <c r="AH75" s="144">
        <v>3.0212615735623127E-2</v>
      </c>
      <c r="AI75" s="232">
        <v>4.020077689074772</v>
      </c>
      <c r="AK75" s="286">
        <v>4.020077689074772</v>
      </c>
      <c r="AL75" s="278"/>
      <c r="AM75" s="256">
        <v>2.6433343413026305</v>
      </c>
      <c r="AN75" s="278"/>
      <c r="AO75" s="232">
        <v>1.674111749491666</v>
      </c>
      <c r="AP75" s="99"/>
      <c r="AQ75" s="145">
        <v>3.6345847192911167</v>
      </c>
      <c r="AR75" s="99"/>
      <c r="AS75" s="232">
        <v>0.59475022679309186</v>
      </c>
      <c r="AT75" s="99"/>
    </row>
    <row r="76" spans="1:46" x14ac:dyDescent="0.35">
      <c r="A76" s="50" t="s">
        <v>1535</v>
      </c>
      <c r="B76" s="145">
        <v>4.2426983167379735</v>
      </c>
      <c r="D76" s="145">
        <v>2.0355604986626571E-2</v>
      </c>
      <c r="E76" s="232">
        <v>1.7690613638870916E-3</v>
      </c>
      <c r="G76" s="144">
        <v>3.3396819130441465E-3</v>
      </c>
      <c r="H76" s="145">
        <v>1.4376801520653917</v>
      </c>
      <c r="J76" s="144">
        <v>2.2145961851023372E-2</v>
      </c>
      <c r="K76" s="145">
        <v>4.2424313222674099</v>
      </c>
      <c r="M76" s="145">
        <v>3.3396819130441465E-3</v>
      </c>
      <c r="N76" s="232">
        <v>0.47033277525014755</v>
      </c>
      <c r="P76" s="144">
        <v>1.4979440787491008E-2</v>
      </c>
      <c r="Q76" s="232">
        <v>1.6706018257851447</v>
      </c>
      <c r="R76" s="99"/>
      <c r="S76" s="232">
        <v>3.0554512360569586</v>
      </c>
      <c r="U76" s="286">
        <v>0.44155873087942155</v>
      </c>
      <c r="V76" s="278"/>
      <c r="W76" s="256">
        <v>0.35515896916477485</v>
      </c>
      <c r="X76" s="278"/>
      <c r="Y76" s="232">
        <v>4.223512065743269</v>
      </c>
      <c r="Z76" s="99"/>
      <c r="AA76" s="256">
        <v>0.5183401171594012</v>
      </c>
      <c r="AB76" s="278"/>
      <c r="AC76" s="232">
        <v>7.1451475480466903E-2</v>
      </c>
      <c r="AE76" s="144">
        <v>9.0171411652191953E-3</v>
      </c>
      <c r="AF76" s="232">
        <v>3.7666433918690123E-2</v>
      </c>
      <c r="AH76" s="144">
        <v>3.606856466087678E-4</v>
      </c>
      <c r="AI76" s="232">
        <v>2.3037338540417829</v>
      </c>
      <c r="AK76" s="286">
        <v>2.3037338540417829</v>
      </c>
      <c r="AL76" s="278"/>
      <c r="AM76" s="256">
        <v>4.0888685480785347E-3</v>
      </c>
      <c r="AN76" s="278"/>
      <c r="AO76" s="232">
        <v>2.5896167471164055E-3</v>
      </c>
      <c r="AP76" s="99"/>
      <c r="AQ76" s="145">
        <v>5.6221942536079849E-3</v>
      </c>
      <c r="AR76" s="99"/>
      <c r="AS76" s="232">
        <v>9.1999542331767036E-4</v>
      </c>
      <c r="AT76" s="99"/>
    </row>
    <row r="77" spans="1:46" x14ac:dyDescent="0.35">
      <c r="A77" s="50" t="s">
        <v>1534</v>
      </c>
      <c r="B77" s="145">
        <v>4.4964190072232749E-2</v>
      </c>
      <c r="D77" s="145">
        <v>0.17425252749676548</v>
      </c>
      <c r="E77" s="232">
        <v>1.3898913575025422E-2</v>
      </c>
      <c r="G77" s="144">
        <v>3.0778720159080491E-2</v>
      </c>
      <c r="H77" s="145">
        <v>3.5234137390049134</v>
      </c>
      <c r="J77" s="144">
        <v>0.19164230435902363</v>
      </c>
      <c r="K77" s="145">
        <v>5.0139174133116304E-2</v>
      </c>
      <c r="M77" s="145">
        <v>3.0778720159080491E-2</v>
      </c>
      <c r="N77" s="232">
        <v>5.5832125836979616</v>
      </c>
      <c r="P77" s="144">
        <v>0.13805147560219369</v>
      </c>
      <c r="Q77" s="232">
        <v>3.5435693639148074</v>
      </c>
      <c r="R77" s="99"/>
      <c r="S77" s="232">
        <v>8.9117569789426589</v>
      </c>
      <c r="U77" s="286">
        <v>1.0046649903694262</v>
      </c>
      <c r="V77" s="278"/>
      <c r="W77" s="256">
        <v>0.25253429349015155</v>
      </c>
      <c r="X77" s="278"/>
      <c r="Y77" s="232">
        <v>3.0031105171801813</v>
      </c>
      <c r="Z77" s="99"/>
      <c r="AA77" s="256">
        <v>0.36856356347211311</v>
      </c>
      <c r="AB77" s="278"/>
      <c r="AC77" s="232">
        <v>2.7868437955948062</v>
      </c>
      <c r="AE77" s="144">
        <v>8.3102544429517117E-2</v>
      </c>
      <c r="AF77" s="232">
        <v>14.455730426410533</v>
      </c>
      <c r="AH77" s="144">
        <v>3.3241017771806947E-3</v>
      </c>
      <c r="AI77" s="232">
        <v>1.6380602820982806</v>
      </c>
      <c r="AK77" s="286">
        <v>1.6380602820982806</v>
      </c>
      <c r="AL77" s="278"/>
      <c r="AM77" s="256">
        <v>2.6295043558722617</v>
      </c>
      <c r="AN77" s="278"/>
      <c r="AO77" s="232">
        <v>1.6653527587190993</v>
      </c>
      <c r="AP77" s="99"/>
      <c r="AQ77" s="145">
        <v>3.6155684893243603</v>
      </c>
      <c r="AR77" s="99"/>
      <c r="AS77" s="232">
        <v>0.59163848007125897</v>
      </c>
      <c r="AT77" s="99"/>
    </row>
    <row r="78" spans="1:46" x14ac:dyDescent="0.35">
      <c r="A78" s="50" t="s">
        <v>1533</v>
      </c>
      <c r="B78" s="142">
        <v>0.54985252874925417</v>
      </c>
      <c r="C78" s="77"/>
      <c r="D78" s="142">
        <v>1.5775060221508925</v>
      </c>
      <c r="E78" s="231">
        <v>0.13668385970049809</v>
      </c>
      <c r="F78" s="77"/>
      <c r="G78" s="141">
        <v>0.24562803992438581</v>
      </c>
      <c r="H78" s="142">
        <v>7.5305999949327553</v>
      </c>
      <c r="I78" s="77"/>
      <c r="J78" s="141">
        <v>1.7038247734513905</v>
      </c>
      <c r="K78" s="142">
        <v>0.50750158395296419</v>
      </c>
      <c r="L78" s="77"/>
      <c r="M78" s="142">
        <v>0.24562803992438581</v>
      </c>
      <c r="N78" s="231">
        <v>38.971583867175454</v>
      </c>
      <c r="O78" s="77"/>
      <c r="P78" s="141">
        <v>1.1017129102696608</v>
      </c>
      <c r="Q78" s="231">
        <v>0.28273925018355128</v>
      </c>
      <c r="R78" s="100"/>
      <c r="S78" s="231">
        <v>0.12846455673218746</v>
      </c>
      <c r="T78" s="77"/>
      <c r="U78" s="292">
        <v>1.7529689950746143E-2</v>
      </c>
      <c r="V78" s="274"/>
      <c r="W78" s="255">
        <v>1.206871441076765E-2</v>
      </c>
      <c r="X78" s="274"/>
      <c r="Y78" s="231">
        <v>0.14351984704696666</v>
      </c>
      <c r="Z78" s="100"/>
      <c r="AA78" s="255">
        <v>1.7613799410309543E-2</v>
      </c>
      <c r="AB78" s="274"/>
      <c r="AC78" s="231">
        <v>1.2430267046314489E-2</v>
      </c>
      <c r="AD78" s="77"/>
      <c r="AE78" s="141">
        <v>0.66319570779584158</v>
      </c>
      <c r="AF78" s="231">
        <v>5.4028522930541306E-2</v>
      </c>
      <c r="AG78" s="77"/>
      <c r="AH78" s="141">
        <v>2.6527828311833666E-2</v>
      </c>
      <c r="AI78" s="231">
        <v>7.828355293470908E-2</v>
      </c>
      <c r="AJ78" s="77"/>
      <c r="AK78" s="292">
        <v>7.828355293470908E-2</v>
      </c>
      <c r="AL78" s="274"/>
      <c r="AM78" s="255">
        <v>9.7411168822900632E-3</v>
      </c>
      <c r="AN78" s="274"/>
      <c r="AO78" s="231">
        <v>6.1693740254503736E-3</v>
      </c>
      <c r="AP78" s="100"/>
      <c r="AQ78" s="142">
        <v>1.3394035713148835E-2</v>
      </c>
      <c r="AR78" s="100"/>
      <c r="AS78" s="231">
        <v>2.1917512985152642E-3</v>
      </c>
      <c r="AT78" s="100"/>
    </row>
    <row r="79" spans="1:46" s="48" customFormat="1" x14ac:dyDescent="0.35">
      <c r="A79" s="290" t="s">
        <v>1532</v>
      </c>
      <c r="B79" s="290">
        <v>27.821999999479022</v>
      </c>
      <c r="C79" s="291"/>
      <c r="D79" s="289">
        <v>33.42591937743839</v>
      </c>
      <c r="E79" s="48">
        <v>3.4240427796528765</v>
      </c>
      <c r="F79" s="44"/>
      <c r="G79" s="48">
        <v>5.3415169386989909</v>
      </c>
      <c r="H79" s="290">
        <v>1365.8294754456858</v>
      </c>
      <c r="I79" s="291"/>
      <c r="J79" s="289">
        <v>36.231499806625486</v>
      </c>
      <c r="K79" s="48">
        <v>25.437408143706946</v>
      </c>
      <c r="L79" s="44"/>
      <c r="M79" s="48">
        <v>5.3415169386989909</v>
      </c>
      <c r="N79" s="290">
        <v>799.8184185456945</v>
      </c>
      <c r="O79" s="291"/>
      <c r="P79" s="289">
        <v>23.95825075020074</v>
      </c>
      <c r="Q79" s="48">
        <v>356.95135351781914</v>
      </c>
      <c r="R79" s="44"/>
      <c r="S79" s="290">
        <v>652.21964194567556</v>
      </c>
      <c r="T79" s="289"/>
      <c r="U79" s="48">
        <v>93.517111184651824</v>
      </c>
      <c r="W79" s="290">
        <v>73.77011101735647</v>
      </c>
      <c r="X79" s="289"/>
      <c r="Y79" s="48">
        <v>877.26618507126625</v>
      </c>
      <c r="Z79" s="43"/>
      <c r="AA79" s="48">
        <v>107.66448634965541</v>
      </c>
      <c r="AC79" s="290">
        <v>21.97503612214599</v>
      </c>
      <c r="AD79" s="291"/>
      <c r="AE79" s="289">
        <v>14.422095734487272</v>
      </c>
      <c r="AF79" s="290">
        <v>45.445184047786505</v>
      </c>
      <c r="AG79" s="291"/>
      <c r="AH79" s="289">
        <v>0.57688382937949101</v>
      </c>
      <c r="AI79" s="48">
        <v>478.50882822069065</v>
      </c>
      <c r="AJ79" s="44"/>
      <c r="AK79" s="290">
        <v>478.50882822069065</v>
      </c>
      <c r="AL79" s="289"/>
      <c r="AM79" s="48">
        <v>7.6977874870808609</v>
      </c>
      <c r="AO79" s="290">
        <v>4.8752654084845455</v>
      </c>
      <c r="AP79" s="289"/>
      <c r="AQ79" s="48">
        <v>10.584457794736185</v>
      </c>
      <c r="AR79" s="43"/>
      <c r="AS79" s="48">
        <v>1.7320021845931939</v>
      </c>
      <c r="AT79" s="43"/>
    </row>
    <row r="80" spans="1:46" ht="13.15" x14ac:dyDescent="0.4">
      <c r="A80" s="178" t="s">
        <v>1663</v>
      </c>
      <c r="B80" s="157"/>
      <c r="C80" s="101"/>
      <c r="D80" s="101"/>
      <c r="E80" s="237"/>
      <c r="F80" s="101"/>
      <c r="G80" s="60"/>
      <c r="H80" s="157"/>
      <c r="I80" s="101"/>
      <c r="J80" s="60"/>
      <c r="K80" s="157"/>
      <c r="L80" s="101"/>
      <c r="M80" s="101"/>
      <c r="N80" s="237"/>
      <c r="O80" s="101"/>
      <c r="P80" s="60"/>
      <c r="Q80" s="237"/>
      <c r="R80" s="60"/>
      <c r="S80" s="237"/>
      <c r="T80" s="101"/>
      <c r="U80" s="288"/>
      <c r="V80" s="287"/>
      <c r="W80" s="257"/>
      <c r="X80" s="287"/>
      <c r="Y80" s="237"/>
      <c r="Z80" s="60"/>
      <c r="AA80" s="257"/>
      <c r="AB80" s="287"/>
      <c r="AC80" s="237"/>
      <c r="AD80" s="101"/>
      <c r="AE80" s="60"/>
      <c r="AF80" s="237"/>
      <c r="AG80" s="101"/>
      <c r="AH80" s="60"/>
      <c r="AI80" s="237"/>
      <c r="AJ80" s="101"/>
      <c r="AK80" s="288"/>
      <c r="AL80" s="287"/>
      <c r="AM80" s="257"/>
      <c r="AN80" s="287"/>
      <c r="AO80" s="237"/>
      <c r="AP80" s="60"/>
      <c r="AQ80" s="157"/>
      <c r="AR80" s="60"/>
      <c r="AS80" s="237"/>
      <c r="AT80" s="60"/>
    </row>
    <row r="81" spans="1:46" x14ac:dyDescent="0.35">
      <c r="A81" s="50" t="s">
        <v>1525</v>
      </c>
      <c r="B81" s="145">
        <v>79.148356913526996</v>
      </c>
      <c r="D81" s="145">
        <v>77.850163784154844</v>
      </c>
      <c r="E81" s="232">
        <v>3.1972694194589106</v>
      </c>
      <c r="G81" s="144">
        <v>8.0294391683301622</v>
      </c>
      <c r="H81" s="145">
        <v>709.01340534040071</v>
      </c>
      <c r="J81" s="144">
        <v>80.227290990516281</v>
      </c>
      <c r="K81" s="145">
        <v>77.674231900299404</v>
      </c>
      <c r="M81" s="145">
        <v>8.0294391683301622</v>
      </c>
      <c r="N81" s="232">
        <v>622.33621242395509</v>
      </c>
      <c r="O81" s="109">
        <v>2.4</v>
      </c>
      <c r="P81" s="144">
        <v>47.233403289053619</v>
      </c>
      <c r="Q81" s="232">
        <v>54.987117338561703</v>
      </c>
      <c r="R81" s="99"/>
      <c r="S81" s="232">
        <v>637.07557840063021</v>
      </c>
      <c r="U81" s="286">
        <v>15.025756999152062</v>
      </c>
      <c r="V81" s="278"/>
      <c r="W81" s="256">
        <v>5.5704008230317843</v>
      </c>
      <c r="X81" s="278"/>
      <c r="Y81" s="232">
        <v>66.242604381999598</v>
      </c>
      <c r="Z81" s="99"/>
      <c r="AA81" s="256">
        <v>8.1297741741544964</v>
      </c>
      <c r="AB81" s="278"/>
      <c r="AC81" s="232">
        <v>276.85794137678772</v>
      </c>
      <c r="AE81" s="144">
        <v>21.679485754491441</v>
      </c>
      <c r="AF81" s="232">
        <v>1454.7365304150849</v>
      </c>
      <c r="AH81" s="144">
        <v>0.8671794301796576</v>
      </c>
      <c r="AI81" s="232">
        <v>36.132329662908866</v>
      </c>
      <c r="AK81" s="286">
        <v>36.132329662908866</v>
      </c>
      <c r="AL81" s="278"/>
      <c r="AM81" s="256">
        <v>30.867918491154786</v>
      </c>
      <c r="AN81" s="278"/>
      <c r="AO81" s="232">
        <v>58.065873711064704</v>
      </c>
      <c r="AP81" s="99"/>
      <c r="AQ81" s="145">
        <v>87.469907925337836</v>
      </c>
      <c r="AR81" s="99"/>
      <c r="AS81" s="232">
        <v>6.9452816605098278</v>
      </c>
      <c r="AT81" s="99"/>
    </row>
    <row r="82" spans="1:46" x14ac:dyDescent="0.35">
      <c r="A82" s="50" t="s">
        <v>1524</v>
      </c>
      <c r="B82" s="145">
        <v>462.95656351150262</v>
      </c>
      <c r="D82" s="145">
        <v>202.04476747969804</v>
      </c>
      <c r="E82" s="232">
        <v>78.045359882545483</v>
      </c>
      <c r="G82" s="144">
        <v>24.313036620639512</v>
      </c>
      <c r="H82" s="145">
        <v>2619.9532809617772</v>
      </c>
      <c r="J82" s="144">
        <v>211.4883114326239</v>
      </c>
      <c r="K82" s="145">
        <v>456.97911778786283</v>
      </c>
      <c r="M82" s="145">
        <v>24.313036620639512</v>
      </c>
      <c r="N82" s="232">
        <v>3487.2766788437762</v>
      </c>
      <c r="O82" s="109">
        <v>19</v>
      </c>
      <c r="P82" s="144">
        <v>145.14139377992623</v>
      </c>
      <c r="Q82" s="232">
        <v>198.71586670844675</v>
      </c>
      <c r="R82" s="99"/>
      <c r="S82" s="232">
        <v>612.5594398306431</v>
      </c>
      <c r="U82" s="286">
        <v>53.49702655773504</v>
      </c>
      <c r="V82" s="278"/>
      <c r="W82" s="256">
        <v>15.554964989824192</v>
      </c>
      <c r="X82" s="278"/>
      <c r="Y82" s="232">
        <v>184.97796204115258</v>
      </c>
      <c r="Z82" s="99"/>
      <c r="AA82" s="256">
        <v>22.701840795959637</v>
      </c>
      <c r="AB82" s="278"/>
      <c r="AC82" s="232">
        <v>207.91357019093687</v>
      </c>
      <c r="AE82" s="144">
        <v>65.645198875726663</v>
      </c>
      <c r="AF82" s="232">
        <v>1081.612727857882</v>
      </c>
      <c r="AH82" s="144">
        <v>2.6258079550290665</v>
      </c>
      <c r="AI82" s="232">
        <v>100.89707020426503</v>
      </c>
      <c r="AK82" s="286">
        <v>100.89707020426503</v>
      </c>
      <c r="AL82" s="278"/>
      <c r="AM82" s="256">
        <v>130.07590941757996</v>
      </c>
      <c r="AN82" s="278"/>
      <c r="AO82" s="232">
        <v>93.364017297800658</v>
      </c>
      <c r="AP82" s="99"/>
      <c r="AQ82" s="145">
        <v>191.69335544917246</v>
      </c>
      <c r="AR82" s="99"/>
      <c r="AS82" s="232">
        <v>29.267079618955499</v>
      </c>
      <c r="AT82" s="99"/>
    </row>
    <row r="83" spans="1:46" x14ac:dyDescent="0.35">
      <c r="A83" s="50" t="s">
        <v>1523</v>
      </c>
      <c r="B83" s="145">
        <v>321.19440852188933</v>
      </c>
      <c r="D83" s="145">
        <v>1328.3602661370237</v>
      </c>
      <c r="E83" s="232">
        <v>231.888605910563</v>
      </c>
      <c r="G83" s="144">
        <v>58.562654228677474</v>
      </c>
      <c r="H83" s="145">
        <v>4951.4255153102858</v>
      </c>
      <c r="J83" s="144">
        <v>1294.9937801070364</v>
      </c>
      <c r="K83" s="145">
        <v>295.25167970927589</v>
      </c>
      <c r="M83" s="145">
        <v>58.562654228677474</v>
      </c>
      <c r="N83" s="232">
        <v>8982.1231003054891</v>
      </c>
      <c r="O83" s="109">
        <v>115</v>
      </c>
      <c r="P83" s="144">
        <v>847.2789360316948</v>
      </c>
      <c r="Q83" s="232">
        <v>361.7356990917242</v>
      </c>
      <c r="R83" s="99"/>
      <c r="S83" s="232">
        <v>1102.9581484122664</v>
      </c>
      <c r="U83" s="286">
        <v>91.554579706494565</v>
      </c>
      <c r="V83" s="278"/>
      <c r="W83" s="256">
        <v>34.935145932606027</v>
      </c>
      <c r="X83" s="278"/>
      <c r="Y83" s="232">
        <v>415.4449786580177</v>
      </c>
      <c r="Z83" s="99"/>
      <c r="AA83" s="256">
        <v>50.986429198938531</v>
      </c>
      <c r="AB83" s="278"/>
      <c r="AC83" s="232">
        <v>356.64776445978873</v>
      </c>
      <c r="AE83" s="144">
        <v>158.11916641742917</v>
      </c>
      <c r="AF83" s="232">
        <v>1847.4805766818117</v>
      </c>
      <c r="AH83" s="144">
        <v>6.3247666566971672</v>
      </c>
      <c r="AI83" s="232">
        <v>226.60635199528235</v>
      </c>
      <c r="AK83" s="286">
        <v>226.60635199528235</v>
      </c>
      <c r="AL83" s="278"/>
      <c r="AM83" s="256">
        <v>183.39687602552934</v>
      </c>
      <c r="AN83" s="278"/>
      <c r="AO83" s="232">
        <v>141.28607481616859</v>
      </c>
      <c r="AP83" s="99"/>
      <c r="AQ83" s="145">
        <v>281.55390453510284</v>
      </c>
      <c r="AR83" s="99"/>
      <c r="AS83" s="232">
        <v>41.264297105744106</v>
      </c>
      <c r="AT83" s="99"/>
    </row>
    <row r="84" spans="1:46" x14ac:dyDescent="0.35">
      <c r="A84" s="50" t="s">
        <v>1522</v>
      </c>
      <c r="B84" s="145">
        <v>138.20634912489197</v>
      </c>
      <c r="C84" s="109">
        <v>17.5</v>
      </c>
      <c r="D84" s="145">
        <v>102.95845954518661</v>
      </c>
      <c r="E84" s="232">
        <v>7.5350720224969292</v>
      </c>
      <c r="G84" s="144">
        <v>2.2148468702843545</v>
      </c>
      <c r="H84" s="145">
        <v>683.83101770660164</v>
      </c>
      <c r="I84" s="109">
        <v>58.3</v>
      </c>
      <c r="J84" s="144">
        <v>98.181887625987613</v>
      </c>
      <c r="K84" s="145">
        <v>137.09574936572511</v>
      </c>
      <c r="L84" s="109">
        <v>17.5</v>
      </c>
      <c r="M84" s="145">
        <v>2.2148468702843545</v>
      </c>
      <c r="N84" s="232">
        <v>1510.1122400040595</v>
      </c>
      <c r="O84" s="109">
        <v>970</v>
      </c>
      <c r="P84" s="144">
        <v>26.352322011412255</v>
      </c>
      <c r="Q84" s="232">
        <v>45.859690049930535</v>
      </c>
      <c r="R84" s="99"/>
      <c r="S84" s="232">
        <v>531.32507155627991</v>
      </c>
      <c r="U84" s="286">
        <v>10.337883809318964</v>
      </c>
      <c r="V84" s="278"/>
      <c r="W84" s="256">
        <v>6.3096395321057788</v>
      </c>
      <c r="X84" s="278"/>
      <c r="Y84" s="232">
        <v>75.033551192609266</v>
      </c>
      <c r="Z84" s="99"/>
      <c r="AA84" s="256">
        <v>9.2086631009111368</v>
      </c>
      <c r="AB84" s="278"/>
      <c r="AC84" s="232">
        <v>227.37850604493713</v>
      </c>
      <c r="AE84" s="144">
        <v>5.9800865497677567</v>
      </c>
      <c r="AF84" s="232">
        <v>1193.0927075690417</v>
      </c>
      <c r="AH84" s="144">
        <v>0.2392034619907103</v>
      </c>
      <c r="AI84" s="232">
        <v>40.927391559605049</v>
      </c>
      <c r="AK84" s="286">
        <v>40.927391559605049</v>
      </c>
      <c r="AL84" s="278"/>
      <c r="AM84" s="256">
        <v>9.5541988394706863</v>
      </c>
      <c r="AN84" s="278"/>
      <c r="AO84" s="232">
        <v>40.233026198331437</v>
      </c>
      <c r="AP84" s="99"/>
      <c r="AQ84" s="145">
        <v>53.096789404272194</v>
      </c>
      <c r="AR84" s="99"/>
      <c r="AS84" s="232">
        <v>2.1496947388809047</v>
      </c>
      <c r="AT84" s="99"/>
    </row>
    <row r="85" spans="1:46" x14ac:dyDescent="0.35">
      <c r="A85" s="50" t="s">
        <v>1521</v>
      </c>
      <c r="B85" s="145">
        <v>99.095889206230567</v>
      </c>
      <c r="D85" s="145">
        <v>91.245599598617304</v>
      </c>
      <c r="E85" s="232">
        <v>7.3680557437127749</v>
      </c>
      <c r="G85" s="144">
        <v>1.2339888786782593</v>
      </c>
      <c r="H85" s="145">
        <v>593.21859696981517</v>
      </c>
      <c r="J85" s="144">
        <v>86.325500659524437</v>
      </c>
      <c r="K85" s="145">
        <v>98.120059436673486</v>
      </c>
      <c r="M85" s="145">
        <v>1.2339888786782593</v>
      </c>
      <c r="N85" s="232">
        <v>876.33518513489992</v>
      </c>
      <c r="O85" s="120"/>
      <c r="P85" s="144">
        <v>24.194762410659088</v>
      </c>
      <c r="Q85" s="232">
        <v>24.992476543350229</v>
      </c>
      <c r="R85" s="99"/>
      <c r="S85" s="232">
        <v>500.45271732096302</v>
      </c>
      <c r="U85" s="286">
        <v>5.8853850716084679</v>
      </c>
      <c r="V85" s="278"/>
      <c r="W85" s="256">
        <v>2.7460570564941129</v>
      </c>
      <c r="X85" s="278"/>
      <c r="Y85" s="232">
        <v>32.655813644794854</v>
      </c>
      <c r="Z85" s="99"/>
      <c r="AA85" s="256">
        <v>4.0077589473157325</v>
      </c>
      <c r="AB85" s="278"/>
      <c r="AC85" s="232">
        <v>226.57442595639537</v>
      </c>
      <c r="AE85" s="144">
        <v>3.3317699724313008</v>
      </c>
      <c r="AF85" s="232">
        <v>1192.2551577758818</v>
      </c>
      <c r="AH85" s="144">
        <v>0.13327079889725202</v>
      </c>
      <c r="AI85" s="232">
        <v>17.81226198806992</v>
      </c>
      <c r="AK85" s="286">
        <v>17.81226198806992</v>
      </c>
      <c r="AL85" s="278"/>
      <c r="AM85" s="256">
        <v>9.4295055824736043</v>
      </c>
      <c r="AN85" s="278"/>
      <c r="AO85" s="232">
        <v>40.154053802233285</v>
      </c>
      <c r="AP85" s="99"/>
      <c r="AQ85" s="145">
        <v>52.925336175901208</v>
      </c>
      <c r="AR85" s="99"/>
      <c r="AS85" s="232">
        <v>2.1216387560565608</v>
      </c>
      <c r="AT85" s="99"/>
    </row>
    <row r="86" spans="1:46" x14ac:dyDescent="0.35">
      <c r="A86" s="50" t="s">
        <v>1520</v>
      </c>
      <c r="B86" s="145">
        <v>399.60528180737583</v>
      </c>
      <c r="D86" s="145">
        <v>759.63284745992758</v>
      </c>
      <c r="E86" s="232">
        <v>3.0608773342053075</v>
      </c>
      <c r="G86" s="144">
        <v>3.6152207629911071</v>
      </c>
      <c r="H86" s="145">
        <v>950.49908938824478</v>
      </c>
      <c r="J86" s="144">
        <v>712.39772931802406</v>
      </c>
      <c r="K86" s="145">
        <v>396.24895333346279</v>
      </c>
      <c r="M86" s="145">
        <v>3.6152207629911071</v>
      </c>
      <c r="N86" s="232">
        <v>22418.923796806346</v>
      </c>
      <c r="O86" s="109">
        <v>0.76</v>
      </c>
      <c r="P86" s="144">
        <v>16.213576972124152</v>
      </c>
      <c r="Q86" s="232">
        <v>615.2214883331344</v>
      </c>
      <c r="R86" s="99"/>
      <c r="S86" s="232">
        <v>1042.2023346714318</v>
      </c>
      <c r="U86" s="286">
        <v>125.16678657989164</v>
      </c>
      <c r="V86" s="278"/>
      <c r="W86" s="256">
        <v>94.873175784090364</v>
      </c>
      <c r="X86" s="278"/>
      <c r="Y86" s="232">
        <v>1128.2215498648586</v>
      </c>
      <c r="Z86" s="99"/>
      <c r="AA86" s="256">
        <v>138.46355384705083</v>
      </c>
      <c r="AB86" s="278"/>
      <c r="AC86" s="232">
        <v>121.99097229024964</v>
      </c>
      <c r="AE86" s="144">
        <v>9.7610960600759888</v>
      </c>
      <c r="AF86" s="232">
        <v>552.74411101517921</v>
      </c>
      <c r="AH86" s="144">
        <v>0.39044384240303953</v>
      </c>
      <c r="AI86" s="232">
        <v>615.39357265355909</v>
      </c>
      <c r="AK86" s="286">
        <v>615.39357265355909</v>
      </c>
      <c r="AL86" s="278"/>
      <c r="AM86" s="256">
        <v>28.524870841450955</v>
      </c>
      <c r="AN86" s="278"/>
      <c r="AO86" s="232">
        <v>29.815614401688013</v>
      </c>
      <c r="AP86" s="99"/>
      <c r="AQ86" s="145">
        <v>52.957620092651219</v>
      </c>
      <c r="AR86" s="99"/>
      <c r="AS86" s="232">
        <v>6.4180959393264656</v>
      </c>
      <c r="AT86" s="99"/>
    </row>
    <row r="87" spans="1:46" x14ac:dyDescent="0.35">
      <c r="A87" s="50" t="s">
        <v>1519</v>
      </c>
      <c r="B87" s="145">
        <v>4.7037978327632182</v>
      </c>
      <c r="D87" s="145">
        <v>13.472890633841264</v>
      </c>
      <c r="E87" s="232">
        <v>5.3674358220184004</v>
      </c>
      <c r="G87" s="144">
        <v>0.13167226146445046</v>
      </c>
      <c r="H87" s="145">
        <v>224.66048399031126</v>
      </c>
      <c r="J87" s="144">
        <v>12.698789056177432</v>
      </c>
      <c r="K87" s="145">
        <v>4.56236580781498</v>
      </c>
      <c r="M87" s="145">
        <v>0.13167226146445046</v>
      </c>
      <c r="N87" s="232">
        <v>206.55444791824911</v>
      </c>
      <c r="O87" s="120"/>
      <c r="P87" s="144">
        <v>2.1709136313872381</v>
      </c>
      <c r="Q87" s="232">
        <v>2.7443359623498207</v>
      </c>
      <c r="R87" s="99"/>
      <c r="S87" s="232">
        <v>80.816199915635295</v>
      </c>
      <c r="U87" s="286">
        <v>0.70058196551960139</v>
      </c>
      <c r="V87" s="278"/>
      <c r="W87" s="256">
        <v>0.20339834427958314</v>
      </c>
      <c r="X87" s="278"/>
      <c r="Y87" s="232">
        <v>2.4187911211626103</v>
      </c>
      <c r="Z87" s="99"/>
      <c r="AA87" s="256">
        <v>0.29685163759722943</v>
      </c>
      <c r="AB87" s="278"/>
      <c r="AC87" s="232">
        <v>37.492756117181429</v>
      </c>
      <c r="AE87" s="144">
        <v>0.3555151059540162</v>
      </c>
      <c r="AF87" s="232">
        <v>197.52997120396302</v>
      </c>
      <c r="AH87" s="144">
        <v>1.4220604238160649E-2</v>
      </c>
      <c r="AI87" s="232">
        <v>1.319340611543242</v>
      </c>
      <c r="AK87" s="286">
        <v>1.319340611543242</v>
      </c>
      <c r="AL87" s="278"/>
      <c r="AM87" s="256">
        <v>1.7048763353709575</v>
      </c>
      <c r="AN87" s="278"/>
      <c r="AO87" s="232">
        <v>6.7197905564016063</v>
      </c>
      <c r="AP87" s="99"/>
      <c r="AQ87" s="145">
        <v>8.9375663511350663</v>
      </c>
      <c r="AR87" s="99"/>
      <c r="AS87" s="232">
        <v>0.38359717545846544</v>
      </c>
      <c r="AT87" s="99"/>
    </row>
    <row r="88" spans="1:46" x14ac:dyDescent="0.35">
      <c r="A88" s="50" t="s">
        <v>1518</v>
      </c>
      <c r="B88" s="145">
        <v>8.9540120050261294</v>
      </c>
      <c r="D88" s="145">
        <v>34.489998441345755</v>
      </c>
      <c r="E88" s="232">
        <v>1.6544238888225298</v>
      </c>
      <c r="G88" s="144">
        <v>0.23741307283260504</v>
      </c>
      <c r="H88" s="145">
        <v>216.17912814235567</v>
      </c>
      <c r="J88" s="144">
        <v>32.414409047228588</v>
      </c>
      <c r="K88" s="145">
        <v>8.5596185971214034</v>
      </c>
      <c r="M88" s="145">
        <v>0.23741307283260504</v>
      </c>
      <c r="N88" s="232">
        <v>147.01038714844572</v>
      </c>
      <c r="O88" s="120"/>
      <c r="P88" s="144">
        <v>19.647778614725734</v>
      </c>
      <c r="Q88" s="232">
        <v>6.0334851669769947</v>
      </c>
      <c r="R88" s="99"/>
      <c r="S88" s="232">
        <v>208.02988655205891</v>
      </c>
      <c r="U88" s="286">
        <v>1.6349197697492994</v>
      </c>
      <c r="V88" s="278"/>
      <c r="W88" s="256">
        <v>0.47750098439388772</v>
      </c>
      <c r="X88" s="278"/>
      <c r="Y88" s="232">
        <v>5.6783900846840707</v>
      </c>
      <c r="Z88" s="99"/>
      <c r="AA88" s="256">
        <v>0.69689332857486319</v>
      </c>
      <c r="AB88" s="278"/>
      <c r="AC88" s="232">
        <v>96.768278536238711</v>
      </c>
      <c r="AE88" s="144">
        <v>0.64101529664803369</v>
      </c>
      <c r="AF88" s="232">
        <v>509.86741667744678</v>
      </c>
      <c r="AH88" s="144">
        <v>2.5640611865921346E-2</v>
      </c>
      <c r="AI88" s="232">
        <v>3.0973036825549474</v>
      </c>
      <c r="AK88" s="286">
        <v>3.0973036825549474</v>
      </c>
      <c r="AL88" s="278"/>
      <c r="AM88" s="256">
        <v>3.965213291677645</v>
      </c>
      <c r="AN88" s="278"/>
      <c r="AO88" s="232">
        <v>17.141212132195843</v>
      </c>
      <c r="AP88" s="99"/>
      <c r="AQ88" s="145">
        <v>22.554948124056761</v>
      </c>
      <c r="AR88" s="99"/>
      <c r="AS88" s="232">
        <v>0.89217299062747024</v>
      </c>
      <c r="AT88" s="99"/>
    </row>
    <row r="89" spans="1:46" x14ac:dyDescent="0.35">
      <c r="A89" s="50" t="s">
        <v>1531</v>
      </c>
      <c r="B89" s="145">
        <v>673.46132817998716</v>
      </c>
      <c r="D89" s="145">
        <v>190.24873864653148</v>
      </c>
      <c r="E89" s="232">
        <v>14.567777578561554</v>
      </c>
      <c r="G89" s="144">
        <v>31.705066629655718</v>
      </c>
      <c r="H89" s="145">
        <v>1794.6625182406542</v>
      </c>
      <c r="J89" s="144">
        <v>207.44511280289279</v>
      </c>
      <c r="K89" s="145">
        <v>670.56202048486807</v>
      </c>
      <c r="M89" s="145">
        <v>31.705066629655718</v>
      </c>
      <c r="N89" s="232">
        <v>4380.9853643728848</v>
      </c>
      <c r="P89" s="144">
        <v>130.69462769996125</v>
      </c>
      <c r="Q89" s="232">
        <v>958.35328419736709</v>
      </c>
      <c r="R89" s="99"/>
      <c r="S89" s="232">
        <v>2220.7340897510098</v>
      </c>
      <c r="U89" s="286">
        <v>262.21781387755323</v>
      </c>
      <c r="V89" s="278"/>
      <c r="W89" s="256">
        <v>98.399309000755466</v>
      </c>
      <c r="X89" s="278"/>
      <c r="Y89" s="232">
        <v>1170.153944873849</v>
      </c>
      <c r="Z89" s="99"/>
      <c r="AA89" s="256">
        <v>143.60980232542693</v>
      </c>
      <c r="AB89" s="278"/>
      <c r="AC89" s="232">
        <v>578.37754802708241</v>
      </c>
      <c r="AE89" s="144">
        <v>85.603679900070418</v>
      </c>
      <c r="AF89" s="232">
        <v>2956.206427788482</v>
      </c>
      <c r="AH89" s="144">
        <v>3.4241471960028167</v>
      </c>
      <c r="AI89" s="232">
        <v>638.2657881130084</v>
      </c>
      <c r="AK89" s="286">
        <v>638.2657881130084</v>
      </c>
      <c r="AL89" s="278"/>
      <c r="AM89" s="256">
        <v>533.075004038835</v>
      </c>
      <c r="AN89" s="278"/>
      <c r="AO89" s="232">
        <v>338.3215772245955</v>
      </c>
      <c r="AP89" s="99"/>
      <c r="AQ89" s="145">
        <v>733.80511055339809</v>
      </c>
      <c r="AR89" s="99"/>
      <c r="AS89" s="232">
        <v>119.94187590873788</v>
      </c>
      <c r="AT89" s="99"/>
    </row>
    <row r="90" spans="1:46" x14ac:dyDescent="0.35">
      <c r="A90" s="50" t="s">
        <v>1530</v>
      </c>
      <c r="B90" s="145">
        <v>0.95877083655209394</v>
      </c>
      <c r="D90" s="145">
        <v>1.4893041345366107</v>
      </c>
      <c r="E90" s="232">
        <v>0.11479941690670305</v>
      </c>
      <c r="G90" s="144">
        <v>8.7860069934401458E-2</v>
      </c>
      <c r="H90" s="145">
        <v>16.95578197754066</v>
      </c>
      <c r="J90" s="144">
        <v>1.4728186520814393</v>
      </c>
      <c r="K90" s="145">
        <v>0.9253278662537463</v>
      </c>
      <c r="M90" s="145">
        <v>8.7860069934401458E-2</v>
      </c>
      <c r="N90" s="232">
        <v>76.545438703292817</v>
      </c>
      <c r="P90" s="144">
        <v>1.9185264446599952</v>
      </c>
      <c r="Q90" s="232">
        <v>8.7609196555299658</v>
      </c>
      <c r="R90" s="99"/>
      <c r="S90" s="232">
        <v>16.246708508082222</v>
      </c>
      <c r="U90" s="286">
        <v>2.3555241370593563</v>
      </c>
      <c r="V90" s="278"/>
      <c r="W90" s="256">
        <v>0.79677978285851181</v>
      </c>
      <c r="X90" s="278"/>
      <c r="Y90" s="232">
        <v>9.4752190393985192</v>
      </c>
      <c r="Z90" s="99"/>
      <c r="AA90" s="256">
        <v>1.1628677911989092</v>
      </c>
      <c r="AB90" s="278"/>
      <c r="AC90" s="232">
        <v>3.6920855280003719</v>
      </c>
      <c r="AE90" s="144">
        <v>0.23722218882288393</v>
      </c>
      <c r="AF90" s="232">
        <v>18.709966025248086</v>
      </c>
      <c r="AH90" s="144">
        <v>9.4888875529153573E-3</v>
      </c>
      <c r="AI90" s="232">
        <v>5.1683012942173736</v>
      </c>
      <c r="AK90" s="286">
        <v>5.1683012942173736</v>
      </c>
      <c r="AL90" s="278"/>
      <c r="AM90" s="256">
        <v>5.1996896706422717</v>
      </c>
      <c r="AN90" s="278"/>
      <c r="AO90" s="232">
        <v>2.9967367914067715</v>
      </c>
      <c r="AP90" s="99"/>
      <c r="AQ90" s="145">
        <v>6.803073297133122</v>
      </c>
      <c r="AR90" s="99"/>
      <c r="AS90" s="232">
        <v>1.1699301758945113</v>
      </c>
      <c r="AT90" s="99"/>
    </row>
    <row r="91" spans="1:46" x14ac:dyDescent="0.35">
      <c r="A91" s="46" t="s">
        <v>1529</v>
      </c>
      <c r="B91" s="44">
        <v>472445.19006707682</v>
      </c>
      <c r="C91" s="285">
        <v>127273</v>
      </c>
      <c r="D91" s="44">
        <v>140227.34344777162</v>
      </c>
      <c r="E91" s="45">
        <v>11633.012520449454</v>
      </c>
      <c r="F91" s="77"/>
      <c r="G91" s="43">
        <v>21527.748574548044</v>
      </c>
      <c r="H91" s="44">
        <v>947668.5104566341</v>
      </c>
      <c r="I91" s="77"/>
      <c r="J91" s="43">
        <v>151167.12602605487</v>
      </c>
      <c r="K91" s="44">
        <v>469572.128870001</v>
      </c>
      <c r="L91" s="285">
        <v>127273</v>
      </c>
      <c r="M91" s="44">
        <v>21527.748574548044</v>
      </c>
      <c r="N91" s="45">
        <v>3699423.0426280871</v>
      </c>
      <c r="O91" s="77"/>
      <c r="P91" s="43">
        <v>96498.166233437543</v>
      </c>
      <c r="Q91" s="45">
        <v>401518.34511342924</v>
      </c>
      <c r="R91" s="43"/>
      <c r="S91" s="45">
        <v>843234.4970588095</v>
      </c>
      <c r="T91" s="285">
        <v>483505</v>
      </c>
      <c r="U91" s="284">
        <v>105251.27973631927</v>
      </c>
      <c r="V91" s="274"/>
      <c r="W91" s="260">
        <v>51554.893961305519</v>
      </c>
      <c r="X91" s="274"/>
      <c r="Y91" s="45">
        <v>613085.22548579541</v>
      </c>
      <c r="Z91" s="100"/>
      <c r="AA91" s="260">
        <v>75242.277673256714</v>
      </c>
      <c r="AB91" s="274"/>
      <c r="AC91" s="45">
        <v>172515.68179172016</v>
      </c>
      <c r="AD91" s="285">
        <v>505777.11051316699</v>
      </c>
      <c r="AE91" s="43">
        <v>58124.921151279726</v>
      </c>
      <c r="AF91" s="45">
        <v>860559.48736212135</v>
      </c>
      <c r="AG91" s="285">
        <v>110401.871880098</v>
      </c>
      <c r="AH91" s="43">
        <v>2324.9968460511891</v>
      </c>
      <c r="AI91" s="45">
        <v>334410.122992252</v>
      </c>
      <c r="AJ91" s="77"/>
      <c r="AK91" s="284">
        <v>334410.122992252</v>
      </c>
      <c r="AL91" s="274"/>
      <c r="AM91" s="260">
        <v>157097.19387626831</v>
      </c>
      <c r="AN91" s="274"/>
      <c r="AO91" s="45">
        <v>99355.643567236606</v>
      </c>
      <c r="AP91" s="283">
        <v>342143.99999999994</v>
      </c>
      <c r="AQ91" s="44">
        <v>215845.85919086894</v>
      </c>
      <c r="AR91" s="283">
        <v>1149081.9029787376</v>
      </c>
      <c r="AS91" s="45">
        <v>35346.868622160378</v>
      </c>
      <c r="AT91" s="100"/>
    </row>
    <row r="92" spans="1:46" ht="13.15" x14ac:dyDescent="0.4">
      <c r="A92" s="238" t="s">
        <v>1662</v>
      </c>
      <c r="E92" s="59"/>
      <c r="G92" s="99"/>
      <c r="J92" s="99"/>
      <c r="N92" s="59"/>
      <c r="P92" s="99"/>
      <c r="Q92" s="59"/>
      <c r="R92" s="99"/>
      <c r="S92" s="59"/>
      <c r="U92" s="282"/>
      <c r="V92" s="278"/>
      <c r="W92" s="281"/>
      <c r="X92" s="278"/>
      <c r="Y92" s="59"/>
      <c r="Z92" s="99"/>
      <c r="AA92" s="281"/>
      <c r="AB92" s="278"/>
      <c r="AC92" s="59"/>
      <c r="AE92" s="99"/>
      <c r="AF92" s="59"/>
      <c r="AH92" s="99"/>
      <c r="AI92" s="59"/>
      <c r="AK92" s="282"/>
      <c r="AL92" s="278"/>
      <c r="AM92" s="281"/>
      <c r="AN92" s="278"/>
      <c r="AO92" s="59"/>
      <c r="AP92" s="99"/>
      <c r="AR92" s="99"/>
      <c r="AS92" s="59"/>
      <c r="AT92" s="99"/>
    </row>
    <row r="93" spans="1:46" x14ac:dyDescent="0.35">
      <c r="A93" s="50" t="s">
        <v>1525</v>
      </c>
      <c r="B93" s="120">
        <v>1.2428481940350296</v>
      </c>
      <c r="D93" s="145">
        <v>3.8405214094067706</v>
      </c>
      <c r="E93" s="277">
        <v>0.39350971423432723</v>
      </c>
      <c r="G93" s="144">
        <v>0.70956344713021224</v>
      </c>
      <c r="H93" s="120">
        <v>21.156531866949745</v>
      </c>
      <c r="J93" s="144">
        <v>4.2531964428932776</v>
      </c>
      <c r="K93" s="120">
        <v>1.0511565093181925</v>
      </c>
      <c r="M93" s="145">
        <v>0.70956344713021224</v>
      </c>
      <c r="N93" s="277">
        <v>69.823776074882986</v>
      </c>
      <c r="P93" s="144">
        <v>3.1825976000111726</v>
      </c>
      <c r="Q93" s="277">
        <v>3.4769302507113835</v>
      </c>
      <c r="R93" s="99"/>
      <c r="S93" s="277">
        <v>7.0928047368659133</v>
      </c>
      <c r="U93" s="280">
        <v>0.8703321455161519</v>
      </c>
      <c r="V93" s="278"/>
      <c r="W93" s="279">
        <v>0.3966112073484423</v>
      </c>
      <c r="X93" s="278"/>
      <c r="Y93" s="277">
        <v>4.7164576009003953</v>
      </c>
      <c r="Z93" s="99"/>
      <c r="AA93" s="279">
        <v>0.57883797829232131</v>
      </c>
      <c r="AB93" s="278"/>
      <c r="AC93" s="277">
        <v>1.5741304924656596</v>
      </c>
      <c r="AE93" s="144">
        <v>1.9158213072515733</v>
      </c>
      <c r="AF93" s="277">
        <v>7.9227075372322009</v>
      </c>
      <c r="AH93" s="144">
        <v>7.6632852290062933E-2</v>
      </c>
      <c r="AI93" s="277">
        <v>2.5726132368547607</v>
      </c>
      <c r="AK93" s="280">
        <v>2.5726132368547607</v>
      </c>
      <c r="AL93" s="278"/>
      <c r="AM93" s="279">
        <v>1.4391321021351002</v>
      </c>
      <c r="AN93" s="278"/>
      <c r="AO93" s="277">
        <v>0.91145033135223019</v>
      </c>
      <c r="AP93" s="99"/>
      <c r="AQ93" s="120">
        <v>1.9788066404357627</v>
      </c>
      <c r="AR93" s="99"/>
      <c r="AS93" s="277">
        <v>0.32380472298039759</v>
      </c>
      <c r="AT93" s="99"/>
    </row>
    <row r="94" spans="1:46" x14ac:dyDescent="0.35">
      <c r="A94" s="50" t="s">
        <v>1524</v>
      </c>
      <c r="B94" s="120">
        <v>1.7022353402681794</v>
      </c>
      <c r="D94" s="145">
        <v>3.0237785954781016</v>
      </c>
      <c r="E94" s="277">
        <v>0.28501778300094111</v>
      </c>
      <c r="G94" s="144">
        <v>0.53159110301974088</v>
      </c>
      <c r="H94" s="120">
        <v>23.681560328597666</v>
      </c>
      <c r="J94" s="144">
        <v>3.3231776983224082</v>
      </c>
      <c r="K94" s="120">
        <v>1.2517083633034369</v>
      </c>
      <c r="M94" s="145">
        <v>0.53159110301974088</v>
      </c>
      <c r="N94" s="277">
        <v>60.908560388542881</v>
      </c>
      <c r="P94" s="144">
        <v>2.3843400833293611</v>
      </c>
      <c r="Q94" s="277">
        <v>21.028837590519561</v>
      </c>
      <c r="R94" s="99"/>
      <c r="S94" s="277">
        <v>44.384592618524898</v>
      </c>
      <c r="U94" s="280">
        <v>5.6711934882159483</v>
      </c>
      <c r="V94" s="278"/>
      <c r="W94" s="279">
        <v>3.1039804581387154</v>
      </c>
      <c r="X94" s="278"/>
      <c r="Y94" s="277">
        <v>36.912200042730674</v>
      </c>
      <c r="Z94" s="99"/>
      <c r="AA94" s="279">
        <v>4.530133641607855</v>
      </c>
      <c r="AB94" s="278"/>
      <c r="AC94" s="277">
        <v>7.8027118799998361</v>
      </c>
      <c r="AE94" s="144">
        <v>1.4352959781533006</v>
      </c>
      <c r="AF94" s="277">
        <v>38.18486061025623</v>
      </c>
      <c r="AH94" s="144">
        <v>5.7411839126132021E-2</v>
      </c>
      <c r="AI94" s="277">
        <v>20.133927296034908</v>
      </c>
      <c r="AK94" s="280">
        <v>20.133927296034908</v>
      </c>
      <c r="AL94" s="278"/>
      <c r="AM94" s="279">
        <v>6.9268534405108673</v>
      </c>
      <c r="AN94" s="278"/>
      <c r="AO94" s="277">
        <v>4.3870071789902161</v>
      </c>
      <c r="AP94" s="99"/>
      <c r="AQ94" s="120">
        <v>9.5244234807024419</v>
      </c>
      <c r="AR94" s="99"/>
      <c r="AS94" s="277">
        <v>1.5585420241149452</v>
      </c>
      <c r="AT94" s="99"/>
    </row>
    <row r="95" spans="1:46" x14ac:dyDescent="0.35">
      <c r="A95" s="50" t="s">
        <v>1523</v>
      </c>
      <c r="B95" s="120">
        <v>6.1065808249431637</v>
      </c>
      <c r="D95" s="145">
        <v>5.5868473980020923</v>
      </c>
      <c r="E95" s="277">
        <v>0.50719446721881967</v>
      </c>
      <c r="G95" s="144">
        <v>0.95868764047430199</v>
      </c>
      <c r="H95" s="120">
        <v>55.97103620831102</v>
      </c>
      <c r="J95" s="144">
        <v>6.1178813780974313</v>
      </c>
      <c r="K95" s="120">
        <v>4.5251467571061692</v>
      </c>
      <c r="M95" s="145">
        <v>0.95868764047430199</v>
      </c>
      <c r="N95" s="277">
        <v>118.36055549052671</v>
      </c>
      <c r="P95" s="144">
        <v>4.2999917711008804</v>
      </c>
      <c r="Q95" s="277">
        <v>46.096412678687436</v>
      </c>
      <c r="R95" s="99"/>
      <c r="S95" s="277">
        <v>90.958917202684148</v>
      </c>
      <c r="U95" s="280">
        <v>12.261476266594741</v>
      </c>
      <c r="V95" s="278"/>
      <c r="W95" s="279">
        <v>8.1293236952871517</v>
      </c>
      <c r="X95" s="278"/>
      <c r="Y95" s="277">
        <v>96.673038538549918</v>
      </c>
      <c r="Z95" s="99"/>
      <c r="AA95" s="279">
        <v>11.864418366094762</v>
      </c>
      <c r="AB95" s="278"/>
      <c r="AC95" s="277">
        <v>10.170142069239722</v>
      </c>
      <c r="AE95" s="144">
        <v>2.5884566292806155</v>
      </c>
      <c r="AF95" s="277">
        <v>45.871144449220324</v>
      </c>
      <c r="AH95" s="144">
        <v>0.10353826517122464</v>
      </c>
      <c r="AI95" s="277">
        <v>52.730748293754495</v>
      </c>
      <c r="AK95" s="280">
        <v>52.730748293754495</v>
      </c>
      <c r="AL95" s="278"/>
      <c r="AM95" s="279">
        <v>8.2868754342450117</v>
      </c>
      <c r="AN95" s="278"/>
      <c r="AO95" s="277">
        <v>5.248354441688508</v>
      </c>
      <c r="AP95" s="99"/>
      <c r="AQ95" s="120">
        <v>11.394453722086892</v>
      </c>
      <c r="AR95" s="99"/>
      <c r="AS95" s="277">
        <v>1.864546972705128</v>
      </c>
      <c r="AT95" s="99"/>
    </row>
    <row r="96" spans="1:46" x14ac:dyDescent="0.35">
      <c r="A96" s="50" t="s">
        <v>1522</v>
      </c>
      <c r="B96" s="120">
        <v>0.40534012222857774</v>
      </c>
      <c r="D96" s="145">
        <v>0.83743922674281368</v>
      </c>
      <c r="E96" s="277">
        <v>7.8946397860088294E-2</v>
      </c>
      <c r="G96" s="144">
        <v>0.14239659443625313</v>
      </c>
      <c r="H96" s="120">
        <v>8.9087857780739412</v>
      </c>
      <c r="J96" s="144">
        <v>0.91580794759533735</v>
      </c>
      <c r="K96" s="120">
        <v>0.33626004419211075</v>
      </c>
      <c r="M96" s="145">
        <v>0.14239659443625313</v>
      </c>
      <c r="N96" s="277">
        <v>17.837298477027542</v>
      </c>
      <c r="P96" s="144">
        <v>0.63868997414605855</v>
      </c>
      <c r="Q96" s="277">
        <v>4.8234147054648195</v>
      </c>
      <c r="R96" s="99"/>
      <c r="S96" s="277">
        <v>8.6861454589826472</v>
      </c>
      <c r="U96" s="280">
        <v>1.2524532885605768</v>
      </c>
      <c r="V96" s="278"/>
      <c r="W96" s="279">
        <v>1.0018433260185982</v>
      </c>
      <c r="X96" s="278"/>
      <c r="Y96" s="277">
        <v>11.913812525626573</v>
      </c>
      <c r="Z96" s="99"/>
      <c r="AA96" s="279">
        <v>1.4621497190541703</v>
      </c>
      <c r="AB96" s="278"/>
      <c r="AC96" s="277">
        <v>0.22884911111438841</v>
      </c>
      <c r="AE96" s="144">
        <v>0.3844708049778835</v>
      </c>
      <c r="AF96" s="277">
        <v>0.25020370395815972</v>
      </c>
      <c r="AH96" s="144">
        <v>1.5378832199115339E-2</v>
      </c>
      <c r="AI96" s="277">
        <v>6.4984431957963116</v>
      </c>
      <c r="AK96" s="280">
        <v>6.4984431957963116</v>
      </c>
      <c r="AL96" s="278"/>
      <c r="AM96" s="279">
        <v>3.7738737187516809E-2</v>
      </c>
      <c r="AN96" s="278"/>
      <c r="AO96" s="277">
        <v>2.3901200218760646E-2</v>
      </c>
      <c r="AP96" s="99"/>
      <c r="AQ96" s="120">
        <v>5.189076363283561E-2</v>
      </c>
      <c r="AR96" s="99"/>
      <c r="AS96" s="277">
        <v>8.4912158671912822E-3</v>
      </c>
      <c r="AT96" s="99"/>
    </row>
    <row r="97" spans="1:46" x14ac:dyDescent="0.35">
      <c r="A97" s="50" t="s">
        <v>1521</v>
      </c>
      <c r="B97" s="120">
        <v>0.34037166191973955</v>
      </c>
      <c r="D97" s="145">
        <v>0.65923078570420302</v>
      </c>
      <c r="E97" s="277">
        <v>6.1747935884185375E-2</v>
      </c>
      <c r="G97" s="144">
        <v>0.11083602767420023</v>
      </c>
      <c r="H97" s="120">
        <v>6.2017443713960745</v>
      </c>
      <c r="J97" s="144">
        <v>0.71973662607142663</v>
      </c>
      <c r="K97" s="120">
        <v>0.28256530162294163</v>
      </c>
      <c r="M97" s="145">
        <v>0.11083602767420023</v>
      </c>
      <c r="N97" s="277">
        <v>14.347758404950699</v>
      </c>
      <c r="P97" s="144">
        <v>0.49713169005159996</v>
      </c>
      <c r="Q97" s="277">
        <v>3.5618401630809999</v>
      </c>
      <c r="R97" s="99"/>
      <c r="S97" s="277">
        <v>6.4063912234679048</v>
      </c>
      <c r="U97" s="280">
        <v>0.92320562250160632</v>
      </c>
      <c r="V97" s="278"/>
      <c r="W97" s="279">
        <v>0.73743373272005852</v>
      </c>
      <c r="X97" s="278"/>
      <c r="Y97" s="277">
        <v>8.7694822269412374</v>
      </c>
      <c r="Z97" s="99"/>
      <c r="AA97" s="279">
        <v>1.0762546369427881</v>
      </c>
      <c r="AB97" s="278"/>
      <c r="AC97" s="277">
        <v>0.1736147979865737</v>
      </c>
      <c r="AE97" s="144">
        <v>0.29925727472034064</v>
      </c>
      <c r="AF97" s="277">
        <v>0.2114037027714685</v>
      </c>
      <c r="AH97" s="144">
        <v>1.1970290988813624E-2</v>
      </c>
      <c r="AI97" s="277">
        <v>4.7833539419679472</v>
      </c>
      <c r="AK97" s="280">
        <v>4.7833539419679472</v>
      </c>
      <c r="AL97" s="278"/>
      <c r="AM97" s="279">
        <v>3.2736295692008699E-2</v>
      </c>
      <c r="AN97" s="278"/>
      <c r="AO97" s="277">
        <v>2.073298727160551E-2</v>
      </c>
      <c r="AP97" s="99"/>
      <c r="AQ97" s="120">
        <v>4.5012406576511961E-2</v>
      </c>
      <c r="AR97" s="99"/>
      <c r="AS97" s="277">
        <v>7.365666530701958E-3</v>
      </c>
      <c r="AT97" s="99"/>
    </row>
    <row r="98" spans="1:46" x14ac:dyDescent="0.35">
      <c r="A98" s="50" t="s">
        <v>1520</v>
      </c>
      <c r="B98" s="120">
        <v>2.5458990454408221</v>
      </c>
      <c r="D98" s="145">
        <v>6.4466980215942851</v>
      </c>
      <c r="E98" s="277">
        <v>0.62014830553824862</v>
      </c>
      <c r="G98" s="144">
        <v>1.1131900035185787</v>
      </c>
      <c r="H98" s="120">
        <v>162.66960754334613</v>
      </c>
      <c r="J98" s="144">
        <v>7.0660153992282355</v>
      </c>
      <c r="K98" s="120">
        <v>2.3941399992484369</v>
      </c>
      <c r="M98" s="145">
        <v>1.1131900035185787</v>
      </c>
      <c r="N98" s="277">
        <v>133.96360666588171</v>
      </c>
      <c r="P98" s="144">
        <v>4.9929796241385445</v>
      </c>
      <c r="Q98" s="277">
        <v>158.81308935102268</v>
      </c>
      <c r="R98" s="99"/>
      <c r="S98" s="277">
        <v>289.8986095686065</v>
      </c>
      <c r="U98" s="280">
        <v>41.862320196154506</v>
      </c>
      <c r="V98" s="278"/>
      <c r="W98" s="279">
        <v>33.607576965856893</v>
      </c>
      <c r="X98" s="278"/>
      <c r="Y98" s="277">
        <v>399.65767202640632</v>
      </c>
      <c r="Z98" s="99"/>
      <c r="AA98" s="279">
        <v>49.048896112331683</v>
      </c>
      <c r="AB98" s="278"/>
      <c r="AC98" s="277">
        <v>7.0741903891867413</v>
      </c>
      <c r="AE98" s="144">
        <v>3.0056130095001619</v>
      </c>
      <c r="AF98" s="277">
        <v>5.2147118470173988</v>
      </c>
      <c r="AH98" s="144">
        <v>0.12022452038000646</v>
      </c>
      <c r="AI98" s="277">
        <v>217.99509383258524</v>
      </c>
      <c r="AK98" s="280">
        <v>217.99509383258524</v>
      </c>
      <c r="AL98" s="278"/>
      <c r="AM98" s="279">
        <v>0.68736014630690667</v>
      </c>
      <c r="AN98" s="278"/>
      <c r="AO98" s="277">
        <v>0.43532809266104089</v>
      </c>
      <c r="AP98" s="99"/>
      <c r="AQ98" s="120">
        <v>0.94512020117199669</v>
      </c>
      <c r="AR98" s="99"/>
      <c r="AS98" s="277">
        <v>0.15465603291905403</v>
      </c>
      <c r="AT98" s="99"/>
    </row>
    <row r="99" spans="1:46" x14ac:dyDescent="0.35">
      <c r="A99" s="50" t="s">
        <v>1519</v>
      </c>
      <c r="B99" s="120">
        <v>3.7224877327139722E-2</v>
      </c>
      <c r="D99" s="145">
        <v>8.0308042599326793E-2</v>
      </c>
      <c r="E99" s="277">
        <v>7.7557788348163953E-3</v>
      </c>
      <c r="G99" s="144">
        <v>1.3786312918930878E-2</v>
      </c>
      <c r="H99" s="120">
        <v>0.58282757295051224</v>
      </c>
      <c r="J99" s="144">
        <v>8.7946728601151977E-2</v>
      </c>
      <c r="K99" s="120">
        <v>2.9649522273330148E-2</v>
      </c>
      <c r="M99" s="145">
        <v>1.3786312918930878E-2</v>
      </c>
      <c r="N99" s="277">
        <v>1.6787903274857321</v>
      </c>
      <c r="P99" s="144">
        <v>6.1835606930215337E-2</v>
      </c>
      <c r="Q99" s="277">
        <v>0.22029440008513448</v>
      </c>
      <c r="R99" s="99"/>
      <c r="S99" s="277">
        <v>0.39264556855965033</v>
      </c>
      <c r="U99" s="280">
        <v>5.6126157883423372E-2</v>
      </c>
      <c r="V99" s="278"/>
      <c r="W99" s="279">
        <v>4.3933595998278917E-2</v>
      </c>
      <c r="X99" s="278"/>
      <c r="Y99" s="277">
        <v>0.52245357403358716</v>
      </c>
      <c r="Z99" s="99"/>
      <c r="AA99" s="279">
        <v>6.411930226775843E-2</v>
      </c>
      <c r="AB99" s="278"/>
      <c r="AC99" s="277">
        <v>1.4799585616308945E-2</v>
      </c>
      <c r="AE99" s="144">
        <v>3.7223044881113367E-2</v>
      </c>
      <c r="AF99" s="277">
        <v>3.6095437847608616E-2</v>
      </c>
      <c r="AH99" s="144">
        <v>1.4889217952445348E-3</v>
      </c>
      <c r="AI99" s="277">
        <v>0.28497467674559296</v>
      </c>
      <c r="AK99" s="280">
        <v>0.28497467674559296</v>
      </c>
      <c r="AL99" s="278"/>
      <c r="AM99" s="279">
        <v>6.2283112427800142E-3</v>
      </c>
      <c r="AN99" s="278"/>
      <c r="AO99" s="277">
        <v>3.9445971204273428E-3</v>
      </c>
      <c r="AP99" s="99"/>
      <c r="AQ99" s="120">
        <v>8.5639279588225203E-3</v>
      </c>
      <c r="AR99" s="99"/>
      <c r="AS99" s="277">
        <v>1.4013700296255033E-3</v>
      </c>
      <c r="AT99" s="99"/>
    </row>
    <row r="100" spans="1:46" x14ac:dyDescent="0.35">
      <c r="A100" s="46" t="s">
        <v>1518</v>
      </c>
      <c r="B100" s="119">
        <v>0.12592445847677311</v>
      </c>
      <c r="C100" s="77"/>
      <c r="D100" s="142">
        <v>0.11506419442992451</v>
      </c>
      <c r="E100" s="273">
        <v>1.0829208497153331E-2</v>
      </c>
      <c r="F100" s="77"/>
      <c r="G100" s="141">
        <v>1.9376697188712478E-2</v>
      </c>
      <c r="H100" s="119">
        <v>0.95991362886210929</v>
      </c>
      <c r="I100" s="77"/>
      <c r="J100" s="141">
        <v>0.12565431730335253</v>
      </c>
      <c r="K100" s="119">
        <v>0.10569325376872686</v>
      </c>
      <c r="L100" s="77"/>
      <c r="M100" s="142">
        <v>1.9376697188712478E-2</v>
      </c>
      <c r="N100" s="273">
        <v>2.5078038576072834</v>
      </c>
      <c r="O100" s="77"/>
      <c r="P100" s="141">
        <v>8.6910099749857639E-2</v>
      </c>
      <c r="Q100" s="273">
        <v>0.55199873852686621</v>
      </c>
      <c r="R100" s="100"/>
      <c r="S100" s="273">
        <v>0.99480212932894596</v>
      </c>
      <c r="T100" s="77"/>
      <c r="U100" s="276">
        <v>0.14282564779693296</v>
      </c>
      <c r="V100" s="274"/>
      <c r="W100" s="275">
        <v>0.11303854429876854</v>
      </c>
      <c r="X100" s="274"/>
      <c r="Y100" s="273">
        <v>1.3442421484177882</v>
      </c>
      <c r="Z100" s="100"/>
      <c r="AA100" s="275">
        <v>0.16497517276036491</v>
      </c>
      <c r="AB100" s="274"/>
      <c r="AC100" s="273">
        <v>3.1805236879834269E-2</v>
      </c>
      <c r="AD100" s="77"/>
      <c r="AE100" s="141">
        <v>5.2317082409523694E-2</v>
      </c>
      <c r="AF100" s="273">
        <v>5.9788563620425006E-2</v>
      </c>
      <c r="AG100" s="77"/>
      <c r="AH100" s="141">
        <v>2.0926832963809481E-3</v>
      </c>
      <c r="AI100" s="273">
        <v>0.73322299004606617</v>
      </c>
      <c r="AJ100" s="77"/>
      <c r="AK100" s="276">
        <v>0.73322299004606617</v>
      </c>
      <c r="AL100" s="274"/>
      <c r="AM100" s="275">
        <v>1.0002783683351122E-2</v>
      </c>
      <c r="AN100" s="274"/>
      <c r="AO100" s="273">
        <v>6.3350963327890438E-3</v>
      </c>
      <c r="AP100" s="100"/>
      <c r="AQ100" s="119">
        <v>1.3753827564607793E-2</v>
      </c>
      <c r="AR100" s="100"/>
      <c r="AS100" s="273">
        <v>2.2506263287540027E-3</v>
      </c>
      <c r="AT100" s="100"/>
    </row>
    <row r="101" spans="1:46" x14ac:dyDescent="0.35">
      <c r="B101" s="120"/>
      <c r="D101" s="145"/>
      <c r="E101" s="120"/>
      <c r="G101" s="145"/>
      <c r="H101" s="120"/>
      <c r="J101" s="145"/>
      <c r="K101" s="120"/>
      <c r="M101" s="145"/>
      <c r="N101" s="120"/>
      <c r="P101" s="145"/>
      <c r="Q101" s="120"/>
      <c r="S101" s="120"/>
      <c r="U101" s="120"/>
      <c r="W101" s="120"/>
      <c r="Y101" s="120"/>
      <c r="AA101" s="120"/>
      <c r="AC101" s="120"/>
      <c r="AE101" s="145"/>
      <c r="AF101" s="120"/>
      <c r="AH101" s="145"/>
      <c r="AI101" s="120"/>
      <c r="AK101" s="120"/>
      <c r="AM101" s="120"/>
      <c r="AO101" s="120"/>
      <c r="AQ101" s="120"/>
      <c r="AS101" s="120"/>
    </row>
    <row r="102" spans="1:46" ht="13.9" x14ac:dyDescent="0.4">
      <c r="A102" s="72" t="s">
        <v>1661</v>
      </c>
    </row>
    <row r="103" spans="1:46" ht="15.75" customHeight="1" x14ac:dyDescent="0.5">
      <c r="A103" s="272"/>
      <c r="B103" s="2193" t="s">
        <v>1660</v>
      </c>
      <c r="C103" s="2194"/>
      <c r="D103" s="2194"/>
      <c r="E103" s="2194"/>
      <c r="F103" s="2194"/>
      <c r="G103" s="2194"/>
      <c r="H103" s="2194"/>
      <c r="I103" s="2194"/>
      <c r="J103" s="2194"/>
      <c r="K103" s="2194"/>
      <c r="L103" s="2194"/>
      <c r="M103" s="2194"/>
      <c r="N103" s="2194"/>
      <c r="O103" s="2194"/>
      <c r="P103" s="2195"/>
      <c r="Q103" s="2191" t="s">
        <v>1635</v>
      </c>
      <c r="R103" s="2196"/>
      <c r="S103" s="2196"/>
      <c r="T103" s="2196"/>
      <c r="U103" s="2192"/>
      <c r="V103" s="2208" t="s">
        <v>1659</v>
      </c>
      <c r="W103" s="2208" t="s">
        <v>1658</v>
      </c>
      <c r="X103" s="2191" t="s">
        <v>1633</v>
      </c>
      <c r="Y103" s="2196"/>
      <c r="Z103" s="2192"/>
    </row>
    <row r="104" spans="1:46" ht="29.25" customHeight="1" x14ac:dyDescent="0.5">
      <c r="A104" s="59"/>
      <c r="B104" s="2191" t="s">
        <v>1657</v>
      </c>
      <c r="C104" s="2196"/>
      <c r="D104" s="2196"/>
      <c r="E104" s="2196"/>
      <c r="F104" s="2196"/>
      <c r="G104" s="2196"/>
      <c r="H104" s="2196"/>
      <c r="I104" s="2196"/>
      <c r="J104" s="2192"/>
      <c r="K104" s="2191" t="s">
        <v>1656</v>
      </c>
      <c r="L104" s="2196"/>
      <c r="M104" s="2192"/>
      <c r="N104" s="2191" t="s">
        <v>1655</v>
      </c>
      <c r="O104" s="2196"/>
      <c r="P104" s="2192"/>
      <c r="Q104" s="2204" t="s">
        <v>1654</v>
      </c>
      <c r="R104" s="2191" t="s">
        <v>1653</v>
      </c>
      <c r="S104" s="2192"/>
      <c r="T104" s="2191" t="s">
        <v>1652</v>
      </c>
      <c r="U104" s="2192"/>
      <c r="V104" s="2209"/>
      <c r="W104" s="2209"/>
      <c r="X104" s="2191" t="s">
        <v>1651</v>
      </c>
      <c r="Y104" s="2196"/>
      <c r="Z104" s="2192"/>
    </row>
    <row r="105" spans="1:46" ht="26.25" customHeight="1" x14ac:dyDescent="0.5">
      <c r="A105" s="59"/>
      <c r="B105" s="271" t="s">
        <v>1650</v>
      </c>
      <c r="C105" s="270" t="s">
        <v>1649</v>
      </c>
      <c r="D105" s="270" t="s">
        <v>1648</v>
      </c>
      <c r="E105" s="270" t="s">
        <v>1647</v>
      </c>
      <c r="F105" s="270" t="s">
        <v>1646</v>
      </c>
      <c r="G105" s="270" t="s">
        <v>1645</v>
      </c>
      <c r="H105" s="270" t="s">
        <v>1644</v>
      </c>
      <c r="I105" s="270" t="s">
        <v>1643</v>
      </c>
      <c r="J105" s="270" t="s">
        <v>1636</v>
      </c>
      <c r="K105" s="271" t="s">
        <v>1642</v>
      </c>
      <c r="L105" s="270" t="s">
        <v>1641</v>
      </c>
      <c r="M105" s="269" t="s">
        <v>1636</v>
      </c>
      <c r="N105" s="270" t="s">
        <v>1640</v>
      </c>
      <c r="O105" s="270" t="s">
        <v>1639</v>
      </c>
      <c r="P105" s="269" t="s">
        <v>1638</v>
      </c>
      <c r="Q105" s="2211"/>
      <c r="R105" s="268" t="s">
        <v>1637</v>
      </c>
      <c r="S105" s="267" t="s">
        <v>1635</v>
      </c>
      <c r="T105" s="266" t="s">
        <v>1636</v>
      </c>
      <c r="U105" s="265" t="s">
        <v>1635</v>
      </c>
      <c r="V105" s="2210"/>
      <c r="W105" s="2210"/>
      <c r="X105" s="264" t="s">
        <v>1633</v>
      </c>
      <c r="Y105" s="263" t="s">
        <v>1634</v>
      </c>
      <c r="Z105" s="262" t="s">
        <v>1633</v>
      </c>
    </row>
    <row r="106" spans="1:46" ht="13.15" x14ac:dyDescent="0.4">
      <c r="A106" s="131" t="s">
        <v>1632</v>
      </c>
      <c r="B106" s="61"/>
      <c r="C106" s="101"/>
      <c r="D106" s="101"/>
      <c r="E106" s="101"/>
      <c r="F106" s="101"/>
      <c r="G106" s="101"/>
      <c r="H106" s="101"/>
      <c r="I106" s="101"/>
      <c r="J106" s="101"/>
      <c r="K106" s="61"/>
      <c r="L106" s="101"/>
      <c r="M106" s="60"/>
      <c r="N106" s="101"/>
      <c r="O106" s="101"/>
      <c r="P106" s="60"/>
      <c r="Q106" s="60"/>
      <c r="R106" s="101"/>
      <c r="S106" s="101"/>
      <c r="T106" s="61"/>
      <c r="U106" s="60"/>
      <c r="V106" s="61"/>
      <c r="W106" s="55"/>
      <c r="X106" s="261"/>
      <c r="Y106" s="101"/>
      <c r="Z106" s="60"/>
    </row>
    <row r="107" spans="1:46" x14ac:dyDescent="0.35">
      <c r="A107" s="50" t="s">
        <v>1537</v>
      </c>
      <c r="B107" s="232">
        <v>157.14211371725344</v>
      </c>
      <c r="C107" s="145">
        <v>30.589530371156098</v>
      </c>
      <c r="D107" s="145">
        <v>6.6237567136229583</v>
      </c>
      <c r="E107" s="145">
        <v>0.43425030280782606</v>
      </c>
      <c r="F107" s="145">
        <v>4.4122572473208459</v>
      </c>
      <c r="G107" s="145">
        <v>0</v>
      </c>
      <c r="H107" s="145">
        <v>1.2126980208835976</v>
      </c>
      <c r="I107" s="145">
        <v>67.865226238159252</v>
      </c>
      <c r="J107" s="145">
        <v>36.431613650302957</v>
      </c>
      <c r="K107" s="232">
        <v>5.086651539339357</v>
      </c>
      <c r="L107" s="145">
        <v>4.2875794954802293</v>
      </c>
      <c r="M107" s="144">
        <v>66.840996993235194</v>
      </c>
      <c r="N107" s="145">
        <v>13.076664202366622</v>
      </c>
      <c r="O107" s="145">
        <v>33.455370123325558</v>
      </c>
      <c r="P107" s="144">
        <v>39.669183640251639</v>
      </c>
      <c r="Q107" s="144">
        <v>16.515657398213602</v>
      </c>
      <c r="R107" s="145">
        <v>88.270098570255968</v>
      </c>
      <c r="S107" s="145">
        <v>31.480736657831685</v>
      </c>
      <c r="T107" s="232">
        <v>19.292529830711061</v>
      </c>
      <c r="U107" s="144">
        <v>29.953192209853931</v>
      </c>
      <c r="V107" s="232">
        <v>5.338439819429766</v>
      </c>
      <c r="W107" s="146">
        <v>33.455370123325558</v>
      </c>
      <c r="X107" s="256">
        <v>29.413110659578027</v>
      </c>
      <c r="Y107" s="145">
        <v>1.7680657942672533</v>
      </c>
      <c r="Z107" s="144">
        <v>43.970862239273579</v>
      </c>
    </row>
    <row r="108" spans="1:46" x14ac:dyDescent="0.35">
      <c r="A108" s="50" t="s">
        <v>1536</v>
      </c>
      <c r="B108" s="232">
        <v>156.06960700180139</v>
      </c>
      <c r="C108" s="145">
        <v>25.681966423558855</v>
      </c>
      <c r="D108" s="145">
        <v>6.6096291901937452</v>
      </c>
      <c r="E108" s="145">
        <v>0.43209827663592104</v>
      </c>
      <c r="F108" s="145">
        <v>4.2466365252738729</v>
      </c>
      <c r="G108" s="145">
        <v>0</v>
      </c>
      <c r="H108" s="145">
        <v>1.1533223075181107</v>
      </c>
      <c r="I108" s="145">
        <v>4.5548181993924883</v>
      </c>
      <c r="J108" s="145">
        <v>34.626498905525231</v>
      </c>
      <c r="K108" s="232">
        <v>5.079818522350001</v>
      </c>
      <c r="L108" s="145">
        <v>4.2064249702399712</v>
      </c>
      <c r="M108" s="144">
        <v>66.463644949878855</v>
      </c>
      <c r="N108" s="145">
        <v>11.447735661702268</v>
      </c>
      <c r="O108" s="145">
        <v>31.648494771175478</v>
      </c>
      <c r="P108" s="144">
        <v>38.154055446306167</v>
      </c>
      <c r="Q108" s="144">
        <v>15.753296328760079</v>
      </c>
      <c r="R108" s="145">
        <v>91.017133147419187</v>
      </c>
      <c r="S108" s="145">
        <v>30.14545276949665</v>
      </c>
      <c r="T108" s="232">
        <v>17.52977947467042</v>
      </c>
      <c r="U108" s="144">
        <v>28.154973541346603</v>
      </c>
      <c r="V108" s="232">
        <v>4.3663426781300245</v>
      </c>
      <c r="W108" s="146">
        <v>31.648494771175478</v>
      </c>
      <c r="X108" s="256">
        <v>29.914192417717441</v>
      </c>
      <c r="Y108" s="145">
        <v>1.7664558986071819</v>
      </c>
      <c r="Z108" s="144">
        <v>39.475329840402928</v>
      </c>
    </row>
    <row r="109" spans="1:46" x14ac:dyDescent="0.35">
      <c r="A109" s="50" t="s">
        <v>1535</v>
      </c>
      <c r="B109" s="232">
        <v>2.5895887069718007</v>
      </c>
      <c r="C109" s="145">
        <v>5.5730633075465583</v>
      </c>
      <c r="D109" s="145">
        <v>4.2630539217246</v>
      </c>
      <c r="E109" s="145">
        <v>5.1087432769312381E-3</v>
      </c>
      <c r="F109" s="145">
        <v>3.548281829027641</v>
      </c>
      <c r="G109" s="145">
        <v>0</v>
      </c>
      <c r="H109" s="145">
        <v>6.2562334089676055E-2</v>
      </c>
      <c r="I109" s="145">
        <v>0.1046864379020376</v>
      </c>
      <c r="J109" s="145">
        <v>12.605512831642443</v>
      </c>
      <c r="K109" s="232">
        <v>4.2457710041804537</v>
      </c>
      <c r="L109" s="145">
        <v>3.5845726032668046</v>
      </c>
      <c r="M109" s="144">
        <v>17.485850572277656</v>
      </c>
      <c r="N109" s="145">
        <v>3.9327945995954066</v>
      </c>
      <c r="O109" s="145">
        <v>6.0476489600181074</v>
      </c>
      <c r="P109" s="144">
        <v>7.0448907744257596</v>
      </c>
      <c r="Q109" s="144">
        <v>1.8407811552677464</v>
      </c>
      <c r="R109" s="145">
        <v>14.404251414488236</v>
      </c>
      <c r="S109" s="145">
        <v>5.7603545756170602</v>
      </c>
      <c r="T109" s="232">
        <v>12.715054074104177</v>
      </c>
      <c r="U109" s="144">
        <v>6.0700324738629492</v>
      </c>
      <c r="V109" s="232">
        <v>2.4297889823582075</v>
      </c>
      <c r="W109" s="146">
        <v>6.0476489600181074</v>
      </c>
      <c r="X109" s="256">
        <v>11.203630142832775</v>
      </c>
      <c r="Y109" s="145">
        <v>6.8476279536294664E-3</v>
      </c>
      <c r="Z109" s="144">
        <v>9.3456886832427486</v>
      </c>
    </row>
    <row r="110" spans="1:46" x14ac:dyDescent="0.35">
      <c r="A110" s="50" t="s">
        <v>1534</v>
      </c>
      <c r="B110" s="232">
        <v>152.84000832740105</v>
      </c>
      <c r="C110" s="145">
        <v>15.625048933133074</v>
      </c>
      <c r="D110" s="145">
        <v>0.21921671756899824</v>
      </c>
      <c r="E110" s="145">
        <v>4.4677633734105909E-2</v>
      </c>
      <c r="F110" s="145">
        <v>0.31032870107459792</v>
      </c>
      <c r="G110" s="145">
        <v>0</v>
      </c>
      <c r="H110" s="145">
        <v>0.15683246242635906</v>
      </c>
      <c r="I110" s="145">
        <v>1.7319808334488931</v>
      </c>
      <c r="J110" s="145">
        <v>5.1642094767210338</v>
      </c>
      <c r="K110" s="232">
        <v>8.0917894292196799E-2</v>
      </c>
      <c r="L110" s="145">
        <v>0.39744099425546575</v>
      </c>
      <c r="M110" s="144">
        <v>6.6706048946868126</v>
      </c>
      <c r="N110" s="145">
        <v>5.7231168380127766</v>
      </c>
      <c r="O110" s="145">
        <v>20.511308304546507</v>
      </c>
      <c r="P110" s="144">
        <v>20.819123168939896</v>
      </c>
      <c r="Q110" s="144">
        <v>13.587716554256877</v>
      </c>
      <c r="R110" s="145">
        <v>73.847662058134077</v>
      </c>
      <c r="S110" s="145">
        <v>22.326037497420099</v>
      </c>
      <c r="T110" s="232">
        <v>3.164946305764575</v>
      </c>
      <c r="U110" s="144">
        <v>20.102781489797103</v>
      </c>
      <c r="V110" s="232">
        <v>1.6897023768654909</v>
      </c>
      <c r="W110" s="146">
        <v>20.511308304546507</v>
      </c>
      <c r="X110" s="256">
        <v>16.674700611385862</v>
      </c>
      <c r="Y110" s="145">
        <v>1.6752545387079807</v>
      </c>
      <c r="Z110" s="144">
        <v>20.271551094283272</v>
      </c>
    </row>
    <row r="111" spans="1:46" x14ac:dyDescent="0.35">
      <c r="A111" s="46" t="s">
        <v>1533</v>
      </c>
      <c r="B111" s="231">
        <v>0.64000996742849992</v>
      </c>
      <c r="C111" s="142">
        <v>4.4838541828792247</v>
      </c>
      <c r="D111" s="142">
        <v>2.1273585509001469</v>
      </c>
      <c r="E111" s="142">
        <v>0.38231189962488388</v>
      </c>
      <c r="F111" s="142">
        <v>0.38802599517163422</v>
      </c>
      <c r="G111" s="142">
        <v>0</v>
      </c>
      <c r="H111" s="142">
        <v>0.93392751100207561</v>
      </c>
      <c r="I111" s="142">
        <v>2.7973378789426091</v>
      </c>
      <c r="J111" s="142">
        <v>16.856832819896894</v>
      </c>
      <c r="K111" s="231">
        <v>0.75312962387734994</v>
      </c>
      <c r="L111" s="142">
        <v>0.22441137271770084</v>
      </c>
      <c r="M111" s="141">
        <v>42.307189482914389</v>
      </c>
      <c r="N111" s="142">
        <v>1.7918242240940858</v>
      </c>
      <c r="O111" s="142">
        <v>5.0895489950908406</v>
      </c>
      <c r="P111" s="141">
        <v>10.290041502940516</v>
      </c>
      <c r="Q111" s="141">
        <v>0.32479861923545295</v>
      </c>
      <c r="R111" s="142">
        <v>2.7652196747968683</v>
      </c>
      <c r="S111" s="142">
        <v>2.059060696459492</v>
      </c>
      <c r="T111" s="231">
        <v>1.6497790948016666</v>
      </c>
      <c r="U111" s="141">
        <v>1.9821595776865533</v>
      </c>
      <c r="V111" s="231">
        <v>0.24685188113367801</v>
      </c>
      <c r="W111" s="143">
        <v>5.0895489950908406</v>
      </c>
      <c r="X111" s="255">
        <v>2.0358616634988009</v>
      </c>
      <c r="Y111" s="142">
        <v>8.4353731945571789E-2</v>
      </c>
      <c r="Z111" s="141">
        <v>9.8581114275162633</v>
      </c>
    </row>
    <row r="112" spans="1:46" s="48" customFormat="1" x14ac:dyDescent="0.35">
      <c r="A112" s="152" t="s">
        <v>1532</v>
      </c>
      <c r="B112" s="45">
        <v>3110.9473328935242</v>
      </c>
      <c r="C112" s="44">
        <v>4060.1170826351299</v>
      </c>
      <c r="D112" s="44">
        <v>61.247919376917409</v>
      </c>
      <c r="E112" s="44">
        <v>8.7655597183518665</v>
      </c>
      <c r="F112" s="44">
        <v>152.26166579447306</v>
      </c>
      <c r="G112" s="44">
        <v>0</v>
      </c>
      <c r="H112" s="44">
        <v>64.171766010352485</v>
      </c>
      <c r="I112" s="44">
        <v>2015.7239938875296</v>
      </c>
      <c r="J112" s="44">
        <v>1782.4761013351697</v>
      </c>
      <c r="K112" s="45">
        <v>30.778925082405937</v>
      </c>
      <c r="L112" s="44">
        <v>38370.838210870163</v>
      </c>
      <c r="M112" s="43">
        <v>73802.238690146987</v>
      </c>
      <c r="N112" s="44">
        <v>855.21675030914207</v>
      </c>
      <c r="O112" s="44">
        <v>1156.9634559206738</v>
      </c>
      <c r="P112" s="43">
        <v>15873.387304883014</v>
      </c>
      <c r="Q112" s="43">
        <v>561.39267261308078</v>
      </c>
      <c r="R112" s="44">
        <v>20104.34350359056</v>
      </c>
      <c r="S112" s="44">
        <v>1577.6351726227103</v>
      </c>
      <c r="T112" s="45">
        <v>938.82403523607809</v>
      </c>
      <c r="U112" s="43">
        <v>984.57269900229778</v>
      </c>
      <c r="V112" s="45">
        <v>496.33358923404234</v>
      </c>
      <c r="W112" s="152">
        <v>1156.9634559206738</v>
      </c>
      <c r="X112" s="260">
        <v>3848.8722163269181</v>
      </c>
      <c r="Y112" s="44">
        <v>17113.056501963696</v>
      </c>
      <c r="Z112" s="43">
        <v>13967.081670110265</v>
      </c>
    </row>
    <row r="113" spans="1:26" ht="13.15" x14ac:dyDescent="0.4">
      <c r="A113" s="178" t="s">
        <v>1564</v>
      </c>
      <c r="B113" s="232"/>
      <c r="C113" s="145"/>
      <c r="D113" s="145"/>
      <c r="E113" s="145"/>
      <c r="F113" s="145"/>
      <c r="G113" s="145"/>
      <c r="H113" s="145"/>
      <c r="I113" s="145"/>
      <c r="J113" s="145"/>
      <c r="K113" s="232"/>
      <c r="L113" s="145"/>
      <c r="M113" s="144"/>
      <c r="N113" s="145"/>
      <c r="O113" s="145"/>
      <c r="P113" s="144"/>
      <c r="Q113" s="144"/>
      <c r="R113" s="145"/>
      <c r="S113" s="145"/>
      <c r="T113" s="232"/>
      <c r="U113" s="144"/>
      <c r="V113" s="232"/>
      <c r="W113" s="146"/>
      <c r="X113" s="256"/>
      <c r="Y113" s="145"/>
      <c r="Z113" s="144"/>
    </row>
    <row r="114" spans="1:26" x14ac:dyDescent="0.35">
      <c r="A114" s="50" t="s">
        <v>1525</v>
      </c>
      <c r="B114" s="232">
        <v>1167.4993236410548</v>
      </c>
      <c r="C114" s="145">
        <v>265.66428634357629</v>
      </c>
      <c r="D114" s="145">
        <v>156.99852069768184</v>
      </c>
      <c r="E114" s="145">
        <v>11.226708587789073</v>
      </c>
      <c r="F114" s="145">
        <v>93.126421452451595</v>
      </c>
      <c r="G114" s="145">
        <v>0</v>
      </c>
      <c r="H114" s="145">
        <v>30.494318958504461</v>
      </c>
      <c r="I114" s="145">
        <v>3420.6254557125758</v>
      </c>
      <c r="J114" s="145">
        <v>1262.7438988705633</v>
      </c>
      <c r="K114" s="232">
        <v>85.703671068629561</v>
      </c>
      <c r="L114" s="145">
        <v>91.536559758330654</v>
      </c>
      <c r="M114" s="144">
        <v>1051.5778898185479</v>
      </c>
      <c r="N114" s="145">
        <v>388.42189961578879</v>
      </c>
      <c r="O114" s="145">
        <v>2052.7726645902972</v>
      </c>
      <c r="P114" s="144">
        <v>2009.6232791994316</v>
      </c>
      <c r="Q114" s="144">
        <v>131.71136761572714</v>
      </c>
      <c r="R114" s="145">
        <v>3441.664012082193</v>
      </c>
      <c r="S114" s="145">
        <v>1961.9842245512559</v>
      </c>
      <c r="T114" s="232">
        <v>237.64994651925872</v>
      </c>
      <c r="U114" s="144">
        <v>1843.3063105571703</v>
      </c>
      <c r="V114" s="232">
        <v>48.7597686516145</v>
      </c>
      <c r="W114" s="146">
        <v>2052.7726645902972</v>
      </c>
      <c r="X114" s="256">
        <v>849.30809489986621</v>
      </c>
      <c r="Y114" s="145">
        <v>61.986409901725615</v>
      </c>
      <c r="Z114" s="144">
        <v>796.52274507833772</v>
      </c>
    </row>
    <row r="115" spans="1:26" x14ac:dyDescent="0.35">
      <c r="A115" s="50" t="s">
        <v>1524</v>
      </c>
      <c r="B115" s="232">
        <v>2885.0268819498042</v>
      </c>
      <c r="C115" s="145">
        <v>1458.4675521600241</v>
      </c>
      <c r="D115" s="145">
        <v>665.00133099120069</v>
      </c>
      <c r="E115" s="145">
        <v>102.35839650318499</v>
      </c>
      <c r="F115" s="145">
        <v>460.5714515605207</v>
      </c>
      <c r="G115" s="145">
        <v>0</v>
      </c>
      <c r="H115" s="145">
        <v>98.774933326683254</v>
      </c>
      <c r="I115" s="145">
        <v>28617.58385414489</v>
      </c>
      <c r="J115" s="145">
        <v>5163.5455181245616</v>
      </c>
      <c r="K115" s="232">
        <v>481.29215440850237</v>
      </c>
      <c r="L115" s="145">
        <v>435.51129265593647</v>
      </c>
      <c r="M115" s="144">
        <v>5633.9906992503875</v>
      </c>
      <c r="N115" s="145">
        <v>530.5114055381332</v>
      </c>
      <c r="O115" s="145">
        <v>2602.5543164361825</v>
      </c>
      <c r="P115" s="144">
        <v>2698.6844678597172</v>
      </c>
      <c r="Q115" s="144">
        <v>388.31043011833617</v>
      </c>
      <c r="R115" s="145">
        <v>3922.0909063936519</v>
      </c>
      <c r="S115" s="145">
        <v>1894.8051751964465</v>
      </c>
      <c r="T115" s="232">
        <v>1147.5622708581573</v>
      </c>
      <c r="U115" s="144">
        <v>1781.933565788418</v>
      </c>
      <c r="V115" s="232">
        <v>152.53252538551067</v>
      </c>
      <c r="W115" s="146">
        <v>2602.5543164361825</v>
      </c>
      <c r="X115" s="256">
        <v>1830.0133086365913</v>
      </c>
      <c r="Y115" s="145">
        <v>104.83431577172087</v>
      </c>
      <c r="Z115" s="144">
        <v>3329.2201936083029</v>
      </c>
    </row>
    <row r="116" spans="1:26" x14ac:dyDescent="0.35">
      <c r="A116" s="50" t="s">
        <v>1563</v>
      </c>
      <c r="B116" s="232">
        <v>4160.1567747763738</v>
      </c>
      <c r="C116" s="145">
        <v>3054.3140114692637</v>
      </c>
      <c r="D116" s="145">
        <v>1649.554674658913</v>
      </c>
      <c r="E116" s="145">
        <v>290.4512601392405</v>
      </c>
      <c r="F116" s="145">
        <v>474.72845053693186</v>
      </c>
      <c r="G116" s="145">
        <v>0</v>
      </c>
      <c r="H116" s="145">
        <v>237.19536325297628</v>
      </c>
      <c r="I116" s="145">
        <v>7587.1486525052514</v>
      </c>
      <c r="J116" s="145">
        <v>12102.41902104331</v>
      </c>
      <c r="K116" s="232">
        <v>353.81433393795339</v>
      </c>
      <c r="L116" s="145">
        <v>403.70535998289301</v>
      </c>
      <c r="M116" s="144">
        <v>11560.596621755769</v>
      </c>
      <c r="N116" s="145">
        <v>1105.9695904028363</v>
      </c>
      <c r="O116" s="145">
        <v>5292.4493290868786</v>
      </c>
      <c r="P116" s="144">
        <v>5181.7340505000557</v>
      </c>
      <c r="Q116" s="144">
        <v>635.12764298146692</v>
      </c>
      <c r="R116" s="145">
        <v>7579.2259217799774</v>
      </c>
      <c r="S116" s="145">
        <v>3255.213878368746</v>
      </c>
      <c r="T116" s="232">
        <v>1123.0736465339246</v>
      </c>
      <c r="U116" s="144">
        <v>3048.9442923106949</v>
      </c>
      <c r="V116" s="232">
        <v>347.63054220571547</v>
      </c>
      <c r="W116" s="146">
        <v>5292.4493290868786</v>
      </c>
      <c r="X116" s="256">
        <v>2315.920017196072</v>
      </c>
      <c r="Y116" s="145">
        <v>162.55416576991564</v>
      </c>
      <c r="Z116" s="144">
        <v>7299.3573314468913</v>
      </c>
    </row>
    <row r="117" spans="1:26" x14ac:dyDescent="0.35">
      <c r="A117" s="50" t="s">
        <v>1522</v>
      </c>
      <c r="B117" s="232">
        <v>294.47284017794942</v>
      </c>
      <c r="C117" s="145">
        <v>474.73369184956863</v>
      </c>
      <c r="D117" s="145">
        <v>258.66480867007857</v>
      </c>
      <c r="E117" s="145">
        <v>9.7499188927812845</v>
      </c>
      <c r="F117" s="145">
        <v>141.87284872740196</v>
      </c>
      <c r="G117" s="145">
        <v>0</v>
      </c>
      <c r="H117" s="145">
        <v>12.820836816167464</v>
      </c>
      <c r="I117" s="145">
        <v>6429.0435154709849</v>
      </c>
      <c r="J117" s="145">
        <v>1571.9022555962838</v>
      </c>
      <c r="K117" s="232">
        <v>156.81059623600947</v>
      </c>
      <c r="L117" s="145">
        <v>130.42978784720151</v>
      </c>
      <c r="M117" s="144">
        <v>3130.6265898915772</v>
      </c>
      <c r="N117" s="145">
        <v>2479.0219903048255</v>
      </c>
      <c r="O117" s="145">
        <v>3679.0325879373959</v>
      </c>
      <c r="P117" s="144">
        <v>3997.5402744754338</v>
      </c>
      <c r="Q117" s="144">
        <v>65.211485320509183</v>
      </c>
      <c r="R117" s="145">
        <v>1370.5241095937281</v>
      </c>
      <c r="S117" s="145">
        <v>3474.566692152137</v>
      </c>
      <c r="T117" s="232">
        <v>388.6547436646282</v>
      </c>
      <c r="U117" s="144">
        <v>3437.2493429240121</v>
      </c>
      <c r="V117" s="232">
        <v>56.646414115567886</v>
      </c>
      <c r="W117" s="146">
        <v>3679.0325879373959</v>
      </c>
      <c r="X117" s="256">
        <v>580.83392391511052</v>
      </c>
      <c r="Y117" s="145">
        <v>43.133049661557116</v>
      </c>
      <c r="Z117" s="144">
        <v>1018.4410014793569</v>
      </c>
    </row>
    <row r="118" spans="1:26" x14ac:dyDescent="0.35">
      <c r="A118" s="50" t="s">
        <v>1521</v>
      </c>
      <c r="B118" s="232">
        <v>260.9398370425684</v>
      </c>
      <c r="C118" s="145">
        <v>209.5227612971556</v>
      </c>
      <c r="D118" s="145">
        <v>190.34148880484787</v>
      </c>
      <c r="E118" s="145">
        <v>8.6020446223910341</v>
      </c>
      <c r="F118" s="145">
        <v>103.43045001380852</v>
      </c>
      <c r="G118" s="145">
        <v>0</v>
      </c>
      <c r="H118" s="145">
        <v>6.3773609603999644</v>
      </c>
      <c r="I118" s="145">
        <v>2477.8895824773535</v>
      </c>
      <c r="J118" s="145">
        <v>1218.2399536621015</v>
      </c>
      <c r="K118" s="232">
        <v>99.354048315351747</v>
      </c>
      <c r="L118" s="145">
        <v>98.845602938794727</v>
      </c>
      <c r="M118" s="144">
        <v>1326.7863090861133</v>
      </c>
      <c r="N118" s="145">
        <v>1348.8365475164089</v>
      </c>
      <c r="O118" s="145">
        <v>2619.0271550363841</v>
      </c>
      <c r="P118" s="144">
        <v>2641.2073749685178</v>
      </c>
      <c r="Q118" s="144">
        <v>42.140592143194482</v>
      </c>
      <c r="R118" s="145">
        <v>879.79802842497293</v>
      </c>
      <c r="S118" s="145">
        <v>2444.4953860543637</v>
      </c>
      <c r="T118" s="232">
        <v>231.36391027549834</v>
      </c>
      <c r="U118" s="144">
        <v>2417.3701984065333</v>
      </c>
      <c r="V118" s="232">
        <v>29.994661524690933</v>
      </c>
      <c r="W118" s="146">
        <v>2619.0271550363841</v>
      </c>
      <c r="X118" s="256">
        <v>373.53963155707203</v>
      </c>
      <c r="Y118" s="145">
        <v>40.916727582681276</v>
      </c>
      <c r="Z118" s="144">
        <v>681.04798140873481</v>
      </c>
    </row>
    <row r="119" spans="1:26" x14ac:dyDescent="0.35">
      <c r="A119" s="50" t="s">
        <v>1520</v>
      </c>
      <c r="B119" s="232">
        <v>2253.7937617341663</v>
      </c>
      <c r="C119" s="145">
        <v>3158.6985327046882</v>
      </c>
      <c r="D119" s="145">
        <v>1159.2381292673035</v>
      </c>
      <c r="E119" s="145">
        <v>6.6760980971964141</v>
      </c>
      <c r="F119" s="145">
        <v>209.38120602786836</v>
      </c>
      <c r="G119" s="145">
        <v>0</v>
      </c>
      <c r="H119" s="145">
        <v>18200.079910870558</v>
      </c>
      <c r="I119" s="145">
        <v>3507.2516078983072</v>
      </c>
      <c r="J119" s="145">
        <v>5631.8785079547333</v>
      </c>
      <c r="K119" s="232">
        <v>399.86417409645389</v>
      </c>
      <c r="L119" s="145">
        <v>178.25692169846607</v>
      </c>
      <c r="M119" s="144">
        <v>23734.259542837044</v>
      </c>
      <c r="N119" s="145">
        <v>1171.7480275792425</v>
      </c>
      <c r="O119" s="145">
        <v>2727.0296851173175</v>
      </c>
      <c r="P119" s="144">
        <v>6426.0464884041821</v>
      </c>
      <c r="Q119" s="144">
        <v>763.33346848325778</v>
      </c>
      <c r="R119" s="145">
        <v>8459.4580625560284</v>
      </c>
      <c r="S119" s="145">
        <v>2064.6102365331967</v>
      </c>
      <c r="T119" s="232">
        <v>1927.9498980577664</v>
      </c>
      <c r="U119" s="144">
        <v>1970.1737698770539</v>
      </c>
      <c r="V119" s="232">
        <v>671.71235773310639</v>
      </c>
      <c r="W119" s="146">
        <v>2727.0296851173175</v>
      </c>
      <c r="X119" s="256">
        <v>2418.6313347948922</v>
      </c>
      <c r="Y119" s="145">
        <v>33.560663965620797</v>
      </c>
      <c r="Z119" s="144">
        <v>4708.2959665536564</v>
      </c>
    </row>
    <row r="120" spans="1:26" x14ac:dyDescent="0.35">
      <c r="A120" s="50" t="s">
        <v>1519</v>
      </c>
      <c r="B120" s="232">
        <v>32.658244771857049</v>
      </c>
      <c r="C120" s="145">
        <v>24.608887817179486</v>
      </c>
      <c r="D120" s="145">
        <v>18.176688466604482</v>
      </c>
      <c r="E120" s="145">
        <v>5.4991080834828505</v>
      </c>
      <c r="F120" s="145">
        <v>10.583435885299433</v>
      </c>
      <c r="G120" s="145">
        <v>0</v>
      </c>
      <c r="H120" s="145">
        <v>0.68951199501233718</v>
      </c>
      <c r="I120" s="145">
        <v>300.4054648398826</v>
      </c>
      <c r="J120" s="145">
        <v>314.59222772080039</v>
      </c>
      <c r="K120" s="232">
        <v>4.6940380692794301</v>
      </c>
      <c r="L120" s="145">
        <v>10.02280650315836</v>
      </c>
      <c r="M120" s="144">
        <v>239.03438527190787</v>
      </c>
      <c r="N120" s="145">
        <v>40.547373640661242</v>
      </c>
      <c r="O120" s="145">
        <v>297.23054868572513</v>
      </c>
      <c r="P120" s="144">
        <v>281.79115823758497</v>
      </c>
      <c r="Q120" s="144">
        <v>4.8905293645648058</v>
      </c>
      <c r="R120" s="145">
        <v>125.94780135637973</v>
      </c>
      <c r="S120" s="145">
        <v>239.70390217327156</v>
      </c>
      <c r="T120" s="232">
        <v>11.806867259721471</v>
      </c>
      <c r="U120" s="144">
        <v>235.35978516701417</v>
      </c>
      <c r="V120" s="232">
        <v>4.465262888751246</v>
      </c>
      <c r="W120" s="146">
        <v>297.23054868572513</v>
      </c>
      <c r="X120" s="256">
        <v>34.771139128929207</v>
      </c>
      <c r="Y120" s="145">
        <v>6.9102056814244399</v>
      </c>
      <c r="Z120" s="144">
        <v>147.93093222099921</v>
      </c>
    </row>
    <row r="121" spans="1:26" x14ac:dyDescent="0.35">
      <c r="A121" s="50" t="s">
        <v>1518</v>
      </c>
      <c r="B121" s="232">
        <v>58.455455029524167</v>
      </c>
      <c r="C121" s="145">
        <v>50.938468221316775</v>
      </c>
      <c r="D121" s="145">
        <v>43.444010446371884</v>
      </c>
      <c r="E121" s="145">
        <v>1.8918369616551347</v>
      </c>
      <c r="F121" s="145">
        <v>17.037465554984458</v>
      </c>
      <c r="G121" s="145">
        <v>0</v>
      </c>
      <c r="H121" s="145">
        <v>1.2910075322538546</v>
      </c>
      <c r="I121" s="145">
        <v>714.2036847388232</v>
      </c>
      <c r="J121" s="145">
        <v>370.78774015918555</v>
      </c>
      <c r="K121" s="232">
        <v>8.7970316699540092</v>
      </c>
      <c r="L121" s="145">
        <v>15.870151981274374</v>
      </c>
      <c r="M121" s="144">
        <v>217.92433053548237</v>
      </c>
      <c r="N121" s="145">
        <v>103.47279326861724</v>
      </c>
      <c r="O121" s="145">
        <v>676.00419399333896</v>
      </c>
      <c r="P121" s="144">
        <v>644.76828531832984</v>
      </c>
      <c r="Q121" s="144">
        <v>9.8749871455508931</v>
      </c>
      <c r="R121" s="145">
        <v>292.52876188201833</v>
      </c>
      <c r="S121" s="145">
        <v>615.07075060916884</v>
      </c>
      <c r="T121" s="232">
        <v>23.27245342459209</v>
      </c>
      <c r="U121" s="144">
        <v>604.99337599358012</v>
      </c>
      <c r="V121" s="232">
        <v>6.8051810841468026</v>
      </c>
      <c r="W121" s="146">
        <v>676.00419399333896</v>
      </c>
      <c r="X121" s="256">
        <v>76.55468386540511</v>
      </c>
      <c r="Y121" s="145">
        <v>17.285427279679521</v>
      </c>
      <c r="Z121" s="144">
        <v>203.50552584809682</v>
      </c>
    </row>
    <row r="122" spans="1:26" x14ac:dyDescent="0.35">
      <c r="A122" s="50" t="s">
        <v>1531</v>
      </c>
      <c r="B122" s="232">
        <v>24298.793744438775</v>
      </c>
      <c r="C122" s="145">
        <v>4898.2635098508972</v>
      </c>
      <c r="D122" s="145">
        <v>863.71006682651864</v>
      </c>
      <c r="E122" s="145">
        <v>46.272844208217272</v>
      </c>
      <c r="F122" s="145">
        <v>637.10067871737431</v>
      </c>
      <c r="G122" s="145">
        <v>0</v>
      </c>
      <c r="H122" s="145">
        <v>138.59147560429881</v>
      </c>
      <c r="I122" s="145">
        <v>2605.6032813425577</v>
      </c>
      <c r="J122" s="145">
        <v>4658.344751296665</v>
      </c>
      <c r="K122" s="232">
        <v>702.26708711452375</v>
      </c>
      <c r="L122" s="145">
        <v>619.06438685933074</v>
      </c>
      <c r="M122" s="144">
        <v>7373.3433361804318</v>
      </c>
      <c r="N122" s="145">
        <v>1852.6945199748834</v>
      </c>
      <c r="O122" s="145">
        <v>5529.1476417259419</v>
      </c>
      <c r="P122" s="144">
        <v>6083.9268924241296</v>
      </c>
      <c r="Q122" s="144">
        <v>2555.1908111497337</v>
      </c>
      <c r="R122" s="145">
        <v>15864.393796730488</v>
      </c>
      <c r="S122" s="145">
        <v>5473.7096271092214</v>
      </c>
      <c r="T122" s="232">
        <v>2574.6881191028965</v>
      </c>
      <c r="U122" s="144">
        <v>5103.3759777711848</v>
      </c>
      <c r="V122" s="232">
        <v>684.8492356259751</v>
      </c>
      <c r="W122" s="146">
        <v>5529.1476417259419</v>
      </c>
      <c r="X122" s="256">
        <v>4920.1152120532142</v>
      </c>
      <c r="Y122" s="145">
        <v>348.63205036977115</v>
      </c>
      <c r="Z122" s="144">
        <v>6722.4993502537673</v>
      </c>
    </row>
    <row r="123" spans="1:26" x14ac:dyDescent="0.35">
      <c r="A123" s="50" t="s">
        <v>1530</v>
      </c>
      <c r="B123" s="232">
        <v>56.351061740524742</v>
      </c>
      <c r="C123" s="145">
        <v>43.419497176515627</v>
      </c>
      <c r="D123" s="145">
        <v>2.4480749710887046</v>
      </c>
      <c r="E123" s="145">
        <v>0.20265948684110452</v>
      </c>
      <c r="F123" s="145">
        <v>1.4063474589091072</v>
      </c>
      <c r="G123" s="145">
        <v>0</v>
      </c>
      <c r="H123" s="145">
        <v>0.60915327908999362</v>
      </c>
      <c r="I123" s="145">
        <v>724.26694380564629</v>
      </c>
      <c r="J123" s="145">
        <v>28.01235911362506</v>
      </c>
      <c r="K123" s="232">
        <v>1.0131879361881477</v>
      </c>
      <c r="L123" s="145">
        <v>1.0301773738593618</v>
      </c>
      <c r="M123" s="144">
        <v>82.85295320513714</v>
      </c>
      <c r="N123" s="145">
        <v>12.881689619096054</v>
      </c>
      <c r="O123" s="145">
        <v>35.690810485909878</v>
      </c>
      <c r="P123" s="144">
        <v>46.896865570920212</v>
      </c>
      <c r="Q123" s="144">
        <v>12.464127766075537</v>
      </c>
      <c r="R123" s="145">
        <v>1395.0204107963941</v>
      </c>
      <c r="S123" s="145">
        <v>83.971517342305205</v>
      </c>
      <c r="T123" s="232">
        <v>11.501594911774815</v>
      </c>
      <c r="U123" s="144">
        <v>32.317022579221486</v>
      </c>
      <c r="V123" s="232">
        <v>5.4484248853536243</v>
      </c>
      <c r="W123" s="146">
        <v>35.690810485909878</v>
      </c>
      <c r="X123" s="256">
        <v>269.48990277274066</v>
      </c>
      <c r="Y123" s="145">
        <v>3.0508999332585764</v>
      </c>
      <c r="Z123" s="144">
        <v>52.477067059855656</v>
      </c>
    </row>
    <row r="124" spans="1:26" x14ac:dyDescent="0.35">
      <c r="A124" s="50" t="s">
        <v>1529</v>
      </c>
      <c r="B124" s="49">
        <v>9402358.9802260809</v>
      </c>
      <c r="C124" s="48">
        <v>1864166.3711213365</v>
      </c>
      <c r="D124" s="48">
        <v>739945.53351484844</v>
      </c>
      <c r="E124" s="48">
        <v>33160.761094997499</v>
      </c>
      <c r="F124" s="48">
        <v>1152633.8042754256</v>
      </c>
      <c r="G124" s="48">
        <v>0</v>
      </c>
      <c r="H124" s="48">
        <v>89488.624619674083</v>
      </c>
      <c r="I124" s="48">
        <v>2038221.2988009108</v>
      </c>
      <c r="J124" s="48">
        <v>3298851.9731500237</v>
      </c>
      <c r="K124" s="49">
        <v>618372.87744454911</v>
      </c>
      <c r="L124" s="48">
        <v>1147821.0384050268</v>
      </c>
      <c r="M124" s="47">
        <v>7460876.087697994</v>
      </c>
      <c r="N124" s="48">
        <v>1380098.0958069609</v>
      </c>
      <c r="O124" s="48">
        <v>2852369.9060958871</v>
      </c>
      <c r="P124" s="47">
        <v>3702832.4560627658</v>
      </c>
      <c r="Q124" s="47">
        <v>1019410.7318471875</v>
      </c>
      <c r="R124" s="48">
        <v>6743871.3072583918</v>
      </c>
      <c r="S124" s="48">
        <v>2690072.1835855376</v>
      </c>
      <c r="T124" s="49">
        <v>1849830.9803748936</v>
      </c>
      <c r="U124" s="47">
        <v>2556278.8565117312</v>
      </c>
      <c r="V124" s="49">
        <v>367398.64272375224</v>
      </c>
      <c r="W124" s="155">
        <v>2852369.9060958871</v>
      </c>
      <c r="X124" s="259">
        <v>2661690.7545299442</v>
      </c>
      <c r="Y124" s="48">
        <v>448676.3696359903</v>
      </c>
      <c r="Z124" s="47">
        <v>4236695.0603806349</v>
      </c>
    </row>
    <row r="125" spans="1:26" x14ac:dyDescent="0.35">
      <c r="A125" s="50" t="s">
        <v>1528</v>
      </c>
      <c r="B125" s="240">
        <v>9410531.3001230657</v>
      </c>
      <c r="C125" s="154">
        <v>1867286.2357290729</v>
      </c>
      <c r="D125" s="154">
        <v>741479.84766258043</v>
      </c>
      <c r="E125" s="154">
        <v>33356.599912220161</v>
      </c>
      <c r="F125" s="154">
        <v>1153647.8034271188</v>
      </c>
      <c r="G125" s="154">
        <v>0</v>
      </c>
      <c r="H125" s="154">
        <v>89738.882999465262</v>
      </c>
      <c r="I125" s="154">
        <v>2093852.737051538</v>
      </c>
      <c r="J125" s="154">
        <v>3310901.6679252228</v>
      </c>
      <c r="K125" s="240">
        <v>619396.30346202152</v>
      </c>
      <c r="L125" s="154">
        <v>1148790.7022380661</v>
      </c>
      <c r="M125" s="153">
        <v>7473006.9194105603</v>
      </c>
      <c r="N125" s="154">
        <v>1382142.3381742281</v>
      </c>
      <c r="O125" s="154">
        <v>2862857.442445403</v>
      </c>
      <c r="P125" s="153">
        <v>3713336.5718276692</v>
      </c>
      <c r="Q125" s="153">
        <v>1020431.4343807282</v>
      </c>
      <c r="R125" s="154">
        <v>6760761.1124727614</v>
      </c>
      <c r="S125" s="154">
        <v>2699164.5854083165</v>
      </c>
      <c r="T125" s="240">
        <v>1852374.9681814653</v>
      </c>
      <c r="U125" s="153">
        <v>2564824.0091639683</v>
      </c>
      <c r="V125" s="154">
        <v>367790.30463784601</v>
      </c>
      <c r="W125" s="239">
        <v>2862857.442445403</v>
      </c>
      <c r="X125" s="258">
        <v>2667213.499958335</v>
      </c>
      <c r="Y125" s="154">
        <v>449034.30025258719</v>
      </c>
      <c r="Z125" s="153">
        <v>4244409.1880022753</v>
      </c>
    </row>
    <row r="126" spans="1:26" x14ac:dyDescent="0.35">
      <c r="A126" s="46" t="s">
        <v>1527</v>
      </c>
      <c r="B126" s="240">
        <v>10154428.143817468</v>
      </c>
      <c r="C126" s="154">
        <v>2025740.3077763766</v>
      </c>
      <c r="D126" s="154">
        <v>768039.88953471452</v>
      </c>
      <c r="E126" s="154">
        <v>34798.490002479572</v>
      </c>
      <c r="F126" s="154">
        <v>1173133.5058652509</v>
      </c>
      <c r="G126" s="154">
        <v>0</v>
      </c>
      <c r="H126" s="154">
        <v>94058.05288655308</v>
      </c>
      <c r="I126" s="154">
        <v>2363951.5756003112</v>
      </c>
      <c r="J126" s="154">
        <v>3458075.2856292333</v>
      </c>
      <c r="K126" s="240">
        <v>640732.81087854714</v>
      </c>
      <c r="L126" s="154">
        <v>1167635.6308479188</v>
      </c>
      <c r="M126" s="153">
        <v>7716163.2520953342</v>
      </c>
      <c r="N126" s="154">
        <v>1441136.8215225351</v>
      </c>
      <c r="O126" s="154">
        <v>3038189.9364759475</v>
      </c>
      <c r="P126" s="153">
        <v>3908282.0479766871</v>
      </c>
      <c r="Q126" s="153">
        <v>1100390.1525732302</v>
      </c>
      <c r="R126" s="154">
        <v>7606373.3352357205</v>
      </c>
      <c r="S126" s="154">
        <v>2885628.3263173038</v>
      </c>
      <c r="T126" s="240">
        <v>1932663.5344061726</v>
      </c>
      <c r="U126" s="153">
        <v>2726489.2994805975</v>
      </c>
      <c r="V126" s="154">
        <v>389779.61430124397</v>
      </c>
      <c r="W126" s="239">
        <v>3038189.9364759475</v>
      </c>
      <c r="X126" s="258">
        <v>2886231.7805547076</v>
      </c>
      <c r="Y126" s="154">
        <v>460301.75024599384</v>
      </c>
      <c r="Z126" s="153">
        <v>4459990.59128075</v>
      </c>
    </row>
    <row r="127" spans="1:26" ht="13.15" x14ac:dyDescent="0.4">
      <c r="A127" s="238" t="s">
        <v>1562</v>
      </c>
      <c r="B127" s="237"/>
      <c r="C127" s="157"/>
      <c r="D127" s="157"/>
      <c r="E127" s="157"/>
      <c r="F127" s="157"/>
      <c r="G127" s="157"/>
      <c r="H127" s="157"/>
      <c r="I127" s="157"/>
      <c r="J127" s="157"/>
      <c r="K127" s="237"/>
      <c r="L127" s="157"/>
      <c r="M127" s="156"/>
      <c r="N127" s="157"/>
      <c r="O127" s="157"/>
      <c r="P127" s="156"/>
      <c r="Q127" s="156"/>
      <c r="R127" s="157"/>
      <c r="S127" s="157"/>
      <c r="T127" s="237"/>
      <c r="U127" s="156"/>
      <c r="V127" s="157"/>
      <c r="W127" s="241"/>
      <c r="X127" s="257"/>
      <c r="Y127" s="157"/>
      <c r="Z127" s="156"/>
    </row>
    <row r="128" spans="1:26" x14ac:dyDescent="0.35">
      <c r="A128" s="50" t="s">
        <v>1525</v>
      </c>
      <c r="B128" s="232">
        <v>59.615742823977563</v>
      </c>
      <c r="C128" s="145">
        <v>14.208181488151373</v>
      </c>
      <c r="D128" s="145">
        <v>5.0833696034417999</v>
      </c>
      <c r="E128" s="145">
        <v>1.1030731613645395</v>
      </c>
      <c r="F128" s="145">
        <v>1.2317032446028291</v>
      </c>
      <c r="G128" s="145">
        <v>0</v>
      </c>
      <c r="H128" s="145">
        <v>2.6729390718871353</v>
      </c>
      <c r="I128" s="145">
        <v>2.0422032491447264</v>
      </c>
      <c r="J128" s="145">
        <v>44.842511125256991</v>
      </c>
      <c r="K128" s="232">
        <v>1.7607199564484048</v>
      </c>
      <c r="L128" s="145">
        <v>1.0851971060098387</v>
      </c>
      <c r="M128" s="144">
        <v>79.293976071789032</v>
      </c>
      <c r="N128" s="145">
        <v>10.624623333294364</v>
      </c>
      <c r="O128" s="145">
        <v>26.439042370941294</v>
      </c>
      <c r="P128" s="144">
        <v>33.478809542425921</v>
      </c>
      <c r="Q128" s="144">
        <v>7.3946825613690317</v>
      </c>
      <c r="R128" s="145">
        <v>537.84721150675546</v>
      </c>
      <c r="S128" s="145">
        <v>38.657311721629796</v>
      </c>
      <c r="T128" s="232">
        <v>8.2378975137972041</v>
      </c>
      <c r="U128" s="144">
        <v>18.959303624656911</v>
      </c>
      <c r="V128" s="145">
        <v>3.0210383481073304</v>
      </c>
      <c r="W128" s="146">
        <v>26.439042370941294</v>
      </c>
      <c r="X128" s="256">
        <v>106.07584777830193</v>
      </c>
      <c r="Y128" s="145">
        <v>1.163073607559755</v>
      </c>
      <c r="Z128" s="144">
        <v>31.383010612875474</v>
      </c>
    </row>
    <row r="129" spans="1:26" x14ac:dyDescent="0.35">
      <c r="A129" s="50" t="s">
        <v>1524</v>
      </c>
      <c r="B129" s="232">
        <v>263.15064259500974</v>
      </c>
      <c r="C129" s="145">
        <v>53.11851930230948</v>
      </c>
      <c r="D129" s="145">
        <v>4.7260139357462805</v>
      </c>
      <c r="E129" s="145">
        <v>0.81660888602068193</v>
      </c>
      <c r="F129" s="145">
        <v>2.3434498075060533</v>
      </c>
      <c r="G129" s="145">
        <v>0</v>
      </c>
      <c r="H129" s="145">
        <v>2.3020308450476725</v>
      </c>
      <c r="I129" s="145">
        <v>1.9035845843933226</v>
      </c>
      <c r="J129" s="145">
        <v>45.627875358458795</v>
      </c>
      <c r="K129" s="232">
        <v>1.7832994663231778</v>
      </c>
      <c r="L129" s="145">
        <v>3.0706815615310692</v>
      </c>
      <c r="M129" s="144">
        <v>73.407114157956897</v>
      </c>
      <c r="N129" s="145">
        <v>44.922766687733613</v>
      </c>
      <c r="O129" s="145">
        <v>86.789078643407152</v>
      </c>
      <c r="P129" s="144">
        <v>92.465451873197026</v>
      </c>
      <c r="Q129" s="144">
        <v>38.322240125512224</v>
      </c>
      <c r="R129" s="145">
        <v>234.06537059397331</v>
      </c>
      <c r="S129" s="145">
        <v>87.186111422220918</v>
      </c>
      <c r="T129" s="232">
        <v>40.478798975377032</v>
      </c>
      <c r="U129" s="144">
        <v>85.736923127194927</v>
      </c>
      <c r="V129" s="145">
        <v>20.590206049619496</v>
      </c>
      <c r="W129" s="146">
        <v>86.789078643407152</v>
      </c>
      <c r="X129" s="256">
        <v>54.497742044824207</v>
      </c>
      <c r="Y129" s="145">
        <v>4.5593436648437837</v>
      </c>
      <c r="Z129" s="144">
        <v>75.087035173430024</v>
      </c>
    </row>
    <row r="130" spans="1:26" x14ac:dyDescent="0.35">
      <c r="A130" s="50" t="s">
        <v>1523</v>
      </c>
      <c r="B130" s="232">
        <v>429.7993219551538</v>
      </c>
      <c r="C130" s="145">
        <v>139.04388975303743</v>
      </c>
      <c r="D130" s="145">
        <v>11.693428222945256</v>
      </c>
      <c r="E130" s="145">
        <v>1.4658821076931217</v>
      </c>
      <c r="F130" s="145">
        <v>8.1234180215644614</v>
      </c>
      <c r="G130" s="145">
        <v>0</v>
      </c>
      <c r="H130" s="145">
        <v>4.6637207212578105</v>
      </c>
      <c r="I130" s="145">
        <v>3.8087372728068782</v>
      </c>
      <c r="J130" s="145">
        <v>105.60643051782908</v>
      </c>
      <c r="K130" s="232">
        <v>5.4838343975804715</v>
      </c>
      <c r="L130" s="145">
        <v>8.2373567242532175</v>
      </c>
      <c r="M130" s="144">
        <v>151.47272759190184</v>
      </c>
      <c r="N130" s="145">
        <v>104.47734198928183</v>
      </c>
      <c r="O130" s="145">
        <v>158.77611662037376</v>
      </c>
      <c r="P130" s="144">
        <v>168.14837562070176</v>
      </c>
      <c r="Q130" s="144">
        <v>74.341423257196027</v>
      </c>
      <c r="R130" s="145">
        <v>445.23762200347619</v>
      </c>
      <c r="S130" s="145">
        <v>156.54185925554631</v>
      </c>
      <c r="T130" s="232">
        <v>107.64070733371086</v>
      </c>
      <c r="U130" s="144">
        <v>159.19179807741435</v>
      </c>
      <c r="V130" s="145">
        <v>53.786812598932784</v>
      </c>
      <c r="W130" s="146">
        <v>158.77611662037376</v>
      </c>
      <c r="X130" s="256">
        <v>102.95921716605949</v>
      </c>
      <c r="Y130" s="145">
        <v>5.5618712657613454</v>
      </c>
      <c r="Z130" s="144">
        <v>171.70182585302888</v>
      </c>
    </row>
    <row r="131" spans="1:26" x14ac:dyDescent="0.35">
      <c r="A131" s="50" t="s">
        <v>1522</v>
      </c>
      <c r="B131" s="232">
        <v>56.054007112223836</v>
      </c>
      <c r="C131" s="145">
        <v>20.353523583987542</v>
      </c>
      <c r="D131" s="145">
        <v>1.2427793489713914</v>
      </c>
      <c r="E131" s="145">
        <v>0.22134299229634141</v>
      </c>
      <c r="F131" s="145">
        <v>0.84859913548983867</v>
      </c>
      <c r="G131" s="145">
        <v>0</v>
      </c>
      <c r="H131" s="145">
        <v>0.71085331372907468</v>
      </c>
      <c r="I131" s="145">
        <v>0.57502067728968198</v>
      </c>
      <c r="J131" s="145">
        <v>15.039471615054307</v>
      </c>
      <c r="K131" s="232">
        <v>0.47865663862836388</v>
      </c>
      <c r="L131" s="145">
        <v>0.73604350707656208</v>
      </c>
      <c r="M131" s="144">
        <v>21.023247047327139</v>
      </c>
      <c r="N131" s="145">
        <v>12.013781538740416</v>
      </c>
      <c r="O131" s="145">
        <v>13.828281591307237</v>
      </c>
      <c r="P131" s="144">
        <v>15.050998416702811</v>
      </c>
      <c r="Q131" s="144">
        <v>8.5071013540392855</v>
      </c>
      <c r="R131" s="145">
        <v>35.931321365022953</v>
      </c>
      <c r="S131" s="145">
        <v>12.331077731491684</v>
      </c>
      <c r="T131" s="232">
        <v>12.8711258028833</v>
      </c>
      <c r="U131" s="144">
        <v>13.385204651367584</v>
      </c>
      <c r="V131" s="145">
        <v>6.6488379119468544</v>
      </c>
      <c r="W131" s="146">
        <v>13.828281591307237</v>
      </c>
      <c r="X131" s="256">
        <v>7.7501404310685595</v>
      </c>
      <c r="Y131" s="145">
        <v>7.0430768917905368E-2</v>
      </c>
      <c r="Z131" s="144">
        <v>22.812723857254877</v>
      </c>
    </row>
    <row r="132" spans="1:26" x14ac:dyDescent="0.35">
      <c r="A132" s="50" t="s">
        <v>1521</v>
      </c>
      <c r="B132" s="232">
        <v>53.328565262115006</v>
      </c>
      <c r="C132" s="145">
        <v>13.68298033678918</v>
      </c>
      <c r="D132" s="145">
        <v>0.99960244762394257</v>
      </c>
      <c r="E132" s="145">
        <v>0.17258396355838559</v>
      </c>
      <c r="F132" s="145">
        <v>0.59369244585757219</v>
      </c>
      <c r="G132" s="145">
        <v>0</v>
      </c>
      <c r="H132" s="145">
        <v>0.52545559218353832</v>
      </c>
      <c r="I132" s="145">
        <v>0.46371502023497913</v>
      </c>
      <c r="J132" s="145">
        <v>10.968431219840372</v>
      </c>
      <c r="K132" s="232">
        <v>0.39340132929714189</v>
      </c>
      <c r="L132" s="145">
        <v>0.56345561126075294</v>
      </c>
      <c r="M132" s="144">
        <v>16.859618946710871</v>
      </c>
      <c r="N132" s="145">
        <v>8.8886532716254649</v>
      </c>
      <c r="O132" s="145">
        <v>10.225569135540335</v>
      </c>
      <c r="P132" s="144">
        <v>11.429366710622867</v>
      </c>
      <c r="Q132" s="144">
        <v>7.066419656396933</v>
      </c>
      <c r="R132" s="145">
        <v>28.932292896626628</v>
      </c>
      <c r="S132" s="145">
        <v>9.2565220232510068</v>
      </c>
      <c r="T132" s="232">
        <v>9.556284885535522</v>
      </c>
      <c r="U132" s="144">
        <v>9.9370130053148102</v>
      </c>
      <c r="V132" s="145">
        <v>4.8930382541663509</v>
      </c>
      <c r="W132" s="146">
        <v>10.225569135540335</v>
      </c>
      <c r="X132" s="256">
        <v>6.2588100188520981</v>
      </c>
      <c r="Y132" s="145">
        <v>5.7006372163891907E-2</v>
      </c>
      <c r="Z132" s="144">
        <v>15.985209201119359</v>
      </c>
    </row>
    <row r="133" spans="1:26" x14ac:dyDescent="0.35">
      <c r="A133" s="50" t="s">
        <v>1520</v>
      </c>
      <c r="B133" s="232">
        <v>267.92238615380671</v>
      </c>
      <c r="C133" s="145">
        <v>495.28298445070322</v>
      </c>
      <c r="D133" s="145">
        <v>8.9925970670351063</v>
      </c>
      <c r="E133" s="145">
        <v>1.7333383090568273</v>
      </c>
      <c r="F133" s="145">
        <v>16.527453073180261</v>
      </c>
      <c r="G133" s="145">
        <v>0</v>
      </c>
      <c r="H133" s="145">
        <v>9.010570969125915</v>
      </c>
      <c r="I133" s="145">
        <v>4.3884869010652379</v>
      </c>
      <c r="J133" s="145">
        <v>223.23639198195156</v>
      </c>
      <c r="K133" s="232">
        <v>3.5073300027670156</v>
      </c>
      <c r="L133" s="145">
        <v>19.234255238673679</v>
      </c>
      <c r="M133" s="144">
        <v>183.91926325014109</v>
      </c>
      <c r="N133" s="145">
        <v>377.81253313426851</v>
      </c>
      <c r="O133" s="145">
        <v>380.82896935031334</v>
      </c>
      <c r="P133" s="144">
        <v>372.79495882121694</v>
      </c>
      <c r="Q133" s="144">
        <v>176.42007531998414</v>
      </c>
      <c r="R133" s="145">
        <v>812.39631740466075</v>
      </c>
      <c r="S133" s="145">
        <v>367.85525583105527</v>
      </c>
      <c r="T133" s="232">
        <v>406.67233203194036</v>
      </c>
      <c r="U133" s="144">
        <v>418.31202880332864</v>
      </c>
      <c r="V133" s="145">
        <v>220.22745775240475</v>
      </c>
      <c r="W133" s="146">
        <v>380.82896935031334</v>
      </c>
      <c r="X133" s="256">
        <v>160.43252782391716</v>
      </c>
      <c r="Y133" s="145">
        <v>0.81025268617645629</v>
      </c>
      <c r="Z133" s="144">
        <v>493.08331397456158</v>
      </c>
    </row>
    <row r="134" spans="1:26" x14ac:dyDescent="0.35">
      <c r="A134" s="50" t="s">
        <v>1519</v>
      </c>
      <c r="B134" s="232">
        <v>4.0194435191296654</v>
      </c>
      <c r="C134" s="145">
        <v>0.93509886204226578</v>
      </c>
      <c r="D134" s="145">
        <v>0.11753291992646651</v>
      </c>
      <c r="E134" s="145">
        <v>2.1542091753747272E-2</v>
      </c>
      <c r="F134" s="145">
        <v>4.9285361914240475E-2</v>
      </c>
      <c r="G134" s="145">
        <v>0</v>
      </c>
      <c r="H134" s="145">
        <v>5.8164473105776521E-2</v>
      </c>
      <c r="I134" s="145">
        <v>5.3350199898768387E-2</v>
      </c>
      <c r="J134" s="145">
        <v>1.124446082378413</v>
      </c>
      <c r="K134" s="232">
        <v>4.3435835192261026E-2</v>
      </c>
      <c r="L134" s="145">
        <v>4.1626264164838105E-2</v>
      </c>
      <c r="M134" s="144">
        <v>1.9239618407905663</v>
      </c>
      <c r="N134" s="145">
        <v>0.58223338955043635</v>
      </c>
      <c r="O134" s="145">
        <v>0.77571570197572304</v>
      </c>
      <c r="P134" s="144">
        <v>0.93908770365662919</v>
      </c>
      <c r="Q134" s="144">
        <v>0.48443912744554918</v>
      </c>
      <c r="R134" s="145">
        <v>2.0730468330014897</v>
      </c>
      <c r="S134" s="145">
        <v>0.64333659742672189</v>
      </c>
      <c r="T134" s="232">
        <v>0.6093252444181092</v>
      </c>
      <c r="U134" s="144">
        <v>0.67045658541715036</v>
      </c>
      <c r="V134" s="145">
        <v>0.29621913756937707</v>
      </c>
      <c r="W134" s="146">
        <v>0.77571570197572304</v>
      </c>
      <c r="X134" s="256">
        <v>0.4828327862315821</v>
      </c>
      <c r="Y134" s="145">
        <v>8.4091618547382299E-3</v>
      </c>
      <c r="Z134" s="144">
        <v>1.2418951872009056</v>
      </c>
    </row>
    <row r="135" spans="1:26" x14ac:dyDescent="0.35">
      <c r="A135" s="46" t="s">
        <v>1518</v>
      </c>
      <c r="B135" s="231">
        <v>10.115890050091378</v>
      </c>
      <c r="C135" s="142">
        <v>1.9989721912409348</v>
      </c>
      <c r="D135" s="142">
        <v>0.24098865290669763</v>
      </c>
      <c r="E135" s="142">
        <v>3.0205905685865807E-2</v>
      </c>
      <c r="F135" s="142">
        <v>0.14360558436672677</v>
      </c>
      <c r="G135" s="142">
        <v>0</v>
      </c>
      <c r="H135" s="142">
        <v>8.7131922229795211E-2</v>
      </c>
      <c r="I135" s="142">
        <v>8.1167207004625513E-2</v>
      </c>
      <c r="J135" s="142">
        <v>1.9451396064331461</v>
      </c>
      <c r="K135" s="231">
        <v>0.12506995095743934</v>
      </c>
      <c r="L135" s="142">
        <v>0.13566812583919388</v>
      </c>
      <c r="M135" s="141">
        <v>3.152651278749464</v>
      </c>
      <c r="N135" s="142">
        <v>1.3837334631011691</v>
      </c>
      <c r="O135" s="142">
        <v>1.6675231231754573</v>
      </c>
      <c r="P135" s="141">
        <v>1.9142644749046123</v>
      </c>
      <c r="Q135" s="141">
        <v>1.2167820615346998</v>
      </c>
      <c r="R135" s="142">
        <v>5.6905541373397792</v>
      </c>
      <c r="S135" s="142">
        <v>1.5397755758332083</v>
      </c>
      <c r="T135" s="231">
        <v>1.5943820503326669</v>
      </c>
      <c r="U135" s="141">
        <v>1.5958497841050125</v>
      </c>
      <c r="V135" s="142">
        <v>0.75267438611039761</v>
      </c>
      <c r="W135" s="143">
        <v>1.6675231231754573</v>
      </c>
      <c r="X135" s="255">
        <v>1.3299668634181083</v>
      </c>
      <c r="Y135" s="142">
        <v>1.267433477902778E-2</v>
      </c>
      <c r="Z135" s="141">
        <v>2.5157654895032455</v>
      </c>
    </row>
  </sheetData>
  <mergeCells count="39">
    <mergeCell ref="AK53:AL54"/>
    <mergeCell ref="AM53:AN54"/>
    <mergeCell ref="W54:X54"/>
    <mergeCell ref="Y54:Z54"/>
    <mergeCell ref="B54:D54"/>
    <mergeCell ref="E54:G54"/>
    <mergeCell ref="H54:J54"/>
    <mergeCell ref="AS52:AT54"/>
    <mergeCell ref="B53:J53"/>
    <mergeCell ref="K53:P53"/>
    <mergeCell ref="Q53:R54"/>
    <mergeCell ref="S53:X53"/>
    <mergeCell ref="Y53:AB53"/>
    <mergeCell ref="AI53:AJ54"/>
    <mergeCell ref="S54:T54"/>
    <mergeCell ref="AO53:AP54"/>
    <mergeCell ref="B52:P52"/>
    <mergeCell ref="Q52:AB52"/>
    <mergeCell ref="AC52:AE54"/>
    <mergeCell ref="AF52:AH54"/>
    <mergeCell ref="AI52:AL52"/>
    <mergeCell ref="AM52:AR52"/>
    <mergeCell ref="AQ53:AR54"/>
    <mergeCell ref="R104:S104"/>
    <mergeCell ref="T104:U104"/>
    <mergeCell ref="X104:Z104"/>
    <mergeCell ref="AA54:AB54"/>
    <mergeCell ref="B103:P103"/>
    <mergeCell ref="Q103:U103"/>
    <mergeCell ref="V103:V105"/>
    <mergeCell ref="W103:W105"/>
    <mergeCell ref="X103:Z103"/>
    <mergeCell ref="B104:J104"/>
    <mergeCell ref="K104:M104"/>
    <mergeCell ref="N104:P104"/>
    <mergeCell ref="Q104:Q105"/>
    <mergeCell ref="K54:M54"/>
    <mergeCell ref="N54:P54"/>
    <mergeCell ref="U54:V54"/>
  </mergeCells>
  <dataValidations count="1">
    <dataValidation type="list" allowBlank="1" showInputMessage="1" showErrorMessage="1" sqref="C30" xr:uid="{00000000-0002-0000-2B00-000000000000}">
      <formula1>"Ethanol,Methanol"</formula1>
    </dataValidation>
  </dataValidations>
  <pageMargins left="0.75" right="0.75" top="1" bottom="1" header="0.5" footer="0.5"/>
  <pageSetup orientation="portrait" verticalDpi="0"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A1:BZ43"/>
  <sheetViews>
    <sheetView showGridLines="0" zoomScale="85" zoomScaleNormal="85" workbookViewId="0">
      <selection activeCell="A3" sqref="A3"/>
    </sheetView>
  </sheetViews>
  <sheetFormatPr defaultColWidth="9.1328125" defaultRowHeight="12.75" x14ac:dyDescent="0.35"/>
  <cols>
    <col min="1" max="1" width="20.46484375" style="39" customWidth="1"/>
    <col min="2" max="12" width="8.46484375" style="39" customWidth="1"/>
    <col min="13" max="21" width="7.86328125" style="39" customWidth="1"/>
    <col min="22" max="24" width="9.19921875" style="39" bestFit="1" customWidth="1"/>
    <col min="25" max="25" width="9.19921875" style="39" customWidth="1"/>
    <col min="26" max="26" width="7.46484375" style="39" customWidth="1"/>
    <col min="27" max="37" width="8.46484375" style="39" customWidth="1"/>
    <col min="38" max="40" width="8.796875" style="39" customWidth="1"/>
    <col min="41" max="41" width="10.46484375" style="39" bestFit="1" customWidth="1"/>
    <col min="42" max="42" width="12.796875" style="39" bestFit="1" customWidth="1"/>
    <col min="43" max="46" width="9.19921875" style="39" bestFit="1" customWidth="1"/>
    <col min="47" max="47" width="10.19921875" style="39" bestFit="1" customWidth="1"/>
    <col min="48" max="50" width="9.19921875" style="39" bestFit="1" customWidth="1"/>
    <col min="51" max="55" width="8.796875" style="39" customWidth="1"/>
    <col min="56" max="62" width="9.19921875" style="39" bestFit="1" customWidth="1"/>
    <col min="63" max="63" width="10.19921875" style="39" bestFit="1" customWidth="1"/>
    <col min="64" max="64" width="9.19921875" style="39" bestFit="1" customWidth="1"/>
    <col min="65" max="16384" width="9.1328125" style="39"/>
  </cols>
  <sheetData>
    <row r="1" spans="1:78" ht="15" x14ac:dyDescent="0.4">
      <c r="A1" s="140" t="s">
        <v>1625</v>
      </c>
      <c r="G1" s="230" t="s">
        <v>1561</v>
      </c>
    </row>
    <row r="3" spans="1:78" ht="13.9" x14ac:dyDescent="0.4">
      <c r="A3" s="72" t="s">
        <v>1624</v>
      </c>
    </row>
    <row r="4" spans="1:78" ht="38.25" x14ac:dyDescent="0.35">
      <c r="A4" s="61"/>
      <c r="B4" s="134" t="s">
        <v>1623</v>
      </c>
      <c r="C4" s="133" t="s">
        <v>1622</v>
      </c>
    </row>
    <row r="5" spans="1:78" x14ac:dyDescent="0.35">
      <c r="A5" s="59" t="s">
        <v>234</v>
      </c>
      <c r="B5" s="254">
        <v>0.73599999999999999</v>
      </c>
      <c r="C5" s="253">
        <v>0.26400000000000001</v>
      </c>
    </row>
    <row r="6" spans="1:78" x14ac:dyDescent="0.35">
      <c r="A6" s="59" t="s">
        <v>289</v>
      </c>
      <c r="B6" s="254">
        <v>0.89</v>
      </c>
      <c r="C6" s="253">
        <v>0.10999999999999999</v>
      </c>
    </row>
    <row r="7" spans="1:78" x14ac:dyDescent="0.35">
      <c r="A7" s="59" t="s">
        <v>290</v>
      </c>
      <c r="B7" s="254">
        <v>0.15</v>
      </c>
      <c r="C7" s="253">
        <v>0.85</v>
      </c>
    </row>
    <row r="8" spans="1:78" x14ac:dyDescent="0.35">
      <c r="A8" s="59" t="s">
        <v>236</v>
      </c>
      <c r="B8" s="254">
        <v>0.27</v>
      </c>
      <c r="C8" s="253">
        <v>0.73</v>
      </c>
    </row>
    <row r="9" spans="1:78" x14ac:dyDescent="0.35">
      <c r="A9" s="59" t="s">
        <v>237</v>
      </c>
      <c r="B9" s="254">
        <v>0.56000000000000005</v>
      </c>
      <c r="C9" s="253">
        <v>0.43999999999999995</v>
      </c>
    </row>
    <row r="10" spans="1:78" x14ac:dyDescent="0.35">
      <c r="A10" s="57" t="s">
        <v>1427</v>
      </c>
      <c r="B10" s="252">
        <v>0.47899999999999998</v>
      </c>
      <c r="C10" s="251">
        <v>0.52100000000000002</v>
      </c>
    </row>
    <row r="12" spans="1:78" ht="13.9" x14ac:dyDescent="0.4">
      <c r="A12" s="72" t="s">
        <v>1621</v>
      </c>
    </row>
    <row r="13" spans="1:78" s="244" customFormat="1" ht="90.75" customHeight="1" x14ac:dyDescent="0.45">
      <c r="A13" s="250"/>
      <c r="B13" s="247" t="s">
        <v>1620</v>
      </c>
      <c r="C13" s="247" t="s">
        <v>1420</v>
      </c>
      <c r="D13" s="247" t="s">
        <v>1619</v>
      </c>
      <c r="E13" s="246" t="s">
        <v>287</v>
      </c>
      <c r="F13" s="245" t="s">
        <v>288</v>
      </c>
      <c r="G13" s="247" t="s">
        <v>1618</v>
      </c>
      <c r="H13" s="247" t="s">
        <v>1617</v>
      </c>
      <c r="I13" s="246" t="s">
        <v>1616</v>
      </c>
      <c r="J13" s="247" t="s">
        <v>1399</v>
      </c>
      <c r="K13" s="247" t="s">
        <v>1398</v>
      </c>
      <c r="L13" s="246" t="s">
        <v>1615</v>
      </c>
      <c r="M13" s="248" t="s">
        <v>1307</v>
      </c>
      <c r="N13" s="247" t="s">
        <v>1306</v>
      </c>
      <c r="O13" s="246" t="s">
        <v>1614</v>
      </c>
      <c r="P13" s="248" t="s">
        <v>1613</v>
      </c>
      <c r="Q13" s="247" t="s">
        <v>1300</v>
      </c>
      <c r="R13" s="246" t="s">
        <v>1612</v>
      </c>
      <c r="S13" s="248" t="s">
        <v>1611</v>
      </c>
      <c r="T13" s="247" t="s">
        <v>1298</v>
      </c>
      <c r="U13" s="246" t="s">
        <v>1610</v>
      </c>
      <c r="V13" s="245" t="s">
        <v>1609</v>
      </c>
      <c r="W13" s="246" t="s">
        <v>1608</v>
      </c>
      <c r="X13" s="246" t="s">
        <v>1607</v>
      </c>
      <c r="Y13" s="246" t="s">
        <v>1606</v>
      </c>
      <c r="Z13" s="246" t="s">
        <v>238</v>
      </c>
      <c r="AA13" s="246" t="s">
        <v>241</v>
      </c>
      <c r="AB13" s="248" t="s">
        <v>1605</v>
      </c>
      <c r="AC13" s="247" t="s">
        <v>1604</v>
      </c>
      <c r="AD13" s="246" t="s">
        <v>1603</v>
      </c>
      <c r="AE13" s="246" t="s">
        <v>1269</v>
      </c>
      <c r="AF13" s="248" t="s">
        <v>242</v>
      </c>
      <c r="AG13" s="246" t="s">
        <v>1602</v>
      </c>
      <c r="AH13" s="248" t="s">
        <v>1601</v>
      </c>
      <c r="AI13" s="246" t="s">
        <v>1600</v>
      </c>
      <c r="AJ13" s="248" t="s">
        <v>1599</v>
      </c>
      <c r="AK13" s="247" t="s">
        <v>1490</v>
      </c>
      <c r="AL13" s="247" t="s">
        <v>1598</v>
      </c>
      <c r="AM13" s="247" t="s">
        <v>1597</v>
      </c>
      <c r="AN13" s="246" t="s">
        <v>1596</v>
      </c>
      <c r="AO13" s="245" t="s">
        <v>239</v>
      </c>
      <c r="AP13" s="245" t="s">
        <v>1486</v>
      </c>
      <c r="AQ13" s="245" t="s">
        <v>1595</v>
      </c>
      <c r="AR13" s="245" t="s">
        <v>1594</v>
      </c>
      <c r="AS13" s="245" t="s">
        <v>1593</v>
      </c>
      <c r="AT13" s="245" t="s">
        <v>1592</v>
      </c>
      <c r="AU13" s="245" t="s">
        <v>1591</v>
      </c>
      <c r="AV13" s="245" t="s">
        <v>1590</v>
      </c>
      <c r="AW13" s="245" t="s">
        <v>1589</v>
      </c>
      <c r="AX13" s="245" t="s">
        <v>1588</v>
      </c>
      <c r="AY13" s="248" t="s">
        <v>330</v>
      </c>
      <c r="AZ13" s="246" t="s">
        <v>1488</v>
      </c>
      <c r="BA13" s="248" t="s">
        <v>1587</v>
      </c>
      <c r="BB13" s="247" t="s">
        <v>1186</v>
      </c>
      <c r="BC13" s="246" t="s">
        <v>1185</v>
      </c>
      <c r="BD13" s="248" t="s">
        <v>1586</v>
      </c>
      <c r="BE13" s="247" t="s">
        <v>1585</v>
      </c>
      <c r="BF13" s="247" t="s">
        <v>1584</v>
      </c>
      <c r="BG13" s="247" t="s">
        <v>1583</v>
      </c>
      <c r="BH13" s="247" t="s">
        <v>1582</v>
      </c>
      <c r="BI13" s="247" t="s">
        <v>1581</v>
      </c>
      <c r="BJ13" s="247" t="s">
        <v>1580</v>
      </c>
      <c r="BK13" s="247" t="s">
        <v>1579</v>
      </c>
      <c r="BL13" s="247" t="s">
        <v>1578</v>
      </c>
      <c r="BM13" s="247" t="s">
        <v>1577</v>
      </c>
      <c r="BN13" s="247" t="s">
        <v>1576</v>
      </c>
      <c r="BO13" s="249" t="s">
        <v>307</v>
      </c>
      <c r="BP13" s="246" t="s">
        <v>1575</v>
      </c>
      <c r="BQ13" s="245" t="s">
        <v>1574</v>
      </c>
      <c r="BR13" s="245" t="s">
        <v>1573</v>
      </c>
      <c r="BS13" s="248" t="s">
        <v>1572</v>
      </c>
      <c r="BT13" s="247" t="s">
        <v>1571</v>
      </c>
      <c r="BU13" s="246" t="s">
        <v>1570</v>
      </c>
      <c r="BV13" s="245" t="s">
        <v>1569</v>
      </c>
      <c r="BW13" s="245" t="s">
        <v>1568</v>
      </c>
      <c r="BX13" s="245" t="s">
        <v>1485</v>
      </c>
      <c r="BY13" s="245" t="s">
        <v>1567</v>
      </c>
      <c r="BZ13" s="245" t="s">
        <v>1566</v>
      </c>
    </row>
    <row r="14" spans="1:78" ht="13.15" x14ac:dyDescent="0.4">
      <c r="A14" s="178" t="s">
        <v>1565</v>
      </c>
      <c r="B14" s="134"/>
      <c r="C14" s="134"/>
      <c r="D14" s="134"/>
      <c r="E14" s="133"/>
      <c r="F14" s="242"/>
      <c r="G14" s="134"/>
      <c r="H14" s="134"/>
      <c r="I14" s="133"/>
      <c r="J14" s="134"/>
      <c r="K14" s="134"/>
      <c r="L14" s="133"/>
      <c r="M14" s="243"/>
      <c r="N14" s="134"/>
      <c r="O14" s="133"/>
      <c r="P14" s="243"/>
      <c r="Q14" s="134"/>
      <c r="R14" s="133"/>
      <c r="S14" s="243"/>
      <c r="T14" s="134"/>
      <c r="U14" s="133"/>
      <c r="V14" s="242"/>
      <c r="W14" s="242"/>
      <c r="X14" s="242"/>
      <c r="Y14" s="242"/>
      <c r="Z14" s="133"/>
      <c r="AA14" s="133"/>
      <c r="AB14" s="134"/>
      <c r="AC14" s="134"/>
      <c r="AD14" s="133"/>
      <c r="AE14" s="133"/>
      <c r="AF14" s="243"/>
      <c r="AG14" s="133"/>
      <c r="AH14" s="243"/>
      <c r="AI14" s="133"/>
      <c r="AJ14" s="243"/>
      <c r="AK14" s="134"/>
      <c r="AL14" s="134"/>
      <c r="AM14" s="134"/>
      <c r="AN14" s="133"/>
      <c r="AO14" s="242"/>
      <c r="AP14" s="242"/>
      <c r="AQ14" s="242"/>
      <c r="AR14" s="242"/>
      <c r="AS14" s="242"/>
      <c r="AT14" s="242"/>
      <c r="AU14" s="242"/>
      <c r="AV14" s="242"/>
      <c r="AW14" s="242"/>
      <c r="AX14" s="242"/>
      <c r="AY14" s="243"/>
      <c r="AZ14" s="133"/>
      <c r="BA14" s="243"/>
      <c r="BB14" s="134"/>
      <c r="BC14" s="133"/>
      <c r="BD14" s="243"/>
      <c r="BE14" s="134"/>
      <c r="BF14" s="134"/>
      <c r="BG14" s="134"/>
      <c r="BH14" s="134"/>
      <c r="BI14" s="134"/>
      <c r="BJ14" s="134"/>
      <c r="BK14" s="134"/>
      <c r="BL14" s="134"/>
      <c r="BM14" s="134"/>
      <c r="BN14" s="134"/>
      <c r="BP14" s="133"/>
      <c r="BQ14" s="242"/>
      <c r="BR14" s="242"/>
      <c r="BS14" s="243"/>
      <c r="BT14" s="134"/>
      <c r="BU14" s="133"/>
      <c r="BV14" s="242"/>
      <c r="BW14" s="242"/>
      <c r="BX14" s="242"/>
      <c r="BY14" s="242"/>
      <c r="BZ14" s="242"/>
    </row>
    <row r="15" spans="1:78" x14ac:dyDescent="0.35">
      <c r="A15" s="50" t="s">
        <v>1537</v>
      </c>
      <c r="B15" s="145">
        <v>1.4845165109651757E-2</v>
      </c>
      <c r="C15" s="145">
        <v>9.0334852841679556E-3</v>
      </c>
      <c r="D15" s="145">
        <v>1.3310881635724033E-2</v>
      </c>
      <c r="E15" s="144">
        <v>1.2387435215127252E-2</v>
      </c>
      <c r="F15" s="146">
        <v>1.490054128033816E-2</v>
      </c>
      <c r="G15" s="145">
        <v>5.7323575121518582E-2</v>
      </c>
      <c r="H15" s="145">
        <v>1.1499061347699168E-2</v>
      </c>
      <c r="I15" s="144">
        <v>5.228287860639845E-2</v>
      </c>
      <c r="J15" s="145">
        <v>6.3685291609496028E-2</v>
      </c>
      <c r="K15" s="145">
        <v>1.3187320629835388E-2</v>
      </c>
      <c r="L15" s="144">
        <v>2.0762016276784482E-2</v>
      </c>
      <c r="M15" s="232">
        <v>1.1538717374842154E-2</v>
      </c>
      <c r="N15" s="145">
        <v>2.1150271173581247E-3</v>
      </c>
      <c r="O15" s="144">
        <v>4.6594234868788127E-3</v>
      </c>
      <c r="P15" s="232">
        <v>5.5983314500536535E-2</v>
      </c>
      <c r="Q15" s="145">
        <v>9.6403327249627926E-3</v>
      </c>
      <c r="R15" s="144">
        <v>3.559240251928409E-2</v>
      </c>
      <c r="S15" s="232">
        <v>3.9214189899042982E-2</v>
      </c>
      <c r="T15" s="145">
        <v>1.4867091985376927E-3</v>
      </c>
      <c r="U15" s="144">
        <v>2.2614098390820656E-2</v>
      </c>
      <c r="V15" s="146">
        <v>5.5983314500536535E-2</v>
      </c>
      <c r="W15" s="146">
        <v>0.11372551691617978</v>
      </c>
      <c r="X15" s="146">
        <v>5.3624637760933326E-2</v>
      </c>
      <c r="Y15" s="146">
        <v>0.13117819220601701</v>
      </c>
      <c r="Z15" s="144">
        <v>1.9121111804492677E-2</v>
      </c>
      <c r="AA15" s="144">
        <v>1.8551985584717472E-2</v>
      </c>
      <c r="AB15" s="145">
        <v>0.11088847370172675</v>
      </c>
      <c r="AC15" s="145">
        <v>6.8901918134551959E-3</v>
      </c>
      <c r="AD15" s="144">
        <v>5.6705368837937267E-2</v>
      </c>
      <c r="AE15" s="144">
        <v>2.6077466347304307E-4</v>
      </c>
      <c r="AF15" s="232">
        <v>9.8202403637431337E-3</v>
      </c>
      <c r="AG15" s="144">
        <v>1.1427521257957707E-2</v>
      </c>
      <c r="AH15" s="232">
        <v>3.4810290702326691E-2</v>
      </c>
      <c r="AI15" s="144">
        <v>3.3141191842256147E-2</v>
      </c>
      <c r="AJ15" s="232">
        <v>3.379022286889851E-2</v>
      </c>
      <c r="AK15" s="145">
        <v>3.7774887942110563E-2</v>
      </c>
      <c r="AL15" s="145">
        <v>3.6971427488878994E-2</v>
      </c>
      <c r="AM15" s="145">
        <v>0.13578299718341041</v>
      </c>
      <c r="AN15" s="144">
        <v>0.22769325443976066</v>
      </c>
      <c r="AO15" s="146">
        <v>2.3667813660998689E-2</v>
      </c>
      <c r="AP15" s="146">
        <v>0.49193418879001921</v>
      </c>
      <c r="AQ15" s="146">
        <v>0</v>
      </c>
      <c r="AR15" s="146">
        <v>9.0338147955964204E-2</v>
      </c>
      <c r="AS15" s="146">
        <v>0</v>
      </c>
      <c r="AT15" s="146">
        <v>0</v>
      </c>
      <c r="AU15" s="146">
        <v>0.11673335635638499</v>
      </c>
      <c r="AV15" s="146">
        <v>6.4501381778806627E-3</v>
      </c>
      <c r="AW15" s="146">
        <v>5.2141103044820204E-2</v>
      </c>
      <c r="AX15" s="146">
        <v>1.1427521257957707E-2</v>
      </c>
      <c r="AY15" s="232">
        <v>0.25574642402487591</v>
      </c>
      <c r="AZ15" s="144">
        <v>0.89511248408706567</v>
      </c>
      <c r="BA15" s="232">
        <v>9.2338247521732836E-3</v>
      </c>
      <c r="BB15" s="145">
        <v>9.0400766400993825E-3</v>
      </c>
      <c r="BC15" s="144">
        <v>4.8418908356222853E-2</v>
      </c>
      <c r="BD15" s="232">
        <v>1.6727685061662778E-2</v>
      </c>
      <c r="BE15" s="145">
        <v>9.6232654809440016E-2</v>
      </c>
      <c r="BF15" s="145">
        <v>0.10253318307706882</v>
      </c>
      <c r="BG15" s="145">
        <v>0.1039432506146664</v>
      </c>
      <c r="BH15" s="145">
        <v>0.106849024693837</v>
      </c>
      <c r="BI15" s="145">
        <v>8.7198866120859586E-2</v>
      </c>
      <c r="BJ15" s="145">
        <v>4.6883023918482113E-2</v>
      </c>
      <c r="BK15" s="145">
        <v>2.4713706171284849E-2</v>
      </c>
      <c r="BL15" s="145">
        <v>1.3745411996486946E-2</v>
      </c>
      <c r="BM15" s="145">
        <v>0.12778072309614136</v>
      </c>
      <c r="BN15" s="145">
        <v>0.11319345654592118</v>
      </c>
      <c r="BO15" s="145">
        <v>0.11633386520099262</v>
      </c>
      <c r="BP15" s="144">
        <v>4.3088545669179412E-2</v>
      </c>
      <c r="BQ15" s="146">
        <v>3.8640037970801788E-2</v>
      </c>
      <c r="BR15" s="146">
        <v>1.5565133779989916E-2</v>
      </c>
      <c r="BS15" s="232">
        <v>7.6991821296485435E-2</v>
      </c>
      <c r="BT15" s="145">
        <v>4.3806736254213075E-3</v>
      </c>
      <c r="BU15" s="144">
        <v>1.6098267524488178E-2</v>
      </c>
      <c r="BV15" s="146">
        <v>0.17165311480761114</v>
      </c>
      <c r="BW15" s="146">
        <v>8.5217470713689018E-3</v>
      </c>
      <c r="BX15" s="146">
        <v>1.5968340545469524</v>
      </c>
      <c r="BY15" s="146">
        <v>0.41279157004878941</v>
      </c>
      <c r="BZ15" s="146">
        <v>8.5889682624032834E-2</v>
      </c>
    </row>
    <row r="16" spans="1:78" x14ac:dyDescent="0.35">
      <c r="A16" s="50" t="s">
        <v>1536</v>
      </c>
      <c r="B16" s="145">
        <v>1.3619938502938675E-2</v>
      </c>
      <c r="C16" s="145">
        <v>7.6757622573783253E-3</v>
      </c>
      <c r="D16" s="145">
        <v>1.2050675974110742E-2</v>
      </c>
      <c r="E16" s="144">
        <v>1.0466726358093972E-2</v>
      </c>
      <c r="F16" s="146">
        <v>1.4686538540465026E-2</v>
      </c>
      <c r="G16" s="145">
        <v>3.6098672245171472E-2</v>
      </c>
      <c r="H16" s="145">
        <v>9.5062497468648751E-3</v>
      </c>
      <c r="I16" s="144">
        <v>3.3173505770357749E-2</v>
      </c>
      <c r="J16" s="145">
        <v>4.0376101209405442E-2</v>
      </c>
      <c r="K16" s="145">
        <v>1.1071624871119241E-2</v>
      </c>
      <c r="L16" s="144">
        <v>1.5467296321862171E-2</v>
      </c>
      <c r="M16" s="232">
        <v>1.1079865320627082E-2</v>
      </c>
      <c r="N16" s="145">
        <v>2.1134513878835826E-3</v>
      </c>
      <c r="O16" s="144">
        <v>4.534383149724327E-3</v>
      </c>
      <c r="P16" s="232">
        <v>5.1222396604348956E-2</v>
      </c>
      <c r="Q16" s="145">
        <v>9.2855473438236066E-3</v>
      </c>
      <c r="R16" s="144">
        <v>3.2770182929717805E-2</v>
      </c>
      <c r="S16" s="232">
        <v>3.5762626325996194E-2</v>
      </c>
      <c r="T16" s="145">
        <v>1.4319950403551113E-3</v>
      </c>
      <c r="U16" s="144">
        <v>2.0657148560314118E-2</v>
      </c>
      <c r="V16" s="146">
        <v>5.1222396604348956E-2</v>
      </c>
      <c r="W16" s="146">
        <v>0.10369838943821091</v>
      </c>
      <c r="X16" s="146">
        <v>4.8270724509872028E-2</v>
      </c>
      <c r="Y16" s="146">
        <v>0.11768960350998083</v>
      </c>
      <c r="Z16" s="144">
        <v>1.661549283125965E-2</v>
      </c>
      <c r="AA16" s="144">
        <v>1.5198400021434084E-2</v>
      </c>
      <c r="AB16" s="145">
        <v>0.1000837726274809</v>
      </c>
      <c r="AC16" s="145">
        <v>6.2516405443733972E-3</v>
      </c>
      <c r="AD16" s="144">
        <v>5.1197231812181887E-2</v>
      </c>
      <c r="AE16" s="144">
        <v>2.469098022520697E-4</v>
      </c>
      <c r="AF16" s="232">
        <v>9.3468554730037155E-3</v>
      </c>
      <c r="AG16" s="144">
        <v>1.0486527228219356E-2</v>
      </c>
      <c r="AH16" s="232">
        <v>3.3614757571865814E-2</v>
      </c>
      <c r="AI16" s="144">
        <v>3.2048173156899368E-2</v>
      </c>
      <c r="AJ16" s="232">
        <v>3.2948884513160637E-2</v>
      </c>
      <c r="AK16" s="145">
        <v>3.6689131600548174E-2</v>
      </c>
      <c r="AL16" s="145">
        <v>3.4665150502750701E-2</v>
      </c>
      <c r="AM16" s="145">
        <v>0.12930073295509276</v>
      </c>
      <c r="AN16" s="144">
        <v>0.21503286207169076</v>
      </c>
      <c r="AO16" s="146">
        <v>2.3104441706999851E-2</v>
      </c>
      <c r="AP16" s="146">
        <v>0.47929972378464974</v>
      </c>
      <c r="AQ16" s="146">
        <v>0</v>
      </c>
      <c r="AR16" s="146">
        <v>8.3545015741417775E-2</v>
      </c>
      <c r="AS16" s="146">
        <v>0</v>
      </c>
      <c r="AT16" s="146">
        <v>0</v>
      </c>
      <c r="AU16" s="146">
        <v>9.4343685716917869E-2</v>
      </c>
      <c r="AV16" s="146">
        <v>5.357325157664454E-3</v>
      </c>
      <c r="AW16" s="146">
        <v>5.1413570257359195E-2</v>
      </c>
      <c r="AX16" s="146">
        <v>1.0486527228219356E-2</v>
      </c>
      <c r="AY16" s="232">
        <v>0.2408187860925326</v>
      </c>
      <c r="AZ16" s="144">
        <v>0.8428657513238641</v>
      </c>
      <c r="BA16" s="232">
        <v>8.2243655784979414E-3</v>
      </c>
      <c r="BB16" s="145">
        <v>8.0517983762165117E-3</v>
      </c>
      <c r="BC16" s="144">
        <v>4.7267895296918216E-2</v>
      </c>
      <c r="BD16" s="232">
        <v>1.5824247385587738E-2</v>
      </c>
      <c r="BE16" s="145">
        <v>8.7196620329128879E-2</v>
      </c>
      <c r="BF16" s="145">
        <v>9.2835626922633724E-2</v>
      </c>
      <c r="BG16" s="145">
        <v>9.4324187984876628E-2</v>
      </c>
      <c r="BH16" s="145">
        <v>9.6991152736492739E-2</v>
      </c>
      <c r="BI16" s="145">
        <v>7.886485630914121E-2</v>
      </c>
      <c r="BJ16" s="145">
        <v>4.3439891484134706E-2</v>
      </c>
      <c r="BK16" s="145">
        <v>2.458601467555618E-2</v>
      </c>
      <c r="BL16" s="145">
        <v>1.2752565585398966E-2</v>
      </c>
      <c r="BM16" s="145">
        <v>0.11653245564735584</v>
      </c>
      <c r="BN16" s="145">
        <v>0.10148412186103159</v>
      </c>
      <c r="BO16" s="145">
        <v>0.10607189827662539</v>
      </c>
      <c r="BP16" s="144">
        <v>4.2523669028524905E-2</v>
      </c>
      <c r="BQ16" s="146">
        <v>3.6312150799595197E-2</v>
      </c>
      <c r="BR16" s="146">
        <v>1.3930903755169598E-2</v>
      </c>
      <c r="BS16" s="232">
        <v>6.2473563041045115E-2</v>
      </c>
      <c r="BT16" s="145">
        <v>4.2477430253551919E-3</v>
      </c>
      <c r="BU16" s="144">
        <v>1.5624673377974102E-2</v>
      </c>
      <c r="BV16" s="146">
        <v>0.14758346830834998</v>
      </c>
      <c r="BW16" s="146">
        <v>8.4239831660813703E-3</v>
      </c>
      <c r="BX16" s="146">
        <v>1.1672129688372108</v>
      </c>
      <c r="BY16" s="146">
        <v>0.25903793033359529</v>
      </c>
      <c r="BZ16" s="146">
        <v>8.3042973608732445E-2</v>
      </c>
    </row>
    <row r="17" spans="1:78" x14ac:dyDescent="0.35">
      <c r="A17" s="50" t="s">
        <v>1535</v>
      </c>
      <c r="B17" s="145">
        <v>1.0910857632842674E-2</v>
      </c>
      <c r="C17" s="145">
        <v>3.3672492937269986E-3</v>
      </c>
      <c r="D17" s="145">
        <v>8.9193450313161358E-3</v>
      </c>
      <c r="E17" s="144">
        <v>4.7749418139624612E-3</v>
      </c>
      <c r="F17" s="146">
        <v>1.0726824245738465E-2</v>
      </c>
      <c r="G17" s="145">
        <v>1.3537923340340714E-2</v>
      </c>
      <c r="H17" s="145">
        <v>1.8123126946221215E-3</v>
      </c>
      <c r="I17" s="144">
        <v>1.2248106169311669E-2</v>
      </c>
      <c r="J17" s="145">
        <v>1.4717954747709211E-2</v>
      </c>
      <c r="K17" s="145">
        <v>1.7964963983881403E-3</v>
      </c>
      <c r="L17" s="144">
        <v>3.7347151507863005E-3</v>
      </c>
      <c r="M17" s="232">
        <v>9.8309877360942856E-3</v>
      </c>
      <c r="N17" s="145">
        <v>2.075107991536949E-3</v>
      </c>
      <c r="O17" s="144">
        <v>4.16919552256743E-3</v>
      </c>
      <c r="P17" s="232">
        <v>1.0849470518480299E-2</v>
      </c>
      <c r="Q17" s="145">
        <v>1.8111477706279485E-3</v>
      </c>
      <c r="R17" s="144">
        <v>6.8726085094252655E-3</v>
      </c>
      <c r="S17" s="232">
        <v>7.9251157571146105E-3</v>
      </c>
      <c r="T17" s="145">
        <v>2.7931090423167923E-4</v>
      </c>
      <c r="U17" s="144">
        <v>4.5609616218461211E-3</v>
      </c>
      <c r="V17" s="146">
        <v>1.0849470518480299E-2</v>
      </c>
      <c r="W17" s="146">
        <v>2.3107695851077404E-2</v>
      </c>
      <c r="X17" s="146">
        <v>1.2176930938317961E-2</v>
      </c>
      <c r="Y17" s="146">
        <v>3.763731373754322E-2</v>
      </c>
      <c r="Z17" s="144">
        <v>6.1160317566794544E-3</v>
      </c>
      <c r="AA17" s="144">
        <v>8.1248787261530859E-3</v>
      </c>
      <c r="AB17" s="145">
        <v>2.6089903238630391E-2</v>
      </c>
      <c r="AC17" s="145">
        <v>1.5419045608666886E-3</v>
      </c>
      <c r="AD17" s="144">
        <v>1.3300395927515501E-2</v>
      </c>
      <c r="AE17" s="144">
        <v>3.3424825813401749E-5</v>
      </c>
      <c r="AF17" s="232">
        <v>1.6338344858922466E-3</v>
      </c>
      <c r="AG17" s="144">
        <v>2.3045896875994653E-3</v>
      </c>
      <c r="AH17" s="232">
        <v>2.8854953352310925E-3</v>
      </c>
      <c r="AI17" s="144">
        <v>3.0139074711707419E-3</v>
      </c>
      <c r="AJ17" s="232">
        <v>2.0287570156872358E-3</v>
      </c>
      <c r="AK17" s="145">
        <v>2.8304422363018412E-3</v>
      </c>
      <c r="AL17" s="145">
        <v>5.584366389149404E-3</v>
      </c>
      <c r="AM17" s="145">
        <v>1.8626235868679172E-2</v>
      </c>
      <c r="AN17" s="144">
        <v>3.7516109819407617E-2</v>
      </c>
      <c r="AO17" s="146">
        <v>1.3573002378608021E-3</v>
      </c>
      <c r="AP17" s="146">
        <v>0.44255671656584006</v>
      </c>
      <c r="AQ17" s="146">
        <v>0</v>
      </c>
      <c r="AR17" s="146">
        <v>1.6403299560880932E-2</v>
      </c>
      <c r="AS17" s="146">
        <v>0</v>
      </c>
      <c r="AT17" s="146">
        <v>0</v>
      </c>
      <c r="AU17" s="146">
        <v>5.4064314053384306E-2</v>
      </c>
      <c r="AV17" s="146">
        <v>2.6385794403765207E-3</v>
      </c>
      <c r="AW17" s="146">
        <v>1.7487540251254386E-3</v>
      </c>
      <c r="AX17" s="146">
        <v>2.3045896875994653E-3</v>
      </c>
      <c r="AY17" s="232">
        <v>4.4751341887093989E-2</v>
      </c>
      <c r="AZ17" s="144">
        <v>0.15662969660482895</v>
      </c>
      <c r="BA17" s="232">
        <v>2.4375349669206198E-3</v>
      </c>
      <c r="BB17" s="145">
        <v>2.3863895520324029E-3</v>
      </c>
      <c r="BC17" s="144">
        <v>2.7723685463175909E-3</v>
      </c>
      <c r="BD17" s="232">
        <v>3.0238244800090538E-3</v>
      </c>
      <c r="BE17" s="145">
        <v>2.323996722523259E-2</v>
      </c>
      <c r="BF17" s="145">
        <v>2.4732524475226798E-2</v>
      </c>
      <c r="BG17" s="145">
        <v>2.4539132489765213E-2</v>
      </c>
      <c r="BH17" s="145">
        <v>2.3545266407537128E-2</v>
      </c>
      <c r="BI17" s="145">
        <v>2.2479062041977742E-2</v>
      </c>
      <c r="BJ17" s="145">
        <v>1.0148060539728254E-2</v>
      </c>
      <c r="BK17" s="145">
        <v>3.0633246891917951E-4</v>
      </c>
      <c r="BL17" s="145">
        <v>3.3626514670728725E-3</v>
      </c>
      <c r="BM17" s="145">
        <v>2.6758340292064017E-2</v>
      </c>
      <c r="BN17" s="145">
        <v>2.898516971615938E-2</v>
      </c>
      <c r="BO17" s="145">
        <v>2.4457528643930318E-2</v>
      </c>
      <c r="BP17" s="144">
        <v>1.3639042130066067E-3</v>
      </c>
      <c r="BQ17" s="146">
        <v>1.7943981929273534E-2</v>
      </c>
      <c r="BR17" s="146">
        <v>3.9460123616558394E-3</v>
      </c>
      <c r="BS17" s="232">
        <v>3.5056839565140385E-2</v>
      </c>
      <c r="BT17" s="145">
        <v>3.2092975902930758E-4</v>
      </c>
      <c r="BU17" s="144">
        <v>1.1433780793808617E-3</v>
      </c>
      <c r="BV17" s="146">
        <v>5.8120891468295757E-2</v>
      </c>
      <c r="BW17" s="146">
        <v>2.3475171369079174E-4</v>
      </c>
      <c r="BX17" s="146">
        <v>0.53376765132692217</v>
      </c>
      <c r="BY17" s="146">
        <v>9.682590377231369E-2</v>
      </c>
      <c r="BZ17" s="146">
        <v>6.8517577159344992E-3</v>
      </c>
    </row>
    <row r="18" spans="1:78" x14ac:dyDescent="0.35">
      <c r="A18" s="50" t="s">
        <v>1534</v>
      </c>
      <c r="B18" s="145">
        <v>2.7900123697120476E-3</v>
      </c>
      <c r="C18" s="145">
        <v>4.1903094730030167E-3</v>
      </c>
      <c r="D18" s="145">
        <v>3.1596908049808651E-3</v>
      </c>
      <c r="E18" s="144">
        <v>5.5260363310322518E-3</v>
      </c>
      <c r="F18" s="146">
        <v>3.1370889665401748E-3</v>
      </c>
      <c r="G18" s="145">
        <v>1.5756622815065138E-2</v>
      </c>
      <c r="H18" s="145">
        <v>7.1046007941319711E-3</v>
      </c>
      <c r="I18" s="144">
        <v>1.4804900392762489E-2</v>
      </c>
      <c r="J18" s="145">
        <v>1.8164583132926598E-2</v>
      </c>
      <c r="K18" s="145">
        <v>8.6301763068124052E-3</v>
      </c>
      <c r="L18" s="144">
        <v>1.0060337330729537E-2</v>
      </c>
      <c r="M18" s="232">
        <v>8.3205393849064167E-4</v>
      </c>
      <c r="N18" s="145">
        <v>6.4862202840692502E-6</v>
      </c>
      <c r="O18" s="144">
        <v>2.2938950419984337E-4</v>
      </c>
      <c r="P18" s="232">
        <v>3.0134188875810396E-2</v>
      </c>
      <c r="Q18" s="145">
        <v>6.4889694773607107E-3</v>
      </c>
      <c r="R18" s="144">
        <v>1.9730292340492533E-2</v>
      </c>
      <c r="S18" s="232">
        <v>2.1315017664299454E-2</v>
      </c>
      <c r="T18" s="145">
        <v>1.0007134490329251E-3</v>
      </c>
      <c r="U18" s="144">
        <v>1.237672380958218E-2</v>
      </c>
      <c r="V18" s="146">
        <v>3.0134188875810396E-2</v>
      </c>
      <c r="W18" s="146">
        <v>6.5304950441324075E-2</v>
      </c>
      <c r="X18" s="146">
        <v>2.753372321521956E-2</v>
      </c>
      <c r="Y18" s="146">
        <v>6.0993736529890236E-2</v>
      </c>
      <c r="Z18" s="144">
        <v>7.2000079566201343E-3</v>
      </c>
      <c r="AA18" s="144">
        <v>6.4242563891141712E-3</v>
      </c>
      <c r="AB18" s="145">
        <v>7.2541375347875664E-2</v>
      </c>
      <c r="AC18" s="145">
        <v>4.6443696690323813E-3</v>
      </c>
      <c r="AD18" s="144">
        <v>3.7167035389198314E-2</v>
      </c>
      <c r="AE18" s="144">
        <v>5.5441728372636876E-5</v>
      </c>
      <c r="AF18" s="232">
        <v>7.5436310209714775E-3</v>
      </c>
      <c r="AG18" s="144">
        <v>7.8327066540202061E-3</v>
      </c>
      <c r="AH18" s="232">
        <v>2.6733526779363859E-2</v>
      </c>
      <c r="AI18" s="144">
        <v>1.5628064786290464E-2</v>
      </c>
      <c r="AJ18" s="232">
        <v>2.2747760658367724E-2</v>
      </c>
      <c r="AK18" s="145">
        <v>2.4909276086489324E-2</v>
      </c>
      <c r="AL18" s="145">
        <v>2.3519519577793725E-2</v>
      </c>
      <c r="AM18" s="145">
        <v>9.1959701369784111E-2</v>
      </c>
      <c r="AN18" s="144">
        <v>0.15375649654074119</v>
      </c>
      <c r="AO18" s="146">
        <v>1.2875177489084838E-2</v>
      </c>
      <c r="AP18" s="146">
        <v>6.5317810755600413E-3</v>
      </c>
      <c r="AQ18" s="146">
        <v>0</v>
      </c>
      <c r="AR18" s="146">
        <v>6.6384267745534936E-2</v>
      </c>
      <c r="AS18" s="146">
        <v>0</v>
      </c>
      <c r="AT18" s="146">
        <v>0</v>
      </c>
      <c r="AU18" s="146">
        <v>3.8442203457817695E-2</v>
      </c>
      <c r="AV18" s="146">
        <v>1.9542263684852422E-3</v>
      </c>
      <c r="AW18" s="146">
        <v>2.657859864196585E-2</v>
      </c>
      <c r="AX18" s="146">
        <v>7.8327066540202061E-3</v>
      </c>
      <c r="AY18" s="232">
        <v>0.17352115767480361</v>
      </c>
      <c r="AZ18" s="144">
        <v>0.6073240518618126</v>
      </c>
      <c r="BA18" s="232">
        <v>5.6895369732045589E-3</v>
      </c>
      <c r="BB18" s="145">
        <v>5.5701566430901494E-3</v>
      </c>
      <c r="BC18" s="144">
        <v>2.4352887119736204E-2</v>
      </c>
      <c r="BD18" s="232">
        <v>1.0255654152273254E-2</v>
      </c>
      <c r="BE18" s="145">
        <v>5.402303898334973E-2</v>
      </c>
      <c r="BF18" s="145">
        <v>5.7238721668130751E-2</v>
      </c>
      <c r="BG18" s="145">
        <v>5.8429458210972084E-2</v>
      </c>
      <c r="BH18" s="145">
        <v>6.0078073399162817E-2</v>
      </c>
      <c r="BI18" s="145">
        <v>5.0718723954579506E-2</v>
      </c>
      <c r="BJ18" s="145">
        <v>2.4204932381985806E-2</v>
      </c>
      <c r="BK18" s="145">
        <v>1.8514289601458653E-2</v>
      </c>
      <c r="BL18" s="145">
        <v>6.1224075804954467E-3</v>
      </c>
      <c r="BM18" s="145">
        <v>7.2346441520067667E-2</v>
      </c>
      <c r="BN18" s="145">
        <v>5.7311510784007515E-2</v>
      </c>
      <c r="BO18" s="145">
        <v>6.7347152390443116E-2</v>
      </c>
      <c r="BP18" s="144">
        <v>4.0818091828931938E-2</v>
      </c>
      <c r="BQ18" s="146">
        <v>4.5128687760212444E-3</v>
      </c>
      <c r="BR18" s="146">
        <v>9.3880103008842555E-3</v>
      </c>
      <c r="BS18" s="232">
        <v>2.5124699363998363E-2</v>
      </c>
      <c r="BT18" s="145">
        <v>3.7496234367825993E-3</v>
      </c>
      <c r="BU18" s="144">
        <v>1.3838709061497865E-2</v>
      </c>
      <c r="BV18" s="146">
        <v>8.7319423381427216E-2</v>
      </c>
      <c r="BW18" s="146">
        <v>4.3944359084813409E-3</v>
      </c>
      <c r="BX18" s="146">
        <v>0.5907473994461232</v>
      </c>
      <c r="BY18" s="146">
        <v>0.1492677450158347</v>
      </c>
      <c r="BZ18" s="146">
        <v>1.2243240542794048E-2</v>
      </c>
    </row>
    <row r="19" spans="1:78" x14ac:dyDescent="0.35">
      <c r="A19" s="46" t="s">
        <v>1533</v>
      </c>
      <c r="B19" s="142">
        <v>-8.0931499616049719E-5</v>
      </c>
      <c r="C19" s="142">
        <v>1.1820349064830975E-4</v>
      </c>
      <c r="D19" s="142">
        <v>-2.8359862186258813E-5</v>
      </c>
      <c r="E19" s="141">
        <v>1.6574821309925904E-4</v>
      </c>
      <c r="F19" s="143">
        <v>8.2262532818638584E-4</v>
      </c>
      <c r="G19" s="142">
        <v>6.8041260897656209E-3</v>
      </c>
      <c r="H19" s="142">
        <v>5.8933625811078251E-4</v>
      </c>
      <c r="I19" s="141">
        <v>6.1204992082835889E-3</v>
      </c>
      <c r="J19" s="142">
        <v>7.4935633287696295E-3</v>
      </c>
      <c r="K19" s="142">
        <v>6.449521659186953E-4</v>
      </c>
      <c r="L19" s="141">
        <v>1.6722438403463354E-3</v>
      </c>
      <c r="M19" s="231">
        <v>4.1682364604215443E-4</v>
      </c>
      <c r="N19" s="142">
        <v>3.1857176062564359E-5</v>
      </c>
      <c r="O19" s="141">
        <v>1.3579812295705368E-4</v>
      </c>
      <c r="P19" s="231">
        <v>1.0238737210058262E-2</v>
      </c>
      <c r="Q19" s="142">
        <v>9.8543009583494743E-4</v>
      </c>
      <c r="R19" s="141">
        <v>6.1672820798000048E-3</v>
      </c>
      <c r="S19" s="231">
        <v>6.5224929045821292E-3</v>
      </c>
      <c r="T19" s="142">
        <v>1.519706870905071E-4</v>
      </c>
      <c r="U19" s="141">
        <v>3.7194631288858158E-3</v>
      </c>
      <c r="V19" s="143">
        <v>1.0238737210058262E-2</v>
      </c>
      <c r="W19" s="143">
        <v>1.5285743145809442E-2</v>
      </c>
      <c r="X19" s="143">
        <v>8.5600703563345083E-3</v>
      </c>
      <c r="Y19" s="143">
        <v>1.9058553242547373E-2</v>
      </c>
      <c r="Z19" s="141">
        <v>3.2994531179600618E-3</v>
      </c>
      <c r="AA19" s="141">
        <v>6.4926490616682743E-4</v>
      </c>
      <c r="AB19" s="142">
        <v>1.4524940409748441E-3</v>
      </c>
      <c r="AC19" s="142">
        <v>6.5366314474327571E-5</v>
      </c>
      <c r="AD19" s="141">
        <v>7.2980049546807495E-4</v>
      </c>
      <c r="AE19" s="141">
        <v>1.5804324806603106E-4</v>
      </c>
      <c r="AF19" s="231">
        <v>1.6938996613999143E-4</v>
      </c>
      <c r="AG19" s="141">
        <v>3.4923088659968371E-4</v>
      </c>
      <c r="AH19" s="231">
        <v>3.9957354572708612E-3</v>
      </c>
      <c r="AI19" s="141">
        <v>1.3406200899438159E-2</v>
      </c>
      <c r="AJ19" s="142">
        <v>8.1723668391056777E-3</v>
      </c>
      <c r="AK19" s="142">
        <v>8.9494132777570082E-3</v>
      </c>
      <c r="AL19" s="142">
        <v>5.5612645358075708E-3</v>
      </c>
      <c r="AM19" s="142">
        <v>1.871479571662947E-2</v>
      </c>
      <c r="AN19" s="141">
        <v>2.3760255711541976E-2</v>
      </c>
      <c r="AO19" s="143">
        <v>8.8719639800542097E-3</v>
      </c>
      <c r="AP19" s="143">
        <v>3.0211226143249646E-2</v>
      </c>
      <c r="AQ19" s="143">
        <v>0</v>
      </c>
      <c r="AR19" s="143">
        <v>7.5744843500189906E-4</v>
      </c>
      <c r="AS19" s="143">
        <v>0</v>
      </c>
      <c r="AT19" s="143">
        <v>0</v>
      </c>
      <c r="AU19" s="143">
        <v>1.8371682057158696E-3</v>
      </c>
      <c r="AV19" s="143">
        <v>7.6451934880269155E-4</v>
      </c>
      <c r="AW19" s="143">
        <v>2.3086217590267903E-2</v>
      </c>
      <c r="AX19" s="143">
        <v>3.4923088659968371E-4</v>
      </c>
      <c r="AY19" s="231">
        <v>2.254628653063501E-2</v>
      </c>
      <c r="AZ19" s="141">
        <v>7.8912002857222538E-2</v>
      </c>
      <c r="BA19" s="231">
        <v>9.7293638372763103E-5</v>
      </c>
      <c r="BB19" s="142">
        <v>9.5252181093959194E-5</v>
      </c>
      <c r="BC19" s="141">
        <v>2.014263963086442E-2</v>
      </c>
      <c r="BD19" s="231">
        <v>2.5447744975454203E-3</v>
      </c>
      <c r="BE19" s="142">
        <v>9.9336249190085241E-3</v>
      </c>
      <c r="BF19" s="142">
        <v>1.0864391546168939E-2</v>
      </c>
      <c r="BG19" s="142">
        <v>1.1355607999046021E-2</v>
      </c>
      <c r="BH19" s="142">
        <v>1.3367812929792763E-2</v>
      </c>
      <c r="BI19" s="142">
        <v>5.6670816508355357E-3</v>
      </c>
      <c r="BJ19" s="142">
        <v>9.0869131671146575E-3</v>
      </c>
      <c r="BK19" s="142">
        <v>5.7653926051783461E-3</v>
      </c>
      <c r="BL19" s="142">
        <v>3.2675131212769725E-3</v>
      </c>
      <c r="BM19" s="142">
        <v>1.7427673835224148E-2</v>
      </c>
      <c r="BN19" s="142">
        <v>1.5187451972444801E-2</v>
      </c>
      <c r="BO19" s="142">
        <v>1.4267217242251941E-2</v>
      </c>
      <c r="BP19" s="141">
        <v>3.4167298658635613E-4</v>
      </c>
      <c r="BQ19" s="143">
        <v>1.3855300094300417E-2</v>
      </c>
      <c r="BR19" s="143">
        <v>5.968810926295045E-4</v>
      </c>
      <c r="BS19" s="231">
        <v>2.2920241119063754E-3</v>
      </c>
      <c r="BT19" s="142">
        <v>1.7718982954328461E-4</v>
      </c>
      <c r="BU19" s="141">
        <v>6.4258623709537264E-4</v>
      </c>
      <c r="BV19" s="143">
        <v>2.1431534586269889E-3</v>
      </c>
      <c r="BW19" s="143">
        <v>3.7947955439092372E-3</v>
      </c>
      <c r="BX19" s="143">
        <v>4.2697918064165508E-2</v>
      </c>
      <c r="BY19" s="143">
        <v>1.2944281545446891E-2</v>
      </c>
      <c r="BZ19" s="143">
        <v>6.3947975350003905E-2</v>
      </c>
    </row>
    <row r="20" spans="1:78" x14ac:dyDescent="0.35">
      <c r="A20" s="46" t="s">
        <v>1532</v>
      </c>
      <c r="B20" s="142">
        <v>2.496204709029259</v>
      </c>
      <c r="C20" s="142">
        <v>0.68582302395154815</v>
      </c>
      <c r="D20" s="142">
        <v>2.0182639441687433</v>
      </c>
      <c r="E20" s="141">
        <v>0.96915501852617025</v>
      </c>
      <c r="F20" s="143">
        <v>0.15914054488589019</v>
      </c>
      <c r="G20" s="142">
        <v>30.430107606200458</v>
      </c>
      <c r="H20" s="142">
        <v>2.7778778368431012</v>
      </c>
      <c r="I20" s="141">
        <v>27.388362331571152</v>
      </c>
      <c r="J20" s="142">
        <v>33.432676379335916</v>
      </c>
      <c r="K20" s="142">
        <v>2.9603073039503256</v>
      </c>
      <c r="L20" s="141">
        <v>7.5311626652581634</v>
      </c>
      <c r="M20" s="231">
        <v>0.26277455604186317</v>
      </c>
      <c r="N20" s="142">
        <v>8.0843870393518119E-3</v>
      </c>
      <c r="O20" s="141">
        <v>7.6850732670029884E-2</v>
      </c>
      <c r="P20" s="231">
        <v>16.212552303680145</v>
      </c>
      <c r="Q20" s="142">
        <v>0.21371646312831333</v>
      </c>
      <c r="R20" s="141">
        <v>9.1730645338373407</v>
      </c>
      <c r="S20" s="231">
        <v>10.486058793024124</v>
      </c>
      <c r="T20" s="142">
        <v>3.2958844956570872E-2</v>
      </c>
      <c r="U20" s="141">
        <v>5.8866948158744012</v>
      </c>
      <c r="V20" s="143">
        <v>16.212552303680145</v>
      </c>
      <c r="W20" s="143">
        <v>35.801134457732935</v>
      </c>
      <c r="X20" s="143">
        <v>19.328425583293807</v>
      </c>
      <c r="Y20" s="143">
        <v>44.49878990601411</v>
      </c>
      <c r="Z20" s="141">
        <v>1.6055647659169234</v>
      </c>
      <c r="AA20" s="141">
        <v>3.5850062149799933</v>
      </c>
      <c r="AB20" s="142">
        <v>5.5667778028972439</v>
      </c>
      <c r="AC20" s="142">
        <v>0.32952010841115659</v>
      </c>
      <c r="AD20" s="141">
        <v>2.8381665440699924</v>
      </c>
      <c r="AE20" s="141">
        <v>3.8894897038982551E-2</v>
      </c>
      <c r="AF20" s="231">
        <v>1.42741100618063</v>
      </c>
      <c r="AG20" s="141">
        <v>5.0237542387292597</v>
      </c>
      <c r="AH20" s="231">
        <v>0.72468319474171561</v>
      </c>
      <c r="AI20" s="141">
        <v>0.79836571745393448</v>
      </c>
      <c r="AJ20" s="142">
        <v>0.60514186320695385</v>
      </c>
      <c r="AK20" s="142">
        <v>0.74754479415750985</v>
      </c>
      <c r="AL20" s="142">
        <v>3.7061057655538496</v>
      </c>
      <c r="AM20" s="142">
        <v>3.7754965442606019</v>
      </c>
      <c r="AN20" s="141">
        <v>7.1012029230380227</v>
      </c>
      <c r="AO20" s="143">
        <v>0.46685223585744978</v>
      </c>
      <c r="AP20" s="143">
        <v>24.624784554968301</v>
      </c>
      <c r="AQ20" s="143">
        <v>0</v>
      </c>
      <c r="AR20" s="143">
        <v>3.54980810587741</v>
      </c>
      <c r="AS20" s="143">
        <v>0</v>
      </c>
      <c r="AT20" s="143">
        <v>0</v>
      </c>
      <c r="AU20" s="143">
        <v>11.229704994286696</v>
      </c>
      <c r="AV20" s="143">
        <v>0.56083535510445814</v>
      </c>
      <c r="AW20" s="143">
        <v>0.83153220067165423</v>
      </c>
      <c r="AX20" s="143">
        <v>5.0237542387292597</v>
      </c>
      <c r="AY20" s="231">
        <v>8.2635580078177924</v>
      </c>
      <c r="AZ20" s="141">
        <v>28.922453027362273</v>
      </c>
      <c r="BA20" s="231">
        <v>0.51661627674326216</v>
      </c>
      <c r="BB20" s="142">
        <v>0.50577641016878583</v>
      </c>
      <c r="BC20" s="141">
        <v>0.98403789368028038</v>
      </c>
      <c r="BD20" s="231">
        <v>0.57848172796033692</v>
      </c>
      <c r="BE20" s="142">
        <v>14.532479829654747</v>
      </c>
      <c r="BF20" s="142">
        <v>17.106464506844542</v>
      </c>
      <c r="BG20" s="142">
        <v>16.885231657539325</v>
      </c>
      <c r="BH20" s="142">
        <v>16.789287528079839</v>
      </c>
      <c r="BI20" s="142">
        <v>8.1548629574691809</v>
      </c>
      <c r="BJ20" s="142">
        <v>9.3041583752362893</v>
      </c>
      <c r="BK20" s="142">
        <v>1.0832880713172439</v>
      </c>
      <c r="BL20" s="142">
        <v>2.6432847089152549</v>
      </c>
      <c r="BM20" s="142">
        <v>29.818978632659416</v>
      </c>
      <c r="BN20" s="142">
        <v>29.597809192581188</v>
      </c>
      <c r="BO20" s="142">
        <v>18.412580193007422</v>
      </c>
      <c r="BP20" s="141">
        <v>0.46488454880109009</v>
      </c>
      <c r="BQ20" s="143">
        <v>2.8397836562266514</v>
      </c>
      <c r="BR20" s="143">
        <v>0.84447579201930389</v>
      </c>
      <c r="BS20" s="231">
        <v>7.4703596844025268</v>
      </c>
      <c r="BT20" s="142">
        <v>7.896065244876288E-2</v>
      </c>
      <c r="BU20" s="141">
        <v>0.28275908355642937</v>
      </c>
      <c r="BV20" s="143">
        <v>12.192217044079518</v>
      </c>
      <c r="BW20" s="143">
        <v>0.18577487252316882</v>
      </c>
      <c r="BX20" s="143">
        <v>350.25855240252542</v>
      </c>
      <c r="BY20" s="143">
        <v>155.07168592765612</v>
      </c>
      <c r="BZ20" s="143">
        <v>2.6293695184136774</v>
      </c>
    </row>
    <row r="21" spans="1:78" ht="13.15" x14ac:dyDescent="0.4">
      <c r="A21" s="178" t="s">
        <v>1564</v>
      </c>
      <c r="B21" s="157"/>
      <c r="C21" s="157"/>
      <c r="D21" s="157"/>
      <c r="E21" s="156"/>
      <c r="F21" s="241"/>
      <c r="G21" s="157"/>
      <c r="H21" s="157"/>
      <c r="I21" s="156"/>
      <c r="J21" s="157"/>
      <c r="K21" s="157"/>
      <c r="L21" s="156"/>
      <c r="M21" s="237"/>
      <c r="N21" s="157"/>
      <c r="O21" s="156"/>
      <c r="P21" s="237"/>
      <c r="Q21" s="157"/>
      <c r="R21" s="156"/>
      <c r="S21" s="237"/>
      <c r="T21" s="157"/>
      <c r="U21" s="156"/>
      <c r="V21" s="241"/>
      <c r="W21" s="241"/>
      <c r="X21" s="241"/>
      <c r="Y21" s="241"/>
      <c r="Z21" s="156"/>
      <c r="AA21" s="156"/>
      <c r="AB21" s="157"/>
      <c r="AC21" s="157"/>
      <c r="AD21" s="156"/>
      <c r="AE21" s="156"/>
      <c r="AF21" s="237"/>
      <c r="AG21" s="156"/>
      <c r="AH21" s="237"/>
      <c r="AI21" s="156"/>
      <c r="AJ21" s="232"/>
      <c r="AK21" s="145"/>
      <c r="AL21" s="145"/>
      <c r="AM21" s="145"/>
      <c r="AN21" s="144"/>
      <c r="AO21" s="241"/>
      <c r="AP21" s="241"/>
      <c r="AQ21" s="241"/>
      <c r="AR21" s="241"/>
      <c r="AS21" s="241"/>
      <c r="AT21" s="241"/>
      <c r="AU21" s="241"/>
      <c r="AV21" s="241"/>
      <c r="AW21" s="241"/>
      <c r="AX21" s="241"/>
      <c r="AY21" s="237"/>
      <c r="AZ21" s="156"/>
      <c r="BA21" s="237"/>
      <c r="BB21" s="157"/>
      <c r="BC21" s="156"/>
      <c r="BD21" s="237"/>
      <c r="BE21" s="157"/>
      <c r="BF21" s="157"/>
      <c r="BG21" s="157"/>
      <c r="BH21" s="157"/>
      <c r="BI21" s="157"/>
      <c r="BJ21" s="157"/>
      <c r="BK21" s="157"/>
      <c r="BL21" s="157"/>
      <c r="BM21" s="157"/>
      <c r="BN21" s="157"/>
      <c r="BO21" s="157"/>
      <c r="BP21" s="156"/>
      <c r="BQ21" s="241"/>
      <c r="BR21" s="241"/>
      <c r="BS21" s="237"/>
      <c r="BT21" s="157"/>
      <c r="BU21" s="156"/>
      <c r="BV21" s="241"/>
      <c r="BW21" s="241"/>
      <c r="BX21" s="241"/>
      <c r="BY21" s="241"/>
      <c r="BZ21" s="241"/>
    </row>
    <row r="22" spans="1:78" x14ac:dyDescent="0.35">
      <c r="A22" s="50" t="s">
        <v>1525</v>
      </c>
      <c r="B22" s="145">
        <v>1.5573199533784672</v>
      </c>
      <c r="C22" s="145">
        <v>0.16423369673874003</v>
      </c>
      <c r="D22" s="145">
        <v>1.1895451816255793</v>
      </c>
      <c r="E22" s="144">
        <v>0.23935920211412337</v>
      </c>
      <c r="F22" s="146">
        <v>1.0099304182542093</v>
      </c>
      <c r="G22" s="145">
        <v>0.56785804094539738</v>
      </c>
      <c r="H22" s="145">
        <v>0.28224632904542984</v>
      </c>
      <c r="I22" s="144">
        <v>0.5364407526364009</v>
      </c>
      <c r="J22" s="145">
        <v>0.48070447882187561</v>
      </c>
      <c r="K22" s="145">
        <v>0.16596438119282367</v>
      </c>
      <c r="L22" s="144">
        <v>0.21317539583718145</v>
      </c>
      <c r="M22" s="232">
        <v>0.84160153452468189</v>
      </c>
      <c r="N22" s="145">
        <v>1.6495008118153399E-2</v>
      </c>
      <c r="O22" s="144">
        <v>0.23927377024791613</v>
      </c>
      <c r="P22" s="232">
        <v>0.59288833244414818</v>
      </c>
      <c r="Q22" s="145">
        <v>9.731467010062933E-2</v>
      </c>
      <c r="R22" s="144">
        <v>0.3748359210129999</v>
      </c>
      <c r="S22" s="232">
        <v>0.40933611034991246</v>
      </c>
      <c r="T22" s="145">
        <v>1.5007637113668707E-2</v>
      </c>
      <c r="U22" s="144">
        <v>0.23583158212596525</v>
      </c>
      <c r="V22" s="146">
        <v>0.59288833244414818</v>
      </c>
      <c r="W22" s="146">
        <v>2.2613291573509651</v>
      </c>
      <c r="X22" s="146">
        <v>0.79261807242149229</v>
      </c>
      <c r="Y22" s="146">
        <v>1.8421566114920298</v>
      </c>
      <c r="Z22" s="144">
        <v>0.16468863317479349</v>
      </c>
      <c r="AA22" s="144">
        <v>0.14607040182787392</v>
      </c>
      <c r="AB22" s="145">
        <v>1.0453300286782234</v>
      </c>
      <c r="AC22" s="145">
        <v>6.579334065915278E-2</v>
      </c>
      <c r="AD22" s="144">
        <v>0.53499141422028751</v>
      </c>
      <c r="AE22" s="144">
        <v>9.5109137313920435E-3</v>
      </c>
      <c r="AF22" s="232">
        <v>0.10701467477942227</v>
      </c>
      <c r="AG22" s="144">
        <v>0.12252268575499749</v>
      </c>
      <c r="AH22" s="232">
        <v>0.64192213768004025</v>
      </c>
      <c r="AI22" s="144">
        <v>0.3349317110825783</v>
      </c>
      <c r="AJ22" s="232">
        <v>0.5760092125542019</v>
      </c>
      <c r="AK22" s="145">
        <v>0.51015176098013593</v>
      </c>
      <c r="AL22" s="145">
        <v>0.33516302580477331</v>
      </c>
      <c r="AM22" s="145">
        <v>1.2831258384697368</v>
      </c>
      <c r="AN22" s="144">
        <v>2.1882599583784255</v>
      </c>
      <c r="AO22" s="146">
        <v>2.8498559970891302</v>
      </c>
      <c r="AP22" s="146">
        <v>4.4079021301906192</v>
      </c>
      <c r="AQ22" s="146">
        <v>0</v>
      </c>
      <c r="AR22" s="146">
        <v>0.89901897034466249</v>
      </c>
      <c r="AS22" s="146">
        <v>0</v>
      </c>
      <c r="AT22" s="146">
        <v>0</v>
      </c>
      <c r="AU22" s="146">
        <v>0.84795802907035323</v>
      </c>
      <c r="AV22" s="146">
        <v>6.1564707181170991E-2</v>
      </c>
      <c r="AW22" s="146">
        <v>0.45537781023398466</v>
      </c>
      <c r="AX22" s="146">
        <v>0.12252268575499749</v>
      </c>
      <c r="AY22" s="232">
        <v>2.4786826234588939</v>
      </c>
      <c r="AZ22" s="144">
        <v>8.6753891821061284</v>
      </c>
      <c r="BA22" s="232">
        <v>8.4629412514918581E-2</v>
      </c>
      <c r="BB22" s="145">
        <v>8.2853681510620517E-2</v>
      </c>
      <c r="BC22" s="144">
        <v>0.41236229537015257</v>
      </c>
      <c r="BD22" s="232">
        <v>1.0263863322951485</v>
      </c>
      <c r="BE22" s="145">
        <v>1.3047719998171574</v>
      </c>
      <c r="BF22" s="145">
        <v>1.4104620067892515</v>
      </c>
      <c r="BG22" s="145">
        <v>1.3855686711172992</v>
      </c>
      <c r="BH22" s="145">
        <v>1.2274784628075777</v>
      </c>
      <c r="BI22" s="145">
        <v>1.1049925780165788</v>
      </c>
      <c r="BJ22" s="145">
        <v>1.6076733194261181</v>
      </c>
      <c r="BK22" s="145">
        <v>0.32136374753251523</v>
      </c>
      <c r="BL22" s="145">
        <v>0.680640302455502</v>
      </c>
      <c r="BM22" s="145">
        <v>1.6269683254121627</v>
      </c>
      <c r="BN22" s="145">
        <v>2.109448621046027</v>
      </c>
      <c r="BO22" s="145">
        <v>1.9743550846068469</v>
      </c>
      <c r="BP22" s="144">
        <v>0.91653342488661138</v>
      </c>
      <c r="BQ22" s="146">
        <v>0.55960393051677637</v>
      </c>
      <c r="BR22" s="146">
        <v>0.14142194168034336</v>
      </c>
      <c r="BS22" s="232">
        <v>0.60314243295489367</v>
      </c>
      <c r="BT22" s="145">
        <v>4.4053562652091059E-2</v>
      </c>
      <c r="BU22" s="144">
        <v>0.16243611483231382</v>
      </c>
      <c r="BV22" s="146">
        <v>1.4509695462313308</v>
      </c>
      <c r="BW22" s="146">
        <v>4.4041072181069234</v>
      </c>
      <c r="BX22" s="146">
        <v>11.1134064877221</v>
      </c>
      <c r="BY22" s="146">
        <v>2.5778683052351097</v>
      </c>
      <c r="BZ22" s="146">
        <v>2.3740082543165766</v>
      </c>
    </row>
    <row r="23" spans="1:78" x14ac:dyDescent="0.35">
      <c r="A23" s="50" t="s">
        <v>1524</v>
      </c>
      <c r="B23" s="145">
        <v>10.971843108721963</v>
      </c>
      <c r="C23" s="145">
        <v>1.8049992664969312</v>
      </c>
      <c r="D23" s="145">
        <v>8.5517963343745542</v>
      </c>
      <c r="E23" s="144">
        <v>2.7359930259854122</v>
      </c>
      <c r="F23" s="146">
        <v>0.45042914845374621</v>
      </c>
      <c r="G23" s="145">
        <v>1.2009736678593785</v>
      </c>
      <c r="H23" s="145">
        <v>0.400207203805238</v>
      </c>
      <c r="I23" s="144">
        <v>1.112889356813423</v>
      </c>
      <c r="J23" s="145">
        <v>1.3530229897461532</v>
      </c>
      <c r="K23" s="145">
        <v>0.47058958602514989</v>
      </c>
      <c r="L23" s="144">
        <v>0.60295459658330031</v>
      </c>
      <c r="M23" s="232">
        <v>0.30297098847739412</v>
      </c>
      <c r="N23" s="145">
        <v>5.5571175080519591E-2</v>
      </c>
      <c r="O23" s="144">
        <v>0.12236912469767572</v>
      </c>
      <c r="P23" s="232">
        <v>6.1980392502732595</v>
      </c>
      <c r="Q23" s="145">
        <v>0.93577852771871128</v>
      </c>
      <c r="R23" s="144">
        <v>3.8826445323492589</v>
      </c>
      <c r="S23" s="232">
        <v>4.0432688741826448</v>
      </c>
      <c r="T23" s="145">
        <v>0.14431354027345947</v>
      </c>
      <c r="U23" s="144">
        <v>2.3277285272626034</v>
      </c>
      <c r="V23" s="146">
        <v>6.1980392502732595</v>
      </c>
      <c r="W23" s="146">
        <v>5.9744818400647794</v>
      </c>
      <c r="X23" s="146">
        <v>2.6439890462024898</v>
      </c>
      <c r="Y23" s="146">
        <v>6.0032045696332856</v>
      </c>
      <c r="Z23" s="144">
        <v>1.1358843181508829</v>
      </c>
      <c r="AA23" s="144">
        <v>0.4219505918341846</v>
      </c>
      <c r="AB23" s="145">
        <v>4.045827339244072</v>
      </c>
      <c r="AC23" s="145">
        <v>0.24299560983792545</v>
      </c>
      <c r="AD23" s="144">
        <v>2.0645520082234694</v>
      </c>
      <c r="AE23" s="144">
        <v>2.7185214820581609E-2</v>
      </c>
      <c r="AF23" s="232">
        <v>0.44788080739254599</v>
      </c>
      <c r="AG23" s="144">
        <v>0.44324671081871397</v>
      </c>
      <c r="AH23" s="232">
        <v>2.370168303668216</v>
      </c>
      <c r="AI23" s="144">
        <v>7.4535094596931311</v>
      </c>
      <c r="AJ23" s="232">
        <v>3.8115181453545492</v>
      </c>
      <c r="AK23" s="145">
        <v>3.1613631658662924</v>
      </c>
      <c r="AL23" s="145">
        <v>1.3162080033743162</v>
      </c>
      <c r="AM23" s="145">
        <v>5.2785786338981815</v>
      </c>
      <c r="AN23" s="144">
        <v>8.8774468777289517</v>
      </c>
      <c r="AO23" s="146">
        <v>1.0140607050153292</v>
      </c>
      <c r="AP23" s="146">
        <v>7.3755112890527394</v>
      </c>
      <c r="AQ23" s="146">
        <v>0</v>
      </c>
      <c r="AR23" s="146">
        <v>3.4268373601464606</v>
      </c>
      <c r="AS23" s="146">
        <v>0</v>
      </c>
      <c r="AT23" s="146">
        <v>0</v>
      </c>
      <c r="AU23" s="146">
        <v>2.3678650556874672</v>
      </c>
      <c r="AV23" s="146">
        <v>0.17599495648730795</v>
      </c>
      <c r="AW23" s="146">
        <v>2.2999489274371423</v>
      </c>
      <c r="AX23" s="146">
        <v>0.44324671081871397</v>
      </c>
      <c r="AY23" s="232">
        <v>9.9843378619632102</v>
      </c>
      <c r="AZ23" s="144">
        <v>34.945182516871235</v>
      </c>
      <c r="BA23" s="232">
        <v>0.30241557986003997</v>
      </c>
      <c r="BB23" s="145">
        <v>0.29607016512322398</v>
      </c>
      <c r="BC23" s="144">
        <v>2.0595052019304538</v>
      </c>
      <c r="BD23" s="232">
        <v>1.3012771582180913</v>
      </c>
      <c r="BE23" s="145">
        <v>5.6926655688869481</v>
      </c>
      <c r="BF23" s="145">
        <v>5.8243485052722894</v>
      </c>
      <c r="BG23" s="145">
        <v>6.60559478006292</v>
      </c>
      <c r="BH23" s="145">
        <v>6.7027731511841582</v>
      </c>
      <c r="BI23" s="145">
        <v>3.7245539110669883</v>
      </c>
      <c r="BJ23" s="145">
        <v>4.0209801467877595</v>
      </c>
      <c r="BK23" s="145">
        <v>1.425969063427428</v>
      </c>
      <c r="BL23" s="145">
        <v>1.3554542252775832</v>
      </c>
      <c r="BM23" s="145">
        <v>5.8331905462977964</v>
      </c>
      <c r="BN23" s="145">
        <v>5.9391368454784956</v>
      </c>
      <c r="BO23" s="145">
        <v>7.6628741640132585</v>
      </c>
      <c r="BP23" s="144">
        <v>1.8681692490597521</v>
      </c>
      <c r="BQ23" s="146">
        <v>0.62015562438602034</v>
      </c>
      <c r="BR23" s="146">
        <v>0.51660820185799594</v>
      </c>
      <c r="BS23" s="232">
        <v>1.69320154357845</v>
      </c>
      <c r="BT23" s="145">
        <v>0.13162321200059157</v>
      </c>
      <c r="BU23" s="144">
        <v>0.48914336880989101</v>
      </c>
      <c r="BV23" s="146">
        <v>4.8200793391153036</v>
      </c>
      <c r="BW23" s="146">
        <v>0.42960346402153587</v>
      </c>
      <c r="BX23" s="146">
        <v>35.855888789653825</v>
      </c>
      <c r="BY23" s="146">
        <v>9.1049957897952627</v>
      </c>
      <c r="BZ23" s="146">
        <v>6.0917966033082722</v>
      </c>
    </row>
    <row r="24" spans="1:78" x14ac:dyDescent="0.35">
      <c r="A24" s="50" t="s">
        <v>1563</v>
      </c>
      <c r="B24" s="145">
        <v>1.2986779466187943</v>
      </c>
      <c r="C24" s="145">
        <v>0.48609659433777003</v>
      </c>
      <c r="D24" s="145">
        <v>1.0841564696166039</v>
      </c>
      <c r="E24" s="144">
        <v>0.6640606142486094</v>
      </c>
      <c r="F24" s="146">
        <v>0.74527474438878083</v>
      </c>
      <c r="G24" s="145">
        <v>2.6389560796511966</v>
      </c>
      <c r="H24" s="145">
        <v>0.68160710239194866</v>
      </c>
      <c r="I24" s="144">
        <v>2.4236476921526791</v>
      </c>
      <c r="J24" s="145">
        <v>2.9471944060865267</v>
      </c>
      <c r="K24" s="145">
        <v>0.79022330676246411</v>
      </c>
      <c r="L24" s="144">
        <v>1.1137689716610735</v>
      </c>
      <c r="M24" s="232">
        <v>0.54996520520461512</v>
      </c>
      <c r="N24" s="145">
        <v>0.27979491306256044</v>
      </c>
      <c r="O24" s="144">
        <v>0.35274089194091518</v>
      </c>
      <c r="P24" s="232">
        <v>17.075723168863366</v>
      </c>
      <c r="Q24" s="145">
        <v>2.4600817677821163</v>
      </c>
      <c r="R24" s="144">
        <v>10.644840952387618</v>
      </c>
      <c r="S24" s="232">
        <v>11.016627602339211</v>
      </c>
      <c r="T24" s="145">
        <v>0.379387962808167</v>
      </c>
      <c r="U24" s="144">
        <v>6.3362421609455524</v>
      </c>
      <c r="V24" s="146">
        <v>17.075723168863366</v>
      </c>
      <c r="W24" s="146">
        <v>11.480954627075471</v>
      </c>
      <c r="X24" s="146">
        <v>5.8533513737617664</v>
      </c>
      <c r="Y24" s="146">
        <v>13.495726724809236</v>
      </c>
      <c r="Z24" s="144">
        <v>3.0474850067779924</v>
      </c>
      <c r="AA24" s="144">
        <v>0.92263942084219863</v>
      </c>
      <c r="AB24" s="145">
        <v>7.063759325315222</v>
      </c>
      <c r="AC24" s="145">
        <v>0.39885820247549703</v>
      </c>
      <c r="AD24" s="144">
        <v>3.591345840315725</v>
      </c>
      <c r="AE24" s="144">
        <v>0.205187401280539</v>
      </c>
      <c r="AF24" s="232">
        <v>1.0341594154136189</v>
      </c>
      <c r="AG24" s="144">
        <v>1.876355215314383</v>
      </c>
      <c r="AH24" s="232">
        <v>1.5654937628362526</v>
      </c>
      <c r="AI24" s="144">
        <v>2.1234636690336193</v>
      </c>
      <c r="AJ24" s="232">
        <v>1.4556147716860037</v>
      </c>
      <c r="AK24" s="145">
        <v>2.3319863920627122</v>
      </c>
      <c r="AL24" s="145">
        <v>2.9601979095443385</v>
      </c>
      <c r="AM24" s="145">
        <v>9.6212709295407848</v>
      </c>
      <c r="AN24" s="144">
        <v>16.238043580150215</v>
      </c>
      <c r="AO24" s="146">
        <v>2.3082065787773387</v>
      </c>
      <c r="AP24" s="146">
        <v>32.330908751514244</v>
      </c>
      <c r="AQ24" s="146">
        <v>0</v>
      </c>
      <c r="AR24" s="146">
        <v>5.426506577165112</v>
      </c>
      <c r="AS24" s="146">
        <v>0</v>
      </c>
      <c r="AT24" s="146">
        <v>0</v>
      </c>
      <c r="AU24" s="146">
        <v>5.3180261944192857</v>
      </c>
      <c r="AV24" s="146">
        <v>0.40493332844220442</v>
      </c>
      <c r="AW24" s="146">
        <v>5.4694103994672147</v>
      </c>
      <c r="AX24" s="146">
        <v>1.876355215314383</v>
      </c>
      <c r="AY24" s="232">
        <v>18.185071487377986</v>
      </c>
      <c r="AZ24" s="144">
        <v>63.647750205822952</v>
      </c>
      <c r="BA24" s="232">
        <v>0.51540523308704811</v>
      </c>
      <c r="BB24" s="145">
        <v>0.50459077715532574</v>
      </c>
      <c r="BC24" s="144">
        <v>4.8897160738944221</v>
      </c>
      <c r="BD24" s="232">
        <v>2.6462246645434395</v>
      </c>
      <c r="BE24" s="145">
        <v>12.696921867597871</v>
      </c>
      <c r="BF24" s="145">
        <v>12.792651723259789</v>
      </c>
      <c r="BG24" s="145">
        <v>15.218178625960583</v>
      </c>
      <c r="BH24" s="145">
        <v>15.98985283912771</v>
      </c>
      <c r="BI24" s="145">
        <v>7.531398154475113</v>
      </c>
      <c r="BJ24" s="145">
        <v>8.8063675051810648</v>
      </c>
      <c r="BK24" s="145">
        <v>2.9798983568531994</v>
      </c>
      <c r="BL24" s="145">
        <v>3.0416488785876972</v>
      </c>
      <c r="BM24" s="145">
        <v>12.139070521054299</v>
      </c>
      <c r="BN24" s="145">
        <v>11.951051898760356</v>
      </c>
      <c r="BO24" s="145">
        <v>16.893703863481527</v>
      </c>
      <c r="BP24" s="144">
        <v>2.2459932521342951</v>
      </c>
      <c r="BQ24" s="146">
        <v>6.116237712694339</v>
      </c>
      <c r="BR24" s="146">
        <v>0.91391770404772454</v>
      </c>
      <c r="BS24" s="232">
        <v>4.6495442674033507</v>
      </c>
      <c r="BT24" s="145">
        <v>0.21818804412804871</v>
      </c>
      <c r="BU24" s="144">
        <v>0.80711687788774267</v>
      </c>
      <c r="BV24" s="146">
        <v>8.9213636882864886</v>
      </c>
      <c r="BW24" s="146">
        <v>1.0699189219948106</v>
      </c>
      <c r="BX24" s="146">
        <v>77.758230074716337</v>
      </c>
      <c r="BY24" s="146">
        <v>19.396936484393798</v>
      </c>
      <c r="BZ24" s="146">
        <v>14.681459977838378</v>
      </c>
    </row>
    <row r="25" spans="1:78" x14ac:dyDescent="0.35">
      <c r="A25" s="50" t="s">
        <v>1522</v>
      </c>
      <c r="B25" s="145">
        <v>0.79860916946063665</v>
      </c>
      <c r="C25" s="145">
        <v>0.36859345084940964</v>
      </c>
      <c r="D25" s="145">
        <v>0.68508501974727265</v>
      </c>
      <c r="E25" s="144">
        <v>0.55914198838123363</v>
      </c>
      <c r="F25" s="146">
        <v>0.50237140784841583</v>
      </c>
      <c r="G25" s="145">
        <v>2.1853045775941435</v>
      </c>
      <c r="H25" s="145">
        <v>0.33828755876808758</v>
      </c>
      <c r="I25" s="144">
        <v>1.9821327055232774</v>
      </c>
      <c r="J25" s="145">
        <v>2.3965936239847254</v>
      </c>
      <c r="K25" s="145">
        <v>0.36120679421971202</v>
      </c>
      <c r="L25" s="144">
        <v>0.66651481868446405</v>
      </c>
      <c r="M25" s="232">
        <v>2.3231381241049678</v>
      </c>
      <c r="N25" s="145">
        <v>2.3723039132797032E-2</v>
      </c>
      <c r="O25" s="144">
        <v>0.64456511207528311</v>
      </c>
      <c r="P25" s="232">
        <v>6.3645665443124546</v>
      </c>
      <c r="Q25" s="145">
        <v>9.6377920082164725E-2</v>
      </c>
      <c r="R25" s="144">
        <v>3.6065635496511277</v>
      </c>
      <c r="S25" s="232">
        <v>4.0529282647614613</v>
      </c>
      <c r="T25" s="145">
        <v>1.4863173752401572E-2</v>
      </c>
      <c r="U25" s="144">
        <v>2.2761796247174755</v>
      </c>
      <c r="V25" s="146">
        <v>6.3645665443124546</v>
      </c>
      <c r="W25" s="146">
        <v>22.941439323606655</v>
      </c>
      <c r="X25" s="146">
        <v>13.185851344633472</v>
      </c>
      <c r="Y25" s="146">
        <v>29.245074090899532</v>
      </c>
      <c r="Z25" s="144">
        <v>0.29047055054865373</v>
      </c>
      <c r="AA25" s="144">
        <v>0.96729984008608605</v>
      </c>
      <c r="AB25" s="145">
        <v>0.67804123107730085</v>
      </c>
      <c r="AC25" s="145">
        <v>4.0200657736597568E-2</v>
      </c>
      <c r="AD25" s="144">
        <v>0.34572629236679442</v>
      </c>
      <c r="AE25" s="144">
        <v>1.211538462505253E-2</v>
      </c>
      <c r="AF25" s="232">
        <v>6.3650885081833405E-2</v>
      </c>
      <c r="AG25" s="144">
        <v>0.70450173146442086</v>
      </c>
      <c r="AH25" s="232">
        <v>0.15628877930363053</v>
      </c>
      <c r="AI25" s="144">
        <v>0.16972274764272371</v>
      </c>
      <c r="AJ25" s="232">
        <v>0.13133931535617968</v>
      </c>
      <c r="AK25" s="145">
        <v>0.54231362822312568</v>
      </c>
      <c r="AL25" s="145">
        <v>1.984639143432477</v>
      </c>
      <c r="AM25" s="145">
        <v>3.4935592414415555</v>
      </c>
      <c r="AN25" s="144">
        <v>2.849016858270264</v>
      </c>
      <c r="AO25" s="146">
        <v>0.37728013155178891</v>
      </c>
      <c r="AP25" s="146">
        <v>6.959374607090461</v>
      </c>
      <c r="AQ25" s="146">
        <v>0</v>
      </c>
      <c r="AR25" s="146">
        <v>0.49231816603617506</v>
      </c>
      <c r="AS25" s="146">
        <v>0</v>
      </c>
      <c r="AT25" s="146">
        <v>0</v>
      </c>
      <c r="AU25" s="146">
        <v>0.96048914104475624</v>
      </c>
      <c r="AV25" s="146">
        <v>1.5381256148699454</v>
      </c>
      <c r="AW25" s="146">
        <v>1.7394415824308067</v>
      </c>
      <c r="AX25" s="146">
        <v>0.70450173146442086</v>
      </c>
      <c r="AY25" s="232">
        <v>2.002807032395975</v>
      </c>
      <c r="AZ25" s="144">
        <v>7.0098246133859128</v>
      </c>
      <c r="BA25" s="232">
        <v>5.758614944522536E-2</v>
      </c>
      <c r="BB25" s="145">
        <v>5.637785190481643E-2</v>
      </c>
      <c r="BC25" s="144">
        <v>0.83522781056814077</v>
      </c>
      <c r="BD25" s="232">
        <v>1.839516293968698</v>
      </c>
      <c r="BE25" s="145">
        <v>6.5438518904444303</v>
      </c>
      <c r="BF25" s="145">
        <v>8.5033886733969677</v>
      </c>
      <c r="BG25" s="145">
        <v>7.3027815631909165</v>
      </c>
      <c r="BH25" s="145">
        <v>6.4431115683839719</v>
      </c>
      <c r="BI25" s="145">
        <v>0.85710199360261152</v>
      </c>
      <c r="BJ25" s="145">
        <v>6.381726095767843</v>
      </c>
      <c r="BK25" s="145">
        <v>0.55446245776454894</v>
      </c>
      <c r="BL25" s="145">
        <v>0.58080212763397132</v>
      </c>
      <c r="BM25" s="145">
        <v>18.112423655527074</v>
      </c>
      <c r="BN25" s="145">
        <v>18.019282500340609</v>
      </c>
      <c r="BO25" s="145">
        <v>7.4065287500789161</v>
      </c>
      <c r="BP25" s="144">
        <v>0.12830268600392591</v>
      </c>
      <c r="BQ25" s="146">
        <v>2.5041778597698618</v>
      </c>
      <c r="BR25" s="146">
        <v>0.10935923668472754</v>
      </c>
      <c r="BS25" s="232">
        <v>0.69641695514478763</v>
      </c>
      <c r="BT25" s="145">
        <v>1.18962875251398E-2</v>
      </c>
      <c r="BU25" s="144">
        <v>4.3709367923332479E-2</v>
      </c>
      <c r="BV25" s="146">
        <v>1.1985830044982797</v>
      </c>
      <c r="BW25" s="146">
        <v>0.20162821622937874</v>
      </c>
      <c r="BX25" s="146">
        <v>11.092970879286312</v>
      </c>
      <c r="BY25" s="146">
        <v>2.3495778812082571</v>
      </c>
      <c r="BZ25" s="146">
        <v>1.466994160776999</v>
      </c>
    </row>
    <row r="26" spans="1:78" x14ac:dyDescent="0.35">
      <c r="A26" s="50" t="s">
        <v>1521</v>
      </c>
      <c r="B26" s="145">
        <v>0.37769315584685714</v>
      </c>
      <c r="C26" s="145">
        <v>0.18381980501542619</v>
      </c>
      <c r="D26" s="145">
        <v>0.32651059122735937</v>
      </c>
      <c r="E26" s="144">
        <v>0.2781838941317693</v>
      </c>
      <c r="F26" s="146">
        <v>0.22973410953284071</v>
      </c>
      <c r="G26" s="145">
        <v>1.0843018403638747</v>
      </c>
      <c r="H26" s="145">
        <v>0.17301062569757653</v>
      </c>
      <c r="I26" s="144">
        <v>0.98405980675058191</v>
      </c>
      <c r="J26" s="145">
        <v>1.1916484447497826</v>
      </c>
      <c r="K26" s="145">
        <v>0.18741831719456684</v>
      </c>
      <c r="L26" s="144">
        <v>0.33805283632784922</v>
      </c>
      <c r="M26" s="232">
        <v>1.1409622119543466</v>
      </c>
      <c r="N26" s="145">
        <v>8.2281995866062795E-3</v>
      </c>
      <c r="O26" s="144">
        <v>0.31406638292589617</v>
      </c>
      <c r="P26" s="232">
        <v>3.1938086605659946</v>
      </c>
      <c r="Q26" s="145">
        <v>7.9771894785621911E-2</v>
      </c>
      <c r="R26" s="144">
        <v>1.8236324836226308</v>
      </c>
      <c r="S26" s="232">
        <v>2.0351814045274041</v>
      </c>
      <c r="T26" s="145">
        <v>1.2302232002373428E-2</v>
      </c>
      <c r="U26" s="144">
        <v>1.1451145686163906</v>
      </c>
      <c r="V26" s="146">
        <v>3.1938086605659946</v>
      </c>
      <c r="W26" s="146">
        <v>2.956601238015502</v>
      </c>
      <c r="X26" s="146">
        <v>1.6659111063352918</v>
      </c>
      <c r="Y26" s="146">
        <v>3.7444008287025947</v>
      </c>
      <c r="Z26" s="144">
        <v>0.15607787349531685</v>
      </c>
      <c r="AA26" s="144">
        <v>0.47590272725736238</v>
      </c>
      <c r="AB26" s="145">
        <v>0.41426053967207732</v>
      </c>
      <c r="AC26" s="145">
        <v>2.4616529431077595E-2</v>
      </c>
      <c r="AD26" s="144">
        <v>0.21125601033651645</v>
      </c>
      <c r="AE26" s="144">
        <v>1.1003263838947281E-2</v>
      </c>
      <c r="AF26" s="232">
        <v>4.5188638549735545E-2</v>
      </c>
      <c r="AG26" s="144">
        <v>0.36455189197749077</v>
      </c>
      <c r="AH26" s="232">
        <v>6.4189732686891404E-2</v>
      </c>
      <c r="AI26" s="144">
        <v>0.10241396631985501</v>
      </c>
      <c r="AJ26" s="232">
        <v>5.3656458675322725E-2</v>
      </c>
      <c r="AK26" s="145">
        <v>0.14589929521441869</v>
      </c>
      <c r="AL26" s="145">
        <v>0.4499105022881934</v>
      </c>
      <c r="AM26" s="145">
        <v>0.85679545585140271</v>
      </c>
      <c r="AN26" s="144">
        <v>1.1655719337031341</v>
      </c>
      <c r="AO26" s="146">
        <v>0.20046125881929192</v>
      </c>
      <c r="AP26" s="146">
        <v>2.7672571863822668</v>
      </c>
      <c r="AQ26" s="146">
        <v>0</v>
      </c>
      <c r="AR26" s="146">
        <v>0.32430322205036205</v>
      </c>
      <c r="AS26" s="146">
        <v>0</v>
      </c>
      <c r="AT26" s="146">
        <v>0</v>
      </c>
      <c r="AU26" s="146">
        <v>0.41802039086877341</v>
      </c>
      <c r="AV26" s="146">
        <v>0.76639065177231658</v>
      </c>
      <c r="AW26" s="146">
        <v>0.89288355931588348</v>
      </c>
      <c r="AX26" s="146">
        <v>0.36455189197749077</v>
      </c>
      <c r="AY26" s="232">
        <v>1.1886784978051395</v>
      </c>
      <c r="AZ26" s="144">
        <v>4.1603747423179884</v>
      </c>
      <c r="BA26" s="232">
        <v>3.3002467129278942E-2</v>
      </c>
      <c r="BB26" s="145">
        <v>3.2309995063619056E-2</v>
      </c>
      <c r="BC26" s="144">
        <v>0.43652391182883832</v>
      </c>
      <c r="BD26" s="232">
        <v>1.3095135775181921</v>
      </c>
      <c r="BE26" s="145">
        <v>2.0617471844181483</v>
      </c>
      <c r="BF26" s="145">
        <v>2.1596884368472931</v>
      </c>
      <c r="BG26" s="145">
        <v>2.4531059559816359</v>
      </c>
      <c r="BH26" s="145">
        <v>2.5593464921169726</v>
      </c>
      <c r="BI26" s="145">
        <v>0.56750213672415151</v>
      </c>
      <c r="BJ26" s="145">
        <v>2.0293992182284732</v>
      </c>
      <c r="BK26" s="145">
        <v>0.3027687433582566</v>
      </c>
      <c r="BL26" s="145">
        <v>0.44289306840703058</v>
      </c>
      <c r="BM26" s="145">
        <v>2.5151625990525268</v>
      </c>
      <c r="BN26" s="145">
        <v>2.5624662442741348</v>
      </c>
      <c r="BO26" s="145">
        <v>2.6842516999131498</v>
      </c>
      <c r="BP26" s="144">
        <v>0.11245756043099564</v>
      </c>
      <c r="BQ26" s="146">
        <v>1.2243820747504797</v>
      </c>
      <c r="BR26" s="146">
        <v>6.1422340602859879E-2</v>
      </c>
      <c r="BS26" s="232">
        <v>0.33662486766172084</v>
      </c>
      <c r="BT26" s="145">
        <v>8.5159832325059255E-3</v>
      </c>
      <c r="BU26" s="144">
        <v>3.1648063805247324E-2</v>
      </c>
      <c r="BV26" s="146">
        <v>0.61394646492999239</v>
      </c>
      <c r="BW26" s="146">
        <v>0.10471840367634407</v>
      </c>
      <c r="BX26" s="146">
        <v>5.424708416827758</v>
      </c>
      <c r="BY26" s="146">
        <v>1.2551984910011438</v>
      </c>
      <c r="BZ26" s="146">
        <v>0.59428948954414174</v>
      </c>
    </row>
    <row r="27" spans="1:78" x14ac:dyDescent="0.35">
      <c r="A27" s="50" t="s">
        <v>1520</v>
      </c>
      <c r="B27" s="145">
        <v>5.4419127467295505</v>
      </c>
      <c r="C27" s="145">
        <v>1.0769551930296091</v>
      </c>
      <c r="D27" s="145">
        <v>4.2895639525527658</v>
      </c>
      <c r="E27" s="144">
        <v>1.5427644395678297</v>
      </c>
      <c r="F27" s="146">
        <v>1.4940807344652345</v>
      </c>
      <c r="G27" s="145">
        <v>13.403279534251421</v>
      </c>
      <c r="H27" s="145">
        <v>1.3354397249108694</v>
      </c>
      <c r="I27" s="144">
        <v>12.075817155223961</v>
      </c>
      <c r="J27" s="145">
        <v>14.720742300883064</v>
      </c>
      <c r="K27" s="145">
        <v>1.4221522168255341</v>
      </c>
      <c r="L27" s="144">
        <v>3.4169407294341636</v>
      </c>
      <c r="M27" s="232">
        <v>13.892743768312869</v>
      </c>
      <c r="N27" s="145">
        <v>2.9571819531459167</v>
      </c>
      <c r="O27" s="144">
        <v>5.9097836432409938</v>
      </c>
      <c r="P27" s="232">
        <v>530.76895633877609</v>
      </c>
      <c r="Q27" s="145">
        <v>0.82481608017944685</v>
      </c>
      <c r="R27" s="144">
        <v>297.59353462499359</v>
      </c>
      <c r="S27" s="232">
        <v>336.27475473285193</v>
      </c>
      <c r="T27" s="145">
        <v>0.12720117536288866</v>
      </c>
      <c r="U27" s="144">
        <v>188.36983116755678</v>
      </c>
      <c r="V27" s="146">
        <v>530.76895633877609</v>
      </c>
      <c r="W27" s="146">
        <v>45.318265264747843</v>
      </c>
      <c r="X27" s="146">
        <v>25.630556353983906</v>
      </c>
      <c r="Y27" s="146">
        <v>59.226421074343079</v>
      </c>
      <c r="Z27" s="144">
        <v>66.038787722059567</v>
      </c>
      <c r="AA27" s="144">
        <v>2.1747504004309457</v>
      </c>
      <c r="AB27" s="145">
        <v>7.5368900066491777</v>
      </c>
      <c r="AC27" s="145">
        <v>0.44894301092517674</v>
      </c>
      <c r="AD27" s="144">
        <v>3.8440696218769728</v>
      </c>
      <c r="AE27" s="144">
        <v>9.1558338419000815</v>
      </c>
      <c r="AF27" s="232">
        <v>0.64776418937827351</v>
      </c>
      <c r="AG27" s="144">
        <v>1.4595318314983503</v>
      </c>
      <c r="AH27" s="232">
        <v>11.745467945738374</v>
      </c>
      <c r="AI27" s="144">
        <v>5.5574698216151628</v>
      </c>
      <c r="AJ27" s="232">
        <v>10.721565588343751</v>
      </c>
      <c r="AK27" s="145">
        <v>8.0156413364096899</v>
      </c>
      <c r="AL27" s="145">
        <v>3.7741180634251119</v>
      </c>
      <c r="AM27" s="145">
        <v>15.418451791596857</v>
      </c>
      <c r="AN27" s="144">
        <v>26.742714914646943</v>
      </c>
      <c r="AO27" s="146">
        <v>6.3194801264848959</v>
      </c>
      <c r="AP27" s="146">
        <v>122.07802219086746</v>
      </c>
      <c r="AQ27" s="146">
        <v>0</v>
      </c>
      <c r="AR27" s="146">
        <v>4.9536409488262727</v>
      </c>
      <c r="AS27" s="146">
        <v>0</v>
      </c>
      <c r="AT27" s="146">
        <v>0</v>
      </c>
      <c r="AU27" s="146">
        <v>14.442133287230307</v>
      </c>
      <c r="AV27" s="146">
        <v>0.71232599947186093</v>
      </c>
      <c r="AW27" s="146">
        <v>15.720095920539341</v>
      </c>
      <c r="AX27" s="146">
        <v>1.4595318314983503</v>
      </c>
      <c r="AY27" s="232">
        <v>29.680002216999032</v>
      </c>
      <c r="AZ27" s="144">
        <v>103.88000775949661</v>
      </c>
      <c r="BA27" s="232">
        <v>0.6924563511560281</v>
      </c>
      <c r="BB27" s="145">
        <v>0.67792693194667097</v>
      </c>
      <c r="BC27" s="144">
        <v>14.234592370797984</v>
      </c>
      <c r="BD27" s="232">
        <v>1.3635148425586587</v>
      </c>
      <c r="BE27" s="145">
        <v>184.66855482473196</v>
      </c>
      <c r="BF27" s="145">
        <v>160.07349309650468</v>
      </c>
      <c r="BG27" s="145">
        <v>264.99183143091881</v>
      </c>
      <c r="BH27" s="145">
        <v>345.10538739632449</v>
      </c>
      <c r="BI27" s="145">
        <v>40.365754185607173</v>
      </c>
      <c r="BJ27" s="145">
        <v>98.697393114479439</v>
      </c>
      <c r="BK27" s="145">
        <v>10.850644871748489</v>
      </c>
      <c r="BL27" s="145">
        <v>18.515719899221676</v>
      </c>
      <c r="BM27" s="145">
        <v>40.522726463706</v>
      </c>
      <c r="BN27" s="145">
        <v>38.140461661086619</v>
      </c>
      <c r="BO27" s="145">
        <v>351.9253992735953</v>
      </c>
      <c r="BP27" s="144">
        <v>0.8059603084433008</v>
      </c>
      <c r="BQ27" s="146">
        <v>36.213427253729257</v>
      </c>
      <c r="BR27" s="146">
        <v>1.4142079285643294</v>
      </c>
      <c r="BS27" s="232">
        <v>62.543492318046169</v>
      </c>
      <c r="BT27" s="145">
        <v>0.12685160169866874</v>
      </c>
      <c r="BU27" s="144">
        <v>0.45721765696126965</v>
      </c>
      <c r="BV27" s="146">
        <v>16.006118334723322</v>
      </c>
      <c r="BW27" s="146">
        <v>2.8247556941885672</v>
      </c>
      <c r="BX27" s="146">
        <v>172.16948620942057</v>
      </c>
      <c r="BY27" s="146">
        <v>37.478248462061579</v>
      </c>
      <c r="BZ27" s="146">
        <v>2.5370315828876921</v>
      </c>
    </row>
    <row r="28" spans="1:78" x14ac:dyDescent="0.35">
      <c r="A28" s="50" t="s">
        <v>1519</v>
      </c>
      <c r="B28" s="145">
        <v>5.7447881202765125E-3</v>
      </c>
      <c r="C28" s="145">
        <v>3.0826650399958344E-3</v>
      </c>
      <c r="D28" s="145">
        <v>5.0419876270824133E-3</v>
      </c>
      <c r="E28" s="144">
        <v>4.1004606576337177E-3</v>
      </c>
      <c r="F28" s="146">
        <v>3.5564846303542241E-3</v>
      </c>
      <c r="G28" s="145">
        <v>2.1757279415263817E-2</v>
      </c>
      <c r="H28" s="145">
        <v>5.6358544634293904E-3</v>
      </c>
      <c r="I28" s="144">
        <v>1.9983922670562031E-2</v>
      </c>
      <c r="J28" s="145">
        <v>2.4469049979765015E-2</v>
      </c>
      <c r="K28" s="145">
        <v>6.7034659653498916E-3</v>
      </c>
      <c r="L28" s="144">
        <v>9.3683035675121602E-3</v>
      </c>
      <c r="M28" s="232">
        <v>5.9981817418929863E-3</v>
      </c>
      <c r="N28" s="145">
        <v>4.0840013623804386E-4</v>
      </c>
      <c r="O28" s="144">
        <v>1.9176411697648785E-3</v>
      </c>
      <c r="P28" s="232">
        <v>0.31777308572293095</v>
      </c>
      <c r="Q28" s="145">
        <v>4.3165396927813217E-2</v>
      </c>
      <c r="R28" s="144">
        <v>0.19694570265307917</v>
      </c>
      <c r="S28" s="232">
        <v>0.20272058011699456</v>
      </c>
      <c r="T28" s="145">
        <v>6.6568649134833924E-3</v>
      </c>
      <c r="U28" s="144">
        <v>0.11645254542744965</v>
      </c>
      <c r="V28" s="146">
        <v>0.31777308572293095</v>
      </c>
      <c r="W28" s="146">
        <v>0.20169668330689391</v>
      </c>
      <c r="X28" s="146">
        <v>0.11024102122371014</v>
      </c>
      <c r="Y28" s="146">
        <v>0.24733471157019832</v>
      </c>
      <c r="Z28" s="144">
        <v>4.2241283141780613E-2</v>
      </c>
      <c r="AA28" s="144">
        <v>5.3048253400336774E-3</v>
      </c>
      <c r="AB28" s="145">
        <v>6.5428216762637659E-2</v>
      </c>
      <c r="AC28" s="145">
        <v>3.1828258648186154E-3</v>
      </c>
      <c r="AD28" s="144">
        <v>3.2998368104873936E-2</v>
      </c>
      <c r="AE28" s="144">
        <v>1.4578567182451125E-3</v>
      </c>
      <c r="AF28" s="232">
        <v>6.1621501167694161E-3</v>
      </c>
      <c r="AG28" s="144">
        <v>7.161127758990588E-3</v>
      </c>
      <c r="AH28" s="232">
        <v>9.58950249640661E-3</v>
      </c>
      <c r="AI28" s="144">
        <v>2.1613537855459754E-2</v>
      </c>
      <c r="AJ28" s="232">
        <v>9.218671986243359E-3</v>
      </c>
      <c r="AK28" s="145">
        <v>1.7657435741789716E-2</v>
      </c>
      <c r="AL28" s="145">
        <v>1.7195448364141899E-2</v>
      </c>
      <c r="AM28" s="145">
        <v>7.3108027331569667E-2</v>
      </c>
      <c r="AN28" s="144">
        <v>0.1265944192712867</v>
      </c>
      <c r="AO28" s="146">
        <v>1.9028773004475454E-2</v>
      </c>
      <c r="AP28" s="146">
        <v>0.17589655769526943</v>
      </c>
      <c r="AQ28" s="146">
        <v>0</v>
      </c>
      <c r="AR28" s="146">
        <v>4.4863586318659582E-2</v>
      </c>
      <c r="AS28" s="146">
        <v>0</v>
      </c>
      <c r="AT28" s="146">
        <v>0</v>
      </c>
      <c r="AU28" s="146">
        <v>3.0962450389273245E-2</v>
      </c>
      <c r="AV28" s="146">
        <v>1.8487002859765686E-3</v>
      </c>
      <c r="AW28" s="146">
        <v>4.4638374351547473E-2</v>
      </c>
      <c r="AX28" s="146">
        <v>7.161127758990588E-3</v>
      </c>
      <c r="AY28" s="232">
        <v>0.14296234489262735</v>
      </c>
      <c r="AZ28" s="144">
        <v>0.50036820712419572</v>
      </c>
      <c r="BA28" s="232">
        <v>3.9604279059426732E-3</v>
      </c>
      <c r="BB28" s="145">
        <v>3.877328491520649E-3</v>
      </c>
      <c r="BC28" s="144">
        <v>4.0038590899161342E-2</v>
      </c>
      <c r="BD28" s="232">
        <v>0.14861527434286256</v>
      </c>
      <c r="BE28" s="145">
        <v>0.21535851016454605</v>
      </c>
      <c r="BF28" s="145">
        <v>0.21789187375206456</v>
      </c>
      <c r="BG28" s="145">
        <v>0.2627295859887126</v>
      </c>
      <c r="BH28" s="145">
        <v>0.26261385414853305</v>
      </c>
      <c r="BI28" s="145">
        <v>0.10123527592806512</v>
      </c>
      <c r="BJ28" s="145">
        <v>0.23974360202622225</v>
      </c>
      <c r="BK28" s="145">
        <v>4.4269284773472389E-2</v>
      </c>
      <c r="BL28" s="145">
        <v>5.1375894923898893E-2</v>
      </c>
      <c r="BM28" s="145">
        <v>0.19748701873463606</v>
      </c>
      <c r="BN28" s="145">
        <v>0.21890326641291238</v>
      </c>
      <c r="BO28" s="145">
        <v>0.27611373656864896</v>
      </c>
      <c r="BP28" s="144">
        <v>1.8112582332378894E-2</v>
      </c>
      <c r="BQ28" s="146">
        <v>1.1524641889114036E-2</v>
      </c>
      <c r="BR28" s="146">
        <v>7.0525044887532369E-3</v>
      </c>
      <c r="BS28" s="232">
        <v>2.8659136307701324E-2</v>
      </c>
      <c r="BT28" s="145">
        <v>1.3731823778988937E-3</v>
      </c>
      <c r="BU28" s="144">
        <v>5.135215799457608E-3</v>
      </c>
      <c r="BV28" s="146">
        <v>6.3097729782100861E-2</v>
      </c>
      <c r="BW28" s="146">
        <v>7.3971764479802467E-3</v>
      </c>
      <c r="BX28" s="146">
        <v>0.51855000118812866</v>
      </c>
      <c r="BY28" s="146">
        <v>0.13870612646255129</v>
      </c>
      <c r="BZ28" s="146">
        <v>4.2326792620034873E-2</v>
      </c>
    </row>
    <row r="29" spans="1:78" x14ac:dyDescent="0.35">
      <c r="A29" s="50" t="s">
        <v>1518</v>
      </c>
      <c r="B29" s="145">
        <v>1.2494289766089175E-2</v>
      </c>
      <c r="C29" s="145">
        <v>7.2105938531836144E-3</v>
      </c>
      <c r="D29" s="145">
        <v>1.1099394045082107E-2</v>
      </c>
      <c r="E29" s="144">
        <v>9.5947613274959837E-3</v>
      </c>
      <c r="F29" s="146">
        <v>8.7965137387335506E-3</v>
      </c>
      <c r="G29" s="145">
        <v>3.5241996104357368E-2</v>
      </c>
      <c r="H29" s="145">
        <v>1.1867972984188088E-2</v>
      </c>
      <c r="I29" s="144">
        <v>3.2670853561138746E-2</v>
      </c>
      <c r="J29" s="145">
        <v>3.998321441562408E-2</v>
      </c>
      <c r="K29" s="145">
        <v>1.4225369018155172E-2</v>
      </c>
      <c r="L29" s="144">
        <v>1.8089045827775506E-2</v>
      </c>
      <c r="M29" s="232">
        <v>5.746160535879296E-3</v>
      </c>
      <c r="N29" s="145">
        <v>9.8277817395261112E-4</v>
      </c>
      <c r="O29" s="144">
        <v>2.2688914116728159E-3</v>
      </c>
      <c r="P29" s="232">
        <v>0.12698547830659579</v>
      </c>
      <c r="Q29" s="145">
        <v>1.9292013597763502E-2</v>
      </c>
      <c r="R29" s="144">
        <v>7.9600353834709592E-2</v>
      </c>
      <c r="S29" s="232">
        <v>8.4047006382844763E-2</v>
      </c>
      <c r="T29" s="145">
        <v>2.9751684814613016E-3</v>
      </c>
      <c r="U29" s="144">
        <v>4.8375397706236049E-2</v>
      </c>
      <c r="V29" s="146">
        <v>0.12698547830659579</v>
      </c>
      <c r="W29" s="146">
        <v>0.19514543131549444</v>
      </c>
      <c r="X29" s="146">
        <v>9.8321910696815659E-2</v>
      </c>
      <c r="Y29" s="146">
        <v>0.22666041228944964</v>
      </c>
      <c r="Z29" s="144">
        <v>2.7718677587882212E-2</v>
      </c>
      <c r="AA29" s="144">
        <v>1.2281091043794186E-2</v>
      </c>
      <c r="AB29" s="145">
        <v>0.12000568379691416</v>
      </c>
      <c r="AC29" s="145">
        <v>7.4218269917371718E-3</v>
      </c>
      <c r="AD29" s="144">
        <v>6.1349494401416946E-2</v>
      </c>
      <c r="AE29" s="144">
        <v>5.5723108332642497E-3</v>
      </c>
      <c r="AF29" s="232">
        <v>1.2833107692639817E-2</v>
      </c>
      <c r="AG29" s="144">
        <v>1.4529193407978902E-2</v>
      </c>
      <c r="AH29" s="232">
        <v>1.7051464257417052E-2</v>
      </c>
      <c r="AI29" s="144">
        <v>2.46816046190853E-2</v>
      </c>
      <c r="AJ29" s="232">
        <v>1.5768169692874819E-2</v>
      </c>
      <c r="AK29" s="145">
        <v>2.7173467940826593E-2</v>
      </c>
      <c r="AL29" s="145">
        <v>3.4084479147978138E-2</v>
      </c>
      <c r="AM29" s="145">
        <v>0.14683885955870957</v>
      </c>
      <c r="AN29" s="144">
        <v>0.2602115032175254</v>
      </c>
      <c r="AO29" s="146">
        <v>2.9319005401225718E-2</v>
      </c>
      <c r="AP29" s="146">
        <v>0.31883537439297027</v>
      </c>
      <c r="AQ29" s="146">
        <v>0</v>
      </c>
      <c r="AR29" s="146">
        <v>0.10454784466138181</v>
      </c>
      <c r="AS29" s="146">
        <v>0</v>
      </c>
      <c r="AT29" s="146">
        <v>0</v>
      </c>
      <c r="AU29" s="146">
        <v>7.2687909985159824E-2</v>
      </c>
      <c r="AV29" s="146">
        <v>4.1530818052948537E-3</v>
      </c>
      <c r="AW29" s="146">
        <v>6.5321071999111191E-2</v>
      </c>
      <c r="AX29" s="146">
        <v>1.4529193407978902E-2</v>
      </c>
      <c r="AY29" s="232">
        <v>0.29792851086894001</v>
      </c>
      <c r="AZ29" s="144">
        <v>1.0427497880412901</v>
      </c>
      <c r="BA29" s="232">
        <v>9.241557127982079E-3</v>
      </c>
      <c r="BB29" s="145">
        <v>9.0476467718484267E-3</v>
      </c>
      <c r="BC29" s="144">
        <v>5.9156022415183168E-2</v>
      </c>
      <c r="BD29" s="232">
        <v>0.3380020969966695</v>
      </c>
      <c r="BE29" s="145">
        <v>0.20019829319869198</v>
      </c>
      <c r="BF29" s="145">
        <v>0.20990563570505102</v>
      </c>
      <c r="BG29" s="145">
        <v>0.21838270636823753</v>
      </c>
      <c r="BH29" s="145">
        <v>0.17437182317358191</v>
      </c>
      <c r="BI29" s="145">
        <v>0.16864573180721842</v>
      </c>
      <c r="BJ29" s="145">
        <v>0.34203973177167346</v>
      </c>
      <c r="BK29" s="145">
        <v>5.8358082914235096E-2</v>
      </c>
      <c r="BL29" s="145">
        <v>7.7605303827083305E-2</v>
      </c>
      <c r="BM29" s="145">
        <v>0.2078344550230154</v>
      </c>
      <c r="BN29" s="145">
        <v>0.2313739539957059</v>
      </c>
      <c r="BO29" s="145">
        <v>0.18798937541041785</v>
      </c>
      <c r="BP29" s="144">
        <v>4.0580576220447168E-2</v>
      </c>
      <c r="BQ29" s="146">
        <v>2.4657010377453947E-2</v>
      </c>
      <c r="BR29" s="146">
        <v>1.5704829781335233E-2</v>
      </c>
      <c r="BS29" s="232">
        <v>7.941978735343054E-2</v>
      </c>
      <c r="BT29" s="145">
        <v>2.8997703053698105E-3</v>
      </c>
      <c r="BU29" s="144">
        <v>1.0877563649871027E-2</v>
      </c>
      <c r="BV29" s="146">
        <v>0.14747813699385978</v>
      </c>
      <c r="BW29" s="146">
        <v>1.0785176330641789E-2</v>
      </c>
      <c r="BX29" s="146">
        <v>1.0786070767955027</v>
      </c>
      <c r="BY29" s="146">
        <v>0.27137033986647541</v>
      </c>
      <c r="BZ29" s="146">
        <v>6.7779327306504017E-2</v>
      </c>
    </row>
    <row r="30" spans="1:78" x14ac:dyDescent="0.35">
      <c r="A30" s="50" t="s">
        <v>1531</v>
      </c>
      <c r="B30" s="145">
        <v>2.183399798584845</v>
      </c>
      <c r="C30" s="145">
        <v>1.2849181015304139</v>
      </c>
      <c r="D30" s="145">
        <v>1.9462006305624753</v>
      </c>
      <c r="E30" s="144">
        <v>1.7363504659784581</v>
      </c>
      <c r="F30" s="146">
        <v>2.1259854194425882</v>
      </c>
      <c r="G30" s="145">
        <v>5.6438608951646101</v>
      </c>
      <c r="H30" s="145">
        <v>1.7327358213079687</v>
      </c>
      <c r="I30" s="144">
        <v>5.2136371370403793</v>
      </c>
      <c r="J30" s="145">
        <v>6.3545768851414124</v>
      </c>
      <c r="K30" s="145">
        <v>2.044571950833213</v>
      </c>
      <c r="L30" s="144">
        <v>2.6910726909794427</v>
      </c>
      <c r="M30" s="232">
        <v>3.312630193649043</v>
      </c>
      <c r="N30" s="145">
        <v>0.30865518042766216</v>
      </c>
      <c r="O30" s="144">
        <v>1.1197284339974352</v>
      </c>
      <c r="P30" s="232">
        <v>8.464409067497682</v>
      </c>
      <c r="Q30" s="145">
        <v>1.6478507609908244</v>
      </c>
      <c r="R30" s="144">
        <v>5.4651234126346653</v>
      </c>
      <c r="S30" s="232">
        <v>5.9523268999904726</v>
      </c>
      <c r="T30" s="145">
        <v>0.25412762754947871</v>
      </c>
      <c r="U30" s="144">
        <v>3.4451192201164358</v>
      </c>
      <c r="V30" s="146">
        <v>8.464409067497682</v>
      </c>
      <c r="W30" s="146">
        <v>17.533857937596121</v>
      </c>
      <c r="X30" s="146">
        <v>7.9165009650380984</v>
      </c>
      <c r="Y30" s="146">
        <v>19.11060475814309</v>
      </c>
      <c r="Z30" s="144">
        <v>2.5857986901521266</v>
      </c>
      <c r="AA30" s="144">
        <v>2.4195259060123027</v>
      </c>
      <c r="AB30" s="145">
        <v>18.193941944820214</v>
      </c>
      <c r="AC30" s="145">
        <v>1.1457425804717274</v>
      </c>
      <c r="AD30" s="144">
        <v>9.3118300759946511</v>
      </c>
      <c r="AE30" s="144">
        <v>2.9291749721922451E-2</v>
      </c>
      <c r="AF30" s="232">
        <v>1.7608198828705788</v>
      </c>
      <c r="AG30" s="144">
        <v>1.9143537306950038</v>
      </c>
      <c r="AH30" s="232">
        <v>12.479367449472823</v>
      </c>
      <c r="AI30" s="144">
        <v>7.7516246563724858</v>
      </c>
      <c r="AJ30" s="232">
        <v>11.669666836146668</v>
      </c>
      <c r="AK30" s="145">
        <v>9.9407761346153638</v>
      </c>
      <c r="AL30" s="145">
        <v>6.3050797028514349</v>
      </c>
      <c r="AM30" s="145">
        <v>23.270787741868432</v>
      </c>
      <c r="AN30" s="144">
        <v>38.373502438087897</v>
      </c>
      <c r="AO30" s="146">
        <v>3.5324512689469065</v>
      </c>
      <c r="AP30" s="146">
        <v>69.134551266269881</v>
      </c>
      <c r="AQ30" s="146">
        <v>0</v>
      </c>
      <c r="AR30" s="146">
        <v>15.626778583276206</v>
      </c>
      <c r="AS30" s="146">
        <v>0</v>
      </c>
      <c r="AT30" s="146">
        <v>0</v>
      </c>
      <c r="AU30" s="146">
        <v>14.978901298659595</v>
      </c>
      <c r="AV30" s="146">
        <v>0.81418718633406184</v>
      </c>
      <c r="AW30" s="146">
        <v>7.5648245654343835</v>
      </c>
      <c r="AX30" s="146">
        <v>1.9143537306950038</v>
      </c>
      <c r="AY30" s="232">
        <v>42.977562775108034</v>
      </c>
      <c r="AZ30" s="144">
        <v>150.42146971287812</v>
      </c>
      <c r="BA30" s="232">
        <v>1.4765795234632588</v>
      </c>
      <c r="BB30" s="145">
        <v>1.445597292082849</v>
      </c>
      <c r="BC30" s="144">
        <v>6.9931572419437797</v>
      </c>
      <c r="BD30" s="232">
        <v>2.7645738208629709</v>
      </c>
      <c r="BE30" s="145">
        <v>14.936217749746005</v>
      </c>
      <c r="BF30" s="145">
        <v>15.860938116974713</v>
      </c>
      <c r="BG30" s="145">
        <v>16.128532936443015</v>
      </c>
      <c r="BH30" s="145">
        <v>16.393890492716654</v>
      </c>
      <c r="BI30" s="145">
        <v>13.498470783396787</v>
      </c>
      <c r="BJ30" s="145">
        <v>7.1422870143621111</v>
      </c>
      <c r="BK30" s="145">
        <v>4.2585439789513693</v>
      </c>
      <c r="BL30" s="145">
        <v>1.9927235273764026</v>
      </c>
      <c r="BM30" s="145">
        <v>19.628213755769568</v>
      </c>
      <c r="BN30" s="145">
        <v>16.773162098242558</v>
      </c>
      <c r="BO30" s="145">
        <v>18.018412195007425</v>
      </c>
      <c r="BP30" s="144">
        <v>7.8249496020266758</v>
      </c>
      <c r="BQ30" s="146">
        <v>4.6244460036297275</v>
      </c>
      <c r="BR30" s="146">
        <v>2.4634951979457984</v>
      </c>
      <c r="BS30" s="232">
        <v>9.8479125459972146</v>
      </c>
      <c r="BT30" s="145">
        <v>0.79632575612464362</v>
      </c>
      <c r="BU30" s="144">
        <v>2.9339066967242902</v>
      </c>
      <c r="BV30" s="146">
        <v>25.417333575360928</v>
      </c>
      <c r="BW30" s="146">
        <v>1.7925995679475477</v>
      </c>
      <c r="BX30" s="146">
        <v>193.03494829143602</v>
      </c>
      <c r="BY30" s="146">
        <v>44.177845350816135</v>
      </c>
      <c r="BZ30" s="146">
        <v>9.7464441047179058</v>
      </c>
    </row>
    <row r="31" spans="1:78" x14ac:dyDescent="0.35">
      <c r="A31" s="50" t="s">
        <v>1530</v>
      </c>
      <c r="B31" s="145">
        <v>1.14426260753011E-2</v>
      </c>
      <c r="C31" s="145">
        <v>1.1029055175358005E-2</v>
      </c>
      <c r="D31" s="145">
        <v>1.1333443357716123E-2</v>
      </c>
      <c r="E31" s="144">
        <v>1.4808283138419299E-2</v>
      </c>
      <c r="F31" s="146">
        <v>7.3908314217033689E-3</v>
      </c>
      <c r="G31" s="145">
        <v>5.0492378889555711E-2</v>
      </c>
      <c r="H31" s="145">
        <v>1.6416527719712696E-2</v>
      </c>
      <c r="I31" s="144">
        <v>4.6744035260872986E-2</v>
      </c>
      <c r="J31" s="145">
        <v>5.6989281890741816E-2</v>
      </c>
      <c r="K31" s="145">
        <v>1.9438172194841955E-2</v>
      </c>
      <c r="L31" s="144">
        <v>2.5070838649226934E-2</v>
      </c>
      <c r="M31" s="232">
        <v>3.6634823282632495E-3</v>
      </c>
      <c r="N31" s="145">
        <v>1.8406942716705883E-3</v>
      </c>
      <c r="O31" s="144">
        <v>2.3328470469506069E-3</v>
      </c>
      <c r="P31" s="232">
        <v>7.9239915683292361E-2</v>
      </c>
      <c r="Q31" s="145">
        <v>1.488452396562342E-2</v>
      </c>
      <c r="R31" s="144">
        <v>5.0923543327518028E-2</v>
      </c>
      <c r="S31" s="232">
        <v>5.5472006479286268E-2</v>
      </c>
      <c r="T31" s="145">
        <v>2.2954559066458444E-3</v>
      </c>
      <c r="U31" s="144">
        <v>3.2074324227324487E-2</v>
      </c>
      <c r="V31" s="146">
        <v>7.9239915683292361E-2</v>
      </c>
      <c r="W31" s="146">
        <v>0.16239872528414825</v>
      </c>
      <c r="X31" s="146">
        <v>7.4975734019520776E-2</v>
      </c>
      <c r="Y31" s="146">
        <v>0.18382050781899956</v>
      </c>
      <c r="Z31" s="144">
        <v>2.4300269254442716E-2</v>
      </c>
      <c r="AA31" s="144">
        <v>1.9516180471591173E-2</v>
      </c>
      <c r="AB31" s="145">
        <v>0.16542466790687019</v>
      </c>
      <c r="AC31" s="145">
        <v>1.0470523981929769E-2</v>
      </c>
      <c r="AD31" s="144">
        <v>8.4693558921976234E-2</v>
      </c>
      <c r="AE31" s="144">
        <v>4.4424824035998003E-4</v>
      </c>
      <c r="AF31" s="232">
        <v>1.5972555119560455E-2</v>
      </c>
      <c r="AG31" s="144">
        <v>1.7529233354543563E-2</v>
      </c>
      <c r="AH31" s="232">
        <v>4.2813859460802843E-2</v>
      </c>
      <c r="AI31" s="144">
        <v>3.2684010397640108E-2</v>
      </c>
      <c r="AJ31" s="232">
        <v>3.8436785637403582E-2</v>
      </c>
      <c r="AK31" s="145">
        <v>0.1149299325922461</v>
      </c>
      <c r="AL31" s="145">
        <v>5.1327332620911992E-2</v>
      </c>
      <c r="AM31" s="145">
        <v>0.21213458126949306</v>
      </c>
      <c r="AN31" s="144">
        <v>0.36572545213791091</v>
      </c>
      <c r="AO31" s="146">
        <v>4.1039335133821561E-2</v>
      </c>
      <c r="AP31" s="146">
        <v>0.70545184084536017</v>
      </c>
      <c r="AQ31" s="146">
        <v>0</v>
      </c>
      <c r="AR31" s="146">
        <v>0.14493566897242038</v>
      </c>
      <c r="AS31" s="146">
        <v>0</v>
      </c>
      <c r="AT31" s="146">
        <v>0</v>
      </c>
      <c r="AU31" s="146">
        <v>0.12129034081035509</v>
      </c>
      <c r="AV31" s="146">
        <v>6.1317684262142446E-3</v>
      </c>
      <c r="AW31" s="146">
        <v>9.1166746644223695E-2</v>
      </c>
      <c r="AX31" s="146">
        <v>1.7529233354543563E-2</v>
      </c>
      <c r="AY31" s="232">
        <v>0.41478121448117761</v>
      </c>
      <c r="AZ31" s="144">
        <v>1.4517342506841215</v>
      </c>
      <c r="BA31" s="232">
        <v>1.3286744204560606E-2</v>
      </c>
      <c r="BB31" s="145">
        <v>1.3007955980359514E-2</v>
      </c>
      <c r="BC31" s="144">
        <v>8.3319951334894352E-2</v>
      </c>
      <c r="BD31" s="232">
        <v>1.7845405242954939E-2</v>
      </c>
      <c r="BE31" s="145">
        <v>0.13287313390633826</v>
      </c>
      <c r="BF31" s="145">
        <v>0.14172423074594223</v>
      </c>
      <c r="BG31" s="145">
        <v>0.14423588415931121</v>
      </c>
      <c r="BH31" s="145">
        <v>0.15354033816608575</v>
      </c>
      <c r="BI31" s="145">
        <v>0.11012168149362088</v>
      </c>
      <c r="BJ31" s="145">
        <v>5.7694209586928266E-2</v>
      </c>
      <c r="BK31" s="145">
        <v>4.6305117146909547E-2</v>
      </c>
      <c r="BL31" s="145">
        <v>1.5253565760833665E-2</v>
      </c>
      <c r="BM31" s="145">
        <v>0.18582761800113187</v>
      </c>
      <c r="BN31" s="145">
        <v>0.14962053865412145</v>
      </c>
      <c r="BO31" s="145">
        <v>0.16608433198496322</v>
      </c>
      <c r="BP31" s="144">
        <v>5.2459624191004764E-2</v>
      </c>
      <c r="BQ31" s="146">
        <v>3.2214448833263229E-2</v>
      </c>
      <c r="BR31" s="146">
        <v>2.2582305390584159E-2</v>
      </c>
      <c r="BS31" s="232">
        <v>8.1131269655079302E-2</v>
      </c>
      <c r="BT31" s="145">
        <v>7.6878191313725624E-3</v>
      </c>
      <c r="BU31" s="144">
        <v>2.833835465437648E-2</v>
      </c>
      <c r="BV31" s="146">
        <v>0.2212791579902238</v>
      </c>
      <c r="BW31" s="146">
        <v>1.5089628023882919E-2</v>
      </c>
      <c r="BX31" s="146">
        <v>1.8733665544577522</v>
      </c>
      <c r="BY31" s="146">
        <v>0.48246518462270666</v>
      </c>
      <c r="BZ31" s="146">
        <v>3.5483731190226096E-2</v>
      </c>
    </row>
    <row r="32" spans="1:78" x14ac:dyDescent="0.35">
      <c r="A32" s="50" t="s">
        <v>1529</v>
      </c>
      <c r="B32" s="154">
        <v>1331.1536047843597</v>
      </c>
      <c r="C32" s="154">
        <v>598.85141196286156</v>
      </c>
      <c r="D32" s="154">
        <v>1137.8258258794842</v>
      </c>
      <c r="E32" s="153">
        <v>824.79620768403208</v>
      </c>
      <c r="F32" s="153">
        <v>402.52558441338152</v>
      </c>
      <c r="G32" s="154">
        <v>3202.5040774764411</v>
      </c>
      <c r="H32" s="154">
        <v>681.31970139100042</v>
      </c>
      <c r="I32" s="153">
        <v>2925.1737961070426</v>
      </c>
      <c r="J32" s="154">
        <v>3556.0355212436866</v>
      </c>
      <c r="K32" s="154">
        <v>777.72572648326434</v>
      </c>
      <c r="L32" s="153">
        <v>1194.4721956973276</v>
      </c>
      <c r="M32" s="240">
        <v>278.57906753037099</v>
      </c>
      <c r="N32" s="154">
        <v>210.41479688565653</v>
      </c>
      <c r="O32" s="47">
        <v>228.81914995972943</v>
      </c>
      <c r="P32" s="240">
        <v>3685.8437317393227</v>
      </c>
      <c r="Q32" s="154">
        <v>643.18927579586489</v>
      </c>
      <c r="R32" s="47">
        <v>2347.0757711242018</v>
      </c>
      <c r="S32" s="240">
        <v>2575.3055755147193</v>
      </c>
      <c r="T32" s="154">
        <v>99.191121303357292</v>
      </c>
      <c r="U32" s="47">
        <v>1485.8152156617202</v>
      </c>
      <c r="V32" s="239">
        <v>3685.8437317393227</v>
      </c>
      <c r="W32" s="239">
        <v>7727.0534130690367</v>
      </c>
      <c r="X32" s="239">
        <v>3566.7373832615713</v>
      </c>
      <c r="Y32" s="239">
        <v>8974.9039136677438</v>
      </c>
      <c r="Z32" s="47">
        <v>1311.9978984869915</v>
      </c>
      <c r="AA32" s="47">
        <v>1253.1884345944027</v>
      </c>
      <c r="AB32" s="154">
        <v>7894.7944644252375</v>
      </c>
      <c r="AC32" s="154">
        <v>435.22794241143401</v>
      </c>
      <c r="AD32" s="153">
        <v>4008.3603064560461</v>
      </c>
      <c r="AE32" s="47">
        <v>19.39972609625876</v>
      </c>
      <c r="AF32" s="49">
        <v>742.41618845228186</v>
      </c>
      <c r="AG32" s="47">
        <v>800.50617520493847</v>
      </c>
      <c r="AH32" s="240">
        <v>939.23541093649203</v>
      </c>
      <c r="AI32" s="153">
        <v>1280.1548450827161</v>
      </c>
      <c r="AJ32" s="154">
        <v>781.59896777950496</v>
      </c>
      <c r="AK32" s="154">
        <v>1408.7960620246467</v>
      </c>
      <c r="AL32" s="154">
        <v>2008.5697513391401</v>
      </c>
      <c r="AM32" s="154">
        <v>8112.02000463691</v>
      </c>
      <c r="AN32" s="153">
        <v>14559.637146927782</v>
      </c>
      <c r="AO32" s="239">
        <v>1660.2870570560501</v>
      </c>
      <c r="AP32" s="239">
        <v>47040.10529506029</v>
      </c>
      <c r="AQ32" s="239">
        <v>0</v>
      </c>
      <c r="AR32" s="239">
        <v>5641.5965769507084</v>
      </c>
      <c r="AS32" s="239">
        <v>0</v>
      </c>
      <c r="AT32" s="239">
        <v>0</v>
      </c>
      <c r="AU32" s="239">
        <v>7847.9785676475449</v>
      </c>
      <c r="AV32" s="239">
        <v>440.87697421287254</v>
      </c>
      <c r="AW32" s="239">
        <v>3728.8329575077159</v>
      </c>
      <c r="AX32" s="239">
        <v>800.50617520493847</v>
      </c>
      <c r="AY32" s="240">
        <v>16697.219786315654</v>
      </c>
      <c r="AZ32" s="47">
        <v>58440.269252104787</v>
      </c>
      <c r="BA32" s="240">
        <v>590.30687860655269</v>
      </c>
      <c r="BB32" s="154">
        <v>577.19732346878777</v>
      </c>
      <c r="BC32" s="47">
        <v>3449.3615093936232</v>
      </c>
      <c r="BD32" s="240">
        <v>1426.1849530479435</v>
      </c>
      <c r="BE32" s="154">
        <v>6594.3515791722812</v>
      </c>
      <c r="BF32" s="154">
        <v>7000.082149510592</v>
      </c>
      <c r="BG32" s="154">
        <v>7055.2757674266786</v>
      </c>
      <c r="BH32" s="154">
        <v>7038.3584228004347</v>
      </c>
      <c r="BI32" s="154">
        <v>5902.7434436891126</v>
      </c>
      <c r="BJ32" s="154">
        <v>3586.8088758839685</v>
      </c>
      <c r="BK32" s="154">
        <v>1617.2519942614026</v>
      </c>
      <c r="BL32" s="154">
        <v>1005.3456238527859</v>
      </c>
      <c r="BM32" s="154">
        <v>8433.3541940641935</v>
      </c>
      <c r="BN32" s="154">
        <v>7934.5629103902866</v>
      </c>
      <c r="BO32" s="154">
        <v>7612.2103153018879</v>
      </c>
      <c r="BP32" s="153">
        <v>2072.7116160997457</v>
      </c>
      <c r="BQ32" s="239">
        <v>2054.9774671584682</v>
      </c>
      <c r="BR32" s="239">
        <v>1002.6465416334451</v>
      </c>
      <c r="BS32" s="240">
        <v>5190.4204309627812</v>
      </c>
      <c r="BT32" s="154">
        <v>185.44947109385137</v>
      </c>
      <c r="BU32" s="153">
        <v>684.87628741327433</v>
      </c>
      <c r="BV32" s="239">
        <v>11177.275733586092</v>
      </c>
      <c r="BW32" s="239">
        <v>720.94313672050623</v>
      </c>
      <c r="BX32" s="239">
        <v>92110.953203421974</v>
      </c>
      <c r="BY32" s="239">
        <v>19650.825082464155</v>
      </c>
      <c r="BZ32" s="239">
        <v>6457.2660982169837</v>
      </c>
    </row>
    <row r="33" spans="1:78" x14ac:dyDescent="0.35">
      <c r="A33" s="50" t="s">
        <v>1528</v>
      </c>
      <c r="B33" s="154">
        <v>1353.2487197146665</v>
      </c>
      <c r="C33" s="154">
        <v>602.19970106981145</v>
      </c>
      <c r="D33" s="154">
        <v>1154.9717787924249</v>
      </c>
      <c r="E33" s="153">
        <v>829.84162814288368</v>
      </c>
      <c r="F33" s="153">
        <v>406.3810181168916</v>
      </c>
      <c r="G33" s="154">
        <v>3206.161146039261</v>
      </c>
      <c r="H33" s="154">
        <v>682.82826615107638</v>
      </c>
      <c r="I33" s="153">
        <v>2928.5945292515607</v>
      </c>
      <c r="J33" s="154">
        <v>3559.659895853235</v>
      </c>
      <c r="K33" s="154">
        <v>778.98248005887854</v>
      </c>
      <c r="L33" s="153">
        <v>1196.0840924280319</v>
      </c>
      <c r="M33" s="240">
        <v>281.67815624724687</v>
      </c>
      <c r="N33" s="154">
        <v>210.5535324598942</v>
      </c>
      <c r="O33" s="47">
        <v>229.75718088247942</v>
      </c>
      <c r="P33" s="240">
        <v>3697.4313430068223</v>
      </c>
      <c r="Q33" s="154">
        <v>644.96308229933163</v>
      </c>
      <c r="R33" s="47">
        <v>2354.3453082955266</v>
      </c>
      <c r="S33" s="240">
        <v>2582.9350479561681</v>
      </c>
      <c r="T33" s="154">
        <v>99.464673526124614</v>
      </c>
      <c r="U33" s="47">
        <v>1490.2080832069491</v>
      </c>
      <c r="V33" s="239">
        <v>3697.4313430068223</v>
      </c>
      <c r="W33" s="239">
        <v>7743.4896937390731</v>
      </c>
      <c r="X33" s="239">
        <v>3573.3625495170313</v>
      </c>
      <c r="Y33" s="239">
        <v>8990.0789089544123</v>
      </c>
      <c r="Z33" s="47">
        <v>1314.2961391317663</v>
      </c>
      <c r="AA33" s="47">
        <v>1254.3067525625056</v>
      </c>
      <c r="AB33" s="154">
        <v>7904.4101383572406</v>
      </c>
      <c r="AC33" s="154">
        <v>435.81484856718612</v>
      </c>
      <c r="AD33" s="153">
        <v>4013.2719923766222</v>
      </c>
      <c r="AE33" s="47">
        <v>19.472088067344419</v>
      </c>
      <c r="AF33" s="49">
        <v>743.45353021934216</v>
      </c>
      <c r="AG33" s="47">
        <v>801.58456812111376</v>
      </c>
      <c r="AH33" s="240">
        <v>944.96061845707345</v>
      </c>
      <c r="AI33" s="153">
        <v>1292.9113733046315</v>
      </c>
      <c r="AJ33" s="154">
        <v>789.38372500609421</v>
      </c>
      <c r="AK33" s="154">
        <v>1415.3538914165388</v>
      </c>
      <c r="AL33" s="154">
        <v>2011.6826696320104</v>
      </c>
      <c r="AM33" s="154">
        <v>8124.3139894486467</v>
      </c>
      <c r="AN33" s="153">
        <v>14580.40749746306</v>
      </c>
      <c r="AO33" s="239">
        <v>1670.762632212002</v>
      </c>
      <c r="AP33" s="239">
        <v>47065.433345867896</v>
      </c>
      <c r="AQ33" s="239">
        <v>0</v>
      </c>
      <c r="AR33" s="239">
        <v>5649.7835495456557</v>
      </c>
      <c r="AS33" s="239">
        <v>0</v>
      </c>
      <c r="AT33" s="239">
        <v>0</v>
      </c>
      <c r="AU33" s="239">
        <v>7854.3423009732751</v>
      </c>
      <c r="AV33" s="239">
        <v>441.34541438663865</v>
      </c>
      <c r="AW33" s="239">
        <v>3733.8664238070128</v>
      </c>
      <c r="AX33" s="239">
        <v>801.58456812111376</v>
      </c>
      <c r="AY33" s="240">
        <v>16720.634687608519</v>
      </c>
      <c r="AZ33" s="47">
        <v>58522.221406629818</v>
      </c>
      <c r="BA33" s="240">
        <v>591.04586475819474</v>
      </c>
      <c r="BB33" s="154">
        <v>577.92080389278487</v>
      </c>
      <c r="BC33" s="47">
        <v>3453.8830705315127</v>
      </c>
      <c r="BD33" s="240">
        <v>1431.4287212227014</v>
      </c>
      <c r="BE33" s="154">
        <v>6607.3637358942478</v>
      </c>
      <c r="BF33" s="154">
        <v>7013.6306370828943</v>
      </c>
      <c r="BG33" s="154">
        <v>7069.9743434869979</v>
      </c>
      <c r="BH33" s="154">
        <v>7052.7169932470933</v>
      </c>
      <c r="BI33" s="154">
        <v>5912.0402076556074</v>
      </c>
      <c r="BJ33" s="154">
        <v>3598.1381408173229</v>
      </c>
      <c r="BK33" s="154">
        <v>1620.4943864694555</v>
      </c>
      <c r="BL33" s="154">
        <v>1009.5969522923036</v>
      </c>
      <c r="BM33" s="154">
        <v>8447.5913542987691</v>
      </c>
      <c r="BN33" s="154">
        <v>7950.4702879211554</v>
      </c>
      <c r="BO33" s="154">
        <v>7630.4053813828377</v>
      </c>
      <c r="BP33" s="153">
        <v>2078.5038398082124</v>
      </c>
      <c r="BQ33" s="239">
        <v>2057.6960963421379</v>
      </c>
      <c r="BR33" s="239">
        <v>1003.8991195736495</v>
      </c>
      <c r="BS33" s="240">
        <v>5194.9609701615909</v>
      </c>
      <c r="BT33" s="154">
        <v>185.79360784011797</v>
      </c>
      <c r="BU33" s="153">
        <v>686.1512005031077</v>
      </c>
      <c r="BV33" s="239">
        <v>11189.372332395216</v>
      </c>
      <c r="BW33" s="239">
        <v>735.34436204135432</v>
      </c>
      <c r="BX33" s="239">
        <v>92201.934955073419</v>
      </c>
      <c r="BY33" s="239">
        <v>19673.167289208959</v>
      </c>
      <c r="BZ33" s="239">
        <v>6474.2379138433726</v>
      </c>
    </row>
    <row r="34" spans="1:78" x14ac:dyDescent="0.35">
      <c r="A34" s="46" t="s">
        <v>1527</v>
      </c>
      <c r="B34" s="154">
        <v>1421.7830095821666</v>
      </c>
      <c r="C34" s="154">
        <v>643.66994373719376</v>
      </c>
      <c r="D34" s="154">
        <v>1216.3611601990938</v>
      </c>
      <c r="E34" s="153">
        <v>885.8563371539185</v>
      </c>
      <c r="F34" s="153">
        <v>472.11915102692063</v>
      </c>
      <c r="G34" s="154">
        <v>3680.5083731340355</v>
      </c>
      <c r="H34" s="154">
        <v>762.47042459721627</v>
      </c>
      <c r="I34" s="153">
        <v>3359.5241987949853</v>
      </c>
      <c r="J34" s="154">
        <v>4086.7945821138519</v>
      </c>
      <c r="K34" s="154">
        <v>871.15772080255988</v>
      </c>
      <c r="L34" s="153">
        <v>1353.5032499992537</v>
      </c>
      <c r="M34" s="240">
        <v>382.02788487370793</v>
      </c>
      <c r="N34" s="154">
        <v>220.30097185471678</v>
      </c>
      <c r="O34" s="47">
        <v>263.96723836984438</v>
      </c>
      <c r="P34" s="240">
        <v>3972.3621926878254</v>
      </c>
      <c r="Q34" s="154">
        <v>698.34300397994662</v>
      </c>
      <c r="R34" s="47">
        <v>2531.7937496563591</v>
      </c>
      <c r="S34" s="240">
        <v>2776.2049366728934</v>
      </c>
      <c r="T34" s="154">
        <v>107.69679816787013</v>
      </c>
      <c r="U34" s="47">
        <v>1602.0613557306833</v>
      </c>
      <c r="V34" s="239">
        <v>3972.3621926878254</v>
      </c>
      <c r="W34" s="239">
        <v>8312.5410940672555</v>
      </c>
      <c r="X34" s="239">
        <v>3830.7261479833473</v>
      </c>
      <c r="Y34" s="239">
        <v>9612.1094862707396</v>
      </c>
      <c r="Z34" s="47">
        <v>1398.3096711887574</v>
      </c>
      <c r="AA34" s="47">
        <v>1332.0643175678463</v>
      </c>
      <c r="AB34" s="154">
        <v>17095.565933697169</v>
      </c>
      <c r="AC34" s="154">
        <v>11047.96181483655</v>
      </c>
      <c r="AD34" s="153">
        <v>13944.764187770787</v>
      </c>
      <c r="AE34" s="39">
        <v>20.468566342697489</v>
      </c>
      <c r="AF34" s="49">
        <v>800.51085381214307</v>
      </c>
      <c r="AG34" s="47">
        <v>863.66042688091795</v>
      </c>
      <c r="AH34" s="240">
        <v>1330.687314698371</v>
      </c>
      <c r="AI34" s="153">
        <v>1534.1213757511807</v>
      </c>
      <c r="AJ34" s="154">
        <v>1149.6594782844063</v>
      </c>
      <c r="AK34" s="154">
        <v>1744.0336075919449</v>
      </c>
      <c r="AL34" s="154">
        <v>2214.4368038620951</v>
      </c>
      <c r="AM34" s="154">
        <v>8878.6532857411148</v>
      </c>
      <c r="AN34" s="153">
        <v>15828.529815422244</v>
      </c>
      <c r="AO34" s="239">
        <v>1787.6115940908719</v>
      </c>
      <c r="AP34" s="239">
        <v>49326.414621680015</v>
      </c>
      <c r="AQ34" s="239">
        <v>0</v>
      </c>
      <c r="AR34" s="239">
        <v>6156.9948593216332</v>
      </c>
      <c r="AS34" s="239">
        <v>0</v>
      </c>
      <c r="AT34" s="239">
        <v>0</v>
      </c>
      <c r="AU34" s="239">
        <v>8335.8512802478072</v>
      </c>
      <c r="AV34" s="239">
        <v>467.39594860960727</v>
      </c>
      <c r="AW34" s="239">
        <v>3984.9703486307635</v>
      </c>
      <c r="AX34" s="239">
        <v>863.66042688091795</v>
      </c>
      <c r="AY34" s="240">
        <v>18119.878592699271</v>
      </c>
      <c r="AZ34" s="47">
        <v>63419.57507444745</v>
      </c>
      <c r="BA34" s="240">
        <v>638.86423767630106</v>
      </c>
      <c r="BB34" s="154">
        <v>624.73583099006566</v>
      </c>
      <c r="BC34" s="47">
        <v>3685.7575748935733</v>
      </c>
      <c r="BD34" s="240">
        <v>1519.0949682379737</v>
      </c>
      <c r="BE34" s="154">
        <v>7090.6616488718073</v>
      </c>
      <c r="BF34" s="154">
        <v>7527.0157017398105</v>
      </c>
      <c r="BG34" s="154">
        <v>7592.0528408825066</v>
      </c>
      <c r="BH34" s="154">
        <v>7585.2218976426057</v>
      </c>
      <c r="BI34" s="154">
        <v>6346.1765767533207</v>
      </c>
      <c r="BJ34" s="154">
        <v>3827.6957167887222</v>
      </c>
      <c r="BK34" s="154">
        <v>1760.5215618819275</v>
      </c>
      <c r="BL34" s="154">
        <v>1073.4208530402168</v>
      </c>
      <c r="BM34" s="154">
        <v>9085.6820857421553</v>
      </c>
      <c r="BN34" s="154">
        <v>8493.3145936117744</v>
      </c>
      <c r="BO34" s="154">
        <v>8214.9700952090752</v>
      </c>
      <c r="BP34" s="153">
        <v>2327.1541282796288</v>
      </c>
      <c r="BQ34" s="239">
        <v>2204.9663053918443</v>
      </c>
      <c r="BR34" s="239">
        <v>1083.7882864405283</v>
      </c>
      <c r="BS34" s="240">
        <v>5511.8981330001034</v>
      </c>
      <c r="BT34" s="154">
        <v>211.72065259367102</v>
      </c>
      <c r="BU34" s="153">
        <v>781.67806538824618</v>
      </c>
      <c r="BV34" s="239">
        <v>12010.531316523453</v>
      </c>
      <c r="BW34" s="239">
        <v>793.12110050610977</v>
      </c>
      <c r="BX34" s="239">
        <v>98489.425540747805</v>
      </c>
      <c r="BY34" s="239">
        <v>21126.355923658459</v>
      </c>
      <c r="BZ34" s="239">
        <v>6776.0344257503193</v>
      </c>
    </row>
    <row r="35" spans="1:78" ht="13.15" x14ac:dyDescent="0.4">
      <c r="A35" s="238" t="s">
        <v>1562</v>
      </c>
      <c r="B35" s="235"/>
      <c r="C35" s="235"/>
      <c r="D35" s="235"/>
      <c r="E35" s="234"/>
      <c r="F35" s="234"/>
      <c r="G35" s="235"/>
      <c r="H35" s="235"/>
      <c r="I35" s="234"/>
      <c r="J35" s="235"/>
      <c r="K35" s="235"/>
      <c r="L35" s="234"/>
      <c r="M35" s="236"/>
      <c r="N35" s="235"/>
      <c r="O35" s="156"/>
      <c r="P35" s="236"/>
      <c r="Q35" s="235"/>
      <c r="R35" s="156"/>
      <c r="S35" s="236"/>
      <c r="T35" s="235"/>
      <c r="U35" s="156"/>
      <c r="V35" s="233"/>
      <c r="W35" s="233"/>
      <c r="X35" s="233"/>
      <c r="Y35" s="233"/>
      <c r="Z35" s="156"/>
      <c r="AA35" s="156"/>
      <c r="AB35" s="235"/>
      <c r="AC35" s="235"/>
      <c r="AD35" s="234"/>
      <c r="AE35" s="156"/>
      <c r="AF35" s="237"/>
      <c r="AG35" s="156"/>
      <c r="AH35" s="236"/>
      <c r="AI35" s="234"/>
      <c r="AJ35" s="235"/>
      <c r="AK35" s="235"/>
      <c r="AL35" s="235"/>
      <c r="AM35" s="235"/>
      <c r="AN35" s="234"/>
      <c r="AO35" s="233"/>
      <c r="AP35" s="233"/>
      <c r="AQ35" s="233"/>
      <c r="AR35" s="233"/>
      <c r="AS35" s="233"/>
      <c r="AT35" s="233"/>
      <c r="AU35" s="233"/>
      <c r="AV35" s="233"/>
      <c r="AW35" s="233"/>
      <c r="AX35" s="233"/>
      <c r="AY35" s="236"/>
      <c r="AZ35" s="156"/>
      <c r="BA35" s="236"/>
      <c r="BB35" s="235"/>
      <c r="BC35" s="156"/>
      <c r="BD35" s="236"/>
      <c r="BE35" s="235"/>
      <c r="BF35" s="235"/>
      <c r="BG35" s="235"/>
      <c r="BH35" s="235"/>
      <c r="BI35" s="235"/>
      <c r="BJ35" s="235"/>
      <c r="BK35" s="235"/>
      <c r="BL35" s="235"/>
      <c r="BM35" s="235"/>
      <c r="BN35" s="235"/>
      <c r="BO35" s="235"/>
      <c r="BP35" s="234"/>
      <c r="BQ35" s="233"/>
      <c r="BR35" s="233"/>
      <c r="BS35" s="236"/>
      <c r="BT35" s="235"/>
      <c r="BU35" s="234"/>
      <c r="BV35" s="233"/>
      <c r="BW35" s="233"/>
      <c r="BX35" s="233"/>
      <c r="BY35" s="233"/>
      <c r="BZ35" s="233"/>
    </row>
    <row r="36" spans="1:78" x14ac:dyDescent="0.35">
      <c r="A36" s="50" t="s">
        <v>1525</v>
      </c>
      <c r="B36" s="145">
        <v>3.5883168817971191E-3</v>
      </c>
      <c r="C36" s="145">
        <v>4.6765494599589931E-3</v>
      </c>
      <c r="D36" s="145">
        <v>3.8756102824318538E-3</v>
      </c>
      <c r="E36" s="144">
        <v>6.3962490621640574E-3</v>
      </c>
      <c r="F36" s="146">
        <v>4.6040486731303929E-3</v>
      </c>
      <c r="G36" s="145">
        <v>2.6347797644019757E-2</v>
      </c>
      <c r="H36" s="145">
        <v>5.8235532067906362E-3</v>
      </c>
      <c r="I36" s="144">
        <v>2.4090130755924553E-2</v>
      </c>
      <c r="J36" s="145">
        <v>2.9328695736120017E-2</v>
      </c>
      <c r="K36" s="145">
        <v>6.7112664473711866E-3</v>
      </c>
      <c r="L36" s="144">
        <v>1.0103880840683511E-2</v>
      </c>
      <c r="M36" s="232">
        <v>2.5652921159802543E-3</v>
      </c>
      <c r="N36" s="145">
        <v>1.5798855609112719E-4</v>
      </c>
      <c r="O36" s="144">
        <v>8.0796051726119149E-4</v>
      </c>
      <c r="P36" s="232">
        <v>4.7158999429153664E-2</v>
      </c>
      <c r="Q36" s="145">
        <v>6.8262296740327563E-3</v>
      </c>
      <c r="R36" s="144">
        <v>2.9412580736900468E-2</v>
      </c>
      <c r="S36" s="232">
        <v>3.1845279013005698E-2</v>
      </c>
      <c r="T36" s="145">
        <v>1.0527249149229569E-3</v>
      </c>
      <c r="U36" s="144">
        <v>1.8296555209849293E-2</v>
      </c>
      <c r="V36" s="146">
        <v>4.7158999429153664E-2</v>
      </c>
      <c r="W36" s="146">
        <v>8.6892154691903575E-2</v>
      </c>
      <c r="X36" s="146">
        <v>4.3521737308158732E-2</v>
      </c>
      <c r="Y36" s="146">
        <v>0.10076462169947401</v>
      </c>
      <c r="Z36" s="144">
        <v>1.3640364160420226E-2</v>
      </c>
      <c r="AA36" s="144">
        <v>1.0453249233644133E-2</v>
      </c>
      <c r="AB36" s="145">
        <v>5.9659498060536963E-2</v>
      </c>
      <c r="AC36" s="145">
        <v>3.6596778414621665E-3</v>
      </c>
      <c r="AD36" s="144">
        <v>3.0483591726398994E-2</v>
      </c>
      <c r="AE36" s="144">
        <v>8.2053303941251961E-4</v>
      </c>
      <c r="AF36" s="232">
        <v>5.204384635617159E-3</v>
      </c>
      <c r="AG36" s="144">
        <v>6.5839948989549167E-3</v>
      </c>
      <c r="AH36" s="232">
        <v>1.954617329437118E-2</v>
      </c>
      <c r="AI36" s="144">
        <v>2.0967281174984583E-2</v>
      </c>
      <c r="AJ36" s="232">
        <v>1.9597142655678617E-2</v>
      </c>
      <c r="AK36" s="145">
        <v>2.3346308546803328E-2</v>
      </c>
      <c r="AL36" s="145">
        <v>2.2491112027556187E-2</v>
      </c>
      <c r="AM36" s="145">
        <v>8.4161869213479831E-2</v>
      </c>
      <c r="AN36" s="144">
        <v>0.13795612663088805</v>
      </c>
      <c r="AO36" s="146">
        <v>2.1141534598903194E-2</v>
      </c>
      <c r="AP36" s="146">
        <v>0.24215703886955789</v>
      </c>
      <c r="AQ36" s="146">
        <v>0</v>
      </c>
      <c r="AR36" s="146">
        <v>4.8204595888869148E-2</v>
      </c>
      <c r="AS36" s="146">
        <v>0</v>
      </c>
      <c r="AT36" s="146">
        <v>0</v>
      </c>
      <c r="AU36" s="146">
        <v>6.0374409019162127E-2</v>
      </c>
      <c r="AV36" s="146">
        <v>4.8867613243678979E-3</v>
      </c>
      <c r="AW36" s="146">
        <v>5.0543538495563409E-2</v>
      </c>
      <c r="AX36" s="146">
        <v>6.5839948989549167E-3</v>
      </c>
      <c r="AY36" s="232">
        <v>0.15250677287179218</v>
      </c>
      <c r="AZ36" s="144">
        <v>0.53377370505127264</v>
      </c>
      <c r="BA36" s="232">
        <v>4.8828602810934429E-3</v>
      </c>
      <c r="BB36" s="145">
        <v>4.7804059908753147E-3</v>
      </c>
      <c r="BC36" s="144">
        <v>4.5150530738239048E-2</v>
      </c>
      <c r="BD36" s="232">
        <v>1.3219521185470647E-2</v>
      </c>
      <c r="BE36" s="145">
        <v>6.6582714990168448E-2</v>
      </c>
      <c r="BF36" s="145">
        <v>7.1535813283669716E-2</v>
      </c>
      <c r="BG36" s="145">
        <v>7.3081353337485264E-2</v>
      </c>
      <c r="BH36" s="145">
        <v>7.5969944273082166E-2</v>
      </c>
      <c r="BI36" s="145">
        <v>5.341292151235804E-2</v>
      </c>
      <c r="BJ36" s="145">
        <v>4.0004026260199915E-2</v>
      </c>
      <c r="BK36" s="145">
        <v>2.1212258926822037E-2</v>
      </c>
      <c r="BL36" s="145">
        <v>1.4410284410399146E-2</v>
      </c>
      <c r="BM36" s="145">
        <v>9.4365524246632734E-2</v>
      </c>
      <c r="BN36" s="145">
        <v>8.4944195563768324E-2</v>
      </c>
      <c r="BO36" s="145">
        <v>8.2467120969590343E-2</v>
      </c>
      <c r="BP36" s="144">
        <v>7.9289085027869827E-2</v>
      </c>
      <c r="BQ36" s="146">
        <v>3.3497796678450986E-2</v>
      </c>
      <c r="BR36" s="146">
        <v>8.6570387260151097E-3</v>
      </c>
      <c r="BS36" s="232">
        <v>4.3983528836694701E-2</v>
      </c>
      <c r="BT36" s="145">
        <v>2.8002774481693769E-3</v>
      </c>
      <c r="BU36" s="144">
        <v>1.0270978696035278E-2</v>
      </c>
      <c r="BV36" s="146">
        <v>9.0024296704591361E-2</v>
      </c>
      <c r="BW36" s="146">
        <v>8.2055692282456995E-3</v>
      </c>
      <c r="BX36" s="146">
        <v>0.7388772570575548</v>
      </c>
      <c r="BY36" s="146">
        <v>0.16333033605130237</v>
      </c>
      <c r="BZ36" s="146">
        <v>0.19083307338924854</v>
      </c>
    </row>
    <row r="37" spans="1:78" x14ac:dyDescent="0.35">
      <c r="A37" s="50" t="s">
        <v>1524</v>
      </c>
      <c r="B37" s="145">
        <v>2.8013662382739574E-2</v>
      </c>
      <c r="C37" s="145">
        <v>3.3530655142174862E-2</v>
      </c>
      <c r="D37" s="145">
        <v>2.9470148471230487E-2</v>
      </c>
      <c r="E37" s="144">
        <v>4.6380124337249813E-2</v>
      </c>
      <c r="F37" s="146">
        <v>1.4042200262232161E-2</v>
      </c>
      <c r="G37" s="145">
        <v>9.9194753670526589E-2</v>
      </c>
      <c r="H37" s="145">
        <v>2.8187888128264112E-2</v>
      </c>
      <c r="I37" s="144">
        <v>9.1383998460877719E-2</v>
      </c>
      <c r="J37" s="145">
        <v>0.11007677740319582</v>
      </c>
      <c r="K37" s="145">
        <v>3.1828208237614647E-2</v>
      </c>
      <c r="L37" s="144">
        <v>4.3565493612451822E-2</v>
      </c>
      <c r="M37" s="232">
        <v>1.120721045067243E-2</v>
      </c>
      <c r="N37" s="145">
        <v>2.9484568554999249E-4</v>
      </c>
      <c r="O37" s="144">
        <v>3.2411841721330511E-3</v>
      </c>
      <c r="P37" s="232">
        <v>0.1425368459336521</v>
      </c>
      <c r="Q37" s="145">
        <v>2.4631716290659838E-2</v>
      </c>
      <c r="R37" s="144">
        <v>9.0658588890735498E-2</v>
      </c>
      <c r="S37" s="232">
        <v>0.10337165330984101</v>
      </c>
      <c r="T37" s="145">
        <v>3.7986447387101004E-3</v>
      </c>
      <c r="U37" s="144">
        <v>5.9559529538543411E-2</v>
      </c>
      <c r="V37" s="146">
        <v>0.1425368459336521</v>
      </c>
      <c r="W37" s="146">
        <v>0.3046099366154093</v>
      </c>
      <c r="X37" s="146">
        <v>0.14241300835403189</v>
      </c>
      <c r="Y37" s="146">
        <v>0.34295923395310818</v>
      </c>
      <c r="Z37" s="144">
        <v>5.4880119324563159E-2</v>
      </c>
      <c r="AA37" s="144">
        <v>7.3170874707048139E-2</v>
      </c>
      <c r="AB37" s="145">
        <v>0.37030873463766661</v>
      </c>
      <c r="AC37" s="145">
        <v>2.2784289080084851E-2</v>
      </c>
      <c r="AD37" s="144">
        <v>0.18924849850216649</v>
      </c>
      <c r="AE37" s="144">
        <v>1.7735753506649501E-3</v>
      </c>
      <c r="AF37" s="232">
        <v>2.7850796619383181E-2</v>
      </c>
      <c r="AG37" s="144">
        <v>3.6689370708069324E-2</v>
      </c>
      <c r="AH37" s="232">
        <v>9.0734456693682394E-2</v>
      </c>
      <c r="AI37" s="144">
        <v>6.2768370102400467E-2</v>
      </c>
      <c r="AJ37" s="232">
        <v>7.5028534595314375E-2</v>
      </c>
      <c r="AK37" s="145">
        <v>8.6538471570990011E-2</v>
      </c>
      <c r="AL37" s="145">
        <v>0.10320305130702788</v>
      </c>
      <c r="AM37" s="145">
        <v>0.36438248914701038</v>
      </c>
      <c r="AN37" s="144">
        <v>0.63737234112447638</v>
      </c>
      <c r="AO37" s="146">
        <v>5.3126222597482044E-2</v>
      </c>
      <c r="AP37" s="146">
        <v>1.0354569103765434</v>
      </c>
      <c r="AQ37" s="146">
        <v>0</v>
      </c>
      <c r="AR37" s="146">
        <v>0.2869247650242237</v>
      </c>
      <c r="AS37" s="146">
        <v>0</v>
      </c>
      <c r="AT37" s="146">
        <v>0</v>
      </c>
      <c r="AU37" s="146">
        <v>0.47250552252425926</v>
      </c>
      <c r="AV37" s="146">
        <v>2.4441615636698957E-2</v>
      </c>
      <c r="AW37" s="146">
        <v>0.10813412745342495</v>
      </c>
      <c r="AX37" s="146">
        <v>3.6689370708069324E-2</v>
      </c>
      <c r="AY37" s="232">
        <v>0.7275919165595478</v>
      </c>
      <c r="AZ37" s="144">
        <v>2.5465717079584174</v>
      </c>
      <c r="BA37" s="232">
        <v>3.1683123357721117E-2</v>
      </c>
      <c r="BB37" s="145">
        <v>3.1018334334763083E-2</v>
      </c>
      <c r="BC37" s="144">
        <v>0.10572278134439678</v>
      </c>
      <c r="BD37" s="232">
        <v>4.3394539321703576E-2</v>
      </c>
      <c r="BE37" s="145">
        <v>0.28389282213730166</v>
      </c>
      <c r="BF37" s="145">
        <v>0.30054729609511155</v>
      </c>
      <c r="BG37" s="145">
        <v>0.30266397730566591</v>
      </c>
      <c r="BH37" s="145">
        <v>0.31605652358879366</v>
      </c>
      <c r="BI37" s="145">
        <v>0.27150136285612581</v>
      </c>
      <c r="BJ37" s="145">
        <v>0.1141668245003203</v>
      </c>
      <c r="BK37" s="145">
        <v>5.9538069722029734E-2</v>
      </c>
      <c r="BL37" s="145">
        <v>3.9357284926073877E-2</v>
      </c>
      <c r="BM37" s="145">
        <v>0.35831310371458303</v>
      </c>
      <c r="BN37" s="145">
        <v>0.31973443550344804</v>
      </c>
      <c r="BO37" s="145">
        <v>0.33934855473926562</v>
      </c>
      <c r="BP37" s="144">
        <v>9.2821585661599079E-2</v>
      </c>
      <c r="BQ37" s="146">
        <v>7.1260617733987439E-2</v>
      </c>
      <c r="BR37" s="146">
        <v>5.2256373397301596E-2</v>
      </c>
      <c r="BS37" s="232">
        <v>0.31523252108378302</v>
      </c>
      <c r="BT37" s="145">
        <v>1.1566159348243388E-2</v>
      </c>
      <c r="BU37" s="144">
        <v>4.2436150466704119E-2</v>
      </c>
      <c r="BV37" s="146">
        <v>0.62862511211049199</v>
      </c>
      <c r="BW37" s="146">
        <v>1.7444367857004216E-2</v>
      </c>
      <c r="BX37" s="146">
        <v>5.0660106179328892</v>
      </c>
      <c r="BY37" s="146">
        <v>0.9998703670982112</v>
      </c>
      <c r="BZ37" s="146">
        <v>0.19028893766315155</v>
      </c>
    </row>
    <row r="38" spans="1:78" x14ac:dyDescent="0.35">
      <c r="A38" s="50" t="s">
        <v>1523</v>
      </c>
      <c r="B38" s="145">
        <v>7.4850868022858008E-2</v>
      </c>
      <c r="C38" s="145">
        <v>8.084154378024043E-2</v>
      </c>
      <c r="D38" s="145">
        <v>7.6432406422806964E-2</v>
      </c>
      <c r="E38" s="144">
        <v>0.11310948952181837</v>
      </c>
      <c r="F38" s="146">
        <v>2.9222998880985382E-2</v>
      </c>
      <c r="G38" s="145">
        <v>0.26952286490482902</v>
      </c>
      <c r="H38" s="145">
        <v>5.4586193801525261E-2</v>
      </c>
      <c r="I38" s="144">
        <v>0.24587983108346562</v>
      </c>
      <c r="J38" s="145">
        <v>0.29549007838185515</v>
      </c>
      <c r="K38" s="145">
        <v>5.8632883706271718E-2</v>
      </c>
      <c r="L38" s="144">
        <v>9.4161462907609239E-2</v>
      </c>
      <c r="M38" s="232">
        <v>3.2010289372508424E-2</v>
      </c>
      <c r="N38" s="145">
        <v>1.5906381135384136E-3</v>
      </c>
      <c r="O38" s="144">
        <v>9.8039439534603166E-3</v>
      </c>
      <c r="P38" s="232">
        <v>0.25986833345220628</v>
      </c>
      <c r="Q38" s="145">
        <v>4.1607214106560736E-2</v>
      </c>
      <c r="R38" s="144">
        <v>0.16383344094012225</v>
      </c>
      <c r="S38" s="232">
        <v>0.19334204330666915</v>
      </c>
      <c r="T38" s="145">
        <v>6.4165656624667828E-3</v>
      </c>
      <c r="U38" s="144">
        <v>0.11109483314322012</v>
      </c>
      <c r="V38" s="146">
        <v>0.25986833345220628</v>
      </c>
      <c r="W38" s="146">
        <v>0.66932523570410607</v>
      </c>
      <c r="X38" s="146">
        <v>0.33043924728600022</v>
      </c>
      <c r="Y38" s="146">
        <v>0.89591472849568954</v>
      </c>
      <c r="Z38" s="144">
        <v>0.12955816689015265</v>
      </c>
      <c r="AA38" s="144">
        <v>0.18865091532192613</v>
      </c>
      <c r="AB38" s="145">
        <v>0.76678499051602389</v>
      </c>
      <c r="AC38" s="145">
        <v>4.6360525684974237E-2</v>
      </c>
      <c r="AD38" s="144">
        <v>0.391443844339047</v>
      </c>
      <c r="AE38" s="144">
        <v>1.1159394245541406E-2</v>
      </c>
      <c r="AF38" s="232">
        <v>4.7787759473447801E-2</v>
      </c>
      <c r="AG38" s="144">
        <v>7.3422844370380227E-2</v>
      </c>
      <c r="AH38" s="232">
        <v>0.14584671688857054</v>
      </c>
      <c r="AI38" s="144">
        <v>0.11489301905824609</v>
      </c>
      <c r="AJ38" s="232">
        <v>0.11847465142278982</v>
      </c>
      <c r="AK38" s="145">
        <v>0.14084481550927558</v>
      </c>
      <c r="AL38" s="145">
        <v>0.19661174075467536</v>
      </c>
      <c r="AM38" s="145">
        <v>0.64545813778230721</v>
      </c>
      <c r="AN38" s="144">
        <v>1.164506636619113</v>
      </c>
      <c r="AO38" s="146">
        <v>8.8799000589954338E-2</v>
      </c>
      <c r="AP38" s="146">
        <v>6.3598353105426213</v>
      </c>
      <c r="AQ38" s="146">
        <v>0</v>
      </c>
      <c r="AR38" s="146">
        <v>0.54615270529419879</v>
      </c>
      <c r="AS38" s="146">
        <v>0</v>
      </c>
      <c r="AT38" s="146">
        <v>0</v>
      </c>
      <c r="AU38" s="146">
        <v>1.2374917923013673</v>
      </c>
      <c r="AV38" s="146">
        <v>6.2821057048466772E-2</v>
      </c>
      <c r="AW38" s="146">
        <v>0.17312983394829012</v>
      </c>
      <c r="AX38" s="146">
        <v>7.3422844370380227E-2</v>
      </c>
      <c r="AY38" s="232">
        <v>1.3408908843650587</v>
      </c>
      <c r="AZ38" s="144">
        <v>4.693118095277705</v>
      </c>
      <c r="BA38" s="232">
        <v>6.8134572279136343E-2</v>
      </c>
      <c r="BB38" s="145">
        <v>6.6704943160071847E-2</v>
      </c>
      <c r="BC38" s="144">
        <v>0.18006159840590474</v>
      </c>
      <c r="BD38" s="232">
        <v>7.9388058310186874E-2</v>
      </c>
      <c r="BE38" s="145">
        <v>0.60144892081894163</v>
      </c>
      <c r="BF38" s="145">
        <v>0.64271208245429545</v>
      </c>
      <c r="BG38" s="145">
        <v>0.63314045669829744</v>
      </c>
      <c r="BH38" s="145">
        <v>0.65454607728069658</v>
      </c>
      <c r="BI38" s="145">
        <v>0.6101431467872831</v>
      </c>
      <c r="BJ38" s="145">
        <v>0.24002795961546519</v>
      </c>
      <c r="BK38" s="145">
        <v>9.7726857269513495E-2</v>
      </c>
      <c r="BL38" s="145">
        <v>0.11941176552115612</v>
      </c>
      <c r="BM38" s="145">
        <v>0.77523010305606366</v>
      </c>
      <c r="BN38" s="145">
        <v>0.73642087703653147</v>
      </c>
      <c r="BO38" s="145">
        <v>0.69798563073549091</v>
      </c>
      <c r="BP38" s="144">
        <v>0.13513255373414843</v>
      </c>
      <c r="BQ38" s="146">
        <v>0.27846280256005873</v>
      </c>
      <c r="BR38" s="146">
        <v>0.11188160882271155</v>
      </c>
      <c r="BS38" s="232">
        <v>0.86320225970837339</v>
      </c>
      <c r="BT38" s="145">
        <v>1.8066813857201831E-2</v>
      </c>
      <c r="BU38" s="144">
        <v>6.5847306386879328E-2</v>
      </c>
      <c r="BV38" s="146">
        <v>1.4738116429953962</v>
      </c>
      <c r="BW38" s="146">
        <v>2.7397894885116202E-2</v>
      </c>
      <c r="BX38" s="146">
        <v>12.430503818025842</v>
      </c>
      <c r="BY38" s="146">
        <v>2.2935489011889159</v>
      </c>
      <c r="BZ38" s="146">
        <v>0.38587140922670365</v>
      </c>
    </row>
    <row r="39" spans="1:78" x14ac:dyDescent="0.35">
      <c r="A39" s="50" t="s">
        <v>1522</v>
      </c>
      <c r="B39" s="145">
        <v>8.4280566027385428E-3</v>
      </c>
      <c r="C39" s="145">
        <v>9.2666134297945055E-3</v>
      </c>
      <c r="D39" s="145">
        <v>8.6494356050813171E-3</v>
      </c>
      <c r="E39" s="144">
        <v>1.3105048255778018E-2</v>
      </c>
      <c r="F39" s="146">
        <v>2.0962895904724256E-3</v>
      </c>
      <c r="G39" s="145">
        <v>3.3308622437779566E-2</v>
      </c>
      <c r="H39" s="145">
        <v>4.7356467784425002E-3</v>
      </c>
      <c r="I39" s="144">
        <v>3.0165595115252491E-2</v>
      </c>
      <c r="J39" s="145">
        <v>3.616697830041924E-2</v>
      </c>
      <c r="K39" s="145">
        <v>4.6799601779901594E-3</v>
      </c>
      <c r="L39" s="144">
        <v>9.4030128963545206E-3</v>
      </c>
      <c r="M39" s="232">
        <v>3.4858860801520422E-3</v>
      </c>
      <c r="N39" s="145">
        <v>6.8724495683141276E-5</v>
      </c>
      <c r="O39" s="144">
        <v>9.913581234897446E-4</v>
      </c>
      <c r="P39" s="232">
        <v>2.3613483004079297E-2</v>
      </c>
      <c r="Q39" s="145">
        <v>2.9986140596297657E-3</v>
      </c>
      <c r="R39" s="144">
        <v>1.4542940668521505E-2</v>
      </c>
      <c r="S39" s="232">
        <v>1.7944931181843239E-2</v>
      </c>
      <c r="T39" s="145">
        <v>4.6243913280837843E-4</v>
      </c>
      <c r="U39" s="144">
        <v>1.0252634680267903E-2</v>
      </c>
      <c r="V39" s="146">
        <v>2.3613483004079297E-2</v>
      </c>
      <c r="W39" s="146">
        <v>6.8153863122328073E-2</v>
      </c>
      <c r="X39" s="146">
        <v>3.5939678575115749E-2</v>
      </c>
      <c r="Y39" s="146">
        <v>0.10650894731683049</v>
      </c>
      <c r="Z39" s="144">
        <v>1.5431938000130128E-2</v>
      </c>
      <c r="AA39" s="144">
        <v>2.3050564922658921E-2</v>
      </c>
      <c r="AB39" s="145">
        <v>7.4333119672541442E-2</v>
      </c>
      <c r="AC39" s="145">
        <v>4.3848490602791564E-3</v>
      </c>
      <c r="AD39" s="144">
        <v>3.7890070683552789E-2</v>
      </c>
      <c r="AE39" s="144">
        <v>7.3273665039874951E-4</v>
      </c>
      <c r="AF39" s="232">
        <v>3.3517273135973209E-3</v>
      </c>
      <c r="AG39" s="144">
        <v>6.6816889823267831E-3</v>
      </c>
      <c r="AH39" s="232">
        <v>8.6558197507784398E-3</v>
      </c>
      <c r="AI39" s="144">
        <v>8.8473587912974421E-3</v>
      </c>
      <c r="AJ39" s="232">
        <v>6.4353454465336845E-3</v>
      </c>
      <c r="AK39" s="145">
        <v>8.7356164745997101E-3</v>
      </c>
      <c r="AL39" s="145">
        <v>1.7054898376346442E-2</v>
      </c>
      <c r="AM39" s="145">
        <v>5.0391487720805858E-2</v>
      </c>
      <c r="AN39" s="144">
        <v>9.5851529963196166E-2</v>
      </c>
      <c r="AO39" s="146">
        <v>7.480028737081406E-3</v>
      </c>
      <c r="AP39" s="146">
        <v>1.0322548194100041</v>
      </c>
      <c r="AQ39" s="146">
        <v>0</v>
      </c>
      <c r="AR39" s="146">
        <v>4.6816862994963807E-2</v>
      </c>
      <c r="AS39" s="146">
        <v>0</v>
      </c>
      <c r="AT39" s="146">
        <v>0</v>
      </c>
      <c r="AU39" s="146">
        <v>0.15250627722434731</v>
      </c>
      <c r="AV39" s="146">
        <v>7.8085353579781811E-3</v>
      </c>
      <c r="AW39" s="146">
        <v>1.4461868626421194E-2</v>
      </c>
      <c r="AX39" s="146">
        <v>6.6816889823267831E-3</v>
      </c>
      <c r="AY39" s="232">
        <v>0.1116824933522322</v>
      </c>
      <c r="AZ39" s="144">
        <v>0.39088872673281266</v>
      </c>
      <c r="BA39" s="232">
        <v>6.9153446220741365E-3</v>
      </c>
      <c r="BB39" s="145">
        <v>6.770243864714416E-3</v>
      </c>
      <c r="BC39" s="144">
        <v>1.6074815346912616E-2</v>
      </c>
      <c r="BD39" s="232">
        <v>6.9141407956536186E-3</v>
      </c>
      <c r="BE39" s="145">
        <v>6.0274478161645349E-2</v>
      </c>
      <c r="BF39" s="145">
        <v>6.504505498438598E-2</v>
      </c>
      <c r="BG39" s="145">
        <v>6.286066776007676E-2</v>
      </c>
      <c r="BH39" s="145">
        <v>6.4767092595554743E-2</v>
      </c>
      <c r="BI39" s="145">
        <v>6.2341902366733634E-2</v>
      </c>
      <c r="BJ39" s="145">
        <v>2.3591391036766225E-2</v>
      </c>
      <c r="BK39" s="145">
        <v>4.7977465553242131E-3</v>
      </c>
      <c r="BL39" s="145">
        <v>1.0906256440947105E-2</v>
      </c>
      <c r="BM39" s="145">
        <v>7.9013576460308335E-2</v>
      </c>
      <c r="BN39" s="145">
        <v>8.0164154240766533E-2</v>
      </c>
      <c r="BO39" s="145">
        <v>6.7824886043458779E-2</v>
      </c>
      <c r="BP39" s="144">
        <v>6.2365851091639385E-3</v>
      </c>
      <c r="BQ39" s="146">
        <v>4.2870238557833E-2</v>
      </c>
      <c r="BR39" s="146">
        <v>1.1373170453171934E-2</v>
      </c>
      <c r="BS39" s="232">
        <v>0.10266924388166124</v>
      </c>
      <c r="BT39" s="145">
        <v>1.0631898043546141E-3</v>
      </c>
      <c r="BU39" s="144">
        <v>3.8002674762166906E-3</v>
      </c>
      <c r="BV39" s="146">
        <v>0.16440805112336979</v>
      </c>
      <c r="BW39" s="146">
        <v>2.2213212599417357E-3</v>
      </c>
      <c r="BX39" s="146">
        <v>1.4531914664346668</v>
      </c>
      <c r="BY39" s="146">
        <v>0.25157619016261529</v>
      </c>
      <c r="BZ39" s="146">
        <v>5.3840173164251305E-2</v>
      </c>
    </row>
    <row r="40" spans="1:78" x14ac:dyDescent="0.35">
      <c r="A40" s="50" t="s">
        <v>1521</v>
      </c>
      <c r="B40" s="145">
        <v>6.2422522925416751E-3</v>
      </c>
      <c r="C40" s="145">
        <v>6.8244492525981349E-3</v>
      </c>
      <c r="D40" s="145">
        <v>6.3959522899965805E-3</v>
      </c>
      <c r="E40" s="144">
        <v>9.650529149418257E-3</v>
      </c>
      <c r="F40" s="146">
        <v>1.6096495551308067E-3</v>
      </c>
      <c r="G40" s="145">
        <v>2.4203874634839674E-2</v>
      </c>
      <c r="H40" s="145">
        <v>3.4709131789526417E-3</v>
      </c>
      <c r="I40" s="144">
        <v>2.1923248874692103E-2</v>
      </c>
      <c r="J40" s="145">
        <v>2.6277531361883648E-2</v>
      </c>
      <c r="K40" s="145">
        <v>3.4300988481541722E-3</v>
      </c>
      <c r="L40" s="144">
        <v>6.8572137252135932E-3</v>
      </c>
      <c r="M40" s="232">
        <v>2.6111141968898702E-3</v>
      </c>
      <c r="N40" s="145">
        <v>6.0806476507512695E-5</v>
      </c>
      <c r="O40" s="144">
        <v>7.4938956101074919E-4</v>
      </c>
      <c r="P40" s="232">
        <v>1.727769122997342E-2</v>
      </c>
      <c r="Q40" s="145">
        <v>2.2453933071948477E-3</v>
      </c>
      <c r="R40" s="144">
        <v>1.0663480143950849E-2</v>
      </c>
      <c r="S40" s="232">
        <v>1.3146049049080137E-2</v>
      </c>
      <c r="T40" s="145">
        <v>3.4627921871383698E-4</v>
      </c>
      <c r="U40" s="144">
        <v>7.5141503237189664E-3</v>
      </c>
      <c r="V40" s="146">
        <v>1.727769122997342E-2</v>
      </c>
      <c r="W40" s="146">
        <v>5.033299753336358E-2</v>
      </c>
      <c r="X40" s="146">
        <v>2.6502429462380319E-2</v>
      </c>
      <c r="Y40" s="146">
        <v>7.7509912741206388E-2</v>
      </c>
      <c r="Z40" s="144">
        <v>1.1120563019370984E-2</v>
      </c>
      <c r="AA40" s="144">
        <v>1.6977411225809712E-2</v>
      </c>
      <c r="AB40" s="145">
        <v>5.482576075390571E-2</v>
      </c>
      <c r="AC40" s="145">
        <v>3.2342829501924792E-3</v>
      </c>
      <c r="AD40" s="144">
        <v>2.7946600818171116E-2</v>
      </c>
      <c r="AE40" s="144">
        <v>6.5423509688374221E-4</v>
      </c>
      <c r="AF40" s="232">
        <v>2.4850431010763115E-3</v>
      </c>
      <c r="AG40" s="144">
        <v>4.9524140008986818E-3</v>
      </c>
      <c r="AH40" s="232">
        <v>6.4524252129765656E-3</v>
      </c>
      <c r="AI40" s="144">
        <v>6.6802224889875418E-3</v>
      </c>
      <c r="AJ40" s="232">
        <v>4.8454377357148269E-3</v>
      </c>
      <c r="AK40" s="145">
        <v>6.5873107242693527E-3</v>
      </c>
      <c r="AL40" s="145">
        <v>1.2696997017272831E-2</v>
      </c>
      <c r="AM40" s="145">
        <v>3.7707432568789202E-2</v>
      </c>
      <c r="AN40" s="144">
        <v>7.1495472330733084E-2</v>
      </c>
      <c r="AO40" s="146">
        <v>5.8107711361798349E-3</v>
      </c>
      <c r="AP40" s="146">
        <v>0.72744743884328478</v>
      </c>
      <c r="AQ40" s="146">
        <v>0</v>
      </c>
      <c r="AR40" s="146">
        <v>3.4564096582523143E-2</v>
      </c>
      <c r="AS40" s="146">
        <v>0</v>
      </c>
      <c r="AT40" s="146">
        <v>0</v>
      </c>
      <c r="AU40" s="146">
        <v>0.11225634822934653</v>
      </c>
      <c r="AV40" s="146">
        <v>5.7642336978894187E-3</v>
      </c>
      <c r="AW40" s="146">
        <v>1.1427458427598465E-2</v>
      </c>
      <c r="AX40" s="146">
        <v>4.9524140008986818E-3</v>
      </c>
      <c r="AY40" s="232">
        <v>8.3192986619182133E-2</v>
      </c>
      <c r="AZ40" s="144">
        <v>0.29117545316713744</v>
      </c>
      <c r="BA40" s="232">
        <v>5.0976930121282961E-3</v>
      </c>
      <c r="BB40" s="145">
        <v>4.9907310084580702E-3</v>
      </c>
      <c r="BC40" s="144">
        <v>1.2516616489855728E-2</v>
      </c>
      <c r="BD40" s="232">
        <v>5.1127845677701672E-3</v>
      </c>
      <c r="BE40" s="145">
        <v>4.4496138327525997E-2</v>
      </c>
      <c r="BF40" s="145">
        <v>4.8005187446684111E-2</v>
      </c>
      <c r="BG40" s="145">
        <v>4.6381710308114832E-2</v>
      </c>
      <c r="BH40" s="145">
        <v>4.794266237203347E-2</v>
      </c>
      <c r="BI40" s="145">
        <v>4.6867297437431531E-2</v>
      </c>
      <c r="BJ40" s="145">
        <v>1.748013754520222E-2</v>
      </c>
      <c r="BK40" s="145">
        <v>3.9813584951540176E-3</v>
      </c>
      <c r="BL40" s="145">
        <v>8.6317024595772736E-3</v>
      </c>
      <c r="BM40" s="145">
        <v>5.853982048332846E-2</v>
      </c>
      <c r="BN40" s="145">
        <v>5.9115257191142745E-2</v>
      </c>
      <c r="BO40" s="145">
        <v>5.0255831808583451E-2</v>
      </c>
      <c r="BP40" s="144">
        <v>5.056375418570372E-3</v>
      </c>
      <c r="BQ40" s="146">
        <v>3.0612132463760332E-2</v>
      </c>
      <c r="BR40" s="146">
        <v>8.3980602526084174E-3</v>
      </c>
      <c r="BS40" s="232">
        <v>7.6244946336311126E-2</v>
      </c>
      <c r="BT40" s="145">
        <v>7.9795224927443702E-4</v>
      </c>
      <c r="BU40" s="144">
        <v>2.853470997566479E-3</v>
      </c>
      <c r="BV40" s="146">
        <v>0.12110378019457012</v>
      </c>
      <c r="BW40" s="146">
        <v>1.7643193292884538E-3</v>
      </c>
      <c r="BX40" s="146">
        <v>1.0696906145368912</v>
      </c>
      <c r="BY40" s="146">
        <v>0.18496717062002818</v>
      </c>
      <c r="BZ40" s="146">
        <v>4.119314986229778E-2</v>
      </c>
    </row>
    <row r="41" spans="1:78" x14ac:dyDescent="0.35">
      <c r="A41" s="50" t="s">
        <v>1520</v>
      </c>
      <c r="B41" s="145">
        <v>0.27934603028312743</v>
      </c>
      <c r="C41" s="145">
        <v>0.3104458628717558</v>
      </c>
      <c r="D41" s="145">
        <v>0.28755638608652534</v>
      </c>
      <c r="E41" s="144">
        <v>0.43912769464754386</v>
      </c>
      <c r="F41" s="146">
        <v>5.176140172403982E-2</v>
      </c>
      <c r="G41" s="145">
        <v>1.110514480963896</v>
      </c>
      <c r="H41" s="145">
        <v>0.15710655450471223</v>
      </c>
      <c r="I41" s="144">
        <v>1.0056396090533859</v>
      </c>
      <c r="J41" s="145">
        <v>1.2055152812648557</v>
      </c>
      <c r="K41" s="145">
        <v>0.15487312846975704</v>
      </c>
      <c r="L41" s="144">
        <v>0.31246945138902182</v>
      </c>
      <c r="M41" s="232">
        <v>0.10606491037056918</v>
      </c>
      <c r="N41" s="145">
        <v>4.6219347847373894E-4</v>
      </c>
      <c r="O41" s="144">
        <v>2.8974927039339512E-2</v>
      </c>
      <c r="P41" s="232">
        <v>0.59140472608437311</v>
      </c>
      <c r="Q41" s="145">
        <v>8.4732208729907513E-2</v>
      </c>
      <c r="R41" s="144">
        <v>0.36846881844840823</v>
      </c>
      <c r="S41" s="232">
        <v>0.47458794667762327</v>
      </c>
      <c r="T41" s="145">
        <v>1.3067199828588436E-2</v>
      </c>
      <c r="U41" s="144">
        <v>0.27151881806404798</v>
      </c>
      <c r="V41" s="146">
        <v>0.59140472608437311</v>
      </c>
      <c r="W41" s="146">
        <v>2.0781294394446155</v>
      </c>
      <c r="X41" s="146">
        <v>1.0947879196620145</v>
      </c>
      <c r="Y41" s="146">
        <v>3.4275645499856298</v>
      </c>
      <c r="Z41" s="144">
        <v>0.45832612137850942</v>
      </c>
      <c r="AA41" s="144">
        <v>0.76754476820810769</v>
      </c>
      <c r="AB41" s="145">
        <v>2.4761735118040673</v>
      </c>
      <c r="AC41" s="145">
        <v>0.14631142093263139</v>
      </c>
      <c r="AD41" s="144">
        <v>1.2623153624600492</v>
      </c>
      <c r="AE41" s="144">
        <v>6.8749309365062758E-3</v>
      </c>
      <c r="AF41" s="232">
        <v>0.10922003480560738</v>
      </c>
      <c r="AG41" s="144">
        <v>0.21700080487064777</v>
      </c>
      <c r="AH41" s="232">
        <v>0.27744681706049379</v>
      </c>
      <c r="AI41" s="144">
        <v>0.25814706592908943</v>
      </c>
      <c r="AJ41" s="232">
        <v>0.19737492872817813</v>
      </c>
      <c r="AK41" s="145">
        <v>0.2566223937429139</v>
      </c>
      <c r="AL41" s="145">
        <v>0.53533219838329948</v>
      </c>
      <c r="AM41" s="145">
        <v>1.5183996111484739</v>
      </c>
      <c r="AN41" s="144">
        <v>2.9503722814988014</v>
      </c>
      <c r="AO41" s="146">
        <v>0.14837880742207343</v>
      </c>
      <c r="AP41" s="146">
        <v>38.628225540866389</v>
      </c>
      <c r="AQ41" s="146">
        <v>0</v>
      </c>
      <c r="AR41" s="146">
        <v>1.5584519176955394</v>
      </c>
      <c r="AS41" s="146">
        <v>0</v>
      </c>
      <c r="AT41" s="146">
        <v>0</v>
      </c>
      <c r="AU41" s="146">
        <v>5.1159361114498392</v>
      </c>
      <c r="AV41" s="146">
        <v>0.25187173269560381</v>
      </c>
      <c r="AW41" s="146">
        <v>0.21731088170242571</v>
      </c>
      <c r="AX41" s="146">
        <v>0.21700080487064777</v>
      </c>
      <c r="AY41" s="232">
        <v>3.4712240114964312</v>
      </c>
      <c r="AZ41" s="144">
        <v>12.149284040237509</v>
      </c>
      <c r="BA41" s="232">
        <v>0.23110881842551229</v>
      </c>
      <c r="BB41" s="145">
        <v>0.22625959305516569</v>
      </c>
      <c r="BC41" s="144">
        <v>0.3071410507501508</v>
      </c>
      <c r="BD41" s="232">
        <v>0.19041448467515668</v>
      </c>
      <c r="BE41" s="145">
        <v>1.847119280175386</v>
      </c>
      <c r="BF41" s="145">
        <v>2.0008887575590419</v>
      </c>
      <c r="BG41" s="145">
        <v>1.9053140679206326</v>
      </c>
      <c r="BH41" s="145">
        <v>1.9489279394627002</v>
      </c>
      <c r="BI41" s="145">
        <v>1.8861344598194942</v>
      </c>
      <c r="BJ41" s="145">
        <v>0.62835713988613817</v>
      </c>
      <c r="BK41" s="145">
        <v>5.2930873827244977E-2</v>
      </c>
      <c r="BL41" s="145">
        <v>0.22935274982516946</v>
      </c>
      <c r="BM41" s="145">
        <v>2.4180744454182719</v>
      </c>
      <c r="BN41" s="145">
        <v>2.4767216402143872</v>
      </c>
      <c r="BO41" s="145">
        <v>2.0300506575757251</v>
      </c>
      <c r="BP41" s="144">
        <v>0.13549835145348937</v>
      </c>
      <c r="BQ41" s="146">
        <v>1.3996967230017676</v>
      </c>
      <c r="BR41" s="146">
        <v>0.37507980630509469</v>
      </c>
      <c r="BS41" s="232">
        <v>3.3392533033245746</v>
      </c>
      <c r="BT41" s="145">
        <v>3.1375055728202809E-2</v>
      </c>
      <c r="BU41" s="144">
        <v>0.11187257059971616</v>
      </c>
      <c r="BV41" s="146">
        <v>5.5050581706975601</v>
      </c>
      <c r="BW41" s="146">
        <v>3.0675898717852462E-2</v>
      </c>
      <c r="BX41" s="146">
        <v>50.421534453282106</v>
      </c>
      <c r="BY41" s="146">
        <v>9.127599488379694</v>
      </c>
      <c r="BZ41" s="146">
        <v>0.85524257219736022</v>
      </c>
    </row>
    <row r="42" spans="1:78" x14ac:dyDescent="0.35">
      <c r="A42" s="50" t="s">
        <v>1519</v>
      </c>
      <c r="B42" s="145">
        <v>3.6283830995100902E-4</v>
      </c>
      <c r="C42" s="145">
        <v>4.096036940825406E-4</v>
      </c>
      <c r="D42" s="145">
        <v>3.7518437136173339E-4</v>
      </c>
      <c r="E42" s="144">
        <v>5.7857233061327381E-4</v>
      </c>
      <c r="F42" s="146">
        <v>1.2789511954917844E-4</v>
      </c>
      <c r="G42" s="145">
        <v>1.4561434678137383E-3</v>
      </c>
      <c r="H42" s="145">
        <v>2.1664644039972602E-4</v>
      </c>
      <c r="I42" s="144">
        <v>1.3197987947981969E-3</v>
      </c>
      <c r="J42" s="145">
        <v>1.5826351153328307E-3</v>
      </c>
      <c r="K42" s="145">
        <v>2.1672678887092069E-4</v>
      </c>
      <c r="L42" s="144">
        <v>4.2161303784020719E-4</v>
      </c>
      <c r="M42" s="232">
        <v>1.7038664002987409E-4</v>
      </c>
      <c r="N42" s="145">
        <v>5.5314163003543219E-6</v>
      </c>
      <c r="O42" s="144">
        <v>5.0042326707324659E-5</v>
      </c>
      <c r="P42" s="232">
        <v>1.3959268099448083E-3</v>
      </c>
      <c r="Q42" s="145">
        <v>1.709872869049093E-4</v>
      </c>
      <c r="R42" s="144">
        <v>8.569534198072528E-4</v>
      </c>
      <c r="S42" s="232">
        <v>1.0176657940929052E-3</v>
      </c>
      <c r="T42" s="145">
        <v>2.6369252963259454E-5</v>
      </c>
      <c r="U42" s="144">
        <v>5.8149531599586111E-4</v>
      </c>
      <c r="V42" s="146">
        <v>1.3959268099448083E-3</v>
      </c>
      <c r="W42" s="146">
        <v>3.3872400565152249E-3</v>
      </c>
      <c r="X42" s="146">
        <v>1.7718359843377684E-3</v>
      </c>
      <c r="Y42" s="146">
        <v>4.7664478632326616E-3</v>
      </c>
      <c r="Z42" s="144">
        <v>7.4275241526211848E-4</v>
      </c>
      <c r="AA42" s="144">
        <v>1.0233569941593573E-3</v>
      </c>
      <c r="AB42" s="145">
        <v>3.3649709257160469E-3</v>
      </c>
      <c r="AC42" s="145">
        <v>1.9846543344042588E-4</v>
      </c>
      <c r="AD42" s="144">
        <v>1.7152215642404483E-3</v>
      </c>
      <c r="AE42" s="144">
        <v>8.1410066405236353E-5</v>
      </c>
      <c r="AF42" s="232">
        <v>1.6186322227294112E-4</v>
      </c>
      <c r="AG42" s="144">
        <v>3.1797177143228167E-4</v>
      </c>
      <c r="AH42" s="232">
        <v>4.4535965613119234E-4</v>
      </c>
      <c r="AI42" s="144">
        <v>5.0731692154576467E-4</v>
      </c>
      <c r="AJ42" s="232">
        <v>3.6407381570431054E-4</v>
      </c>
      <c r="AK42" s="145">
        <v>4.9915870805187904E-4</v>
      </c>
      <c r="AL42" s="145">
        <v>8.520977961568837E-4</v>
      </c>
      <c r="AM42" s="145">
        <v>2.6528758443020895E-3</v>
      </c>
      <c r="AN42" s="144">
        <v>4.8810939947715615E-3</v>
      </c>
      <c r="AO42" s="146">
        <v>5.3755530388220217E-4</v>
      </c>
      <c r="AP42" s="146">
        <v>3.280523004827296E-2</v>
      </c>
      <c r="AQ42" s="146">
        <v>0</v>
      </c>
      <c r="AR42" s="146">
        <v>2.1483271111725341E-3</v>
      </c>
      <c r="AS42" s="146">
        <v>0</v>
      </c>
      <c r="AT42" s="146">
        <v>0</v>
      </c>
      <c r="AU42" s="146">
        <v>6.6878213357001682E-3</v>
      </c>
      <c r="AV42" s="146">
        <v>3.6315805414590004E-4</v>
      </c>
      <c r="AW42" s="146">
        <v>1.1746861753986712E-3</v>
      </c>
      <c r="AX42" s="146">
        <v>3.1797177143228167E-4</v>
      </c>
      <c r="AY42" s="232">
        <v>5.6095339588772128E-3</v>
      </c>
      <c r="AZ42" s="144">
        <v>1.9633368856070244E-2</v>
      </c>
      <c r="BA42" s="232">
        <v>3.1014562976102692E-4</v>
      </c>
      <c r="BB42" s="145">
        <v>3.0363801976766782E-4</v>
      </c>
      <c r="BC42" s="144">
        <v>1.1731283184898791E-3</v>
      </c>
      <c r="BD42" s="232">
        <v>3.8785785098786153E-4</v>
      </c>
      <c r="BE42" s="145">
        <v>3.0008544958596071E-3</v>
      </c>
      <c r="BF42" s="145">
        <v>3.2181872869188207E-3</v>
      </c>
      <c r="BG42" s="145">
        <v>3.1653667707713033E-3</v>
      </c>
      <c r="BH42" s="145">
        <v>3.303008360228385E-3</v>
      </c>
      <c r="BI42" s="145">
        <v>3.1452457035380669E-3</v>
      </c>
      <c r="BJ42" s="145">
        <v>1.3474701377804116E-3</v>
      </c>
      <c r="BK42" s="145">
        <v>4.8412299252935951E-4</v>
      </c>
      <c r="BL42" s="145">
        <v>8.3807941844194465E-4</v>
      </c>
      <c r="BM42" s="145">
        <v>3.936404489423527E-3</v>
      </c>
      <c r="BN42" s="145">
        <v>3.9082699952763048E-3</v>
      </c>
      <c r="BO42" s="145">
        <v>3.4908328492509739E-3</v>
      </c>
      <c r="BP42" s="144">
        <v>3.2265891952521717E-4</v>
      </c>
      <c r="BQ42" s="146">
        <v>1.9047933717326506E-3</v>
      </c>
      <c r="BR42" s="146">
        <v>5.1963728533394461E-4</v>
      </c>
      <c r="BS42" s="232">
        <v>4.7922621185060073E-3</v>
      </c>
      <c r="BT42" s="145">
        <v>5.6741105824992958E-5</v>
      </c>
      <c r="BU42" s="144">
        <v>2.0378106935634905E-4</v>
      </c>
      <c r="BV42" s="146">
        <v>7.2898284817364874E-3</v>
      </c>
      <c r="BW42" s="146">
        <v>1.8584695742738478E-4</v>
      </c>
      <c r="BX42" s="146">
        <v>6.6313427495473976E-2</v>
      </c>
      <c r="BY42" s="146">
        <v>1.2021426702748268E-2</v>
      </c>
      <c r="BZ42" s="146">
        <v>4.3184258475701606E-3</v>
      </c>
    </row>
    <row r="43" spans="1:78" x14ac:dyDescent="0.35">
      <c r="A43" s="46" t="s">
        <v>1518</v>
      </c>
      <c r="B43" s="142">
        <v>1.0645106522900521E-3</v>
      </c>
      <c r="C43" s="142">
        <v>1.0496233932179556E-3</v>
      </c>
      <c r="D43" s="142">
        <v>1.0605804158950185E-3</v>
      </c>
      <c r="E43" s="141">
        <v>1.4835234204640261E-3</v>
      </c>
      <c r="F43" s="143">
        <v>3.8719391972021349E-4</v>
      </c>
      <c r="G43" s="142">
        <v>3.0897025082592027E-3</v>
      </c>
      <c r="H43" s="142">
        <v>4.9280286665926538E-4</v>
      </c>
      <c r="I43" s="141">
        <v>2.8040435476832095E-3</v>
      </c>
      <c r="J43" s="142">
        <v>3.3459677439921106E-3</v>
      </c>
      <c r="K43" s="142">
        <v>4.8422078938444452E-4</v>
      </c>
      <c r="L43" s="141">
        <v>9.1348283257559437E-4</v>
      </c>
      <c r="M43" s="231">
        <v>5.1298369792528089E-4</v>
      </c>
      <c r="N43" s="142">
        <v>3.8281489649720037E-5</v>
      </c>
      <c r="O43" s="141">
        <v>1.6645108588412148E-4</v>
      </c>
      <c r="P43" s="231">
        <v>2.9845722606951781E-3</v>
      </c>
      <c r="Q43" s="142">
        <v>3.7744215722634465E-4</v>
      </c>
      <c r="R43" s="141">
        <v>1.8374350151688914E-3</v>
      </c>
      <c r="S43" s="231">
        <v>2.2307096447557501E-3</v>
      </c>
      <c r="T43" s="142">
        <v>5.8208232337383608E-5</v>
      </c>
      <c r="U43" s="141">
        <v>1.274809023291669E-3</v>
      </c>
      <c r="V43" s="143">
        <v>2.9845722606951781E-3</v>
      </c>
      <c r="W43" s="143">
        <v>7.6292701939512948E-3</v>
      </c>
      <c r="X43" s="143">
        <v>3.9475956698631267E-3</v>
      </c>
      <c r="Y43" s="143">
        <v>1.0504712115898455E-2</v>
      </c>
      <c r="Z43" s="141">
        <v>1.7165751607424577E-3</v>
      </c>
      <c r="AA43" s="141">
        <v>2.6075804296586238E-3</v>
      </c>
      <c r="AB43" s="142">
        <v>8.5100087507094576E-3</v>
      </c>
      <c r="AC43" s="142">
        <v>5.0250491527045651E-4</v>
      </c>
      <c r="AD43" s="141">
        <v>4.3380992524457377E-3</v>
      </c>
      <c r="AE43" s="141">
        <v>2.9310588977700419E-4</v>
      </c>
      <c r="AF43" s="231">
        <v>4.0137343361761226E-4</v>
      </c>
      <c r="AG43" s="141">
        <v>7.9757401970970479E-4</v>
      </c>
      <c r="AH43" s="231">
        <v>1.0685373805359602E-3</v>
      </c>
      <c r="AI43" s="141">
        <v>1.1681265986211082E-3</v>
      </c>
      <c r="AJ43" s="142">
        <v>8.5222776530533408E-4</v>
      </c>
      <c r="AK43" s="142">
        <v>1.129613697874078E-3</v>
      </c>
      <c r="AL43" s="142">
        <v>2.0388723999101911E-3</v>
      </c>
      <c r="AM43" s="142">
        <v>6.1099735129868356E-3</v>
      </c>
      <c r="AN43" s="141">
        <v>1.146790354770272E-2</v>
      </c>
      <c r="AO43" s="143">
        <v>9.7580209789692885E-4</v>
      </c>
      <c r="AP43" s="143">
        <v>6.7139014577893619E-2</v>
      </c>
      <c r="AQ43" s="143">
        <v>0</v>
      </c>
      <c r="AR43" s="143">
        <v>5.4020541728961174E-3</v>
      </c>
      <c r="AS43" s="143">
        <v>0</v>
      </c>
      <c r="AT43" s="143">
        <v>0</v>
      </c>
      <c r="AU43" s="143">
        <v>1.7207368783274835E-2</v>
      </c>
      <c r="AV43" s="143">
        <v>8.9014461904918577E-4</v>
      </c>
      <c r="AW43" s="143">
        <v>1.9638241624978991E-3</v>
      </c>
      <c r="AX43" s="143">
        <v>7.9757401970970479E-4</v>
      </c>
      <c r="AY43" s="231">
        <v>1.3301732246192667E-2</v>
      </c>
      <c r="AZ43" s="141">
        <v>4.6556062861674338E-2</v>
      </c>
      <c r="BA43" s="231">
        <v>7.8891522479876972E-4</v>
      </c>
      <c r="BB43" s="142">
        <v>7.7236186370588736E-4</v>
      </c>
      <c r="BC43" s="141">
        <v>2.1031673786813779E-3</v>
      </c>
      <c r="BD43" s="231">
        <v>8.3376156158772861E-4</v>
      </c>
      <c r="BE43" s="142">
        <v>7.1750818094746954E-3</v>
      </c>
      <c r="BF43" s="142">
        <v>7.647725277994127E-3</v>
      </c>
      <c r="BG43" s="142">
        <v>7.5132281443651824E-3</v>
      </c>
      <c r="BH43" s="142">
        <v>7.8254243793599455E-3</v>
      </c>
      <c r="BI43" s="142">
        <v>8.0958913349931071E-3</v>
      </c>
      <c r="BJ43" s="142">
        <v>2.983606893838539E-3</v>
      </c>
      <c r="BK43" s="142">
        <v>1.0649166255693159E-3</v>
      </c>
      <c r="BL43" s="142">
        <v>2.2770270815555848E-3</v>
      </c>
      <c r="BM43" s="142">
        <v>9.0194585091382465E-3</v>
      </c>
      <c r="BN43" s="142">
        <v>9.0454455411139237E-3</v>
      </c>
      <c r="BO43" s="142">
        <v>8.2643829335277367E-3</v>
      </c>
      <c r="BP43" s="141">
        <v>7.8675592117200422E-4</v>
      </c>
      <c r="BQ43" s="143">
        <v>3.4857929640698046E-3</v>
      </c>
      <c r="BR43" s="143">
        <v>1.302921549082276E-3</v>
      </c>
      <c r="BS43" s="231">
        <v>1.2807053676461301E-2</v>
      </c>
      <c r="BT43" s="142">
        <v>1.2849444097591165E-4</v>
      </c>
      <c r="BU43" s="141">
        <v>4.6029239784896601E-4</v>
      </c>
      <c r="BV43" s="143">
        <v>1.8650844711386953E-2</v>
      </c>
      <c r="BW43" s="143">
        <v>3.0530279495812626E-4</v>
      </c>
      <c r="BX43" s="143">
        <v>0.16964939006695587</v>
      </c>
      <c r="BY43" s="143">
        <v>3.0552224740757201E-2</v>
      </c>
      <c r="BZ43" s="143">
        <v>6.934273627560536E-3</v>
      </c>
    </row>
  </sheetData>
  <printOptions headings="1"/>
  <pageMargins left="0.2" right="0.21" top="1" bottom="1" header="0.5" footer="0.5"/>
  <pageSetup orientation="landscape" r:id="rId1"/>
  <headerFooter alignWithMargins="0">
    <oddHeader>&amp;A</oddHeader>
    <oddFooter>Page &amp;P</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F223"/>
  <sheetViews>
    <sheetView showGridLines="0" zoomScale="85" zoomScaleNormal="85" workbookViewId="0">
      <selection activeCell="G1" sqref="G1"/>
    </sheetView>
  </sheetViews>
  <sheetFormatPr defaultColWidth="9.1328125" defaultRowHeight="12.75" x14ac:dyDescent="0.35"/>
  <cols>
    <col min="1" max="1" width="1.796875" style="39" customWidth="1"/>
    <col min="2" max="2" width="32.46484375" style="39" bestFit="1" customWidth="1"/>
    <col min="3" max="3" width="14" style="39" customWidth="1"/>
    <col min="4" max="4" width="14.46484375" style="39" customWidth="1"/>
    <col min="5" max="5" width="14.1328125" style="39" customWidth="1"/>
    <col min="6" max="6" width="11.86328125" style="39" bestFit="1" customWidth="1"/>
    <col min="7" max="7" width="10.19921875" style="39" bestFit="1" customWidth="1"/>
    <col min="8" max="8" width="10.46484375" style="39" bestFit="1" customWidth="1"/>
    <col min="9" max="9" width="11.46484375" style="39" bestFit="1" customWidth="1"/>
    <col min="10" max="10" width="10.46484375" style="39" bestFit="1" customWidth="1"/>
    <col min="11" max="11" width="13.19921875" style="39" customWidth="1"/>
    <col min="12" max="12" width="11.19921875" style="39" customWidth="1"/>
    <col min="13" max="13" width="14" style="39" customWidth="1"/>
    <col min="14" max="14" width="14.46484375" style="39" customWidth="1"/>
    <col min="15" max="15" width="14.1328125" style="39" customWidth="1"/>
    <col min="16" max="16" width="11.86328125" style="39" bestFit="1" customWidth="1"/>
    <col min="17" max="17" width="10.19921875" style="39" bestFit="1" customWidth="1"/>
    <col min="18" max="18" width="12.19921875" style="39" customWidth="1"/>
    <col min="19" max="19" width="11.46484375" style="39" bestFit="1" customWidth="1"/>
    <col min="20" max="20" width="11.86328125" style="39" customWidth="1"/>
    <col min="21" max="21" width="13.19921875" style="39" customWidth="1"/>
    <col min="22" max="22" width="11.19921875" style="39" customWidth="1"/>
    <col min="23" max="23" width="14" style="39" customWidth="1"/>
    <col min="24" max="24" width="14.46484375" style="39" customWidth="1"/>
    <col min="25" max="25" width="14.1328125" style="39" customWidth="1"/>
    <col min="26" max="26" width="11.86328125" style="39" bestFit="1" customWidth="1"/>
    <col min="27" max="27" width="10.19921875" style="39" bestFit="1" customWidth="1"/>
    <col min="28" max="28" width="10.46484375" style="39" bestFit="1" customWidth="1"/>
    <col min="29" max="29" width="11.46484375" style="39" bestFit="1" customWidth="1"/>
    <col min="30" max="30" width="10.46484375" style="39" bestFit="1" customWidth="1"/>
    <col min="31" max="31" width="13.19921875" style="39" customWidth="1"/>
    <col min="32" max="32" width="11.19921875" style="39" customWidth="1"/>
    <col min="33" max="33" width="11.1328125" style="39" customWidth="1"/>
    <col min="34" max="34" width="11.86328125" style="39" customWidth="1"/>
    <col min="35" max="35" width="10.796875" style="39" customWidth="1"/>
    <col min="36" max="36" width="11.86328125" style="39" customWidth="1"/>
    <col min="37" max="16384" width="9.1328125" style="39"/>
  </cols>
  <sheetData>
    <row r="1" spans="1:25" ht="15" x14ac:dyDescent="0.4">
      <c r="A1" s="649" t="s">
        <v>2223</v>
      </c>
      <c r="G1" s="230" t="s">
        <v>1561</v>
      </c>
    </row>
    <row r="2" spans="1:25" ht="13.9" x14ac:dyDescent="0.4">
      <c r="A2" s="72" t="s">
        <v>2222</v>
      </c>
    </row>
    <row r="3" spans="1:25" ht="38.25" x14ac:dyDescent="0.35">
      <c r="B3" s="91"/>
      <c r="C3" s="103" t="s">
        <v>1481</v>
      </c>
      <c r="D3" s="103" t="s">
        <v>1480</v>
      </c>
      <c r="E3" s="103" t="s">
        <v>1479</v>
      </c>
      <c r="F3" s="103" t="s">
        <v>1478</v>
      </c>
      <c r="G3" s="103" t="s">
        <v>1477</v>
      </c>
      <c r="H3" s="103" t="s">
        <v>1476</v>
      </c>
      <c r="I3" s="103" t="s">
        <v>1475</v>
      </c>
      <c r="J3" s="103" t="s">
        <v>1474</v>
      </c>
      <c r="K3" s="103" t="s">
        <v>1473</v>
      </c>
      <c r="L3" s="86" t="s">
        <v>1472</v>
      </c>
      <c r="N3" s="87" t="s">
        <v>2183</v>
      </c>
      <c r="O3" s="103" t="s">
        <v>2182</v>
      </c>
      <c r="P3" s="103" t="s">
        <v>2181</v>
      </c>
      <c r="Q3" s="103" t="s">
        <v>2180</v>
      </c>
      <c r="R3" s="103" t="s">
        <v>2179</v>
      </c>
      <c r="S3" s="103" t="s">
        <v>2178</v>
      </c>
      <c r="T3" s="103" t="s">
        <v>2177</v>
      </c>
      <c r="U3" s="86" t="s">
        <v>2176</v>
      </c>
      <c r="V3" s="103" t="s">
        <v>2175</v>
      </c>
      <c r="W3" s="103" t="s">
        <v>2174</v>
      </c>
      <c r="X3" s="103" t="s">
        <v>2173</v>
      </c>
      <c r="Y3" s="86" t="s">
        <v>2172</v>
      </c>
    </row>
    <row r="4" spans="1:25" x14ac:dyDescent="0.35">
      <c r="B4" s="110" t="s">
        <v>2155</v>
      </c>
      <c r="C4" s="648">
        <v>3183.4712800000002</v>
      </c>
      <c r="D4" s="648">
        <v>2692.4687400000003</v>
      </c>
      <c r="E4" s="648">
        <v>3429.0623842499999</v>
      </c>
      <c r="F4" s="648">
        <v>2838.7506116</v>
      </c>
      <c r="G4" s="596">
        <v>3755.9311881404592</v>
      </c>
      <c r="H4" s="596">
        <v>3040.8240169871879</v>
      </c>
      <c r="I4" s="596">
        <v>3323.9268636545398</v>
      </c>
      <c r="J4" s="596">
        <v>2699.6322482577566</v>
      </c>
      <c r="K4" s="648">
        <v>3643.971348</v>
      </c>
      <c r="L4" s="647">
        <v>2930.3226395000002</v>
      </c>
      <c r="N4" s="350">
        <v>3328.9223999999999</v>
      </c>
      <c r="O4" s="646">
        <v>2760.1304399999995</v>
      </c>
      <c r="P4" s="646">
        <v>3335.5362599999999</v>
      </c>
      <c r="Q4" s="646">
        <v>2760.1304399999999</v>
      </c>
      <c r="R4" s="646">
        <v>3465.6088399999999</v>
      </c>
      <c r="S4" s="646">
        <v>2835.0875199999996</v>
      </c>
      <c r="T4" s="646">
        <v>3494.2689</v>
      </c>
      <c r="U4" s="645">
        <v>2839.4967599999995</v>
      </c>
      <c r="V4" s="646">
        <v>2885.7937799999995</v>
      </c>
      <c r="W4" s="646">
        <v>2350.0711199999996</v>
      </c>
      <c r="X4" s="646">
        <v>2954.1369999999993</v>
      </c>
      <c r="Y4" s="645">
        <v>2383.1404199999997</v>
      </c>
    </row>
    <row r="5" spans="1:25" x14ac:dyDescent="0.35">
      <c r="B5" s="110" t="s">
        <v>2154</v>
      </c>
      <c r="C5" s="644">
        <v>3169.8820023199996</v>
      </c>
      <c r="D5" s="644">
        <v>2475.5406811739995</v>
      </c>
      <c r="E5" s="48" t="e">
        <v>#N/A</v>
      </c>
      <c r="F5" s="48" t="e">
        <v>#N/A</v>
      </c>
      <c r="G5" s="48" t="e">
        <v>#N/A</v>
      </c>
      <c r="H5" s="48" t="e">
        <v>#N/A</v>
      </c>
      <c r="I5" s="48" t="e">
        <v>#N/A</v>
      </c>
      <c r="J5" s="48" t="e">
        <v>#N/A</v>
      </c>
      <c r="K5" s="48" t="e">
        <v>#N/A</v>
      </c>
      <c r="L5" s="47" t="e">
        <v>#N/A</v>
      </c>
    </row>
    <row r="6" spans="1:25" x14ac:dyDescent="0.35">
      <c r="B6" s="108" t="s">
        <v>2153</v>
      </c>
      <c r="C6" s="44">
        <v>3183.4712800000002</v>
      </c>
      <c r="D6" s="44">
        <v>2692.4687400000003</v>
      </c>
      <c r="E6" s="44">
        <v>3429.0623842499999</v>
      </c>
      <c r="F6" s="44">
        <v>2838.7506116</v>
      </c>
      <c r="G6" s="44">
        <v>3755.9311881404592</v>
      </c>
      <c r="H6" s="44">
        <v>3040.8240169871879</v>
      </c>
      <c r="I6" s="44">
        <v>3323.9268636545398</v>
      </c>
      <c r="J6" s="44">
        <v>2699.6322482577566</v>
      </c>
      <c r="K6" s="44">
        <v>3643.971348</v>
      </c>
      <c r="L6" s="43">
        <v>2930.3226395000002</v>
      </c>
    </row>
    <row r="7" spans="1:25" x14ac:dyDescent="0.35">
      <c r="D7" s="48"/>
      <c r="F7" s="176"/>
      <c r="G7" s="562"/>
      <c r="H7" s="176"/>
      <c r="J7" s="176"/>
      <c r="L7" s="176"/>
    </row>
    <row r="8" spans="1:25" ht="13.9" x14ac:dyDescent="0.4">
      <c r="A8" s="72" t="s">
        <v>2221</v>
      </c>
    </row>
    <row r="9" spans="1:25" ht="13.15" x14ac:dyDescent="0.4">
      <c r="A9" s="41" t="s">
        <v>2220</v>
      </c>
      <c r="N9" s="39" t="s">
        <v>2219</v>
      </c>
    </row>
    <row r="10" spans="1:25" ht="42" customHeight="1" x14ac:dyDescent="0.4">
      <c r="A10" s="41"/>
      <c r="B10" s="91"/>
      <c r="C10" s="103" t="s">
        <v>1481</v>
      </c>
      <c r="D10" s="103" t="s">
        <v>1480</v>
      </c>
      <c r="E10" s="103" t="s">
        <v>1479</v>
      </c>
      <c r="F10" s="103" t="s">
        <v>1478</v>
      </c>
      <c r="G10" s="103" t="s">
        <v>1477</v>
      </c>
      <c r="H10" s="103" t="s">
        <v>1476</v>
      </c>
      <c r="I10" s="103" t="s">
        <v>1475</v>
      </c>
      <c r="J10" s="103" t="s">
        <v>1474</v>
      </c>
      <c r="K10" s="103" t="s">
        <v>1473</v>
      </c>
      <c r="L10" s="86" t="s">
        <v>1472</v>
      </c>
      <c r="N10" s="87" t="s">
        <v>1481</v>
      </c>
      <c r="O10" s="103" t="s">
        <v>1479</v>
      </c>
      <c r="P10" s="103" t="s">
        <v>1477</v>
      </c>
      <c r="Q10" s="103" t="s">
        <v>1475</v>
      </c>
      <c r="R10" s="86" t="s">
        <v>1473</v>
      </c>
      <c r="T10" s="87" t="s">
        <v>2183</v>
      </c>
      <c r="U10" s="103" t="s">
        <v>2181</v>
      </c>
      <c r="V10" s="103" t="s">
        <v>2179</v>
      </c>
      <c r="W10" s="86" t="s">
        <v>2177</v>
      </c>
      <c r="X10" s="103" t="s">
        <v>2175</v>
      </c>
      <c r="Y10" s="86" t="s">
        <v>2173</v>
      </c>
    </row>
    <row r="11" spans="1:25" ht="14.25" x14ac:dyDescent="0.45">
      <c r="A11" s="41"/>
      <c r="B11" s="368" t="s">
        <v>2218</v>
      </c>
      <c r="C11" s="643">
        <v>36</v>
      </c>
      <c r="D11" s="643">
        <v>23.400000000000002</v>
      </c>
      <c r="E11" s="643">
        <v>22.1</v>
      </c>
      <c r="F11" s="643">
        <v>14.365000000000002</v>
      </c>
      <c r="G11" s="643">
        <v>22.1</v>
      </c>
      <c r="H11" s="643">
        <v>14.365000000000002</v>
      </c>
      <c r="I11" s="643">
        <v>22.1</v>
      </c>
      <c r="J11" s="643">
        <v>14.365000000000002</v>
      </c>
      <c r="K11" s="643">
        <v>22.1</v>
      </c>
      <c r="L11" s="642">
        <v>14.365000000000002</v>
      </c>
      <c r="N11" s="641">
        <v>3183.4712799999998</v>
      </c>
      <c r="O11" s="640">
        <v>3379.6824599999995</v>
      </c>
      <c r="P11" s="640">
        <v>3981.5437199999997</v>
      </c>
      <c r="Q11" s="640">
        <v>3384.0916999999995</v>
      </c>
      <c r="R11" s="639">
        <v>3586.9167399999997</v>
      </c>
      <c r="T11" s="45">
        <v>3527.3919999999998</v>
      </c>
      <c r="U11" s="44">
        <v>3705.9662199999998</v>
      </c>
      <c r="V11" s="44">
        <v>3836.0387999999998</v>
      </c>
      <c r="W11" s="43">
        <v>3981.5437199999997</v>
      </c>
      <c r="X11" s="44">
        <v>3384.0916999999995</v>
      </c>
      <c r="Y11" s="43">
        <v>4268.1443199999994</v>
      </c>
    </row>
    <row r="12" spans="1:25" ht="13.15" x14ac:dyDescent="0.4">
      <c r="A12" s="41"/>
      <c r="B12" s="110" t="s">
        <v>2217</v>
      </c>
      <c r="E12" s="207">
        <v>89.063084250000017</v>
      </c>
      <c r="F12" s="207">
        <v>75.278271600000011</v>
      </c>
      <c r="G12" s="207">
        <v>635.31488941132079</v>
      </c>
      <c r="H12" s="207">
        <v>495.82055065471695</v>
      </c>
      <c r="I12" s="207">
        <v>912.86001882352946</v>
      </c>
      <c r="J12" s="207">
        <v>735.48752724923088</v>
      </c>
      <c r="K12" s="207">
        <v>105.55624800000001</v>
      </c>
      <c r="L12" s="206">
        <v>94.097839500000006</v>
      </c>
    </row>
    <row r="13" spans="1:25" ht="13.15" x14ac:dyDescent="0.4">
      <c r="A13" s="41"/>
      <c r="B13" s="108" t="s">
        <v>2216</v>
      </c>
      <c r="C13" s="83"/>
      <c r="D13" s="83"/>
      <c r="E13" s="205">
        <v>35.712010967304302</v>
      </c>
      <c r="F13" s="205">
        <v>30.184654883865775</v>
      </c>
      <c r="G13" s="205">
        <v>239.56228814045909</v>
      </c>
      <c r="H13" s="205">
        <v>186.96225698718817</v>
      </c>
      <c r="I13" s="205">
        <v>416.03308365454018</v>
      </c>
      <c r="J13" s="205">
        <v>335.19612825775687</v>
      </c>
      <c r="K13" s="205">
        <v>42.325346331619905</v>
      </c>
      <c r="L13" s="204">
        <v>37.730818604832216</v>
      </c>
    </row>
    <row r="14" spans="1:25" ht="13.15" x14ac:dyDescent="0.4">
      <c r="A14" s="41"/>
      <c r="B14" s="368" t="s">
        <v>2215</v>
      </c>
      <c r="C14" s="638">
        <v>27.337287999999997</v>
      </c>
      <c r="D14" s="638">
        <v>24.912205999999998</v>
      </c>
      <c r="E14" s="637">
        <v>0</v>
      </c>
      <c r="F14" s="637">
        <v>0</v>
      </c>
      <c r="G14" s="637">
        <v>0</v>
      </c>
      <c r="H14" s="637">
        <v>0</v>
      </c>
      <c r="I14" s="637">
        <v>0</v>
      </c>
      <c r="J14" s="637">
        <v>0</v>
      </c>
      <c r="K14" s="637">
        <v>0</v>
      </c>
      <c r="L14" s="636">
        <v>0</v>
      </c>
    </row>
    <row r="15" spans="1:25" ht="13.15" x14ac:dyDescent="0.4">
      <c r="A15" s="41"/>
      <c r="B15" s="110" t="s">
        <v>2214</v>
      </c>
      <c r="C15" s="552"/>
      <c r="D15" s="552"/>
      <c r="E15" s="635">
        <v>0</v>
      </c>
      <c r="F15" s="635">
        <v>0</v>
      </c>
      <c r="G15" s="635">
        <v>0</v>
      </c>
      <c r="H15" s="635">
        <v>0</v>
      </c>
      <c r="I15" s="635">
        <v>0</v>
      </c>
      <c r="J15" s="635">
        <v>0</v>
      </c>
      <c r="K15" s="635">
        <v>0</v>
      </c>
      <c r="L15" s="634">
        <v>0</v>
      </c>
    </row>
    <row r="16" spans="1:25" ht="13.15" x14ac:dyDescent="0.4">
      <c r="A16" s="41"/>
      <c r="B16" s="108" t="s">
        <v>2213</v>
      </c>
      <c r="C16" s="83"/>
      <c r="D16" s="83"/>
      <c r="E16" s="633">
        <v>0</v>
      </c>
      <c r="F16" s="633">
        <v>0</v>
      </c>
      <c r="G16" s="633">
        <v>0</v>
      </c>
      <c r="H16" s="633">
        <v>0</v>
      </c>
      <c r="I16" s="633">
        <v>0</v>
      </c>
      <c r="J16" s="633">
        <v>0</v>
      </c>
      <c r="K16" s="633">
        <v>0</v>
      </c>
      <c r="L16" s="632">
        <v>0</v>
      </c>
      <c r="M16" s="117"/>
      <c r="N16" s="552"/>
      <c r="O16" s="552"/>
      <c r="P16" s="552"/>
    </row>
    <row r="17" spans="1:13" ht="13.15" x14ac:dyDescent="0.4">
      <c r="A17" s="41"/>
      <c r="B17" s="368" t="s">
        <v>2212</v>
      </c>
      <c r="C17" s="631">
        <v>36</v>
      </c>
      <c r="D17" s="631">
        <v>23.400000000000002</v>
      </c>
      <c r="E17" s="631">
        <v>22.1</v>
      </c>
      <c r="F17" s="631">
        <v>14.365000000000002</v>
      </c>
      <c r="G17" s="631">
        <v>22.1</v>
      </c>
      <c r="H17" s="631">
        <v>14.365000000000002</v>
      </c>
      <c r="I17" s="631">
        <v>22.1</v>
      </c>
      <c r="J17" s="631">
        <v>14.365000000000002</v>
      </c>
      <c r="K17" s="631">
        <v>22.1</v>
      </c>
      <c r="L17" s="630">
        <v>14.365000000000002</v>
      </c>
      <c r="M17" s="59"/>
    </row>
    <row r="18" spans="1:13" ht="13.15" x14ac:dyDescent="0.4">
      <c r="A18" s="41"/>
      <c r="B18" s="110" t="s">
        <v>2211</v>
      </c>
      <c r="C18" s="207"/>
      <c r="D18" s="207"/>
      <c r="E18" s="207">
        <v>89.063084250000017</v>
      </c>
      <c r="F18" s="207">
        <v>75.278271600000011</v>
      </c>
      <c r="G18" s="207">
        <v>635.31488941132079</v>
      </c>
      <c r="H18" s="207">
        <v>495.82055065471695</v>
      </c>
      <c r="I18" s="207">
        <v>912.86001882352946</v>
      </c>
      <c r="J18" s="207">
        <v>735.48752724923088</v>
      </c>
      <c r="K18" s="207">
        <v>105.55624800000001</v>
      </c>
      <c r="L18" s="206">
        <v>94.097839500000006</v>
      </c>
    </row>
    <row r="19" spans="1:13" ht="13.15" x14ac:dyDescent="0.4">
      <c r="A19" s="41"/>
      <c r="B19" s="108" t="s">
        <v>2210</v>
      </c>
      <c r="C19" s="205"/>
      <c r="D19" s="205"/>
      <c r="E19" s="205">
        <v>35.712010967304302</v>
      </c>
      <c r="F19" s="205">
        <v>30.184654883865775</v>
      </c>
      <c r="G19" s="205">
        <v>239.56228814045909</v>
      </c>
      <c r="H19" s="205">
        <v>186.96225698718817</v>
      </c>
      <c r="I19" s="205">
        <v>416.03308365454018</v>
      </c>
      <c r="J19" s="205">
        <v>335.19612825775687</v>
      </c>
      <c r="K19" s="205">
        <v>42.325346331619905</v>
      </c>
      <c r="L19" s="204">
        <v>37.730818604832216</v>
      </c>
    </row>
    <row r="20" spans="1:13" ht="13.15" x14ac:dyDescent="0.4">
      <c r="A20" s="41"/>
      <c r="C20" s="48"/>
      <c r="E20" s="48"/>
      <c r="K20" s="48"/>
      <c r="L20" s="48"/>
    </row>
    <row r="21" spans="1:13" ht="13.15" x14ac:dyDescent="0.4">
      <c r="A21" s="41" t="s">
        <v>2209</v>
      </c>
      <c r="C21" s="552"/>
      <c r="D21" s="552"/>
      <c r="E21" s="552"/>
      <c r="F21" s="552"/>
      <c r="G21" s="552"/>
      <c r="H21" s="552"/>
      <c r="I21" s="552"/>
    </row>
    <row r="22" spans="1:13" ht="25.9" x14ac:dyDescent="0.4">
      <c r="A22" s="41"/>
      <c r="B22" s="91"/>
      <c r="C22" s="103" t="s">
        <v>1799</v>
      </c>
      <c r="D22" s="103" t="s">
        <v>1798</v>
      </c>
      <c r="E22" s="103" t="s">
        <v>1797</v>
      </c>
      <c r="F22" s="103" t="s">
        <v>1796</v>
      </c>
      <c r="G22" s="103" t="s">
        <v>1795</v>
      </c>
      <c r="H22" s="103" t="s">
        <v>1794</v>
      </c>
      <c r="I22" s="86" t="s">
        <v>1793</v>
      </c>
    </row>
    <row r="23" spans="1:13" ht="13.15" x14ac:dyDescent="0.4">
      <c r="A23" s="41"/>
      <c r="B23" s="110" t="s">
        <v>2208</v>
      </c>
      <c r="C23" s="627">
        <v>8.5</v>
      </c>
      <c r="D23" s="627">
        <v>0</v>
      </c>
      <c r="E23" s="627">
        <v>2</v>
      </c>
      <c r="F23" s="627">
        <v>24.039656900000001</v>
      </c>
      <c r="G23" s="627">
        <v>23</v>
      </c>
      <c r="H23" s="627">
        <v>6</v>
      </c>
      <c r="I23" s="626">
        <v>30</v>
      </c>
    </row>
    <row r="24" spans="1:13" ht="13.15" x14ac:dyDescent="0.4">
      <c r="A24" s="41"/>
      <c r="B24" s="110" t="s">
        <v>2207</v>
      </c>
      <c r="C24" s="627">
        <v>8.5</v>
      </c>
      <c r="D24" s="627">
        <v>0</v>
      </c>
      <c r="E24" s="627">
        <v>2</v>
      </c>
      <c r="F24" s="627">
        <v>24.039656900000001</v>
      </c>
      <c r="G24" s="627">
        <v>23</v>
      </c>
      <c r="H24" s="627">
        <v>6</v>
      </c>
      <c r="I24" s="626">
        <v>30</v>
      </c>
    </row>
    <row r="25" spans="1:13" ht="13.15" x14ac:dyDescent="0.4">
      <c r="A25" s="41"/>
      <c r="B25" s="110" t="s">
        <v>2206</v>
      </c>
      <c r="C25" s="627">
        <v>8.5</v>
      </c>
      <c r="D25" s="627">
        <v>0</v>
      </c>
      <c r="E25" s="627">
        <v>2</v>
      </c>
      <c r="F25" s="627">
        <v>1.8492043499999999</v>
      </c>
      <c r="G25" s="627">
        <v>23</v>
      </c>
      <c r="H25" s="627">
        <v>6</v>
      </c>
      <c r="I25" s="626">
        <v>30</v>
      </c>
    </row>
    <row r="26" spans="1:13" ht="13.15" x14ac:dyDescent="0.4">
      <c r="A26" s="41"/>
      <c r="B26" s="110" t="s">
        <v>2205</v>
      </c>
      <c r="C26" s="627">
        <v>8.5</v>
      </c>
      <c r="D26" s="627">
        <v>0</v>
      </c>
      <c r="E26" s="627">
        <v>2</v>
      </c>
      <c r="F26" s="627">
        <v>1.8492043499999999</v>
      </c>
      <c r="G26" s="627">
        <v>23</v>
      </c>
      <c r="H26" s="627">
        <v>6</v>
      </c>
      <c r="I26" s="626">
        <v>30</v>
      </c>
    </row>
    <row r="27" spans="1:13" ht="13.15" x14ac:dyDescent="0.4">
      <c r="A27" s="41"/>
      <c r="B27" s="110" t="s">
        <v>2204</v>
      </c>
      <c r="C27" s="627">
        <v>0</v>
      </c>
      <c r="D27" s="627">
        <v>0</v>
      </c>
      <c r="E27" s="627">
        <v>2</v>
      </c>
      <c r="F27" s="627">
        <v>1.8492043499999999</v>
      </c>
      <c r="G27" s="627">
        <v>15.770998518800001</v>
      </c>
      <c r="H27" s="627">
        <v>6</v>
      </c>
      <c r="I27" s="626">
        <v>30</v>
      </c>
    </row>
    <row r="28" spans="1:13" ht="13.15" x14ac:dyDescent="0.4">
      <c r="A28" s="41"/>
      <c r="B28" s="108" t="s">
        <v>2203</v>
      </c>
      <c r="C28" s="625">
        <v>0</v>
      </c>
      <c r="D28" s="625">
        <v>0</v>
      </c>
      <c r="E28" s="625">
        <v>2</v>
      </c>
      <c r="F28" s="625">
        <v>1.8492043499999999</v>
      </c>
      <c r="G28" s="625">
        <v>15.770998518800001</v>
      </c>
      <c r="H28" s="625">
        <v>6</v>
      </c>
      <c r="I28" s="624">
        <v>30</v>
      </c>
    </row>
    <row r="29" spans="1:13" ht="13.15" x14ac:dyDescent="0.4">
      <c r="A29" s="41"/>
      <c r="B29" s="110" t="s">
        <v>2202</v>
      </c>
      <c r="C29" s="629">
        <v>9.1712191999999995</v>
      </c>
      <c r="D29" s="629">
        <v>0</v>
      </c>
      <c r="E29" s="629">
        <v>1.1023099999999999</v>
      </c>
      <c r="F29" s="629">
        <v>9.7003280000000007</v>
      </c>
      <c r="G29" s="629">
        <v>30.093063000000001</v>
      </c>
      <c r="H29" s="629">
        <v>10.582175999999999</v>
      </c>
      <c r="I29" s="628">
        <v>0</v>
      </c>
    </row>
    <row r="30" spans="1:13" ht="13.15" x14ac:dyDescent="0.4">
      <c r="A30" s="41"/>
      <c r="B30" s="110" t="s">
        <v>2201</v>
      </c>
      <c r="C30" s="629">
        <v>8.4216483999999987</v>
      </c>
      <c r="D30" s="629">
        <v>0</v>
      </c>
      <c r="E30" s="629">
        <v>1.1023099999999999</v>
      </c>
      <c r="F30" s="629">
        <v>7.2752459999999992</v>
      </c>
      <c r="G30" s="629">
        <v>29.343492200000004</v>
      </c>
      <c r="H30" s="629">
        <v>10.582175999999999</v>
      </c>
      <c r="I30" s="628">
        <v>0</v>
      </c>
    </row>
    <row r="31" spans="1:13" ht="13.15" x14ac:dyDescent="0.4">
      <c r="A31" s="41"/>
      <c r="B31" s="110" t="s">
        <v>2200</v>
      </c>
      <c r="C31" s="627">
        <v>0</v>
      </c>
      <c r="D31" s="627">
        <v>0</v>
      </c>
      <c r="E31" s="627">
        <v>0</v>
      </c>
      <c r="F31" s="627">
        <v>0</v>
      </c>
      <c r="G31" s="627">
        <v>0</v>
      </c>
      <c r="H31" s="627">
        <v>0</v>
      </c>
      <c r="I31" s="626">
        <v>0</v>
      </c>
    </row>
    <row r="32" spans="1:13" ht="13.15" x14ac:dyDescent="0.4">
      <c r="A32" s="41"/>
      <c r="B32" s="110" t="s">
        <v>2199</v>
      </c>
      <c r="C32" s="627">
        <v>0</v>
      </c>
      <c r="D32" s="627">
        <v>0</v>
      </c>
      <c r="E32" s="627">
        <v>0</v>
      </c>
      <c r="F32" s="627">
        <v>0</v>
      </c>
      <c r="G32" s="627">
        <v>0</v>
      </c>
      <c r="H32" s="627">
        <v>0</v>
      </c>
      <c r="I32" s="626">
        <v>0</v>
      </c>
    </row>
    <row r="33" spans="1:12" ht="13.15" x14ac:dyDescent="0.4">
      <c r="A33" s="41"/>
      <c r="B33" s="110" t="s">
        <v>2198</v>
      </c>
      <c r="C33" s="627">
        <v>0</v>
      </c>
      <c r="D33" s="627">
        <v>0</v>
      </c>
      <c r="E33" s="627">
        <v>0</v>
      </c>
      <c r="F33" s="627">
        <v>0</v>
      </c>
      <c r="G33" s="627">
        <v>0</v>
      </c>
      <c r="H33" s="627">
        <v>0</v>
      </c>
      <c r="I33" s="626">
        <v>0</v>
      </c>
    </row>
    <row r="34" spans="1:12" ht="13.15" x14ac:dyDescent="0.4">
      <c r="A34" s="41"/>
      <c r="B34" s="108" t="s">
        <v>2197</v>
      </c>
      <c r="C34" s="625">
        <v>0</v>
      </c>
      <c r="D34" s="625">
        <v>0</v>
      </c>
      <c r="E34" s="625">
        <v>0</v>
      </c>
      <c r="F34" s="625">
        <v>0</v>
      </c>
      <c r="G34" s="625">
        <v>0</v>
      </c>
      <c r="H34" s="625">
        <v>0</v>
      </c>
      <c r="I34" s="624">
        <v>0</v>
      </c>
    </row>
    <row r="35" spans="1:12" ht="13.15" x14ac:dyDescent="0.4">
      <c r="A35" s="41"/>
      <c r="B35" s="110" t="s">
        <v>2196</v>
      </c>
      <c r="C35" s="207">
        <v>8.5</v>
      </c>
      <c r="D35" s="176">
        <v>0</v>
      </c>
      <c r="E35" s="176">
        <v>2</v>
      </c>
      <c r="F35" s="176">
        <v>24.039656900000001</v>
      </c>
      <c r="G35" s="176">
        <v>23</v>
      </c>
      <c r="H35" s="176">
        <v>6</v>
      </c>
      <c r="I35" s="623">
        <v>30</v>
      </c>
    </row>
    <row r="36" spans="1:12" ht="13.15" x14ac:dyDescent="0.4">
      <c r="A36" s="41"/>
      <c r="B36" s="110" t="s">
        <v>2195</v>
      </c>
      <c r="C36" s="176">
        <v>8.5</v>
      </c>
      <c r="D36" s="176">
        <v>0</v>
      </c>
      <c r="E36" s="176">
        <v>2</v>
      </c>
      <c r="F36" s="176">
        <v>24.039656900000001</v>
      </c>
      <c r="G36" s="176">
        <v>23</v>
      </c>
      <c r="H36" s="176">
        <v>6</v>
      </c>
      <c r="I36" s="623">
        <v>30</v>
      </c>
    </row>
    <row r="37" spans="1:12" ht="13.15" x14ac:dyDescent="0.4">
      <c r="A37" s="41"/>
      <c r="B37" s="110" t="s">
        <v>2194</v>
      </c>
      <c r="C37" s="176">
        <v>8.5</v>
      </c>
      <c r="D37" s="176">
        <v>0</v>
      </c>
      <c r="E37" s="176">
        <v>2</v>
      </c>
      <c r="F37" s="176">
        <v>1.8492043499999999</v>
      </c>
      <c r="G37" s="176">
        <v>23</v>
      </c>
      <c r="H37" s="176">
        <v>6</v>
      </c>
      <c r="I37" s="623">
        <v>30</v>
      </c>
    </row>
    <row r="38" spans="1:12" ht="13.15" x14ac:dyDescent="0.4">
      <c r="A38" s="41"/>
      <c r="B38" s="110" t="s">
        <v>2193</v>
      </c>
      <c r="C38" s="176">
        <v>8.5</v>
      </c>
      <c r="D38" s="176">
        <v>0</v>
      </c>
      <c r="E38" s="176">
        <v>2</v>
      </c>
      <c r="F38" s="176">
        <v>1.8492043499999999</v>
      </c>
      <c r="G38" s="176">
        <v>23</v>
      </c>
      <c r="H38" s="176">
        <v>6</v>
      </c>
      <c r="I38" s="623">
        <v>30</v>
      </c>
    </row>
    <row r="39" spans="1:12" ht="13.15" x14ac:dyDescent="0.4">
      <c r="A39" s="41"/>
      <c r="B39" s="110" t="s">
        <v>2192</v>
      </c>
      <c r="C39" s="176">
        <v>0</v>
      </c>
      <c r="D39" s="176">
        <v>0</v>
      </c>
      <c r="E39" s="176">
        <v>2</v>
      </c>
      <c r="F39" s="176">
        <v>1.8492043499999999</v>
      </c>
      <c r="G39" s="176">
        <v>15.770998518800001</v>
      </c>
      <c r="H39" s="176">
        <v>6</v>
      </c>
      <c r="I39" s="623">
        <v>30</v>
      </c>
    </row>
    <row r="40" spans="1:12" ht="13.15" x14ac:dyDescent="0.4">
      <c r="A40" s="41"/>
      <c r="B40" s="108" t="s">
        <v>2191</v>
      </c>
      <c r="C40" s="184">
        <v>0</v>
      </c>
      <c r="D40" s="184">
        <v>0</v>
      </c>
      <c r="E40" s="184">
        <v>2</v>
      </c>
      <c r="F40" s="184">
        <v>1.8492043499999999</v>
      </c>
      <c r="G40" s="184">
        <v>15.770998518800001</v>
      </c>
      <c r="H40" s="184">
        <v>6</v>
      </c>
      <c r="I40" s="622">
        <v>30</v>
      </c>
    </row>
    <row r="41" spans="1:12" ht="13.15" x14ac:dyDescent="0.4">
      <c r="A41" s="41"/>
    </row>
    <row r="42" spans="1:12" ht="13.9" x14ac:dyDescent="0.4">
      <c r="A42" s="72" t="s">
        <v>2190</v>
      </c>
    </row>
    <row r="43" spans="1:12" ht="13.15" x14ac:dyDescent="0.4">
      <c r="A43" s="41" t="s">
        <v>2189</v>
      </c>
    </row>
    <row r="44" spans="1:12" ht="38.65" x14ac:dyDescent="0.4">
      <c r="A44" s="41"/>
      <c r="B44" s="87"/>
      <c r="C44" s="103" t="s">
        <v>1481</v>
      </c>
      <c r="D44" s="103" t="s">
        <v>1480</v>
      </c>
      <c r="E44" s="103" t="s">
        <v>1479</v>
      </c>
      <c r="F44" s="103" t="s">
        <v>1478</v>
      </c>
      <c r="G44" s="103" t="s">
        <v>1477</v>
      </c>
      <c r="H44" s="103" t="s">
        <v>1476</v>
      </c>
      <c r="I44" s="103" t="s">
        <v>1475</v>
      </c>
      <c r="J44" s="103" t="s">
        <v>1474</v>
      </c>
      <c r="K44" s="103" t="s">
        <v>1473</v>
      </c>
      <c r="L44" s="86" t="s">
        <v>1472</v>
      </c>
    </row>
    <row r="45" spans="1:12" ht="13.15" x14ac:dyDescent="0.4">
      <c r="A45" s="41"/>
      <c r="B45" s="574" t="s">
        <v>2159</v>
      </c>
      <c r="C45" s="44">
        <v>3053.9316231000003</v>
      </c>
      <c r="D45" s="44">
        <v>2575.5290831000002</v>
      </c>
      <c r="E45" s="44">
        <v>3246.55009565</v>
      </c>
      <c r="F45" s="44">
        <v>2677.75813565</v>
      </c>
      <c r="G45" s="44">
        <v>3422.91969565</v>
      </c>
      <c r="H45" s="44">
        <v>2768.1475556499995</v>
      </c>
      <c r="I45" s="44">
        <v>2830.1735771311996</v>
      </c>
      <c r="J45" s="44">
        <v>2294.4509171311997</v>
      </c>
      <c r="K45" s="44">
        <v>3460.6948971311999</v>
      </c>
      <c r="L45" s="43">
        <v>2766.2395971312003</v>
      </c>
    </row>
    <row r="46" spans="1:12" ht="13.15" x14ac:dyDescent="0.4">
      <c r="A46" s="41"/>
    </row>
    <row r="47" spans="1:12" ht="13.15" x14ac:dyDescent="0.4">
      <c r="A47" s="41" t="s">
        <v>2188</v>
      </c>
    </row>
    <row r="48" spans="1:12" ht="13.15" x14ac:dyDescent="0.4">
      <c r="A48" s="41"/>
      <c r="B48" s="621">
        <v>102</v>
      </c>
      <c r="C48" s="39" t="s">
        <v>2187</v>
      </c>
    </row>
    <row r="49" spans="1:25" ht="13.15" x14ac:dyDescent="0.4">
      <c r="A49" s="41"/>
      <c r="B49" s="620">
        <v>66</v>
      </c>
      <c r="C49" s="39" t="s">
        <v>2186</v>
      </c>
    </row>
    <row r="50" spans="1:25" ht="13.15" x14ac:dyDescent="0.4">
      <c r="A50" s="41"/>
    </row>
    <row r="51" spans="1:25" ht="13.15" x14ac:dyDescent="0.4">
      <c r="A51" s="41" t="s">
        <v>2185</v>
      </c>
    </row>
    <row r="52" spans="1:25" ht="13.15" x14ac:dyDescent="0.4">
      <c r="A52" s="41"/>
      <c r="B52" s="375">
        <v>286.62</v>
      </c>
      <c r="C52" s="217" t="s">
        <v>1835</v>
      </c>
    </row>
    <row r="53" spans="1:25" ht="13.15" x14ac:dyDescent="0.4">
      <c r="A53" s="41"/>
      <c r="B53" s="619">
        <v>300</v>
      </c>
      <c r="C53" s="217" t="s">
        <v>1834</v>
      </c>
    </row>
    <row r="54" spans="1:25" ht="13.15" x14ac:dyDescent="0.4">
      <c r="A54" s="41"/>
      <c r="B54" s="374">
        <v>185.46</v>
      </c>
      <c r="C54" s="217" t="s">
        <v>1833</v>
      </c>
    </row>
    <row r="55" spans="1:25" ht="13.15" x14ac:dyDescent="0.4">
      <c r="A55" s="41"/>
      <c r="B55" s="618">
        <v>196</v>
      </c>
      <c r="C55" s="217" t="s">
        <v>1832</v>
      </c>
    </row>
    <row r="56" spans="1:25" ht="13.15" x14ac:dyDescent="0.4">
      <c r="A56" s="41"/>
    </row>
    <row r="57" spans="1:25" ht="13.15" x14ac:dyDescent="0.4">
      <c r="A57" s="41" t="s">
        <v>2184</v>
      </c>
    </row>
    <row r="58" spans="1:25" ht="38.65" x14ac:dyDescent="0.4">
      <c r="A58" s="41"/>
      <c r="B58" s="91"/>
      <c r="C58" s="87" t="s">
        <v>1481</v>
      </c>
      <c r="D58" s="103" t="s">
        <v>1480</v>
      </c>
      <c r="E58" s="103" t="s">
        <v>1479</v>
      </c>
      <c r="F58" s="103" t="s">
        <v>1478</v>
      </c>
      <c r="G58" s="103" t="s">
        <v>1477</v>
      </c>
      <c r="H58" s="103" t="s">
        <v>1476</v>
      </c>
      <c r="I58" s="103" t="s">
        <v>1475</v>
      </c>
      <c r="J58" s="103" t="s">
        <v>1474</v>
      </c>
      <c r="K58" s="103" t="s">
        <v>1473</v>
      </c>
      <c r="L58" s="86" t="s">
        <v>1472</v>
      </c>
      <c r="N58" s="87" t="s">
        <v>2183</v>
      </c>
      <c r="O58" s="103" t="s">
        <v>2182</v>
      </c>
      <c r="P58" s="103" t="s">
        <v>2181</v>
      </c>
      <c r="Q58" s="103" t="s">
        <v>2180</v>
      </c>
      <c r="R58" s="103" t="s">
        <v>2179</v>
      </c>
      <c r="S58" s="103" t="s">
        <v>2178</v>
      </c>
      <c r="T58" s="103" t="s">
        <v>2177</v>
      </c>
      <c r="U58" s="86" t="s">
        <v>2176</v>
      </c>
      <c r="V58" s="103" t="s">
        <v>2175</v>
      </c>
      <c r="W58" s="103" t="s">
        <v>2174</v>
      </c>
      <c r="X58" s="103" t="s">
        <v>2173</v>
      </c>
      <c r="Y58" s="86" t="s">
        <v>2172</v>
      </c>
    </row>
    <row r="59" spans="1:25" ht="13.15" x14ac:dyDescent="0.4">
      <c r="A59" s="41"/>
      <c r="B59" s="128" t="s">
        <v>2155</v>
      </c>
      <c r="C59" s="117"/>
      <c r="D59" s="552"/>
      <c r="E59" s="552"/>
      <c r="F59" s="552"/>
      <c r="G59" s="552"/>
      <c r="H59" s="552"/>
      <c r="I59" s="552"/>
      <c r="J59" s="552"/>
      <c r="K59" s="552"/>
      <c r="L59" s="617"/>
      <c r="N59" s="59"/>
      <c r="Y59" s="99"/>
    </row>
    <row r="60" spans="1:25" ht="14.25" x14ac:dyDescent="0.45">
      <c r="A60" s="41"/>
      <c r="B60" s="110" t="s">
        <v>1830</v>
      </c>
      <c r="C60" s="616">
        <v>0.24702521828888613</v>
      </c>
      <c r="D60" s="615">
        <v>0.28616405246234844</v>
      </c>
      <c r="E60" s="615">
        <v>0.22517709702642263</v>
      </c>
      <c r="F60" s="615">
        <v>0.2564410164565305</v>
      </c>
      <c r="G60" s="75">
        <v>0.23877089133008633</v>
      </c>
      <c r="H60" s="75">
        <v>0.26576316150674006</v>
      </c>
      <c r="I60" s="75">
        <v>4.7935222516142462E-2</v>
      </c>
      <c r="J60" s="75">
        <v>6.7881497432028093E-2</v>
      </c>
      <c r="K60" s="75">
        <v>8.2821516637481787E-2</v>
      </c>
      <c r="L60" s="127">
        <v>6.7044084031020329E-2</v>
      </c>
      <c r="N60" s="616">
        <v>0.22834543598853485</v>
      </c>
      <c r="O60" s="615">
        <v>0.25873756403418224</v>
      </c>
      <c r="P60" s="615">
        <v>0.22983981811668275</v>
      </c>
      <c r="Q60" s="615">
        <v>0.25873756403418224</v>
      </c>
      <c r="R60" s="615">
        <v>0.23771363674153134</v>
      </c>
      <c r="S60" s="615">
        <v>0.26542622546834194</v>
      </c>
      <c r="T60" s="615">
        <v>0.23877089133008633</v>
      </c>
      <c r="U60" s="615">
        <v>0.26576316150674006</v>
      </c>
      <c r="V60" s="615">
        <v>4.7935222516142462E-2</v>
      </c>
      <c r="W60" s="615">
        <v>6.7881497432028093E-2</v>
      </c>
      <c r="X60" s="615">
        <v>4.5461302911814605E-2</v>
      </c>
      <c r="Y60" s="614">
        <v>6.6029720728820074E-2</v>
      </c>
    </row>
    <row r="61" spans="1:25" ht="14.25" x14ac:dyDescent="0.45">
      <c r="A61" s="41"/>
      <c r="B61" s="110" t="s">
        <v>1829</v>
      </c>
      <c r="C61" s="616">
        <v>5.2533124305426546E-2</v>
      </c>
      <c r="D61" s="615">
        <v>6.1658062956724484E-2</v>
      </c>
      <c r="E61" s="615">
        <v>4.9834695103615718E-2</v>
      </c>
      <c r="F61" s="615">
        <v>5.9976770379984799E-2</v>
      </c>
      <c r="G61" s="75">
        <v>4.7319340535011481E-2</v>
      </c>
      <c r="H61" s="75">
        <v>5.8072722538048682E-2</v>
      </c>
      <c r="I61" s="75">
        <v>5.7296713696569135E-2</v>
      </c>
      <c r="J61" s="75">
        <v>7.0127267292019763E-2</v>
      </c>
      <c r="K61" s="615">
        <v>2.8134729281300164E-2</v>
      </c>
      <c r="L61" s="614">
        <v>3.2245216594726137E-2</v>
      </c>
      <c r="N61" s="616">
        <v>4.9669676890035042E-2</v>
      </c>
      <c r="O61" s="615">
        <v>5.9737911247593027E-2</v>
      </c>
      <c r="P61" s="615">
        <v>4.9571189491431279E-2</v>
      </c>
      <c r="Q61" s="615">
        <v>5.9737911247593013E-2</v>
      </c>
      <c r="R61" s="615">
        <v>4.7710664311440297E-2</v>
      </c>
      <c r="S61" s="615">
        <v>5.8162793785663414E-2</v>
      </c>
      <c r="T61" s="615">
        <v>4.7319340535011481E-2</v>
      </c>
      <c r="U61" s="615">
        <v>5.8072722538048682E-2</v>
      </c>
      <c r="V61" s="615">
        <v>5.7296713696569135E-2</v>
      </c>
      <c r="W61" s="615">
        <v>7.0127267292019763E-2</v>
      </c>
      <c r="X61" s="615">
        <v>5.5971168568011584E-2</v>
      </c>
      <c r="Y61" s="614">
        <v>6.9157304733175939E-2</v>
      </c>
    </row>
    <row r="62" spans="1:25" ht="14.25" x14ac:dyDescent="0.45">
      <c r="A62" s="41"/>
      <c r="B62" s="110" t="s">
        <v>1503</v>
      </c>
      <c r="C62" s="616">
        <v>0.23899999999999999</v>
      </c>
      <c r="D62" s="615">
        <v>0.23</v>
      </c>
      <c r="E62" s="615">
        <v>0.245</v>
      </c>
      <c r="F62" s="615">
        <v>0.245</v>
      </c>
      <c r="G62" s="75">
        <v>0.249</v>
      </c>
      <c r="H62" s="75">
        <v>0.25600000000000001</v>
      </c>
      <c r="I62" s="75">
        <v>0.28899999999999998</v>
      </c>
      <c r="J62" s="75">
        <v>0.312</v>
      </c>
      <c r="K62" s="615">
        <v>0.24996624861462841</v>
      </c>
      <c r="L62" s="614">
        <v>0.2729327261767891</v>
      </c>
      <c r="N62" s="616">
        <v>0.249</v>
      </c>
      <c r="O62" s="615">
        <v>0.25600000000000001</v>
      </c>
      <c r="P62" s="615">
        <v>0.249</v>
      </c>
      <c r="Q62" s="615">
        <v>0.25600000000000001</v>
      </c>
      <c r="R62" s="615">
        <v>0.249</v>
      </c>
      <c r="S62" s="615">
        <v>0.25600000000000001</v>
      </c>
      <c r="T62" s="615">
        <v>0.249</v>
      </c>
      <c r="U62" s="615">
        <v>0.25600000000000001</v>
      </c>
      <c r="V62" s="615">
        <v>0.28899999999999998</v>
      </c>
      <c r="W62" s="615">
        <v>0.312</v>
      </c>
      <c r="X62" s="615">
        <v>0.28899999999999998</v>
      </c>
      <c r="Y62" s="614">
        <v>0.312</v>
      </c>
    </row>
    <row r="63" spans="1:25" ht="14.25" x14ac:dyDescent="0.45">
      <c r="A63" s="41"/>
      <c r="B63" s="110" t="s">
        <v>1501</v>
      </c>
      <c r="C63" s="616">
        <v>0</v>
      </c>
      <c r="D63" s="615">
        <v>0</v>
      </c>
      <c r="E63" s="615">
        <v>2.1262803244209372E-2</v>
      </c>
      <c r="F63" s="615">
        <v>1.5593960298796047E-2</v>
      </c>
      <c r="G63" s="75">
        <v>3.2492613834041215E-2</v>
      </c>
      <c r="H63" s="75">
        <v>2.2454786048045489E-2</v>
      </c>
      <c r="I63" s="75">
        <v>7.1811881166366651E-2</v>
      </c>
      <c r="J63" s="75">
        <v>5.4231753372495271E-2</v>
      </c>
      <c r="K63" s="615">
        <v>4.2202093921950248E-2</v>
      </c>
      <c r="L63" s="614">
        <v>4.4912980256939974E-2</v>
      </c>
      <c r="N63" s="616">
        <v>2.0861264293814717E-2</v>
      </c>
      <c r="O63" s="615">
        <v>1.6328362407675424E-2</v>
      </c>
      <c r="P63" s="615">
        <v>2.0819899586401135E-2</v>
      </c>
      <c r="Q63" s="615">
        <v>1.6328362407675424E-2</v>
      </c>
      <c r="R63" s="615">
        <v>3.0216754063912186E-2</v>
      </c>
      <c r="S63" s="615">
        <v>2.2101861638552097E-2</v>
      </c>
      <c r="T63" s="615">
        <v>3.2492613834041215E-2</v>
      </c>
      <c r="U63" s="615">
        <v>2.2454786048045489E-2</v>
      </c>
      <c r="V63" s="615">
        <v>7.1811881166366651E-2</v>
      </c>
      <c r="W63" s="615">
        <v>5.4231753372495271E-2</v>
      </c>
      <c r="X63" s="615">
        <v>9.3285280946685978E-2</v>
      </c>
      <c r="Y63" s="614">
        <v>6.7313109940291244E-2</v>
      </c>
    </row>
    <row r="64" spans="1:25" ht="14.25" x14ac:dyDescent="0.45">
      <c r="A64" s="41"/>
      <c r="B64" s="110" t="s">
        <v>1500</v>
      </c>
      <c r="C64" s="616">
        <v>0</v>
      </c>
      <c r="D64" s="615">
        <v>0</v>
      </c>
      <c r="E64" s="615">
        <v>2.1262803244209372E-2</v>
      </c>
      <c r="F64" s="615">
        <v>1.5593960298796047E-2</v>
      </c>
      <c r="G64" s="75">
        <v>3.2492613834041215E-2</v>
      </c>
      <c r="H64" s="75">
        <v>2.2454786048045489E-2</v>
      </c>
      <c r="I64" s="75">
        <v>0</v>
      </c>
      <c r="J64" s="75">
        <v>0</v>
      </c>
      <c r="K64" s="615">
        <v>0</v>
      </c>
      <c r="L64" s="614">
        <v>0</v>
      </c>
      <c r="N64" s="616">
        <v>2.0861264293814717E-2</v>
      </c>
      <c r="O64" s="615">
        <v>1.6328362407675424E-2</v>
      </c>
      <c r="P64" s="615">
        <v>2.0819899586401135E-2</v>
      </c>
      <c r="Q64" s="615">
        <v>1.6328362407675424E-2</v>
      </c>
      <c r="R64" s="615">
        <v>3.0216754063912186E-2</v>
      </c>
      <c r="S64" s="615">
        <v>2.2101861638552097E-2</v>
      </c>
      <c r="T64" s="615">
        <v>3.2492613834041215E-2</v>
      </c>
      <c r="U64" s="615">
        <v>2.2454786048045489E-2</v>
      </c>
      <c r="V64" s="615"/>
      <c r="W64" s="615"/>
      <c r="X64" s="615"/>
      <c r="Y64" s="614"/>
    </row>
    <row r="65" spans="1:25" ht="14.25" x14ac:dyDescent="0.45">
      <c r="A65" s="41"/>
      <c r="B65" s="110" t="s">
        <v>1499</v>
      </c>
      <c r="C65" s="616">
        <v>0</v>
      </c>
      <c r="D65" s="615">
        <v>0</v>
      </c>
      <c r="E65" s="615">
        <v>1.7999999999999999E-2</v>
      </c>
      <c r="F65" s="615">
        <v>1.7999999999999999E-2</v>
      </c>
      <c r="G65" s="75">
        <v>1.7999999999999999E-2</v>
      </c>
      <c r="H65" s="75">
        <v>1.7000000000000001E-2</v>
      </c>
      <c r="I65" s="75">
        <v>5.8999999999999997E-2</v>
      </c>
      <c r="J65" s="75">
        <v>6.6000000000000003E-2</v>
      </c>
      <c r="K65" s="615">
        <v>3.6791569060161761E-2</v>
      </c>
      <c r="L65" s="614">
        <v>3.9154905865024597E-2</v>
      </c>
      <c r="N65" s="613">
        <v>1.7999999999999999E-2</v>
      </c>
      <c r="O65" s="612">
        <v>1.7000000000000001E-2</v>
      </c>
      <c r="P65" s="612">
        <v>1.7999999999999999E-2</v>
      </c>
      <c r="Q65" s="612">
        <v>1.7000000000000001E-2</v>
      </c>
      <c r="R65" s="612">
        <v>1.7999999999999999E-2</v>
      </c>
      <c r="S65" s="612">
        <v>1.7000000000000001E-2</v>
      </c>
      <c r="T65" s="612">
        <v>1.7999999999999999E-2</v>
      </c>
      <c r="U65" s="612">
        <v>1.7000000000000001E-2</v>
      </c>
      <c r="V65" s="612">
        <v>5.8999999999999997E-2</v>
      </c>
      <c r="W65" s="612">
        <v>6.6000000000000003E-2</v>
      </c>
      <c r="X65" s="612">
        <v>5.8999999999999997E-2</v>
      </c>
      <c r="Y65" s="611">
        <v>6.6000000000000003E-2</v>
      </c>
    </row>
    <row r="66" spans="1:25" ht="14.25" x14ac:dyDescent="0.45">
      <c r="A66" s="41"/>
      <c r="B66" s="110" t="s">
        <v>1496</v>
      </c>
      <c r="C66" s="610">
        <v>0</v>
      </c>
      <c r="D66" s="88">
        <v>0</v>
      </c>
      <c r="E66" s="88">
        <v>0</v>
      </c>
      <c r="F66" s="88">
        <v>0</v>
      </c>
      <c r="G66" s="88">
        <v>0</v>
      </c>
      <c r="H66" s="88">
        <v>0</v>
      </c>
      <c r="I66" s="88">
        <v>0</v>
      </c>
      <c r="J66" s="88">
        <v>0</v>
      </c>
      <c r="K66" s="75">
        <v>8.6687792168182745E-2</v>
      </c>
      <c r="L66" s="127">
        <v>7.0854310741291837E-2</v>
      </c>
    </row>
    <row r="67" spans="1:25" ht="26.25" x14ac:dyDescent="0.45">
      <c r="A67" s="41"/>
      <c r="B67" s="84" t="s">
        <v>1828</v>
      </c>
      <c r="C67" s="604">
        <v>0.46144165740568732</v>
      </c>
      <c r="D67" s="603">
        <v>0.42217788458092709</v>
      </c>
      <c r="E67" s="603">
        <v>0.4194626013815429</v>
      </c>
      <c r="F67" s="603">
        <v>0.38939429256589264</v>
      </c>
      <c r="G67" s="603">
        <v>0.38192454046681967</v>
      </c>
      <c r="H67" s="603">
        <v>0.35825454385912014</v>
      </c>
      <c r="I67" s="603">
        <v>0.47495618262092176</v>
      </c>
      <c r="J67" s="603">
        <v>0.42975948190345692</v>
      </c>
      <c r="K67" s="603">
        <v>0.47339605031629484</v>
      </c>
      <c r="L67" s="102">
        <v>0.47285577633420806</v>
      </c>
    </row>
    <row r="68" spans="1:25" ht="14.25" x14ac:dyDescent="0.45">
      <c r="A68" s="41"/>
      <c r="B68" s="128" t="s">
        <v>2154</v>
      </c>
      <c r="C68" s="605"/>
      <c r="D68" s="75"/>
      <c r="E68" s="75"/>
      <c r="F68" s="75"/>
      <c r="G68" s="75"/>
      <c r="H68" s="75"/>
      <c r="I68" s="75"/>
      <c r="J68" s="75"/>
      <c r="K68" s="75"/>
      <c r="L68" s="127"/>
    </row>
    <row r="69" spans="1:25" ht="14.25" x14ac:dyDescent="0.45">
      <c r="A69" s="41"/>
      <c r="B69" s="110" t="s">
        <v>1830</v>
      </c>
      <c r="C69" s="609">
        <v>0.16809187324650945</v>
      </c>
      <c r="D69" s="608">
        <v>0.1945098331024406</v>
      </c>
      <c r="E69" s="607">
        <v>0</v>
      </c>
      <c r="F69" s="607">
        <v>0</v>
      </c>
      <c r="G69" s="607">
        <v>0</v>
      </c>
      <c r="H69" s="607">
        <v>0</v>
      </c>
      <c r="I69" s="607">
        <v>0</v>
      </c>
      <c r="J69" s="607">
        <v>0</v>
      </c>
      <c r="K69" s="607">
        <v>0</v>
      </c>
      <c r="L69" s="606">
        <v>0</v>
      </c>
    </row>
    <row r="70" spans="1:25" ht="14.25" x14ac:dyDescent="0.45">
      <c r="A70" s="41"/>
      <c r="B70" s="110" t="s">
        <v>1829</v>
      </c>
      <c r="C70" s="609">
        <v>6.6026384801484483E-2</v>
      </c>
      <c r="D70" s="608">
        <v>6.0413072541641508E-2</v>
      </c>
      <c r="E70" s="607">
        <v>0</v>
      </c>
      <c r="F70" s="607">
        <v>0</v>
      </c>
      <c r="G70" s="607">
        <v>0</v>
      </c>
      <c r="H70" s="607">
        <v>0</v>
      </c>
      <c r="I70" s="607">
        <v>0</v>
      </c>
      <c r="J70" s="607">
        <v>0</v>
      </c>
      <c r="K70" s="607">
        <v>0</v>
      </c>
      <c r="L70" s="606">
        <v>0</v>
      </c>
    </row>
    <row r="71" spans="1:25" ht="14.25" x14ac:dyDescent="0.45">
      <c r="A71" s="41"/>
      <c r="B71" s="110" t="s">
        <v>1503</v>
      </c>
      <c r="C71" s="609">
        <v>0.24005562526199525</v>
      </c>
      <c r="D71" s="608">
        <v>0.22306790291214029</v>
      </c>
      <c r="E71" s="607">
        <v>0</v>
      </c>
      <c r="F71" s="607">
        <v>0</v>
      </c>
      <c r="G71" s="607">
        <v>0</v>
      </c>
      <c r="H71" s="607">
        <v>0</v>
      </c>
      <c r="I71" s="607">
        <v>0</v>
      </c>
      <c r="J71" s="607">
        <v>0</v>
      </c>
      <c r="K71" s="607">
        <v>0</v>
      </c>
      <c r="L71" s="606">
        <v>0</v>
      </c>
    </row>
    <row r="72" spans="1:25" ht="14.25" x14ac:dyDescent="0.45">
      <c r="A72" s="41"/>
      <c r="B72" s="110" t="s">
        <v>1501</v>
      </c>
      <c r="C72" s="571">
        <v>0</v>
      </c>
      <c r="D72" s="569">
        <v>0</v>
      </c>
      <c r="E72" s="607">
        <v>0</v>
      </c>
      <c r="F72" s="607">
        <v>0</v>
      </c>
      <c r="G72" s="607">
        <v>0</v>
      </c>
      <c r="H72" s="607">
        <v>0</v>
      </c>
      <c r="I72" s="607">
        <v>0</v>
      </c>
      <c r="J72" s="607">
        <v>0</v>
      </c>
      <c r="K72" s="607">
        <v>0</v>
      </c>
      <c r="L72" s="606">
        <v>0</v>
      </c>
    </row>
    <row r="73" spans="1:25" ht="14.25" x14ac:dyDescent="0.45">
      <c r="A73" s="41"/>
      <c r="B73" s="110" t="s">
        <v>1500</v>
      </c>
      <c r="C73" s="571">
        <v>0</v>
      </c>
      <c r="D73" s="569">
        <v>0</v>
      </c>
      <c r="E73" s="607">
        <v>0</v>
      </c>
      <c r="F73" s="607">
        <v>0</v>
      </c>
      <c r="G73" s="607">
        <v>0</v>
      </c>
      <c r="H73" s="607">
        <v>0</v>
      </c>
      <c r="I73" s="607">
        <v>0</v>
      </c>
      <c r="J73" s="607">
        <v>0</v>
      </c>
      <c r="K73" s="607">
        <v>0</v>
      </c>
      <c r="L73" s="606">
        <v>0</v>
      </c>
    </row>
    <row r="74" spans="1:25" ht="14.25" x14ac:dyDescent="0.45">
      <c r="A74" s="41"/>
      <c r="B74" s="110" t="s">
        <v>1499</v>
      </c>
      <c r="C74" s="571">
        <v>0</v>
      </c>
      <c r="D74" s="569">
        <v>0</v>
      </c>
      <c r="E74" s="607">
        <v>0</v>
      </c>
      <c r="F74" s="607">
        <v>0</v>
      </c>
      <c r="G74" s="607">
        <v>0</v>
      </c>
      <c r="H74" s="607">
        <v>0</v>
      </c>
      <c r="I74" s="607">
        <v>0</v>
      </c>
      <c r="J74" s="607">
        <v>0</v>
      </c>
      <c r="K74" s="607">
        <v>0</v>
      </c>
      <c r="L74" s="606">
        <v>0</v>
      </c>
    </row>
    <row r="75" spans="1:25" ht="14.25" x14ac:dyDescent="0.45">
      <c r="A75" s="41"/>
      <c r="B75" s="110" t="s">
        <v>1496</v>
      </c>
      <c r="C75" s="571">
        <v>0</v>
      </c>
      <c r="D75" s="569">
        <v>0</v>
      </c>
      <c r="E75" s="607">
        <v>0</v>
      </c>
      <c r="F75" s="607">
        <v>0</v>
      </c>
      <c r="G75" s="607">
        <v>0</v>
      </c>
      <c r="H75" s="607">
        <v>0</v>
      </c>
      <c r="I75" s="607">
        <v>0</v>
      </c>
      <c r="J75" s="607">
        <v>0</v>
      </c>
      <c r="K75" s="607">
        <v>0</v>
      </c>
      <c r="L75" s="606">
        <v>0</v>
      </c>
    </row>
    <row r="76" spans="1:25" ht="26.25" x14ac:dyDescent="0.45">
      <c r="A76" s="41"/>
      <c r="B76" s="84" t="s">
        <v>1828</v>
      </c>
      <c r="C76" s="604">
        <v>0.52582611669001078</v>
      </c>
      <c r="D76" s="603">
        <v>0.52200919144377766</v>
      </c>
      <c r="E76" s="603">
        <v>1</v>
      </c>
      <c r="F76" s="603">
        <v>1</v>
      </c>
      <c r="G76" s="603">
        <v>1</v>
      </c>
      <c r="H76" s="603">
        <v>1</v>
      </c>
      <c r="I76" s="603">
        <v>1</v>
      </c>
      <c r="J76" s="603">
        <v>1</v>
      </c>
      <c r="K76" s="603">
        <v>1</v>
      </c>
      <c r="L76" s="102">
        <v>1</v>
      </c>
    </row>
    <row r="77" spans="1:25" ht="14.25" x14ac:dyDescent="0.45">
      <c r="A77" s="41"/>
      <c r="B77" s="128" t="s">
        <v>2153</v>
      </c>
      <c r="C77" s="605"/>
      <c r="D77" s="75"/>
      <c r="E77" s="75"/>
      <c r="F77" s="75"/>
      <c r="G77" s="75"/>
      <c r="H77" s="75"/>
      <c r="I77" s="75"/>
      <c r="J77" s="75"/>
      <c r="K77" s="75"/>
      <c r="L77" s="127"/>
      <c r="M77" s="552"/>
      <c r="N77" s="552"/>
    </row>
    <row r="78" spans="1:25" ht="14.25" x14ac:dyDescent="0.45">
      <c r="A78" s="41"/>
      <c r="B78" s="110" t="s">
        <v>1830</v>
      </c>
      <c r="C78" s="605">
        <v>0.24702521828888613</v>
      </c>
      <c r="D78" s="75">
        <v>0.28616405246234844</v>
      </c>
      <c r="E78" s="75">
        <v>0.22517709702642263</v>
      </c>
      <c r="F78" s="75">
        <v>0.2564410164565305</v>
      </c>
      <c r="G78" s="75">
        <v>0.23877089133008633</v>
      </c>
      <c r="H78" s="75">
        <v>0.26576316150674006</v>
      </c>
      <c r="I78" s="75">
        <v>4.7935222516142462E-2</v>
      </c>
      <c r="J78" s="75">
        <v>6.7881497432028093E-2</v>
      </c>
      <c r="K78" s="75">
        <v>8.2821516637481787E-2</v>
      </c>
      <c r="L78" s="127">
        <v>6.7044084031020329E-2</v>
      </c>
    </row>
    <row r="79" spans="1:25" ht="14.25" x14ac:dyDescent="0.45">
      <c r="A79" s="41"/>
      <c r="B79" s="110" t="s">
        <v>1829</v>
      </c>
      <c r="C79" s="605">
        <v>5.2533124305426546E-2</v>
      </c>
      <c r="D79" s="75">
        <v>6.1658062956724484E-2</v>
      </c>
      <c r="E79" s="75">
        <v>4.9834695103615718E-2</v>
      </c>
      <c r="F79" s="75">
        <v>5.9976770379984799E-2</v>
      </c>
      <c r="G79" s="75">
        <v>4.7319340535011481E-2</v>
      </c>
      <c r="H79" s="75">
        <v>5.8072722538048682E-2</v>
      </c>
      <c r="I79" s="75">
        <v>5.7296713696569135E-2</v>
      </c>
      <c r="J79" s="75">
        <v>7.0127267292019763E-2</v>
      </c>
      <c r="K79" s="75">
        <v>2.8134729281300164E-2</v>
      </c>
      <c r="L79" s="127">
        <v>3.2245216594726137E-2</v>
      </c>
    </row>
    <row r="80" spans="1:25" ht="14.25" x14ac:dyDescent="0.45">
      <c r="A80" s="41"/>
      <c r="B80" s="110" t="s">
        <v>1503</v>
      </c>
      <c r="C80" s="605">
        <v>0.23899999999999999</v>
      </c>
      <c r="D80" s="75">
        <v>0.23</v>
      </c>
      <c r="E80" s="75">
        <v>0.245</v>
      </c>
      <c r="F80" s="75">
        <v>0.245</v>
      </c>
      <c r="G80" s="75">
        <v>0.249</v>
      </c>
      <c r="H80" s="75">
        <v>0.25600000000000001</v>
      </c>
      <c r="I80" s="75">
        <v>0.28899999999999998</v>
      </c>
      <c r="J80" s="75">
        <v>0.312</v>
      </c>
      <c r="K80" s="75">
        <v>0.24996624861462841</v>
      </c>
      <c r="L80" s="127">
        <v>0.2729327261767891</v>
      </c>
    </row>
    <row r="81" spans="1:12" ht="14.25" x14ac:dyDescent="0.45">
      <c r="A81" s="41"/>
      <c r="B81" s="110" t="s">
        <v>1501</v>
      </c>
      <c r="C81" s="605">
        <v>0</v>
      </c>
      <c r="D81" s="75">
        <v>0</v>
      </c>
      <c r="E81" s="75">
        <v>2.1262803244209372E-2</v>
      </c>
      <c r="F81" s="75">
        <v>1.5593960298796047E-2</v>
      </c>
      <c r="G81" s="75">
        <v>3.2492613834041215E-2</v>
      </c>
      <c r="H81" s="75">
        <v>2.2454786048045489E-2</v>
      </c>
      <c r="I81" s="75">
        <v>7.1811881166366651E-2</v>
      </c>
      <c r="J81" s="75">
        <v>5.4231753372495271E-2</v>
      </c>
      <c r="K81" s="75">
        <v>4.2202093921950248E-2</v>
      </c>
      <c r="L81" s="127">
        <v>4.4912980256939974E-2</v>
      </c>
    </row>
    <row r="82" spans="1:12" ht="14.25" x14ac:dyDescent="0.45">
      <c r="A82" s="41"/>
      <c r="B82" s="110" t="s">
        <v>1500</v>
      </c>
      <c r="C82" s="605">
        <v>0</v>
      </c>
      <c r="D82" s="75">
        <v>0</v>
      </c>
      <c r="E82" s="75">
        <v>2.1262803244209372E-2</v>
      </c>
      <c r="F82" s="75">
        <v>1.5593960298796047E-2</v>
      </c>
      <c r="G82" s="75">
        <v>3.2492613834041215E-2</v>
      </c>
      <c r="H82" s="75">
        <v>2.2454786048045489E-2</v>
      </c>
      <c r="I82" s="75">
        <v>0</v>
      </c>
      <c r="J82" s="75">
        <v>0</v>
      </c>
      <c r="K82" s="75">
        <v>0</v>
      </c>
      <c r="L82" s="127">
        <v>0</v>
      </c>
    </row>
    <row r="83" spans="1:12" ht="14.25" x14ac:dyDescent="0.45">
      <c r="A83" s="41"/>
      <c r="B83" s="110" t="s">
        <v>1499</v>
      </c>
      <c r="C83" s="605">
        <v>0</v>
      </c>
      <c r="D83" s="75">
        <v>0</v>
      </c>
      <c r="E83" s="75">
        <v>1.7999999999999999E-2</v>
      </c>
      <c r="F83" s="75">
        <v>1.7999999999999999E-2</v>
      </c>
      <c r="G83" s="75">
        <v>1.7999999999999999E-2</v>
      </c>
      <c r="H83" s="75">
        <v>1.7000000000000001E-2</v>
      </c>
      <c r="I83" s="75">
        <v>5.8999999999999997E-2</v>
      </c>
      <c r="J83" s="75">
        <v>6.6000000000000003E-2</v>
      </c>
      <c r="K83" s="75">
        <v>3.6791569060161761E-2</v>
      </c>
      <c r="L83" s="127">
        <v>3.9154905865024597E-2</v>
      </c>
    </row>
    <row r="84" spans="1:12" ht="14.25" x14ac:dyDescent="0.45">
      <c r="A84" s="41"/>
      <c r="B84" s="110" t="s">
        <v>1496</v>
      </c>
      <c r="C84" s="605">
        <v>0</v>
      </c>
      <c r="D84" s="75">
        <v>0</v>
      </c>
      <c r="E84" s="75">
        <v>0</v>
      </c>
      <c r="F84" s="75">
        <v>0</v>
      </c>
      <c r="G84" s="75">
        <v>0</v>
      </c>
      <c r="H84" s="75">
        <v>0</v>
      </c>
      <c r="I84" s="75">
        <v>0</v>
      </c>
      <c r="J84" s="75">
        <v>0</v>
      </c>
      <c r="K84" s="75">
        <v>8.6687792168182745E-2</v>
      </c>
      <c r="L84" s="127">
        <v>7.0854310741291837E-2</v>
      </c>
    </row>
    <row r="85" spans="1:12" ht="26.25" x14ac:dyDescent="0.45">
      <c r="A85" s="41"/>
      <c r="B85" s="84" t="s">
        <v>1828</v>
      </c>
      <c r="C85" s="604">
        <v>0.46144165740568732</v>
      </c>
      <c r="D85" s="603">
        <v>0.42217788458092709</v>
      </c>
      <c r="E85" s="603">
        <v>0.4194626013815429</v>
      </c>
      <c r="F85" s="603">
        <v>0.38939429256589264</v>
      </c>
      <c r="G85" s="603">
        <v>0.38192454046681967</v>
      </c>
      <c r="H85" s="603">
        <v>0.35825454385912014</v>
      </c>
      <c r="I85" s="603">
        <v>0.47495618262092176</v>
      </c>
      <c r="J85" s="603">
        <v>0.42975948190345692</v>
      </c>
      <c r="K85" s="603">
        <v>0.47339605031629484</v>
      </c>
      <c r="L85" s="102">
        <v>0.47285577633420806</v>
      </c>
    </row>
    <row r="86" spans="1:12" ht="13.15" x14ac:dyDescent="0.4">
      <c r="A86" s="41"/>
    </row>
    <row r="87" spans="1:12" ht="14.25" x14ac:dyDescent="0.45">
      <c r="A87" s="586" t="s">
        <v>2171</v>
      </c>
      <c r="B87" s="506"/>
      <c r="C87" s="75"/>
    </row>
    <row r="88" spans="1:12" ht="14.25" x14ac:dyDescent="0.45">
      <c r="A88" s="506"/>
      <c r="B88" s="602">
        <v>3</v>
      </c>
      <c r="C88" s="506"/>
      <c r="H88" s="75"/>
      <c r="J88" s="75"/>
      <c r="L88" s="75"/>
    </row>
    <row r="89" spans="1:12" ht="14.25" x14ac:dyDescent="0.45">
      <c r="A89" s="506"/>
      <c r="B89" s="506"/>
      <c r="C89" s="506"/>
      <c r="H89" s="75"/>
      <c r="J89" s="75"/>
      <c r="L89" s="75"/>
    </row>
    <row r="90" spans="1:12" ht="13.15" x14ac:dyDescent="0.4">
      <c r="A90" s="41" t="s">
        <v>2170</v>
      </c>
    </row>
    <row r="91" spans="1:12" ht="42.75" x14ac:dyDescent="0.45">
      <c r="B91" s="568"/>
      <c r="C91" s="567" t="s">
        <v>1481</v>
      </c>
      <c r="D91" s="566" t="s">
        <v>1480</v>
      </c>
      <c r="E91" s="566" t="s">
        <v>1479</v>
      </c>
      <c r="F91" s="566" t="s">
        <v>1478</v>
      </c>
      <c r="G91" s="566" t="s">
        <v>1477</v>
      </c>
      <c r="H91" s="566" t="s">
        <v>1476</v>
      </c>
      <c r="I91" s="566" t="s">
        <v>1475</v>
      </c>
      <c r="J91" s="566" t="s">
        <v>1474</v>
      </c>
      <c r="K91" s="566" t="s">
        <v>1473</v>
      </c>
      <c r="L91" s="565" t="s">
        <v>1472</v>
      </c>
    </row>
    <row r="92" spans="1:12" x14ac:dyDescent="0.35">
      <c r="B92" s="55" t="s">
        <v>2155</v>
      </c>
      <c r="C92" s="101">
        <v>20</v>
      </c>
      <c r="D92" s="101">
        <v>20</v>
      </c>
      <c r="E92" s="101">
        <v>20</v>
      </c>
      <c r="F92" s="101">
        <v>20</v>
      </c>
      <c r="G92" s="101">
        <v>20</v>
      </c>
      <c r="H92" s="101">
        <v>20</v>
      </c>
      <c r="I92" s="101">
        <v>20</v>
      </c>
      <c r="J92" s="101">
        <v>20</v>
      </c>
      <c r="K92" s="101">
        <v>20</v>
      </c>
      <c r="L92" s="60">
        <v>20</v>
      </c>
    </row>
    <row r="93" spans="1:12" x14ac:dyDescent="0.35">
      <c r="B93" s="50" t="s">
        <v>2154</v>
      </c>
      <c r="C93" s="39">
        <v>22.5</v>
      </c>
      <c r="D93" s="39">
        <v>18</v>
      </c>
      <c r="E93" s="39" t="e">
        <v>#N/A</v>
      </c>
      <c r="F93" s="39" t="e">
        <v>#N/A</v>
      </c>
      <c r="G93" s="39" t="e">
        <v>#N/A</v>
      </c>
      <c r="H93" s="39" t="e">
        <v>#N/A</v>
      </c>
      <c r="I93" s="39" t="e">
        <v>#N/A</v>
      </c>
      <c r="J93" s="39" t="e">
        <v>#N/A</v>
      </c>
      <c r="K93" s="39" t="e">
        <v>#N/A</v>
      </c>
      <c r="L93" s="99" t="e">
        <v>#N/A</v>
      </c>
    </row>
    <row r="94" spans="1:12" x14ac:dyDescent="0.35">
      <c r="B94" s="46" t="s">
        <v>2153</v>
      </c>
      <c r="C94" s="77">
        <v>20</v>
      </c>
      <c r="D94" s="77">
        <v>20</v>
      </c>
      <c r="E94" s="77">
        <v>20</v>
      </c>
      <c r="F94" s="77">
        <v>20</v>
      </c>
      <c r="G94" s="77">
        <v>20</v>
      </c>
      <c r="H94" s="77">
        <v>20</v>
      </c>
      <c r="I94" s="77">
        <v>20</v>
      </c>
      <c r="J94" s="77">
        <v>20</v>
      </c>
      <c r="K94" s="77">
        <v>20</v>
      </c>
      <c r="L94" s="100">
        <v>20</v>
      </c>
    </row>
    <row r="95" spans="1:12" ht="13.15" x14ac:dyDescent="0.4">
      <c r="A95" s="41"/>
    </row>
    <row r="96" spans="1:12" ht="14.25" x14ac:dyDescent="0.45">
      <c r="A96" s="578" t="s">
        <v>2169</v>
      </c>
      <c r="B96" s="506"/>
      <c r="C96" s="506"/>
      <c r="H96" s="75"/>
      <c r="J96" s="75"/>
      <c r="L96" s="75"/>
    </row>
    <row r="97" spans="1:12" ht="14.25" x14ac:dyDescent="0.45">
      <c r="A97" s="586" t="s">
        <v>2168</v>
      </c>
      <c r="B97" s="506"/>
      <c r="C97" s="506"/>
      <c r="H97" s="75"/>
      <c r="J97" s="75"/>
      <c r="L97" s="75"/>
    </row>
    <row r="98" spans="1:12" ht="14.25" x14ac:dyDescent="0.45">
      <c r="A98" s="41"/>
      <c r="B98" s="104"/>
      <c r="C98" s="90" t="s">
        <v>1465</v>
      </c>
      <c r="D98" s="89" t="s">
        <v>1456</v>
      </c>
      <c r="H98" s="75"/>
      <c r="J98" s="75"/>
      <c r="L98" s="75"/>
    </row>
    <row r="99" spans="1:12" ht="14.25" x14ac:dyDescent="0.45">
      <c r="A99" s="41"/>
      <c r="B99" s="110" t="s">
        <v>1479</v>
      </c>
      <c r="C99" s="601">
        <v>32.319000000000003</v>
      </c>
      <c r="D99" s="601">
        <v>32.319000000000003</v>
      </c>
      <c r="H99" s="75"/>
      <c r="J99" s="75"/>
    </row>
    <row r="100" spans="1:12" ht="14.25" x14ac:dyDescent="0.45">
      <c r="A100" s="41"/>
      <c r="B100" s="110" t="s">
        <v>1478</v>
      </c>
      <c r="C100" s="601">
        <v>27.316800000000004</v>
      </c>
      <c r="D100" s="601">
        <v>27.316800000000004</v>
      </c>
      <c r="H100" s="75"/>
      <c r="J100" s="75"/>
    </row>
    <row r="101" spans="1:12" ht="13.15" x14ac:dyDescent="0.4">
      <c r="A101" s="41"/>
      <c r="B101" s="110" t="s">
        <v>1473</v>
      </c>
      <c r="C101" s="601">
        <v>38.304000000000002</v>
      </c>
      <c r="D101" s="601">
        <v>38.304000000000002</v>
      </c>
    </row>
    <row r="102" spans="1:12" ht="13.15" x14ac:dyDescent="0.4">
      <c r="A102" s="41"/>
      <c r="B102" s="108" t="s">
        <v>1472</v>
      </c>
      <c r="C102" s="600">
        <v>34.146000000000001</v>
      </c>
      <c r="D102" s="600">
        <v>34.146000000000001</v>
      </c>
    </row>
    <row r="103" spans="1:12" ht="13.15" x14ac:dyDescent="0.4">
      <c r="A103" s="41"/>
    </row>
    <row r="104" spans="1:12" ht="13.15" x14ac:dyDescent="0.4">
      <c r="A104" s="586" t="s">
        <v>2167</v>
      </c>
    </row>
    <row r="105" spans="1:12" ht="13.15" x14ac:dyDescent="0.4">
      <c r="A105" s="41"/>
      <c r="B105" s="104"/>
      <c r="C105" s="90" t="s">
        <v>1465</v>
      </c>
      <c r="D105" s="89" t="s">
        <v>1456</v>
      </c>
      <c r="F105" s="91" t="s">
        <v>2166</v>
      </c>
      <c r="G105" s="69" t="s">
        <v>2165</v>
      </c>
      <c r="H105" s="69" t="s">
        <v>2164</v>
      </c>
      <c r="I105" s="68" t="s">
        <v>2163</v>
      </c>
    </row>
    <row r="106" spans="1:12" ht="13.15" x14ac:dyDescent="0.4">
      <c r="A106" s="41"/>
      <c r="B106" s="110" t="s">
        <v>1477</v>
      </c>
      <c r="C106" s="599">
        <v>15.273378000000001</v>
      </c>
      <c r="D106" s="598">
        <v>15.273378000000001</v>
      </c>
      <c r="F106" s="594">
        <v>4.1895749999999996</v>
      </c>
      <c r="G106" s="593">
        <v>8.3235020000000013</v>
      </c>
      <c r="H106" s="593">
        <v>11.463488666666668</v>
      </c>
      <c r="I106" s="592">
        <v>15.273378000000001</v>
      </c>
    </row>
    <row r="107" spans="1:12" ht="13.15" x14ac:dyDescent="0.4">
      <c r="A107" s="41"/>
      <c r="B107" s="110" t="s">
        <v>1476</v>
      </c>
      <c r="C107" s="597">
        <v>11.9198445</v>
      </c>
      <c r="D107" s="595">
        <v>11.9198445</v>
      </c>
      <c r="F107" s="594">
        <v>3.3560058333333331</v>
      </c>
      <c r="G107" s="593">
        <v>6.4982500000000005</v>
      </c>
      <c r="H107" s="593">
        <v>8.9012793333333331</v>
      </c>
      <c r="I107" s="592">
        <v>11.9198445</v>
      </c>
    </row>
    <row r="108" spans="1:12" ht="13.15" x14ac:dyDescent="0.4">
      <c r="A108" s="41"/>
      <c r="B108" s="110" t="s">
        <v>1475</v>
      </c>
      <c r="C108" s="596">
        <v>26.914588235294119</v>
      </c>
      <c r="D108" s="595">
        <v>26.914588235294119</v>
      </c>
      <c r="F108" s="594">
        <v>26.914588235294119</v>
      </c>
      <c r="G108" s="593">
        <v>84.122220000000013</v>
      </c>
      <c r="H108" s="593"/>
      <c r="I108" s="592"/>
    </row>
    <row r="109" spans="1:12" ht="13.15" x14ac:dyDescent="0.4">
      <c r="A109" s="41"/>
      <c r="B109" s="108" t="s">
        <v>1474</v>
      </c>
      <c r="C109" s="591">
        <v>21.684972000000002</v>
      </c>
      <c r="D109" s="590">
        <v>21.684972000000002</v>
      </c>
      <c r="F109" s="589">
        <v>21.684972000000002</v>
      </c>
      <c r="G109" s="588">
        <v>63.753</v>
      </c>
      <c r="H109" s="588"/>
      <c r="I109" s="587"/>
    </row>
    <row r="110" spans="1:12" s="506" customFormat="1" ht="13.15" x14ac:dyDescent="0.4">
      <c r="A110" s="586"/>
      <c r="B110" s="585"/>
      <c r="C110" s="584"/>
      <c r="D110" s="584"/>
    </row>
    <row r="111" spans="1:12" s="506" customFormat="1" ht="13.15" x14ac:dyDescent="0.4">
      <c r="A111" s="41" t="s">
        <v>2162</v>
      </c>
      <c r="B111" s="39"/>
      <c r="C111" s="39"/>
      <c r="D111" s="39"/>
      <c r="E111" s="39"/>
    </row>
    <row r="112" spans="1:12" s="506" customFormat="1" x14ac:dyDescent="0.35">
      <c r="A112" s="39"/>
      <c r="B112" s="91"/>
      <c r="C112" s="367" t="s">
        <v>1471</v>
      </c>
      <c r="D112" s="367" t="s">
        <v>1465</v>
      </c>
      <c r="E112" s="366" t="s">
        <v>1807</v>
      </c>
    </row>
    <row r="113" spans="1:32" s="506" customFormat="1" x14ac:dyDescent="0.35">
      <c r="A113" s="39"/>
      <c r="B113" s="110" t="s">
        <v>1551</v>
      </c>
      <c r="C113" s="582">
        <v>2</v>
      </c>
      <c r="E113" s="583"/>
    </row>
    <row r="114" spans="1:32" s="506" customFormat="1" x14ac:dyDescent="0.35">
      <c r="A114" s="39"/>
      <c r="B114" s="110" t="s">
        <v>293</v>
      </c>
      <c r="C114" s="582">
        <v>2</v>
      </c>
      <c r="D114" s="582">
        <v>0</v>
      </c>
      <c r="E114" s="581">
        <v>0</v>
      </c>
    </row>
    <row r="115" spans="1:32" s="506" customFormat="1" x14ac:dyDescent="0.35">
      <c r="A115" s="39"/>
      <c r="B115" s="110" t="s">
        <v>294</v>
      </c>
      <c r="C115" s="582">
        <v>2</v>
      </c>
      <c r="D115" s="582">
        <v>0</v>
      </c>
      <c r="E115" s="581">
        <v>0</v>
      </c>
    </row>
    <row r="116" spans="1:32" s="506" customFormat="1" x14ac:dyDescent="0.35">
      <c r="A116" s="39"/>
      <c r="B116" s="110" t="s">
        <v>1453</v>
      </c>
      <c r="C116" s="582">
        <v>2</v>
      </c>
      <c r="D116" s="582">
        <v>0</v>
      </c>
      <c r="E116" s="581">
        <v>0</v>
      </c>
    </row>
    <row r="117" spans="1:32" x14ac:dyDescent="0.35">
      <c r="B117" s="108" t="s">
        <v>1548</v>
      </c>
      <c r="C117" s="580">
        <v>2</v>
      </c>
      <c r="D117" s="580">
        <v>0</v>
      </c>
      <c r="E117" s="579">
        <v>0</v>
      </c>
    </row>
    <row r="118" spans="1:32" x14ac:dyDescent="0.35">
      <c r="B118" s="216"/>
      <c r="C118" s="365"/>
      <c r="D118" s="365"/>
      <c r="E118" s="365"/>
    </row>
    <row r="119" spans="1:32" ht="13.9" x14ac:dyDescent="0.4">
      <c r="A119" s="578" t="s">
        <v>2161</v>
      </c>
      <c r="B119" s="506"/>
      <c r="C119" s="506"/>
      <c r="D119" s="506"/>
      <c r="E119" s="506"/>
      <c r="F119" s="506"/>
      <c r="G119" s="506"/>
      <c r="H119" s="506"/>
    </row>
    <row r="120" spans="1:32" ht="25.5" x14ac:dyDescent="0.35">
      <c r="A120" s="506"/>
      <c r="B120" s="87" t="s">
        <v>1799</v>
      </c>
      <c r="C120" s="103" t="s">
        <v>1798</v>
      </c>
      <c r="D120" s="103" t="s">
        <v>1797</v>
      </c>
      <c r="E120" s="103" t="s">
        <v>1796</v>
      </c>
      <c r="F120" s="103" t="s">
        <v>1795</v>
      </c>
      <c r="G120" s="103" t="s">
        <v>1794</v>
      </c>
      <c r="H120" s="89" t="s">
        <v>1793</v>
      </c>
    </row>
    <row r="121" spans="1:32" x14ac:dyDescent="0.35">
      <c r="A121" s="506"/>
      <c r="B121" s="577">
        <v>39</v>
      </c>
      <c r="C121" s="576">
        <v>0</v>
      </c>
      <c r="D121" s="576">
        <v>3</v>
      </c>
      <c r="E121" s="576">
        <v>1</v>
      </c>
      <c r="F121" s="576">
        <v>3</v>
      </c>
      <c r="G121" s="576">
        <v>19</v>
      </c>
      <c r="H121" s="575">
        <v>0</v>
      </c>
    </row>
    <row r="122" spans="1:32" ht="13.15" x14ac:dyDescent="0.4">
      <c r="A122" s="41"/>
    </row>
    <row r="123" spans="1:32" ht="13.9" x14ac:dyDescent="0.4">
      <c r="A123" s="72" t="s">
        <v>2160</v>
      </c>
    </row>
    <row r="124" spans="1:32" ht="38.25" x14ac:dyDescent="0.35">
      <c r="B124" s="87"/>
      <c r="C124" s="103" t="s">
        <v>1481</v>
      </c>
      <c r="D124" s="103" t="s">
        <v>1480</v>
      </c>
      <c r="E124" s="103" t="s">
        <v>1479</v>
      </c>
      <c r="F124" s="103" t="s">
        <v>1478</v>
      </c>
      <c r="G124" s="103" t="s">
        <v>1477</v>
      </c>
      <c r="H124" s="103" t="s">
        <v>1476</v>
      </c>
      <c r="I124" s="103" t="s">
        <v>1475</v>
      </c>
      <c r="J124" s="103" t="s">
        <v>1474</v>
      </c>
      <c r="K124" s="103" t="s">
        <v>1473</v>
      </c>
      <c r="L124" s="86" t="s">
        <v>1472</v>
      </c>
    </row>
    <row r="125" spans="1:32" x14ac:dyDescent="0.35">
      <c r="B125" s="574" t="s">
        <v>2159</v>
      </c>
      <c r="C125" s="285">
        <v>173151</v>
      </c>
      <c r="D125" s="285">
        <v>173151</v>
      </c>
      <c r="E125" s="285">
        <v>173151</v>
      </c>
      <c r="F125" s="285">
        <v>173151</v>
      </c>
      <c r="G125" s="285">
        <v>173151</v>
      </c>
      <c r="H125" s="285">
        <v>173151</v>
      </c>
      <c r="I125" s="285">
        <v>121205.7</v>
      </c>
      <c r="J125" s="285">
        <v>121205.7</v>
      </c>
      <c r="K125" s="285">
        <v>173151</v>
      </c>
      <c r="L125" s="283">
        <v>173151</v>
      </c>
    </row>
    <row r="127" spans="1:32" ht="13.9" x14ac:dyDescent="0.4">
      <c r="A127" s="72" t="s">
        <v>2158</v>
      </c>
    </row>
    <row r="128" spans="1:32" ht="13.9" x14ac:dyDescent="0.4">
      <c r="A128" s="72"/>
      <c r="B128" s="55"/>
      <c r="C128" s="2194" t="s">
        <v>2157</v>
      </c>
      <c r="D128" s="2194"/>
      <c r="E128" s="2194"/>
      <c r="F128" s="2194"/>
      <c r="G128" s="2194"/>
      <c r="H128" s="2194"/>
      <c r="I128" s="2194"/>
      <c r="J128" s="2194"/>
      <c r="K128" s="2194"/>
      <c r="L128" s="2195"/>
      <c r="M128" s="2193" t="s">
        <v>2155</v>
      </c>
      <c r="N128" s="2194"/>
      <c r="O128" s="2194"/>
      <c r="P128" s="2194"/>
      <c r="Q128" s="2194"/>
      <c r="R128" s="2194"/>
      <c r="S128" s="2194"/>
      <c r="T128" s="2194"/>
      <c r="U128" s="2194"/>
      <c r="V128" s="2195"/>
      <c r="W128" s="2193" t="s">
        <v>2154</v>
      </c>
      <c r="X128" s="2194"/>
      <c r="Y128" s="2194"/>
      <c r="Z128" s="2194"/>
      <c r="AA128" s="2194"/>
      <c r="AB128" s="2194"/>
      <c r="AC128" s="2194"/>
      <c r="AD128" s="2194"/>
      <c r="AE128" s="2194"/>
      <c r="AF128" s="2195"/>
    </row>
    <row r="129" spans="2:32" ht="38.25" x14ac:dyDescent="0.35">
      <c r="B129" s="55"/>
      <c r="C129" s="134" t="s">
        <v>1481</v>
      </c>
      <c r="D129" s="134" t="s">
        <v>1480</v>
      </c>
      <c r="E129" s="134" t="s">
        <v>1479</v>
      </c>
      <c r="F129" s="134" t="s">
        <v>1478</v>
      </c>
      <c r="G129" s="134" t="s">
        <v>1477</v>
      </c>
      <c r="H129" s="134" t="s">
        <v>1476</v>
      </c>
      <c r="I129" s="134" t="s">
        <v>1475</v>
      </c>
      <c r="J129" s="134" t="s">
        <v>1474</v>
      </c>
      <c r="K129" s="134" t="s">
        <v>1473</v>
      </c>
      <c r="L129" s="133" t="s">
        <v>1472</v>
      </c>
      <c r="M129" s="87" t="s">
        <v>1481</v>
      </c>
      <c r="N129" s="103" t="s">
        <v>1480</v>
      </c>
      <c r="O129" s="103" t="s">
        <v>1479</v>
      </c>
      <c r="P129" s="103" t="s">
        <v>1478</v>
      </c>
      <c r="Q129" s="103" t="s">
        <v>1477</v>
      </c>
      <c r="R129" s="103" t="s">
        <v>1476</v>
      </c>
      <c r="S129" s="103" t="s">
        <v>1475</v>
      </c>
      <c r="T129" s="103" t="s">
        <v>1474</v>
      </c>
      <c r="U129" s="103" t="s">
        <v>1473</v>
      </c>
      <c r="V129" s="86" t="s">
        <v>1472</v>
      </c>
      <c r="W129" s="87" t="s">
        <v>1481</v>
      </c>
      <c r="X129" s="103" t="s">
        <v>1480</v>
      </c>
      <c r="Y129" s="103" t="s">
        <v>1479</v>
      </c>
      <c r="Z129" s="103" t="s">
        <v>1478</v>
      </c>
      <c r="AA129" s="103" t="s">
        <v>1477</v>
      </c>
      <c r="AB129" s="103" t="s">
        <v>1476</v>
      </c>
      <c r="AC129" s="103" t="s">
        <v>1475</v>
      </c>
      <c r="AD129" s="103" t="s">
        <v>1474</v>
      </c>
      <c r="AE129" s="103" t="s">
        <v>1473</v>
      </c>
      <c r="AF129" s="86" t="s">
        <v>1472</v>
      </c>
    </row>
    <row r="130" spans="2:32" ht="13.15" x14ac:dyDescent="0.4">
      <c r="B130" s="178" t="s">
        <v>405</v>
      </c>
      <c r="C130" s="138"/>
      <c r="D130" s="138"/>
      <c r="E130" s="138"/>
      <c r="F130" s="138"/>
      <c r="G130" s="138"/>
      <c r="H130" s="138"/>
      <c r="I130" s="138"/>
      <c r="J130" s="138"/>
      <c r="K130" s="138"/>
      <c r="L130" s="137"/>
      <c r="M130" s="59"/>
      <c r="V130" s="99"/>
      <c r="W130" s="59"/>
      <c r="AF130" s="99"/>
    </row>
    <row r="131" spans="2:32" x14ac:dyDescent="0.35">
      <c r="B131" s="50" t="s">
        <v>1438</v>
      </c>
      <c r="C131" s="132">
        <v>0.68300000000000005</v>
      </c>
      <c r="D131" s="132">
        <v>0.111</v>
      </c>
      <c r="E131" s="132">
        <v>0.68300000000000005</v>
      </c>
      <c r="F131" s="132">
        <v>0.108</v>
      </c>
      <c r="G131" s="132">
        <v>0.68300000000000005</v>
      </c>
      <c r="H131" s="132">
        <v>0.105</v>
      </c>
      <c r="I131" s="132">
        <v>0.68300000000000005</v>
      </c>
      <c r="J131" s="132">
        <v>0.10299999999999999</v>
      </c>
      <c r="K131" s="132">
        <v>0.68300000000000005</v>
      </c>
      <c r="L131" s="132">
        <v>0.10299999999999999</v>
      </c>
      <c r="M131" s="571">
        <v>0.68300000000000005</v>
      </c>
      <c r="N131" s="569">
        <v>0.111</v>
      </c>
      <c r="O131" s="569">
        <v>0.68300000000000005</v>
      </c>
      <c r="P131" s="569">
        <v>0.108</v>
      </c>
      <c r="Q131" s="569">
        <v>0.68300000000000005</v>
      </c>
      <c r="R131" s="569">
        <v>0.105</v>
      </c>
      <c r="S131" s="569">
        <v>0.68300000000000005</v>
      </c>
      <c r="T131" s="569">
        <v>0.10299999999999999</v>
      </c>
      <c r="U131" s="569">
        <v>0.68300000000000005</v>
      </c>
      <c r="V131" s="58">
        <v>0.10299999999999999</v>
      </c>
      <c r="W131" s="571">
        <v>0.72631219645582856</v>
      </c>
      <c r="X131" s="569">
        <v>0.55091411552399427</v>
      </c>
      <c r="Y131" s="569">
        <v>0</v>
      </c>
      <c r="Z131" s="569">
        <v>0</v>
      </c>
      <c r="AA131" s="569">
        <v>0</v>
      </c>
      <c r="AB131" s="569">
        <v>0</v>
      </c>
      <c r="AC131" s="569">
        <v>0</v>
      </c>
      <c r="AD131" s="569">
        <v>0</v>
      </c>
      <c r="AE131" s="569">
        <v>0</v>
      </c>
      <c r="AF131" s="58">
        <v>0</v>
      </c>
    </row>
    <row r="132" spans="2:32" x14ac:dyDescent="0.35">
      <c r="B132" s="50" t="s">
        <v>1446</v>
      </c>
      <c r="C132" s="132">
        <v>7.0000000000000001E-3</v>
      </c>
      <c r="D132" s="132">
        <v>9.0999999999999998E-2</v>
      </c>
      <c r="E132" s="132">
        <v>7.0000000000000001E-3</v>
      </c>
      <c r="F132" s="132">
        <v>8.8999999999999996E-2</v>
      </c>
      <c r="G132" s="132">
        <v>7.0000000000000001E-3</v>
      </c>
      <c r="H132" s="132">
        <v>6.7000000000000004E-2</v>
      </c>
      <c r="I132" s="132">
        <v>7.0000000000000001E-3</v>
      </c>
      <c r="J132" s="132">
        <v>6.6000000000000003E-2</v>
      </c>
      <c r="K132" s="132">
        <v>7.0000000000000001E-3</v>
      </c>
      <c r="L132" s="132">
        <v>8.5000000000000006E-2</v>
      </c>
      <c r="M132" s="571">
        <v>7.0000000000000001E-3</v>
      </c>
      <c r="N132" s="569">
        <v>9.0999999999999998E-2</v>
      </c>
      <c r="O132" s="569">
        <v>7.0000000000000001E-3</v>
      </c>
      <c r="P132" s="569">
        <v>8.8999999999999996E-2</v>
      </c>
      <c r="Q132" s="569">
        <v>7.0000000000000001E-3</v>
      </c>
      <c r="R132" s="569">
        <v>6.7000000000000004E-2</v>
      </c>
      <c r="S132" s="569">
        <v>7.0000000000000001E-3</v>
      </c>
      <c r="T132" s="569">
        <v>6.6000000000000003E-2</v>
      </c>
      <c r="U132" s="569">
        <v>7.0000000000000001E-3</v>
      </c>
      <c r="V132" s="58">
        <v>8.5000000000000006E-2</v>
      </c>
      <c r="W132" s="571">
        <v>9.0988210582451136E-3</v>
      </c>
      <c r="X132" s="569">
        <v>8.1950359871262465E-2</v>
      </c>
      <c r="Y132" s="569">
        <v>0</v>
      </c>
      <c r="Z132" s="569">
        <v>0</v>
      </c>
      <c r="AA132" s="569">
        <v>0</v>
      </c>
      <c r="AB132" s="569">
        <v>0</v>
      </c>
      <c r="AC132" s="569">
        <v>0</v>
      </c>
      <c r="AD132" s="569">
        <v>0</v>
      </c>
      <c r="AE132" s="569">
        <v>0</v>
      </c>
      <c r="AF132" s="58">
        <v>0</v>
      </c>
    </row>
    <row r="133" spans="2:32" x14ac:dyDescent="0.35">
      <c r="B133" s="50" t="s">
        <v>290</v>
      </c>
      <c r="C133" s="132">
        <v>0</v>
      </c>
      <c r="D133" s="132">
        <v>0</v>
      </c>
      <c r="E133" s="132">
        <v>0</v>
      </c>
      <c r="F133" s="132">
        <v>0</v>
      </c>
      <c r="G133" s="132">
        <v>0</v>
      </c>
      <c r="H133" s="132">
        <v>0</v>
      </c>
      <c r="I133" s="132">
        <v>0</v>
      </c>
      <c r="J133" s="132">
        <v>0</v>
      </c>
      <c r="K133" s="132">
        <v>0</v>
      </c>
      <c r="L133" s="132">
        <v>0</v>
      </c>
      <c r="M133" s="571">
        <v>0</v>
      </c>
      <c r="N133" s="569">
        <v>0</v>
      </c>
      <c r="O133" s="569">
        <v>0</v>
      </c>
      <c r="P133" s="569">
        <v>0</v>
      </c>
      <c r="Q133" s="569">
        <v>0</v>
      </c>
      <c r="R133" s="569">
        <v>0</v>
      </c>
      <c r="S133" s="569">
        <v>0</v>
      </c>
      <c r="T133" s="569">
        <v>0</v>
      </c>
      <c r="U133" s="569">
        <v>0</v>
      </c>
      <c r="V133" s="58">
        <v>0</v>
      </c>
      <c r="W133" s="571">
        <v>3.1194477774784857E-3</v>
      </c>
      <c r="X133" s="569">
        <v>9.1474005240040328E-3</v>
      </c>
      <c r="Y133" s="569">
        <v>0</v>
      </c>
      <c r="Z133" s="569">
        <v>0</v>
      </c>
      <c r="AA133" s="569">
        <v>0</v>
      </c>
      <c r="AB133" s="569">
        <v>0</v>
      </c>
      <c r="AC133" s="569">
        <v>0</v>
      </c>
      <c r="AD133" s="569">
        <v>0</v>
      </c>
      <c r="AE133" s="569">
        <v>0</v>
      </c>
      <c r="AF133" s="58">
        <v>0</v>
      </c>
    </row>
    <row r="134" spans="2:32" x14ac:dyDescent="0.35">
      <c r="B134" s="50" t="s">
        <v>1498</v>
      </c>
      <c r="C134" s="132">
        <v>1.9E-2</v>
      </c>
      <c r="D134" s="132">
        <v>3.5999999999999997E-2</v>
      </c>
      <c r="E134" s="132">
        <v>1.9E-2</v>
      </c>
      <c r="F134" s="132">
        <v>3.5000000000000003E-2</v>
      </c>
      <c r="G134" s="132">
        <v>1.9E-2</v>
      </c>
      <c r="H134" s="132">
        <v>3.4000000000000002E-2</v>
      </c>
      <c r="I134" s="132">
        <v>1.9E-2</v>
      </c>
      <c r="J134" s="132">
        <v>3.3000000000000002E-2</v>
      </c>
      <c r="K134" s="132">
        <v>1.9E-2</v>
      </c>
      <c r="L134" s="132">
        <v>3.3000000000000002E-2</v>
      </c>
      <c r="M134" s="571">
        <v>1.9E-2</v>
      </c>
      <c r="N134" s="569">
        <v>3.5999999999999997E-2</v>
      </c>
      <c r="O134" s="569">
        <v>1.9E-2</v>
      </c>
      <c r="P134" s="569">
        <v>3.5000000000000003E-2</v>
      </c>
      <c r="Q134" s="569">
        <v>1.9E-2</v>
      </c>
      <c r="R134" s="569">
        <v>3.4000000000000002E-2</v>
      </c>
      <c r="S134" s="569">
        <v>1.9E-2</v>
      </c>
      <c r="T134" s="569">
        <v>3.3000000000000002E-2</v>
      </c>
      <c r="U134" s="569">
        <v>1.9E-2</v>
      </c>
      <c r="V134" s="58">
        <v>3.3000000000000002E-2</v>
      </c>
      <c r="W134" s="571">
        <v>4.6636274837905736E-3</v>
      </c>
      <c r="X134" s="569">
        <v>3.7718234306474445E-3</v>
      </c>
      <c r="Y134" s="569">
        <v>0</v>
      </c>
      <c r="Z134" s="569">
        <v>0</v>
      </c>
      <c r="AA134" s="569">
        <v>0</v>
      </c>
      <c r="AB134" s="569">
        <v>0</v>
      </c>
      <c r="AC134" s="569">
        <v>0</v>
      </c>
      <c r="AD134" s="569">
        <v>0</v>
      </c>
      <c r="AE134" s="569">
        <v>0</v>
      </c>
      <c r="AF134" s="58">
        <v>0</v>
      </c>
    </row>
    <row r="135" spans="2:32" x14ac:dyDescent="0.35">
      <c r="B135" s="50" t="s">
        <v>241</v>
      </c>
      <c r="C135" s="132">
        <v>0</v>
      </c>
      <c r="D135" s="132">
        <v>0</v>
      </c>
      <c r="E135" s="132">
        <v>0</v>
      </c>
      <c r="F135" s="132">
        <v>0</v>
      </c>
      <c r="G135" s="132">
        <v>0</v>
      </c>
      <c r="H135" s="132">
        <v>0</v>
      </c>
      <c r="I135" s="132">
        <v>0</v>
      </c>
      <c r="J135" s="132">
        <v>0</v>
      </c>
      <c r="K135" s="132">
        <v>0</v>
      </c>
      <c r="L135" s="132">
        <v>0</v>
      </c>
      <c r="M135" s="571">
        <v>0</v>
      </c>
      <c r="N135" s="569">
        <v>0</v>
      </c>
      <c r="O135" s="569">
        <v>0</v>
      </c>
      <c r="P135" s="569">
        <v>0</v>
      </c>
      <c r="Q135" s="569">
        <v>0</v>
      </c>
      <c r="R135" s="569">
        <v>0</v>
      </c>
      <c r="S135" s="569">
        <v>0</v>
      </c>
      <c r="T135" s="569">
        <v>0</v>
      </c>
      <c r="U135" s="569">
        <v>0</v>
      </c>
      <c r="V135" s="58">
        <v>0</v>
      </c>
      <c r="W135" s="571">
        <v>1.866771147080671E-4</v>
      </c>
      <c r="X135" s="569">
        <v>2.4208414655811639E-4</v>
      </c>
      <c r="Y135" s="569">
        <v>0</v>
      </c>
      <c r="Z135" s="569">
        <v>0</v>
      </c>
      <c r="AA135" s="569">
        <v>0</v>
      </c>
      <c r="AB135" s="569">
        <v>0</v>
      </c>
      <c r="AC135" s="569">
        <v>0</v>
      </c>
      <c r="AD135" s="569">
        <v>0</v>
      </c>
      <c r="AE135" s="569">
        <v>0</v>
      </c>
      <c r="AF135" s="58">
        <v>0</v>
      </c>
    </row>
    <row r="136" spans="2:32" x14ac:dyDescent="0.35">
      <c r="B136" s="50" t="s">
        <v>1462</v>
      </c>
      <c r="C136" s="132">
        <v>4.0000000000000002E-4</v>
      </c>
      <c r="D136" s="132">
        <v>8.9999999999999993E-3</v>
      </c>
      <c r="E136" s="132">
        <v>4.0000000000000002E-4</v>
      </c>
      <c r="F136" s="132">
        <v>8.9999999999999993E-3</v>
      </c>
      <c r="G136" s="132">
        <v>4.0000000000000002E-4</v>
      </c>
      <c r="H136" s="132">
        <v>8.9999999999999993E-3</v>
      </c>
      <c r="I136" s="132">
        <v>4.0000000000000002E-4</v>
      </c>
      <c r="J136" s="132">
        <v>8.9999999999999993E-3</v>
      </c>
      <c r="K136" s="132">
        <v>4.0000000000000002E-4</v>
      </c>
      <c r="L136" s="132">
        <v>8.9999999999999993E-3</v>
      </c>
      <c r="M136" s="571">
        <v>4.0000000000000002E-4</v>
      </c>
      <c r="N136" s="569">
        <v>8.9999999999999993E-3</v>
      </c>
      <c r="O136" s="569">
        <v>4.0000000000000002E-4</v>
      </c>
      <c r="P136" s="569">
        <v>8.9999999999999993E-3</v>
      </c>
      <c r="Q136" s="569">
        <v>4.0000000000000002E-4</v>
      </c>
      <c r="R136" s="569">
        <v>8.9999999999999993E-3</v>
      </c>
      <c r="S136" s="569">
        <v>4.0000000000000002E-4</v>
      </c>
      <c r="T136" s="569">
        <v>8.9999999999999993E-3</v>
      </c>
      <c r="U136" s="569">
        <v>4.0000000000000002E-4</v>
      </c>
      <c r="V136" s="58">
        <v>8.9999999999999993E-3</v>
      </c>
      <c r="W136" s="571">
        <v>0</v>
      </c>
      <c r="X136" s="569">
        <v>1.1467329490072557E-2</v>
      </c>
      <c r="Y136" s="569">
        <v>0</v>
      </c>
      <c r="Z136" s="569">
        <v>0</v>
      </c>
      <c r="AA136" s="569">
        <v>0</v>
      </c>
      <c r="AB136" s="569">
        <v>0</v>
      </c>
      <c r="AC136" s="569">
        <v>0</v>
      </c>
      <c r="AD136" s="569">
        <v>0</v>
      </c>
      <c r="AE136" s="569">
        <v>0</v>
      </c>
      <c r="AF136" s="58">
        <v>0</v>
      </c>
    </row>
    <row r="137" spans="2:32" x14ac:dyDescent="0.35">
      <c r="B137" s="50" t="s">
        <v>1493</v>
      </c>
      <c r="C137" s="132">
        <v>0</v>
      </c>
      <c r="D137" s="132">
        <v>0</v>
      </c>
      <c r="E137" s="132">
        <v>0</v>
      </c>
      <c r="F137" s="132">
        <v>0</v>
      </c>
      <c r="G137" s="132">
        <v>0</v>
      </c>
      <c r="H137" s="132">
        <v>0</v>
      </c>
      <c r="I137" s="132">
        <v>0</v>
      </c>
      <c r="J137" s="132">
        <v>0</v>
      </c>
      <c r="K137" s="132">
        <v>0</v>
      </c>
      <c r="L137" s="132">
        <v>0</v>
      </c>
      <c r="M137" s="571">
        <v>0</v>
      </c>
      <c r="N137" s="569">
        <v>0</v>
      </c>
      <c r="O137" s="569">
        <v>0</v>
      </c>
      <c r="P137" s="569">
        <v>0</v>
      </c>
      <c r="Q137" s="569">
        <v>0</v>
      </c>
      <c r="R137" s="569">
        <v>0</v>
      </c>
      <c r="S137" s="569">
        <v>0</v>
      </c>
      <c r="T137" s="569">
        <v>0</v>
      </c>
      <c r="U137" s="569">
        <v>0</v>
      </c>
      <c r="V137" s="58">
        <v>0</v>
      </c>
      <c r="W137" s="571">
        <v>0</v>
      </c>
      <c r="X137" s="569">
        <v>0</v>
      </c>
      <c r="Y137" s="569">
        <v>0</v>
      </c>
      <c r="Z137" s="569">
        <v>0</v>
      </c>
      <c r="AA137" s="569">
        <v>0</v>
      </c>
      <c r="AB137" s="569">
        <v>0</v>
      </c>
      <c r="AC137" s="569">
        <v>0</v>
      </c>
      <c r="AD137" s="569">
        <v>0</v>
      </c>
      <c r="AE137" s="569">
        <v>0</v>
      </c>
      <c r="AF137" s="58">
        <v>0</v>
      </c>
    </row>
    <row r="138" spans="2:32" x14ac:dyDescent="0.35">
      <c r="B138" s="50" t="s">
        <v>1514</v>
      </c>
      <c r="C138" s="132">
        <v>6.5000000000000002E-2</v>
      </c>
      <c r="D138" s="132">
        <v>7.6999999999999999E-2</v>
      </c>
      <c r="E138" s="132">
        <v>6.5000000000000002E-2</v>
      </c>
      <c r="F138" s="132">
        <v>7.4999999999999997E-2</v>
      </c>
      <c r="G138" s="132">
        <v>6.5000000000000002E-2</v>
      </c>
      <c r="H138" s="132">
        <v>7.2999999999999995E-2</v>
      </c>
      <c r="I138" s="132">
        <v>6.5000000000000002E-2</v>
      </c>
      <c r="J138" s="132">
        <v>7.1999999999999995E-2</v>
      </c>
      <c r="K138" s="132">
        <v>6.5000000000000002E-2</v>
      </c>
      <c r="L138" s="132">
        <v>7.1999999999999995E-2</v>
      </c>
      <c r="M138" s="571">
        <v>6.5000000000000002E-2</v>
      </c>
      <c r="N138" s="569">
        <v>7.6999999999999999E-2</v>
      </c>
      <c r="O138" s="569">
        <v>6.5000000000000002E-2</v>
      </c>
      <c r="P138" s="569">
        <v>7.4999999999999997E-2</v>
      </c>
      <c r="Q138" s="569">
        <v>6.5000000000000002E-2</v>
      </c>
      <c r="R138" s="569">
        <v>7.2999999999999995E-2</v>
      </c>
      <c r="S138" s="569">
        <v>6.5000000000000002E-2</v>
      </c>
      <c r="T138" s="569">
        <v>7.1999999999999995E-2</v>
      </c>
      <c r="U138" s="569">
        <v>6.5000000000000002E-2</v>
      </c>
      <c r="V138" s="58">
        <v>7.1999999999999995E-2</v>
      </c>
      <c r="W138" s="571">
        <v>4.603858701123438E-2</v>
      </c>
      <c r="X138" s="569">
        <v>6.004886493726401E-2</v>
      </c>
      <c r="Y138" s="569">
        <v>0</v>
      </c>
      <c r="Z138" s="569">
        <v>0</v>
      </c>
      <c r="AA138" s="569">
        <v>0</v>
      </c>
      <c r="AB138" s="569">
        <v>0</v>
      </c>
      <c r="AC138" s="569">
        <v>0</v>
      </c>
      <c r="AD138" s="569">
        <v>0</v>
      </c>
      <c r="AE138" s="569">
        <v>0</v>
      </c>
      <c r="AF138" s="58">
        <v>0</v>
      </c>
    </row>
    <row r="139" spans="2:32" x14ac:dyDescent="0.35">
      <c r="B139" s="50" t="s">
        <v>1504</v>
      </c>
      <c r="C139" s="132">
        <v>0</v>
      </c>
      <c r="D139" s="132">
        <v>0.38100000000000001</v>
      </c>
      <c r="E139" s="132">
        <v>0</v>
      </c>
      <c r="F139" s="132">
        <v>0.39700000000000002</v>
      </c>
      <c r="G139" s="132">
        <v>0</v>
      </c>
      <c r="H139" s="132">
        <v>0.41199999999999998</v>
      </c>
      <c r="I139" s="132">
        <v>0</v>
      </c>
      <c r="J139" s="132">
        <v>0.42599999999999999</v>
      </c>
      <c r="K139" s="132">
        <v>0</v>
      </c>
      <c r="L139" s="132">
        <v>0.42299999999999999</v>
      </c>
      <c r="M139" s="571">
        <v>0</v>
      </c>
      <c r="N139" s="569">
        <v>0.38100000000000001</v>
      </c>
      <c r="O139" s="569">
        <v>0</v>
      </c>
      <c r="P139" s="569">
        <v>0.39700000000000002</v>
      </c>
      <c r="Q139" s="569">
        <v>0</v>
      </c>
      <c r="R139" s="569">
        <v>0.41199999999999998</v>
      </c>
      <c r="S139" s="569">
        <v>0</v>
      </c>
      <c r="T139" s="569">
        <v>0.42599999999999999</v>
      </c>
      <c r="U139" s="569">
        <v>0</v>
      </c>
      <c r="V139" s="58">
        <v>0.42299999999999999</v>
      </c>
      <c r="W139" s="571">
        <v>0</v>
      </c>
      <c r="X139" s="569">
        <v>4.5811981312839867E-2</v>
      </c>
      <c r="Y139" s="569">
        <v>0</v>
      </c>
      <c r="Z139" s="569">
        <v>0</v>
      </c>
      <c r="AA139" s="569">
        <v>0</v>
      </c>
      <c r="AB139" s="569">
        <v>0</v>
      </c>
      <c r="AC139" s="569">
        <v>0</v>
      </c>
      <c r="AD139" s="569">
        <v>0</v>
      </c>
      <c r="AE139" s="569">
        <v>0</v>
      </c>
      <c r="AF139" s="58">
        <v>0</v>
      </c>
    </row>
    <row r="140" spans="2:32" x14ac:dyDescent="0.35">
      <c r="B140" s="50" t="s">
        <v>1497</v>
      </c>
      <c r="C140" s="132">
        <v>0.18099999999999999</v>
      </c>
      <c r="D140" s="132">
        <v>0.23599999999999999</v>
      </c>
      <c r="E140" s="132">
        <v>0.18099999999999999</v>
      </c>
      <c r="F140" s="132">
        <v>0.22900000000000001</v>
      </c>
      <c r="G140" s="132">
        <v>0.18099999999999999</v>
      </c>
      <c r="H140" s="132">
        <v>0.24299999999999999</v>
      </c>
      <c r="I140" s="132">
        <v>0.18099999999999999</v>
      </c>
      <c r="J140" s="132">
        <v>0.23799999999999999</v>
      </c>
      <c r="K140" s="132">
        <v>0.18099999999999999</v>
      </c>
      <c r="L140" s="132">
        <v>0.22</v>
      </c>
      <c r="M140" s="571">
        <v>0.18099999999999999</v>
      </c>
      <c r="N140" s="569">
        <v>0.23599999999999999</v>
      </c>
      <c r="O140" s="569">
        <v>0.18099999999999999</v>
      </c>
      <c r="P140" s="569">
        <v>0.22900000000000001</v>
      </c>
      <c r="Q140" s="569">
        <v>0.18099999999999999</v>
      </c>
      <c r="R140" s="569">
        <v>0.24299999999999999</v>
      </c>
      <c r="S140" s="569">
        <v>0.18099999999999999</v>
      </c>
      <c r="T140" s="569">
        <v>0.23799999999999999</v>
      </c>
      <c r="U140" s="569">
        <v>0.18099999999999999</v>
      </c>
      <c r="V140" s="58">
        <v>0.22</v>
      </c>
      <c r="W140" s="571">
        <v>0.16720719772102099</v>
      </c>
      <c r="X140" s="569">
        <v>0.19698932497476748</v>
      </c>
      <c r="Y140" s="569">
        <v>0</v>
      </c>
      <c r="Z140" s="569">
        <v>0</v>
      </c>
      <c r="AA140" s="569">
        <v>0</v>
      </c>
      <c r="AB140" s="569">
        <v>0</v>
      </c>
      <c r="AC140" s="569">
        <v>0</v>
      </c>
      <c r="AD140" s="569">
        <v>0</v>
      </c>
      <c r="AE140" s="569">
        <v>0</v>
      </c>
      <c r="AF140" s="58">
        <v>0</v>
      </c>
    </row>
    <row r="141" spans="2:32" x14ac:dyDescent="0.35">
      <c r="B141" s="50" t="s">
        <v>1457</v>
      </c>
      <c r="C141" s="132">
        <v>5.0000000000000001E-3</v>
      </c>
      <c r="D141" s="132">
        <v>8.9999999999999993E-3</v>
      </c>
      <c r="E141" s="132">
        <v>5.0000000000000001E-3</v>
      </c>
      <c r="F141" s="132">
        <v>8.0000000000000002E-3</v>
      </c>
      <c r="G141" s="132">
        <v>5.0000000000000001E-3</v>
      </c>
      <c r="H141" s="132">
        <v>8.0000000000000002E-3</v>
      </c>
      <c r="I141" s="132">
        <v>5.0000000000000001E-3</v>
      </c>
      <c r="J141" s="132">
        <v>8.0000000000000002E-3</v>
      </c>
      <c r="K141" s="132">
        <v>5.0000000000000001E-3</v>
      </c>
      <c r="L141" s="132">
        <v>8.0000000000000002E-3</v>
      </c>
      <c r="M141" s="571">
        <v>5.0000000000000001E-3</v>
      </c>
      <c r="N141" s="569">
        <v>8.9999999999999993E-3</v>
      </c>
      <c r="O141" s="569">
        <v>5.0000000000000001E-3</v>
      </c>
      <c r="P141" s="569">
        <v>8.0000000000000002E-3</v>
      </c>
      <c r="Q141" s="569">
        <v>5.0000000000000001E-3</v>
      </c>
      <c r="R141" s="569">
        <v>8.0000000000000002E-3</v>
      </c>
      <c r="S141" s="569">
        <v>5.0000000000000001E-3</v>
      </c>
      <c r="T141" s="569">
        <v>8.0000000000000002E-3</v>
      </c>
      <c r="U141" s="569">
        <v>5.0000000000000001E-3</v>
      </c>
      <c r="V141" s="58">
        <v>8.0000000000000002E-3</v>
      </c>
      <c r="W141" s="571">
        <v>7.5213817534751986E-3</v>
      </c>
      <c r="X141" s="569">
        <v>9.6588293056249705E-3</v>
      </c>
      <c r="Y141" s="569">
        <v>0</v>
      </c>
      <c r="Z141" s="569">
        <v>0</v>
      </c>
      <c r="AA141" s="569">
        <v>0</v>
      </c>
      <c r="AB141" s="569">
        <v>0</v>
      </c>
      <c r="AC141" s="569">
        <v>0</v>
      </c>
      <c r="AD141" s="569">
        <v>0</v>
      </c>
      <c r="AE141" s="569">
        <v>0</v>
      </c>
      <c r="AF141" s="58">
        <v>0</v>
      </c>
    </row>
    <row r="142" spans="2:32" x14ac:dyDescent="0.35">
      <c r="B142" s="46" t="s">
        <v>1466</v>
      </c>
      <c r="C142" s="122">
        <v>3.9599999999999969E-2</v>
      </c>
      <c r="D142" s="122">
        <v>4.9999999999999933E-2</v>
      </c>
      <c r="E142" s="122">
        <v>3.9599999999999969E-2</v>
      </c>
      <c r="F142" s="122">
        <v>4.9999999999999933E-2</v>
      </c>
      <c r="G142" s="122">
        <v>3.9599999999999969E-2</v>
      </c>
      <c r="H142" s="122">
        <v>4.9000000000000044E-2</v>
      </c>
      <c r="I142" s="122">
        <v>3.9599999999999969E-2</v>
      </c>
      <c r="J142" s="122">
        <v>4.500000000000004E-2</v>
      </c>
      <c r="K142" s="122">
        <v>3.9599999999999969E-2</v>
      </c>
      <c r="L142" s="56">
        <v>4.7000000000000042E-2</v>
      </c>
      <c r="M142" s="123">
        <v>3.9599999999999969E-2</v>
      </c>
      <c r="N142" s="122">
        <v>4.9999999999999933E-2</v>
      </c>
      <c r="O142" s="122">
        <v>3.9599999999999969E-2</v>
      </c>
      <c r="P142" s="122">
        <v>4.9999999999999933E-2</v>
      </c>
      <c r="Q142" s="122">
        <v>3.9599999999999969E-2</v>
      </c>
      <c r="R142" s="122">
        <v>4.9000000000000044E-2</v>
      </c>
      <c r="S142" s="122">
        <v>3.9599999999999969E-2</v>
      </c>
      <c r="T142" s="122">
        <v>4.500000000000004E-2</v>
      </c>
      <c r="U142" s="122">
        <v>3.9599999999999969E-2</v>
      </c>
      <c r="V142" s="56">
        <v>4.7000000000000042E-2</v>
      </c>
      <c r="W142" s="123">
        <v>3.5852063624218555E-2</v>
      </c>
      <c r="X142" s="122">
        <v>2.9997886482964753E-2</v>
      </c>
      <c r="Y142" s="122">
        <v>1</v>
      </c>
      <c r="Z142" s="122">
        <v>1</v>
      </c>
      <c r="AA142" s="122">
        <v>1</v>
      </c>
      <c r="AB142" s="122">
        <v>1</v>
      </c>
      <c r="AC142" s="122">
        <v>1</v>
      </c>
      <c r="AD142" s="122">
        <v>1</v>
      </c>
      <c r="AE142" s="122">
        <v>1</v>
      </c>
      <c r="AF142" s="56">
        <v>1</v>
      </c>
    </row>
    <row r="143" spans="2:32" ht="13.15" x14ac:dyDescent="0.4">
      <c r="B143" s="238" t="s">
        <v>1830</v>
      </c>
      <c r="C143" s="132"/>
      <c r="D143" s="132"/>
      <c r="E143" s="132"/>
      <c r="F143" s="132"/>
      <c r="G143" s="132"/>
      <c r="H143" s="132"/>
      <c r="I143" s="132"/>
      <c r="J143" s="132"/>
      <c r="K143" s="132"/>
      <c r="L143" s="136"/>
      <c r="M143" s="295"/>
      <c r="N143" s="132"/>
      <c r="O143" s="132"/>
      <c r="P143" s="132"/>
      <c r="Q143" s="132"/>
      <c r="R143" s="132"/>
      <c r="S143" s="132"/>
      <c r="T143" s="132"/>
      <c r="U143" s="132"/>
      <c r="V143" s="136"/>
      <c r="W143" s="295"/>
      <c r="X143" s="132"/>
      <c r="Y143" s="132"/>
      <c r="Z143" s="132"/>
      <c r="AA143" s="132"/>
      <c r="AB143" s="132"/>
      <c r="AC143" s="132"/>
      <c r="AD143" s="132"/>
      <c r="AE143" s="132"/>
      <c r="AF143" s="136"/>
    </row>
    <row r="144" spans="2:32" x14ac:dyDescent="0.35">
      <c r="B144" s="50" t="s">
        <v>1438</v>
      </c>
      <c r="C144" s="132">
        <v>0.39500000000000002</v>
      </c>
      <c r="D144" s="132">
        <v>0.54800000000000004</v>
      </c>
      <c r="E144" s="132">
        <v>0.48399999999999999</v>
      </c>
      <c r="F144" s="132">
        <v>0.59599999999999997</v>
      </c>
      <c r="G144" s="132">
        <v>0.502</v>
      </c>
      <c r="H144" s="132">
        <v>0.60699999999999998</v>
      </c>
      <c r="I144" s="132">
        <v>0.5</v>
      </c>
      <c r="J144" s="132">
        <v>0</v>
      </c>
      <c r="K144" s="132">
        <v>0.18710919904856269</v>
      </c>
      <c r="L144" s="132">
        <v>0.18710919904856269</v>
      </c>
      <c r="M144" s="571">
        <v>0.39500000000000002</v>
      </c>
      <c r="N144" s="569">
        <v>0.54800000000000004</v>
      </c>
      <c r="O144" s="569">
        <v>0.48399999999999999</v>
      </c>
      <c r="P144" s="569">
        <v>0.59599999999999997</v>
      </c>
      <c r="Q144" s="569">
        <v>0.502</v>
      </c>
      <c r="R144" s="569">
        <v>0.60699999999999998</v>
      </c>
      <c r="S144" s="569">
        <v>0.5</v>
      </c>
      <c r="T144" s="569">
        <v>0</v>
      </c>
      <c r="U144" s="125">
        <v>0.18710919904856269</v>
      </c>
      <c r="V144" s="125">
        <v>0.18710919904856269</v>
      </c>
      <c r="W144" s="571">
        <v>0.54430967316367351</v>
      </c>
      <c r="X144" s="569">
        <v>0.56158302163723317</v>
      </c>
      <c r="Y144" s="569">
        <v>0</v>
      </c>
      <c r="Z144" s="569">
        <v>0</v>
      </c>
      <c r="AA144" s="569">
        <v>0</v>
      </c>
      <c r="AB144" s="569">
        <v>0</v>
      </c>
      <c r="AC144" s="569">
        <v>0</v>
      </c>
      <c r="AD144" s="569">
        <v>0</v>
      </c>
      <c r="AE144" s="569">
        <v>0</v>
      </c>
      <c r="AF144" s="58">
        <v>0</v>
      </c>
    </row>
    <row r="145" spans="2:32" x14ac:dyDescent="0.35">
      <c r="B145" s="50" t="s">
        <v>1495</v>
      </c>
      <c r="C145" s="132">
        <v>0</v>
      </c>
      <c r="D145" s="132">
        <v>3.5999999999999997E-2</v>
      </c>
      <c r="E145" s="132">
        <v>0</v>
      </c>
      <c r="F145" s="132">
        <v>3.2000000000000001E-2</v>
      </c>
      <c r="G145" s="132">
        <v>0</v>
      </c>
      <c r="H145" s="132">
        <v>0.03</v>
      </c>
      <c r="I145" s="132">
        <v>0</v>
      </c>
      <c r="J145" s="132">
        <v>0</v>
      </c>
      <c r="K145" s="132">
        <v>0.31347914244110364</v>
      </c>
      <c r="L145" s="132">
        <v>0.31347914244110364</v>
      </c>
      <c r="M145" s="571">
        <v>0</v>
      </c>
      <c r="N145" s="569">
        <v>3.5999999999999997E-2</v>
      </c>
      <c r="O145" s="569">
        <v>0</v>
      </c>
      <c r="P145" s="569">
        <v>3.2000000000000001E-2</v>
      </c>
      <c r="Q145" s="569">
        <v>0</v>
      </c>
      <c r="R145" s="569">
        <v>0.03</v>
      </c>
      <c r="S145" s="569">
        <v>0</v>
      </c>
      <c r="T145" s="569">
        <v>0</v>
      </c>
      <c r="U145" s="125">
        <v>0.31347914244110364</v>
      </c>
      <c r="V145" s="125">
        <v>0.31347914244110364</v>
      </c>
      <c r="W145" s="571">
        <v>0</v>
      </c>
      <c r="X145" s="569">
        <v>0</v>
      </c>
      <c r="Y145" s="569">
        <v>0</v>
      </c>
      <c r="Z145" s="569">
        <v>0</v>
      </c>
      <c r="AA145" s="569">
        <v>0</v>
      </c>
      <c r="AB145" s="569">
        <v>0</v>
      </c>
      <c r="AC145" s="569">
        <v>0</v>
      </c>
      <c r="AD145" s="569">
        <v>0</v>
      </c>
      <c r="AE145" s="569">
        <v>0</v>
      </c>
      <c r="AF145" s="58">
        <v>0</v>
      </c>
    </row>
    <row r="146" spans="2:32" x14ac:dyDescent="0.35">
      <c r="B146" s="50" t="s">
        <v>1512</v>
      </c>
      <c r="C146" s="132">
        <v>0.28599999999999998</v>
      </c>
      <c r="D146" s="132">
        <v>5.2999999999999999E-2</v>
      </c>
      <c r="E146" s="132">
        <v>0.24</v>
      </c>
      <c r="F146" s="132">
        <v>4.7E-2</v>
      </c>
      <c r="G146" s="132">
        <v>0.22800000000000001</v>
      </c>
      <c r="H146" s="132">
        <v>4.3999999999999997E-2</v>
      </c>
      <c r="I146" s="132">
        <v>0</v>
      </c>
      <c r="J146" s="132">
        <v>0</v>
      </c>
      <c r="K146" s="132">
        <v>7.6391227457442282E-4</v>
      </c>
      <c r="L146" s="132">
        <v>7.6391227457442282E-4</v>
      </c>
      <c r="M146" s="571">
        <v>0.28599999999999998</v>
      </c>
      <c r="N146" s="569">
        <v>5.2999999999999999E-2</v>
      </c>
      <c r="O146" s="569">
        <v>0.24</v>
      </c>
      <c r="P146" s="569">
        <v>4.7E-2</v>
      </c>
      <c r="Q146" s="569">
        <v>0.22800000000000001</v>
      </c>
      <c r="R146" s="569">
        <v>4.3999999999999997E-2</v>
      </c>
      <c r="S146" s="569">
        <v>0</v>
      </c>
      <c r="T146" s="569">
        <v>0</v>
      </c>
      <c r="U146" s="125">
        <v>7.6391227457442282E-4</v>
      </c>
      <c r="V146" s="125">
        <v>7.6391227457442282E-4</v>
      </c>
      <c r="W146" s="571">
        <v>3.2255936675461743E-3</v>
      </c>
      <c r="X146" s="569">
        <v>3.5886084939160076E-3</v>
      </c>
      <c r="Y146" s="569">
        <v>0</v>
      </c>
      <c r="Z146" s="569">
        <v>0</v>
      </c>
      <c r="AA146" s="569">
        <v>0</v>
      </c>
      <c r="AB146" s="569">
        <v>0</v>
      </c>
      <c r="AC146" s="569">
        <v>0</v>
      </c>
      <c r="AD146" s="569">
        <v>0</v>
      </c>
      <c r="AE146" s="569">
        <v>0</v>
      </c>
      <c r="AF146" s="58">
        <v>0</v>
      </c>
    </row>
    <row r="147" spans="2:32" x14ac:dyDescent="0.35">
      <c r="B147" s="50" t="s">
        <v>1446</v>
      </c>
      <c r="C147" s="132">
        <v>0</v>
      </c>
      <c r="D147" s="132">
        <v>1.7999999999999999E-2</v>
      </c>
      <c r="E147" s="132">
        <v>0</v>
      </c>
      <c r="F147" s="132">
        <v>2.5000000000000001E-2</v>
      </c>
      <c r="G147" s="132">
        <v>0</v>
      </c>
      <c r="H147" s="132">
        <v>2.7E-2</v>
      </c>
      <c r="I147" s="132">
        <v>0</v>
      </c>
      <c r="J147" s="132">
        <v>0.3</v>
      </c>
      <c r="K147" s="132">
        <v>0.16794927778569879</v>
      </c>
      <c r="L147" s="132">
        <v>0.16794927778569879</v>
      </c>
      <c r="M147" s="571">
        <v>0</v>
      </c>
      <c r="N147" s="569">
        <v>1.7999999999999999E-2</v>
      </c>
      <c r="O147" s="569">
        <v>0</v>
      </c>
      <c r="P147" s="569">
        <v>2.5000000000000001E-2</v>
      </c>
      <c r="Q147" s="569">
        <v>0</v>
      </c>
      <c r="R147" s="569">
        <v>2.7E-2</v>
      </c>
      <c r="S147" s="569">
        <v>0</v>
      </c>
      <c r="T147" s="569">
        <v>0.3</v>
      </c>
      <c r="U147" s="125">
        <v>0.16794927778569879</v>
      </c>
      <c r="V147" s="125">
        <v>0.16794927778569879</v>
      </c>
      <c r="W147" s="571">
        <v>7.6515022555111089E-3</v>
      </c>
      <c r="X147" s="569">
        <v>6.2061218692296756E-2</v>
      </c>
      <c r="Y147" s="569">
        <v>0</v>
      </c>
      <c r="Z147" s="569">
        <v>0</v>
      </c>
      <c r="AA147" s="569">
        <v>0</v>
      </c>
      <c r="AB147" s="569">
        <v>0</v>
      </c>
      <c r="AC147" s="569">
        <v>0</v>
      </c>
      <c r="AD147" s="569">
        <v>0</v>
      </c>
      <c r="AE147" s="569">
        <v>0</v>
      </c>
      <c r="AF147" s="58">
        <v>0</v>
      </c>
    </row>
    <row r="148" spans="2:32" x14ac:dyDescent="0.35">
      <c r="B148" s="50" t="s">
        <v>1445</v>
      </c>
      <c r="C148" s="132">
        <v>0.17100000000000001</v>
      </c>
      <c r="D148" s="132">
        <v>0.17799999999999999</v>
      </c>
      <c r="E148" s="132">
        <v>0.14399999999999999</v>
      </c>
      <c r="F148" s="132">
        <v>0.158</v>
      </c>
      <c r="G148" s="132">
        <v>0.13700000000000001</v>
      </c>
      <c r="H148" s="132">
        <v>0.14899999999999999</v>
      </c>
      <c r="I148" s="132">
        <v>0</v>
      </c>
      <c r="J148" s="132">
        <v>0</v>
      </c>
      <c r="K148" s="132">
        <v>0</v>
      </c>
      <c r="L148" s="132">
        <v>0</v>
      </c>
      <c r="M148" s="571">
        <v>0.17100000000000001</v>
      </c>
      <c r="N148" s="569">
        <v>0.17799999999999999</v>
      </c>
      <c r="O148" s="569">
        <v>0.14399999999999999</v>
      </c>
      <c r="P148" s="569">
        <v>0.158</v>
      </c>
      <c r="Q148" s="569">
        <v>0.13700000000000001</v>
      </c>
      <c r="R148" s="569">
        <v>0.14899999999999999</v>
      </c>
      <c r="S148" s="569">
        <v>0</v>
      </c>
      <c r="T148" s="569">
        <v>0</v>
      </c>
      <c r="U148" s="125"/>
      <c r="V148" s="125"/>
      <c r="W148" s="571">
        <v>0.19377649161630781</v>
      </c>
      <c r="X148" s="569">
        <v>0.19153259788835755</v>
      </c>
      <c r="Y148" s="569">
        <v>0</v>
      </c>
      <c r="Z148" s="569">
        <v>0</v>
      </c>
      <c r="AA148" s="569">
        <v>0</v>
      </c>
      <c r="AB148" s="569">
        <v>0</v>
      </c>
      <c r="AC148" s="569">
        <v>0</v>
      </c>
      <c r="AD148" s="569">
        <v>0</v>
      </c>
      <c r="AE148" s="569">
        <v>0</v>
      </c>
      <c r="AF148" s="58">
        <v>0</v>
      </c>
    </row>
    <row r="149" spans="2:32" x14ac:dyDescent="0.35">
      <c r="B149" s="50" t="s">
        <v>1498</v>
      </c>
      <c r="C149" s="132">
        <v>2.9000000000000001E-2</v>
      </c>
      <c r="D149" s="132">
        <v>3.7999999999999999E-2</v>
      </c>
      <c r="E149" s="132">
        <v>2.5999999999999999E-2</v>
      </c>
      <c r="F149" s="132">
        <v>3.2000000000000001E-2</v>
      </c>
      <c r="G149" s="132">
        <v>2.8000000000000001E-2</v>
      </c>
      <c r="H149" s="132">
        <v>3.4000000000000002E-2</v>
      </c>
      <c r="I149" s="132">
        <v>0.20499999999999999</v>
      </c>
      <c r="J149" s="132">
        <v>0.28299999999999997</v>
      </c>
      <c r="K149" s="132">
        <v>1.7274919301796213E-2</v>
      </c>
      <c r="L149" s="132">
        <v>1.7274919301796213E-2</v>
      </c>
      <c r="M149" s="571">
        <v>2.9000000000000001E-2</v>
      </c>
      <c r="N149" s="569">
        <v>3.7999999999999999E-2</v>
      </c>
      <c r="O149" s="569">
        <v>2.5999999999999999E-2</v>
      </c>
      <c r="P149" s="569">
        <v>3.2000000000000001E-2</v>
      </c>
      <c r="Q149" s="569">
        <v>2.8000000000000001E-2</v>
      </c>
      <c r="R149" s="569">
        <v>3.4000000000000002E-2</v>
      </c>
      <c r="S149" s="569">
        <v>0.20499999999999999</v>
      </c>
      <c r="T149" s="569">
        <v>0.28299999999999997</v>
      </c>
      <c r="U149" s="125">
        <v>1.7274919301796213E-2</v>
      </c>
      <c r="V149" s="125">
        <v>1.7274919301796213E-2</v>
      </c>
      <c r="W149" s="571">
        <v>6.6477572559366774E-2</v>
      </c>
      <c r="X149" s="569">
        <v>7.1772169878320151E-3</v>
      </c>
      <c r="Y149" s="569">
        <v>0</v>
      </c>
      <c r="Z149" s="569">
        <v>0</v>
      </c>
      <c r="AA149" s="569">
        <v>0</v>
      </c>
      <c r="AB149" s="569">
        <v>0</v>
      </c>
      <c r="AC149" s="569">
        <v>0</v>
      </c>
      <c r="AD149" s="569">
        <v>0</v>
      </c>
      <c r="AE149" s="569">
        <v>0</v>
      </c>
      <c r="AF149" s="58">
        <v>0</v>
      </c>
    </row>
    <row r="150" spans="2:32" x14ac:dyDescent="0.35">
      <c r="B150" s="50" t="s">
        <v>1427</v>
      </c>
      <c r="C150" s="132">
        <v>0</v>
      </c>
      <c r="D150" s="132">
        <v>0</v>
      </c>
      <c r="E150" s="132">
        <v>0</v>
      </c>
      <c r="F150" s="132">
        <v>0</v>
      </c>
      <c r="G150" s="132">
        <v>0</v>
      </c>
      <c r="H150" s="132">
        <v>0</v>
      </c>
      <c r="I150" s="132">
        <v>0</v>
      </c>
      <c r="J150" s="132">
        <v>0</v>
      </c>
      <c r="K150" s="132">
        <v>0</v>
      </c>
      <c r="L150" s="132">
        <v>0</v>
      </c>
      <c r="M150" s="571">
        <v>0</v>
      </c>
      <c r="N150" s="569">
        <v>0</v>
      </c>
      <c r="O150" s="569">
        <v>0</v>
      </c>
      <c r="P150" s="569">
        <v>0</v>
      </c>
      <c r="Q150" s="569">
        <v>0</v>
      </c>
      <c r="R150" s="569">
        <v>0</v>
      </c>
      <c r="S150" s="569">
        <v>0</v>
      </c>
      <c r="T150" s="569">
        <v>0</v>
      </c>
      <c r="U150" s="125"/>
      <c r="V150" s="125"/>
      <c r="W150" s="571">
        <v>0</v>
      </c>
      <c r="X150" s="569">
        <v>0</v>
      </c>
      <c r="Y150" s="569">
        <v>0</v>
      </c>
      <c r="Z150" s="569">
        <v>0</v>
      </c>
      <c r="AA150" s="569">
        <v>0</v>
      </c>
      <c r="AB150" s="569">
        <v>0</v>
      </c>
      <c r="AC150" s="569">
        <v>0</v>
      </c>
      <c r="AD150" s="569">
        <v>0</v>
      </c>
      <c r="AE150" s="569">
        <v>0</v>
      </c>
      <c r="AF150" s="58">
        <v>0</v>
      </c>
    </row>
    <row r="151" spans="2:32" x14ac:dyDescent="0.35">
      <c r="B151" s="50" t="s">
        <v>1493</v>
      </c>
      <c r="C151" s="132">
        <v>0</v>
      </c>
      <c r="D151" s="132">
        <v>0</v>
      </c>
      <c r="E151" s="132">
        <v>0</v>
      </c>
      <c r="F151" s="132">
        <v>0</v>
      </c>
      <c r="G151" s="132">
        <v>0</v>
      </c>
      <c r="H151" s="132">
        <v>0</v>
      </c>
      <c r="I151" s="132">
        <v>0</v>
      </c>
      <c r="J151" s="132">
        <v>0</v>
      </c>
      <c r="K151" s="132">
        <v>2.5916749175188158E-2</v>
      </c>
      <c r="L151" s="132">
        <v>2.5916749175188158E-2</v>
      </c>
      <c r="M151" s="571">
        <v>0</v>
      </c>
      <c r="N151" s="569">
        <v>0</v>
      </c>
      <c r="O151" s="569">
        <v>0</v>
      </c>
      <c r="P151" s="569">
        <v>0</v>
      </c>
      <c r="Q151" s="569">
        <v>0</v>
      </c>
      <c r="R151" s="569">
        <v>0</v>
      </c>
      <c r="S151" s="569">
        <v>0</v>
      </c>
      <c r="T151" s="569">
        <v>0</v>
      </c>
      <c r="U151" s="125">
        <v>2.5916749175188158E-2</v>
      </c>
      <c r="V151" s="125">
        <v>2.5916749175188158E-2</v>
      </c>
      <c r="W151" s="571">
        <v>0</v>
      </c>
      <c r="X151" s="569">
        <v>0</v>
      </c>
      <c r="Y151" s="569">
        <v>0</v>
      </c>
      <c r="Z151" s="569">
        <v>0</v>
      </c>
      <c r="AA151" s="569">
        <v>0</v>
      </c>
      <c r="AB151" s="569">
        <v>0</v>
      </c>
      <c r="AC151" s="569">
        <v>0</v>
      </c>
      <c r="AD151" s="569">
        <v>0</v>
      </c>
      <c r="AE151" s="569">
        <v>0</v>
      </c>
      <c r="AF151" s="58">
        <v>0</v>
      </c>
    </row>
    <row r="152" spans="2:32" x14ac:dyDescent="0.35">
      <c r="B152" s="50" t="s">
        <v>1497</v>
      </c>
      <c r="C152" s="132">
        <v>9.2999999999999999E-2</v>
      </c>
      <c r="D152" s="132">
        <v>0.111</v>
      </c>
      <c r="E152" s="132">
        <v>8.4000000000000005E-2</v>
      </c>
      <c r="F152" s="132">
        <v>9.4E-2</v>
      </c>
      <c r="G152" s="132">
        <v>8.4000000000000005E-2</v>
      </c>
      <c r="H152" s="132">
        <v>9.4E-2</v>
      </c>
      <c r="I152" s="132">
        <v>0.29499999999999998</v>
      </c>
      <c r="J152" s="132">
        <v>0.40699999999999997</v>
      </c>
      <c r="K152" s="132">
        <v>0.16617678413030071</v>
      </c>
      <c r="L152" s="132">
        <v>0.16617678413030071</v>
      </c>
      <c r="M152" s="571">
        <v>9.2999999999999999E-2</v>
      </c>
      <c r="N152" s="569">
        <v>0.111</v>
      </c>
      <c r="O152" s="569">
        <v>8.4000000000000005E-2</v>
      </c>
      <c r="P152" s="569">
        <v>9.4E-2</v>
      </c>
      <c r="Q152" s="569">
        <v>8.4000000000000005E-2</v>
      </c>
      <c r="R152" s="569">
        <v>9.4E-2</v>
      </c>
      <c r="S152" s="569">
        <v>0.29499999999999998</v>
      </c>
      <c r="T152" s="569">
        <v>0.40699999999999997</v>
      </c>
      <c r="U152" s="125">
        <v>0.16617678413030071</v>
      </c>
      <c r="V152" s="125">
        <v>0.16617678413030071</v>
      </c>
      <c r="W152" s="571">
        <v>0.18455570686866971</v>
      </c>
      <c r="X152" s="569">
        <v>0.17405378533213389</v>
      </c>
      <c r="Y152" s="569">
        <v>0</v>
      </c>
      <c r="Z152" s="569">
        <v>0</v>
      </c>
      <c r="AA152" s="569">
        <v>0</v>
      </c>
      <c r="AB152" s="569">
        <v>0</v>
      </c>
      <c r="AC152" s="569">
        <v>0</v>
      </c>
      <c r="AD152" s="569">
        <v>0</v>
      </c>
      <c r="AE152" s="569">
        <v>0</v>
      </c>
      <c r="AF152" s="58">
        <v>0</v>
      </c>
    </row>
    <row r="153" spans="2:32" x14ac:dyDescent="0.35">
      <c r="B153" s="50" t="s">
        <v>1457</v>
      </c>
      <c r="C153" s="132">
        <v>2.5999999999999999E-2</v>
      </c>
      <c r="D153" s="132">
        <v>1.7999999999999999E-2</v>
      </c>
      <c r="E153" s="132">
        <v>2.1999999999999999E-2</v>
      </c>
      <c r="F153" s="132">
        <v>1.6E-2</v>
      </c>
      <c r="G153" s="132">
        <v>2.1000000000000001E-2</v>
      </c>
      <c r="H153" s="132">
        <v>1.4999999999999999E-2</v>
      </c>
      <c r="I153" s="132">
        <v>0</v>
      </c>
      <c r="J153" s="132">
        <v>0</v>
      </c>
      <c r="K153" s="132">
        <v>6.4615988571509395E-2</v>
      </c>
      <c r="L153" s="132">
        <v>6.4615988571509395E-2</v>
      </c>
      <c r="M153" s="571">
        <v>2.5999999999999999E-2</v>
      </c>
      <c r="N153" s="569">
        <v>1.7999999999999999E-2</v>
      </c>
      <c r="O153" s="569">
        <v>2.1999999999999999E-2</v>
      </c>
      <c r="P153" s="569">
        <v>1.6E-2</v>
      </c>
      <c r="Q153" s="569">
        <v>2.1000000000000001E-2</v>
      </c>
      <c r="R153" s="569">
        <v>1.4999999999999999E-2</v>
      </c>
      <c r="S153" s="569">
        <v>0</v>
      </c>
      <c r="T153" s="569">
        <v>0</v>
      </c>
      <c r="U153" s="125">
        <v>6.4615988571509395E-2</v>
      </c>
      <c r="V153" s="125">
        <v>6.4615988571509395E-2</v>
      </c>
      <c r="W153" s="571">
        <v>0</v>
      </c>
      <c r="X153" s="569">
        <v>0</v>
      </c>
      <c r="Y153" s="569">
        <v>0</v>
      </c>
      <c r="Z153" s="569">
        <v>0</v>
      </c>
      <c r="AA153" s="569">
        <v>0</v>
      </c>
      <c r="AB153" s="569">
        <v>0</v>
      </c>
      <c r="AC153" s="569">
        <v>0</v>
      </c>
      <c r="AD153" s="569">
        <v>0</v>
      </c>
      <c r="AE153" s="569">
        <v>0</v>
      </c>
      <c r="AF153" s="58">
        <v>0</v>
      </c>
    </row>
    <row r="154" spans="2:32" x14ac:dyDescent="0.35">
      <c r="B154" s="50" t="s">
        <v>1504</v>
      </c>
      <c r="C154" s="132">
        <v>0</v>
      </c>
      <c r="D154" s="132">
        <v>0</v>
      </c>
      <c r="E154" s="132">
        <v>0</v>
      </c>
      <c r="F154" s="132">
        <v>0</v>
      </c>
      <c r="G154" s="132">
        <v>0</v>
      </c>
      <c r="H154" s="132">
        <v>0</v>
      </c>
      <c r="I154" s="132">
        <v>0</v>
      </c>
      <c r="J154" s="132">
        <v>0</v>
      </c>
      <c r="K154" s="132">
        <v>0</v>
      </c>
      <c r="L154" s="132">
        <v>0</v>
      </c>
      <c r="M154" s="571">
        <v>0</v>
      </c>
      <c r="N154" s="569">
        <v>0</v>
      </c>
      <c r="O154" s="569">
        <v>0</v>
      </c>
      <c r="P154" s="569">
        <v>0</v>
      </c>
      <c r="Q154" s="569">
        <v>0</v>
      </c>
      <c r="R154" s="569">
        <v>0</v>
      </c>
      <c r="S154" s="569">
        <v>0</v>
      </c>
      <c r="T154" s="569">
        <v>0</v>
      </c>
      <c r="U154" s="125"/>
      <c r="V154" s="125"/>
      <c r="W154" s="571">
        <v>0</v>
      </c>
      <c r="X154" s="569">
        <v>0</v>
      </c>
      <c r="Y154" s="569">
        <v>0</v>
      </c>
      <c r="Z154" s="569">
        <v>0</v>
      </c>
      <c r="AA154" s="569">
        <v>0</v>
      </c>
      <c r="AB154" s="569">
        <v>0</v>
      </c>
      <c r="AC154" s="569">
        <v>0</v>
      </c>
      <c r="AD154" s="569">
        <v>0</v>
      </c>
      <c r="AE154" s="569">
        <v>0</v>
      </c>
      <c r="AF154" s="58">
        <v>0</v>
      </c>
    </row>
    <row r="155" spans="2:32" x14ac:dyDescent="0.35">
      <c r="B155" s="50" t="s">
        <v>1511</v>
      </c>
      <c r="C155" s="132">
        <v>0</v>
      </c>
      <c r="D155" s="132">
        <v>0</v>
      </c>
      <c r="E155" s="132">
        <v>0</v>
      </c>
      <c r="F155" s="132">
        <v>0</v>
      </c>
      <c r="G155" s="132">
        <v>0</v>
      </c>
      <c r="H155" s="132">
        <v>0</v>
      </c>
      <c r="I155" s="132">
        <v>0</v>
      </c>
      <c r="J155" s="132">
        <v>0</v>
      </c>
      <c r="K155" s="132">
        <v>6.1984188925405387E-3</v>
      </c>
      <c r="L155" s="132">
        <v>6.1984188925405387E-3</v>
      </c>
      <c r="M155" s="571">
        <v>0</v>
      </c>
      <c r="N155" s="569">
        <v>0</v>
      </c>
      <c r="O155" s="569">
        <v>0</v>
      </c>
      <c r="P155" s="569">
        <v>0</v>
      </c>
      <c r="Q155" s="569">
        <v>0</v>
      </c>
      <c r="R155" s="569">
        <v>0</v>
      </c>
      <c r="S155" s="569">
        <v>0</v>
      </c>
      <c r="T155" s="569">
        <v>0</v>
      </c>
      <c r="U155" s="125">
        <v>6.1984188925405387E-3</v>
      </c>
      <c r="V155" s="125">
        <v>6.1984188925405387E-3</v>
      </c>
      <c r="W155" s="571">
        <v>0</v>
      </c>
      <c r="X155" s="569">
        <v>0</v>
      </c>
      <c r="Y155" s="569">
        <v>0</v>
      </c>
      <c r="Z155" s="569">
        <v>0</v>
      </c>
      <c r="AA155" s="569">
        <v>0</v>
      </c>
      <c r="AB155" s="569">
        <v>0</v>
      </c>
      <c r="AC155" s="569">
        <v>0</v>
      </c>
      <c r="AD155" s="569">
        <v>0</v>
      </c>
      <c r="AE155" s="569">
        <v>0</v>
      </c>
      <c r="AF155" s="58">
        <v>0</v>
      </c>
    </row>
    <row r="156" spans="2:32" x14ac:dyDescent="0.35">
      <c r="B156" s="50" t="s">
        <v>1510</v>
      </c>
      <c r="C156" s="132">
        <v>0</v>
      </c>
      <c r="D156" s="132">
        <v>0</v>
      </c>
      <c r="E156" s="132">
        <v>0</v>
      </c>
      <c r="F156" s="132">
        <v>0</v>
      </c>
      <c r="G156" s="132">
        <v>0</v>
      </c>
      <c r="H156" s="132">
        <v>0</v>
      </c>
      <c r="I156" s="132">
        <v>0</v>
      </c>
      <c r="J156" s="132">
        <v>0</v>
      </c>
      <c r="K156" s="132">
        <v>2.1400740290504861E-2</v>
      </c>
      <c r="L156" s="132">
        <v>2.1400740290504861E-2</v>
      </c>
      <c r="M156" s="571">
        <v>0</v>
      </c>
      <c r="N156" s="569">
        <v>0</v>
      </c>
      <c r="O156" s="569">
        <v>0</v>
      </c>
      <c r="P156" s="569">
        <v>0</v>
      </c>
      <c r="Q156" s="569">
        <v>0</v>
      </c>
      <c r="R156" s="569">
        <v>0</v>
      </c>
      <c r="S156" s="569">
        <v>0</v>
      </c>
      <c r="T156" s="569">
        <v>0</v>
      </c>
      <c r="U156" s="125">
        <v>2.1400740290504861E-2</v>
      </c>
      <c r="V156" s="125">
        <v>2.1400740290504861E-2</v>
      </c>
      <c r="W156" s="571">
        <v>0</v>
      </c>
      <c r="X156" s="569">
        <v>0</v>
      </c>
      <c r="Y156" s="569">
        <v>0</v>
      </c>
      <c r="Z156" s="569">
        <v>0</v>
      </c>
      <c r="AA156" s="569">
        <v>0</v>
      </c>
      <c r="AB156" s="569">
        <v>0</v>
      </c>
      <c r="AC156" s="569">
        <v>0</v>
      </c>
      <c r="AD156" s="569">
        <v>0</v>
      </c>
      <c r="AE156" s="569">
        <v>0</v>
      </c>
      <c r="AF156" s="58">
        <v>0</v>
      </c>
    </row>
    <row r="157" spans="2:32" x14ac:dyDescent="0.35">
      <c r="B157" s="50" t="s">
        <v>1509</v>
      </c>
      <c r="C157" s="132">
        <v>0</v>
      </c>
      <c r="D157" s="132">
        <v>0</v>
      </c>
      <c r="E157" s="132">
        <v>0</v>
      </c>
      <c r="F157" s="132">
        <v>0</v>
      </c>
      <c r="G157" s="132">
        <v>0</v>
      </c>
      <c r="H157" s="132">
        <v>0</v>
      </c>
      <c r="I157" s="132">
        <v>0</v>
      </c>
      <c r="J157" s="132">
        <v>0</v>
      </c>
      <c r="K157" s="132">
        <v>2.565086908263094E-2</v>
      </c>
      <c r="L157" s="132">
        <v>2.565086908263094E-2</v>
      </c>
      <c r="M157" s="571">
        <v>0</v>
      </c>
      <c r="N157" s="569">
        <v>0</v>
      </c>
      <c r="O157" s="569">
        <v>0</v>
      </c>
      <c r="P157" s="569">
        <v>0</v>
      </c>
      <c r="Q157" s="569">
        <v>0</v>
      </c>
      <c r="R157" s="569">
        <v>0</v>
      </c>
      <c r="S157" s="569">
        <v>0</v>
      </c>
      <c r="T157" s="569">
        <v>0</v>
      </c>
      <c r="U157" s="125">
        <v>2.565086908263094E-2</v>
      </c>
      <c r="V157" s="125">
        <v>2.565086908263094E-2</v>
      </c>
      <c r="W157" s="571">
        <v>0</v>
      </c>
      <c r="X157" s="569">
        <v>0</v>
      </c>
      <c r="Y157" s="569">
        <v>0</v>
      </c>
      <c r="Z157" s="569">
        <v>0</v>
      </c>
      <c r="AA157" s="569">
        <v>0</v>
      </c>
      <c r="AB157" s="569">
        <v>0</v>
      </c>
      <c r="AC157" s="569">
        <v>0</v>
      </c>
      <c r="AD157" s="569">
        <v>0</v>
      </c>
      <c r="AE157" s="569">
        <v>0</v>
      </c>
      <c r="AF157" s="58">
        <v>0</v>
      </c>
    </row>
    <row r="158" spans="2:32" x14ac:dyDescent="0.35">
      <c r="B158" s="50" t="s">
        <v>1508</v>
      </c>
      <c r="C158" s="132">
        <v>0</v>
      </c>
      <c r="D158" s="132">
        <v>0</v>
      </c>
      <c r="E158" s="132">
        <v>0</v>
      </c>
      <c r="F158" s="132">
        <v>0</v>
      </c>
      <c r="G158" s="132">
        <v>0</v>
      </c>
      <c r="H158" s="132">
        <v>0</v>
      </c>
      <c r="I158" s="132">
        <v>0</v>
      </c>
      <c r="J158" s="132">
        <v>0</v>
      </c>
      <c r="K158" s="132">
        <v>0</v>
      </c>
      <c r="L158" s="132">
        <v>0</v>
      </c>
      <c r="M158" s="571">
        <v>0</v>
      </c>
      <c r="N158" s="569">
        <v>0</v>
      </c>
      <c r="O158" s="569">
        <v>0</v>
      </c>
      <c r="P158" s="569">
        <v>0</v>
      </c>
      <c r="Q158" s="569">
        <v>0</v>
      </c>
      <c r="R158" s="569">
        <v>0</v>
      </c>
      <c r="S158" s="569">
        <v>0</v>
      </c>
      <c r="T158" s="569">
        <v>0</v>
      </c>
      <c r="U158" s="125"/>
      <c r="V158" s="125"/>
      <c r="W158" s="571">
        <v>0</v>
      </c>
      <c r="X158" s="569">
        <v>0</v>
      </c>
      <c r="Y158" s="569">
        <v>0</v>
      </c>
      <c r="Z158" s="569">
        <v>0</v>
      </c>
      <c r="AA158" s="569">
        <v>0</v>
      </c>
      <c r="AB158" s="569">
        <v>0</v>
      </c>
      <c r="AC158" s="569">
        <v>0</v>
      </c>
      <c r="AD158" s="569">
        <v>0</v>
      </c>
      <c r="AE158" s="569">
        <v>0</v>
      </c>
      <c r="AF158" s="58">
        <v>0</v>
      </c>
    </row>
    <row r="159" spans="2:32" x14ac:dyDescent="0.35">
      <c r="B159" s="50" t="s">
        <v>1507</v>
      </c>
      <c r="C159" s="132">
        <v>2.0000000000000002E-5</v>
      </c>
      <c r="D159" s="132">
        <v>3.0000000000000001E-5</v>
      </c>
      <c r="E159" s="132">
        <v>2.0000000000000002E-5</v>
      </c>
      <c r="F159" s="132">
        <v>2.0000000000000002E-5</v>
      </c>
      <c r="G159" s="132">
        <v>2.0000000000000002E-5</v>
      </c>
      <c r="H159" s="132">
        <v>2.0000000000000002E-5</v>
      </c>
      <c r="I159" s="132">
        <v>0</v>
      </c>
      <c r="J159" s="132">
        <v>0</v>
      </c>
      <c r="K159" s="132">
        <v>1.7668053030533081E-4</v>
      </c>
      <c r="L159" s="132">
        <v>1.7668053030533081E-4</v>
      </c>
      <c r="M159" s="571">
        <v>2.0000000000000002E-5</v>
      </c>
      <c r="N159" s="569">
        <v>3.0000000000000001E-5</v>
      </c>
      <c r="O159" s="569">
        <v>2.0000000000000002E-5</v>
      </c>
      <c r="P159" s="569">
        <v>2.0000000000000002E-5</v>
      </c>
      <c r="Q159" s="569">
        <v>2.0000000000000002E-5</v>
      </c>
      <c r="R159" s="569">
        <v>2.0000000000000002E-5</v>
      </c>
      <c r="S159" s="569">
        <v>0</v>
      </c>
      <c r="T159" s="569">
        <v>0</v>
      </c>
      <c r="U159" s="125">
        <v>1.7668053030533081E-4</v>
      </c>
      <c r="V159" s="125">
        <v>1.7668053030533081E-4</v>
      </c>
      <c r="W159" s="571">
        <v>3.459868925014895E-6</v>
      </c>
      <c r="X159" s="569">
        <v>3.5509682306708955E-6</v>
      </c>
      <c r="Y159" s="569">
        <v>0</v>
      </c>
      <c r="Z159" s="569">
        <v>0</v>
      </c>
      <c r="AA159" s="569">
        <v>0</v>
      </c>
      <c r="AB159" s="569">
        <v>0</v>
      </c>
      <c r="AC159" s="569">
        <v>0</v>
      </c>
      <c r="AD159" s="569">
        <v>0</v>
      </c>
      <c r="AE159" s="569">
        <v>0</v>
      </c>
      <c r="AF159" s="58">
        <v>0</v>
      </c>
    </row>
    <row r="160" spans="2:32" x14ac:dyDescent="0.35">
      <c r="B160" s="50" t="s">
        <v>1506</v>
      </c>
      <c r="C160" s="132">
        <v>0</v>
      </c>
      <c r="D160" s="132">
        <v>0</v>
      </c>
      <c r="E160" s="132">
        <v>0</v>
      </c>
      <c r="F160" s="132">
        <v>0</v>
      </c>
      <c r="G160" s="132">
        <v>0</v>
      </c>
      <c r="H160" s="132">
        <v>0</v>
      </c>
      <c r="I160" s="132">
        <v>0</v>
      </c>
      <c r="J160" s="132">
        <v>0</v>
      </c>
      <c r="K160" s="132">
        <v>2.7278836091788705E-3</v>
      </c>
      <c r="L160" s="132">
        <v>2.7278836091788705E-3</v>
      </c>
      <c r="M160" s="125"/>
      <c r="N160" s="125"/>
      <c r="O160" s="125"/>
      <c r="P160" s="125"/>
      <c r="Q160" s="125"/>
      <c r="R160" s="125"/>
      <c r="S160" s="125"/>
      <c r="T160" s="125"/>
      <c r="U160" s="125">
        <v>2.7278836091788705E-3</v>
      </c>
      <c r="V160" s="125">
        <v>2.7278836091788705E-3</v>
      </c>
      <c r="W160" s="571"/>
      <c r="X160" s="569"/>
      <c r="Y160" s="569"/>
      <c r="Z160" s="569"/>
      <c r="AA160" s="569"/>
      <c r="AB160" s="569"/>
      <c r="AC160" s="569"/>
      <c r="AD160" s="569"/>
      <c r="AE160" s="569"/>
      <c r="AF160" s="58"/>
    </row>
    <row r="161" spans="2:32" x14ac:dyDescent="0.35">
      <c r="B161" s="50" t="s">
        <v>1460</v>
      </c>
      <c r="C161" s="132">
        <v>0</v>
      </c>
      <c r="D161" s="132">
        <v>0</v>
      </c>
      <c r="E161" s="132">
        <v>0</v>
      </c>
      <c r="F161" s="132">
        <v>0</v>
      </c>
      <c r="G161" s="132">
        <v>0</v>
      </c>
      <c r="H161" s="132">
        <v>0</v>
      </c>
      <c r="I161" s="132">
        <v>0</v>
      </c>
      <c r="J161" s="132">
        <v>0</v>
      </c>
      <c r="K161" s="132">
        <v>1.912608023438235E-5</v>
      </c>
      <c r="L161" s="132">
        <v>1.912608023438235E-5</v>
      </c>
      <c r="M161" s="125"/>
      <c r="N161" s="125"/>
      <c r="O161" s="125"/>
      <c r="P161" s="125"/>
      <c r="Q161" s="125"/>
      <c r="R161" s="125"/>
      <c r="S161" s="125"/>
      <c r="T161" s="125"/>
      <c r="U161" s="573">
        <v>1.912608023438235E-5</v>
      </c>
      <c r="V161" s="573">
        <v>1.912608023438235E-5</v>
      </c>
      <c r="W161" s="571"/>
      <c r="X161" s="569"/>
      <c r="Y161" s="569"/>
      <c r="Z161" s="569"/>
      <c r="AA161" s="569"/>
      <c r="AB161" s="569"/>
      <c r="AC161" s="569"/>
      <c r="AD161" s="569"/>
      <c r="AE161" s="569"/>
      <c r="AF161" s="58"/>
    </row>
    <row r="162" spans="2:32" x14ac:dyDescent="0.35">
      <c r="B162" s="50" t="s">
        <v>1449</v>
      </c>
      <c r="C162" s="132">
        <v>0</v>
      </c>
      <c r="D162" s="132">
        <v>0</v>
      </c>
      <c r="E162" s="132">
        <v>0</v>
      </c>
      <c r="F162" s="132">
        <v>0</v>
      </c>
      <c r="G162" s="132">
        <v>0</v>
      </c>
      <c r="H162" s="132">
        <v>0</v>
      </c>
      <c r="I162" s="132">
        <v>0</v>
      </c>
      <c r="J162" s="132">
        <v>0</v>
      </c>
      <c r="K162" s="132">
        <v>5.4030878587086771E-4</v>
      </c>
      <c r="L162" s="132">
        <v>5.4030878587086771E-4</v>
      </c>
      <c r="M162" s="125"/>
      <c r="N162" s="125"/>
      <c r="O162" s="125"/>
      <c r="P162" s="125"/>
      <c r="Q162" s="125"/>
      <c r="R162" s="125"/>
      <c r="S162" s="125"/>
      <c r="T162" s="125"/>
      <c r="U162" s="125">
        <v>5.4030878587086771E-4</v>
      </c>
      <c r="V162" s="125">
        <v>5.4030878587086771E-4</v>
      </c>
      <c r="W162" s="571"/>
      <c r="X162" s="569"/>
      <c r="Y162" s="569"/>
      <c r="Z162" s="569"/>
      <c r="AA162" s="569"/>
      <c r="AB162" s="569"/>
      <c r="AC162" s="569"/>
      <c r="AD162" s="569"/>
      <c r="AE162" s="569"/>
      <c r="AF162" s="58"/>
    </row>
    <row r="163" spans="2:32" x14ac:dyDescent="0.35">
      <c r="B163" s="50" t="s">
        <v>1466</v>
      </c>
      <c r="C163" s="122">
        <v>-1.9999999999908979E-5</v>
      </c>
      <c r="D163" s="122">
        <v>-3.0000000000196536E-5</v>
      </c>
      <c r="E163" s="122">
        <v>-1.9999999999908979E-5</v>
      </c>
      <c r="F163" s="122">
        <v>-1.9999999999908979E-5</v>
      </c>
      <c r="G163" s="122">
        <v>-1.9999999999908979E-5</v>
      </c>
      <c r="H163" s="122">
        <v>-1.9999999999908979E-5</v>
      </c>
      <c r="I163" s="122">
        <v>0</v>
      </c>
      <c r="J163" s="122">
        <v>1.0000000000000009E-2</v>
      </c>
      <c r="K163" s="122">
        <v>0</v>
      </c>
      <c r="L163" s="56">
        <v>0</v>
      </c>
      <c r="M163" s="295">
        <v>-1.9999999999908979E-5</v>
      </c>
      <c r="N163" s="132">
        <v>-3.0000000000196536E-5</v>
      </c>
      <c r="O163" s="132">
        <v>-1.9999999999908979E-5</v>
      </c>
      <c r="P163" s="132">
        <v>-1.9999999999908979E-5</v>
      </c>
      <c r="Q163" s="132">
        <v>-1.9999999999908979E-5</v>
      </c>
      <c r="R163" s="132">
        <v>-1.9999999999908979E-5</v>
      </c>
      <c r="S163" s="132">
        <v>0</v>
      </c>
      <c r="T163" s="132">
        <v>1.0000000000000009E-2</v>
      </c>
      <c r="U163" s="132">
        <v>0</v>
      </c>
      <c r="V163" s="132">
        <v>0</v>
      </c>
      <c r="W163" s="295">
        <v>0</v>
      </c>
      <c r="X163" s="132">
        <v>0</v>
      </c>
      <c r="Y163" s="132">
        <v>1</v>
      </c>
      <c r="Z163" s="132">
        <v>1</v>
      </c>
      <c r="AA163" s="132">
        <v>1</v>
      </c>
      <c r="AB163" s="132">
        <v>1</v>
      </c>
      <c r="AC163" s="132">
        <v>1</v>
      </c>
      <c r="AD163" s="132">
        <v>1</v>
      </c>
      <c r="AE163" s="132">
        <v>1</v>
      </c>
      <c r="AF163" s="136">
        <v>1</v>
      </c>
    </row>
    <row r="164" spans="2:32" ht="13.15" x14ac:dyDescent="0.4">
      <c r="B164" s="178" t="s">
        <v>1505</v>
      </c>
      <c r="C164" s="138"/>
      <c r="D164" s="138"/>
      <c r="E164" s="138"/>
      <c r="F164" s="138"/>
      <c r="G164" s="138"/>
      <c r="H164" s="138"/>
      <c r="I164" s="138"/>
      <c r="J164" s="138"/>
      <c r="K164" s="138"/>
      <c r="L164" s="137"/>
      <c r="M164" s="572"/>
      <c r="N164" s="138"/>
      <c r="O164" s="138"/>
      <c r="P164" s="138"/>
      <c r="Q164" s="138"/>
      <c r="R164" s="138"/>
      <c r="S164" s="138"/>
      <c r="T164" s="138"/>
      <c r="U164" s="138"/>
      <c r="V164" s="137"/>
      <c r="W164" s="572"/>
      <c r="X164" s="138"/>
      <c r="Y164" s="138"/>
      <c r="Z164" s="138"/>
      <c r="AA164" s="138"/>
      <c r="AB164" s="138"/>
      <c r="AC164" s="138"/>
      <c r="AD164" s="138"/>
      <c r="AE164" s="138"/>
      <c r="AF164" s="137"/>
    </row>
    <row r="165" spans="2:32" x14ac:dyDescent="0.35">
      <c r="B165" s="50" t="s">
        <v>1438</v>
      </c>
      <c r="C165" s="132">
        <v>0.3</v>
      </c>
      <c r="D165" s="132">
        <v>0.3</v>
      </c>
      <c r="E165" s="132">
        <v>0.60499999999999998</v>
      </c>
      <c r="F165" s="132">
        <v>0.60499999999999998</v>
      </c>
      <c r="G165" s="132">
        <v>0.60499999999999998</v>
      </c>
      <c r="H165" s="132">
        <v>0.60499999999999998</v>
      </c>
      <c r="I165" s="132">
        <v>0.60499999999999998</v>
      </c>
      <c r="J165" s="132">
        <v>0.60499999999999998</v>
      </c>
      <c r="K165" s="132">
        <v>0.60499999999999998</v>
      </c>
      <c r="L165" s="132">
        <v>0.60499999999999998</v>
      </c>
      <c r="M165" s="571">
        <v>0.3</v>
      </c>
      <c r="N165" s="569">
        <v>0.3</v>
      </c>
      <c r="O165" s="569">
        <v>0.60499999999999998</v>
      </c>
      <c r="P165" s="569">
        <v>0.60499999999999998</v>
      </c>
      <c r="Q165" s="569">
        <v>0.60499999999999998</v>
      </c>
      <c r="R165" s="569">
        <v>0.60499999999999998</v>
      </c>
      <c r="S165" s="569">
        <v>0.60499999999999998</v>
      </c>
      <c r="T165" s="569">
        <v>0.60499999999999998</v>
      </c>
      <c r="U165" s="569">
        <v>0.60499999999999998</v>
      </c>
      <c r="V165" s="58">
        <v>0.60499999999999998</v>
      </c>
      <c r="W165" s="571">
        <v>0.30471289274106178</v>
      </c>
      <c r="X165" s="569">
        <v>0.31623475609756102</v>
      </c>
      <c r="Y165" s="569">
        <v>0</v>
      </c>
      <c r="Z165" s="569">
        <v>0</v>
      </c>
      <c r="AA165" s="569">
        <v>0</v>
      </c>
      <c r="AB165" s="569">
        <v>0</v>
      </c>
      <c r="AC165" s="569">
        <v>0</v>
      </c>
      <c r="AD165" s="569">
        <v>0</v>
      </c>
      <c r="AE165" s="569">
        <v>0</v>
      </c>
      <c r="AF165" s="58">
        <v>0</v>
      </c>
    </row>
    <row r="166" spans="2:32" x14ac:dyDescent="0.35">
      <c r="B166" s="50" t="s">
        <v>1447</v>
      </c>
      <c r="C166" s="132">
        <v>0</v>
      </c>
      <c r="D166" s="132">
        <v>0</v>
      </c>
      <c r="E166" s="132">
        <v>0.189</v>
      </c>
      <c r="F166" s="132">
        <v>0.189</v>
      </c>
      <c r="G166" s="132">
        <v>0.189</v>
      </c>
      <c r="H166" s="132">
        <v>0.189</v>
      </c>
      <c r="I166" s="132">
        <v>0.189</v>
      </c>
      <c r="J166" s="132">
        <v>0.189</v>
      </c>
      <c r="K166" s="132">
        <v>0.189</v>
      </c>
      <c r="L166" s="132">
        <v>0.189</v>
      </c>
      <c r="M166" s="571">
        <v>0</v>
      </c>
      <c r="N166" s="569">
        <v>0</v>
      </c>
      <c r="O166" s="569">
        <v>0.189</v>
      </c>
      <c r="P166" s="569">
        <v>0.189</v>
      </c>
      <c r="Q166" s="569">
        <v>0.189</v>
      </c>
      <c r="R166" s="569">
        <v>0.189</v>
      </c>
      <c r="S166" s="569">
        <v>0.189</v>
      </c>
      <c r="T166" s="569">
        <v>0.189</v>
      </c>
      <c r="U166" s="569">
        <v>0.189</v>
      </c>
      <c r="V166" s="58">
        <v>0.189</v>
      </c>
      <c r="W166" s="571">
        <v>0</v>
      </c>
      <c r="X166" s="569">
        <v>0</v>
      </c>
      <c r="Y166" s="569">
        <v>0</v>
      </c>
      <c r="Z166" s="569">
        <v>0</v>
      </c>
      <c r="AA166" s="569">
        <v>0</v>
      </c>
      <c r="AB166" s="569">
        <v>0</v>
      </c>
      <c r="AC166" s="569">
        <v>0</v>
      </c>
      <c r="AD166" s="569">
        <v>0</v>
      </c>
      <c r="AE166" s="569">
        <v>0</v>
      </c>
      <c r="AF166" s="58">
        <v>0</v>
      </c>
    </row>
    <row r="167" spans="2:32" x14ac:dyDescent="0.35">
      <c r="B167" s="50" t="s">
        <v>1502</v>
      </c>
      <c r="C167" s="132">
        <v>0.3</v>
      </c>
      <c r="D167" s="132">
        <v>0</v>
      </c>
      <c r="E167" s="132">
        <v>0</v>
      </c>
      <c r="F167" s="132">
        <v>0</v>
      </c>
      <c r="G167" s="132">
        <v>0</v>
      </c>
      <c r="H167" s="132">
        <v>0</v>
      </c>
      <c r="I167" s="132">
        <v>0</v>
      </c>
      <c r="J167" s="132">
        <v>0</v>
      </c>
      <c r="K167" s="132">
        <v>0</v>
      </c>
      <c r="L167" s="132">
        <v>0</v>
      </c>
      <c r="M167" s="571">
        <v>0.3</v>
      </c>
      <c r="N167" s="569">
        <v>0</v>
      </c>
      <c r="O167" s="569">
        <v>0</v>
      </c>
      <c r="P167" s="569">
        <v>0</v>
      </c>
      <c r="Q167" s="569">
        <v>0</v>
      </c>
      <c r="R167" s="569">
        <v>0</v>
      </c>
      <c r="S167" s="569">
        <v>0</v>
      </c>
      <c r="T167" s="569">
        <v>0</v>
      </c>
      <c r="U167" s="569">
        <v>0</v>
      </c>
      <c r="V167" s="58">
        <v>0</v>
      </c>
      <c r="W167" s="571">
        <v>0.2713001083423619</v>
      </c>
      <c r="X167" s="569">
        <v>0.28248475609756096</v>
      </c>
      <c r="Y167" s="569">
        <v>0</v>
      </c>
      <c r="Z167" s="569">
        <v>0</v>
      </c>
      <c r="AA167" s="569">
        <v>0</v>
      </c>
      <c r="AB167" s="569">
        <v>0</v>
      </c>
      <c r="AC167" s="569">
        <v>0</v>
      </c>
      <c r="AD167" s="569">
        <v>0</v>
      </c>
      <c r="AE167" s="569">
        <v>0</v>
      </c>
      <c r="AF167" s="58">
        <v>0</v>
      </c>
    </row>
    <row r="168" spans="2:32" x14ac:dyDescent="0.35">
      <c r="B168" s="50" t="s">
        <v>1427</v>
      </c>
      <c r="C168" s="132">
        <v>0</v>
      </c>
      <c r="D168" s="132">
        <v>0</v>
      </c>
      <c r="E168" s="132">
        <v>0</v>
      </c>
      <c r="F168" s="132">
        <v>0</v>
      </c>
      <c r="G168" s="132">
        <v>0</v>
      </c>
      <c r="H168" s="132">
        <v>0</v>
      </c>
      <c r="I168" s="132">
        <v>0</v>
      </c>
      <c r="J168" s="132">
        <v>0</v>
      </c>
      <c r="K168" s="132">
        <v>0</v>
      </c>
      <c r="L168" s="132">
        <v>0</v>
      </c>
      <c r="M168" s="571">
        <v>0</v>
      </c>
      <c r="N168" s="569">
        <v>0</v>
      </c>
      <c r="O168" s="569">
        <v>0</v>
      </c>
      <c r="P168" s="569">
        <v>0</v>
      </c>
      <c r="Q168" s="569">
        <v>0</v>
      </c>
      <c r="R168" s="569">
        <v>0</v>
      </c>
      <c r="S168" s="569">
        <v>0</v>
      </c>
      <c r="T168" s="569">
        <v>0</v>
      </c>
      <c r="U168" s="569">
        <v>0</v>
      </c>
      <c r="V168" s="58">
        <v>0</v>
      </c>
      <c r="W168" s="571">
        <v>0</v>
      </c>
      <c r="X168" s="569">
        <v>0</v>
      </c>
      <c r="Y168" s="569">
        <v>0</v>
      </c>
      <c r="Z168" s="569">
        <v>0</v>
      </c>
      <c r="AA168" s="569">
        <v>0</v>
      </c>
      <c r="AB168" s="569">
        <v>0</v>
      </c>
      <c r="AC168" s="569">
        <v>0</v>
      </c>
      <c r="AD168" s="569">
        <v>0</v>
      </c>
      <c r="AE168" s="569">
        <v>0</v>
      </c>
      <c r="AF168" s="58">
        <v>0</v>
      </c>
    </row>
    <row r="169" spans="2:32" x14ac:dyDescent="0.35">
      <c r="B169" s="50" t="s">
        <v>1446</v>
      </c>
      <c r="C169" s="132">
        <v>0.3</v>
      </c>
      <c r="D169" s="132">
        <v>0.3</v>
      </c>
      <c r="E169" s="132">
        <v>0.2</v>
      </c>
      <c r="F169" s="132">
        <v>0.2</v>
      </c>
      <c r="G169" s="132">
        <v>0.2</v>
      </c>
      <c r="H169" s="132">
        <v>0.2</v>
      </c>
      <c r="I169" s="132">
        <v>0.2</v>
      </c>
      <c r="J169" s="132">
        <v>0.2</v>
      </c>
      <c r="K169" s="132">
        <v>0.2</v>
      </c>
      <c r="L169" s="132">
        <v>0.2</v>
      </c>
      <c r="M169" s="571">
        <v>0.3</v>
      </c>
      <c r="N169" s="569">
        <v>0.3</v>
      </c>
      <c r="O169" s="569">
        <v>0.2</v>
      </c>
      <c r="P169" s="569">
        <v>0.2</v>
      </c>
      <c r="Q169" s="569">
        <v>0.2</v>
      </c>
      <c r="R169" s="569">
        <v>0.2</v>
      </c>
      <c r="S169" s="569">
        <v>0.2</v>
      </c>
      <c r="T169" s="569">
        <v>0.2</v>
      </c>
      <c r="U169" s="569">
        <v>0.2</v>
      </c>
      <c r="V169" s="58">
        <v>0.2</v>
      </c>
      <c r="W169" s="571">
        <v>0</v>
      </c>
      <c r="X169" s="569">
        <v>0</v>
      </c>
      <c r="Y169" s="569">
        <v>0</v>
      </c>
      <c r="Z169" s="569">
        <v>0</v>
      </c>
      <c r="AA169" s="569">
        <v>0</v>
      </c>
      <c r="AB169" s="569">
        <v>0</v>
      </c>
      <c r="AC169" s="569">
        <v>0</v>
      </c>
      <c r="AD169" s="569">
        <v>0</v>
      </c>
      <c r="AE169" s="569">
        <v>0</v>
      </c>
      <c r="AF169" s="58">
        <v>0</v>
      </c>
    </row>
    <row r="170" spans="2:32" x14ac:dyDescent="0.35">
      <c r="B170" s="50" t="s">
        <v>1445</v>
      </c>
      <c r="C170" s="132">
        <v>0</v>
      </c>
      <c r="D170" s="132">
        <v>0.3</v>
      </c>
      <c r="E170" s="132">
        <v>0</v>
      </c>
      <c r="F170" s="132">
        <v>0</v>
      </c>
      <c r="G170" s="132">
        <v>0</v>
      </c>
      <c r="H170" s="132">
        <v>0</v>
      </c>
      <c r="I170" s="132">
        <v>0</v>
      </c>
      <c r="J170" s="132">
        <v>0</v>
      </c>
      <c r="K170" s="132">
        <v>0</v>
      </c>
      <c r="L170" s="132">
        <v>0</v>
      </c>
      <c r="M170" s="571">
        <v>0</v>
      </c>
      <c r="N170" s="569">
        <v>0.3</v>
      </c>
      <c r="O170" s="569">
        <v>0</v>
      </c>
      <c r="P170" s="569">
        <v>0</v>
      </c>
      <c r="Q170" s="569">
        <v>0</v>
      </c>
      <c r="R170" s="569">
        <v>0</v>
      </c>
      <c r="S170" s="569">
        <v>0</v>
      </c>
      <c r="T170" s="569">
        <v>0</v>
      </c>
      <c r="U170" s="569">
        <v>0</v>
      </c>
      <c r="V170" s="58">
        <v>0</v>
      </c>
      <c r="W170" s="571">
        <v>0.32286023835319611</v>
      </c>
      <c r="X170" s="569">
        <v>0.2972560975609756</v>
      </c>
      <c r="Y170" s="569">
        <v>0</v>
      </c>
      <c r="Z170" s="569">
        <v>0</v>
      </c>
      <c r="AA170" s="569">
        <v>0</v>
      </c>
      <c r="AB170" s="569">
        <v>0</v>
      </c>
      <c r="AC170" s="569">
        <v>0</v>
      </c>
      <c r="AD170" s="569">
        <v>0</v>
      </c>
      <c r="AE170" s="569">
        <v>0</v>
      </c>
      <c r="AF170" s="58">
        <v>0</v>
      </c>
    </row>
    <row r="171" spans="2:32" x14ac:dyDescent="0.35">
      <c r="B171" s="50" t="s">
        <v>1504</v>
      </c>
      <c r="C171" s="132">
        <v>0</v>
      </c>
      <c r="D171" s="132">
        <v>0</v>
      </c>
      <c r="E171" s="132">
        <v>0</v>
      </c>
      <c r="F171" s="132">
        <v>0</v>
      </c>
      <c r="G171" s="132">
        <v>0</v>
      </c>
      <c r="H171" s="132">
        <v>0</v>
      </c>
      <c r="I171" s="132">
        <v>0</v>
      </c>
      <c r="J171" s="132">
        <v>0</v>
      </c>
      <c r="K171" s="132">
        <v>0</v>
      </c>
      <c r="L171" s="132">
        <v>0</v>
      </c>
      <c r="M171" s="571">
        <v>0</v>
      </c>
      <c r="N171" s="569">
        <v>0</v>
      </c>
      <c r="O171" s="569">
        <v>0</v>
      </c>
      <c r="P171" s="569">
        <v>0</v>
      </c>
      <c r="Q171" s="569">
        <v>0</v>
      </c>
      <c r="R171" s="569">
        <v>0</v>
      </c>
      <c r="S171" s="569">
        <v>0</v>
      </c>
      <c r="T171" s="569">
        <v>0</v>
      </c>
      <c r="U171" s="569">
        <v>0</v>
      </c>
      <c r="V171" s="58">
        <v>0</v>
      </c>
      <c r="W171" s="571">
        <v>0</v>
      </c>
      <c r="X171" s="569">
        <v>0</v>
      </c>
      <c r="Y171" s="569">
        <v>0</v>
      </c>
      <c r="Z171" s="569">
        <v>0</v>
      </c>
      <c r="AA171" s="569">
        <v>0</v>
      </c>
      <c r="AB171" s="569">
        <v>0</v>
      </c>
      <c r="AC171" s="569">
        <v>0</v>
      </c>
      <c r="AD171" s="569">
        <v>0</v>
      </c>
      <c r="AE171" s="569">
        <v>0</v>
      </c>
      <c r="AF171" s="58">
        <v>0</v>
      </c>
    </row>
    <row r="172" spans="2:32" x14ac:dyDescent="0.35">
      <c r="B172" s="50" t="s">
        <v>1497</v>
      </c>
      <c r="C172" s="132">
        <v>0.05</v>
      </c>
      <c r="D172" s="132">
        <v>0.05</v>
      </c>
      <c r="E172" s="132">
        <v>2E-3</v>
      </c>
      <c r="F172" s="132">
        <v>2E-3</v>
      </c>
      <c r="G172" s="132">
        <v>2E-3</v>
      </c>
      <c r="H172" s="132">
        <v>2E-3</v>
      </c>
      <c r="I172" s="132">
        <v>2E-3</v>
      </c>
      <c r="J172" s="132">
        <v>2E-3</v>
      </c>
      <c r="K172" s="132">
        <v>2E-3</v>
      </c>
      <c r="L172" s="132">
        <v>2E-3</v>
      </c>
      <c r="M172" s="571">
        <v>0.05</v>
      </c>
      <c r="N172" s="569">
        <v>0.05</v>
      </c>
      <c r="O172" s="569">
        <v>2E-3</v>
      </c>
      <c r="P172" s="569">
        <v>2E-3</v>
      </c>
      <c r="Q172" s="569">
        <v>2E-3</v>
      </c>
      <c r="R172" s="569">
        <v>2E-3</v>
      </c>
      <c r="S172" s="569">
        <v>2E-3</v>
      </c>
      <c r="T172" s="569">
        <v>2E-3</v>
      </c>
      <c r="U172" s="569">
        <v>2E-3</v>
      </c>
      <c r="V172" s="58">
        <v>2E-3</v>
      </c>
      <c r="W172" s="571">
        <v>5.0563380281690141E-2</v>
      </c>
      <c r="X172" s="569">
        <v>5.2012195121951217E-2</v>
      </c>
      <c r="Y172" s="569">
        <v>0</v>
      </c>
      <c r="Z172" s="569">
        <v>0</v>
      </c>
      <c r="AA172" s="569">
        <v>0</v>
      </c>
      <c r="AB172" s="569">
        <v>0</v>
      </c>
      <c r="AC172" s="569">
        <v>0</v>
      </c>
      <c r="AD172" s="569">
        <v>0</v>
      </c>
      <c r="AE172" s="569">
        <v>0</v>
      </c>
      <c r="AF172" s="58">
        <v>0</v>
      </c>
    </row>
    <row r="173" spans="2:32" x14ac:dyDescent="0.35">
      <c r="B173" s="50" t="s">
        <v>1457</v>
      </c>
      <c r="C173" s="132">
        <v>0.05</v>
      </c>
      <c r="D173" s="132">
        <v>0.05</v>
      </c>
      <c r="E173" s="132">
        <v>0</v>
      </c>
      <c r="F173" s="132">
        <v>0</v>
      </c>
      <c r="G173" s="132">
        <v>0</v>
      </c>
      <c r="H173" s="132">
        <v>0</v>
      </c>
      <c r="I173" s="132">
        <v>0</v>
      </c>
      <c r="J173" s="132">
        <v>0</v>
      </c>
      <c r="K173" s="132">
        <v>0</v>
      </c>
      <c r="L173" s="132">
        <v>0</v>
      </c>
      <c r="M173" s="571">
        <v>0.05</v>
      </c>
      <c r="N173" s="569">
        <v>0.05</v>
      </c>
      <c r="O173" s="569">
        <v>0</v>
      </c>
      <c r="P173" s="569">
        <v>0</v>
      </c>
      <c r="Q173" s="569">
        <v>0</v>
      </c>
      <c r="R173" s="569">
        <v>0</v>
      </c>
      <c r="S173" s="569">
        <v>0</v>
      </c>
      <c r="T173" s="569">
        <v>0</v>
      </c>
      <c r="U173" s="569">
        <v>0</v>
      </c>
      <c r="V173" s="58">
        <v>0</v>
      </c>
      <c r="W173" s="571">
        <v>5.0563380281690141E-2</v>
      </c>
      <c r="X173" s="569">
        <v>5.2012195121951217E-2</v>
      </c>
      <c r="Y173" s="569">
        <v>0</v>
      </c>
      <c r="Z173" s="569">
        <v>0</v>
      </c>
      <c r="AA173" s="569">
        <v>0</v>
      </c>
      <c r="AB173" s="569">
        <v>0</v>
      </c>
      <c r="AC173" s="569">
        <v>0</v>
      </c>
      <c r="AD173" s="569">
        <v>0</v>
      </c>
      <c r="AE173" s="569">
        <v>0</v>
      </c>
      <c r="AF173" s="58">
        <v>0</v>
      </c>
    </row>
    <row r="174" spans="2:32" x14ac:dyDescent="0.35">
      <c r="B174" s="46" t="s">
        <v>1466</v>
      </c>
      <c r="C174" s="122">
        <v>0</v>
      </c>
      <c r="D174" s="122">
        <v>0</v>
      </c>
      <c r="E174" s="122">
        <v>4.0000000000000036E-3</v>
      </c>
      <c r="F174" s="122">
        <v>4.0000000000000036E-3</v>
      </c>
      <c r="G174" s="122">
        <v>4.0000000000000036E-3</v>
      </c>
      <c r="H174" s="122">
        <v>4.0000000000000036E-3</v>
      </c>
      <c r="I174" s="122">
        <v>4.0000000000000036E-3</v>
      </c>
      <c r="J174" s="122">
        <v>4.0000000000000036E-3</v>
      </c>
      <c r="K174" s="122">
        <v>4.0000000000000036E-3</v>
      </c>
      <c r="L174" s="56">
        <v>4.0000000000000036E-3</v>
      </c>
      <c r="M174" s="123">
        <v>0</v>
      </c>
      <c r="N174" s="122">
        <v>0</v>
      </c>
      <c r="O174" s="122">
        <v>4.0000000000000036E-3</v>
      </c>
      <c r="P174" s="122">
        <v>4.0000000000000036E-3</v>
      </c>
      <c r="Q174" s="122">
        <v>4.0000000000000036E-3</v>
      </c>
      <c r="R174" s="122">
        <v>4.0000000000000036E-3</v>
      </c>
      <c r="S174" s="122">
        <v>4.0000000000000036E-3</v>
      </c>
      <c r="T174" s="122">
        <v>4.0000000000000036E-3</v>
      </c>
      <c r="U174" s="122">
        <v>4.0000000000000036E-3</v>
      </c>
      <c r="V174" s="56">
        <v>4.0000000000000036E-3</v>
      </c>
      <c r="W174" s="123">
        <v>0</v>
      </c>
      <c r="X174" s="122">
        <v>0</v>
      </c>
      <c r="Y174" s="122">
        <v>1</v>
      </c>
      <c r="Z174" s="122">
        <v>1</v>
      </c>
      <c r="AA174" s="122">
        <v>1</v>
      </c>
      <c r="AB174" s="122">
        <v>1</v>
      </c>
      <c r="AC174" s="122">
        <v>1</v>
      </c>
      <c r="AD174" s="122">
        <v>1</v>
      </c>
      <c r="AE174" s="122">
        <v>1</v>
      </c>
      <c r="AF174" s="56">
        <v>1</v>
      </c>
    </row>
    <row r="175" spans="2:32" ht="13.15" x14ac:dyDescent="0.4">
      <c r="B175" s="238" t="s">
        <v>1503</v>
      </c>
      <c r="C175" s="132"/>
      <c r="D175" s="132"/>
      <c r="E175" s="132"/>
      <c r="F175" s="132"/>
      <c r="G175" s="132"/>
      <c r="H175" s="132"/>
      <c r="I175" s="132"/>
      <c r="J175" s="132"/>
      <c r="K175" s="132"/>
      <c r="L175" s="136"/>
      <c r="M175" s="295"/>
      <c r="N175" s="132"/>
      <c r="O175" s="132"/>
      <c r="P175" s="132"/>
      <c r="Q175" s="132"/>
      <c r="R175" s="132"/>
      <c r="S175" s="132"/>
      <c r="T175" s="132"/>
      <c r="U175" s="132"/>
      <c r="V175" s="136"/>
      <c r="W175" s="295"/>
      <c r="X175" s="132"/>
      <c r="Y175" s="132"/>
      <c r="Z175" s="132"/>
      <c r="AA175" s="132"/>
      <c r="AB175" s="132"/>
      <c r="AC175" s="132"/>
      <c r="AD175" s="132"/>
      <c r="AE175" s="132"/>
      <c r="AF175" s="136"/>
    </row>
    <row r="176" spans="2:32" x14ac:dyDescent="0.35">
      <c r="B176" s="50" t="s">
        <v>1438</v>
      </c>
      <c r="C176" s="132">
        <v>0.84099999999999997</v>
      </c>
      <c r="D176" s="132">
        <v>0.36899999999999999</v>
      </c>
      <c r="E176" s="132">
        <v>0.84099999999999997</v>
      </c>
      <c r="F176" s="132">
        <v>0.35599999999999998</v>
      </c>
      <c r="G176" s="132">
        <v>0.84099999999999997</v>
      </c>
      <c r="H176" s="132">
        <v>0.34799999999999998</v>
      </c>
      <c r="I176" s="132">
        <v>0.84099999999999997</v>
      </c>
      <c r="J176" s="132">
        <v>0.34300000000000003</v>
      </c>
      <c r="K176" s="132">
        <v>0.84099999999999997</v>
      </c>
      <c r="L176" s="132">
        <v>0.34399999999999997</v>
      </c>
      <c r="M176" s="571">
        <v>0.84099999999999997</v>
      </c>
      <c r="N176" s="569">
        <v>0.36899999999999999</v>
      </c>
      <c r="O176" s="569">
        <v>0.84099999999999997</v>
      </c>
      <c r="P176" s="569">
        <v>0.35599999999999998</v>
      </c>
      <c r="Q176" s="569">
        <v>0.84099999999999997</v>
      </c>
      <c r="R176" s="569">
        <v>0.34799999999999998</v>
      </c>
      <c r="S176" s="569">
        <v>0.84099999999999997</v>
      </c>
      <c r="T176" s="569">
        <v>0.34300000000000003</v>
      </c>
      <c r="U176" s="569">
        <v>0.84099999999999997</v>
      </c>
      <c r="V176" s="58">
        <v>0.34399999999999997</v>
      </c>
      <c r="W176" s="571">
        <v>0.72232330888098983</v>
      </c>
      <c r="X176" s="569">
        <v>0.59638055986256344</v>
      </c>
      <c r="Y176" s="569">
        <v>0</v>
      </c>
      <c r="Z176" s="569">
        <v>0</v>
      </c>
      <c r="AA176" s="569">
        <v>0</v>
      </c>
      <c r="AB176" s="569">
        <v>0</v>
      </c>
      <c r="AC176" s="569">
        <v>0</v>
      </c>
      <c r="AD176" s="569">
        <v>0</v>
      </c>
      <c r="AE176" s="569">
        <v>0</v>
      </c>
      <c r="AF176" s="58">
        <v>0</v>
      </c>
    </row>
    <row r="177" spans="2:32" x14ac:dyDescent="0.35">
      <c r="B177" s="50" t="s">
        <v>1502</v>
      </c>
      <c r="C177" s="132">
        <v>6.9000000000000006E-2</v>
      </c>
      <c r="D177" s="132">
        <v>8.6999999999999994E-2</v>
      </c>
      <c r="E177" s="132">
        <v>6.9000000000000006E-2</v>
      </c>
      <c r="F177" s="132">
        <v>8.6999999999999994E-2</v>
      </c>
      <c r="G177" s="132">
        <v>6.9000000000000006E-2</v>
      </c>
      <c r="H177" s="132">
        <v>8.8999999999999996E-2</v>
      </c>
      <c r="I177" s="132">
        <v>6.9000000000000006E-2</v>
      </c>
      <c r="J177" s="132">
        <v>9.1999999999999998E-2</v>
      </c>
      <c r="K177" s="132">
        <v>6.9000000000000006E-2</v>
      </c>
      <c r="L177" s="132">
        <v>9.0999999999999998E-2</v>
      </c>
      <c r="M177" s="571">
        <v>6.9000000000000006E-2</v>
      </c>
      <c r="N177" s="569">
        <v>8.6999999999999994E-2</v>
      </c>
      <c r="O177" s="569">
        <v>6.9000000000000006E-2</v>
      </c>
      <c r="P177" s="569">
        <v>8.6999999999999994E-2</v>
      </c>
      <c r="Q177" s="569">
        <v>6.9000000000000006E-2</v>
      </c>
      <c r="R177" s="569">
        <v>8.8999999999999996E-2</v>
      </c>
      <c r="S177" s="569">
        <v>6.9000000000000006E-2</v>
      </c>
      <c r="T177" s="569">
        <v>9.1999999999999998E-2</v>
      </c>
      <c r="U177" s="569">
        <v>6.9000000000000006E-2</v>
      </c>
      <c r="V177" s="58">
        <v>9.0999999999999998E-2</v>
      </c>
      <c r="W177" s="571">
        <v>8.799690088801479E-2</v>
      </c>
      <c r="X177" s="569">
        <v>1.8990999917430435E-2</v>
      </c>
      <c r="Y177" s="569">
        <v>0</v>
      </c>
      <c r="Z177" s="569">
        <v>0</v>
      </c>
      <c r="AA177" s="569">
        <v>0</v>
      </c>
      <c r="AB177" s="569">
        <v>0</v>
      </c>
      <c r="AC177" s="569">
        <v>0</v>
      </c>
      <c r="AD177" s="569">
        <v>0</v>
      </c>
      <c r="AE177" s="569">
        <v>0</v>
      </c>
      <c r="AF177" s="58">
        <v>0</v>
      </c>
    </row>
    <row r="178" spans="2:32" x14ac:dyDescent="0.35">
      <c r="B178" s="50" t="s">
        <v>1446</v>
      </c>
      <c r="C178" s="132">
        <v>0</v>
      </c>
      <c r="D178" s="132">
        <v>2.3E-2</v>
      </c>
      <c r="E178" s="132">
        <v>0</v>
      </c>
      <c r="F178" s="132">
        <v>2.1999999999999999E-2</v>
      </c>
      <c r="G178" s="132">
        <v>0</v>
      </c>
      <c r="H178" s="132">
        <v>2.1000000000000001E-2</v>
      </c>
      <c r="I178" s="132">
        <v>0</v>
      </c>
      <c r="J178" s="132">
        <v>0.02</v>
      </c>
      <c r="K178" s="132">
        <v>0</v>
      </c>
      <c r="L178" s="132">
        <v>0.02</v>
      </c>
      <c r="M178" s="571">
        <v>0</v>
      </c>
      <c r="N178" s="569">
        <v>2.3E-2</v>
      </c>
      <c r="O178" s="569">
        <v>0</v>
      </c>
      <c r="P178" s="569">
        <v>2.1999999999999999E-2</v>
      </c>
      <c r="Q178" s="569">
        <v>0</v>
      </c>
      <c r="R178" s="569">
        <v>2.1000000000000001E-2</v>
      </c>
      <c r="S178" s="569">
        <v>0</v>
      </c>
      <c r="T178" s="569">
        <v>0.02</v>
      </c>
      <c r="U178" s="569">
        <v>0</v>
      </c>
      <c r="V178" s="58">
        <v>0.02</v>
      </c>
      <c r="W178" s="571">
        <v>0</v>
      </c>
      <c r="X178" s="569">
        <v>0.13464229977392322</v>
      </c>
      <c r="Y178" s="569">
        <v>0</v>
      </c>
      <c r="Z178" s="569">
        <v>0</v>
      </c>
      <c r="AA178" s="569">
        <v>0</v>
      </c>
      <c r="AB178" s="569">
        <v>0</v>
      </c>
      <c r="AC178" s="569">
        <v>0</v>
      </c>
      <c r="AD178" s="569">
        <v>0</v>
      </c>
      <c r="AE178" s="569">
        <v>0</v>
      </c>
      <c r="AF178" s="58">
        <v>0</v>
      </c>
    </row>
    <row r="179" spans="2:32" x14ac:dyDescent="0.35">
      <c r="B179" s="50" t="s">
        <v>1445</v>
      </c>
      <c r="C179" s="132">
        <v>0.01</v>
      </c>
      <c r="D179" s="132">
        <v>0.31</v>
      </c>
      <c r="E179" s="132">
        <v>0.01</v>
      </c>
      <c r="F179" s="132">
        <v>0.33200000000000002</v>
      </c>
      <c r="G179" s="132">
        <v>0.01</v>
      </c>
      <c r="H179" s="132">
        <v>0.34200000000000003</v>
      </c>
      <c r="I179" s="132">
        <v>0.01</v>
      </c>
      <c r="J179" s="132">
        <v>0.34699999999999998</v>
      </c>
      <c r="K179" s="132">
        <v>0.01</v>
      </c>
      <c r="L179" s="132">
        <v>0.34599999999999997</v>
      </c>
      <c r="M179" s="571">
        <v>0.01</v>
      </c>
      <c r="N179" s="569">
        <v>0.31</v>
      </c>
      <c r="O179" s="569">
        <v>0.01</v>
      </c>
      <c r="P179" s="569">
        <v>0.33200000000000002</v>
      </c>
      <c r="Q179" s="569">
        <v>0.01</v>
      </c>
      <c r="R179" s="569">
        <v>0.34200000000000003</v>
      </c>
      <c r="S179" s="569">
        <v>0.01</v>
      </c>
      <c r="T179" s="569">
        <v>0.34699999999999998</v>
      </c>
      <c r="U179" s="569">
        <v>0.01</v>
      </c>
      <c r="V179" s="58">
        <v>0.34599999999999997</v>
      </c>
      <c r="W179" s="571">
        <v>2.7397341915489599E-2</v>
      </c>
      <c r="X179" s="569">
        <v>4.6444109275701154E-2</v>
      </c>
      <c r="Y179" s="569">
        <v>0</v>
      </c>
      <c r="Z179" s="569">
        <v>0</v>
      </c>
      <c r="AA179" s="569">
        <v>0</v>
      </c>
      <c r="AB179" s="569">
        <v>0</v>
      </c>
      <c r="AC179" s="569">
        <v>0</v>
      </c>
      <c r="AD179" s="569">
        <v>0</v>
      </c>
      <c r="AE179" s="569">
        <v>0</v>
      </c>
      <c r="AF179" s="58">
        <v>0</v>
      </c>
    </row>
    <row r="180" spans="2:32" x14ac:dyDescent="0.35">
      <c r="B180" s="50" t="s">
        <v>1498</v>
      </c>
      <c r="C180" s="132">
        <v>1.2E-2</v>
      </c>
      <c r="D180" s="132">
        <v>2.1000000000000001E-2</v>
      </c>
      <c r="E180" s="132">
        <v>1.2E-2</v>
      </c>
      <c r="F180" s="132">
        <v>0.02</v>
      </c>
      <c r="G180" s="132">
        <v>1.2E-2</v>
      </c>
      <c r="H180" s="132">
        <v>1.9E-2</v>
      </c>
      <c r="I180" s="132">
        <v>1.2E-2</v>
      </c>
      <c r="J180" s="132">
        <v>1.7999999999999999E-2</v>
      </c>
      <c r="K180" s="132">
        <v>1.2E-2</v>
      </c>
      <c r="L180" s="132">
        <v>1.7999999999999999E-2</v>
      </c>
      <c r="M180" s="571">
        <v>1.2E-2</v>
      </c>
      <c r="N180" s="569">
        <v>2.1000000000000001E-2</v>
      </c>
      <c r="O180" s="569">
        <v>1.2E-2</v>
      </c>
      <c r="P180" s="569">
        <v>0.02</v>
      </c>
      <c r="Q180" s="569">
        <v>1.2E-2</v>
      </c>
      <c r="R180" s="569">
        <v>1.9E-2</v>
      </c>
      <c r="S180" s="569">
        <v>1.2E-2</v>
      </c>
      <c r="T180" s="569">
        <v>1.7999999999999999E-2</v>
      </c>
      <c r="U180" s="569">
        <v>1.2E-2</v>
      </c>
      <c r="V180" s="58">
        <v>1.7999999999999999E-2</v>
      </c>
      <c r="W180" s="571">
        <v>3.3971035222599686E-3</v>
      </c>
      <c r="X180" s="569">
        <v>5.5862439104945923E-3</v>
      </c>
      <c r="Y180" s="569">
        <v>0</v>
      </c>
      <c r="Z180" s="569">
        <v>0</v>
      </c>
      <c r="AA180" s="569">
        <v>0</v>
      </c>
      <c r="AB180" s="569">
        <v>0</v>
      </c>
      <c r="AC180" s="569">
        <v>0</v>
      </c>
      <c r="AD180" s="569">
        <v>0</v>
      </c>
      <c r="AE180" s="569">
        <v>0</v>
      </c>
      <c r="AF180" s="58">
        <v>0</v>
      </c>
    </row>
    <row r="181" spans="2:32" x14ac:dyDescent="0.35">
      <c r="B181" s="50" t="s">
        <v>241</v>
      </c>
      <c r="C181" s="132">
        <v>0</v>
      </c>
      <c r="D181" s="132">
        <v>0</v>
      </c>
      <c r="E181" s="132">
        <v>0</v>
      </c>
      <c r="F181" s="132">
        <v>0</v>
      </c>
      <c r="G181" s="132">
        <v>0</v>
      </c>
      <c r="H181" s="132">
        <v>0</v>
      </c>
      <c r="I181" s="132">
        <v>0</v>
      </c>
      <c r="J181" s="132">
        <v>0</v>
      </c>
      <c r="K181" s="132">
        <v>0</v>
      </c>
      <c r="L181" s="132">
        <v>0</v>
      </c>
      <c r="M181" s="571">
        <v>0</v>
      </c>
      <c r="N181" s="569">
        <v>0</v>
      </c>
      <c r="O181" s="569">
        <v>0</v>
      </c>
      <c r="P181" s="569">
        <v>0</v>
      </c>
      <c r="Q181" s="569">
        <v>0</v>
      </c>
      <c r="R181" s="569">
        <v>0</v>
      </c>
      <c r="S181" s="569">
        <v>0</v>
      </c>
      <c r="T181" s="569">
        <v>0</v>
      </c>
      <c r="U181" s="569">
        <v>0</v>
      </c>
      <c r="V181" s="58">
        <v>0</v>
      </c>
      <c r="W181" s="571">
        <v>3.1253352404791703E-3</v>
      </c>
      <c r="X181" s="569">
        <v>3.3329204855090419E-3</v>
      </c>
      <c r="Y181" s="569">
        <v>0</v>
      </c>
      <c r="Z181" s="569">
        <v>0</v>
      </c>
      <c r="AA181" s="569">
        <v>0</v>
      </c>
      <c r="AB181" s="569">
        <v>0</v>
      </c>
      <c r="AC181" s="569">
        <v>0</v>
      </c>
      <c r="AD181" s="569">
        <v>0</v>
      </c>
      <c r="AE181" s="569">
        <v>0</v>
      </c>
      <c r="AF181" s="58">
        <v>0</v>
      </c>
    </row>
    <row r="182" spans="2:32" x14ac:dyDescent="0.35">
      <c r="B182" s="50" t="s">
        <v>1427</v>
      </c>
      <c r="C182" s="132">
        <v>0</v>
      </c>
      <c r="D182" s="132">
        <v>0</v>
      </c>
      <c r="E182" s="132">
        <v>0</v>
      </c>
      <c r="F182" s="132">
        <v>0</v>
      </c>
      <c r="G182" s="132">
        <v>0</v>
      </c>
      <c r="H182" s="132">
        <v>0</v>
      </c>
      <c r="I182" s="132">
        <v>0</v>
      </c>
      <c r="J182" s="132">
        <v>0</v>
      </c>
      <c r="K182" s="132">
        <v>0</v>
      </c>
      <c r="L182" s="132">
        <v>0</v>
      </c>
      <c r="M182" s="571">
        <v>0</v>
      </c>
      <c r="N182" s="569">
        <v>0</v>
      </c>
      <c r="O182" s="569">
        <v>0</v>
      </c>
      <c r="P182" s="569">
        <v>0</v>
      </c>
      <c r="Q182" s="569">
        <v>0</v>
      </c>
      <c r="R182" s="569">
        <v>0</v>
      </c>
      <c r="S182" s="569">
        <v>0</v>
      </c>
      <c r="T182" s="569">
        <v>0</v>
      </c>
      <c r="U182" s="569">
        <v>0</v>
      </c>
      <c r="V182" s="58">
        <v>0</v>
      </c>
      <c r="W182" s="571">
        <v>7.536205971750403E-3</v>
      </c>
      <c r="X182" s="569">
        <v>1.0440921476343821E-2</v>
      </c>
      <c r="Y182" s="569">
        <v>0</v>
      </c>
      <c r="Z182" s="569">
        <v>0</v>
      </c>
      <c r="AA182" s="569">
        <v>0</v>
      </c>
      <c r="AB182" s="569">
        <v>0</v>
      </c>
      <c r="AC182" s="569">
        <v>0</v>
      </c>
      <c r="AD182" s="569">
        <v>0</v>
      </c>
      <c r="AE182" s="569">
        <v>0</v>
      </c>
      <c r="AF182" s="58">
        <v>0</v>
      </c>
    </row>
    <row r="183" spans="2:32" x14ac:dyDescent="0.35">
      <c r="B183" s="50" t="s">
        <v>1493</v>
      </c>
      <c r="C183" s="132">
        <v>0</v>
      </c>
      <c r="D183" s="132">
        <v>7.8E-2</v>
      </c>
      <c r="E183" s="132">
        <v>0</v>
      </c>
      <c r="F183" s="132">
        <v>7.8E-2</v>
      </c>
      <c r="G183" s="132">
        <v>0</v>
      </c>
      <c r="H183" s="132">
        <v>0.08</v>
      </c>
      <c r="I183" s="132">
        <v>0</v>
      </c>
      <c r="J183" s="132">
        <v>8.3000000000000004E-2</v>
      </c>
      <c r="K183" s="132">
        <v>0</v>
      </c>
      <c r="L183" s="132">
        <v>8.2000000000000003E-2</v>
      </c>
      <c r="M183" s="571">
        <v>0</v>
      </c>
      <c r="N183" s="569">
        <v>7.8E-2</v>
      </c>
      <c r="O183" s="569">
        <v>0</v>
      </c>
      <c r="P183" s="569">
        <v>7.8E-2</v>
      </c>
      <c r="Q183" s="569">
        <v>0</v>
      </c>
      <c r="R183" s="569">
        <v>0.08</v>
      </c>
      <c r="S183" s="569">
        <v>0</v>
      </c>
      <c r="T183" s="569">
        <v>8.3000000000000004E-2</v>
      </c>
      <c r="U183" s="569">
        <v>0</v>
      </c>
      <c r="V183" s="58">
        <v>8.2000000000000003E-2</v>
      </c>
      <c r="W183" s="571">
        <v>0</v>
      </c>
      <c r="X183" s="569">
        <v>0</v>
      </c>
      <c r="Y183" s="569">
        <v>0</v>
      </c>
      <c r="Z183" s="569">
        <v>0</v>
      </c>
      <c r="AA183" s="569">
        <v>0</v>
      </c>
      <c r="AB183" s="569">
        <v>0</v>
      </c>
      <c r="AC183" s="569">
        <v>0</v>
      </c>
      <c r="AD183" s="569">
        <v>0</v>
      </c>
      <c r="AE183" s="569">
        <v>0</v>
      </c>
      <c r="AF183" s="58">
        <v>0</v>
      </c>
    </row>
    <row r="184" spans="2:32" x14ac:dyDescent="0.35">
      <c r="B184" s="50" t="s">
        <v>1497</v>
      </c>
      <c r="C184" s="132">
        <v>1.7999999999999999E-2</v>
      </c>
      <c r="D184" s="132">
        <v>3.1E-2</v>
      </c>
      <c r="E184" s="132">
        <v>1.7999999999999999E-2</v>
      </c>
      <c r="F184" s="132">
        <v>2.9000000000000001E-2</v>
      </c>
      <c r="G184" s="132">
        <v>1.7999999999999999E-2</v>
      </c>
      <c r="H184" s="132">
        <v>2.7E-2</v>
      </c>
      <c r="I184" s="132">
        <v>1.7999999999999999E-2</v>
      </c>
      <c r="J184" s="132">
        <v>2.5999999999999999E-2</v>
      </c>
      <c r="K184" s="132">
        <v>1.7999999999999999E-2</v>
      </c>
      <c r="L184" s="132">
        <v>2.5999999999999999E-2</v>
      </c>
      <c r="M184" s="571">
        <v>1.7999999999999999E-2</v>
      </c>
      <c r="N184" s="569">
        <v>3.1E-2</v>
      </c>
      <c r="O184" s="569">
        <v>1.7999999999999999E-2</v>
      </c>
      <c r="P184" s="569">
        <v>2.9000000000000001E-2</v>
      </c>
      <c r="Q184" s="569">
        <v>1.7999999999999999E-2</v>
      </c>
      <c r="R184" s="569">
        <v>2.7E-2</v>
      </c>
      <c r="S184" s="569">
        <v>1.7999999999999999E-2</v>
      </c>
      <c r="T184" s="569">
        <v>2.5999999999999999E-2</v>
      </c>
      <c r="U184" s="569">
        <v>1.7999999999999999E-2</v>
      </c>
      <c r="V184" s="58">
        <v>2.5999999999999999E-2</v>
      </c>
      <c r="W184" s="571">
        <v>8.75946123130103E-3</v>
      </c>
      <c r="X184" s="569">
        <v>1.4310956981256711E-2</v>
      </c>
      <c r="Y184" s="569">
        <v>0</v>
      </c>
      <c r="Z184" s="569">
        <v>0</v>
      </c>
      <c r="AA184" s="569">
        <v>0</v>
      </c>
      <c r="AB184" s="569">
        <v>0</v>
      </c>
      <c r="AC184" s="569">
        <v>0</v>
      </c>
      <c r="AD184" s="569">
        <v>0</v>
      </c>
      <c r="AE184" s="569">
        <v>0</v>
      </c>
      <c r="AF184" s="58">
        <v>0</v>
      </c>
    </row>
    <row r="185" spans="2:32" x14ac:dyDescent="0.35">
      <c r="B185" s="50" t="s">
        <v>1457</v>
      </c>
      <c r="C185" s="132">
        <v>4.3999999999999997E-2</v>
      </c>
      <c r="D185" s="132">
        <v>7.3999999999999996E-2</v>
      </c>
      <c r="E185" s="132">
        <v>4.3999999999999997E-2</v>
      </c>
      <c r="F185" s="132">
        <v>6.9000000000000006E-2</v>
      </c>
      <c r="G185" s="132">
        <v>4.3999999999999997E-2</v>
      </c>
      <c r="H185" s="132">
        <v>6.6000000000000003E-2</v>
      </c>
      <c r="I185" s="132">
        <v>4.3999999999999997E-2</v>
      </c>
      <c r="J185" s="132">
        <v>6.4000000000000001E-2</v>
      </c>
      <c r="K185" s="132">
        <v>4.3999999999999997E-2</v>
      </c>
      <c r="L185" s="132">
        <v>6.4000000000000001E-2</v>
      </c>
      <c r="M185" s="571">
        <v>4.3999999999999997E-2</v>
      </c>
      <c r="N185" s="569">
        <v>7.3999999999999996E-2</v>
      </c>
      <c r="O185" s="569">
        <v>4.3999999999999997E-2</v>
      </c>
      <c r="P185" s="569">
        <v>6.9000000000000006E-2</v>
      </c>
      <c r="Q185" s="569">
        <v>4.3999999999999997E-2</v>
      </c>
      <c r="R185" s="569">
        <v>6.6000000000000003E-2</v>
      </c>
      <c r="S185" s="569">
        <v>4.3999999999999997E-2</v>
      </c>
      <c r="T185" s="569">
        <v>6.4000000000000001E-2</v>
      </c>
      <c r="U185" s="569">
        <v>4.3999999999999997E-2</v>
      </c>
      <c r="V185" s="58">
        <v>6.4000000000000001E-2</v>
      </c>
      <c r="W185" s="571">
        <v>0.139464342349715</v>
      </c>
      <c r="X185" s="569">
        <v>0.16987098831677772</v>
      </c>
      <c r="Y185" s="569">
        <v>0</v>
      </c>
      <c r="Z185" s="569">
        <v>0</v>
      </c>
      <c r="AA185" s="569">
        <v>0</v>
      </c>
      <c r="AB185" s="569">
        <v>0</v>
      </c>
      <c r="AC185" s="569">
        <v>0</v>
      </c>
      <c r="AD185" s="569">
        <v>0</v>
      </c>
      <c r="AE185" s="569">
        <v>0</v>
      </c>
      <c r="AF185" s="58">
        <v>0</v>
      </c>
    </row>
    <row r="186" spans="2:32" x14ac:dyDescent="0.35">
      <c r="B186" s="50" t="s">
        <v>1466</v>
      </c>
      <c r="C186" s="132">
        <v>6.0000000000000053E-3</v>
      </c>
      <c r="D186" s="132">
        <v>7.0000000000001172E-3</v>
      </c>
      <c r="E186" s="132">
        <v>6.0000000000000053E-3</v>
      </c>
      <c r="F186" s="132">
        <v>7.0000000000001172E-3</v>
      </c>
      <c r="G186" s="132">
        <v>6.0000000000000053E-3</v>
      </c>
      <c r="H186" s="132">
        <v>8.0000000000000071E-3</v>
      </c>
      <c r="I186" s="132">
        <v>6.0000000000000053E-3</v>
      </c>
      <c r="J186" s="132">
        <v>6.9999999999998952E-3</v>
      </c>
      <c r="K186" s="132">
        <v>6.0000000000000053E-3</v>
      </c>
      <c r="L186" s="136">
        <v>9.000000000000119E-3</v>
      </c>
      <c r="M186" s="123">
        <v>6.0000000000000053E-3</v>
      </c>
      <c r="N186" s="122">
        <v>7.0000000000001172E-3</v>
      </c>
      <c r="O186" s="132">
        <v>6.0000000000000053E-3</v>
      </c>
      <c r="P186" s="132">
        <v>7.0000000000001172E-3</v>
      </c>
      <c r="Q186" s="132">
        <v>6.0000000000000053E-3</v>
      </c>
      <c r="R186" s="132">
        <v>8.0000000000000071E-3</v>
      </c>
      <c r="S186" s="132">
        <v>6.0000000000000053E-3</v>
      </c>
      <c r="T186" s="132">
        <v>6.9999999999998952E-3</v>
      </c>
      <c r="U186" s="132">
        <v>6.0000000000000053E-3</v>
      </c>
      <c r="V186" s="136">
        <v>9.000000000000119E-3</v>
      </c>
      <c r="W186" s="123">
        <v>0</v>
      </c>
      <c r="X186" s="122">
        <v>0</v>
      </c>
      <c r="Y186" s="132">
        <v>1</v>
      </c>
      <c r="Z186" s="132">
        <v>1</v>
      </c>
      <c r="AA186" s="132">
        <v>1</v>
      </c>
      <c r="AB186" s="132">
        <v>1</v>
      </c>
      <c r="AC186" s="132">
        <v>1</v>
      </c>
      <c r="AD186" s="132">
        <v>1</v>
      </c>
      <c r="AE186" s="132">
        <v>1</v>
      </c>
      <c r="AF186" s="136">
        <v>1</v>
      </c>
    </row>
    <row r="187" spans="2:32" ht="13.15" x14ac:dyDescent="0.4">
      <c r="B187" s="178" t="s">
        <v>1501</v>
      </c>
      <c r="C187" s="138"/>
      <c r="D187" s="138"/>
      <c r="E187" s="138"/>
      <c r="F187" s="138"/>
      <c r="G187" s="138"/>
      <c r="H187" s="138"/>
      <c r="I187" s="138"/>
      <c r="J187" s="138"/>
      <c r="K187" s="138"/>
      <c r="L187" s="137"/>
      <c r="M187" s="61"/>
      <c r="N187" s="101"/>
      <c r="O187" s="138"/>
      <c r="P187" s="138"/>
      <c r="Q187" s="138"/>
      <c r="R187" s="138"/>
      <c r="S187" s="138"/>
      <c r="T187" s="138"/>
      <c r="U187" s="138"/>
      <c r="V187" s="137"/>
      <c r="W187" s="61"/>
      <c r="X187" s="101"/>
      <c r="Y187" s="138"/>
      <c r="Z187" s="138"/>
      <c r="AA187" s="138"/>
      <c r="AB187" s="138"/>
      <c r="AC187" s="138"/>
      <c r="AD187" s="138"/>
      <c r="AE187" s="138"/>
      <c r="AF187" s="137"/>
    </row>
    <row r="188" spans="2:32" x14ac:dyDescent="0.35">
      <c r="B188" s="50" t="s">
        <v>1438</v>
      </c>
      <c r="C188" s="132"/>
      <c r="D188" s="132"/>
      <c r="E188" s="132">
        <v>0.36099999999999999</v>
      </c>
      <c r="F188" s="132">
        <v>0.36099999999999999</v>
      </c>
      <c r="G188" s="132">
        <v>0.36099999999999999</v>
      </c>
      <c r="H188" s="132">
        <v>0.36099999999999999</v>
      </c>
      <c r="I188" s="132">
        <v>0.36099999999999999</v>
      </c>
      <c r="J188" s="132">
        <v>0.36099999999999999</v>
      </c>
      <c r="K188" s="132">
        <v>0.36099999999999999</v>
      </c>
      <c r="L188" s="132">
        <v>0.36099999999999999</v>
      </c>
      <c r="M188" s="59"/>
      <c r="O188" s="569">
        <v>0.36099999999999999</v>
      </c>
      <c r="P188" s="569">
        <v>0.36099999999999999</v>
      </c>
      <c r="Q188" s="569">
        <v>0.36099999999999999</v>
      </c>
      <c r="R188" s="569">
        <v>0.36099999999999999</v>
      </c>
      <c r="S188" s="569">
        <v>0.36099999999999999</v>
      </c>
      <c r="T188" s="569">
        <v>0.36099999999999999</v>
      </c>
      <c r="U188" s="569">
        <v>0.36099999999999999</v>
      </c>
      <c r="V188" s="58">
        <v>0.36099999999999999</v>
      </c>
      <c r="W188" s="59"/>
      <c r="Y188" s="569">
        <v>0</v>
      </c>
      <c r="Z188" s="569">
        <v>0</v>
      </c>
      <c r="AA188" s="569">
        <v>0</v>
      </c>
      <c r="AB188" s="569">
        <v>0</v>
      </c>
      <c r="AC188" s="569">
        <v>0</v>
      </c>
      <c r="AD188" s="569">
        <v>0</v>
      </c>
      <c r="AE188" s="569">
        <v>0</v>
      </c>
      <c r="AF188" s="58">
        <v>0</v>
      </c>
    </row>
    <row r="189" spans="2:32" x14ac:dyDescent="0.35">
      <c r="B189" s="50" t="s">
        <v>1495</v>
      </c>
      <c r="C189" s="132"/>
      <c r="D189" s="132"/>
      <c r="E189" s="132">
        <v>0</v>
      </c>
      <c r="F189" s="132">
        <v>0</v>
      </c>
      <c r="G189" s="132">
        <v>0</v>
      </c>
      <c r="H189" s="132">
        <v>0</v>
      </c>
      <c r="I189" s="132">
        <v>0</v>
      </c>
      <c r="J189" s="132">
        <v>0</v>
      </c>
      <c r="K189" s="132">
        <v>0</v>
      </c>
      <c r="L189" s="132">
        <v>0</v>
      </c>
      <c r="M189" s="59"/>
      <c r="O189" s="569">
        <v>0</v>
      </c>
      <c r="P189" s="569">
        <v>0</v>
      </c>
      <c r="Q189" s="569">
        <v>0</v>
      </c>
      <c r="R189" s="569">
        <v>0</v>
      </c>
      <c r="S189" s="569">
        <v>0</v>
      </c>
      <c r="T189" s="569">
        <v>0</v>
      </c>
      <c r="U189" s="569">
        <v>0</v>
      </c>
      <c r="V189" s="58">
        <v>0</v>
      </c>
      <c r="W189" s="59"/>
      <c r="Y189" s="569">
        <v>0</v>
      </c>
      <c r="Z189" s="569">
        <v>0</v>
      </c>
      <c r="AA189" s="569">
        <v>0</v>
      </c>
      <c r="AB189" s="569">
        <v>0</v>
      </c>
      <c r="AC189" s="569">
        <v>0</v>
      </c>
      <c r="AD189" s="569">
        <v>0</v>
      </c>
      <c r="AE189" s="569">
        <v>0</v>
      </c>
      <c r="AF189" s="58">
        <v>0</v>
      </c>
    </row>
    <row r="190" spans="2:32" x14ac:dyDescent="0.35">
      <c r="B190" s="50" t="s">
        <v>1445</v>
      </c>
      <c r="C190" s="132"/>
      <c r="D190" s="132"/>
      <c r="E190" s="132">
        <v>0.36099999999999999</v>
      </c>
      <c r="F190" s="132">
        <v>0.36099999999999999</v>
      </c>
      <c r="G190" s="132">
        <v>0.36099999999999999</v>
      </c>
      <c r="H190" s="132">
        <v>0.36099999999999999</v>
      </c>
      <c r="I190" s="132">
        <v>0.36099999999999999</v>
      </c>
      <c r="J190" s="132">
        <v>0.36099999999999999</v>
      </c>
      <c r="K190" s="132">
        <v>0.36099999999999999</v>
      </c>
      <c r="L190" s="132">
        <v>0.36099999999999999</v>
      </c>
      <c r="M190" s="59"/>
      <c r="O190" s="569">
        <v>0.36099999999999999</v>
      </c>
      <c r="P190" s="569">
        <v>0.36099999999999999</v>
      </c>
      <c r="Q190" s="569">
        <v>0.36099999999999999</v>
      </c>
      <c r="R190" s="569">
        <v>0.36099999999999999</v>
      </c>
      <c r="S190" s="569">
        <v>0.36099999999999999</v>
      </c>
      <c r="T190" s="569">
        <v>0.36099999999999999</v>
      </c>
      <c r="U190" s="569">
        <v>0.36099999999999999</v>
      </c>
      <c r="V190" s="58">
        <v>0.36099999999999999</v>
      </c>
      <c r="W190" s="59"/>
      <c r="Y190" s="569">
        <v>0</v>
      </c>
      <c r="Z190" s="569">
        <v>0</v>
      </c>
      <c r="AA190" s="569">
        <v>0</v>
      </c>
      <c r="AB190" s="569">
        <v>0</v>
      </c>
      <c r="AC190" s="569">
        <v>0</v>
      </c>
      <c r="AD190" s="569">
        <v>0</v>
      </c>
      <c r="AE190" s="569">
        <v>0</v>
      </c>
      <c r="AF190" s="58">
        <v>0</v>
      </c>
    </row>
    <row r="191" spans="2:32" x14ac:dyDescent="0.35">
      <c r="B191" s="50" t="s">
        <v>1498</v>
      </c>
      <c r="C191" s="132"/>
      <c r="D191" s="132"/>
      <c r="E191" s="132">
        <v>0.27800000000000002</v>
      </c>
      <c r="F191" s="132">
        <v>0.27800000000000002</v>
      </c>
      <c r="G191" s="132">
        <v>0.27800000000000002</v>
      </c>
      <c r="H191" s="132">
        <v>0.27800000000000002</v>
      </c>
      <c r="I191" s="132">
        <v>0.27800000000000002</v>
      </c>
      <c r="J191" s="132">
        <v>0.27800000000000002</v>
      </c>
      <c r="K191" s="132">
        <v>0.27800000000000002</v>
      </c>
      <c r="L191" s="132">
        <v>0.27800000000000002</v>
      </c>
      <c r="M191" s="59"/>
      <c r="O191" s="569">
        <v>0.27800000000000002</v>
      </c>
      <c r="P191" s="569">
        <v>0.27800000000000002</v>
      </c>
      <c r="Q191" s="569">
        <v>0.27800000000000002</v>
      </c>
      <c r="R191" s="569">
        <v>0.27800000000000002</v>
      </c>
      <c r="S191" s="569">
        <v>0.27800000000000002</v>
      </c>
      <c r="T191" s="569">
        <v>0.27800000000000002</v>
      </c>
      <c r="U191" s="569">
        <v>0.27800000000000002</v>
      </c>
      <c r="V191" s="58">
        <v>0.27800000000000002</v>
      </c>
      <c r="W191" s="59"/>
      <c r="Y191" s="569">
        <v>0</v>
      </c>
      <c r="Z191" s="569">
        <v>0</v>
      </c>
      <c r="AA191" s="569">
        <v>0</v>
      </c>
      <c r="AB191" s="569">
        <v>0</v>
      </c>
      <c r="AC191" s="569">
        <v>0</v>
      </c>
      <c r="AD191" s="569">
        <v>0</v>
      </c>
      <c r="AE191" s="569">
        <v>0</v>
      </c>
      <c r="AF191" s="58">
        <v>0</v>
      </c>
    </row>
    <row r="192" spans="2:32" x14ac:dyDescent="0.35">
      <c r="B192" s="46" t="s">
        <v>1466</v>
      </c>
      <c r="C192" s="122"/>
      <c r="D192" s="122"/>
      <c r="E192" s="122">
        <v>0</v>
      </c>
      <c r="F192" s="122">
        <v>0</v>
      </c>
      <c r="G192" s="122">
        <v>0</v>
      </c>
      <c r="H192" s="122">
        <v>0</v>
      </c>
      <c r="I192" s="122">
        <v>0</v>
      </c>
      <c r="J192" s="122">
        <v>0</v>
      </c>
      <c r="K192" s="122">
        <v>0</v>
      </c>
      <c r="L192" s="56">
        <v>0</v>
      </c>
      <c r="M192" s="57"/>
      <c r="N192" s="77"/>
      <c r="O192" s="122">
        <v>0</v>
      </c>
      <c r="P192" s="122">
        <v>0</v>
      </c>
      <c r="Q192" s="122">
        <v>0</v>
      </c>
      <c r="R192" s="122">
        <v>0</v>
      </c>
      <c r="S192" s="122">
        <v>0</v>
      </c>
      <c r="T192" s="122">
        <v>0</v>
      </c>
      <c r="U192" s="122">
        <v>0</v>
      </c>
      <c r="V192" s="56">
        <v>0</v>
      </c>
      <c r="W192" s="57"/>
      <c r="X192" s="77"/>
      <c r="Y192" s="122">
        <v>1</v>
      </c>
      <c r="Z192" s="122">
        <v>1</v>
      </c>
      <c r="AA192" s="122">
        <v>1</v>
      </c>
      <c r="AB192" s="122">
        <v>1</v>
      </c>
      <c r="AC192" s="122">
        <v>1</v>
      </c>
      <c r="AD192" s="122">
        <v>1</v>
      </c>
      <c r="AE192" s="122">
        <v>1</v>
      </c>
      <c r="AF192" s="56">
        <v>1</v>
      </c>
    </row>
    <row r="193" spans="2:32" ht="13.15" x14ac:dyDescent="0.4">
      <c r="B193" s="238" t="s">
        <v>1500</v>
      </c>
      <c r="C193" s="132"/>
      <c r="D193" s="132"/>
      <c r="E193" s="132"/>
      <c r="F193" s="132"/>
      <c r="G193" s="132"/>
      <c r="H193" s="132"/>
      <c r="I193" s="132"/>
      <c r="J193" s="132"/>
      <c r="K193" s="132"/>
      <c r="L193" s="136"/>
      <c r="O193" s="132"/>
      <c r="P193" s="132"/>
      <c r="Q193" s="132"/>
      <c r="R193" s="132"/>
      <c r="S193" s="132"/>
      <c r="T193" s="132"/>
      <c r="U193" s="132"/>
      <c r="V193" s="136"/>
      <c r="Y193" s="132"/>
      <c r="Z193" s="132"/>
      <c r="AA193" s="132"/>
      <c r="AB193" s="132"/>
      <c r="AC193" s="132"/>
      <c r="AD193" s="132"/>
      <c r="AE193" s="132"/>
      <c r="AF193" s="136"/>
    </row>
    <row r="194" spans="2:32" x14ac:dyDescent="0.35">
      <c r="B194" s="50" t="s">
        <v>1438</v>
      </c>
      <c r="C194" s="132"/>
      <c r="D194" s="132"/>
      <c r="E194" s="132">
        <v>0.36099999999999999</v>
      </c>
      <c r="F194" s="132">
        <v>0.36099999999999999</v>
      </c>
      <c r="G194" s="132">
        <v>0.36099999999999999</v>
      </c>
      <c r="H194" s="132">
        <v>0.36099999999999999</v>
      </c>
      <c r="I194" s="132"/>
      <c r="J194" s="132"/>
      <c r="K194" s="132"/>
      <c r="L194" s="136"/>
      <c r="O194" s="569">
        <v>0.36099999999999999</v>
      </c>
      <c r="P194" s="569">
        <v>0.36099999999999999</v>
      </c>
      <c r="Q194" s="569">
        <v>0.36099999999999999</v>
      </c>
      <c r="R194" s="569">
        <v>0.36099999999999999</v>
      </c>
      <c r="S194" s="132"/>
      <c r="T194" s="132"/>
      <c r="U194" s="132"/>
      <c r="V194" s="136"/>
      <c r="Y194" s="569">
        <v>0</v>
      </c>
      <c r="Z194" s="569">
        <v>0</v>
      </c>
      <c r="AA194" s="569">
        <v>0</v>
      </c>
      <c r="AB194" s="569">
        <v>0</v>
      </c>
      <c r="AC194" s="132"/>
      <c r="AD194" s="132"/>
      <c r="AE194" s="132"/>
      <c r="AF194" s="136"/>
    </row>
    <row r="195" spans="2:32" x14ac:dyDescent="0.35">
      <c r="B195" s="50" t="s">
        <v>1445</v>
      </c>
      <c r="C195" s="132"/>
      <c r="D195" s="132"/>
      <c r="E195" s="132">
        <v>0.36099999999999999</v>
      </c>
      <c r="F195" s="132">
        <v>0.36099999999999999</v>
      </c>
      <c r="G195" s="132">
        <v>0.36099999999999999</v>
      </c>
      <c r="H195" s="132">
        <v>0.36099999999999999</v>
      </c>
      <c r="I195" s="132"/>
      <c r="J195" s="132"/>
      <c r="K195" s="132"/>
      <c r="L195" s="136"/>
      <c r="O195" s="569">
        <v>0.36099999999999999</v>
      </c>
      <c r="P195" s="569">
        <v>0.36099999999999999</v>
      </c>
      <c r="Q195" s="569">
        <v>0.36099999999999999</v>
      </c>
      <c r="R195" s="569">
        <v>0.36099999999999999</v>
      </c>
      <c r="S195" s="132"/>
      <c r="T195" s="132"/>
      <c r="U195" s="132"/>
      <c r="V195" s="136"/>
      <c r="Y195" s="569">
        <v>0</v>
      </c>
      <c r="Z195" s="569">
        <v>0</v>
      </c>
      <c r="AA195" s="569">
        <v>0</v>
      </c>
      <c r="AB195" s="569">
        <v>0</v>
      </c>
      <c r="AC195" s="132"/>
      <c r="AD195" s="132"/>
      <c r="AE195" s="132"/>
      <c r="AF195" s="136"/>
    </row>
    <row r="196" spans="2:32" x14ac:dyDescent="0.35">
      <c r="B196" s="50" t="s">
        <v>1498</v>
      </c>
      <c r="C196" s="132"/>
      <c r="D196" s="132"/>
      <c r="E196" s="132">
        <v>0.27800000000000002</v>
      </c>
      <c r="F196" s="132">
        <v>0.27800000000000002</v>
      </c>
      <c r="G196" s="132">
        <v>0.27800000000000002</v>
      </c>
      <c r="H196" s="132">
        <v>0.27800000000000002</v>
      </c>
      <c r="I196" s="132"/>
      <c r="J196" s="132"/>
      <c r="K196" s="132"/>
      <c r="L196" s="136"/>
      <c r="O196" s="569">
        <v>0.27800000000000002</v>
      </c>
      <c r="P196" s="569">
        <v>0.27800000000000002</v>
      </c>
      <c r="Q196" s="569">
        <v>0.27800000000000002</v>
      </c>
      <c r="R196" s="569">
        <v>0.27800000000000002</v>
      </c>
      <c r="S196" s="132"/>
      <c r="T196" s="132"/>
      <c r="U196" s="132"/>
      <c r="V196" s="136"/>
      <c r="Y196" s="569">
        <v>0</v>
      </c>
      <c r="Z196" s="569">
        <v>0</v>
      </c>
      <c r="AA196" s="569">
        <v>0</v>
      </c>
      <c r="AB196" s="569">
        <v>0</v>
      </c>
      <c r="AC196" s="132"/>
      <c r="AD196" s="132"/>
      <c r="AE196" s="132"/>
      <c r="AF196" s="136"/>
    </row>
    <row r="197" spans="2:32" x14ac:dyDescent="0.35">
      <c r="B197" s="50" t="s">
        <v>1466</v>
      </c>
      <c r="C197" s="132"/>
      <c r="D197" s="132"/>
      <c r="E197" s="132">
        <v>0</v>
      </c>
      <c r="F197" s="132">
        <v>0</v>
      </c>
      <c r="G197" s="132">
        <v>0</v>
      </c>
      <c r="H197" s="132">
        <v>0</v>
      </c>
      <c r="I197" s="132"/>
      <c r="J197" s="132"/>
      <c r="K197" s="132"/>
      <c r="L197" s="136"/>
      <c r="O197" s="132">
        <v>0</v>
      </c>
      <c r="P197" s="132">
        <v>0</v>
      </c>
      <c r="Q197" s="132">
        <v>0</v>
      </c>
      <c r="R197" s="132">
        <v>0</v>
      </c>
      <c r="S197" s="132"/>
      <c r="T197" s="132"/>
      <c r="U197" s="132"/>
      <c r="V197" s="136"/>
      <c r="Y197" s="132">
        <v>1</v>
      </c>
      <c r="Z197" s="132">
        <v>1</v>
      </c>
      <c r="AA197" s="132">
        <v>1</v>
      </c>
      <c r="AB197" s="132">
        <v>1</v>
      </c>
      <c r="AC197" s="132"/>
      <c r="AD197" s="132"/>
      <c r="AE197" s="132"/>
      <c r="AF197" s="136"/>
    </row>
    <row r="198" spans="2:32" ht="13.15" x14ac:dyDescent="0.4">
      <c r="B198" s="178" t="s">
        <v>1499</v>
      </c>
      <c r="C198" s="138"/>
      <c r="D198" s="138"/>
      <c r="E198" s="138"/>
      <c r="F198" s="138"/>
      <c r="G198" s="138"/>
      <c r="H198" s="138"/>
      <c r="I198" s="138"/>
      <c r="J198" s="138"/>
      <c r="K198" s="138"/>
      <c r="L198" s="137"/>
      <c r="M198" s="61"/>
      <c r="N198" s="101"/>
      <c r="O198" s="138"/>
      <c r="P198" s="138"/>
      <c r="Q198" s="138"/>
      <c r="R198" s="138"/>
      <c r="S198" s="138"/>
      <c r="T198" s="138"/>
      <c r="U198" s="138"/>
      <c r="V198" s="137"/>
      <c r="W198" s="61"/>
      <c r="X198" s="101"/>
      <c r="Y198" s="138"/>
      <c r="Z198" s="138"/>
      <c r="AA198" s="138"/>
      <c r="AB198" s="138"/>
      <c r="AC198" s="138"/>
      <c r="AD198" s="138"/>
      <c r="AE198" s="138"/>
      <c r="AF198" s="137"/>
    </row>
    <row r="199" spans="2:32" x14ac:dyDescent="0.35">
      <c r="B199" s="50" t="s">
        <v>1438</v>
      </c>
      <c r="C199" s="132"/>
      <c r="D199" s="132"/>
      <c r="E199" s="132">
        <v>0.05</v>
      </c>
      <c r="F199" s="132">
        <v>0.05</v>
      </c>
      <c r="G199" s="132">
        <v>0.05</v>
      </c>
      <c r="H199" s="132">
        <v>0.05</v>
      </c>
      <c r="I199" s="132">
        <v>0.05</v>
      </c>
      <c r="J199" s="132">
        <v>0.05</v>
      </c>
      <c r="K199" s="132">
        <v>0.05</v>
      </c>
      <c r="L199" s="132">
        <v>0.05</v>
      </c>
      <c r="M199" s="59"/>
      <c r="O199" s="569">
        <v>0.05</v>
      </c>
      <c r="P199" s="569">
        <v>0.05</v>
      </c>
      <c r="Q199" s="569">
        <v>0.05</v>
      </c>
      <c r="R199" s="569">
        <v>0.05</v>
      </c>
      <c r="S199" s="569">
        <v>0.05</v>
      </c>
      <c r="T199" s="569">
        <v>0.05</v>
      </c>
      <c r="U199" s="569">
        <v>0.05</v>
      </c>
      <c r="V199" s="58">
        <v>0.05</v>
      </c>
      <c r="W199" s="59"/>
      <c r="Y199" s="569">
        <v>0</v>
      </c>
      <c r="Z199" s="569">
        <v>0</v>
      </c>
      <c r="AA199" s="569">
        <v>0</v>
      </c>
      <c r="AB199" s="569">
        <v>0</v>
      </c>
      <c r="AC199" s="569">
        <v>0</v>
      </c>
      <c r="AD199" s="569">
        <v>0</v>
      </c>
      <c r="AE199" s="569">
        <v>0</v>
      </c>
      <c r="AF199" s="58">
        <v>0</v>
      </c>
    </row>
    <row r="200" spans="2:32" x14ac:dyDescent="0.35">
      <c r="B200" s="50" t="s">
        <v>1445</v>
      </c>
      <c r="C200" s="132"/>
      <c r="D200" s="132"/>
      <c r="E200" s="132">
        <v>0.46899999999999997</v>
      </c>
      <c r="F200" s="132">
        <v>0.46899999999999997</v>
      </c>
      <c r="G200" s="132">
        <v>0.46899999999999997</v>
      </c>
      <c r="H200" s="132">
        <v>0.46899999999999997</v>
      </c>
      <c r="I200" s="132">
        <v>0.46899999999999997</v>
      </c>
      <c r="J200" s="132">
        <v>0.46899999999999997</v>
      </c>
      <c r="K200" s="132">
        <v>0.46899999999999997</v>
      </c>
      <c r="L200" s="132">
        <v>0.46899999999999997</v>
      </c>
      <c r="M200" s="59"/>
      <c r="O200" s="569">
        <v>0.46899999999999997</v>
      </c>
      <c r="P200" s="569">
        <v>0.46899999999999997</v>
      </c>
      <c r="Q200" s="569">
        <v>0.46899999999999997</v>
      </c>
      <c r="R200" s="569">
        <v>0.46899999999999997</v>
      </c>
      <c r="S200" s="569">
        <v>0.46899999999999997</v>
      </c>
      <c r="T200" s="569">
        <v>0.46899999999999997</v>
      </c>
      <c r="U200" s="569">
        <v>0.46899999999999997</v>
      </c>
      <c r="V200" s="58">
        <v>0.46899999999999997</v>
      </c>
      <c r="W200" s="59"/>
      <c r="Y200" s="569">
        <v>0</v>
      </c>
      <c r="Z200" s="569">
        <v>0</v>
      </c>
      <c r="AA200" s="569">
        <v>0</v>
      </c>
      <c r="AB200" s="569">
        <v>0</v>
      </c>
      <c r="AC200" s="569">
        <v>0</v>
      </c>
      <c r="AD200" s="569">
        <v>0</v>
      </c>
      <c r="AE200" s="569">
        <v>0</v>
      </c>
      <c r="AF200" s="58">
        <v>0</v>
      </c>
    </row>
    <row r="201" spans="2:32" x14ac:dyDescent="0.35">
      <c r="B201" s="50" t="s">
        <v>1498</v>
      </c>
      <c r="C201" s="132"/>
      <c r="D201" s="132"/>
      <c r="E201" s="132">
        <v>8.2000000000000003E-2</v>
      </c>
      <c r="F201" s="132">
        <v>8.2000000000000003E-2</v>
      </c>
      <c r="G201" s="132">
        <v>8.2000000000000003E-2</v>
      </c>
      <c r="H201" s="132">
        <v>8.2000000000000003E-2</v>
      </c>
      <c r="I201" s="132">
        <v>8.2000000000000003E-2</v>
      </c>
      <c r="J201" s="132">
        <v>8.2000000000000003E-2</v>
      </c>
      <c r="K201" s="132">
        <v>8.2000000000000003E-2</v>
      </c>
      <c r="L201" s="132">
        <v>8.2000000000000003E-2</v>
      </c>
      <c r="M201" s="59"/>
      <c r="O201" s="569">
        <v>8.2000000000000003E-2</v>
      </c>
      <c r="P201" s="569">
        <v>8.2000000000000003E-2</v>
      </c>
      <c r="Q201" s="569">
        <v>8.2000000000000003E-2</v>
      </c>
      <c r="R201" s="569">
        <v>8.2000000000000003E-2</v>
      </c>
      <c r="S201" s="569">
        <v>8.2000000000000003E-2</v>
      </c>
      <c r="T201" s="569">
        <v>8.2000000000000003E-2</v>
      </c>
      <c r="U201" s="569">
        <v>8.2000000000000003E-2</v>
      </c>
      <c r="V201" s="58">
        <v>8.2000000000000003E-2</v>
      </c>
      <c r="W201" s="59"/>
      <c r="Y201" s="569">
        <v>0</v>
      </c>
      <c r="Z201" s="569">
        <v>0</v>
      </c>
      <c r="AA201" s="569">
        <v>0</v>
      </c>
      <c r="AB201" s="569">
        <v>0</v>
      </c>
      <c r="AC201" s="569">
        <v>0</v>
      </c>
      <c r="AD201" s="569">
        <v>0</v>
      </c>
      <c r="AE201" s="569">
        <v>0</v>
      </c>
      <c r="AF201" s="58">
        <v>0</v>
      </c>
    </row>
    <row r="202" spans="2:32" x14ac:dyDescent="0.35">
      <c r="B202" s="50" t="s">
        <v>1457</v>
      </c>
      <c r="C202" s="132"/>
      <c r="D202" s="132"/>
      <c r="E202" s="132">
        <v>3.6999999999999998E-2</v>
      </c>
      <c r="F202" s="132">
        <v>3.6999999999999998E-2</v>
      </c>
      <c r="G202" s="132">
        <v>3.6999999999999998E-2</v>
      </c>
      <c r="H202" s="132">
        <v>3.6999999999999998E-2</v>
      </c>
      <c r="I202" s="132">
        <v>3.6999999999999998E-2</v>
      </c>
      <c r="J202" s="132">
        <v>3.6999999999999998E-2</v>
      </c>
      <c r="K202" s="132">
        <v>3.6999999999999998E-2</v>
      </c>
      <c r="L202" s="132">
        <v>3.6999999999999998E-2</v>
      </c>
      <c r="M202" s="59"/>
      <c r="O202" s="569">
        <v>3.6999999999999998E-2</v>
      </c>
      <c r="P202" s="569">
        <v>3.6999999999999998E-2</v>
      </c>
      <c r="Q202" s="569">
        <v>3.6999999999999998E-2</v>
      </c>
      <c r="R202" s="569">
        <v>3.6999999999999998E-2</v>
      </c>
      <c r="S202" s="569">
        <v>3.6999999999999998E-2</v>
      </c>
      <c r="T202" s="569">
        <v>3.6999999999999998E-2</v>
      </c>
      <c r="U202" s="569">
        <v>3.6999999999999998E-2</v>
      </c>
      <c r="V202" s="58">
        <v>3.6999999999999998E-2</v>
      </c>
      <c r="W202" s="59"/>
      <c r="Y202" s="569">
        <v>0</v>
      </c>
      <c r="Z202" s="569">
        <v>0</v>
      </c>
      <c r="AA202" s="569">
        <v>0</v>
      </c>
      <c r="AB202" s="569">
        <v>0</v>
      </c>
      <c r="AC202" s="569">
        <v>0</v>
      </c>
      <c r="AD202" s="569">
        <v>0</v>
      </c>
      <c r="AE202" s="569">
        <v>0</v>
      </c>
      <c r="AF202" s="58">
        <v>0</v>
      </c>
    </row>
    <row r="203" spans="2:32" x14ac:dyDescent="0.35">
      <c r="B203" s="50" t="s">
        <v>1497</v>
      </c>
      <c r="C203" s="132"/>
      <c r="D203" s="132"/>
      <c r="E203" s="132">
        <v>0.23799999999999999</v>
      </c>
      <c r="F203" s="132">
        <v>0.23799999999999999</v>
      </c>
      <c r="G203" s="132">
        <v>0.23799999999999999</v>
      </c>
      <c r="H203" s="132">
        <v>0.23799999999999999</v>
      </c>
      <c r="I203" s="132">
        <v>0.23799999999999999</v>
      </c>
      <c r="J203" s="132">
        <v>0.23799999999999999</v>
      </c>
      <c r="K203" s="132">
        <v>0.23799999999999999</v>
      </c>
      <c r="L203" s="132">
        <v>0.23799999999999999</v>
      </c>
      <c r="M203" s="59"/>
      <c r="O203" s="569">
        <v>0.23799999999999999</v>
      </c>
      <c r="P203" s="569">
        <v>0.23799999999999999</v>
      </c>
      <c r="Q203" s="569">
        <v>0.23799999999999999</v>
      </c>
      <c r="R203" s="569">
        <v>0.23799999999999999</v>
      </c>
      <c r="S203" s="569">
        <v>0.23799999999999999</v>
      </c>
      <c r="T203" s="569">
        <v>0.23799999999999999</v>
      </c>
      <c r="U203" s="569">
        <v>0.23799999999999999</v>
      </c>
      <c r="V203" s="58">
        <v>0.23799999999999999</v>
      </c>
      <c r="W203" s="59"/>
      <c r="Y203" s="569">
        <v>0</v>
      </c>
      <c r="Z203" s="569">
        <v>0</v>
      </c>
      <c r="AA203" s="569">
        <v>0</v>
      </c>
      <c r="AB203" s="569">
        <v>0</v>
      </c>
      <c r="AC203" s="569">
        <v>0</v>
      </c>
      <c r="AD203" s="569">
        <v>0</v>
      </c>
      <c r="AE203" s="569">
        <v>0</v>
      </c>
      <c r="AF203" s="58">
        <v>0</v>
      </c>
    </row>
    <row r="204" spans="2:32" x14ac:dyDescent="0.35">
      <c r="B204" s="46" t="s">
        <v>1466</v>
      </c>
      <c r="C204" s="122"/>
      <c r="D204" s="122"/>
      <c r="E204" s="122">
        <v>0.124</v>
      </c>
      <c r="F204" s="122">
        <v>0.124</v>
      </c>
      <c r="G204" s="122">
        <v>0.124</v>
      </c>
      <c r="H204" s="122">
        <v>0.124</v>
      </c>
      <c r="I204" s="122">
        <v>0.124</v>
      </c>
      <c r="J204" s="122">
        <v>0.124</v>
      </c>
      <c r="K204" s="122">
        <v>0.124</v>
      </c>
      <c r="L204" s="56">
        <v>0.124</v>
      </c>
      <c r="M204" s="57"/>
      <c r="N204" s="77"/>
      <c r="O204" s="122">
        <v>0.124</v>
      </c>
      <c r="P204" s="122">
        <v>0.124</v>
      </c>
      <c r="Q204" s="122">
        <v>0.124</v>
      </c>
      <c r="R204" s="122">
        <v>0.124</v>
      </c>
      <c r="S204" s="122">
        <v>0.124</v>
      </c>
      <c r="T204" s="122">
        <v>0.124</v>
      </c>
      <c r="U204" s="122">
        <v>0.124</v>
      </c>
      <c r="V204" s="56">
        <v>0.124</v>
      </c>
      <c r="W204" s="57"/>
      <c r="X204" s="77"/>
      <c r="Y204" s="122">
        <v>1</v>
      </c>
      <c r="Z204" s="122">
        <v>1</v>
      </c>
      <c r="AA204" s="122">
        <v>1</v>
      </c>
      <c r="AB204" s="122">
        <v>1</v>
      </c>
      <c r="AC204" s="122">
        <v>1</v>
      </c>
      <c r="AD204" s="122">
        <v>1</v>
      </c>
      <c r="AE204" s="122">
        <v>1</v>
      </c>
      <c r="AF204" s="56">
        <v>1</v>
      </c>
    </row>
    <row r="205" spans="2:32" ht="13.15" x14ac:dyDescent="0.4">
      <c r="B205" s="570" t="s">
        <v>1496</v>
      </c>
      <c r="C205" s="132"/>
      <c r="D205" s="132"/>
      <c r="E205" s="132"/>
      <c r="F205" s="132"/>
      <c r="G205" s="132"/>
      <c r="H205" s="132"/>
      <c r="I205" s="132"/>
      <c r="J205" s="132"/>
      <c r="K205" s="132"/>
      <c r="L205" s="136"/>
      <c r="M205" s="61"/>
      <c r="N205" s="101"/>
      <c r="O205" s="138"/>
      <c r="P205" s="138"/>
      <c r="Q205" s="138"/>
      <c r="R205" s="138"/>
      <c r="S205" s="138"/>
      <c r="T205" s="138"/>
      <c r="U205" s="138"/>
      <c r="V205" s="137"/>
      <c r="W205" s="61"/>
      <c r="X205" s="101"/>
      <c r="Y205" s="138"/>
      <c r="Z205" s="138"/>
      <c r="AA205" s="138"/>
      <c r="AB205" s="138"/>
      <c r="AC205" s="138"/>
      <c r="AD205" s="138"/>
      <c r="AE205" s="138"/>
      <c r="AF205" s="137"/>
    </row>
    <row r="206" spans="2:32" x14ac:dyDescent="0.35">
      <c r="B206" s="50" t="s">
        <v>1438</v>
      </c>
      <c r="C206" s="132"/>
      <c r="D206" s="132"/>
      <c r="E206" s="132"/>
      <c r="F206" s="132"/>
      <c r="G206" s="132"/>
      <c r="H206" s="132"/>
      <c r="I206" s="132"/>
      <c r="J206" s="132"/>
      <c r="K206" s="132">
        <v>9.1528724440116851E-2</v>
      </c>
      <c r="L206" s="132">
        <v>9.1528724440116851E-2</v>
      </c>
      <c r="M206" s="59"/>
      <c r="O206" s="132"/>
      <c r="P206" s="132"/>
      <c r="Q206" s="132"/>
      <c r="R206" s="132"/>
      <c r="S206" s="132"/>
      <c r="T206" s="132"/>
      <c r="U206" s="125">
        <v>9.1528724440116851E-2</v>
      </c>
      <c r="V206" s="125">
        <v>9.1528724440116851E-2</v>
      </c>
      <c r="W206" s="59"/>
      <c r="Y206" s="132"/>
      <c r="Z206" s="132"/>
      <c r="AA206" s="132"/>
      <c r="AB206" s="132"/>
      <c r="AC206" s="132"/>
      <c r="AD206" s="132"/>
      <c r="AE206" s="569">
        <v>0</v>
      </c>
      <c r="AF206" s="58">
        <v>0</v>
      </c>
    </row>
    <row r="207" spans="2:32" x14ac:dyDescent="0.35">
      <c r="B207" s="50" t="s">
        <v>1495</v>
      </c>
      <c r="C207" s="132"/>
      <c r="D207" s="132"/>
      <c r="E207" s="132"/>
      <c r="F207" s="132"/>
      <c r="G207" s="132"/>
      <c r="H207" s="132"/>
      <c r="I207" s="132"/>
      <c r="J207" s="132"/>
      <c r="K207" s="132">
        <v>8.081791626095422E-2</v>
      </c>
      <c r="L207" s="132">
        <v>8.081791626095422E-2</v>
      </c>
      <c r="M207" s="59"/>
      <c r="O207" s="132"/>
      <c r="P207" s="132"/>
      <c r="Q207" s="132"/>
      <c r="R207" s="132"/>
      <c r="S207" s="132"/>
      <c r="T207" s="132"/>
      <c r="U207" s="125">
        <v>8.081791626095422E-2</v>
      </c>
      <c r="V207" s="125">
        <v>8.081791626095422E-2</v>
      </c>
      <c r="W207" s="59"/>
      <c r="Y207" s="132"/>
      <c r="Z207" s="132"/>
      <c r="AA207" s="132"/>
      <c r="AB207" s="132"/>
      <c r="AC207" s="132"/>
      <c r="AD207" s="132"/>
      <c r="AE207" s="569"/>
      <c r="AF207" s="58"/>
    </row>
    <row r="208" spans="2:32" x14ac:dyDescent="0.35">
      <c r="B208" s="50" t="s">
        <v>1494</v>
      </c>
      <c r="C208" s="132"/>
      <c r="D208" s="132"/>
      <c r="E208" s="132"/>
      <c r="F208" s="132"/>
      <c r="G208" s="132"/>
      <c r="H208" s="132"/>
      <c r="I208" s="132"/>
      <c r="J208" s="132"/>
      <c r="K208" s="132">
        <v>0.65628042843232726</v>
      </c>
      <c r="L208" s="132">
        <v>0.65628042843232726</v>
      </c>
      <c r="M208" s="59"/>
      <c r="O208" s="132"/>
      <c r="P208" s="132"/>
      <c r="Q208" s="132"/>
      <c r="R208" s="132"/>
      <c r="S208" s="132"/>
      <c r="T208" s="132"/>
      <c r="U208" s="125">
        <v>0.65628042843232726</v>
      </c>
      <c r="V208" s="125">
        <v>0.65628042843232726</v>
      </c>
      <c r="W208" s="59"/>
      <c r="Y208" s="132"/>
      <c r="Z208" s="132"/>
      <c r="AA208" s="132"/>
      <c r="AB208" s="132"/>
      <c r="AC208" s="132"/>
      <c r="AD208" s="132"/>
      <c r="AE208" s="569">
        <v>0</v>
      </c>
      <c r="AF208" s="58">
        <v>0</v>
      </c>
    </row>
    <row r="209" spans="1:32" x14ac:dyDescent="0.35">
      <c r="B209" s="50" t="s">
        <v>1493</v>
      </c>
      <c r="C209" s="132"/>
      <c r="D209" s="132"/>
      <c r="E209" s="132"/>
      <c r="F209" s="132"/>
      <c r="G209" s="132"/>
      <c r="H209" s="132"/>
      <c r="I209" s="132"/>
      <c r="J209" s="132"/>
      <c r="K209" s="132">
        <v>4.4790652385589089E-2</v>
      </c>
      <c r="L209" s="132">
        <v>4.4790652385589089E-2</v>
      </c>
      <c r="M209" s="59"/>
      <c r="O209" s="132"/>
      <c r="P209" s="132"/>
      <c r="Q209" s="132"/>
      <c r="R209" s="132"/>
      <c r="S209" s="132"/>
      <c r="T209" s="132"/>
      <c r="U209" s="125">
        <v>4.4790652385589089E-2</v>
      </c>
      <c r="V209" s="125">
        <v>4.4790652385589089E-2</v>
      </c>
      <c r="W209" s="59"/>
      <c r="Y209" s="132"/>
      <c r="Z209" s="132"/>
      <c r="AA209" s="132"/>
      <c r="AB209" s="132"/>
      <c r="AC209" s="132"/>
      <c r="AD209" s="132"/>
      <c r="AE209" s="569"/>
      <c r="AF209" s="58"/>
    </row>
    <row r="210" spans="1:32" x14ac:dyDescent="0.35">
      <c r="B210" s="50" t="s">
        <v>1446</v>
      </c>
      <c r="C210" s="132"/>
      <c r="D210" s="132"/>
      <c r="E210" s="132"/>
      <c r="F210" s="132"/>
      <c r="G210" s="132"/>
      <c r="H210" s="132"/>
      <c r="I210" s="132"/>
      <c r="J210" s="132"/>
      <c r="K210" s="132">
        <v>0</v>
      </c>
      <c r="L210" s="132">
        <v>0</v>
      </c>
      <c r="M210" s="59"/>
      <c r="O210" s="132"/>
      <c r="P210" s="132"/>
      <c r="Q210" s="132"/>
      <c r="R210" s="132"/>
      <c r="S210" s="132"/>
      <c r="T210" s="132"/>
      <c r="U210" s="125">
        <v>0</v>
      </c>
      <c r="V210" s="125">
        <v>0</v>
      </c>
      <c r="W210" s="59"/>
      <c r="Y210" s="132"/>
      <c r="Z210" s="132"/>
      <c r="AA210" s="132"/>
      <c r="AB210" s="132"/>
      <c r="AC210" s="132"/>
      <c r="AD210" s="132"/>
      <c r="AE210" s="569">
        <v>0</v>
      </c>
      <c r="AF210" s="58">
        <v>0</v>
      </c>
    </row>
    <row r="211" spans="1:32" x14ac:dyDescent="0.35">
      <c r="B211" s="50" t="s">
        <v>1447</v>
      </c>
      <c r="C211" s="132"/>
      <c r="D211" s="132"/>
      <c r="E211" s="132"/>
      <c r="F211" s="132"/>
      <c r="G211" s="132"/>
      <c r="H211" s="132"/>
      <c r="I211" s="132"/>
      <c r="J211" s="132"/>
      <c r="K211" s="132">
        <v>0</v>
      </c>
      <c r="L211" s="132">
        <v>0</v>
      </c>
      <c r="M211" s="59"/>
      <c r="O211" s="132"/>
      <c r="P211" s="132"/>
      <c r="Q211" s="132"/>
      <c r="R211" s="132"/>
      <c r="S211" s="132"/>
      <c r="T211" s="132"/>
      <c r="U211" s="125">
        <v>0</v>
      </c>
      <c r="V211" s="125">
        <v>0</v>
      </c>
      <c r="W211" s="59"/>
      <c r="Y211" s="132"/>
      <c r="Z211" s="132"/>
      <c r="AA211" s="132"/>
      <c r="AB211" s="132"/>
      <c r="AC211" s="132"/>
      <c r="AD211" s="132"/>
      <c r="AE211" s="569">
        <v>0</v>
      </c>
      <c r="AF211" s="58">
        <v>0</v>
      </c>
    </row>
    <row r="212" spans="1:32" x14ac:dyDescent="0.35">
      <c r="B212" s="50" t="s">
        <v>1492</v>
      </c>
      <c r="C212" s="132"/>
      <c r="D212" s="132"/>
      <c r="E212" s="132"/>
      <c r="F212" s="132"/>
      <c r="G212" s="132"/>
      <c r="H212" s="132"/>
      <c r="I212" s="132"/>
      <c r="J212" s="132"/>
      <c r="K212" s="132">
        <v>7.7896786757546244E-2</v>
      </c>
      <c r="L212" s="132">
        <v>7.7896786757546244E-2</v>
      </c>
      <c r="M212" s="59"/>
      <c r="O212" s="132"/>
      <c r="P212" s="132"/>
      <c r="Q212" s="132"/>
      <c r="R212" s="132"/>
      <c r="S212" s="132"/>
      <c r="T212" s="132"/>
      <c r="U212" s="125">
        <v>7.7896786757546244E-2</v>
      </c>
      <c r="V212" s="125">
        <v>7.7896786757546244E-2</v>
      </c>
      <c r="W212" s="59"/>
      <c r="Y212" s="132"/>
      <c r="Z212" s="132"/>
      <c r="AA212" s="132"/>
      <c r="AB212" s="132"/>
      <c r="AC212" s="132"/>
      <c r="AD212" s="132"/>
      <c r="AE212" s="569">
        <v>0</v>
      </c>
      <c r="AF212" s="58">
        <v>0</v>
      </c>
    </row>
    <row r="213" spans="1:32" x14ac:dyDescent="0.35">
      <c r="B213" s="50" t="s">
        <v>1457</v>
      </c>
      <c r="C213" s="132"/>
      <c r="D213" s="132"/>
      <c r="E213" s="132"/>
      <c r="F213" s="132"/>
      <c r="G213" s="132"/>
      <c r="H213" s="132"/>
      <c r="I213" s="132"/>
      <c r="J213" s="132"/>
      <c r="K213" s="132">
        <v>0</v>
      </c>
      <c r="L213" s="132">
        <v>0</v>
      </c>
      <c r="M213" s="59"/>
      <c r="O213" s="132"/>
      <c r="P213" s="132"/>
      <c r="Q213" s="132"/>
      <c r="R213" s="132"/>
      <c r="S213" s="132"/>
      <c r="T213" s="132"/>
      <c r="U213" s="125">
        <v>0</v>
      </c>
      <c r="V213" s="125">
        <v>0</v>
      </c>
      <c r="W213" s="59"/>
      <c r="Y213" s="132"/>
      <c r="Z213" s="132"/>
      <c r="AA213" s="132"/>
      <c r="AB213" s="132"/>
      <c r="AC213" s="132"/>
      <c r="AD213" s="132"/>
      <c r="AE213" s="569">
        <v>0</v>
      </c>
      <c r="AF213" s="58">
        <v>0</v>
      </c>
    </row>
    <row r="214" spans="1:32" x14ac:dyDescent="0.35">
      <c r="B214" s="50" t="s">
        <v>1460</v>
      </c>
      <c r="C214" s="132"/>
      <c r="D214" s="132"/>
      <c r="E214" s="132"/>
      <c r="F214" s="132"/>
      <c r="G214" s="132"/>
      <c r="H214" s="132"/>
      <c r="I214" s="132"/>
      <c r="J214" s="132"/>
      <c r="K214" s="132">
        <v>0</v>
      </c>
      <c r="L214" s="132">
        <v>0</v>
      </c>
      <c r="M214" s="59"/>
      <c r="O214" s="132"/>
      <c r="P214" s="132"/>
      <c r="Q214" s="132"/>
      <c r="R214" s="132"/>
      <c r="S214" s="132"/>
      <c r="T214" s="132"/>
      <c r="U214" s="125">
        <v>0</v>
      </c>
      <c r="V214" s="125">
        <v>0</v>
      </c>
      <c r="W214" s="59"/>
      <c r="Y214" s="132"/>
      <c r="Z214" s="132"/>
      <c r="AA214" s="132"/>
      <c r="AB214" s="132"/>
      <c r="AC214" s="132"/>
      <c r="AD214" s="132"/>
      <c r="AE214" s="569">
        <v>0</v>
      </c>
      <c r="AF214" s="58">
        <v>0</v>
      </c>
    </row>
    <row r="215" spans="1:32" x14ac:dyDescent="0.35">
      <c r="B215" s="50" t="s">
        <v>1449</v>
      </c>
      <c r="C215" s="132"/>
      <c r="D215" s="132"/>
      <c r="E215" s="132"/>
      <c r="F215" s="132"/>
      <c r="G215" s="132"/>
      <c r="H215" s="132"/>
      <c r="I215" s="132"/>
      <c r="J215" s="132"/>
      <c r="K215" s="132">
        <v>9.7370983446932804E-3</v>
      </c>
      <c r="L215" s="132">
        <v>9.7370983446932804E-3</v>
      </c>
      <c r="M215" s="59"/>
      <c r="O215" s="132"/>
      <c r="P215" s="132"/>
      <c r="Q215" s="132"/>
      <c r="R215" s="132"/>
      <c r="S215" s="132"/>
      <c r="T215" s="132"/>
      <c r="U215" s="125">
        <v>9.7370983446932804E-3</v>
      </c>
      <c r="V215" s="125">
        <v>9.7370983446932804E-3</v>
      </c>
      <c r="W215" s="59"/>
      <c r="Y215" s="132"/>
      <c r="Z215" s="132"/>
      <c r="AA215" s="132"/>
      <c r="AB215" s="132"/>
      <c r="AC215" s="132"/>
      <c r="AD215" s="132"/>
      <c r="AE215" s="569"/>
      <c r="AF215" s="58"/>
    </row>
    <row r="216" spans="1:32" x14ac:dyDescent="0.35">
      <c r="B216" s="46" t="s">
        <v>1466</v>
      </c>
      <c r="C216" s="122"/>
      <c r="D216" s="122"/>
      <c r="E216" s="122"/>
      <c r="F216" s="122"/>
      <c r="G216" s="122"/>
      <c r="H216" s="122"/>
      <c r="I216" s="122"/>
      <c r="J216" s="122"/>
      <c r="K216" s="122">
        <v>3.8948393378772983E-2</v>
      </c>
      <c r="L216" s="56">
        <v>3.8948393378772983E-2</v>
      </c>
      <c r="M216" s="57"/>
      <c r="N216" s="77"/>
      <c r="O216" s="122"/>
      <c r="P216" s="122"/>
      <c r="Q216" s="122"/>
      <c r="R216" s="122"/>
      <c r="S216" s="122"/>
      <c r="T216" s="122"/>
      <c r="U216" s="122">
        <v>3.8948393378772983E-2</v>
      </c>
      <c r="V216" s="122">
        <v>3.8948393378772983E-2</v>
      </c>
      <c r="W216" s="57"/>
      <c r="X216" s="77"/>
      <c r="Y216" s="122"/>
      <c r="Z216" s="122"/>
      <c r="AA216" s="122"/>
      <c r="AB216" s="122"/>
      <c r="AC216" s="122"/>
      <c r="AD216" s="122"/>
      <c r="AE216" s="122">
        <v>1</v>
      </c>
      <c r="AF216" s="56">
        <v>1</v>
      </c>
    </row>
    <row r="218" spans="1:32" ht="13.9" x14ac:dyDescent="0.4">
      <c r="A218" s="72" t="s">
        <v>2156</v>
      </c>
    </row>
    <row r="219" spans="1:32" ht="42.75" x14ac:dyDescent="0.45">
      <c r="B219" s="568"/>
      <c r="C219" s="567" t="s">
        <v>1481</v>
      </c>
      <c r="D219" s="566" t="s">
        <v>1480</v>
      </c>
      <c r="E219" s="566" t="s">
        <v>1479</v>
      </c>
      <c r="F219" s="566" t="s">
        <v>1478</v>
      </c>
      <c r="G219" s="566" t="s">
        <v>1477</v>
      </c>
      <c r="H219" s="566" t="s">
        <v>1476</v>
      </c>
      <c r="I219" s="566" t="s">
        <v>1475</v>
      </c>
      <c r="J219" s="566" t="s">
        <v>1474</v>
      </c>
      <c r="K219" s="566" t="s">
        <v>1473</v>
      </c>
      <c r="L219" s="565" t="s">
        <v>1472</v>
      </c>
    </row>
    <row r="220" spans="1:32" x14ac:dyDescent="0.35">
      <c r="B220" s="55" t="s">
        <v>2155</v>
      </c>
      <c r="C220" s="564">
        <v>26.08</v>
      </c>
      <c r="D220" s="564">
        <v>29.379755416815996</v>
      </c>
      <c r="E220" s="564">
        <v>36.071729368815532</v>
      </c>
      <c r="F220" s="564">
        <v>41.018366592588372</v>
      </c>
      <c r="G220" s="564">
        <v>68.844839887513373</v>
      </c>
      <c r="H220" s="564">
        <v>76.434774407473242</v>
      </c>
      <c r="I220" s="564">
        <v>112.74122921654177</v>
      </c>
      <c r="J220" s="564">
        <v>127.24390976290769</v>
      </c>
      <c r="K220" s="564">
        <v>54.206520628350717</v>
      </c>
      <c r="L220" s="563">
        <v>61.921035594467668</v>
      </c>
    </row>
    <row r="221" spans="1:32" x14ac:dyDescent="0.35">
      <c r="B221" s="50" t="s">
        <v>2154</v>
      </c>
      <c r="C221" s="230">
        <v>27</v>
      </c>
      <c r="D221" s="230">
        <v>31.6</v>
      </c>
      <c r="E221" s="39" t="e">
        <v>#N/A</v>
      </c>
      <c r="F221" s="39" t="e">
        <v>#N/A</v>
      </c>
      <c r="G221" s="39" t="e">
        <v>#N/A</v>
      </c>
      <c r="H221" s="39" t="e">
        <v>#N/A</v>
      </c>
      <c r="I221" s="39" t="e">
        <v>#N/A</v>
      </c>
      <c r="J221" s="39" t="e">
        <v>#N/A</v>
      </c>
      <c r="K221" s="39" t="e">
        <v>#N/A</v>
      </c>
      <c r="L221" s="99" t="e">
        <v>#N/A</v>
      </c>
    </row>
    <row r="222" spans="1:32" x14ac:dyDescent="0.35">
      <c r="B222" s="46" t="s">
        <v>2153</v>
      </c>
      <c r="C222" s="183">
        <v>26.08</v>
      </c>
      <c r="D222" s="183">
        <v>29.379755416815996</v>
      </c>
      <c r="E222" s="183">
        <v>36.071729368815532</v>
      </c>
      <c r="F222" s="183">
        <v>41.018366592588372</v>
      </c>
      <c r="G222" s="183">
        <v>68.844839887513373</v>
      </c>
      <c r="H222" s="183">
        <v>76.434774407473242</v>
      </c>
      <c r="I222" s="183">
        <v>112.74122921654177</v>
      </c>
      <c r="J222" s="183">
        <v>127.24390976290769</v>
      </c>
      <c r="K222" s="183">
        <v>54.206520628350717</v>
      </c>
      <c r="L222" s="182">
        <v>61.921035594467668</v>
      </c>
    </row>
    <row r="223" spans="1:32" x14ac:dyDescent="0.35">
      <c r="C223" s="562"/>
    </row>
  </sheetData>
  <mergeCells count="3">
    <mergeCell ref="C128:L128"/>
    <mergeCell ref="M128:V128"/>
    <mergeCell ref="W128:AF128"/>
  </mergeCells>
  <pageMargins left="0.75" right="0.75" top="1" bottom="1" header="0.5" footer="0.5"/>
  <pageSetup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BH121"/>
  <sheetViews>
    <sheetView showGridLines="0" topLeftCell="A12" zoomScale="70" zoomScaleNormal="70" workbookViewId="0">
      <selection activeCell="P34" sqref="P34"/>
    </sheetView>
  </sheetViews>
  <sheetFormatPr defaultColWidth="8.86328125" defaultRowHeight="14.25" x14ac:dyDescent="0.45"/>
  <cols>
    <col min="1" max="1" width="35.1328125" customWidth="1"/>
    <col min="3" max="3" width="11.1328125" customWidth="1"/>
  </cols>
  <sheetData>
    <row r="1" spans="1:60" ht="18" x14ac:dyDescent="0.55000000000000004">
      <c r="A1" s="2153" t="s">
        <v>3598</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row>
    <row r="2" spans="1:60" x14ac:dyDescent="0.45">
      <c r="A2" s="2061" t="s">
        <v>106</v>
      </c>
      <c r="B2" s="2062" t="str">
        <f>GPG!G4</f>
        <v>India</v>
      </c>
    </row>
    <row r="4" spans="1:60" x14ac:dyDescent="0.45">
      <c r="A4" s="16" t="s">
        <v>1170</v>
      </c>
    </row>
    <row r="6" spans="1:60" x14ac:dyDescent="0.45">
      <c r="A6" s="1509" t="s">
        <v>107</v>
      </c>
      <c r="B6" s="2063" t="str">
        <f>C14</f>
        <v>Constant</v>
      </c>
      <c r="C6" s="1511"/>
      <c r="O6" s="2"/>
    </row>
    <row r="7" spans="1:60" x14ac:dyDescent="0.45">
      <c r="A7" s="768"/>
      <c r="B7" s="2064" t="str">
        <f>C46</f>
        <v>Switch to Renewables</v>
      </c>
      <c r="C7" s="769"/>
      <c r="D7" s="2"/>
      <c r="E7" s="2"/>
      <c r="F7" s="2"/>
      <c r="O7" s="2"/>
    </row>
    <row r="8" spans="1:60" x14ac:dyDescent="0.45">
      <c r="A8" s="768"/>
      <c r="B8" s="2064" t="str">
        <f>C78</f>
        <v>High ambition scenario</v>
      </c>
      <c r="C8" s="769"/>
      <c r="D8" s="2"/>
      <c r="E8" s="2"/>
      <c r="F8" s="2"/>
      <c r="O8" s="3"/>
    </row>
    <row r="9" spans="1:60" x14ac:dyDescent="0.45">
      <c r="A9" s="755"/>
      <c r="B9" s="2065" t="str">
        <f>C110</f>
        <v>User defined scenario</v>
      </c>
      <c r="C9" s="774"/>
      <c r="E9" s="2"/>
      <c r="F9" s="2"/>
      <c r="O9" s="4"/>
    </row>
    <row r="10" spans="1:60" x14ac:dyDescent="0.45">
      <c r="E10" s="2"/>
      <c r="F10" s="2"/>
    </row>
    <row r="11" spans="1:60" x14ac:dyDescent="0.45">
      <c r="A11" s="16" t="s">
        <v>108</v>
      </c>
      <c r="B11" s="2066"/>
      <c r="C11" s="2067" t="s">
        <v>109</v>
      </c>
      <c r="E11" s="2"/>
    </row>
    <row r="12" spans="1:60" x14ac:dyDescent="0.45">
      <c r="A12" s="16"/>
      <c r="B12" s="2068"/>
      <c r="C12" s="2069" t="s">
        <v>110</v>
      </c>
    </row>
    <row r="13" spans="1:60" x14ac:dyDescent="0.45">
      <c r="A13" s="16"/>
      <c r="B13" s="16"/>
      <c r="C13" s="16"/>
      <c r="D13" s="16"/>
      <c r="E13" s="16"/>
    </row>
    <row r="14" spans="1:60" x14ac:dyDescent="0.45">
      <c r="A14" s="1588" t="s">
        <v>111</v>
      </c>
      <c r="B14" s="1510"/>
      <c r="C14" s="1934" t="s">
        <v>119</v>
      </c>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c r="AB14" s="1510"/>
      <c r="AC14" s="1510"/>
      <c r="AD14" s="1510"/>
      <c r="AE14" s="1510"/>
      <c r="AF14" s="1511"/>
    </row>
    <row r="15" spans="1:60" x14ac:dyDescent="0.45">
      <c r="A15" s="768"/>
      <c r="AF15" s="769"/>
    </row>
    <row r="16" spans="1:60" x14ac:dyDescent="0.45">
      <c r="A16" s="768"/>
      <c r="B16" s="16">
        <v>2020</v>
      </c>
      <c r="C16" s="16"/>
      <c r="D16" s="16"/>
      <c r="E16" s="16"/>
      <c r="F16" s="16"/>
      <c r="G16" s="16">
        <v>2025</v>
      </c>
      <c r="H16" s="16"/>
      <c r="I16" s="16"/>
      <c r="J16" s="16"/>
      <c r="K16" s="16"/>
      <c r="L16" s="16">
        <v>2030</v>
      </c>
      <c r="M16" s="16"/>
      <c r="N16" s="16"/>
      <c r="O16" s="16"/>
      <c r="P16" s="16"/>
      <c r="Q16" s="16">
        <v>2035</v>
      </c>
      <c r="R16" s="16"/>
      <c r="S16" s="16"/>
      <c r="T16" s="16"/>
      <c r="U16" s="16"/>
      <c r="V16" s="16">
        <v>2040</v>
      </c>
      <c r="W16" s="16"/>
      <c r="X16" s="16"/>
      <c r="Y16" s="16"/>
      <c r="Z16" s="16"/>
      <c r="AA16" s="16">
        <v>2045</v>
      </c>
      <c r="AB16" s="16"/>
      <c r="AC16" s="16"/>
      <c r="AD16" s="16"/>
      <c r="AE16" s="16"/>
      <c r="AF16" s="1927">
        <v>2050</v>
      </c>
      <c r="AH16" s="16"/>
      <c r="AI16" s="16"/>
      <c r="AJ16" s="16"/>
      <c r="AK16" s="16"/>
      <c r="AL16" s="16"/>
      <c r="AM16" s="16"/>
      <c r="AO16" s="16"/>
      <c r="AP16" s="16"/>
      <c r="AQ16" s="16"/>
      <c r="AR16" s="16"/>
      <c r="AS16" s="16"/>
      <c r="AT16" s="16"/>
      <c r="AV16" s="16"/>
      <c r="AW16" s="16"/>
      <c r="AX16" s="16"/>
      <c r="AY16" s="16"/>
      <c r="AZ16" s="16"/>
      <c r="BA16" s="16"/>
      <c r="BC16" s="16"/>
      <c r="BD16" s="16"/>
      <c r="BE16" s="16"/>
      <c r="BF16" s="16"/>
      <c r="BG16" s="16"/>
      <c r="BH16" s="16"/>
    </row>
    <row r="17" spans="1:60" x14ac:dyDescent="0.45">
      <c r="A17" s="768" t="s">
        <v>112</v>
      </c>
      <c r="B17" s="1928">
        <v>5.0412668060949815E-3</v>
      </c>
      <c r="C17" s="1929">
        <f t="shared" ref="C17:D22" si="0">B17+(G17-B17)*(COLUMN(C17)-COLUMN(B17))/(COLUMN(G17)-COLUMN(B17))</f>
        <v>5.0412668060949815E-3</v>
      </c>
      <c r="D17" s="1929">
        <f t="shared" si="0"/>
        <v>5.0412668060949815E-3</v>
      </c>
      <c r="E17" s="1929">
        <f t="shared" ref="E17:E22" si="1">B17+(G17-B17)*(COLUMN(E17)-COLUMN(B17))/(COLUMN(G17)-COLUMN(B17))</f>
        <v>5.0412668060949815E-3</v>
      </c>
      <c r="F17" s="1929">
        <f t="shared" ref="F17:F22" si="2">B17+(G17-B17)*(COLUMN(F17)-COLUMN(B17))/(COLUMN(G17)-COLUMN(B17))</f>
        <v>5.0412668060949815E-3</v>
      </c>
      <c r="G17" s="1928">
        <f t="shared" ref="G17:G22" si="3">$B17</f>
        <v>5.0412668060949815E-3</v>
      </c>
      <c r="H17" s="1929">
        <f t="shared" ref="H17:H22" si="4">G17+(L17-G17)*(COLUMN(H17)-COLUMN(G17))/(COLUMN(L17)-COLUMN(G17))</f>
        <v>5.0412668060949815E-3</v>
      </c>
      <c r="I17" s="1929">
        <f t="shared" ref="I17:I22" si="5">G17+(L17-G17)*(COLUMN(I17)-COLUMN(G17))/(COLUMN(L17)-COLUMN(G17))</f>
        <v>5.0412668060949815E-3</v>
      </c>
      <c r="J17" s="1929">
        <f t="shared" ref="J17:J22" si="6">G17+(L17-G17)*(COLUMN(J17)-COLUMN(G17))/(COLUMN(L17)-COLUMN(G17))</f>
        <v>5.0412668060949815E-3</v>
      </c>
      <c r="K17" s="1929">
        <f t="shared" ref="K17:K22" si="7">G17+(L17-G17)*(COLUMN(K17)-COLUMN(G17))/(COLUMN(L17)-COLUMN(G17))</f>
        <v>5.0412668060949815E-3</v>
      </c>
      <c r="L17" s="1928">
        <f t="shared" ref="L17:L22" si="8">$B17</f>
        <v>5.0412668060949815E-3</v>
      </c>
      <c r="M17" s="1929">
        <f t="shared" ref="M17:M22" si="9">L17+(Q17-L17)*(COLUMN(M17)-COLUMN(L17))/(COLUMN(Q17)-COLUMN(L17))</f>
        <v>5.0412668060949815E-3</v>
      </c>
      <c r="N17" s="1929">
        <f t="shared" ref="N17:N22" si="10">L17+(Q17-L17)*(COLUMN(N17)-COLUMN(L17))/(COLUMN(Q17)-COLUMN(L17))</f>
        <v>5.0412668060949815E-3</v>
      </c>
      <c r="O17" s="1929">
        <f t="shared" ref="O17:O22" si="11">L17+(Q17-L17)*(COLUMN(O17)-COLUMN(L17))/(COLUMN(Q17)-COLUMN(L17))</f>
        <v>5.0412668060949815E-3</v>
      </c>
      <c r="P17" s="1929">
        <f t="shared" ref="P17:P22" si="12">L17+(Q17-L17)*(COLUMN(P17)-COLUMN(L17))/(COLUMN(Q17)-COLUMN(L17))</f>
        <v>5.0412668060949815E-3</v>
      </c>
      <c r="Q17" s="1928">
        <f t="shared" ref="Q17:Q22" si="13">$B17</f>
        <v>5.0412668060949815E-3</v>
      </c>
      <c r="R17" s="1929">
        <f t="shared" ref="R17:R22" si="14">Q17+(V17-Q17)*(COLUMN(R17)-COLUMN(Q17))/(COLUMN(V17)-COLUMN(Q17))</f>
        <v>5.0412668060949815E-3</v>
      </c>
      <c r="S17" s="1929">
        <f t="shared" ref="S17:S22" si="15">Q17+(V17-Q17)*(COLUMN(S17)-COLUMN(Q17))/(COLUMN(V17)-COLUMN(Q17))</f>
        <v>5.0412668060949815E-3</v>
      </c>
      <c r="T17" s="1929">
        <f t="shared" ref="T17:T22" si="16">Q17+(V17-Q17)*(COLUMN(T17)-COLUMN(Q17))/(COLUMN(V17)-COLUMN(Q17))</f>
        <v>5.0412668060949815E-3</v>
      </c>
      <c r="U17" s="1929">
        <f t="shared" ref="U17:U22" si="17">Q17+(V17-Q17)*(COLUMN(U17)-COLUMN(Q17))/(COLUMN(V17)-COLUMN(Q17))</f>
        <v>5.0412668060949815E-3</v>
      </c>
      <c r="V17" s="1928">
        <f t="shared" ref="V17:V22" si="18">$B17</f>
        <v>5.0412668060949815E-3</v>
      </c>
      <c r="W17" s="1929">
        <f t="shared" ref="W17:W22" si="19">V17+(AA17-V17)*(COLUMN(W17)-COLUMN(V17))/(COLUMN(AA17)-COLUMN(V17))</f>
        <v>5.0412668060949815E-3</v>
      </c>
      <c r="X17" s="1929">
        <f t="shared" ref="X17:X22" si="20">V17+(AA17-V17)*(COLUMN(X17)-COLUMN(V17))/(COLUMN(AA17)-COLUMN(V17))</f>
        <v>5.0412668060949815E-3</v>
      </c>
      <c r="Y17" s="1929">
        <f t="shared" ref="Y17:Y22" si="21">V17+(AA17-V17)*(COLUMN(Y17)-COLUMN(V17))/(COLUMN(AA17)-COLUMN(V17))</f>
        <v>5.0412668060949815E-3</v>
      </c>
      <c r="Z17" s="1929">
        <f t="shared" ref="Z17:Z22" si="22">V17+(AA17-V17)*(COLUMN(Z17)-COLUMN(V17))/(COLUMN(AA17)-COLUMN(V17))</f>
        <v>5.0412668060949815E-3</v>
      </c>
      <c r="AA17" s="1928">
        <f t="shared" ref="AA17:AA22" si="23">$B17</f>
        <v>5.0412668060949815E-3</v>
      </c>
      <c r="AB17" s="1929">
        <f t="shared" ref="AB17:AB22" si="24">AA17+(AF17-AA17)*(COLUMN(AB17)-COLUMN(AA17))/(COLUMN(AF17)-COLUMN(AA17))</f>
        <v>5.0412668060949815E-3</v>
      </c>
      <c r="AC17" s="1929">
        <f t="shared" ref="AC17:AC22" si="25">AA17+(AF17-AA17)*(COLUMN(AC17)-COLUMN(AA17))/(COLUMN(AF17)-COLUMN(AA17))</f>
        <v>5.0412668060949815E-3</v>
      </c>
      <c r="AD17" s="1929">
        <f t="shared" ref="AD17:AD22" si="26">AA17+(AF17-AA17)*(COLUMN(AD17)-COLUMN(AA17))/(COLUMN(AF17)-COLUMN(AA17))</f>
        <v>5.0412668060949815E-3</v>
      </c>
      <c r="AE17" s="1929">
        <f t="shared" ref="AE17:AE22" si="27">AA17+(AF17-AA17)*(COLUMN(AE17)-COLUMN(AA17))/(COLUMN(AF17)-COLUMN(AA17))</f>
        <v>5.0412668060949815E-3</v>
      </c>
      <c r="AF17" s="1930">
        <f t="shared" ref="AF17:AF22" si="28">$B17</f>
        <v>5.0412668060949815E-3</v>
      </c>
      <c r="AH17" s="1448"/>
      <c r="AI17" s="1448"/>
      <c r="AJ17" s="1448"/>
      <c r="AK17" s="1448"/>
      <c r="AL17" s="1448"/>
      <c r="AM17" s="1448"/>
      <c r="AO17" s="1448"/>
      <c r="AP17" s="1448"/>
      <c r="AQ17" s="1448"/>
      <c r="AR17" s="1448"/>
      <c r="AS17" s="1448"/>
      <c r="AT17" s="1448"/>
      <c r="AV17" s="1448"/>
      <c r="AW17" s="1448"/>
      <c r="AX17" s="1448"/>
      <c r="AY17" s="1448"/>
      <c r="AZ17" s="1448"/>
      <c r="BA17" s="1448"/>
      <c r="BC17" s="1448"/>
      <c r="BD17" s="1448"/>
      <c r="BE17" s="1448"/>
      <c r="BF17" s="1448"/>
      <c r="BG17" s="1448"/>
      <c r="BH17" s="1448"/>
    </row>
    <row r="18" spans="1:60" x14ac:dyDescent="0.45">
      <c r="A18" s="768" t="s">
        <v>113</v>
      </c>
      <c r="B18" s="1928">
        <v>2.4786228463300326E-2</v>
      </c>
      <c r="C18" s="1929">
        <f t="shared" si="0"/>
        <v>2.4786228463300326E-2</v>
      </c>
      <c r="D18" s="1929">
        <f t="shared" si="0"/>
        <v>2.4786228463300326E-2</v>
      </c>
      <c r="E18" s="1929">
        <f t="shared" si="1"/>
        <v>2.4786228463300326E-2</v>
      </c>
      <c r="F18" s="1929">
        <f t="shared" si="2"/>
        <v>2.4786228463300326E-2</v>
      </c>
      <c r="G18" s="1928">
        <f t="shared" si="3"/>
        <v>2.4786228463300326E-2</v>
      </c>
      <c r="H18" s="1929">
        <f t="shared" si="4"/>
        <v>2.4786228463300326E-2</v>
      </c>
      <c r="I18" s="1929">
        <f t="shared" si="5"/>
        <v>2.4786228463300326E-2</v>
      </c>
      <c r="J18" s="1929">
        <f t="shared" si="6"/>
        <v>2.4786228463300326E-2</v>
      </c>
      <c r="K18" s="1929">
        <f t="shared" si="7"/>
        <v>2.4786228463300326E-2</v>
      </c>
      <c r="L18" s="1928">
        <f t="shared" si="8"/>
        <v>2.4786228463300326E-2</v>
      </c>
      <c r="M18" s="1929">
        <f t="shared" si="9"/>
        <v>2.4786228463300326E-2</v>
      </c>
      <c r="N18" s="1929">
        <f t="shared" si="10"/>
        <v>2.4786228463300326E-2</v>
      </c>
      <c r="O18" s="1929">
        <f t="shared" si="11"/>
        <v>2.4786228463300326E-2</v>
      </c>
      <c r="P18" s="1929">
        <f t="shared" si="12"/>
        <v>2.4786228463300326E-2</v>
      </c>
      <c r="Q18" s="1928">
        <f t="shared" si="13"/>
        <v>2.4786228463300326E-2</v>
      </c>
      <c r="R18" s="1929">
        <f t="shared" si="14"/>
        <v>2.4786228463300326E-2</v>
      </c>
      <c r="S18" s="1929">
        <f t="shared" si="15"/>
        <v>2.4786228463300326E-2</v>
      </c>
      <c r="T18" s="1929">
        <f t="shared" si="16"/>
        <v>2.4786228463300326E-2</v>
      </c>
      <c r="U18" s="1929">
        <f t="shared" si="17"/>
        <v>2.4786228463300326E-2</v>
      </c>
      <c r="V18" s="1928">
        <f t="shared" si="18"/>
        <v>2.4786228463300326E-2</v>
      </c>
      <c r="W18" s="1929">
        <f t="shared" si="19"/>
        <v>2.4786228463300326E-2</v>
      </c>
      <c r="X18" s="1929">
        <f t="shared" si="20"/>
        <v>2.4786228463300326E-2</v>
      </c>
      <c r="Y18" s="1929">
        <f t="shared" si="21"/>
        <v>2.4786228463300326E-2</v>
      </c>
      <c r="Z18" s="1929">
        <f t="shared" si="22"/>
        <v>2.4786228463300326E-2</v>
      </c>
      <c r="AA18" s="1928">
        <f t="shared" si="23"/>
        <v>2.4786228463300326E-2</v>
      </c>
      <c r="AB18" s="1929">
        <f t="shared" si="24"/>
        <v>2.4786228463300326E-2</v>
      </c>
      <c r="AC18" s="1929">
        <f t="shared" si="25"/>
        <v>2.4786228463300326E-2</v>
      </c>
      <c r="AD18" s="1929">
        <f t="shared" si="26"/>
        <v>2.4786228463300326E-2</v>
      </c>
      <c r="AE18" s="1929">
        <f t="shared" si="27"/>
        <v>2.4786228463300326E-2</v>
      </c>
      <c r="AF18" s="1930">
        <f t="shared" si="28"/>
        <v>2.4786228463300326E-2</v>
      </c>
      <c r="AH18" s="1448"/>
      <c r="AI18" s="1448"/>
      <c r="AJ18" s="1448"/>
      <c r="AK18" s="1448"/>
      <c r="AL18" s="1448"/>
      <c r="AM18" s="1448"/>
      <c r="AO18" s="1448"/>
      <c r="AP18" s="1448"/>
      <c r="AQ18" s="1448"/>
      <c r="AR18" s="1448"/>
      <c r="AS18" s="1448"/>
      <c r="AT18" s="1448"/>
      <c r="AV18" s="1448"/>
      <c r="AW18" s="1448"/>
      <c r="AX18" s="1448"/>
      <c r="AY18" s="1448"/>
      <c r="AZ18" s="1448"/>
      <c r="BA18" s="1448"/>
      <c r="BC18" s="1448"/>
      <c r="BD18" s="1448"/>
      <c r="BE18" s="1448"/>
      <c r="BF18" s="1448"/>
      <c r="BG18" s="1448"/>
      <c r="BH18" s="1448"/>
    </row>
    <row r="19" spans="1:60" x14ac:dyDescent="0.45">
      <c r="A19" s="768" t="s">
        <v>114</v>
      </c>
      <c r="B19" s="1928">
        <v>0.72705457895591841</v>
      </c>
      <c r="C19" s="1929">
        <f t="shared" si="0"/>
        <v>0.72705457895591841</v>
      </c>
      <c r="D19" s="1929">
        <f t="shared" si="0"/>
        <v>0.72705457895591841</v>
      </c>
      <c r="E19" s="1929">
        <f t="shared" si="1"/>
        <v>0.72705457895591841</v>
      </c>
      <c r="F19" s="1929">
        <f t="shared" si="2"/>
        <v>0.72705457895591841</v>
      </c>
      <c r="G19" s="1928">
        <f t="shared" si="3"/>
        <v>0.72705457895591841</v>
      </c>
      <c r="H19" s="1929">
        <f t="shared" si="4"/>
        <v>0.72705457895591841</v>
      </c>
      <c r="I19" s="1929">
        <f t="shared" si="5"/>
        <v>0.72705457895591841</v>
      </c>
      <c r="J19" s="1929">
        <f t="shared" si="6"/>
        <v>0.72705457895591841</v>
      </c>
      <c r="K19" s="1929">
        <f t="shared" si="7"/>
        <v>0.72705457895591841</v>
      </c>
      <c r="L19" s="1928">
        <f t="shared" si="8"/>
        <v>0.72705457895591841</v>
      </c>
      <c r="M19" s="1929">
        <f t="shared" si="9"/>
        <v>0.72705457895591841</v>
      </c>
      <c r="N19" s="1929">
        <f t="shared" si="10"/>
        <v>0.72705457895591841</v>
      </c>
      <c r="O19" s="1929">
        <f t="shared" si="11"/>
        <v>0.72705457895591841</v>
      </c>
      <c r="P19" s="1929">
        <f t="shared" si="12"/>
        <v>0.72705457895591841</v>
      </c>
      <c r="Q19" s="1928">
        <f t="shared" si="13"/>
        <v>0.72705457895591841</v>
      </c>
      <c r="R19" s="1929">
        <f t="shared" si="14"/>
        <v>0.72705457895591841</v>
      </c>
      <c r="S19" s="1929">
        <f t="shared" si="15"/>
        <v>0.72705457895591841</v>
      </c>
      <c r="T19" s="1929">
        <f t="shared" si="16"/>
        <v>0.72705457895591841</v>
      </c>
      <c r="U19" s="1929">
        <f t="shared" si="17"/>
        <v>0.72705457895591841</v>
      </c>
      <c r="V19" s="1928">
        <f t="shared" si="18"/>
        <v>0.72705457895591841</v>
      </c>
      <c r="W19" s="1929">
        <f t="shared" si="19"/>
        <v>0.72705457895591841</v>
      </c>
      <c r="X19" s="1929">
        <f t="shared" si="20"/>
        <v>0.72705457895591841</v>
      </c>
      <c r="Y19" s="1929">
        <f t="shared" si="21"/>
        <v>0.72705457895591841</v>
      </c>
      <c r="Z19" s="1929">
        <f t="shared" si="22"/>
        <v>0.72705457895591841</v>
      </c>
      <c r="AA19" s="1928">
        <f t="shared" si="23"/>
        <v>0.72705457895591841</v>
      </c>
      <c r="AB19" s="1929">
        <f t="shared" si="24"/>
        <v>0.72705457895591841</v>
      </c>
      <c r="AC19" s="1929">
        <f t="shared" si="25"/>
        <v>0.72705457895591841</v>
      </c>
      <c r="AD19" s="1929">
        <f t="shared" si="26"/>
        <v>0.72705457895591841</v>
      </c>
      <c r="AE19" s="1929">
        <f t="shared" si="27"/>
        <v>0.72705457895591841</v>
      </c>
      <c r="AF19" s="1930">
        <f t="shared" si="28"/>
        <v>0.72705457895591841</v>
      </c>
      <c r="AH19" s="1448"/>
      <c r="AI19" s="1448"/>
      <c r="AJ19" s="1448"/>
      <c r="AK19" s="1448"/>
      <c r="AL19" s="1448"/>
      <c r="AM19" s="1448"/>
      <c r="AO19" s="1448"/>
      <c r="AP19" s="1448"/>
      <c r="AQ19" s="1448"/>
      <c r="AR19" s="1448"/>
      <c r="AS19" s="1448"/>
      <c r="AT19" s="1448"/>
      <c r="AV19" s="1448"/>
      <c r="AW19" s="1448"/>
      <c r="AX19" s="1448"/>
      <c r="AY19" s="1448"/>
      <c r="AZ19" s="1448"/>
      <c r="BA19" s="1448"/>
      <c r="BC19" s="1448"/>
      <c r="BD19" s="1448"/>
      <c r="BE19" s="1448"/>
      <c r="BF19" s="1448"/>
      <c r="BG19" s="1448"/>
      <c r="BH19" s="1448"/>
    </row>
    <row r="20" spans="1:60" x14ac:dyDescent="0.45">
      <c r="A20" s="768" t="s">
        <v>115</v>
      </c>
      <c r="B20" s="1928">
        <v>3.4347831172193803E-2</v>
      </c>
      <c r="C20" s="1929">
        <f t="shared" si="0"/>
        <v>3.4347831172193803E-2</v>
      </c>
      <c r="D20" s="1929">
        <f t="shared" si="0"/>
        <v>3.4347831172193803E-2</v>
      </c>
      <c r="E20" s="1929">
        <f t="shared" si="1"/>
        <v>3.4347831172193803E-2</v>
      </c>
      <c r="F20" s="1929">
        <f t="shared" si="2"/>
        <v>3.4347831172193803E-2</v>
      </c>
      <c r="G20" s="1928">
        <f t="shared" si="3"/>
        <v>3.4347831172193803E-2</v>
      </c>
      <c r="H20" s="1929">
        <f t="shared" si="4"/>
        <v>3.4347831172193803E-2</v>
      </c>
      <c r="I20" s="1929">
        <f t="shared" si="5"/>
        <v>3.4347831172193803E-2</v>
      </c>
      <c r="J20" s="1929">
        <f t="shared" si="6"/>
        <v>3.4347831172193803E-2</v>
      </c>
      <c r="K20" s="1929">
        <f t="shared" si="7"/>
        <v>3.4347831172193803E-2</v>
      </c>
      <c r="L20" s="1928">
        <f t="shared" si="8"/>
        <v>3.4347831172193803E-2</v>
      </c>
      <c r="M20" s="1929">
        <f t="shared" si="9"/>
        <v>3.4347831172193803E-2</v>
      </c>
      <c r="N20" s="1929">
        <f t="shared" si="10"/>
        <v>3.4347831172193803E-2</v>
      </c>
      <c r="O20" s="1929">
        <f t="shared" si="11"/>
        <v>3.4347831172193803E-2</v>
      </c>
      <c r="P20" s="1929">
        <f t="shared" si="12"/>
        <v>3.4347831172193803E-2</v>
      </c>
      <c r="Q20" s="1928">
        <f t="shared" si="13"/>
        <v>3.4347831172193803E-2</v>
      </c>
      <c r="R20" s="1929">
        <f t="shared" si="14"/>
        <v>3.4347831172193803E-2</v>
      </c>
      <c r="S20" s="1929">
        <f t="shared" si="15"/>
        <v>3.4347831172193803E-2</v>
      </c>
      <c r="T20" s="1929">
        <f t="shared" si="16"/>
        <v>3.4347831172193803E-2</v>
      </c>
      <c r="U20" s="1929">
        <f t="shared" si="17"/>
        <v>3.4347831172193803E-2</v>
      </c>
      <c r="V20" s="1928">
        <f t="shared" si="18"/>
        <v>3.4347831172193803E-2</v>
      </c>
      <c r="W20" s="1929">
        <f t="shared" si="19"/>
        <v>3.4347831172193803E-2</v>
      </c>
      <c r="X20" s="1929">
        <f t="shared" si="20"/>
        <v>3.4347831172193803E-2</v>
      </c>
      <c r="Y20" s="1929">
        <f t="shared" si="21"/>
        <v>3.4347831172193803E-2</v>
      </c>
      <c r="Z20" s="1929">
        <f t="shared" si="22"/>
        <v>3.4347831172193803E-2</v>
      </c>
      <c r="AA20" s="1928">
        <f t="shared" si="23"/>
        <v>3.4347831172193803E-2</v>
      </c>
      <c r="AB20" s="1929">
        <f t="shared" si="24"/>
        <v>3.4347831172193803E-2</v>
      </c>
      <c r="AC20" s="1929">
        <f t="shared" si="25"/>
        <v>3.4347831172193803E-2</v>
      </c>
      <c r="AD20" s="1929">
        <f t="shared" si="26"/>
        <v>3.4347831172193803E-2</v>
      </c>
      <c r="AE20" s="1929">
        <f t="shared" si="27"/>
        <v>3.4347831172193803E-2</v>
      </c>
      <c r="AF20" s="1930">
        <f t="shared" si="28"/>
        <v>3.4347831172193803E-2</v>
      </c>
      <c r="AH20" s="1448"/>
      <c r="AI20" s="1448"/>
      <c r="AJ20" s="1448"/>
      <c r="AK20" s="1448"/>
      <c r="AL20" s="1448"/>
      <c r="AM20" s="1448"/>
      <c r="AO20" s="1448"/>
      <c r="AP20" s="1448"/>
      <c r="AQ20" s="1448"/>
      <c r="AR20" s="1448"/>
      <c r="AS20" s="1448"/>
      <c r="AT20" s="1448"/>
      <c r="AV20" s="1448"/>
      <c r="AW20" s="1448"/>
      <c r="AX20" s="1448"/>
      <c r="AY20" s="1448"/>
      <c r="AZ20" s="1448"/>
      <c r="BA20" s="1448"/>
      <c r="BC20" s="1448"/>
      <c r="BD20" s="1448"/>
      <c r="BE20" s="1448"/>
      <c r="BF20" s="1448"/>
      <c r="BG20" s="1448"/>
      <c r="BH20" s="1448"/>
    </row>
    <row r="21" spans="1:60" x14ac:dyDescent="0.45">
      <c r="A21" s="768" t="s">
        <v>116</v>
      </c>
      <c r="B21" s="1928">
        <v>1.7504398632274241E-2</v>
      </c>
      <c r="C21" s="1929">
        <f t="shared" si="0"/>
        <v>1.7504398632274241E-2</v>
      </c>
      <c r="D21" s="1929">
        <f t="shared" si="0"/>
        <v>1.7504398632274241E-2</v>
      </c>
      <c r="E21" s="1929">
        <f t="shared" si="1"/>
        <v>1.7504398632274241E-2</v>
      </c>
      <c r="F21" s="1929">
        <f t="shared" si="2"/>
        <v>1.7504398632274241E-2</v>
      </c>
      <c r="G21" s="1928">
        <f t="shared" si="3"/>
        <v>1.7504398632274241E-2</v>
      </c>
      <c r="H21" s="1929">
        <f t="shared" si="4"/>
        <v>1.7504398632274241E-2</v>
      </c>
      <c r="I21" s="1929">
        <f t="shared" si="5"/>
        <v>1.7504398632274241E-2</v>
      </c>
      <c r="J21" s="1929">
        <f t="shared" si="6"/>
        <v>1.7504398632274241E-2</v>
      </c>
      <c r="K21" s="1929">
        <f t="shared" si="7"/>
        <v>1.7504398632274241E-2</v>
      </c>
      <c r="L21" s="1928">
        <f t="shared" si="8"/>
        <v>1.7504398632274241E-2</v>
      </c>
      <c r="M21" s="1929">
        <f t="shared" si="9"/>
        <v>1.7504398632274241E-2</v>
      </c>
      <c r="N21" s="1929">
        <f t="shared" si="10"/>
        <v>1.7504398632274241E-2</v>
      </c>
      <c r="O21" s="1929">
        <f t="shared" si="11"/>
        <v>1.7504398632274241E-2</v>
      </c>
      <c r="P21" s="1929">
        <f t="shared" si="12"/>
        <v>1.7504398632274241E-2</v>
      </c>
      <c r="Q21" s="1928">
        <f t="shared" si="13"/>
        <v>1.7504398632274241E-2</v>
      </c>
      <c r="R21" s="1929">
        <f t="shared" si="14"/>
        <v>1.7504398632274241E-2</v>
      </c>
      <c r="S21" s="1929">
        <f t="shared" si="15"/>
        <v>1.7504398632274241E-2</v>
      </c>
      <c r="T21" s="1929">
        <f t="shared" si="16"/>
        <v>1.7504398632274241E-2</v>
      </c>
      <c r="U21" s="1929">
        <f t="shared" si="17"/>
        <v>1.7504398632274241E-2</v>
      </c>
      <c r="V21" s="1928">
        <f t="shared" si="18"/>
        <v>1.7504398632274241E-2</v>
      </c>
      <c r="W21" s="1929">
        <f t="shared" si="19"/>
        <v>1.7504398632274241E-2</v>
      </c>
      <c r="X21" s="1929">
        <f t="shared" si="20"/>
        <v>1.7504398632274241E-2</v>
      </c>
      <c r="Y21" s="1929">
        <f t="shared" si="21"/>
        <v>1.7504398632274241E-2</v>
      </c>
      <c r="Z21" s="1929">
        <f t="shared" si="22"/>
        <v>1.7504398632274241E-2</v>
      </c>
      <c r="AA21" s="1928">
        <f t="shared" si="23"/>
        <v>1.7504398632274241E-2</v>
      </c>
      <c r="AB21" s="1929">
        <f t="shared" si="24"/>
        <v>1.7504398632274241E-2</v>
      </c>
      <c r="AC21" s="1929">
        <f t="shared" si="25"/>
        <v>1.7504398632274241E-2</v>
      </c>
      <c r="AD21" s="1929">
        <f t="shared" si="26"/>
        <v>1.7504398632274241E-2</v>
      </c>
      <c r="AE21" s="1929">
        <f t="shared" si="27"/>
        <v>1.7504398632274241E-2</v>
      </c>
      <c r="AF21" s="1930">
        <f t="shared" si="28"/>
        <v>1.7504398632274241E-2</v>
      </c>
      <c r="AH21" s="1448"/>
      <c r="AI21" s="1448"/>
      <c r="AJ21" s="1448"/>
      <c r="AK21" s="1448"/>
      <c r="AL21" s="1448"/>
      <c r="AM21" s="1448"/>
      <c r="AO21" s="1448"/>
      <c r="AP21" s="1448"/>
      <c r="AQ21" s="1448"/>
      <c r="AR21" s="1448"/>
      <c r="AS21" s="1448"/>
      <c r="AT21" s="1448"/>
      <c r="AV21" s="1448"/>
      <c r="AW21" s="1448"/>
      <c r="AX21" s="1448"/>
      <c r="AY21" s="1448"/>
      <c r="AZ21" s="1448"/>
      <c r="BA21" s="1448"/>
      <c r="BC21" s="1448"/>
      <c r="BD21" s="1448"/>
      <c r="BE21" s="1448"/>
      <c r="BF21" s="1448"/>
      <c r="BG21" s="1448"/>
      <c r="BH21" s="1448"/>
    </row>
    <row r="22" spans="1:60" x14ac:dyDescent="0.45">
      <c r="A22" s="755" t="s">
        <v>117</v>
      </c>
      <c r="B22" s="1931">
        <v>0.19126569597021809</v>
      </c>
      <c r="C22" s="1932">
        <f t="shared" si="0"/>
        <v>0.19126569597021809</v>
      </c>
      <c r="D22" s="1932">
        <f t="shared" si="0"/>
        <v>0.19126569597021809</v>
      </c>
      <c r="E22" s="1932">
        <f t="shared" si="1"/>
        <v>0.19126569597021809</v>
      </c>
      <c r="F22" s="1932">
        <f t="shared" si="2"/>
        <v>0.19126569597021809</v>
      </c>
      <c r="G22" s="1931">
        <f t="shared" si="3"/>
        <v>0.19126569597021809</v>
      </c>
      <c r="H22" s="1932">
        <f t="shared" si="4"/>
        <v>0.19126569597021809</v>
      </c>
      <c r="I22" s="1932">
        <f t="shared" si="5"/>
        <v>0.19126569597021809</v>
      </c>
      <c r="J22" s="1932">
        <f t="shared" si="6"/>
        <v>0.19126569597021809</v>
      </c>
      <c r="K22" s="1932">
        <f t="shared" si="7"/>
        <v>0.19126569597021809</v>
      </c>
      <c r="L22" s="1931">
        <f t="shared" si="8"/>
        <v>0.19126569597021809</v>
      </c>
      <c r="M22" s="1932">
        <f t="shared" si="9"/>
        <v>0.19126569597021809</v>
      </c>
      <c r="N22" s="1932">
        <f t="shared" si="10"/>
        <v>0.19126569597021809</v>
      </c>
      <c r="O22" s="1932">
        <f t="shared" si="11"/>
        <v>0.19126569597021809</v>
      </c>
      <c r="P22" s="1932">
        <f t="shared" si="12"/>
        <v>0.19126569597021809</v>
      </c>
      <c r="Q22" s="1931">
        <f t="shared" si="13"/>
        <v>0.19126569597021809</v>
      </c>
      <c r="R22" s="1932">
        <f t="shared" si="14"/>
        <v>0.19126569597021809</v>
      </c>
      <c r="S22" s="1932">
        <f t="shared" si="15"/>
        <v>0.19126569597021809</v>
      </c>
      <c r="T22" s="1932">
        <f t="shared" si="16"/>
        <v>0.19126569597021809</v>
      </c>
      <c r="U22" s="1932">
        <f t="shared" si="17"/>
        <v>0.19126569597021809</v>
      </c>
      <c r="V22" s="1931">
        <f t="shared" si="18"/>
        <v>0.19126569597021809</v>
      </c>
      <c r="W22" s="1932">
        <f t="shared" si="19"/>
        <v>0.19126569597021809</v>
      </c>
      <c r="X22" s="1932">
        <f t="shared" si="20"/>
        <v>0.19126569597021809</v>
      </c>
      <c r="Y22" s="1932">
        <f t="shared" si="21"/>
        <v>0.19126569597021809</v>
      </c>
      <c r="Z22" s="1932">
        <f t="shared" si="22"/>
        <v>0.19126569597021809</v>
      </c>
      <c r="AA22" s="1931">
        <f t="shared" si="23"/>
        <v>0.19126569597021809</v>
      </c>
      <c r="AB22" s="1932">
        <f t="shared" si="24"/>
        <v>0.19126569597021809</v>
      </c>
      <c r="AC22" s="1932">
        <f t="shared" si="25"/>
        <v>0.19126569597021809</v>
      </c>
      <c r="AD22" s="1932">
        <f t="shared" si="26"/>
        <v>0.19126569597021809</v>
      </c>
      <c r="AE22" s="1932">
        <f t="shared" si="27"/>
        <v>0.19126569597021809</v>
      </c>
      <c r="AF22" s="1933">
        <f t="shared" si="28"/>
        <v>0.19126569597021809</v>
      </c>
      <c r="AH22" s="1448"/>
      <c r="AI22" s="1448"/>
      <c r="AJ22" s="1448"/>
      <c r="AK22" s="1448"/>
      <c r="AL22" s="1448"/>
      <c r="AM22" s="1448"/>
      <c r="AO22" s="1448"/>
      <c r="AP22" s="1448"/>
      <c r="AQ22" s="1448"/>
      <c r="AR22" s="1448"/>
      <c r="AS22" s="1448"/>
      <c r="AT22" s="1448"/>
      <c r="AV22" s="1448"/>
      <c r="AW22" s="1448"/>
      <c r="AX22" s="1448"/>
      <c r="AY22" s="1448"/>
      <c r="AZ22" s="1448"/>
      <c r="BA22" s="1448"/>
      <c r="BC22" s="1448"/>
      <c r="BD22" s="1448"/>
      <c r="BE22" s="1448"/>
      <c r="BF22" s="1448"/>
      <c r="BG22" s="1448"/>
      <c r="BH22" s="1448"/>
    </row>
    <row r="24" spans="1:60" x14ac:dyDescent="0.45">
      <c r="A24" s="5" t="s">
        <v>62</v>
      </c>
      <c r="B24" s="1449">
        <f>SUM(B17:B22)</f>
        <v>0.99999999999999978</v>
      </c>
      <c r="C24" s="1449"/>
      <c r="D24" s="1449"/>
      <c r="E24" s="1449"/>
      <c r="F24" s="1449"/>
      <c r="G24" s="1449">
        <f>SUM(G17:G22)</f>
        <v>0.99999999999999978</v>
      </c>
      <c r="H24" s="1449"/>
      <c r="I24" s="1449"/>
      <c r="J24" s="1449"/>
      <c r="K24" s="1449"/>
      <c r="L24" s="1449">
        <f>SUM(L17:L22)</f>
        <v>0.99999999999999978</v>
      </c>
      <c r="M24" s="1449"/>
      <c r="N24" s="1449"/>
      <c r="O24" s="1449"/>
      <c r="P24" s="1449"/>
      <c r="Q24" s="1449">
        <f>SUM(Q17:Q22)</f>
        <v>0.99999999999999978</v>
      </c>
      <c r="R24" s="1449"/>
      <c r="S24" s="1449"/>
      <c r="T24" s="1449"/>
      <c r="U24" s="1449"/>
      <c r="V24" s="1449">
        <f>SUM(V17:V22)</f>
        <v>0.99999999999999978</v>
      </c>
      <c r="W24" s="1449"/>
      <c r="X24" s="1449"/>
      <c r="Y24" s="1449"/>
      <c r="Z24" s="1449"/>
      <c r="AA24" s="1449">
        <f>SUM(AA17:AA22)</f>
        <v>0.99999999999999978</v>
      </c>
      <c r="AB24" s="1449"/>
      <c r="AC24" s="1449"/>
      <c r="AD24" s="1449"/>
      <c r="AE24" s="1449"/>
      <c r="AF24" s="1449">
        <f>SUM(AF17:AF22)</f>
        <v>0.99999999999999978</v>
      </c>
    </row>
    <row r="25" spans="1:60" x14ac:dyDescent="0.45">
      <c r="A25" s="5" t="s">
        <v>110</v>
      </c>
      <c r="B25" s="2070" t="str">
        <f>IF(B24&lt;&gt;1,"Warning, shares not 100%","")</f>
        <v/>
      </c>
      <c r="C25" s="2070"/>
      <c r="D25" s="2070"/>
      <c r="E25" s="2070"/>
      <c r="F25" s="2070"/>
      <c r="G25" s="2070" t="str">
        <f>IF(G24&lt;&gt;1,"Warning, shares not 100%","")</f>
        <v/>
      </c>
      <c r="H25" s="2070"/>
      <c r="I25" s="2070"/>
      <c r="J25" s="2070"/>
      <c r="K25" s="2070"/>
      <c r="L25" s="2070" t="str">
        <f>IF(L24&lt;&gt;1,"Warning, shares not 100%","")</f>
        <v/>
      </c>
      <c r="M25" s="2070"/>
      <c r="N25" s="2070"/>
      <c r="O25" s="2070"/>
      <c r="P25" s="2070"/>
      <c r="Q25" s="2070" t="str">
        <f>IF(Q24&lt;&gt;1,"Warning, shares not 100%","")</f>
        <v/>
      </c>
      <c r="R25" s="2070"/>
      <c r="S25" s="2070"/>
      <c r="T25" s="2070"/>
      <c r="U25" s="2070"/>
      <c r="V25" s="2070" t="str">
        <f>IF(V24&lt;&gt;1,"Warning, shares not 100%","")</f>
        <v/>
      </c>
      <c r="W25" s="2070"/>
      <c r="X25" s="2070"/>
      <c r="Y25" s="2070"/>
      <c r="Z25" s="2070"/>
      <c r="AA25" s="2070" t="str">
        <f>IF(AA24&lt;&gt;1,"Warning, shares not 100%","")</f>
        <v/>
      </c>
      <c r="AB25" s="2070"/>
      <c r="AC25" s="2070"/>
      <c r="AD25" s="2070"/>
      <c r="AE25" s="2070"/>
      <c r="AF25" s="2070" t="str">
        <f>IF(AF24&lt;&gt;1,"Warning, shares not 100%","")</f>
        <v/>
      </c>
    </row>
    <row r="46" spans="1:60" x14ac:dyDescent="0.45">
      <c r="A46" s="1588" t="s">
        <v>118</v>
      </c>
      <c r="B46" s="1589"/>
      <c r="C46" s="1934" t="s">
        <v>1171</v>
      </c>
      <c r="D46" s="1934"/>
      <c r="E46" s="1510"/>
      <c r="F46" s="1510"/>
      <c r="G46" s="2071"/>
      <c r="H46" s="1510"/>
      <c r="I46" s="1510"/>
      <c r="J46" s="1510"/>
      <c r="K46" s="1510"/>
      <c r="L46" s="1510"/>
      <c r="M46" s="1510"/>
      <c r="N46" s="1510"/>
      <c r="O46" s="1510"/>
      <c r="P46" s="1510"/>
      <c r="Q46" s="1510"/>
      <c r="R46" s="1510"/>
      <c r="S46" s="1510"/>
      <c r="T46" s="1510"/>
      <c r="U46" s="1510"/>
      <c r="V46" s="1510"/>
      <c r="W46" s="1510"/>
      <c r="X46" s="1510"/>
      <c r="Y46" s="1510"/>
      <c r="Z46" s="1510"/>
      <c r="AA46" s="1510"/>
      <c r="AB46" s="1510"/>
      <c r="AC46" s="1510"/>
      <c r="AD46" s="1510"/>
      <c r="AE46" s="1510"/>
      <c r="AF46" s="1511"/>
    </row>
    <row r="47" spans="1:60" x14ac:dyDescent="0.45">
      <c r="A47" s="768"/>
      <c r="AF47" s="769"/>
    </row>
    <row r="48" spans="1:60" x14ac:dyDescent="0.45">
      <c r="A48" s="768"/>
      <c r="B48" s="16">
        <v>2020</v>
      </c>
      <c r="C48" s="16"/>
      <c r="D48" s="16"/>
      <c r="E48" s="16"/>
      <c r="F48" s="16"/>
      <c r="G48" s="16">
        <v>2025</v>
      </c>
      <c r="H48" s="16"/>
      <c r="I48" s="16"/>
      <c r="J48" s="16"/>
      <c r="K48" s="16"/>
      <c r="L48" s="16">
        <v>2030</v>
      </c>
      <c r="M48" s="16"/>
      <c r="N48" s="16"/>
      <c r="O48" s="16"/>
      <c r="P48" s="16"/>
      <c r="Q48" s="16">
        <v>2035</v>
      </c>
      <c r="R48" s="16"/>
      <c r="S48" s="16"/>
      <c r="T48" s="16"/>
      <c r="U48" s="16"/>
      <c r="V48" s="16">
        <v>2040</v>
      </c>
      <c r="W48" s="16"/>
      <c r="X48" s="16"/>
      <c r="Y48" s="16"/>
      <c r="Z48" s="16"/>
      <c r="AA48" s="16">
        <v>2045</v>
      </c>
      <c r="AB48" s="16"/>
      <c r="AC48" s="16"/>
      <c r="AD48" s="16"/>
      <c r="AE48" s="16"/>
      <c r="AF48" s="1927">
        <v>2050</v>
      </c>
      <c r="AH48" s="16"/>
      <c r="AI48" s="16"/>
      <c r="AJ48" s="16"/>
      <c r="AK48" s="16"/>
      <c r="AL48" s="16"/>
      <c r="AM48" s="16"/>
      <c r="AO48" s="16"/>
      <c r="AP48" s="16"/>
      <c r="AQ48" s="16"/>
      <c r="AR48" s="16"/>
      <c r="AS48" s="16"/>
      <c r="AT48" s="16"/>
      <c r="AV48" s="16"/>
      <c r="AW48" s="16"/>
      <c r="AX48" s="16"/>
      <c r="AY48" s="16"/>
      <c r="AZ48" s="16"/>
      <c r="BA48" s="16"/>
      <c r="BC48" s="16"/>
      <c r="BD48" s="16"/>
      <c r="BE48" s="16"/>
      <c r="BF48" s="16"/>
      <c r="BG48" s="16"/>
      <c r="BH48" s="16"/>
    </row>
    <row r="49" spans="1:60" x14ac:dyDescent="0.45">
      <c r="A49" s="768" t="s">
        <v>112</v>
      </c>
      <c r="B49" s="1928">
        <v>5.0412668060949815E-3</v>
      </c>
      <c r="C49" s="1929">
        <f t="shared" ref="C49:C54" si="29">B49+(G49-B49)*(COLUMN(C49)-COLUMN(B49))/(COLUMN(G49)-COLUMN(B49))</f>
        <v>5.1427705126533933E-3</v>
      </c>
      <c r="D49" s="1929">
        <v>3.0754887322349809E-3</v>
      </c>
      <c r="E49" s="1929">
        <f t="shared" ref="E49:E54" si="30">B49+(G49-B49)*(COLUMN(E49)-COLUMN(B49))/(COLUMN(G49)-COLUMN(B49))</f>
        <v>5.345777925770216E-3</v>
      </c>
      <c r="F49" s="1929">
        <f t="shared" ref="F49:F54" si="31">B49+(G49-B49)*(COLUMN(F49)-COLUMN(B49))/(COLUMN(G49)-COLUMN(B49))</f>
        <v>5.447281632328627E-3</v>
      </c>
      <c r="G49" s="1928">
        <v>5.5487853388870387E-3</v>
      </c>
      <c r="H49" s="1929">
        <f t="shared" ref="H49:H54" si="32">G49+(L49-G49)*(COLUMN(H49)-COLUMN(G49))/(COLUMN(L49)-COLUMN(G49))</f>
        <v>6.5153555510767151E-3</v>
      </c>
      <c r="I49" s="1929">
        <f t="shared" ref="I49:I54" si="33">G49+(L49-G49)*(COLUMN(I49)-COLUMN(G49))/(COLUMN(L49)-COLUMN(G49))</f>
        <v>7.4819257632663914E-3</v>
      </c>
      <c r="J49" s="1929">
        <f t="shared" ref="J49:J54" si="34">G49+(L49-G49)*(COLUMN(J49)-COLUMN(G49))/(COLUMN(L49)-COLUMN(G49))</f>
        <v>8.4484959754560669E-3</v>
      </c>
      <c r="K49" s="1929">
        <f t="shared" ref="K49:K54" si="35">G49+(L49-G49)*(COLUMN(K49)-COLUMN(G49))/(COLUMN(L49)-COLUMN(G49))</f>
        <v>9.4150661876457424E-3</v>
      </c>
      <c r="L49" s="1928">
        <v>1.038163639983542E-2</v>
      </c>
      <c r="M49" s="1929">
        <f t="shared" ref="M49:M54" si="36">L49+(Q49-L49)*(COLUMN(M49)-COLUMN(L49))/(COLUMN(Q49)-COLUMN(L49))</f>
        <v>1.1426474696972683E-2</v>
      </c>
      <c r="N49" s="1929">
        <f t="shared" ref="N49:N54" si="37">L49+(Q49-L49)*(COLUMN(N49)-COLUMN(L49))/(COLUMN(Q49)-COLUMN(L49))</f>
        <v>1.2471312994109945E-2</v>
      </c>
      <c r="O49" s="1929">
        <f t="shared" ref="O49:O54" si="38">L49+(Q49-L49)*(COLUMN(O49)-COLUMN(L49))/(COLUMN(Q49)-COLUMN(L49))</f>
        <v>1.3516151291247209E-2</v>
      </c>
      <c r="P49" s="1929">
        <f t="shared" ref="P49:P54" si="39">L49+(Q49-L49)*(COLUMN(P49)-COLUMN(L49))/(COLUMN(Q49)-COLUMN(L49))</f>
        <v>1.4560989588384473E-2</v>
      </c>
      <c r="Q49" s="1928">
        <v>1.5605827885521735E-2</v>
      </c>
      <c r="R49" s="1929">
        <f t="shared" ref="R49:R54" si="40">Q49+(V49-Q49)*(COLUMN(R49)-COLUMN(Q49))/(COLUMN(V49)-COLUMN(Q49))</f>
        <v>1.6223746971221819E-2</v>
      </c>
      <c r="S49" s="1929">
        <f t="shared" ref="S49:S54" si="41">Q49+(V49-Q49)*(COLUMN(S49)-COLUMN(Q49))/(COLUMN(V49)-COLUMN(Q49))</f>
        <v>1.6841666056921906E-2</v>
      </c>
      <c r="T49" s="1929">
        <f t="shared" ref="T49:T54" si="42">Q49+(V49-Q49)*(COLUMN(T49)-COLUMN(Q49))/(COLUMN(V49)-COLUMN(Q49))</f>
        <v>1.745958514262199E-2</v>
      </c>
      <c r="U49" s="1929">
        <f t="shared" ref="U49:U54" si="43">Q49+(V49-Q49)*(COLUMN(U49)-COLUMN(Q49))/(COLUMN(V49)-COLUMN(Q49))</f>
        <v>1.8077504228322078E-2</v>
      </c>
      <c r="V49" s="1928">
        <v>1.8695423314022162E-2</v>
      </c>
      <c r="W49" s="1929">
        <f t="shared" ref="W49:W54" si="44">V49+(AA49-V49)*(COLUMN(W49)-COLUMN(V49))/(COLUMN(AA49)-COLUMN(V49))</f>
        <v>1.8994323177420114E-2</v>
      </c>
      <c r="X49" s="1929">
        <f t="shared" ref="X49:X54" si="45">V49+(AA49-V49)*(COLUMN(X49)-COLUMN(V49))/(COLUMN(AA49)-COLUMN(V49))</f>
        <v>1.9293223040818062E-2</v>
      </c>
      <c r="Y49" s="1929">
        <f t="shared" ref="Y49:Y54" si="46">V49+(AA49-V49)*(COLUMN(Y49)-COLUMN(V49))/(COLUMN(AA49)-COLUMN(V49))</f>
        <v>1.9592122904216015E-2</v>
      </c>
      <c r="Z49" s="1929">
        <f t="shared" ref="Z49:Z54" si="47">V49+(AA49-V49)*(COLUMN(Z49)-COLUMN(V49))/(COLUMN(AA49)-COLUMN(V49))</f>
        <v>1.9891022767613963E-2</v>
      </c>
      <c r="AA49" s="1928">
        <v>2.0189922631011915E-2</v>
      </c>
      <c r="AB49" s="1929">
        <f t="shared" ref="AB49:AB54" si="48">AA49+(AF49-AA49)*(COLUMN(AB49)-COLUMN(AA49))/(COLUMN(AF49)-COLUMN(AA49))</f>
        <v>2.0302426826349258E-2</v>
      </c>
      <c r="AC49" s="1929">
        <f t="shared" ref="AC49:AC54" si="49">AA49+(AF49-AA49)*(COLUMN(AC49)-COLUMN(AA49))/(COLUMN(AF49)-COLUMN(AA49))</f>
        <v>2.0414931021686598E-2</v>
      </c>
      <c r="AD49" s="1929">
        <f t="shared" ref="AD49:AD54" si="50">AA49+(AF49-AA49)*(COLUMN(AD49)-COLUMN(AA49))/(COLUMN(AF49)-COLUMN(AA49))</f>
        <v>2.0527435217023941E-2</v>
      </c>
      <c r="AE49" s="1929">
        <f t="shared" ref="AE49:AE54" si="51">AA49+(AF49-AA49)*(COLUMN(AE49)-COLUMN(AA49))/(COLUMN(AF49)-COLUMN(AA49))</f>
        <v>2.063993941236128E-2</v>
      </c>
      <c r="AF49" s="1930">
        <v>2.0752443607698623E-2</v>
      </c>
      <c r="AH49" s="1448"/>
      <c r="AI49" s="1448"/>
      <c r="AJ49" s="1448"/>
      <c r="AK49" s="1448"/>
      <c r="AL49" s="1448"/>
      <c r="AM49" s="1448"/>
      <c r="AO49" s="1448"/>
      <c r="AP49" s="1448"/>
      <c r="AQ49" s="1448"/>
      <c r="AR49" s="1448"/>
      <c r="AS49" s="1448"/>
      <c r="AT49" s="1448"/>
      <c r="AV49" s="1448"/>
      <c r="AW49" s="1448"/>
      <c r="AX49" s="1448"/>
      <c r="AY49" s="1448"/>
      <c r="AZ49" s="1448"/>
      <c r="BA49" s="1448"/>
      <c r="BC49" s="1448"/>
      <c r="BD49" s="1448"/>
      <c r="BE49" s="1448"/>
      <c r="BF49" s="1448"/>
      <c r="BG49" s="1448"/>
      <c r="BH49" s="1448"/>
    </row>
    <row r="50" spans="1:60" x14ac:dyDescent="0.45">
      <c r="A50" s="768" t="s">
        <v>113</v>
      </c>
      <c r="B50" s="1928">
        <v>2.4786228463300326E-2</v>
      </c>
      <c r="C50" s="1929">
        <f t="shared" si="29"/>
        <v>2.3585788230133072E-2</v>
      </c>
      <c r="D50" s="1929">
        <v>2.1784935584884736E-2</v>
      </c>
      <c r="E50" s="1929">
        <f t="shared" si="30"/>
        <v>2.1184907763798562E-2</v>
      </c>
      <c r="F50" s="1929">
        <f t="shared" si="31"/>
        <v>1.9984467530631309E-2</v>
      </c>
      <c r="G50" s="1928">
        <v>1.8784027297464052E-2</v>
      </c>
      <c r="H50" s="1929">
        <f t="shared" si="32"/>
        <v>1.7324924658225986E-2</v>
      </c>
      <c r="I50" s="1929">
        <f t="shared" si="33"/>
        <v>1.5865822018987921E-2</v>
      </c>
      <c r="J50" s="1929">
        <f t="shared" si="34"/>
        <v>1.4406719379749855E-2</v>
      </c>
      <c r="K50" s="1929">
        <f t="shared" si="35"/>
        <v>1.2947616740511789E-2</v>
      </c>
      <c r="L50" s="1928">
        <v>1.1488514101273724E-2</v>
      </c>
      <c r="M50" s="1929">
        <f t="shared" si="36"/>
        <v>9.968346269234216E-3</v>
      </c>
      <c r="N50" s="1929">
        <f t="shared" si="37"/>
        <v>8.4481784371947082E-3</v>
      </c>
      <c r="O50" s="1929">
        <f t="shared" si="38"/>
        <v>6.9280106051552003E-3</v>
      </c>
      <c r="P50" s="1929">
        <f t="shared" si="39"/>
        <v>5.4078427731156925E-3</v>
      </c>
      <c r="Q50" s="1928">
        <v>3.8876749410761847E-3</v>
      </c>
      <c r="R50" s="1929">
        <f t="shared" si="40"/>
        <v>3.4077409728216698E-3</v>
      </c>
      <c r="S50" s="1929">
        <f t="shared" si="41"/>
        <v>2.9278070045671545E-3</v>
      </c>
      <c r="T50" s="1929">
        <f t="shared" si="42"/>
        <v>2.4478730363126397E-3</v>
      </c>
      <c r="U50" s="1929">
        <f t="shared" si="43"/>
        <v>1.9679390680581244E-3</v>
      </c>
      <c r="V50" s="1928">
        <v>1.4880050998036097E-3</v>
      </c>
      <c r="W50" s="1929">
        <f t="shared" si="44"/>
        <v>1.3068714130134568E-3</v>
      </c>
      <c r="X50" s="1929">
        <f t="shared" si="45"/>
        <v>1.1257377262233039E-3</v>
      </c>
      <c r="Y50" s="1929">
        <f t="shared" si="46"/>
        <v>9.446040394331509E-4</v>
      </c>
      <c r="Z50" s="1929">
        <f t="shared" si="47"/>
        <v>7.6347035264299795E-4</v>
      </c>
      <c r="AA50" s="1928">
        <v>5.82336665852845E-4</v>
      </c>
      <c r="AB50" s="1929">
        <f t="shared" si="48"/>
        <v>4.6586933268227598E-4</v>
      </c>
      <c r="AC50" s="1929">
        <f t="shared" si="49"/>
        <v>3.4940199951170701E-4</v>
      </c>
      <c r="AD50" s="1929">
        <f t="shared" si="50"/>
        <v>2.3293466634113799E-4</v>
      </c>
      <c r="AE50" s="1929">
        <f t="shared" si="51"/>
        <v>1.1646733317056902E-4</v>
      </c>
      <c r="AF50" s="1930">
        <v>0</v>
      </c>
      <c r="AH50" s="1448"/>
      <c r="AI50" s="1448"/>
      <c r="AJ50" s="1448"/>
      <c r="AK50" s="1448"/>
      <c r="AL50" s="1448"/>
      <c r="AM50" s="1448"/>
      <c r="AO50" s="1448"/>
      <c r="AP50" s="1448"/>
      <c r="AQ50" s="1448"/>
      <c r="AR50" s="1448"/>
      <c r="AS50" s="1448"/>
      <c r="AT50" s="1448"/>
      <c r="AV50" s="1448"/>
      <c r="AW50" s="1448"/>
      <c r="AX50" s="1448"/>
      <c r="AY50" s="1448"/>
      <c r="AZ50" s="1448"/>
      <c r="BA50" s="1448"/>
      <c r="BC50" s="1448"/>
      <c r="BD50" s="1448"/>
      <c r="BE50" s="1448"/>
      <c r="BF50" s="1448"/>
      <c r="BG50" s="1448"/>
      <c r="BH50" s="1448"/>
    </row>
    <row r="51" spans="1:60" x14ac:dyDescent="0.45">
      <c r="A51" s="768" t="s">
        <v>114</v>
      </c>
      <c r="B51" s="1928">
        <v>0.72705457895591841</v>
      </c>
      <c r="C51" s="1929">
        <f t="shared" si="29"/>
        <v>0.70515264337354699</v>
      </c>
      <c r="D51" s="1929">
        <v>0.67655568667552957</v>
      </c>
      <c r="E51" s="1929">
        <f t="shared" si="30"/>
        <v>0.66134877220880417</v>
      </c>
      <c r="F51" s="1929">
        <f t="shared" si="31"/>
        <v>0.63944683662643276</v>
      </c>
      <c r="G51" s="1928">
        <v>0.61754490104406135</v>
      </c>
      <c r="H51" s="1929">
        <f t="shared" si="32"/>
        <v>0.59665790254343587</v>
      </c>
      <c r="I51" s="1929">
        <f t="shared" si="33"/>
        <v>0.57577090404281039</v>
      </c>
      <c r="J51" s="1929">
        <f t="shared" si="34"/>
        <v>0.55488390554218503</v>
      </c>
      <c r="K51" s="1929">
        <f t="shared" si="35"/>
        <v>0.53399690704155955</v>
      </c>
      <c r="L51" s="1928">
        <v>0.51310990854093408</v>
      </c>
      <c r="M51" s="1929">
        <f t="shared" si="36"/>
        <v>0.494469016097425</v>
      </c>
      <c r="N51" s="1929">
        <f t="shared" si="37"/>
        <v>0.47582812365391591</v>
      </c>
      <c r="O51" s="1929">
        <f t="shared" si="38"/>
        <v>0.45718723121040689</v>
      </c>
      <c r="P51" s="1929">
        <f t="shared" si="39"/>
        <v>0.4385463387668978</v>
      </c>
      <c r="Q51" s="1928">
        <v>0.41990544632338872</v>
      </c>
      <c r="R51" s="1929">
        <f t="shared" si="40"/>
        <v>0.40476348198075623</v>
      </c>
      <c r="S51" s="1929">
        <f t="shared" si="41"/>
        <v>0.38962151763812375</v>
      </c>
      <c r="T51" s="1929">
        <f t="shared" si="42"/>
        <v>0.37447955329549121</v>
      </c>
      <c r="U51" s="1929">
        <f t="shared" si="43"/>
        <v>0.35933758895285872</v>
      </c>
      <c r="V51" s="1928">
        <v>0.34419562461022624</v>
      </c>
      <c r="W51" s="1929">
        <f t="shared" si="44"/>
        <v>0.33149110432546347</v>
      </c>
      <c r="X51" s="1929">
        <f t="shared" si="45"/>
        <v>0.31878658404070076</v>
      </c>
      <c r="Y51" s="1929">
        <f t="shared" si="46"/>
        <v>0.30608206375593799</v>
      </c>
      <c r="Z51" s="1929">
        <f t="shared" si="47"/>
        <v>0.29337754347117528</v>
      </c>
      <c r="AA51" s="1928">
        <v>0.28067302318641252</v>
      </c>
      <c r="AB51" s="1929">
        <f t="shared" si="48"/>
        <v>0.2666996891779751</v>
      </c>
      <c r="AC51" s="1929">
        <f t="shared" si="49"/>
        <v>0.25272635516953768</v>
      </c>
      <c r="AD51" s="1929">
        <f t="shared" si="50"/>
        <v>0.23875302116110025</v>
      </c>
      <c r="AE51" s="1929">
        <f t="shared" si="51"/>
        <v>0.22477968715266283</v>
      </c>
      <c r="AF51" s="1930">
        <v>0.21080635314422541</v>
      </c>
      <c r="AH51" s="1448"/>
      <c r="AI51" s="1448"/>
      <c r="AJ51" s="1448"/>
      <c r="AK51" s="1448"/>
      <c r="AL51" s="1448"/>
      <c r="AM51" s="1448"/>
      <c r="AO51" s="1448"/>
      <c r="AP51" s="1448"/>
      <c r="AQ51" s="1448"/>
      <c r="AR51" s="1448"/>
      <c r="AS51" s="1448"/>
      <c r="AT51" s="1448"/>
      <c r="AV51" s="1448"/>
      <c r="AW51" s="1448"/>
      <c r="AX51" s="1448"/>
      <c r="AY51" s="1448"/>
      <c r="AZ51" s="1448"/>
      <c r="BA51" s="1448"/>
      <c r="BC51" s="1448"/>
      <c r="BD51" s="1448"/>
      <c r="BE51" s="1448"/>
      <c r="BF51" s="1448"/>
      <c r="BG51" s="1448"/>
      <c r="BH51" s="1448"/>
    </row>
    <row r="52" spans="1:60" x14ac:dyDescent="0.45">
      <c r="A52" s="768" t="s">
        <v>115</v>
      </c>
      <c r="B52" s="1928">
        <v>3.4347831172193803E-2</v>
      </c>
      <c r="C52" s="1929">
        <f t="shared" si="29"/>
        <v>3.7944809096538287E-2</v>
      </c>
      <c r="D52" s="1929">
        <v>4.3106050071005493E-2</v>
      </c>
      <c r="E52" s="1929">
        <f t="shared" si="30"/>
        <v>4.5138764945227262E-2</v>
      </c>
      <c r="F52" s="1929">
        <f t="shared" si="31"/>
        <v>4.8735742869571747E-2</v>
      </c>
      <c r="G52" s="1928">
        <v>5.2332720793916238E-2</v>
      </c>
      <c r="H52" s="1929">
        <f t="shared" si="32"/>
        <v>5.3201612497131644E-2</v>
      </c>
      <c r="I52" s="1929">
        <f t="shared" si="33"/>
        <v>5.407050420034705E-2</v>
      </c>
      <c r="J52" s="1929">
        <f t="shared" si="34"/>
        <v>5.4939395903562463E-2</v>
      </c>
      <c r="K52" s="1929">
        <f t="shared" si="35"/>
        <v>5.5808287606777869E-2</v>
      </c>
      <c r="L52" s="1928">
        <v>5.6677179309993275E-2</v>
      </c>
      <c r="M52" s="1929">
        <f t="shared" si="36"/>
        <v>5.7326653561920682E-2</v>
      </c>
      <c r="N52" s="1929">
        <f t="shared" si="37"/>
        <v>5.7976127813848088E-2</v>
      </c>
      <c r="O52" s="1929">
        <f t="shared" si="38"/>
        <v>5.8625602065775495E-2</v>
      </c>
      <c r="P52" s="1929">
        <f t="shared" si="39"/>
        <v>5.9275076317702902E-2</v>
      </c>
      <c r="Q52" s="1928">
        <v>5.9924550569630308E-2</v>
      </c>
      <c r="R52" s="1929">
        <f t="shared" si="40"/>
        <v>6.0900328914954518E-2</v>
      </c>
      <c r="S52" s="1929">
        <f t="shared" si="41"/>
        <v>6.1876107260278729E-2</v>
      </c>
      <c r="T52" s="1929">
        <f t="shared" si="42"/>
        <v>6.2851885605602939E-2</v>
      </c>
      <c r="U52" s="1929">
        <f t="shared" si="43"/>
        <v>6.3827663950927149E-2</v>
      </c>
      <c r="V52" s="1928">
        <v>6.480344229625136E-2</v>
      </c>
      <c r="W52" s="1929">
        <f t="shared" si="44"/>
        <v>6.5133491477530073E-2</v>
      </c>
      <c r="X52" s="1929">
        <f t="shared" si="45"/>
        <v>6.5463540658808786E-2</v>
      </c>
      <c r="Y52" s="1929">
        <f t="shared" si="46"/>
        <v>6.5793589840087485E-2</v>
      </c>
      <c r="Z52" s="1929">
        <f t="shared" si="47"/>
        <v>6.6123639021366198E-2</v>
      </c>
      <c r="AA52" s="1928">
        <v>6.6453688202644912E-2</v>
      </c>
      <c r="AB52" s="1929">
        <f t="shared" si="48"/>
        <v>6.6128286758925722E-2</v>
      </c>
      <c r="AC52" s="1929">
        <f t="shared" si="49"/>
        <v>6.5802885315206547E-2</v>
      </c>
      <c r="AD52" s="1929">
        <f t="shared" si="50"/>
        <v>6.5477483871487357E-2</v>
      </c>
      <c r="AE52" s="1929">
        <f t="shared" si="51"/>
        <v>6.5152082427768182E-2</v>
      </c>
      <c r="AF52" s="1930">
        <v>6.4826680984048993E-2</v>
      </c>
      <c r="AH52" s="1448"/>
      <c r="AI52" s="1448"/>
      <c r="AJ52" s="1448"/>
      <c r="AK52" s="1448"/>
      <c r="AL52" s="1448"/>
      <c r="AM52" s="1448"/>
      <c r="AO52" s="1448"/>
      <c r="AP52" s="1448"/>
      <c r="AQ52" s="1448"/>
      <c r="AR52" s="1448"/>
      <c r="AS52" s="1448"/>
      <c r="AT52" s="1448"/>
      <c r="AV52" s="1448"/>
      <c r="AW52" s="1448"/>
      <c r="AX52" s="1448"/>
      <c r="AY52" s="1448"/>
      <c r="AZ52" s="1448"/>
      <c r="BA52" s="1448"/>
      <c r="BC52" s="1448"/>
      <c r="BD52" s="1448"/>
      <c r="BE52" s="1448"/>
      <c r="BF52" s="1448"/>
      <c r="BG52" s="1448"/>
      <c r="BH52" s="1448"/>
    </row>
    <row r="53" spans="1:60" x14ac:dyDescent="0.45">
      <c r="A53" s="768" t="s">
        <v>116</v>
      </c>
      <c r="B53" s="1928">
        <v>1.7504398632274241E-2</v>
      </c>
      <c r="C53" s="1929">
        <f t="shared" si="29"/>
        <v>1.7327408026237813E-2</v>
      </c>
      <c r="D53" s="1929">
        <v>1.6078556676485049E-2</v>
      </c>
      <c r="E53" s="1929">
        <f t="shared" si="30"/>
        <v>1.6973426814164961E-2</v>
      </c>
      <c r="F53" s="1929">
        <f t="shared" si="31"/>
        <v>1.6796436208128537E-2</v>
      </c>
      <c r="G53" s="1928">
        <v>1.6619445602092109E-2</v>
      </c>
      <c r="H53" s="1929">
        <f t="shared" si="32"/>
        <v>1.6470588916556349E-2</v>
      </c>
      <c r="I53" s="1929">
        <f t="shared" si="33"/>
        <v>1.632173223102059E-2</v>
      </c>
      <c r="J53" s="1929">
        <f t="shared" si="34"/>
        <v>1.6172875545484827E-2</v>
      </c>
      <c r="K53" s="1929">
        <f t="shared" si="35"/>
        <v>1.6024018859949068E-2</v>
      </c>
      <c r="L53" s="1928">
        <v>1.5875162174413308E-2</v>
      </c>
      <c r="M53" s="1929">
        <f t="shared" si="36"/>
        <v>1.5643648679925577E-2</v>
      </c>
      <c r="N53" s="1929">
        <f t="shared" si="37"/>
        <v>1.5412135185437848E-2</v>
      </c>
      <c r="O53" s="1929">
        <f t="shared" si="38"/>
        <v>1.5180621690950118E-2</v>
      </c>
      <c r="P53" s="1929">
        <f t="shared" si="39"/>
        <v>1.4949108196462387E-2</v>
      </c>
      <c r="Q53" s="1928">
        <v>1.4717594701974658E-2</v>
      </c>
      <c r="R53" s="1929">
        <f t="shared" si="40"/>
        <v>1.4584516073876607E-2</v>
      </c>
      <c r="S53" s="1929">
        <f t="shared" si="41"/>
        <v>1.4451437445778557E-2</v>
      </c>
      <c r="T53" s="1929">
        <f t="shared" si="42"/>
        <v>1.4318358817680506E-2</v>
      </c>
      <c r="U53" s="1929">
        <f t="shared" si="43"/>
        <v>1.4185280189582457E-2</v>
      </c>
      <c r="V53" s="1928">
        <v>1.4052201561484406E-2</v>
      </c>
      <c r="W53" s="1929">
        <f t="shared" si="44"/>
        <v>1.3957192453136355E-2</v>
      </c>
      <c r="X53" s="1929">
        <f t="shared" si="45"/>
        <v>1.3862183344788304E-2</v>
      </c>
      <c r="Y53" s="1929">
        <f t="shared" si="46"/>
        <v>1.3767174236440251E-2</v>
      </c>
      <c r="Z53" s="1929">
        <f t="shared" si="47"/>
        <v>1.36721651280922E-2</v>
      </c>
      <c r="AA53" s="1928">
        <v>1.3577156019744149E-2</v>
      </c>
      <c r="AB53" s="1929">
        <f t="shared" si="48"/>
        <v>1.3433758357530424E-2</v>
      </c>
      <c r="AC53" s="1929">
        <f t="shared" si="49"/>
        <v>1.3290360695316701E-2</v>
      </c>
      <c r="AD53" s="1929">
        <f t="shared" si="50"/>
        <v>1.3146963033102976E-2</v>
      </c>
      <c r="AE53" s="1929">
        <f t="shared" si="51"/>
        <v>1.3003565370889253E-2</v>
      </c>
      <c r="AF53" s="1930">
        <v>1.2860167708675528E-2</v>
      </c>
      <c r="AH53" s="1448"/>
      <c r="AI53" s="1448"/>
      <c r="AJ53" s="1448"/>
      <c r="AK53" s="1448"/>
      <c r="AL53" s="1448"/>
      <c r="AM53" s="1448"/>
      <c r="AO53" s="1448"/>
      <c r="AP53" s="1448"/>
      <c r="AQ53" s="1448"/>
      <c r="AR53" s="1448"/>
      <c r="AS53" s="1448"/>
      <c r="AT53" s="1448"/>
      <c r="AV53" s="1448"/>
      <c r="AW53" s="1448"/>
      <c r="AX53" s="1448"/>
      <c r="AY53" s="1448"/>
      <c r="AZ53" s="1448"/>
      <c r="BA53" s="1448"/>
      <c r="BC53" s="1448"/>
      <c r="BD53" s="1448"/>
      <c r="BE53" s="1448"/>
      <c r="BF53" s="1448"/>
      <c r="BG53" s="1448"/>
      <c r="BH53" s="1448"/>
    </row>
    <row r="54" spans="1:60" x14ac:dyDescent="0.45">
      <c r="A54" s="755" t="s">
        <v>117</v>
      </c>
      <c r="B54" s="1931">
        <v>0.19126569597021809</v>
      </c>
      <c r="C54" s="1932">
        <f t="shared" si="29"/>
        <v>0.21084658076089033</v>
      </c>
      <c r="D54" s="1932">
        <v>0.23939928225986015</v>
      </c>
      <c r="E54" s="1932">
        <f t="shared" si="30"/>
        <v>0.25000835034223484</v>
      </c>
      <c r="F54" s="1932">
        <f t="shared" si="31"/>
        <v>0.26958923513290711</v>
      </c>
      <c r="G54" s="1931">
        <v>0.28917011992357933</v>
      </c>
      <c r="H54" s="1932">
        <f t="shared" si="32"/>
        <v>0.30982961583357349</v>
      </c>
      <c r="I54" s="1932">
        <f t="shared" si="33"/>
        <v>0.33048911174356765</v>
      </c>
      <c r="J54" s="1932">
        <f t="shared" si="34"/>
        <v>0.35114860765356187</v>
      </c>
      <c r="K54" s="1932">
        <f t="shared" si="35"/>
        <v>0.37180810356355604</v>
      </c>
      <c r="L54" s="1931">
        <v>0.3924675994735502</v>
      </c>
      <c r="M54" s="1932">
        <f t="shared" si="36"/>
        <v>0.41116586069452188</v>
      </c>
      <c r="N54" s="1932">
        <f t="shared" si="37"/>
        <v>0.4298641219154935</v>
      </c>
      <c r="O54" s="1932">
        <f t="shared" si="38"/>
        <v>0.44856238313646518</v>
      </c>
      <c r="P54" s="1932">
        <f t="shared" si="39"/>
        <v>0.46726064435743686</v>
      </c>
      <c r="Q54" s="1931">
        <v>0.48595890557840848</v>
      </c>
      <c r="R54" s="1932">
        <f t="shared" si="40"/>
        <v>0.50012018508636924</v>
      </c>
      <c r="S54" s="1932">
        <f t="shared" si="41"/>
        <v>0.51428146459433</v>
      </c>
      <c r="T54" s="1932">
        <f t="shared" si="42"/>
        <v>0.52844274410229075</v>
      </c>
      <c r="U54" s="1932">
        <f t="shared" si="43"/>
        <v>0.54260402361025151</v>
      </c>
      <c r="V54" s="1931">
        <v>0.55676530311821226</v>
      </c>
      <c r="W54" s="1932">
        <f t="shared" si="44"/>
        <v>0.56911701715343654</v>
      </c>
      <c r="X54" s="1932">
        <f t="shared" si="45"/>
        <v>0.58146873118866083</v>
      </c>
      <c r="Y54" s="1932">
        <f t="shared" si="46"/>
        <v>0.59382044522388522</v>
      </c>
      <c r="Z54" s="1932">
        <f t="shared" si="47"/>
        <v>0.6061721592591095</v>
      </c>
      <c r="AA54" s="1931">
        <v>0.61852387329433378</v>
      </c>
      <c r="AB54" s="1932">
        <f t="shared" si="48"/>
        <v>0.63296996954653728</v>
      </c>
      <c r="AC54" s="1932">
        <f t="shared" si="49"/>
        <v>0.64741606579874078</v>
      </c>
      <c r="AD54" s="1932">
        <f t="shared" si="50"/>
        <v>0.66186216205094417</v>
      </c>
      <c r="AE54" s="1932">
        <f t="shared" si="51"/>
        <v>0.67630825830314767</v>
      </c>
      <c r="AF54" s="1933">
        <v>0.69075435455535117</v>
      </c>
      <c r="AH54" s="1448"/>
      <c r="AI54" s="1448"/>
      <c r="AJ54" s="1448"/>
      <c r="AK54" s="1448"/>
      <c r="AL54" s="1448"/>
      <c r="AM54" s="1448"/>
      <c r="AO54" s="1448"/>
      <c r="AP54" s="1448"/>
      <c r="AQ54" s="1448"/>
      <c r="AR54" s="1448"/>
      <c r="AS54" s="1448"/>
      <c r="AT54" s="1448"/>
      <c r="AV54" s="1448"/>
      <c r="AW54" s="1448"/>
      <c r="AX54" s="1448"/>
      <c r="AY54" s="1448"/>
      <c r="AZ54" s="1448"/>
      <c r="BA54" s="1448"/>
      <c r="BC54" s="1448"/>
      <c r="BD54" s="1448"/>
      <c r="BE54" s="1448"/>
      <c r="BF54" s="1448"/>
      <c r="BG54" s="1448"/>
      <c r="BH54" s="1448"/>
    </row>
    <row r="56" spans="1:60" x14ac:dyDescent="0.45">
      <c r="A56" s="5" t="s">
        <v>62</v>
      </c>
      <c r="B56" s="1449">
        <f>SUM(B49:B54)</f>
        <v>0.99999999999999978</v>
      </c>
      <c r="C56" s="1449"/>
      <c r="D56" s="1449"/>
      <c r="E56" s="1449"/>
      <c r="F56" s="1449"/>
      <c r="G56" s="1449">
        <f>SUM(G49:G54)</f>
        <v>1</v>
      </c>
      <c r="H56" s="1449"/>
      <c r="I56" s="1449"/>
      <c r="J56" s="1449"/>
      <c r="K56" s="1449"/>
      <c r="L56" s="1449">
        <f>SUM(L49:L54)</f>
        <v>1</v>
      </c>
      <c r="M56" s="1449"/>
      <c r="N56" s="1449"/>
      <c r="O56" s="1449"/>
      <c r="P56" s="1449"/>
      <c r="Q56" s="1449">
        <f>SUM(Q49:Q54)</f>
        <v>1</v>
      </c>
      <c r="R56" s="1449"/>
      <c r="S56" s="1449"/>
      <c r="T56" s="1449"/>
      <c r="U56" s="1449"/>
      <c r="V56" s="1449">
        <f>SUM(V49:V54)</f>
        <v>1</v>
      </c>
      <c r="W56" s="1449"/>
      <c r="X56" s="1449"/>
      <c r="Y56" s="1449"/>
      <c r="Z56" s="1449"/>
      <c r="AA56" s="1449">
        <f>SUM(AA49:AA54)</f>
        <v>1</v>
      </c>
      <c r="AB56" s="1449"/>
      <c r="AC56" s="1449"/>
      <c r="AD56" s="1449"/>
      <c r="AE56" s="1449"/>
      <c r="AF56" s="1449">
        <f>SUM(AF49:AF54)</f>
        <v>0.99999999999999978</v>
      </c>
    </row>
    <row r="57" spans="1:60" x14ac:dyDescent="0.45">
      <c r="A57" s="5" t="s">
        <v>110</v>
      </c>
      <c r="B57" s="2070" t="str">
        <f>IF(B56&lt;&gt;1,"Warning, shares not 100%","")</f>
        <v/>
      </c>
      <c r="C57" s="2070"/>
      <c r="D57" s="2070"/>
      <c r="E57" s="2070"/>
      <c r="F57" s="2070"/>
      <c r="G57" s="2070" t="str">
        <f>IF(G56&lt;&gt;1,"Warning, shares not 100%","")</f>
        <v/>
      </c>
      <c r="H57" s="2070"/>
      <c r="I57" s="2070"/>
      <c r="J57" s="2070"/>
      <c r="K57" s="2070"/>
      <c r="L57" s="2070" t="str">
        <f>IF(L56&lt;&gt;1,"Warning, shares not 100%","")</f>
        <v/>
      </c>
      <c r="M57" s="2070"/>
      <c r="N57" s="2070"/>
      <c r="O57" s="2070"/>
      <c r="P57" s="2070"/>
      <c r="Q57" s="2070" t="str">
        <f>IF(Q56&lt;&gt;1,"Warning, shares not 100%","")</f>
        <v/>
      </c>
      <c r="R57" s="2070"/>
      <c r="S57" s="2070"/>
      <c r="T57" s="2070"/>
      <c r="U57" s="2070"/>
      <c r="V57" s="2070" t="str">
        <f>IF(V56&lt;&gt;1,"Warning, shares not 100%","")</f>
        <v/>
      </c>
      <c r="W57" s="2070"/>
      <c r="X57" s="2070"/>
      <c r="Y57" s="2070"/>
      <c r="Z57" s="2070"/>
      <c r="AA57" s="2070" t="str">
        <f>IF(AA56&lt;&gt;1,"Warning, shares not 100%","")</f>
        <v/>
      </c>
      <c r="AB57" s="2070"/>
      <c r="AC57" s="2070"/>
      <c r="AD57" s="2070"/>
      <c r="AE57" s="2070"/>
      <c r="AF57" s="2070" t="str">
        <f>IF(AF56&lt;&gt;1,"Warning, shares not 100%","")</f>
        <v/>
      </c>
    </row>
    <row r="78" spans="1:60" x14ac:dyDescent="0.45">
      <c r="A78" s="1588" t="s">
        <v>120</v>
      </c>
      <c r="B78" s="1589"/>
      <c r="C78" s="1934" t="s">
        <v>3573</v>
      </c>
      <c r="D78" s="1934"/>
      <c r="E78" s="1510"/>
      <c r="F78" s="1510"/>
      <c r="G78" s="2071"/>
      <c r="H78" s="1510"/>
      <c r="I78" s="1510"/>
      <c r="J78" s="1510"/>
      <c r="K78" s="1510"/>
      <c r="L78" s="1510"/>
      <c r="M78" s="1510"/>
      <c r="N78" s="1510"/>
      <c r="O78" s="1510"/>
      <c r="P78" s="1510"/>
      <c r="Q78" s="1510"/>
      <c r="R78" s="1510"/>
      <c r="S78" s="1510"/>
      <c r="T78" s="1510"/>
      <c r="U78" s="1510"/>
      <c r="V78" s="1510"/>
      <c r="W78" s="1510"/>
      <c r="X78" s="1510"/>
      <c r="Y78" s="1510"/>
      <c r="Z78" s="1510"/>
      <c r="AA78" s="1510"/>
      <c r="AB78" s="1510"/>
      <c r="AC78" s="1510"/>
      <c r="AD78" s="1510"/>
      <c r="AE78" s="1510"/>
      <c r="AF78" s="1511"/>
    </row>
    <row r="79" spans="1:60" x14ac:dyDescent="0.45">
      <c r="A79" s="768"/>
      <c r="AF79" s="769"/>
    </row>
    <row r="80" spans="1:60" x14ac:dyDescent="0.45">
      <c r="A80" s="768"/>
      <c r="B80" s="16">
        <v>2020</v>
      </c>
      <c r="C80" s="16"/>
      <c r="D80" s="16"/>
      <c r="E80" s="16"/>
      <c r="F80" s="16"/>
      <c r="G80" s="16">
        <v>2025</v>
      </c>
      <c r="H80" s="16"/>
      <c r="I80" s="16"/>
      <c r="J80" s="16"/>
      <c r="K80" s="16"/>
      <c r="L80" s="16">
        <v>2030</v>
      </c>
      <c r="M80" s="16"/>
      <c r="N80" s="16"/>
      <c r="O80" s="16"/>
      <c r="P80" s="16"/>
      <c r="Q80" s="16">
        <v>2035</v>
      </c>
      <c r="R80" s="16"/>
      <c r="S80" s="16"/>
      <c r="T80" s="16"/>
      <c r="U80" s="16"/>
      <c r="V80" s="16">
        <v>2040</v>
      </c>
      <c r="W80" s="16"/>
      <c r="X80" s="16"/>
      <c r="Y80" s="16"/>
      <c r="Z80" s="16"/>
      <c r="AA80" s="16">
        <v>2045</v>
      </c>
      <c r="AB80" s="16"/>
      <c r="AC80" s="16"/>
      <c r="AD80" s="16"/>
      <c r="AE80" s="16"/>
      <c r="AF80" s="1927">
        <v>2050</v>
      </c>
      <c r="AH80" s="16"/>
      <c r="AI80" s="16"/>
      <c r="AJ80" s="16"/>
      <c r="AK80" s="16"/>
      <c r="AL80" s="16"/>
      <c r="AM80" s="16"/>
      <c r="AO80" s="16"/>
      <c r="AP80" s="16"/>
      <c r="AQ80" s="16"/>
      <c r="AR80" s="16"/>
      <c r="AS80" s="16"/>
      <c r="AT80" s="16"/>
      <c r="AV80" s="16"/>
      <c r="AW80" s="16"/>
      <c r="AX80" s="16"/>
      <c r="AY80" s="16"/>
      <c r="AZ80" s="16"/>
      <c r="BA80" s="16"/>
      <c r="BC80" s="16"/>
      <c r="BD80" s="16"/>
      <c r="BE80" s="16"/>
      <c r="BF80" s="16"/>
      <c r="BG80" s="16"/>
      <c r="BH80" s="16"/>
    </row>
    <row r="81" spans="1:60" x14ac:dyDescent="0.45">
      <c r="A81" s="768" t="s">
        <v>112</v>
      </c>
      <c r="B81" s="1928">
        <f t="shared" ref="B81:B86" si="52">B49</f>
        <v>5.0412668060949815E-3</v>
      </c>
      <c r="C81" s="1929">
        <f t="shared" ref="C81:C86" si="53">B81+(G81-B81)*(COLUMN(C81)-COLUMN(B81))/(COLUMN(G81)-COLUMN(B81))</f>
        <v>5.2938223478417373E-3</v>
      </c>
      <c r="D81" s="1929">
        <v>4.9639705447100989E-3</v>
      </c>
      <c r="E81" s="1929">
        <f t="shared" ref="E81:E86" si="54">B81+(G81-B81)*(COLUMN(E81)-COLUMN(B81))/(COLUMN(G81)-COLUMN(B81))</f>
        <v>5.7989334313352488E-3</v>
      </c>
      <c r="F81" s="1929">
        <f t="shared" ref="F81:F86" si="55">B81+(G81-B81)*(COLUMN(F81)-COLUMN(B81))/(COLUMN(G81)-COLUMN(B81))</f>
        <v>6.0514889730820046E-3</v>
      </c>
      <c r="G81" s="1928">
        <v>6.3040445148287603E-3</v>
      </c>
      <c r="H81" s="1929">
        <f t="shared" ref="H81:H86" si="56">G81+(L81-G81)*(COLUMN(H81)-COLUMN(G81))/(COLUMN(L81)-COLUMN(G81))</f>
        <v>7.1580533004162563E-3</v>
      </c>
      <c r="I81" s="1929">
        <f t="shared" ref="I81:I86" si="57">G81+(L81-G81)*(COLUMN(I81)-COLUMN(G81))/(COLUMN(L81)-COLUMN(G81))</f>
        <v>8.0120620860037513E-3</v>
      </c>
      <c r="J81" s="1929">
        <f t="shared" ref="J81:J86" si="58">G81+(L81-G81)*(COLUMN(J81)-COLUMN(G81))/(COLUMN(L81)-COLUMN(G81))</f>
        <v>8.8660708715912473E-3</v>
      </c>
      <c r="K81" s="1929">
        <f t="shared" ref="K81:K86" si="59">G81+(L81-G81)*(COLUMN(K81)-COLUMN(G81))/(COLUMN(L81)-COLUMN(G81))</f>
        <v>9.7200796571787432E-3</v>
      </c>
      <c r="L81" s="1928">
        <v>1.0574088442766239E-2</v>
      </c>
      <c r="M81" s="1929">
        <f t="shared" ref="M81:M86" si="60">L81+(Q81-L81)*(COLUMN(M81)-COLUMN(L81))/(COLUMN(Q81)-COLUMN(L81))</f>
        <v>1.1581420648852793E-2</v>
      </c>
      <c r="N81" s="1929">
        <f t="shared" ref="N81:N86" si="61">L81+(Q81-L81)*(COLUMN(N81)-COLUMN(L81))/(COLUMN(Q81)-COLUMN(L81))</f>
        <v>1.2588752854939347E-2</v>
      </c>
      <c r="O81" s="1929">
        <f t="shared" ref="O81:O86" si="62">L81+(Q81-L81)*(COLUMN(O81)-COLUMN(L81))/(COLUMN(Q81)-COLUMN(L81))</f>
        <v>1.35960850610259E-2</v>
      </c>
      <c r="P81" s="1929">
        <f t="shared" ref="P81:P86" si="63">L81+(Q81-L81)*(COLUMN(P81)-COLUMN(L81))/(COLUMN(Q81)-COLUMN(L81))</f>
        <v>1.4603417267112454E-2</v>
      </c>
      <c r="Q81" s="1928">
        <v>1.5610749473199008E-2</v>
      </c>
      <c r="R81" s="1929">
        <f t="shared" ref="R81:R86" si="64">Q81+(V81-Q81)*(COLUMN(R81)-COLUMN(Q81))/(COLUMN(V81)-COLUMN(Q81))</f>
        <v>1.6408979114353732E-2</v>
      </c>
      <c r="S81" s="1929">
        <f t="shared" ref="S81:S86" si="65">Q81+(V81-Q81)*(COLUMN(S81)-COLUMN(Q81))/(COLUMN(V81)-COLUMN(Q81))</f>
        <v>1.7207208755508456E-2</v>
      </c>
      <c r="T81" s="1929">
        <f t="shared" ref="T81:T86" si="66">Q81+(V81-Q81)*(COLUMN(T81)-COLUMN(Q81))/(COLUMN(V81)-COLUMN(Q81))</f>
        <v>1.8005438396663177E-2</v>
      </c>
      <c r="U81" s="1929">
        <f t="shared" ref="U81:U86" si="67">Q81+(V81-Q81)*(COLUMN(U81)-COLUMN(Q81))/(COLUMN(V81)-COLUMN(Q81))</f>
        <v>1.8803668037817901E-2</v>
      </c>
      <c r="V81" s="1928">
        <v>1.9601897678972625E-2</v>
      </c>
      <c r="W81" s="1929">
        <f t="shared" ref="W81:W86" si="68">V81+(AA81-V81)*(COLUMN(W81)-COLUMN(V81))/(COLUMN(AA81)-COLUMN(V81))</f>
        <v>1.9951441715816066E-2</v>
      </c>
      <c r="X81" s="1929">
        <f t="shared" ref="X81:X86" si="69">V81+(AA81-V81)*(COLUMN(X81)-COLUMN(V81))/(COLUMN(AA81)-COLUMN(V81))</f>
        <v>2.0300985752659508E-2</v>
      </c>
      <c r="Y81" s="1929">
        <f t="shared" ref="Y81:Y86" si="70">V81+(AA81-V81)*(COLUMN(Y81)-COLUMN(V81))/(COLUMN(AA81)-COLUMN(V81))</f>
        <v>2.065052978950295E-2</v>
      </c>
      <c r="Z81" s="1929">
        <f t="shared" ref="Z81:Z86" si="71">V81+(AA81-V81)*(COLUMN(Z81)-COLUMN(V81))/(COLUMN(AA81)-COLUMN(V81))</f>
        <v>2.1000073826346392E-2</v>
      </c>
      <c r="AA81" s="1928">
        <v>2.1349617863189833E-2</v>
      </c>
      <c r="AB81" s="1929">
        <f t="shared" ref="AB81:AB86" si="72">AA81+(AF81-AA81)*(COLUMN(AB81)-COLUMN(AA81))/(COLUMN(AF81)-COLUMN(AA81))</f>
        <v>2.1008712054910849E-2</v>
      </c>
      <c r="AC81" s="1929">
        <f t="shared" ref="AC81:AC86" si="73">AA81+(AF81-AA81)*(COLUMN(AC81)-COLUMN(AA81))/(COLUMN(AF81)-COLUMN(AA81))</f>
        <v>2.0667806246631861E-2</v>
      </c>
      <c r="AD81" s="1929">
        <f t="shared" ref="AD81:AD86" si="74">AA81+(AF81-AA81)*(COLUMN(AD81)-COLUMN(AA81))/(COLUMN(AF81)-COLUMN(AA81))</f>
        <v>2.0326900438352877E-2</v>
      </c>
      <c r="AE81" s="1929">
        <f t="shared" ref="AE81:AE86" si="75">AA81+(AF81-AA81)*(COLUMN(AE81)-COLUMN(AA81))/(COLUMN(AF81)-COLUMN(AA81))</f>
        <v>1.9985994630073889E-2</v>
      </c>
      <c r="AF81" s="1930">
        <v>1.9645088821794904E-2</v>
      </c>
      <c r="AH81" s="1448"/>
      <c r="AI81" s="1448"/>
      <c r="AJ81" s="1448"/>
      <c r="AK81" s="1448"/>
      <c r="AL81" s="1448"/>
      <c r="AM81" s="1448"/>
      <c r="AO81" s="1448"/>
      <c r="AP81" s="1448"/>
      <c r="AQ81" s="1448"/>
      <c r="AR81" s="1448"/>
      <c r="AS81" s="1448"/>
      <c r="AT81" s="1448"/>
      <c r="AV81" s="1448"/>
      <c r="AW81" s="1448"/>
      <c r="AX81" s="1448"/>
      <c r="AY81" s="1448"/>
      <c r="AZ81" s="1448"/>
      <c r="BA81" s="1448"/>
      <c r="BC81" s="1448"/>
      <c r="BD81" s="1448"/>
      <c r="BE81" s="1448"/>
      <c r="BF81" s="1448"/>
      <c r="BG81" s="1448"/>
      <c r="BH81" s="1448"/>
    </row>
    <row r="82" spans="1:60" x14ac:dyDescent="0.45">
      <c r="A82" s="768" t="s">
        <v>113</v>
      </c>
      <c r="B82" s="1928">
        <f t="shared" si="52"/>
        <v>2.4786228463300326E-2</v>
      </c>
      <c r="C82" s="1929">
        <f t="shared" si="53"/>
        <v>2.2795782545190702E-2</v>
      </c>
      <c r="D82" s="1929">
        <v>2.1967766436985885E-2</v>
      </c>
      <c r="E82" s="1929">
        <f t="shared" si="54"/>
        <v>1.8814890708971452E-2</v>
      </c>
      <c r="F82" s="1929">
        <f t="shared" si="55"/>
        <v>1.6824444790861828E-2</v>
      </c>
      <c r="G82" s="1928">
        <v>1.4833998872752205E-2</v>
      </c>
      <c r="H82" s="1929">
        <f t="shared" si="56"/>
        <v>1.378533722354462E-2</v>
      </c>
      <c r="I82" s="1929">
        <f t="shared" si="57"/>
        <v>1.2736675574337037E-2</v>
      </c>
      <c r="J82" s="1929">
        <f t="shared" si="58"/>
        <v>1.1688013925129453E-2</v>
      </c>
      <c r="K82" s="1929">
        <f t="shared" si="59"/>
        <v>1.063935227592187E-2</v>
      </c>
      <c r="L82" s="1928">
        <v>9.5906906267142853E-3</v>
      </c>
      <c r="M82" s="1929">
        <f t="shared" si="60"/>
        <v>8.8722151728923629E-3</v>
      </c>
      <c r="N82" s="1929">
        <f t="shared" si="61"/>
        <v>8.1537397190704422E-3</v>
      </c>
      <c r="O82" s="1929">
        <f t="shared" si="62"/>
        <v>7.4352642652485207E-3</v>
      </c>
      <c r="P82" s="1929">
        <f t="shared" si="63"/>
        <v>6.7167888114265991E-3</v>
      </c>
      <c r="Q82" s="1928">
        <v>5.9983133576046775E-3</v>
      </c>
      <c r="R82" s="1929">
        <f t="shared" si="64"/>
        <v>5.1120063773469164E-3</v>
      </c>
      <c r="S82" s="1929">
        <f t="shared" si="65"/>
        <v>4.2256993970891561E-3</v>
      </c>
      <c r="T82" s="1929">
        <f t="shared" si="66"/>
        <v>3.3393924168313954E-3</v>
      </c>
      <c r="U82" s="1929">
        <f t="shared" si="67"/>
        <v>2.4530854365736343E-3</v>
      </c>
      <c r="V82" s="1928">
        <v>1.5667784563158733E-3</v>
      </c>
      <c r="W82" s="1929">
        <f t="shared" si="68"/>
        <v>1.2534227650526986E-3</v>
      </c>
      <c r="X82" s="1929">
        <f t="shared" si="69"/>
        <v>9.4006707378952402E-4</v>
      </c>
      <c r="Y82" s="1929">
        <f t="shared" si="70"/>
        <v>6.2671138252634942E-4</v>
      </c>
      <c r="Z82" s="1929">
        <f t="shared" si="71"/>
        <v>3.1335569126317471E-4</v>
      </c>
      <c r="AA82" s="1928">
        <v>0</v>
      </c>
      <c r="AB82" s="1929">
        <f t="shared" si="72"/>
        <v>0</v>
      </c>
      <c r="AC82" s="1929">
        <f t="shared" si="73"/>
        <v>0</v>
      </c>
      <c r="AD82" s="1929">
        <f t="shared" si="74"/>
        <v>0</v>
      </c>
      <c r="AE82" s="1929">
        <f t="shared" si="75"/>
        <v>0</v>
      </c>
      <c r="AF82" s="1930">
        <v>0</v>
      </c>
      <c r="AH82" s="1448"/>
      <c r="AI82" s="1448"/>
      <c r="AJ82" s="1448"/>
      <c r="AK82" s="1448"/>
      <c r="AL82" s="1448"/>
      <c r="AM82" s="1448"/>
      <c r="AO82" s="1448"/>
      <c r="AP82" s="1448"/>
      <c r="AQ82" s="1448"/>
      <c r="AR82" s="1448"/>
      <c r="AS82" s="1448"/>
      <c r="AT82" s="1448"/>
      <c r="AV82" s="1448"/>
      <c r="AW82" s="1448"/>
      <c r="AX82" s="1448"/>
      <c r="AY82" s="1448"/>
      <c r="AZ82" s="1448"/>
      <c r="BA82" s="1448"/>
      <c r="BC82" s="1448"/>
      <c r="BD82" s="1448"/>
      <c r="BE82" s="1448"/>
      <c r="BF82" s="1448"/>
      <c r="BG82" s="1448"/>
      <c r="BH82" s="1448"/>
    </row>
    <row r="83" spans="1:60" x14ac:dyDescent="0.45">
      <c r="A83" s="768" t="s">
        <v>114</v>
      </c>
      <c r="B83" s="1928">
        <f t="shared" si="52"/>
        <v>0.72705457895591841</v>
      </c>
      <c r="C83" s="1929">
        <f t="shared" si="53"/>
        <v>0.69261856085702533</v>
      </c>
      <c r="D83" s="1929">
        <v>0.633240929668068</v>
      </c>
      <c r="E83" s="1929">
        <f t="shared" si="54"/>
        <v>0.6237465246592393</v>
      </c>
      <c r="F83" s="1929">
        <f t="shared" si="55"/>
        <v>0.58931050656034634</v>
      </c>
      <c r="G83" s="1928">
        <v>0.55487448846145326</v>
      </c>
      <c r="H83" s="1929">
        <f t="shared" si="56"/>
        <v>0.5325885110878984</v>
      </c>
      <c r="I83" s="1929">
        <f t="shared" si="57"/>
        <v>0.51030253371434364</v>
      </c>
      <c r="J83" s="1929">
        <f t="shared" si="58"/>
        <v>0.48801655634078878</v>
      </c>
      <c r="K83" s="1929">
        <f t="shared" si="59"/>
        <v>0.46573057896723391</v>
      </c>
      <c r="L83" s="1928">
        <v>0.4434446015936791</v>
      </c>
      <c r="M83" s="1929">
        <f t="shared" si="60"/>
        <v>0.42575244896801356</v>
      </c>
      <c r="N83" s="1929">
        <f t="shared" si="61"/>
        <v>0.40806029634234803</v>
      </c>
      <c r="O83" s="1929">
        <f t="shared" si="62"/>
        <v>0.39036814371668249</v>
      </c>
      <c r="P83" s="1929">
        <f t="shared" si="63"/>
        <v>0.37267599109101696</v>
      </c>
      <c r="Q83" s="1928">
        <v>0.35498383846535142</v>
      </c>
      <c r="R83" s="1929">
        <f t="shared" si="64"/>
        <v>0.33897084015075551</v>
      </c>
      <c r="S83" s="1929">
        <f t="shared" si="65"/>
        <v>0.32295784183615955</v>
      </c>
      <c r="T83" s="1929">
        <f t="shared" si="66"/>
        <v>0.30694484352156365</v>
      </c>
      <c r="U83" s="1929">
        <f t="shared" si="67"/>
        <v>0.29093184520696769</v>
      </c>
      <c r="V83" s="1928">
        <v>0.27491884689237178</v>
      </c>
      <c r="W83" s="1929">
        <f t="shared" si="68"/>
        <v>0.25812905816764925</v>
      </c>
      <c r="X83" s="1929">
        <f t="shared" si="69"/>
        <v>0.24133926944292669</v>
      </c>
      <c r="Y83" s="1929">
        <f t="shared" si="70"/>
        <v>0.22454948071820413</v>
      </c>
      <c r="Z83" s="1929">
        <f t="shared" si="71"/>
        <v>0.2077596919934816</v>
      </c>
      <c r="AA83" s="1928">
        <v>0.19096990326875904</v>
      </c>
      <c r="AB83" s="1929">
        <f t="shared" si="72"/>
        <v>0.17499763518981579</v>
      </c>
      <c r="AC83" s="1929">
        <f t="shared" si="73"/>
        <v>0.15902536711087256</v>
      </c>
      <c r="AD83" s="1929">
        <f t="shared" si="74"/>
        <v>0.14305309903192931</v>
      </c>
      <c r="AE83" s="1929">
        <f t="shared" si="75"/>
        <v>0.12708083095298606</v>
      </c>
      <c r="AF83" s="1930">
        <v>0.11110856287404282</v>
      </c>
      <c r="AH83" s="1448"/>
      <c r="AI83" s="1448"/>
      <c r="AJ83" s="1448"/>
      <c r="AK83" s="1448"/>
      <c r="AL83" s="1448"/>
      <c r="AM83" s="1448"/>
      <c r="AO83" s="1448"/>
      <c r="AP83" s="1448"/>
      <c r="AQ83" s="1448"/>
      <c r="AR83" s="1448"/>
      <c r="AS83" s="1448"/>
      <c r="AT83" s="1448"/>
      <c r="AV83" s="1448"/>
      <c r="AW83" s="1448"/>
      <c r="AX83" s="1448"/>
      <c r="AY83" s="1448"/>
      <c r="AZ83" s="1448"/>
      <c r="BA83" s="1448"/>
      <c r="BC83" s="1448"/>
      <c r="BD83" s="1448"/>
      <c r="BE83" s="1448"/>
      <c r="BF83" s="1448"/>
      <c r="BG83" s="1448"/>
      <c r="BH83" s="1448"/>
    </row>
    <row r="84" spans="1:60" x14ac:dyDescent="0.45">
      <c r="A84" s="768" t="s">
        <v>115</v>
      </c>
      <c r="B84" s="1928">
        <f t="shared" si="52"/>
        <v>3.4347831172193803E-2</v>
      </c>
      <c r="C84" s="1929">
        <f t="shared" si="53"/>
        <v>3.6951795313082389E-2</v>
      </c>
      <c r="D84" s="1929">
        <v>3.8395919221993695E-2</v>
      </c>
      <c r="E84" s="1929">
        <f t="shared" si="54"/>
        <v>4.2159723594859554E-2</v>
      </c>
      <c r="F84" s="1929">
        <f t="shared" si="55"/>
        <v>4.4763687735748139E-2</v>
      </c>
      <c r="G84" s="1928">
        <v>4.7367651876636725E-2</v>
      </c>
      <c r="H84" s="1929">
        <f t="shared" si="56"/>
        <v>4.9524973063974596E-2</v>
      </c>
      <c r="I84" s="1929">
        <f t="shared" si="57"/>
        <v>5.1682294251312468E-2</v>
      </c>
      <c r="J84" s="1929">
        <f t="shared" si="58"/>
        <v>5.3839615438650332E-2</v>
      </c>
      <c r="K84" s="1929">
        <f t="shared" si="59"/>
        <v>5.5996936625988203E-2</v>
      </c>
      <c r="L84" s="1928">
        <v>5.8154257813326074E-2</v>
      </c>
      <c r="M84" s="1929">
        <f t="shared" si="60"/>
        <v>5.9624781484541985E-2</v>
      </c>
      <c r="N84" s="1929">
        <f t="shared" si="61"/>
        <v>6.1095305155757895E-2</v>
      </c>
      <c r="O84" s="1929">
        <f t="shared" si="62"/>
        <v>6.2565828826973799E-2</v>
      </c>
      <c r="P84" s="1929">
        <f t="shared" si="63"/>
        <v>6.4036352498189716E-2</v>
      </c>
      <c r="Q84" s="1928">
        <v>6.550687616940562E-2</v>
      </c>
      <c r="R84" s="1929">
        <f t="shared" si="64"/>
        <v>6.703120834364959E-2</v>
      </c>
      <c r="S84" s="1929">
        <f t="shared" si="65"/>
        <v>6.855554051789356E-2</v>
      </c>
      <c r="T84" s="1929">
        <f t="shared" si="66"/>
        <v>7.0079872692137529E-2</v>
      </c>
      <c r="U84" s="1929">
        <f t="shared" si="67"/>
        <v>7.1604204866381499E-2</v>
      </c>
      <c r="V84" s="1928">
        <v>7.3128537040625469E-2</v>
      </c>
      <c r="W84" s="1929">
        <f t="shared" si="68"/>
        <v>7.4384377492172415E-2</v>
      </c>
      <c r="X84" s="1929">
        <f t="shared" si="69"/>
        <v>7.5640217943719348E-2</v>
      </c>
      <c r="Y84" s="1929">
        <f t="shared" si="70"/>
        <v>7.6896058395266295E-2</v>
      </c>
      <c r="Z84" s="1929">
        <f t="shared" si="71"/>
        <v>7.8151898846813228E-2</v>
      </c>
      <c r="AA84" s="1928">
        <v>7.9407739298360175E-2</v>
      </c>
      <c r="AB84" s="1929">
        <f t="shared" si="72"/>
        <v>7.9966596522081504E-2</v>
      </c>
      <c r="AC84" s="1929">
        <f t="shared" si="73"/>
        <v>8.0525453745802833E-2</v>
      </c>
      <c r="AD84" s="1929">
        <f t="shared" si="74"/>
        <v>8.1084310969524148E-2</v>
      </c>
      <c r="AE84" s="1929">
        <f t="shared" si="75"/>
        <v>8.1643168193245477E-2</v>
      </c>
      <c r="AF84" s="1930">
        <v>8.2202025416966806E-2</v>
      </c>
      <c r="AH84" s="1448"/>
      <c r="AI84" s="1448"/>
      <c r="AJ84" s="1448"/>
      <c r="AK84" s="1448"/>
      <c r="AL84" s="1448"/>
      <c r="AM84" s="1448"/>
      <c r="AO84" s="1448"/>
      <c r="AP84" s="1448"/>
      <c r="AQ84" s="1448"/>
      <c r="AR84" s="1448"/>
      <c r="AS84" s="1448"/>
      <c r="AT84" s="1448"/>
      <c r="AV84" s="1448"/>
      <c r="AW84" s="1448"/>
      <c r="AX84" s="1448"/>
      <c r="AY84" s="1448"/>
      <c r="AZ84" s="1448"/>
      <c r="BA84" s="1448"/>
      <c r="BC84" s="1448"/>
      <c r="BD84" s="1448"/>
      <c r="BE84" s="1448"/>
      <c r="BF84" s="1448"/>
      <c r="BG84" s="1448"/>
      <c r="BH84" s="1448"/>
    </row>
    <row r="85" spans="1:60" x14ac:dyDescent="0.45">
      <c r="A85" s="768" t="s">
        <v>116</v>
      </c>
      <c r="B85" s="1928">
        <f t="shared" si="52"/>
        <v>1.7504398632274241E-2</v>
      </c>
      <c r="C85" s="1929">
        <f t="shared" si="53"/>
        <v>1.7475723063596536E-2</v>
      </c>
      <c r="D85" s="1929">
        <v>1.7431972912727734E-2</v>
      </c>
      <c r="E85" s="1929">
        <f t="shared" si="54"/>
        <v>1.7418371926241124E-2</v>
      </c>
      <c r="F85" s="1929">
        <f t="shared" si="55"/>
        <v>1.7389696357563419E-2</v>
      </c>
      <c r="G85" s="1928">
        <v>1.7361020788885715E-2</v>
      </c>
      <c r="H85" s="1929">
        <f t="shared" si="56"/>
        <v>1.7122706981538581E-2</v>
      </c>
      <c r="I85" s="1929">
        <f t="shared" si="57"/>
        <v>1.6884393174191447E-2</v>
      </c>
      <c r="J85" s="1929">
        <f t="shared" si="58"/>
        <v>1.6646079366844316E-2</v>
      </c>
      <c r="K85" s="1929">
        <f t="shared" si="59"/>
        <v>1.6407765559497182E-2</v>
      </c>
      <c r="L85" s="1928">
        <v>1.6169451752150048E-2</v>
      </c>
      <c r="M85" s="1929">
        <f t="shared" si="60"/>
        <v>1.5880008635484034E-2</v>
      </c>
      <c r="N85" s="1929">
        <f t="shared" si="61"/>
        <v>1.5590565518818017E-2</v>
      </c>
      <c r="O85" s="1929">
        <f t="shared" si="62"/>
        <v>1.5301122402152003E-2</v>
      </c>
      <c r="P85" s="1929">
        <f t="shared" si="63"/>
        <v>1.5011679285485987E-2</v>
      </c>
      <c r="Q85" s="1928">
        <v>1.4722236168819972E-2</v>
      </c>
      <c r="R85" s="1929">
        <f t="shared" si="64"/>
        <v>1.4496389464813297E-2</v>
      </c>
      <c r="S85" s="1929">
        <f t="shared" si="65"/>
        <v>1.4270542760806623E-2</v>
      </c>
      <c r="T85" s="1929">
        <f t="shared" si="66"/>
        <v>1.4044696056799951E-2</v>
      </c>
      <c r="U85" s="1929">
        <f t="shared" si="67"/>
        <v>1.3818849352793277E-2</v>
      </c>
      <c r="V85" s="1928">
        <v>1.3593002648786602E-2</v>
      </c>
      <c r="W85" s="1929">
        <f t="shared" si="68"/>
        <v>1.3381219831897842E-2</v>
      </c>
      <c r="X85" s="1929">
        <f t="shared" si="69"/>
        <v>1.3169437015009082E-2</v>
      </c>
      <c r="Y85" s="1929">
        <f t="shared" si="70"/>
        <v>1.295765419812032E-2</v>
      </c>
      <c r="Z85" s="1929">
        <f t="shared" si="71"/>
        <v>1.2745871381231559E-2</v>
      </c>
      <c r="AA85" s="1928">
        <v>1.2534088564342799E-2</v>
      </c>
      <c r="AB85" s="1929">
        <f t="shared" si="72"/>
        <v>1.2333078765929588E-2</v>
      </c>
      <c r="AC85" s="1929">
        <f t="shared" si="73"/>
        <v>1.2132068967516377E-2</v>
      </c>
      <c r="AD85" s="1929">
        <f t="shared" si="74"/>
        <v>1.1931059169103165E-2</v>
      </c>
      <c r="AE85" s="1929">
        <f t="shared" si="75"/>
        <v>1.1730049370689954E-2</v>
      </c>
      <c r="AF85" s="1930">
        <v>1.1529039572276743E-2</v>
      </c>
      <c r="AH85" s="1448"/>
      <c r="AI85" s="1448"/>
      <c r="AJ85" s="1448"/>
      <c r="AK85" s="1448"/>
      <c r="AL85" s="1448"/>
      <c r="AM85" s="1448"/>
      <c r="AO85" s="1448"/>
      <c r="AP85" s="1448"/>
      <c r="AQ85" s="1448"/>
      <c r="AR85" s="1448"/>
      <c r="AS85" s="1448"/>
      <c r="AT85" s="1448"/>
      <c r="AV85" s="1448"/>
      <c r="AW85" s="1448"/>
      <c r="AX85" s="1448"/>
      <c r="AY85" s="1448"/>
      <c r="AZ85" s="1448"/>
      <c r="BA85" s="1448"/>
      <c r="BC85" s="1448"/>
      <c r="BD85" s="1448"/>
      <c r="BE85" s="1448"/>
      <c r="BF85" s="1448"/>
      <c r="BG85" s="1448"/>
      <c r="BH85" s="1448"/>
    </row>
    <row r="86" spans="1:60" x14ac:dyDescent="0.45">
      <c r="A86" s="755" t="s">
        <v>117</v>
      </c>
      <c r="B86" s="1931">
        <f t="shared" si="52"/>
        <v>0.19126569597021809</v>
      </c>
      <c r="C86" s="1932">
        <f t="shared" si="53"/>
        <v>0.22486431587326314</v>
      </c>
      <c r="D86" s="1932">
        <v>0.2839994412155144</v>
      </c>
      <c r="E86" s="1932">
        <f t="shared" si="54"/>
        <v>0.29206155567935321</v>
      </c>
      <c r="F86" s="1932">
        <f t="shared" si="55"/>
        <v>0.32566017558239824</v>
      </c>
      <c r="G86" s="1931">
        <v>0.35925879548544332</v>
      </c>
      <c r="H86" s="1932">
        <f t="shared" si="56"/>
        <v>0.37982041834262753</v>
      </c>
      <c r="I86" s="1932">
        <f t="shared" si="57"/>
        <v>0.40038204119981174</v>
      </c>
      <c r="J86" s="1932">
        <f t="shared" si="58"/>
        <v>0.42094366405699596</v>
      </c>
      <c r="K86" s="1932">
        <f t="shared" si="59"/>
        <v>0.44150528691418017</v>
      </c>
      <c r="L86" s="1931">
        <v>0.46206690977136439</v>
      </c>
      <c r="M86" s="1932">
        <f t="shared" si="60"/>
        <v>0.47828912509021537</v>
      </c>
      <c r="N86" s="1932">
        <f t="shared" si="61"/>
        <v>0.49451134040906636</v>
      </c>
      <c r="O86" s="1932">
        <f t="shared" si="62"/>
        <v>0.51073355572791734</v>
      </c>
      <c r="P86" s="1932">
        <f t="shared" si="63"/>
        <v>0.52695577104676827</v>
      </c>
      <c r="Q86" s="1931">
        <v>0.54317798636561931</v>
      </c>
      <c r="R86" s="1932">
        <f t="shared" si="64"/>
        <v>0.55798057654908095</v>
      </c>
      <c r="S86" s="1932">
        <f t="shared" si="65"/>
        <v>0.57278316673254248</v>
      </c>
      <c r="T86" s="1932">
        <f t="shared" si="66"/>
        <v>0.58758575691600412</v>
      </c>
      <c r="U86" s="1932">
        <f t="shared" si="67"/>
        <v>0.60238834709946565</v>
      </c>
      <c r="V86" s="1931">
        <v>0.61719093728292729</v>
      </c>
      <c r="W86" s="1932">
        <f t="shared" si="68"/>
        <v>0.63290048002741151</v>
      </c>
      <c r="X86" s="1932">
        <f t="shared" si="69"/>
        <v>0.64861002277189561</v>
      </c>
      <c r="Y86" s="1932">
        <f t="shared" si="70"/>
        <v>0.66431956551637983</v>
      </c>
      <c r="Z86" s="1932">
        <f t="shared" si="71"/>
        <v>0.68002910826086393</v>
      </c>
      <c r="AA86" s="1931">
        <v>0.69573865100534815</v>
      </c>
      <c r="AB86" s="1932">
        <f t="shared" si="72"/>
        <v>0.71169397746726226</v>
      </c>
      <c r="AC86" s="1932">
        <f t="shared" si="73"/>
        <v>0.72764930392917637</v>
      </c>
      <c r="AD86" s="1932">
        <f t="shared" si="74"/>
        <v>0.74360463039109048</v>
      </c>
      <c r="AE86" s="1932">
        <f t="shared" si="75"/>
        <v>0.75955995685300459</v>
      </c>
      <c r="AF86" s="1933">
        <v>0.7755152833149187</v>
      </c>
      <c r="AH86" s="1448"/>
      <c r="AI86" s="1448"/>
      <c r="AJ86" s="1448"/>
      <c r="AK86" s="1448"/>
      <c r="AL86" s="1448"/>
      <c r="AM86" s="1448"/>
      <c r="AO86" s="1448"/>
      <c r="AP86" s="1448"/>
      <c r="AQ86" s="1448"/>
      <c r="AR86" s="1448"/>
      <c r="AS86" s="1448"/>
      <c r="AT86" s="1448"/>
      <c r="AV86" s="1448"/>
      <c r="AW86" s="1448"/>
      <c r="AX86" s="1448"/>
      <c r="AY86" s="1448"/>
      <c r="AZ86" s="1448"/>
      <c r="BA86" s="1448"/>
      <c r="BC86" s="1448"/>
      <c r="BD86" s="1448"/>
      <c r="BE86" s="1448"/>
      <c r="BF86" s="1448"/>
      <c r="BG86" s="1448"/>
      <c r="BH86" s="1448"/>
    </row>
    <row r="88" spans="1:60" x14ac:dyDescent="0.45">
      <c r="A88" s="5" t="s">
        <v>62</v>
      </c>
      <c r="B88" s="1449">
        <f>SUM(B81:B86)</f>
        <v>0.99999999999999978</v>
      </c>
      <c r="C88" s="1449"/>
      <c r="D88" s="1449"/>
      <c r="E88" s="1449"/>
      <c r="F88" s="1449"/>
      <c r="G88" s="1449">
        <f>SUM(G81:G86)</f>
        <v>1</v>
      </c>
      <c r="H88" s="1449"/>
      <c r="I88" s="1449"/>
      <c r="J88" s="1449"/>
      <c r="K88" s="1449"/>
      <c r="L88" s="1449">
        <f>SUM(L81:L86)</f>
        <v>1</v>
      </c>
      <c r="M88" s="1449"/>
      <c r="N88" s="1449"/>
      <c r="O88" s="1449"/>
      <c r="P88" s="1449"/>
      <c r="Q88" s="1449">
        <f>SUM(Q81:Q86)</f>
        <v>1</v>
      </c>
      <c r="R88" s="1449"/>
      <c r="S88" s="1449"/>
      <c r="T88" s="1449"/>
      <c r="U88" s="1449"/>
      <c r="V88" s="1449">
        <f>SUM(V81:V86)</f>
        <v>0.99999999999999967</v>
      </c>
      <c r="W88" s="1449"/>
      <c r="X88" s="1449"/>
      <c r="Y88" s="1449"/>
      <c r="Z88" s="1449"/>
      <c r="AA88" s="1449">
        <f>SUM(AA81:AA86)</f>
        <v>1</v>
      </c>
      <c r="AB88" s="1449"/>
      <c r="AC88" s="1449"/>
      <c r="AD88" s="1449"/>
      <c r="AE88" s="1449"/>
      <c r="AF88" s="1449">
        <f>SUM(AF81:AF86)</f>
        <v>1</v>
      </c>
    </row>
    <row r="89" spans="1:60" x14ac:dyDescent="0.45">
      <c r="A89" s="5" t="s">
        <v>110</v>
      </c>
      <c r="B89" s="2070" t="str">
        <f>IF(B88&lt;&gt;1,"Warning, shares not 100%","")</f>
        <v/>
      </c>
      <c r="C89" s="2070"/>
      <c r="D89" s="2070"/>
      <c r="E89" s="2070"/>
      <c r="F89" s="2070"/>
      <c r="G89" s="2070" t="str">
        <f>IF(G88&lt;&gt;1,"Warning, shares not 100%","")</f>
        <v/>
      </c>
      <c r="H89" s="2070"/>
      <c r="I89" s="2070"/>
      <c r="J89" s="2070"/>
      <c r="K89" s="2070"/>
      <c r="L89" s="2070" t="str">
        <f>IF(L88&lt;&gt;1,"Warning, shares not 100%","")</f>
        <v/>
      </c>
      <c r="M89" s="2070"/>
      <c r="N89" s="2070"/>
      <c r="O89" s="2070"/>
      <c r="P89" s="2070"/>
      <c r="Q89" s="2070" t="str">
        <f>IF(Q88&lt;&gt;1,"Warning, shares not 100%","")</f>
        <v/>
      </c>
      <c r="R89" s="2070"/>
      <c r="S89" s="2070"/>
      <c r="T89" s="2070"/>
      <c r="U89" s="2070"/>
      <c r="V89" s="2070" t="str">
        <f>IF(V88&lt;&gt;1,"Warning, shares not 100%","")</f>
        <v/>
      </c>
      <c r="W89" s="2070"/>
      <c r="X89" s="2070"/>
      <c r="Y89" s="2070"/>
      <c r="Z89" s="2070"/>
      <c r="AA89" s="2070" t="str">
        <f>IF(AA88&lt;&gt;1,"Warning, shares not 100%","")</f>
        <v/>
      </c>
      <c r="AB89" s="2070"/>
      <c r="AC89" s="2070"/>
      <c r="AD89" s="2070"/>
      <c r="AE89" s="2070"/>
      <c r="AF89" s="2070" t="str">
        <f>IF(AF88&lt;&gt;1,"Warning, shares not 100%","")</f>
        <v/>
      </c>
    </row>
    <row r="110" spans="1:60" x14ac:dyDescent="0.45">
      <c r="A110" s="1588" t="s">
        <v>121</v>
      </c>
      <c r="B110" s="1589"/>
      <c r="C110" s="1934" t="s">
        <v>1172</v>
      </c>
      <c r="D110" s="1934"/>
      <c r="E110" s="1510"/>
      <c r="F110" s="1510"/>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1"/>
    </row>
    <row r="111" spans="1:60" x14ac:dyDescent="0.45">
      <c r="A111" s="768"/>
      <c r="AF111" s="769"/>
    </row>
    <row r="112" spans="1:60" x14ac:dyDescent="0.45">
      <c r="A112" s="768"/>
      <c r="B112" s="16">
        <v>2020</v>
      </c>
      <c r="C112" s="16"/>
      <c r="D112" s="16"/>
      <c r="E112" s="16"/>
      <c r="F112" s="16"/>
      <c r="G112" s="16">
        <v>2025</v>
      </c>
      <c r="H112" s="16"/>
      <c r="I112" s="16"/>
      <c r="J112" s="16"/>
      <c r="K112" s="16"/>
      <c r="L112" s="16">
        <v>2030</v>
      </c>
      <c r="M112" s="16"/>
      <c r="N112" s="16"/>
      <c r="O112" s="16"/>
      <c r="P112" s="16"/>
      <c r="Q112" s="16">
        <v>2035</v>
      </c>
      <c r="R112" s="16"/>
      <c r="S112" s="16"/>
      <c r="T112" s="16"/>
      <c r="U112" s="16"/>
      <c r="V112" s="16">
        <v>2040</v>
      </c>
      <c r="W112" s="16"/>
      <c r="X112" s="16"/>
      <c r="Y112" s="16"/>
      <c r="Z112" s="16"/>
      <c r="AA112" s="16">
        <v>2045</v>
      </c>
      <c r="AB112" s="16"/>
      <c r="AC112" s="16"/>
      <c r="AD112" s="16"/>
      <c r="AE112" s="16"/>
      <c r="AF112" s="1927">
        <v>2050</v>
      </c>
      <c r="AH112" s="16"/>
      <c r="AI112" s="16"/>
      <c r="AJ112" s="16"/>
      <c r="AK112" s="16"/>
      <c r="AL112" s="16"/>
      <c r="AM112" s="16"/>
      <c r="AO112" s="16"/>
      <c r="AP112" s="16"/>
      <c r="AQ112" s="16"/>
      <c r="AR112" s="16"/>
      <c r="AS112" s="16"/>
      <c r="AT112" s="16"/>
      <c r="AV112" s="16"/>
      <c r="AW112" s="16"/>
      <c r="AX112" s="16"/>
      <c r="AY112" s="16"/>
      <c r="AZ112" s="16"/>
      <c r="BA112" s="16"/>
      <c r="BC112" s="16"/>
      <c r="BD112" s="16"/>
      <c r="BE112" s="16"/>
      <c r="BF112" s="16"/>
      <c r="BG112" s="16"/>
      <c r="BH112" s="16"/>
    </row>
    <row r="113" spans="1:60" x14ac:dyDescent="0.45">
      <c r="A113" s="768" t="s">
        <v>112</v>
      </c>
      <c r="B113" s="1928">
        <f t="shared" ref="B113:B118" si="76">B81</f>
        <v>5.0412668060949815E-3</v>
      </c>
      <c r="C113" s="1929">
        <f t="shared" ref="C113:C118" si="77">B113+(G113-B113)*(COLUMN(C113)-COLUMN(B113))/(COLUMN(G113)-COLUMN(B113))</f>
        <v>4.0330134448759852E-3</v>
      </c>
      <c r="D113" s="1929">
        <f t="shared" ref="D113:D118" si="78">B113+(G113-B113)*(COLUMN(D113)-COLUMN(B113))/(COLUMN(G113)-COLUMN(B113))</f>
        <v>3.0247600836569889E-3</v>
      </c>
      <c r="E113" s="1929">
        <f t="shared" ref="E113:E118" si="79">B113+(G113-B113)*(COLUMN(E113)-COLUMN(B113))/(COLUMN(G113)-COLUMN(B113))</f>
        <v>2.0165067224379926E-3</v>
      </c>
      <c r="F113" s="1929">
        <f t="shared" ref="F113:F118" si="80">B113+(G113-B113)*(COLUMN(F113)-COLUMN(B113))/(COLUMN(G113)-COLUMN(B113))</f>
        <v>1.0082533612189963E-3</v>
      </c>
      <c r="G113" s="1935"/>
      <c r="H113" s="1929">
        <f t="shared" ref="H113:H118" si="81">G113+(L113-G113)*(COLUMN(H113)-COLUMN(G113))/(COLUMN(L113)-COLUMN(G113))</f>
        <v>0</v>
      </c>
      <c r="I113" s="1929">
        <f t="shared" ref="I113:I118" si="82">G113+(L113-G113)*(COLUMN(I113)-COLUMN(G113))/(COLUMN(L113)-COLUMN(G113))</f>
        <v>0</v>
      </c>
      <c r="J113" s="1929">
        <f t="shared" ref="J113:J118" si="83">G113+(L113-G113)*(COLUMN(J113)-COLUMN(G113))/(COLUMN(L113)-COLUMN(G113))</f>
        <v>0</v>
      </c>
      <c r="K113" s="1929">
        <f t="shared" ref="K113:K118" si="84">G113+(L113-G113)*(COLUMN(K113)-COLUMN(G113))/(COLUMN(L113)-COLUMN(G113))</f>
        <v>0</v>
      </c>
      <c r="L113" s="1935"/>
      <c r="M113" s="1929">
        <f t="shared" ref="M113:M118" si="85">L113+(Q113-L113)*(COLUMN(M113)-COLUMN(L113))/(COLUMN(Q113)-COLUMN(L113))</f>
        <v>0</v>
      </c>
      <c r="N113" s="1929">
        <f t="shared" ref="N113:N118" si="86">L113+(Q113-L113)*(COLUMN(N113)-COLUMN(L113))/(COLUMN(Q113)-COLUMN(L113))</f>
        <v>0</v>
      </c>
      <c r="O113" s="1929">
        <f t="shared" ref="O113:O118" si="87">L113+(Q113-L113)*(COLUMN(O113)-COLUMN(L113))/(COLUMN(Q113)-COLUMN(L113))</f>
        <v>0</v>
      </c>
      <c r="P113" s="1929">
        <f t="shared" ref="P113:P118" si="88">L113+(Q113-L113)*(COLUMN(P113)-COLUMN(L113))/(COLUMN(Q113)-COLUMN(L113))</f>
        <v>0</v>
      </c>
      <c r="Q113" s="1935"/>
      <c r="R113" s="1929">
        <f t="shared" ref="R113:R118" si="89">Q113+(V113-Q113)*(COLUMN(R113)-COLUMN(Q113))/(COLUMN(V113)-COLUMN(Q113))</f>
        <v>0</v>
      </c>
      <c r="S113" s="1929">
        <f t="shared" ref="S113:S118" si="90">Q113+(V113-Q113)*(COLUMN(S113)-COLUMN(Q113))/(COLUMN(V113)-COLUMN(Q113))</f>
        <v>0</v>
      </c>
      <c r="T113" s="1929">
        <f t="shared" ref="T113:T118" si="91">Q113+(V113-Q113)*(COLUMN(T113)-COLUMN(Q113))/(COLUMN(V113)-COLUMN(Q113))</f>
        <v>0</v>
      </c>
      <c r="U113" s="1929">
        <f t="shared" ref="U113:U118" si="92">Q113+(V113-Q113)*(COLUMN(U113)-COLUMN(Q113))/(COLUMN(V113)-COLUMN(Q113))</f>
        <v>0</v>
      </c>
      <c r="V113" s="1935"/>
      <c r="W113" s="1929">
        <f t="shared" ref="W113:W118" si="93">V113+(AA113-V113)*(COLUMN(W113)-COLUMN(V113))/(COLUMN(AA113)-COLUMN(V113))</f>
        <v>0</v>
      </c>
      <c r="X113" s="1929">
        <f t="shared" ref="X113:X118" si="94">V113+(AA113-V113)*(COLUMN(X113)-COLUMN(V113))/(COLUMN(AA113)-COLUMN(V113))</f>
        <v>0</v>
      </c>
      <c r="Y113" s="1929">
        <f t="shared" ref="Y113:Y118" si="95">V113+(AA113-V113)*(COLUMN(Y113)-COLUMN(V113))/(COLUMN(AA113)-COLUMN(V113))</f>
        <v>0</v>
      </c>
      <c r="Z113" s="1929">
        <f t="shared" ref="Z113:Z118" si="96">V113+(AA113-V113)*(COLUMN(Z113)-COLUMN(V113))/(COLUMN(AA113)-COLUMN(V113))</f>
        <v>0</v>
      </c>
      <c r="AA113" s="1935"/>
      <c r="AB113" s="1929">
        <f t="shared" ref="AB113:AB118" si="97">AA113+(AF113-AA113)*(COLUMN(AB113)-COLUMN(AA113))/(COLUMN(AF113)-COLUMN(AA113))</f>
        <v>0</v>
      </c>
      <c r="AC113" s="1929">
        <f t="shared" ref="AC113:AC118" si="98">AA113+(AF113-AA113)*(COLUMN(AC113)-COLUMN(AA113))/(COLUMN(AF113)-COLUMN(AA113))</f>
        <v>0</v>
      </c>
      <c r="AD113" s="1929">
        <f t="shared" ref="AD113:AD118" si="99">AA113+(AF113-AA113)*(COLUMN(AD113)-COLUMN(AA113))/(COLUMN(AF113)-COLUMN(AA113))</f>
        <v>0</v>
      </c>
      <c r="AE113" s="1929">
        <f t="shared" ref="AE113:AE118" si="100">AA113+(AF113-AA113)*(COLUMN(AE113)-COLUMN(AA113))/(COLUMN(AF113)-COLUMN(AA113))</f>
        <v>0</v>
      </c>
      <c r="AF113" s="1936"/>
      <c r="AH113" s="1448"/>
      <c r="AI113" s="1448"/>
      <c r="AJ113" s="1448"/>
      <c r="AK113" s="1448"/>
      <c r="AL113" s="1448"/>
      <c r="AM113" s="1448"/>
      <c r="AO113" s="1448"/>
      <c r="AP113" s="1448"/>
      <c r="AQ113" s="1448"/>
      <c r="AR113" s="1448"/>
      <c r="AS113" s="1448"/>
      <c r="AT113" s="1448"/>
      <c r="AV113" s="1448"/>
      <c r="AW113" s="1448"/>
      <c r="AX113" s="1448"/>
      <c r="AY113" s="1448"/>
      <c r="AZ113" s="1448"/>
      <c r="BA113" s="1448"/>
      <c r="BC113" s="1448"/>
      <c r="BD113" s="1448"/>
      <c r="BE113" s="1448"/>
      <c r="BF113" s="1448"/>
      <c r="BG113" s="1448"/>
      <c r="BH113" s="1448"/>
    </row>
    <row r="114" spans="1:60" x14ac:dyDescent="0.45">
      <c r="A114" s="768" t="s">
        <v>113</v>
      </c>
      <c r="B114" s="1928">
        <f t="shared" si="76"/>
        <v>2.4786228463300326E-2</v>
      </c>
      <c r="C114" s="1929">
        <f t="shared" si="77"/>
        <v>1.9828982770640262E-2</v>
      </c>
      <c r="D114" s="1929">
        <f t="shared" si="78"/>
        <v>1.4871737077980195E-2</v>
      </c>
      <c r="E114" s="1929">
        <f t="shared" si="79"/>
        <v>9.9144913853201292E-3</v>
      </c>
      <c r="F114" s="1929">
        <f t="shared" si="80"/>
        <v>4.9572456926600637E-3</v>
      </c>
      <c r="G114" s="1935"/>
      <c r="H114" s="1929">
        <f t="shared" si="81"/>
        <v>0</v>
      </c>
      <c r="I114" s="1929">
        <f t="shared" si="82"/>
        <v>0</v>
      </c>
      <c r="J114" s="1929">
        <f t="shared" si="83"/>
        <v>0</v>
      </c>
      <c r="K114" s="1929">
        <f t="shared" si="84"/>
        <v>0</v>
      </c>
      <c r="L114" s="1935"/>
      <c r="M114" s="1929">
        <f t="shared" si="85"/>
        <v>0</v>
      </c>
      <c r="N114" s="1929">
        <f t="shared" si="86"/>
        <v>0</v>
      </c>
      <c r="O114" s="1929">
        <f t="shared" si="87"/>
        <v>0</v>
      </c>
      <c r="P114" s="1929">
        <f t="shared" si="88"/>
        <v>0</v>
      </c>
      <c r="Q114" s="1935"/>
      <c r="R114" s="1929">
        <f t="shared" si="89"/>
        <v>0</v>
      </c>
      <c r="S114" s="1929">
        <f t="shared" si="90"/>
        <v>0</v>
      </c>
      <c r="T114" s="1929">
        <f t="shared" si="91"/>
        <v>0</v>
      </c>
      <c r="U114" s="1929">
        <f t="shared" si="92"/>
        <v>0</v>
      </c>
      <c r="V114" s="1935"/>
      <c r="W114" s="1929">
        <f t="shared" si="93"/>
        <v>0</v>
      </c>
      <c r="X114" s="1929">
        <f t="shared" si="94"/>
        <v>0</v>
      </c>
      <c r="Y114" s="1929">
        <f t="shared" si="95"/>
        <v>0</v>
      </c>
      <c r="Z114" s="1929">
        <f t="shared" si="96"/>
        <v>0</v>
      </c>
      <c r="AA114" s="1935"/>
      <c r="AB114" s="1929">
        <f t="shared" si="97"/>
        <v>0</v>
      </c>
      <c r="AC114" s="1929">
        <f t="shared" si="98"/>
        <v>0</v>
      </c>
      <c r="AD114" s="1929">
        <f t="shared" si="99"/>
        <v>0</v>
      </c>
      <c r="AE114" s="1929">
        <f t="shared" si="100"/>
        <v>0</v>
      </c>
      <c r="AF114" s="1936"/>
      <c r="AH114" s="1448"/>
      <c r="AI114" s="1448"/>
      <c r="AJ114" s="1448"/>
      <c r="AK114" s="1448"/>
      <c r="AL114" s="1448"/>
      <c r="AM114" s="1448"/>
      <c r="AO114" s="1448"/>
      <c r="AP114" s="1448"/>
      <c r="AQ114" s="1448"/>
      <c r="AR114" s="1448"/>
      <c r="AS114" s="1448"/>
      <c r="AT114" s="1448"/>
      <c r="AV114" s="1448"/>
      <c r="AW114" s="1448"/>
      <c r="AX114" s="1448"/>
      <c r="AY114" s="1448"/>
      <c r="AZ114" s="1448"/>
      <c r="BA114" s="1448"/>
      <c r="BC114" s="1448"/>
      <c r="BD114" s="1448"/>
      <c r="BE114" s="1448"/>
      <c r="BF114" s="1448"/>
      <c r="BG114" s="1448"/>
      <c r="BH114" s="1448"/>
    </row>
    <row r="115" spans="1:60" x14ac:dyDescent="0.45">
      <c r="A115" s="768" t="s">
        <v>114</v>
      </c>
      <c r="B115" s="1928">
        <f t="shared" si="76"/>
        <v>0.72705457895591841</v>
      </c>
      <c r="C115" s="1929">
        <f t="shared" si="77"/>
        <v>0.5816436631647347</v>
      </c>
      <c r="D115" s="1929">
        <f t="shared" si="78"/>
        <v>0.43623274737355106</v>
      </c>
      <c r="E115" s="1929">
        <f t="shared" si="79"/>
        <v>0.29082183158236741</v>
      </c>
      <c r="F115" s="1929">
        <f t="shared" si="80"/>
        <v>0.1454109157911837</v>
      </c>
      <c r="G115" s="1935"/>
      <c r="H115" s="1929">
        <f t="shared" si="81"/>
        <v>0</v>
      </c>
      <c r="I115" s="1929">
        <f t="shared" si="82"/>
        <v>0</v>
      </c>
      <c r="J115" s="1929">
        <f t="shared" si="83"/>
        <v>0</v>
      </c>
      <c r="K115" s="1929">
        <f t="shared" si="84"/>
        <v>0</v>
      </c>
      <c r="L115" s="1935"/>
      <c r="M115" s="1929">
        <f t="shared" si="85"/>
        <v>0</v>
      </c>
      <c r="N115" s="1929">
        <f t="shared" si="86"/>
        <v>0</v>
      </c>
      <c r="O115" s="1929">
        <f t="shared" si="87"/>
        <v>0</v>
      </c>
      <c r="P115" s="1929">
        <f t="shared" si="88"/>
        <v>0</v>
      </c>
      <c r="Q115" s="1935"/>
      <c r="R115" s="1929">
        <f t="shared" si="89"/>
        <v>0</v>
      </c>
      <c r="S115" s="1929">
        <f t="shared" si="90"/>
        <v>0</v>
      </c>
      <c r="T115" s="1929">
        <f t="shared" si="91"/>
        <v>0</v>
      </c>
      <c r="U115" s="1929">
        <f t="shared" si="92"/>
        <v>0</v>
      </c>
      <c r="V115" s="1935"/>
      <c r="W115" s="1929">
        <f t="shared" si="93"/>
        <v>0</v>
      </c>
      <c r="X115" s="1929">
        <f t="shared" si="94"/>
        <v>0</v>
      </c>
      <c r="Y115" s="1929">
        <f t="shared" si="95"/>
        <v>0</v>
      </c>
      <c r="Z115" s="1929">
        <f t="shared" si="96"/>
        <v>0</v>
      </c>
      <c r="AA115" s="1935"/>
      <c r="AB115" s="1929">
        <f t="shared" si="97"/>
        <v>0</v>
      </c>
      <c r="AC115" s="1929">
        <f t="shared" si="98"/>
        <v>0</v>
      </c>
      <c r="AD115" s="1929">
        <f t="shared" si="99"/>
        <v>0</v>
      </c>
      <c r="AE115" s="1929">
        <f t="shared" si="100"/>
        <v>0</v>
      </c>
      <c r="AF115" s="1936"/>
      <c r="AH115" s="1448"/>
      <c r="AI115" s="1448"/>
      <c r="AJ115" s="1448"/>
      <c r="AK115" s="1448"/>
      <c r="AL115" s="1448"/>
      <c r="AM115" s="1448"/>
      <c r="AO115" s="1448"/>
      <c r="AP115" s="1448"/>
      <c r="AQ115" s="1448"/>
      <c r="AR115" s="1448"/>
      <c r="AS115" s="1448"/>
      <c r="AT115" s="1448"/>
      <c r="AV115" s="1448"/>
      <c r="AW115" s="1448"/>
      <c r="AX115" s="1448"/>
      <c r="AY115" s="1448"/>
      <c r="AZ115" s="1448"/>
      <c r="BA115" s="1448"/>
      <c r="BC115" s="1448"/>
      <c r="BD115" s="1448"/>
      <c r="BE115" s="1448"/>
      <c r="BF115" s="1448"/>
      <c r="BG115" s="1448"/>
      <c r="BH115" s="1448"/>
    </row>
    <row r="116" spans="1:60" x14ac:dyDescent="0.45">
      <c r="A116" s="768" t="s">
        <v>115</v>
      </c>
      <c r="B116" s="1928">
        <f t="shared" si="76"/>
        <v>3.4347831172193803E-2</v>
      </c>
      <c r="C116" s="1929">
        <f t="shared" si="77"/>
        <v>2.7478264937755043E-2</v>
      </c>
      <c r="D116" s="1929">
        <f t="shared" si="78"/>
        <v>2.0608698703316282E-2</v>
      </c>
      <c r="E116" s="1929">
        <f t="shared" si="79"/>
        <v>1.3739132468877521E-2</v>
      </c>
      <c r="F116" s="1929">
        <f t="shared" si="80"/>
        <v>6.8695662344387606E-3</v>
      </c>
      <c r="G116" s="1935"/>
      <c r="H116" s="1929">
        <f t="shared" si="81"/>
        <v>0</v>
      </c>
      <c r="I116" s="1929">
        <f t="shared" si="82"/>
        <v>0</v>
      </c>
      <c r="J116" s="1929">
        <f t="shared" si="83"/>
        <v>0</v>
      </c>
      <c r="K116" s="1929">
        <f t="shared" si="84"/>
        <v>0</v>
      </c>
      <c r="L116" s="1935"/>
      <c r="M116" s="1929">
        <f t="shared" si="85"/>
        <v>0</v>
      </c>
      <c r="N116" s="1929">
        <f t="shared" si="86"/>
        <v>0</v>
      </c>
      <c r="O116" s="1929">
        <f t="shared" si="87"/>
        <v>0</v>
      </c>
      <c r="P116" s="1929">
        <f t="shared" si="88"/>
        <v>0</v>
      </c>
      <c r="Q116" s="1935"/>
      <c r="R116" s="1929">
        <f t="shared" si="89"/>
        <v>0</v>
      </c>
      <c r="S116" s="1929">
        <f t="shared" si="90"/>
        <v>0</v>
      </c>
      <c r="T116" s="1929">
        <f t="shared" si="91"/>
        <v>0</v>
      </c>
      <c r="U116" s="1929">
        <f t="shared" si="92"/>
        <v>0</v>
      </c>
      <c r="V116" s="1935"/>
      <c r="W116" s="1929">
        <f t="shared" si="93"/>
        <v>0</v>
      </c>
      <c r="X116" s="1929">
        <f t="shared" si="94"/>
        <v>0</v>
      </c>
      <c r="Y116" s="1929">
        <f t="shared" si="95"/>
        <v>0</v>
      </c>
      <c r="Z116" s="1929">
        <f t="shared" si="96"/>
        <v>0</v>
      </c>
      <c r="AA116" s="1935"/>
      <c r="AB116" s="1929">
        <f t="shared" si="97"/>
        <v>0</v>
      </c>
      <c r="AC116" s="1929">
        <f t="shared" si="98"/>
        <v>0</v>
      </c>
      <c r="AD116" s="1929">
        <f t="shared" si="99"/>
        <v>0</v>
      </c>
      <c r="AE116" s="1929">
        <f t="shared" si="100"/>
        <v>0</v>
      </c>
      <c r="AF116" s="1936"/>
      <c r="AH116" s="1448"/>
      <c r="AI116" s="1448"/>
      <c r="AJ116" s="1448"/>
      <c r="AK116" s="1448"/>
      <c r="AL116" s="1448"/>
      <c r="AM116" s="1448"/>
      <c r="AO116" s="1448"/>
      <c r="AP116" s="1448"/>
      <c r="AQ116" s="1448"/>
      <c r="AR116" s="1448"/>
      <c r="AS116" s="1448"/>
      <c r="AT116" s="1448"/>
      <c r="AV116" s="1448"/>
      <c r="AW116" s="1448"/>
      <c r="AX116" s="1448"/>
      <c r="AY116" s="1448"/>
      <c r="AZ116" s="1448"/>
      <c r="BA116" s="1448"/>
      <c r="BC116" s="1448"/>
      <c r="BD116" s="1448"/>
      <c r="BE116" s="1448"/>
      <c r="BF116" s="1448"/>
      <c r="BG116" s="1448"/>
      <c r="BH116" s="1448"/>
    </row>
    <row r="117" spans="1:60" x14ac:dyDescent="0.45">
      <c r="A117" s="768" t="s">
        <v>116</v>
      </c>
      <c r="B117" s="1928">
        <f t="shared" si="76"/>
        <v>1.7504398632274241E-2</v>
      </c>
      <c r="C117" s="1929">
        <f t="shared" si="77"/>
        <v>1.4003518905819393E-2</v>
      </c>
      <c r="D117" s="1929">
        <f t="shared" si="78"/>
        <v>1.0502639179364545E-2</v>
      </c>
      <c r="E117" s="1929">
        <f t="shared" si="79"/>
        <v>7.0017594529096956E-3</v>
      </c>
      <c r="F117" s="1929">
        <f t="shared" si="80"/>
        <v>3.5008797264548478E-3</v>
      </c>
      <c r="G117" s="1935"/>
      <c r="H117" s="1929">
        <f t="shared" si="81"/>
        <v>0</v>
      </c>
      <c r="I117" s="1929">
        <f t="shared" si="82"/>
        <v>0</v>
      </c>
      <c r="J117" s="1929">
        <f t="shared" si="83"/>
        <v>0</v>
      </c>
      <c r="K117" s="1929">
        <f t="shared" si="84"/>
        <v>0</v>
      </c>
      <c r="L117" s="1935"/>
      <c r="M117" s="1929">
        <f t="shared" si="85"/>
        <v>0</v>
      </c>
      <c r="N117" s="1929">
        <f t="shared" si="86"/>
        <v>0</v>
      </c>
      <c r="O117" s="1929">
        <f t="shared" si="87"/>
        <v>0</v>
      </c>
      <c r="P117" s="1929">
        <f t="shared" si="88"/>
        <v>0</v>
      </c>
      <c r="Q117" s="1935"/>
      <c r="R117" s="1929">
        <f t="shared" si="89"/>
        <v>0</v>
      </c>
      <c r="S117" s="1929">
        <f t="shared" si="90"/>
        <v>0</v>
      </c>
      <c r="T117" s="1929">
        <f t="shared" si="91"/>
        <v>0</v>
      </c>
      <c r="U117" s="1929">
        <f t="shared" si="92"/>
        <v>0</v>
      </c>
      <c r="V117" s="1935"/>
      <c r="W117" s="1929">
        <f t="shared" si="93"/>
        <v>0</v>
      </c>
      <c r="X117" s="1929">
        <f t="shared" si="94"/>
        <v>0</v>
      </c>
      <c r="Y117" s="1929">
        <f t="shared" si="95"/>
        <v>0</v>
      </c>
      <c r="Z117" s="1929">
        <f t="shared" si="96"/>
        <v>0</v>
      </c>
      <c r="AA117" s="1935"/>
      <c r="AB117" s="1929">
        <f t="shared" si="97"/>
        <v>0</v>
      </c>
      <c r="AC117" s="1929">
        <f t="shared" si="98"/>
        <v>0</v>
      </c>
      <c r="AD117" s="1929">
        <f t="shared" si="99"/>
        <v>0</v>
      </c>
      <c r="AE117" s="1929">
        <f t="shared" si="100"/>
        <v>0</v>
      </c>
      <c r="AF117" s="1936"/>
      <c r="AH117" s="1448"/>
      <c r="AI117" s="1448"/>
      <c r="AJ117" s="1448"/>
      <c r="AK117" s="1448"/>
      <c r="AL117" s="1448"/>
      <c r="AM117" s="1448"/>
      <c r="AO117" s="1448"/>
      <c r="AP117" s="1448"/>
      <c r="AQ117" s="1448"/>
      <c r="AR117" s="1448"/>
      <c r="AS117" s="1448"/>
      <c r="AT117" s="1448"/>
      <c r="AV117" s="1448"/>
      <c r="AW117" s="1448"/>
      <c r="AX117" s="1448"/>
      <c r="AY117" s="1448"/>
      <c r="AZ117" s="1448"/>
      <c r="BA117" s="1448"/>
      <c r="BC117" s="1448"/>
      <c r="BD117" s="1448"/>
      <c r="BE117" s="1448"/>
      <c r="BF117" s="1448"/>
      <c r="BG117" s="1448"/>
      <c r="BH117" s="1448"/>
    </row>
    <row r="118" spans="1:60" x14ac:dyDescent="0.45">
      <c r="A118" s="755" t="s">
        <v>117</v>
      </c>
      <c r="B118" s="1931">
        <f t="shared" si="76"/>
        <v>0.19126569597021809</v>
      </c>
      <c r="C118" s="1932">
        <f t="shared" si="77"/>
        <v>0.15301255677617448</v>
      </c>
      <c r="D118" s="1932">
        <f t="shared" si="78"/>
        <v>0.11475941758213085</v>
      </c>
      <c r="E118" s="1932">
        <f t="shared" si="79"/>
        <v>7.650627838808724E-2</v>
      </c>
      <c r="F118" s="1932">
        <f t="shared" si="80"/>
        <v>3.8253139194043606E-2</v>
      </c>
      <c r="G118" s="1937"/>
      <c r="H118" s="1932">
        <f t="shared" si="81"/>
        <v>0</v>
      </c>
      <c r="I118" s="1932">
        <f t="shared" si="82"/>
        <v>0</v>
      </c>
      <c r="J118" s="1932">
        <f t="shared" si="83"/>
        <v>0</v>
      </c>
      <c r="K118" s="1932">
        <f t="shared" si="84"/>
        <v>0</v>
      </c>
      <c r="L118" s="1937"/>
      <c r="M118" s="1932">
        <f t="shared" si="85"/>
        <v>0</v>
      </c>
      <c r="N118" s="1932">
        <f t="shared" si="86"/>
        <v>0</v>
      </c>
      <c r="O118" s="1932">
        <f t="shared" si="87"/>
        <v>0</v>
      </c>
      <c r="P118" s="1932">
        <f t="shared" si="88"/>
        <v>0</v>
      </c>
      <c r="Q118" s="1937"/>
      <c r="R118" s="1932">
        <f t="shared" si="89"/>
        <v>0</v>
      </c>
      <c r="S118" s="1932">
        <f t="shared" si="90"/>
        <v>0</v>
      </c>
      <c r="T118" s="1932">
        <f t="shared" si="91"/>
        <v>0</v>
      </c>
      <c r="U118" s="1932">
        <f t="shared" si="92"/>
        <v>0</v>
      </c>
      <c r="V118" s="1937"/>
      <c r="W118" s="1932">
        <f t="shared" si="93"/>
        <v>0</v>
      </c>
      <c r="X118" s="1932">
        <f t="shared" si="94"/>
        <v>0</v>
      </c>
      <c r="Y118" s="1932">
        <f t="shared" si="95"/>
        <v>0</v>
      </c>
      <c r="Z118" s="1932">
        <f t="shared" si="96"/>
        <v>0</v>
      </c>
      <c r="AA118" s="1937"/>
      <c r="AB118" s="1932">
        <f t="shared" si="97"/>
        <v>0</v>
      </c>
      <c r="AC118" s="1932">
        <f t="shared" si="98"/>
        <v>0</v>
      </c>
      <c r="AD118" s="1932">
        <f t="shared" si="99"/>
        <v>0</v>
      </c>
      <c r="AE118" s="1932">
        <f t="shared" si="100"/>
        <v>0</v>
      </c>
      <c r="AF118" s="1938"/>
      <c r="AH118" s="1448"/>
      <c r="AI118" s="1448"/>
      <c r="AJ118" s="1448"/>
      <c r="AK118" s="1448"/>
      <c r="AL118" s="1448"/>
      <c r="AM118" s="1448"/>
      <c r="AO118" s="1448"/>
      <c r="AP118" s="1448"/>
      <c r="AQ118" s="1448"/>
      <c r="AR118" s="1448"/>
      <c r="AS118" s="1448"/>
      <c r="AT118" s="1448"/>
      <c r="AV118" s="1448"/>
      <c r="AW118" s="1448"/>
      <c r="AX118" s="1448"/>
      <c r="AY118" s="1448"/>
      <c r="AZ118" s="1448"/>
      <c r="BA118" s="1448"/>
      <c r="BC118" s="1448"/>
      <c r="BD118" s="1448"/>
      <c r="BE118" s="1448"/>
      <c r="BF118" s="1448"/>
      <c r="BG118" s="1448"/>
      <c r="BH118" s="1448"/>
    </row>
    <row r="120" spans="1:60" x14ac:dyDescent="0.45">
      <c r="A120" s="5" t="s">
        <v>62</v>
      </c>
      <c r="B120" s="1449">
        <f>SUM(B113:B118)</f>
        <v>0.99999999999999978</v>
      </c>
      <c r="C120" s="1449"/>
      <c r="D120" s="1449"/>
      <c r="E120" s="1449"/>
      <c r="F120" s="1449"/>
      <c r="G120" s="1449">
        <f>SUM(G113:G118)</f>
        <v>0</v>
      </c>
      <c r="H120" s="1449"/>
      <c r="I120" s="1449"/>
      <c r="J120" s="1449"/>
      <c r="K120" s="1449"/>
      <c r="L120" s="1449">
        <f>SUM(L113:L118)</f>
        <v>0</v>
      </c>
      <c r="M120" s="1449"/>
      <c r="N120" s="1449"/>
      <c r="O120" s="1449"/>
      <c r="P120" s="1449"/>
      <c r="Q120" s="1449">
        <f>SUM(Q113:Q118)</f>
        <v>0</v>
      </c>
      <c r="R120" s="1449"/>
      <c r="S120" s="1449"/>
      <c r="T120" s="1449"/>
      <c r="U120" s="1449"/>
      <c r="V120" s="1449">
        <f>SUM(V113:V118)</f>
        <v>0</v>
      </c>
      <c r="W120" s="1449"/>
      <c r="X120" s="1449"/>
      <c r="Y120" s="1449"/>
      <c r="Z120" s="1449"/>
      <c r="AA120" s="1449">
        <f>SUM(AA113:AA118)</f>
        <v>0</v>
      </c>
      <c r="AB120" s="1449"/>
      <c r="AC120" s="1449"/>
      <c r="AD120" s="1449"/>
      <c r="AE120" s="1449"/>
      <c r="AF120" s="1449">
        <f>SUM(AF113:AF118)</f>
        <v>0</v>
      </c>
    </row>
    <row r="121" spans="1:60" x14ac:dyDescent="0.45">
      <c r="A121" s="5" t="s">
        <v>110</v>
      </c>
      <c r="B121" s="2070" t="str">
        <f>IF(B120&lt;&gt;1,"Warning, shares not 100%","")</f>
        <v/>
      </c>
      <c r="C121" s="2070"/>
      <c r="D121" s="2070"/>
      <c r="E121" s="2070"/>
      <c r="F121" s="2070"/>
      <c r="G121" s="2070" t="str">
        <f>IF(G120&lt;&gt;1,"Warning, shares not 100%","")</f>
        <v>Warning, shares not 100%</v>
      </c>
      <c r="H121" s="2070"/>
      <c r="I121" s="2070"/>
      <c r="J121" s="2070"/>
      <c r="K121" s="2070"/>
      <c r="L121" s="2070" t="str">
        <f>IF(L120&lt;&gt;1,"Warning, shares not 100%","")</f>
        <v>Warning, shares not 100%</v>
      </c>
      <c r="M121" s="2070"/>
      <c r="N121" s="2070"/>
      <c r="O121" s="2070"/>
      <c r="P121" s="2070"/>
      <c r="Q121" s="2070" t="str">
        <f>IF(Q120&lt;&gt;1,"Warning, shares not 100%","")</f>
        <v>Warning, shares not 100%</v>
      </c>
      <c r="R121" s="2070"/>
      <c r="S121" s="2070"/>
      <c r="T121" s="2070"/>
      <c r="U121" s="2070"/>
      <c r="V121" s="2070" t="str">
        <f>IF(V120&lt;&gt;1,"Warning, shares not 100%","")</f>
        <v>Warning, shares not 100%</v>
      </c>
      <c r="W121" s="2070"/>
      <c r="X121" s="2070"/>
      <c r="Y121" s="2070"/>
      <c r="Z121" s="2070"/>
      <c r="AA121" s="2070" t="str">
        <f>IF(AA120&lt;&gt;1,"Warning, shares not 100%","")</f>
        <v>Warning, shares not 100%</v>
      </c>
      <c r="AB121" s="2070"/>
      <c r="AC121" s="2070"/>
      <c r="AD121" s="2070"/>
      <c r="AE121" s="2070"/>
      <c r="AF121" s="2070" t="str">
        <f>IF(AF120&lt;&gt;1,"Warning, shares not 100%","")</f>
        <v>Warning, shares not 100%</v>
      </c>
    </row>
  </sheetData>
  <mergeCells count="1">
    <mergeCell ref="A1:AF1"/>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F222"/>
  <sheetViews>
    <sheetView showGridLines="0" zoomScale="85" zoomScaleNormal="85" workbookViewId="0">
      <selection activeCell="G1" sqref="G1"/>
    </sheetView>
  </sheetViews>
  <sheetFormatPr defaultColWidth="9.1328125" defaultRowHeight="12.75" x14ac:dyDescent="0.35"/>
  <cols>
    <col min="1" max="1" width="1.796875" style="39" customWidth="1"/>
    <col min="2" max="2" width="32.46484375" style="39" bestFit="1" customWidth="1"/>
    <col min="3" max="3" width="14" style="39" customWidth="1"/>
    <col min="4" max="4" width="14.46484375" style="39" customWidth="1"/>
    <col min="5" max="5" width="14.1328125" style="39" customWidth="1"/>
    <col min="6" max="6" width="11.86328125" style="39" bestFit="1" customWidth="1"/>
    <col min="7" max="7" width="10.19921875" style="39" bestFit="1" customWidth="1"/>
    <col min="8" max="8" width="10.46484375" style="39" bestFit="1" customWidth="1"/>
    <col min="9" max="9" width="11.46484375" style="39" bestFit="1" customWidth="1"/>
    <col min="10" max="10" width="10.46484375" style="39" bestFit="1" customWidth="1"/>
    <col min="11" max="11" width="13.19921875" style="39" customWidth="1"/>
    <col min="12" max="12" width="11.19921875" style="39" customWidth="1"/>
    <col min="13" max="13" width="14" style="39" customWidth="1"/>
    <col min="14" max="14" width="14.46484375" style="39" customWidth="1"/>
    <col min="15" max="15" width="14.1328125" style="39" customWidth="1"/>
    <col min="16" max="16" width="11.86328125" style="39" bestFit="1" customWidth="1"/>
    <col min="17" max="17" width="10.19921875" style="39" bestFit="1" customWidth="1"/>
    <col min="18" max="18" width="10.46484375" style="39" bestFit="1" customWidth="1"/>
    <col min="19" max="19" width="11.46484375" style="39" bestFit="1" customWidth="1"/>
    <col min="20" max="20" width="10.46484375" style="39" bestFit="1" customWidth="1"/>
    <col min="21" max="21" width="13.19921875" style="39" customWidth="1"/>
    <col min="22" max="22" width="11.19921875" style="39" customWidth="1"/>
    <col min="23" max="23" width="14" style="39" customWidth="1"/>
    <col min="24" max="24" width="14.46484375" style="39" customWidth="1"/>
    <col min="25" max="25" width="14.1328125" style="39" customWidth="1"/>
    <col min="26" max="26" width="11.86328125" style="39" bestFit="1" customWidth="1"/>
    <col min="27" max="27" width="10.19921875" style="39" bestFit="1" customWidth="1"/>
    <col min="28" max="28" width="10.46484375" style="39" bestFit="1" customWidth="1"/>
    <col min="29" max="29" width="11.46484375" style="39" bestFit="1" customWidth="1"/>
    <col min="30" max="30" width="10.46484375" style="39" bestFit="1" customWidth="1"/>
    <col min="31" max="31" width="13.19921875" style="39" customWidth="1"/>
    <col min="32" max="32" width="11.19921875" style="39" customWidth="1"/>
    <col min="33" max="16384" width="9.1328125" style="39"/>
  </cols>
  <sheetData>
    <row r="1" spans="1:25" ht="15" x14ac:dyDescent="0.4">
      <c r="A1" s="649" t="s">
        <v>2298</v>
      </c>
      <c r="I1" s="230" t="s">
        <v>1561</v>
      </c>
    </row>
    <row r="2" spans="1:25" ht="13.9" x14ac:dyDescent="0.4">
      <c r="A2" s="72" t="s">
        <v>2222</v>
      </c>
    </row>
    <row r="3" spans="1:25" ht="38.25" x14ac:dyDescent="0.35">
      <c r="B3" s="91"/>
      <c r="C3" s="103" t="s">
        <v>1481</v>
      </c>
      <c r="D3" s="103" t="s">
        <v>1480</v>
      </c>
      <c r="E3" s="103" t="s">
        <v>1479</v>
      </c>
      <c r="F3" s="103" t="s">
        <v>1478</v>
      </c>
      <c r="G3" s="103" t="s">
        <v>1477</v>
      </c>
      <c r="H3" s="103" t="s">
        <v>1476</v>
      </c>
      <c r="I3" s="103" t="s">
        <v>1475</v>
      </c>
      <c r="J3" s="103" t="s">
        <v>1474</v>
      </c>
      <c r="K3" s="103" t="s">
        <v>1473</v>
      </c>
      <c r="L3" s="86" t="s">
        <v>1472</v>
      </c>
      <c r="N3" s="87" t="s">
        <v>2183</v>
      </c>
      <c r="O3" s="103" t="s">
        <v>2182</v>
      </c>
      <c r="P3" s="103" t="s">
        <v>2181</v>
      </c>
      <c r="Q3" s="103" t="s">
        <v>2180</v>
      </c>
      <c r="R3" s="103" t="s">
        <v>2179</v>
      </c>
      <c r="S3" s="103" t="s">
        <v>2178</v>
      </c>
      <c r="T3" s="103" t="s">
        <v>2177</v>
      </c>
      <c r="U3" s="86" t="s">
        <v>2176</v>
      </c>
      <c r="V3" s="103" t="s">
        <v>2175</v>
      </c>
      <c r="W3" s="103" t="s">
        <v>2174</v>
      </c>
      <c r="X3" s="103" t="s">
        <v>2173</v>
      </c>
      <c r="Y3" s="86" t="s">
        <v>2172</v>
      </c>
    </row>
    <row r="4" spans="1:25" ht="14.25" x14ac:dyDescent="0.45">
      <c r="B4" s="368" t="s">
        <v>2255</v>
      </c>
      <c r="C4" s="701">
        <v>3882.3358199999998</v>
      </c>
      <c r="D4" s="701">
        <v>3314.88544</v>
      </c>
      <c r="E4" s="701">
        <v>4190.6673245000002</v>
      </c>
      <c r="F4" s="701">
        <v>3499.6501434500001</v>
      </c>
      <c r="G4" s="702">
        <v>4579.080542479659</v>
      </c>
      <c r="H4" s="702">
        <v>3742.5184770240639</v>
      </c>
      <c r="I4" s="702">
        <v>4084.5467429626442</v>
      </c>
      <c r="J4" s="702">
        <v>3371.0414023531907</v>
      </c>
      <c r="K4" s="701">
        <v>4470.6540645000005</v>
      </c>
      <c r="L4" s="700">
        <v>3638.54120345</v>
      </c>
      <c r="N4" s="45">
        <v>4031.5239000000001</v>
      </c>
      <c r="O4" s="44">
        <v>3374.5471399999997</v>
      </c>
      <c r="P4" s="44">
        <v>4057.9793399999999</v>
      </c>
      <c r="Q4" s="44">
        <v>3378.9563799999996</v>
      </c>
      <c r="R4" s="44">
        <v>4212.3027399999992</v>
      </c>
      <c r="S4" s="44">
        <v>3464.9365599999996</v>
      </c>
      <c r="T4" s="44">
        <v>4238.7581799999989</v>
      </c>
      <c r="U4" s="43">
        <v>3478.16428</v>
      </c>
      <c r="V4" s="44">
        <v>3513.4381999999991</v>
      </c>
      <c r="W4" s="44">
        <v>2902.75846</v>
      </c>
      <c r="X4" s="44">
        <v>3628.0784400000002</v>
      </c>
      <c r="Y4" s="43">
        <v>2940.2370000000001</v>
      </c>
    </row>
    <row r="5" spans="1:25" x14ac:dyDescent="0.35">
      <c r="B5" s="110" t="s">
        <v>2254</v>
      </c>
      <c r="C5" s="644">
        <v>3767.980372560934</v>
      </c>
      <c r="D5" s="644">
        <v>3073.6003870958907</v>
      </c>
      <c r="E5" s="552" t="e">
        <v>#N/A</v>
      </c>
      <c r="F5" s="552" t="e">
        <v>#N/A</v>
      </c>
      <c r="G5" s="552" t="e">
        <v>#N/A</v>
      </c>
      <c r="H5" s="552" t="e">
        <v>#N/A</v>
      </c>
      <c r="I5" s="552" t="e">
        <v>#N/A</v>
      </c>
      <c r="J5" s="552" t="e">
        <v>#N/A</v>
      </c>
      <c r="K5" s="552" t="e">
        <v>#N/A</v>
      </c>
      <c r="L5" s="617" t="e">
        <v>#N/A</v>
      </c>
    </row>
    <row r="6" spans="1:25" x14ac:dyDescent="0.35">
      <c r="B6" s="108" t="s">
        <v>2253</v>
      </c>
      <c r="C6" s="44">
        <v>3882.3358199999998</v>
      </c>
      <c r="D6" s="44">
        <v>3314.88544</v>
      </c>
      <c r="E6" s="44">
        <v>4190.6673245000002</v>
      </c>
      <c r="F6" s="44">
        <v>3499.6501434500001</v>
      </c>
      <c r="G6" s="44">
        <v>4579.080542479659</v>
      </c>
      <c r="H6" s="44">
        <v>3742.5184770240639</v>
      </c>
      <c r="I6" s="44">
        <v>4084.5467429626442</v>
      </c>
      <c r="J6" s="44">
        <v>3371.0414023531907</v>
      </c>
      <c r="K6" s="44">
        <v>4470.6540645000005</v>
      </c>
      <c r="L6" s="43">
        <v>3638.54120345</v>
      </c>
    </row>
    <row r="7" spans="1:25" x14ac:dyDescent="0.35">
      <c r="D7" s="48"/>
      <c r="F7" s="176"/>
      <c r="J7" s="176"/>
      <c r="L7" s="176"/>
    </row>
    <row r="8" spans="1:25" ht="13.9" x14ac:dyDescent="0.4">
      <c r="A8" s="72" t="s">
        <v>2221</v>
      </c>
    </row>
    <row r="9" spans="1:25" ht="13.15" x14ac:dyDescent="0.4">
      <c r="A9" s="41" t="s">
        <v>2220</v>
      </c>
      <c r="N9" s="39" t="s">
        <v>2219</v>
      </c>
    </row>
    <row r="10" spans="1:25" ht="38.65" x14ac:dyDescent="0.4">
      <c r="A10" s="41"/>
      <c r="B10" s="91"/>
      <c r="C10" s="103" t="s">
        <v>1481</v>
      </c>
      <c r="D10" s="103" t="s">
        <v>1480</v>
      </c>
      <c r="E10" s="103" t="s">
        <v>1479</v>
      </c>
      <c r="F10" s="103" t="s">
        <v>1478</v>
      </c>
      <c r="G10" s="103" t="s">
        <v>1477</v>
      </c>
      <c r="H10" s="103" t="s">
        <v>1476</v>
      </c>
      <c r="I10" s="103" t="s">
        <v>1475</v>
      </c>
      <c r="J10" s="103" t="s">
        <v>1474</v>
      </c>
      <c r="K10" s="103" t="s">
        <v>1473</v>
      </c>
      <c r="L10" s="86" t="s">
        <v>1472</v>
      </c>
      <c r="N10" s="87" t="s">
        <v>1481</v>
      </c>
      <c r="O10" s="103" t="s">
        <v>1479</v>
      </c>
      <c r="P10" s="103" t="s">
        <v>1477</v>
      </c>
      <c r="Q10" s="103" t="s">
        <v>1475</v>
      </c>
      <c r="R10" s="86" t="s">
        <v>1473</v>
      </c>
      <c r="T10" s="87" t="s">
        <v>2183</v>
      </c>
      <c r="U10" s="103" t="s">
        <v>2181</v>
      </c>
      <c r="V10" s="103" t="s">
        <v>2179</v>
      </c>
      <c r="W10" s="86" t="s">
        <v>2177</v>
      </c>
      <c r="X10" s="103" t="s">
        <v>2175</v>
      </c>
      <c r="Y10" s="86" t="s">
        <v>2173</v>
      </c>
    </row>
    <row r="11" spans="1:25" ht="14.25" x14ac:dyDescent="0.45">
      <c r="A11" s="41"/>
      <c r="B11" s="110" t="s">
        <v>2297</v>
      </c>
      <c r="C11" s="627">
        <v>53.5</v>
      </c>
      <c r="D11" s="627">
        <v>35</v>
      </c>
      <c r="E11" s="627">
        <v>36</v>
      </c>
      <c r="F11" s="627">
        <v>23.8</v>
      </c>
      <c r="G11" s="627">
        <v>36</v>
      </c>
      <c r="H11" s="627">
        <v>23.8</v>
      </c>
      <c r="I11" s="627">
        <v>36</v>
      </c>
      <c r="J11" s="627">
        <v>23.8</v>
      </c>
      <c r="K11" s="627">
        <v>36</v>
      </c>
      <c r="L11" s="626">
        <v>23.8</v>
      </c>
      <c r="N11" s="641">
        <v>3882.3358199999998</v>
      </c>
      <c r="O11" s="640">
        <v>4122.6394</v>
      </c>
      <c r="P11" s="640">
        <v>4865.5963399999991</v>
      </c>
      <c r="Q11" s="640">
        <v>4160.1179399999992</v>
      </c>
      <c r="R11" s="639">
        <v>4402.6261399999994</v>
      </c>
      <c r="T11" s="45">
        <v>4294.5997600000001</v>
      </c>
      <c r="U11" s="44">
        <v>4552.5402999999997</v>
      </c>
      <c r="V11" s="44">
        <v>4689.2267399999992</v>
      </c>
      <c r="W11" s="43">
        <v>4865.5963399999991</v>
      </c>
      <c r="X11" s="44">
        <v>4160.1179399999992</v>
      </c>
      <c r="Y11" s="43">
        <v>5332.9757799999998</v>
      </c>
    </row>
    <row r="12" spans="1:25" ht="13.15" x14ac:dyDescent="0.4">
      <c r="A12" s="41"/>
      <c r="B12" s="110" t="s">
        <v>2296</v>
      </c>
      <c r="C12" s="176"/>
      <c r="D12" s="176"/>
      <c r="E12" s="176">
        <v>125.34804450000001</v>
      </c>
      <c r="F12" s="176">
        <v>103.50762345</v>
      </c>
      <c r="G12" s="176">
        <v>807.05744449559757</v>
      </c>
      <c r="H12" s="176">
        <v>637.94541397169826</v>
      </c>
      <c r="I12" s="176">
        <v>1174.1354565136651</v>
      </c>
      <c r="J12" s="176">
        <v>975.28471428054308</v>
      </c>
      <c r="K12" s="176">
        <v>125.34804450000001</v>
      </c>
      <c r="L12" s="623">
        <v>103.50762345</v>
      </c>
    </row>
    <row r="13" spans="1:25" ht="13.15" x14ac:dyDescent="0.4">
      <c r="A13" s="41"/>
      <c r="B13" s="108" t="s">
        <v>2295</v>
      </c>
      <c r="C13" s="184"/>
      <c r="D13" s="184"/>
      <c r="E13" s="184">
        <v>50.261348768798641</v>
      </c>
      <c r="F13" s="184">
        <v>41.503900465315439</v>
      </c>
      <c r="G13" s="184">
        <v>304.32236247965972</v>
      </c>
      <c r="H13" s="184">
        <v>240.55419702406419</v>
      </c>
      <c r="I13" s="184">
        <v>535.10854296264483</v>
      </c>
      <c r="J13" s="184">
        <v>444.48294235319071</v>
      </c>
      <c r="K13" s="184">
        <v>50.261348768798641</v>
      </c>
      <c r="L13" s="622">
        <v>41.503900465315439</v>
      </c>
    </row>
    <row r="14" spans="1:25" ht="13.15" x14ac:dyDescent="0.4">
      <c r="A14" s="41"/>
      <c r="B14" s="110" t="s">
        <v>2294</v>
      </c>
      <c r="C14" s="627">
        <v>41.667317999999995</v>
      </c>
      <c r="D14" s="627">
        <v>41.667317999999995</v>
      </c>
      <c r="E14" s="627">
        <v>0</v>
      </c>
      <c r="F14" s="627">
        <v>0</v>
      </c>
      <c r="G14" s="627">
        <v>0</v>
      </c>
      <c r="H14" s="627">
        <v>0</v>
      </c>
      <c r="I14" s="627">
        <v>0</v>
      </c>
      <c r="J14" s="627">
        <v>0</v>
      </c>
      <c r="K14" s="627">
        <v>0</v>
      </c>
      <c r="L14" s="626">
        <v>0</v>
      </c>
    </row>
    <row r="15" spans="1:25" ht="13.15" x14ac:dyDescent="0.4">
      <c r="A15" s="41"/>
      <c r="B15" s="110" t="s">
        <v>2293</v>
      </c>
      <c r="C15" s="176"/>
      <c r="D15" s="176"/>
      <c r="E15" s="627">
        <v>0</v>
      </c>
      <c r="F15" s="627">
        <v>0</v>
      </c>
      <c r="G15" s="627">
        <v>0</v>
      </c>
      <c r="H15" s="627">
        <v>0</v>
      </c>
      <c r="I15" s="627">
        <v>0</v>
      </c>
      <c r="J15" s="627">
        <v>0</v>
      </c>
      <c r="K15" s="627">
        <v>0</v>
      </c>
      <c r="L15" s="626">
        <v>0</v>
      </c>
    </row>
    <row r="16" spans="1:25" ht="13.15" x14ac:dyDescent="0.4">
      <c r="A16" s="41"/>
      <c r="B16" s="108" t="s">
        <v>2292</v>
      </c>
      <c r="C16" s="184"/>
      <c r="D16" s="184"/>
      <c r="E16" s="625">
        <v>0</v>
      </c>
      <c r="F16" s="625">
        <v>0</v>
      </c>
      <c r="G16" s="625">
        <v>0</v>
      </c>
      <c r="H16" s="625">
        <v>0</v>
      </c>
      <c r="I16" s="625">
        <v>0</v>
      </c>
      <c r="J16" s="625">
        <v>0</v>
      </c>
      <c r="K16" s="625">
        <v>0</v>
      </c>
      <c r="L16" s="624">
        <v>0</v>
      </c>
    </row>
    <row r="17" spans="1:12" ht="13.15" x14ac:dyDescent="0.4">
      <c r="A17" s="41"/>
      <c r="B17" s="110" t="s">
        <v>2291</v>
      </c>
      <c r="C17" s="176">
        <v>53.5</v>
      </c>
      <c r="D17" s="176">
        <v>35</v>
      </c>
      <c r="E17" s="176">
        <v>36</v>
      </c>
      <c r="F17" s="176">
        <v>23.8</v>
      </c>
      <c r="G17" s="176">
        <v>36</v>
      </c>
      <c r="H17" s="176">
        <v>23.8</v>
      </c>
      <c r="I17" s="176">
        <v>36</v>
      </c>
      <c r="J17" s="176">
        <v>23.8</v>
      </c>
      <c r="K17" s="176">
        <v>36</v>
      </c>
      <c r="L17" s="623">
        <v>23.8</v>
      </c>
    </row>
    <row r="18" spans="1:12" ht="13.15" x14ac:dyDescent="0.4">
      <c r="A18" s="41"/>
      <c r="B18" s="110" t="s">
        <v>2290</v>
      </c>
      <c r="C18" s="176"/>
      <c r="D18" s="176"/>
      <c r="E18" s="176">
        <v>125.34804450000001</v>
      </c>
      <c r="F18" s="176">
        <v>103.50762345</v>
      </c>
      <c r="G18" s="176">
        <v>807.05744449559757</v>
      </c>
      <c r="H18" s="176">
        <v>637.94541397169826</v>
      </c>
      <c r="I18" s="176">
        <v>1174.1354565136651</v>
      </c>
      <c r="J18" s="176">
        <v>975.28471428054308</v>
      </c>
      <c r="K18" s="176">
        <v>125.34804450000001</v>
      </c>
      <c r="L18" s="623">
        <v>103.50762345</v>
      </c>
    </row>
    <row r="19" spans="1:12" ht="13.15" x14ac:dyDescent="0.4">
      <c r="A19" s="41"/>
      <c r="B19" s="108" t="s">
        <v>2289</v>
      </c>
      <c r="C19" s="184"/>
      <c r="D19" s="184"/>
      <c r="E19" s="184">
        <v>50.261348768798641</v>
      </c>
      <c r="F19" s="184">
        <v>41.503900465315439</v>
      </c>
      <c r="G19" s="184">
        <v>304.32236247965972</v>
      </c>
      <c r="H19" s="184">
        <v>240.55419702406419</v>
      </c>
      <c r="I19" s="184">
        <v>535.10854296264483</v>
      </c>
      <c r="J19" s="184">
        <v>444.48294235319071</v>
      </c>
      <c r="K19" s="184">
        <v>50.261348768798641</v>
      </c>
      <c r="L19" s="622">
        <v>41.503900465315439</v>
      </c>
    </row>
    <row r="20" spans="1:12" ht="13.15" x14ac:dyDescent="0.4">
      <c r="A20" s="41"/>
    </row>
    <row r="21" spans="1:12" ht="13.15" x14ac:dyDescent="0.4">
      <c r="A21" s="41" t="s">
        <v>2209</v>
      </c>
      <c r="C21" s="552"/>
      <c r="D21" s="552"/>
      <c r="E21" s="552"/>
      <c r="F21" s="552"/>
      <c r="G21" s="552"/>
      <c r="H21" s="552"/>
      <c r="I21" s="552"/>
    </row>
    <row r="22" spans="1:12" ht="25.9" x14ac:dyDescent="0.4">
      <c r="A22" s="41"/>
      <c r="B22" s="91"/>
      <c r="C22" s="103" t="s">
        <v>1799</v>
      </c>
      <c r="D22" s="103" t="s">
        <v>1798</v>
      </c>
      <c r="E22" s="103" t="s">
        <v>1797</v>
      </c>
      <c r="F22" s="103" t="s">
        <v>1796</v>
      </c>
      <c r="G22" s="103" t="s">
        <v>1795</v>
      </c>
      <c r="H22" s="103" t="s">
        <v>1794</v>
      </c>
      <c r="I22" s="86" t="s">
        <v>1793</v>
      </c>
    </row>
    <row r="23" spans="1:12" ht="13.15" x14ac:dyDescent="0.4">
      <c r="A23" s="41"/>
      <c r="B23" s="110" t="s">
        <v>2288</v>
      </c>
      <c r="C23" s="627">
        <v>10.9</v>
      </c>
      <c r="D23" s="627">
        <v>0</v>
      </c>
      <c r="E23" s="627">
        <v>2</v>
      </c>
      <c r="F23" s="627">
        <v>31.5</v>
      </c>
      <c r="G23" s="627">
        <v>29.1</v>
      </c>
      <c r="H23" s="627">
        <v>10.5</v>
      </c>
      <c r="I23" s="626">
        <v>40</v>
      </c>
    </row>
    <row r="24" spans="1:12" ht="13.15" x14ac:dyDescent="0.4">
      <c r="A24" s="41"/>
      <c r="B24" s="110" t="s">
        <v>2287</v>
      </c>
      <c r="C24" s="627">
        <v>10.9</v>
      </c>
      <c r="D24" s="627">
        <v>0</v>
      </c>
      <c r="E24" s="627">
        <v>2</v>
      </c>
      <c r="F24" s="627">
        <v>31.5</v>
      </c>
      <c r="G24" s="627">
        <v>29.1</v>
      </c>
      <c r="H24" s="627">
        <v>10.5</v>
      </c>
      <c r="I24" s="626">
        <v>40</v>
      </c>
    </row>
    <row r="25" spans="1:12" ht="13.15" x14ac:dyDescent="0.4">
      <c r="A25" s="41"/>
      <c r="B25" s="110" t="s">
        <v>2286</v>
      </c>
      <c r="C25" s="627">
        <v>10.9</v>
      </c>
      <c r="D25" s="627">
        <v>0</v>
      </c>
      <c r="E25" s="627">
        <v>2</v>
      </c>
      <c r="F25" s="627">
        <v>2.4</v>
      </c>
      <c r="G25" s="627">
        <v>29.1</v>
      </c>
      <c r="H25" s="627">
        <v>10.5</v>
      </c>
      <c r="I25" s="626">
        <v>40</v>
      </c>
    </row>
    <row r="26" spans="1:12" ht="13.15" x14ac:dyDescent="0.4">
      <c r="A26" s="41"/>
      <c r="B26" s="110" t="s">
        <v>2285</v>
      </c>
      <c r="C26" s="627">
        <v>10.9</v>
      </c>
      <c r="D26" s="627">
        <v>0</v>
      </c>
      <c r="E26" s="627">
        <v>2</v>
      </c>
      <c r="F26" s="627">
        <v>2.4</v>
      </c>
      <c r="G26" s="627">
        <v>29.1</v>
      </c>
      <c r="H26" s="627">
        <v>10.5</v>
      </c>
      <c r="I26" s="626">
        <v>40</v>
      </c>
    </row>
    <row r="27" spans="1:12" ht="13.15" x14ac:dyDescent="0.4">
      <c r="A27" s="41"/>
      <c r="B27" s="110" t="s">
        <v>2284</v>
      </c>
      <c r="C27" s="627">
        <v>0</v>
      </c>
      <c r="D27" s="627">
        <v>0</v>
      </c>
      <c r="E27" s="627">
        <v>2</v>
      </c>
      <c r="F27" s="627">
        <v>2.4</v>
      </c>
      <c r="G27" s="627">
        <v>20</v>
      </c>
      <c r="H27" s="627">
        <v>10.5</v>
      </c>
      <c r="I27" s="626">
        <v>40</v>
      </c>
    </row>
    <row r="28" spans="1:12" ht="13.15" x14ac:dyDescent="0.4">
      <c r="A28" s="41"/>
      <c r="B28" s="108" t="s">
        <v>2283</v>
      </c>
      <c r="C28" s="625">
        <v>0</v>
      </c>
      <c r="D28" s="625">
        <v>0</v>
      </c>
      <c r="E28" s="625">
        <v>2</v>
      </c>
      <c r="F28" s="625">
        <v>2.4</v>
      </c>
      <c r="G28" s="625">
        <v>20</v>
      </c>
      <c r="H28" s="625">
        <v>10.5</v>
      </c>
      <c r="I28" s="624">
        <v>40</v>
      </c>
    </row>
    <row r="29" spans="1:12" ht="13.15" x14ac:dyDescent="0.4">
      <c r="A29" s="41"/>
      <c r="B29" s="110" t="s">
        <v>2282</v>
      </c>
      <c r="C29" s="627">
        <v>6.5883243760087193</v>
      </c>
      <c r="D29" s="627">
        <v>0</v>
      </c>
      <c r="E29" s="627">
        <v>0.93294352034261163</v>
      </c>
      <c r="F29" s="627">
        <v>8.3895507466083092</v>
      </c>
      <c r="G29" s="627">
        <v>32.233577873170709</v>
      </c>
      <c r="H29" s="627">
        <v>43.568462399999966</v>
      </c>
      <c r="I29" s="626">
        <v>0</v>
      </c>
    </row>
    <row r="30" spans="1:12" ht="13.15" x14ac:dyDescent="0.4">
      <c r="A30" s="41"/>
      <c r="B30" s="110" t="s">
        <v>2281</v>
      </c>
      <c r="C30" s="627">
        <v>6.4683842350563481</v>
      </c>
      <c r="D30" s="627">
        <v>0</v>
      </c>
      <c r="E30" s="627">
        <v>0.99425975353719687</v>
      </c>
      <c r="F30" s="627">
        <v>6.715363191032222</v>
      </c>
      <c r="G30" s="627">
        <v>32.020774961015988</v>
      </c>
      <c r="H30" s="627">
        <v>43.568462399999966</v>
      </c>
      <c r="I30" s="626">
        <v>0</v>
      </c>
    </row>
    <row r="31" spans="1:12" ht="13.15" x14ac:dyDescent="0.4">
      <c r="A31" s="41"/>
      <c r="B31" s="110" t="s">
        <v>2280</v>
      </c>
      <c r="C31" s="627">
        <v>0</v>
      </c>
      <c r="D31" s="627">
        <v>0</v>
      </c>
      <c r="E31" s="627">
        <v>0</v>
      </c>
      <c r="F31" s="627">
        <v>0</v>
      </c>
      <c r="G31" s="627">
        <v>0</v>
      </c>
      <c r="H31" s="627">
        <v>0</v>
      </c>
      <c r="I31" s="626">
        <v>0</v>
      </c>
    </row>
    <row r="32" spans="1:12" ht="13.15" x14ac:dyDescent="0.4">
      <c r="A32" s="41"/>
      <c r="B32" s="110" t="s">
        <v>2279</v>
      </c>
      <c r="C32" s="627">
        <v>0</v>
      </c>
      <c r="D32" s="627">
        <v>0</v>
      </c>
      <c r="E32" s="627">
        <v>0</v>
      </c>
      <c r="F32" s="627">
        <v>0</v>
      </c>
      <c r="G32" s="627">
        <v>0</v>
      </c>
      <c r="H32" s="627">
        <v>0</v>
      </c>
      <c r="I32" s="626">
        <v>0</v>
      </c>
    </row>
    <row r="33" spans="1:12" ht="13.15" x14ac:dyDescent="0.4">
      <c r="A33" s="41"/>
      <c r="B33" s="110" t="s">
        <v>2278</v>
      </c>
      <c r="C33" s="627">
        <v>0</v>
      </c>
      <c r="D33" s="627">
        <v>0</v>
      </c>
      <c r="E33" s="627">
        <v>0</v>
      </c>
      <c r="F33" s="627">
        <v>0</v>
      </c>
      <c r="G33" s="627">
        <v>0</v>
      </c>
      <c r="H33" s="627">
        <v>0</v>
      </c>
      <c r="I33" s="626">
        <v>0</v>
      </c>
    </row>
    <row r="34" spans="1:12" ht="13.15" x14ac:dyDescent="0.4">
      <c r="A34" s="41"/>
      <c r="B34" s="108" t="s">
        <v>2277</v>
      </c>
      <c r="C34" s="625">
        <v>0</v>
      </c>
      <c r="D34" s="625">
        <v>0</v>
      </c>
      <c r="E34" s="625">
        <v>0</v>
      </c>
      <c r="F34" s="625">
        <v>0</v>
      </c>
      <c r="G34" s="625">
        <v>0</v>
      </c>
      <c r="H34" s="625">
        <v>0</v>
      </c>
      <c r="I34" s="624">
        <v>0</v>
      </c>
    </row>
    <row r="35" spans="1:12" ht="13.15" x14ac:dyDescent="0.4">
      <c r="A35" s="41"/>
      <c r="B35" s="110" t="s">
        <v>2276</v>
      </c>
      <c r="C35" s="176">
        <v>10.9</v>
      </c>
      <c r="D35" s="176">
        <v>0</v>
      </c>
      <c r="E35" s="176">
        <v>2</v>
      </c>
      <c r="F35" s="176">
        <v>31.5</v>
      </c>
      <c r="G35" s="176">
        <v>29.1</v>
      </c>
      <c r="H35" s="176">
        <v>10.5</v>
      </c>
      <c r="I35" s="623">
        <v>40</v>
      </c>
    </row>
    <row r="36" spans="1:12" ht="13.15" x14ac:dyDescent="0.4">
      <c r="A36" s="41"/>
      <c r="B36" s="110" t="s">
        <v>2275</v>
      </c>
      <c r="C36" s="176">
        <v>10.9</v>
      </c>
      <c r="D36" s="176">
        <v>0</v>
      </c>
      <c r="E36" s="176">
        <v>2</v>
      </c>
      <c r="F36" s="176">
        <v>31.5</v>
      </c>
      <c r="G36" s="176">
        <v>29.1</v>
      </c>
      <c r="H36" s="176">
        <v>10.5</v>
      </c>
      <c r="I36" s="623">
        <v>40</v>
      </c>
    </row>
    <row r="37" spans="1:12" ht="13.15" x14ac:dyDescent="0.4">
      <c r="A37" s="41"/>
      <c r="B37" s="110" t="s">
        <v>2274</v>
      </c>
      <c r="C37" s="176">
        <v>10.9</v>
      </c>
      <c r="D37" s="176">
        <v>0</v>
      </c>
      <c r="E37" s="176">
        <v>2</v>
      </c>
      <c r="F37" s="176">
        <v>2.4</v>
      </c>
      <c r="G37" s="176">
        <v>29.1</v>
      </c>
      <c r="H37" s="176">
        <v>10.5</v>
      </c>
      <c r="I37" s="623">
        <v>40</v>
      </c>
    </row>
    <row r="38" spans="1:12" ht="13.15" x14ac:dyDescent="0.4">
      <c r="A38" s="41"/>
      <c r="B38" s="110" t="s">
        <v>2273</v>
      </c>
      <c r="C38" s="176">
        <v>10.9</v>
      </c>
      <c r="D38" s="176">
        <v>0</v>
      </c>
      <c r="E38" s="176">
        <v>2</v>
      </c>
      <c r="F38" s="176">
        <v>2.4</v>
      </c>
      <c r="G38" s="176">
        <v>29.1</v>
      </c>
      <c r="H38" s="176">
        <v>10.5</v>
      </c>
      <c r="I38" s="623">
        <v>40</v>
      </c>
    </row>
    <row r="39" spans="1:12" ht="13.15" x14ac:dyDescent="0.4">
      <c r="A39" s="41"/>
      <c r="B39" s="110" t="s">
        <v>2272</v>
      </c>
      <c r="C39" s="176">
        <v>0</v>
      </c>
      <c r="D39" s="176">
        <v>0</v>
      </c>
      <c r="E39" s="176">
        <v>2</v>
      </c>
      <c r="F39" s="176">
        <v>2.4</v>
      </c>
      <c r="G39" s="176">
        <v>20</v>
      </c>
      <c r="H39" s="176">
        <v>10.5</v>
      </c>
      <c r="I39" s="623">
        <v>40</v>
      </c>
    </row>
    <row r="40" spans="1:12" ht="13.15" x14ac:dyDescent="0.4">
      <c r="A40" s="41"/>
      <c r="B40" s="108" t="s">
        <v>2271</v>
      </c>
      <c r="C40" s="184">
        <v>0</v>
      </c>
      <c r="D40" s="184">
        <v>0</v>
      </c>
      <c r="E40" s="184">
        <v>2</v>
      </c>
      <c r="F40" s="184">
        <v>2.4</v>
      </c>
      <c r="G40" s="184">
        <v>20</v>
      </c>
      <c r="H40" s="184">
        <v>10.5</v>
      </c>
      <c r="I40" s="622">
        <v>40</v>
      </c>
    </row>
    <row r="41" spans="1:12" ht="13.15" x14ac:dyDescent="0.4">
      <c r="A41" s="41"/>
    </row>
    <row r="42" spans="1:12" ht="13.9" x14ac:dyDescent="0.4">
      <c r="A42" s="72" t="s">
        <v>2190</v>
      </c>
    </row>
    <row r="43" spans="1:12" ht="13.15" x14ac:dyDescent="0.4">
      <c r="A43" s="41" t="s">
        <v>2189</v>
      </c>
    </row>
    <row r="44" spans="1:12" ht="38.65" x14ac:dyDescent="0.4">
      <c r="A44" s="41"/>
      <c r="B44" s="87"/>
      <c r="C44" s="103" t="s">
        <v>1481</v>
      </c>
      <c r="D44" s="103" t="s">
        <v>1480</v>
      </c>
      <c r="E44" s="103" t="s">
        <v>1479</v>
      </c>
      <c r="F44" s="103" t="s">
        <v>1478</v>
      </c>
      <c r="G44" s="103" t="s">
        <v>1477</v>
      </c>
      <c r="H44" s="103" t="s">
        <v>1476</v>
      </c>
      <c r="I44" s="103" t="s">
        <v>1475</v>
      </c>
      <c r="J44" s="103" t="s">
        <v>1474</v>
      </c>
      <c r="K44" s="103" t="s">
        <v>1473</v>
      </c>
      <c r="L44" s="86" t="s">
        <v>1472</v>
      </c>
    </row>
    <row r="45" spans="1:12" ht="13.15" x14ac:dyDescent="0.4">
      <c r="A45" s="41"/>
      <c r="B45" s="574" t="s">
        <v>296</v>
      </c>
      <c r="C45" s="44">
        <v>3704.8358199999998</v>
      </c>
      <c r="D45" s="44">
        <v>3155.88544</v>
      </c>
      <c r="E45" s="44">
        <v>3934.4192800000001</v>
      </c>
      <c r="F45" s="44">
        <v>3277.4425200000001</v>
      </c>
      <c r="G45" s="44">
        <v>4143.8581799999993</v>
      </c>
      <c r="H45" s="44">
        <v>3383.2642799999999</v>
      </c>
      <c r="I45" s="44">
        <v>3438.5381999999995</v>
      </c>
      <c r="J45" s="44">
        <v>2827.8584599999999</v>
      </c>
      <c r="K45" s="44">
        <v>4234.4060200000004</v>
      </c>
      <c r="L45" s="43">
        <v>3436.33358</v>
      </c>
    </row>
    <row r="46" spans="1:12" ht="13.15" x14ac:dyDescent="0.4">
      <c r="A46" s="41"/>
    </row>
    <row r="47" spans="1:12" ht="13.15" x14ac:dyDescent="0.4">
      <c r="A47" s="41" t="s">
        <v>2188</v>
      </c>
    </row>
    <row r="48" spans="1:12" ht="14.25" x14ac:dyDescent="0.45">
      <c r="A48" s="41"/>
      <c r="B48" s="699">
        <v>120.63199999999972</v>
      </c>
      <c r="C48" s="39" t="s">
        <v>2270</v>
      </c>
    </row>
    <row r="49" spans="1:25" ht="14.25" x14ac:dyDescent="0.45">
      <c r="A49" s="41"/>
      <c r="B49" s="698">
        <v>79.949269808165724</v>
      </c>
      <c r="C49" s="39" t="s">
        <v>2269</v>
      </c>
    </row>
    <row r="50" spans="1:25" ht="13.15" x14ac:dyDescent="0.4">
      <c r="A50" s="41"/>
    </row>
    <row r="51" spans="1:25" ht="13.15" x14ac:dyDescent="0.4">
      <c r="A51" s="41" t="s">
        <v>2268</v>
      </c>
    </row>
    <row r="52" spans="1:25" ht="13.15" x14ac:dyDescent="0.4">
      <c r="A52" s="41"/>
      <c r="B52" s="375">
        <v>338.97591999999923</v>
      </c>
      <c r="C52" s="217" t="s">
        <v>1835</v>
      </c>
    </row>
    <row r="53" spans="1:25" ht="14.25" x14ac:dyDescent="0.45">
      <c r="A53" s="41"/>
      <c r="B53" s="697">
        <v>377.17786125899784</v>
      </c>
      <c r="C53" s="217" t="s">
        <v>1834</v>
      </c>
    </row>
    <row r="54" spans="1:25" ht="13.15" x14ac:dyDescent="0.4">
      <c r="A54" s="41"/>
      <c r="B54" s="374">
        <v>224.65744816094568</v>
      </c>
      <c r="C54" s="217" t="s">
        <v>1833</v>
      </c>
    </row>
    <row r="55" spans="1:25" ht="14.25" x14ac:dyDescent="0.45">
      <c r="A55" s="41"/>
      <c r="B55" s="696">
        <v>240.84779281447661</v>
      </c>
      <c r="C55" s="217" t="s">
        <v>1832</v>
      </c>
    </row>
    <row r="56" spans="1:25" ht="13.15" x14ac:dyDescent="0.4">
      <c r="A56" s="41"/>
    </row>
    <row r="57" spans="1:25" ht="13.15" x14ac:dyDescent="0.4">
      <c r="A57" s="41" t="s">
        <v>2267</v>
      </c>
    </row>
    <row r="58" spans="1:25" ht="38.65" x14ac:dyDescent="0.4">
      <c r="A58" s="41"/>
      <c r="B58" s="91"/>
      <c r="C58" s="103" t="s">
        <v>1481</v>
      </c>
      <c r="D58" s="103" t="s">
        <v>1480</v>
      </c>
      <c r="E58" s="103" t="s">
        <v>1479</v>
      </c>
      <c r="F58" s="103" t="s">
        <v>1478</v>
      </c>
      <c r="G58" s="103" t="s">
        <v>1477</v>
      </c>
      <c r="H58" s="103" t="s">
        <v>1476</v>
      </c>
      <c r="I58" s="103" t="s">
        <v>1475</v>
      </c>
      <c r="J58" s="103" t="s">
        <v>1474</v>
      </c>
      <c r="K58" s="103" t="s">
        <v>1473</v>
      </c>
      <c r="L58" s="86" t="s">
        <v>1472</v>
      </c>
      <c r="N58" s="87" t="s">
        <v>2183</v>
      </c>
      <c r="O58" s="103" t="s">
        <v>2182</v>
      </c>
      <c r="P58" s="103" t="s">
        <v>2181</v>
      </c>
      <c r="Q58" s="103" t="s">
        <v>2180</v>
      </c>
      <c r="R58" s="103" t="s">
        <v>2179</v>
      </c>
      <c r="S58" s="103" t="s">
        <v>2178</v>
      </c>
      <c r="T58" s="103" t="s">
        <v>2177</v>
      </c>
      <c r="U58" s="86" t="s">
        <v>2176</v>
      </c>
      <c r="V58" s="103" t="s">
        <v>2175</v>
      </c>
      <c r="W58" s="103" t="s">
        <v>2174</v>
      </c>
      <c r="X58" s="103" t="s">
        <v>2173</v>
      </c>
      <c r="Y58" s="86" t="s">
        <v>2172</v>
      </c>
    </row>
    <row r="59" spans="1:25" ht="13.15" x14ac:dyDescent="0.4">
      <c r="A59" s="41"/>
      <c r="B59" s="128" t="s">
        <v>2255</v>
      </c>
      <c r="C59" s="552"/>
      <c r="D59" s="552"/>
      <c r="E59" s="552"/>
      <c r="F59" s="552"/>
      <c r="G59" s="552"/>
      <c r="H59" s="552"/>
      <c r="I59" s="552"/>
      <c r="J59" s="552"/>
      <c r="K59" s="552"/>
      <c r="L59" s="617"/>
      <c r="N59" s="59"/>
      <c r="U59" s="99"/>
      <c r="Y59" s="99"/>
    </row>
    <row r="60" spans="1:25" ht="13.15" x14ac:dyDescent="0.4">
      <c r="A60" s="41"/>
      <c r="B60" s="110" t="s">
        <v>1830</v>
      </c>
      <c r="C60" s="692">
        <v>0.23131525132879682</v>
      </c>
      <c r="D60" s="692">
        <v>0.26436590988589859</v>
      </c>
      <c r="E60" s="692">
        <v>0.20560191322440935</v>
      </c>
      <c r="F60" s="692">
        <v>0.23056915906023234</v>
      </c>
      <c r="G60" s="520">
        <v>0.21899880892945855</v>
      </c>
      <c r="H60" s="520">
        <v>0.24045536451570615</v>
      </c>
      <c r="I60" s="520">
        <v>3.1150781647447223E-2</v>
      </c>
      <c r="J60" s="520">
        <v>4.7147769522588701E-2</v>
      </c>
      <c r="K60" s="520">
        <v>8.0052767353660431E-2</v>
      </c>
      <c r="L60" s="684">
        <v>6.5377077903171932E-2</v>
      </c>
      <c r="N60" s="695">
        <v>0.20821386419165222</v>
      </c>
      <c r="O60" s="694">
        <v>0.23205830672673122</v>
      </c>
      <c r="P60" s="694">
        <v>0.20999877537079825</v>
      </c>
      <c r="Q60" s="694">
        <v>0.23303469406503741</v>
      </c>
      <c r="R60" s="694">
        <v>0.21787040185055628</v>
      </c>
      <c r="S60" s="694">
        <v>0.24016670961004771</v>
      </c>
      <c r="T60" s="694">
        <v>0.21899880892945855</v>
      </c>
      <c r="U60" s="693">
        <v>0.24045536451570615</v>
      </c>
      <c r="V60" s="694">
        <v>3.1150781647447223E-2</v>
      </c>
      <c r="W60" s="694">
        <v>4.7147769522588701E-2</v>
      </c>
      <c r="X60" s="694">
        <v>2.8302191845664959E-2</v>
      </c>
      <c r="Y60" s="693">
        <v>4.571146005825022E-2</v>
      </c>
    </row>
    <row r="61" spans="1:25" ht="13.15" x14ac:dyDescent="0.4">
      <c r="A61" s="41"/>
      <c r="B61" s="110" t="s">
        <v>1829</v>
      </c>
      <c r="C61" s="692">
        <v>4.3184536442202423E-2</v>
      </c>
      <c r="D61" s="692">
        <v>5.0129526402469204E-2</v>
      </c>
      <c r="E61" s="692">
        <v>4.1035839681585119E-2</v>
      </c>
      <c r="F61" s="692">
        <v>4.8853426725452995E-2</v>
      </c>
      <c r="G61" s="520">
        <v>3.9008240852277172E-2</v>
      </c>
      <c r="H61" s="520">
        <v>4.7372275996361048E-2</v>
      </c>
      <c r="I61" s="520">
        <v>4.7061166466511359E-2</v>
      </c>
      <c r="J61" s="520">
        <v>5.6723449842918175E-2</v>
      </c>
      <c r="K61" s="691">
        <v>2.918400364038528E-2</v>
      </c>
      <c r="L61" s="690">
        <v>3.3376926380840041E-2</v>
      </c>
      <c r="N61" s="695">
        <v>4.1013399424470728E-2</v>
      </c>
      <c r="O61" s="694">
        <v>4.8821625342835608E-2</v>
      </c>
      <c r="P61" s="694">
        <v>4.0746018189437107E-2</v>
      </c>
      <c r="Q61" s="694">
        <v>4.8758146623718961E-2</v>
      </c>
      <c r="R61" s="694">
        <v>3.9253232781649501E-2</v>
      </c>
      <c r="S61" s="694">
        <v>4.7552489569175856E-2</v>
      </c>
      <c r="T61" s="694">
        <v>3.9008240852277172E-2</v>
      </c>
      <c r="U61" s="693">
        <v>4.7372275996361048E-2</v>
      </c>
      <c r="V61" s="694">
        <v>4.7061166466511359E-2</v>
      </c>
      <c r="W61" s="694">
        <v>5.6723449842918175E-2</v>
      </c>
      <c r="X61" s="694">
        <v>4.5574124907839637E-2</v>
      </c>
      <c r="Y61" s="693">
        <v>5.6003396516166135E-2</v>
      </c>
    </row>
    <row r="62" spans="1:25" ht="13.15" x14ac:dyDescent="0.4">
      <c r="A62" s="41"/>
      <c r="B62" s="110" t="s">
        <v>1503</v>
      </c>
      <c r="C62" s="692">
        <v>0.27400000000000002</v>
      </c>
      <c r="D62" s="692">
        <v>0.26600000000000001</v>
      </c>
      <c r="E62" s="692">
        <v>0.27900000000000003</v>
      </c>
      <c r="F62" s="692">
        <v>0.29099999999999998</v>
      </c>
      <c r="G62" s="520">
        <v>0.39300000000000002</v>
      </c>
      <c r="H62" s="520">
        <v>0.41099999999999998</v>
      </c>
      <c r="I62" s="520">
        <v>0.32800000000000001</v>
      </c>
      <c r="J62" s="520">
        <v>0.36099999999999999</v>
      </c>
      <c r="K62" s="691">
        <v>0.29857480647471096</v>
      </c>
      <c r="L62" s="690">
        <v>0.33257723072337048</v>
      </c>
      <c r="N62" s="695">
        <v>0.28499999999999998</v>
      </c>
      <c r="O62" s="694">
        <v>0.30299999999999999</v>
      </c>
      <c r="P62" s="694">
        <v>0.32100000000000001</v>
      </c>
      <c r="Q62" s="694">
        <v>0.33900000000000002</v>
      </c>
      <c r="R62" s="694">
        <v>0.35699999999999998</v>
      </c>
      <c r="S62" s="694">
        <v>0.375</v>
      </c>
      <c r="T62" s="694">
        <v>0.39300000000000002</v>
      </c>
      <c r="U62" s="693">
        <v>0.41099999999999998</v>
      </c>
      <c r="V62" s="694">
        <v>0.32800000000000001</v>
      </c>
      <c r="W62" s="694">
        <v>0.36099999999999999</v>
      </c>
      <c r="X62" s="694">
        <v>0.32800000000000001</v>
      </c>
      <c r="Y62" s="693">
        <v>0.36099999999999999</v>
      </c>
    </row>
    <row r="63" spans="1:25" ht="13.15" x14ac:dyDescent="0.4">
      <c r="A63" s="41"/>
      <c r="B63" s="110" t="s">
        <v>1501</v>
      </c>
      <c r="C63" s="692">
        <v>0</v>
      </c>
      <c r="D63" s="692">
        <v>0</v>
      </c>
      <c r="E63" s="692">
        <v>2.2980070221687666E-2</v>
      </c>
      <c r="F63" s="692">
        <v>1.7261544109660056E-2</v>
      </c>
      <c r="G63" s="520">
        <v>3.4327251950003912E-2</v>
      </c>
      <c r="H63" s="520">
        <v>2.3686137998180524E-2</v>
      </c>
      <c r="I63" s="520">
        <v>7.2160455248650751E-2</v>
      </c>
      <c r="J63" s="520">
        <v>5.4454511849201442E-2</v>
      </c>
      <c r="K63" s="691">
        <v>4.4898467139054279E-2</v>
      </c>
      <c r="L63" s="690">
        <v>5.0065389571260069E-2</v>
      </c>
      <c r="N63" s="695">
        <v>2.187381302638439E-2</v>
      </c>
      <c r="O63" s="694">
        <v>1.7250307621135247E-2</v>
      </c>
      <c r="P63" s="694">
        <v>2.336105042861061E-2</v>
      </c>
      <c r="Q63" s="694">
        <v>1.7227878473714032E-2</v>
      </c>
      <c r="R63" s="694">
        <v>3.271102731804125E-2</v>
      </c>
      <c r="S63" s="694">
        <v>2.2508178396076571E-2</v>
      </c>
      <c r="T63" s="694">
        <v>3.4327251950003912E-2</v>
      </c>
      <c r="U63" s="693">
        <v>2.3686137998180524E-2</v>
      </c>
      <c r="V63" s="694">
        <v>7.2160455248650751E-2</v>
      </c>
      <c r="W63" s="694">
        <v>5.4454511849201442E-2</v>
      </c>
      <c r="X63" s="694">
        <v>0.1014783847947896</v>
      </c>
      <c r="Y63" s="693">
        <v>6.645736386585048E-2</v>
      </c>
    </row>
    <row r="64" spans="1:25" ht="13.15" x14ac:dyDescent="0.4">
      <c r="A64" s="41"/>
      <c r="B64" s="110" t="s">
        <v>1500</v>
      </c>
      <c r="C64" s="692">
        <v>0</v>
      </c>
      <c r="D64" s="692">
        <v>0</v>
      </c>
      <c r="E64" s="692">
        <v>2.2980070221687666E-2</v>
      </c>
      <c r="F64" s="692">
        <v>1.7261544109660056E-2</v>
      </c>
      <c r="G64" s="520">
        <v>3.4327251950003912E-2</v>
      </c>
      <c r="H64" s="520">
        <v>2.3686137998180524E-2</v>
      </c>
      <c r="I64" s="520">
        <v>0</v>
      </c>
      <c r="J64" s="520">
        <v>0</v>
      </c>
      <c r="K64" s="691">
        <v>0</v>
      </c>
      <c r="L64" s="690">
        <v>0</v>
      </c>
      <c r="N64" s="695">
        <v>2.187381302638439E-2</v>
      </c>
      <c r="O64" s="694">
        <v>1.7250307621135247E-2</v>
      </c>
      <c r="P64" s="694">
        <v>2.336105042861061E-2</v>
      </c>
      <c r="Q64" s="694">
        <v>1.7227878473714032E-2</v>
      </c>
      <c r="R64" s="694">
        <v>3.271102731804125E-2</v>
      </c>
      <c r="S64" s="694">
        <v>2.2508178396076571E-2</v>
      </c>
      <c r="T64" s="694">
        <v>3.4327251950003912E-2</v>
      </c>
      <c r="U64" s="693">
        <v>2.3686137998180524E-2</v>
      </c>
      <c r="V64" s="694"/>
      <c r="W64" s="694"/>
      <c r="X64" s="694"/>
      <c r="Y64" s="693"/>
    </row>
    <row r="65" spans="1:25" ht="13.15" x14ac:dyDescent="0.4">
      <c r="A65" s="41"/>
      <c r="B65" s="110" t="s">
        <v>1499</v>
      </c>
      <c r="C65" s="692">
        <v>0</v>
      </c>
      <c r="D65" s="692">
        <v>0</v>
      </c>
      <c r="E65" s="692">
        <v>1.7999999999999999E-2</v>
      </c>
      <c r="F65" s="692">
        <v>1.7999999999999999E-2</v>
      </c>
      <c r="G65" s="520">
        <v>1.7999999999999999E-2</v>
      </c>
      <c r="H65" s="520">
        <v>1.7000000000000001E-2</v>
      </c>
      <c r="I65" s="520">
        <v>5.8999999999999997E-2</v>
      </c>
      <c r="J65" s="520">
        <v>6.6000000000000003E-2</v>
      </c>
      <c r="K65" s="691">
        <v>3.9286158746672496E-2</v>
      </c>
      <c r="L65" s="690">
        <v>4.4105224146110053E-2</v>
      </c>
      <c r="N65" s="689">
        <v>1.7999999999999999E-2</v>
      </c>
      <c r="O65" s="688">
        <v>1.7000000000000001E-2</v>
      </c>
      <c r="P65" s="688">
        <v>1.7999999999999999E-2</v>
      </c>
      <c r="Q65" s="688">
        <v>1.7000000000000001E-2</v>
      </c>
      <c r="R65" s="688">
        <v>1.7999999999999999E-2</v>
      </c>
      <c r="S65" s="688">
        <v>1.7000000000000001E-2</v>
      </c>
      <c r="T65" s="688">
        <v>1.7999999999999999E-2</v>
      </c>
      <c r="U65" s="687">
        <v>1.7000000000000001E-2</v>
      </c>
      <c r="V65" s="688">
        <v>5.8999999999999997E-2</v>
      </c>
      <c r="W65" s="688">
        <v>6.6000000000000003E-2</v>
      </c>
      <c r="X65" s="688">
        <v>5.8999999999999997E-2</v>
      </c>
      <c r="Y65" s="687">
        <v>6.6000000000000003E-2</v>
      </c>
    </row>
    <row r="66" spans="1:25" ht="13.15" x14ac:dyDescent="0.4">
      <c r="A66" s="41"/>
      <c r="B66" s="110" t="s">
        <v>1496</v>
      </c>
      <c r="C66" s="686">
        <v>0</v>
      </c>
      <c r="D66" s="686">
        <v>0</v>
      </c>
      <c r="E66" s="686">
        <v>0</v>
      </c>
      <c r="F66" s="686">
        <v>0</v>
      </c>
      <c r="G66" s="686">
        <v>0</v>
      </c>
      <c r="H66" s="686">
        <v>0</v>
      </c>
      <c r="I66" s="686">
        <v>0</v>
      </c>
      <c r="J66" s="686">
        <v>0</v>
      </c>
      <c r="K66" s="520">
        <v>8.9074561928522339E-2</v>
      </c>
      <c r="L66" s="684">
        <v>7.0088595070120233E-2</v>
      </c>
    </row>
    <row r="67" spans="1:25" ht="25.9" x14ac:dyDescent="0.4">
      <c r="A67" s="41"/>
      <c r="B67" s="84" t="s">
        <v>1828</v>
      </c>
      <c r="C67" s="683">
        <v>0.45150021222900072</v>
      </c>
      <c r="D67" s="683">
        <v>0.41950456371163214</v>
      </c>
      <c r="E67" s="683">
        <v>0.41040210665063015</v>
      </c>
      <c r="F67" s="683">
        <v>0.37705432599499455</v>
      </c>
      <c r="G67" s="683">
        <v>0.26233844631825631</v>
      </c>
      <c r="H67" s="683">
        <v>0.23680008349157167</v>
      </c>
      <c r="I67" s="683">
        <v>0.46262759663739073</v>
      </c>
      <c r="J67" s="683">
        <v>0.41467426878529179</v>
      </c>
      <c r="K67" s="683">
        <v>0.41892923471699417</v>
      </c>
      <c r="L67" s="682">
        <v>0.4044095562051272</v>
      </c>
    </row>
    <row r="68" spans="1:25" ht="13.15" x14ac:dyDescent="0.4">
      <c r="A68" s="41"/>
      <c r="B68" s="128" t="s">
        <v>2254</v>
      </c>
      <c r="C68" s="552"/>
      <c r="D68" s="552"/>
      <c r="E68" s="552"/>
      <c r="F68" s="552"/>
      <c r="G68" s="552"/>
      <c r="H68" s="552"/>
      <c r="I68" s="552"/>
      <c r="J68" s="552"/>
      <c r="K68" s="552"/>
      <c r="L68" s="617"/>
    </row>
    <row r="69" spans="1:25" ht="13.15" x14ac:dyDescent="0.4">
      <c r="A69" s="41"/>
      <c r="B69" s="110" t="s">
        <v>1830</v>
      </c>
      <c r="C69" s="608">
        <v>0.14812386222311227</v>
      </c>
      <c r="D69" s="608">
        <v>0.14900554251291517</v>
      </c>
      <c r="E69" s="686">
        <v>0</v>
      </c>
      <c r="F69" s="686">
        <v>0</v>
      </c>
      <c r="G69" s="686">
        <v>0</v>
      </c>
      <c r="H69" s="686">
        <v>0</v>
      </c>
      <c r="I69" s="686">
        <v>0</v>
      </c>
      <c r="J69" s="686">
        <v>0</v>
      </c>
      <c r="K69" s="686">
        <v>0</v>
      </c>
      <c r="L69" s="685">
        <v>0</v>
      </c>
    </row>
    <row r="70" spans="1:25" ht="13.15" x14ac:dyDescent="0.4">
      <c r="A70" s="41"/>
      <c r="B70" s="110" t="s">
        <v>1829</v>
      </c>
      <c r="C70" s="608">
        <v>5.5531084578628723E-2</v>
      </c>
      <c r="D70" s="608">
        <v>5.4491907608564379E-2</v>
      </c>
      <c r="E70" s="686">
        <v>0</v>
      </c>
      <c r="F70" s="686">
        <v>0</v>
      </c>
      <c r="G70" s="686">
        <v>0</v>
      </c>
      <c r="H70" s="686">
        <v>0</v>
      </c>
      <c r="I70" s="686">
        <v>0</v>
      </c>
      <c r="J70" s="686">
        <v>0</v>
      </c>
      <c r="K70" s="686">
        <v>0</v>
      </c>
      <c r="L70" s="685">
        <v>0</v>
      </c>
    </row>
    <row r="71" spans="1:25" ht="13.15" x14ac:dyDescent="0.4">
      <c r="A71" s="41"/>
      <c r="B71" s="110" t="s">
        <v>1503</v>
      </c>
      <c r="C71" s="608">
        <v>0.27139000350104214</v>
      </c>
      <c r="D71" s="608">
        <v>0.24223515945076438</v>
      </c>
      <c r="E71" s="686">
        <v>0</v>
      </c>
      <c r="F71" s="686">
        <v>0</v>
      </c>
      <c r="G71" s="686">
        <v>0</v>
      </c>
      <c r="H71" s="686">
        <v>0</v>
      </c>
      <c r="I71" s="686">
        <v>0</v>
      </c>
      <c r="J71" s="686">
        <v>0</v>
      </c>
      <c r="K71" s="686">
        <v>0</v>
      </c>
      <c r="L71" s="685">
        <v>0</v>
      </c>
    </row>
    <row r="72" spans="1:25" ht="13.15" x14ac:dyDescent="0.4">
      <c r="A72" s="41"/>
      <c r="B72" s="110" t="s">
        <v>1501</v>
      </c>
      <c r="C72" s="569">
        <v>0</v>
      </c>
      <c r="D72" s="569">
        <v>0</v>
      </c>
      <c r="E72" s="686">
        <v>0</v>
      </c>
      <c r="F72" s="686">
        <v>0</v>
      </c>
      <c r="G72" s="686">
        <v>0</v>
      </c>
      <c r="H72" s="686">
        <v>0</v>
      </c>
      <c r="I72" s="686">
        <v>0</v>
      </c>
      <c r="J72" s="686">
        <v>0</v>
      </c>
      <c r="K72" s="686">
        <v>0</v>
      </c>
      <c r="L72" s="685">
        <v>0</v>
      </c>
    </row>
    <row r="73" spans="1:25" ht="13.15" x14ac:dyDescent="0.4">
      <c r="A73" s="41"/>
      <c r="B73" s="110" t="s">
        <v>1500</v>
      </c>
      <c r="C73" s="569">
        <v>0</v>
      </c>
      <c r="D73" s="569">
        <v>0</v>
      </c>
      <c r="E73" s="686">
        <v>0</v>
      </c>
      <c r="F73" s="686">
        <v>0</v>
      </c>
      <c r="G73" s="686">
        <v>0</v>
      </c>
      <c r="H73" s="686">
        <v>0</v>
      </c>
      <c r="I73" s="686">
        <v>0</v>
      </c>
      <c r="J73" s="686">
        <v>0</v>
      </c>
      <c r="K73" s="686">
        <v>0</v>
      </c>
      <c r="L73" s="685">
        <v>0</v>
      </c>
    </row>
    <row r="74" spans="1:25" ht="13.15" x14ac:dyDescent="0.4">
      <c r="A74" s="41"/>
      <c r="B74" s="110" t="s">
        <v>1499</v>
      </c>
      <c r="C74" s="569">
        <v>0</v>
      </c>
      <c r="D74" s="569">
        <v>0</v>
      </c>
      <c r="E74" s="686">
        <v>0</v>
      </c>
      <c r="F74" s="686">
        <v>0</v>
      </c>
      <c r="G74" s="686">
        <v>0</v>
      </c>
      <c r="H74" s="686">
        <v>0</v>
      </c>
      <c r="I74" s="686">
        <v>0</v>
      </c>
      <c r="J74" s="686">
        <v>0</v>
      </c>
      <c r="K74" s="686">
        <v>0</v>
      </c>
      <c r="L74" s="685">
        <v>0</v>
      </c>
    </row>
    <row r="75" spans="1:25" ht="13.15" x14ac:dyDescent="0.4">
      <c r="A75" s="41"/>
      <c r="B75" s="110" t="s">
        <v>1496</v>
      </c>
      <c r="C75" s="569">
        <v>0</v>
      </c>
      <c r="D75" s="569">
        <v>0</v>
      </c>
      <c r="E75" s="686">
        <v>0</v>
      </c>
      <c r="F75" s="686">
        <v>0</v>
      </c>
      <c r="G75" s="686">
        <v>0</v>
      </c>
      <c r="H75" s="686">
        <v>0</v>
      </c>
      <c r="I75" s="686">
        <v>0</v>
      </c>
      <c r="J75" s="686">
        <v>0</v>
      </c>
      <c r="K75" s="686">
        <v>0</v>
      </c>
      <c r="L75" s="685">
        <v>0</v>
      </c>
    </row>
    <row r="76" spans="1:25" ht="25.9" x14ac:dyDescent="0.4">
      <c r="A76" s="41"/>
      <c r="B76" s="84" t="s">
        <v>1828</v>
      </c>
      <c r="C76" s="683">
        <v>0.52495504969721685</v>
      </c>
      <c r="D76" s="683">
        <v>0.55426739042775608</v>
      </c>
      <c r="E76" s="683">
        <v>1</v>
      </c>
      <c r="F76" s="683">
        <v>1</v>
      </c>
      <c r="G76" s="683">
        <v>1</v>
      </c>
      <c r="H76" s="683">
        <v>1</v>
      </c>
      <c r="I76" s="683">
        <v>1</v>
      </c>
      <c r="J76" s="683">
        <v>1</v>
      </c>
      <c r="K76" s="683">
        <v>1</v>
      </c>
      <c r="L76" s="682">
        <v>1</v>
      </c>
    </row>
    <row r="77" spans="1:25" ht="13.15" x14ac:dyDescent="0.4">
      <c r="A77" s="41"/>
      <c r="B77" s="128" t="s">
        <v>2253</v>
      </c>
      <c r="C77" s="552"/>
      <c r="D77" s="552"/>
      <c r="E77" s="552"/>
      <c r="F77" s="552"/>
      <c r="G77" s="552"/>
      <c r="H77" s="552"/>
      <c r="I77" s="552"/>
      <c r="J77" s="552"/>
      <c r="K77" s="552"/>
      <c r="L77" s="617"/>
    </row>
    <row r="78" spans="1:25" ht="13.15" x14ac:dyDescent="0.4">
      <c r="A78" s="41"/>
      <c r="B78" s="110" t="s">
        <v>1830</v>
      </c>
      <c r="C78" s="520">
        <v>0.23131525132879682</v>
      </c>
      <c r="D78" s="520">
        <v>0.26436590988589859</v>
      </c>
      <c r="E78" s="520">
        <v>0.20560191322440935</v>
      </c>
      <c r="F78" s="520">
        <v>0.23056915906023234</v>
      </c>
      <c r="G78" s="520">
        <v>0.21899880892945855</v>
      </c>
      <c r="H78" s="520">
        <v>0.24045536451570615</v>
      </c>
      <c r="I78" s="520">
        <v>3.1150781647447223E-2</v>
      </c>
      <c r="J78" s="520">
        <v>4.7147769522588701E-2</v>
      </c>
      <c r="K78" s="520">
        <v>8.0052767353660431E-2</v>
      </c>
      <c r="L78" s="684">
        <v>6.5377077903171932E-2</v>
      </c>
    </row>
    <row r="79" spans="1:25" ht="13.15" x14ac:dyDescent="0.4">
      <c r="A79" s="41"/>
      <c r="B79" s="110" t="s">
        <v>1829</v>
      </c>
      <c r="C79" s="520">
        <v>4.3184536442202423E-2</v>
      </c>
      <c r="D79" s="520">
        <v>5.0129526402469204E-2</v>
      </c>
      <c r="E79" s="520">
        <v>4.1035839681585119E-2</v>
      </c>
      <c r="F79" s="520">
        <v>4.8853426725452995E-2</v>
      </c>
      <c r="G79" s="520">
        <v>3.9008240852277172E-2</v>
      </c>
      <c r="H79" s="520">
        <v>4.7372275996361048E-2</v>
      </c>
      <c r="I79" s="520">
        <v>4.7061166466511359E-2</v>
      </c>
      <c r="J79" s="520">
        <v>5.6723449842918175E-2</v>
      </c>
      <c r="K79" s="520">
        <v>2.918400364038528E-2</v>
      </c>
      <c r="L79" s="684">
        <v>3.3376926380840041E-2</v>
      </c>
    </row>
    <row r="80" spans="1:25" ht="13.15" x14ac:dyDescent="0.4">
      <c r="A80" s="41"/>
      <c r="B80" s="110" t="s">
        <v>1503</v>
      </c>
      <c r="C80" s="520">
        <v>0.27400000000000002</v>
      </c>
      <c r="D80" s="520">
        <v>0.26600000000000001</v>
      </c>
      <c r="E80" s="520">
        <v>0.27900000000000003</v>
      </c>
      <c r="F80" s="520">
        <v>0.29099999999999998</v>
      </c>
      <c r="G80" s="520">
        <v>0.39300000000000002</v>
      </c>
      <c r="H80" s="520">
        <v>0.41099999999999998</v>
      </c>
      <c r="I80" s="520">
        <v>0.32800000000000001</v>
      </c>
      <c r="J80" s="520">
        <v>0.36099999999999999</v>
      </c>
      <c r="K80" s="520">
        <v>0.29857480647471096</v>
      </c>
      <c r="L80" s="684">
        <v>0.33257723072337048</v>
      </c>
    </row>
    <row r="81" spans="1:12" ht="13.15" x14ac:dyDescent="0.4">
      <c r="A81" s="41"/>
      <c r="B81" s="110" t="s">
        <v>1501</v>
      </c>
      <c r="C81" s="520">
        <v>0</v>
      </c>
      <c r="D81" s="520">
        <v>0</v>
      </c>
      <c r="E81" s="520">
        <v>2.2980070221687666E-2</v>
      </c>
      <c r="F81" s="520">
        <v>1.7261544109660056E-2</v>
      </c>
      <c r="G81" s="520">
        <v>3.4327251950003912E-2</v>
      </c>
      <c r="H81" s="520">
        <v>2.3686137998180524E-2</v>
      </c>
      <c r="I81" s="520">
        <v>7.2160455248650751E-2</v>
      </c>
      <c r="J81" s="520">
        <v>5.4454511849201442E-2</v>
      </c>
      <c r="K81" s="520">
        <v>4.4898467139054279E-2</v>
      </c>
      <c r="L81" s="684">
        <v>5.0065389571260069E-2</v>
      </c>
    </row>
    <row r="82" spans="1:12" ht="13.15" x14ac:dyDescent="0.4">
      <c r="A82" s="41"/>
      <c r="B82" s="110" t="s">
        <v>1500</v>
      </c>
      <c r="C82" s="520">
        <v>0</v>
      </c>
      <c r="D82" s="520">
        <v>0</v>
      </c>
      <c r="E82" s="520">
        <v>2.2980070221687666E-2</v>
      </c>
      <c r="F82" s="520">
        <v>1.7261544109660056E-2</v>
      </c>
      <c r="G82" s="520">
        <v>3.4327251950003912E-2</v>
      </c>
      <c r="H82" s="520">
        <v>2.3686137998180524E-2</v>
      </c>
      <c r="I82" s="520">
        <v>0</v>
      </c>
      <c r="J82" s="520">
        <v>0</v>
      </c>
      <c r="K82" s="520">
        <v>0</v>
      </c>
      <c r="L82" s="684">
        <v>0</v>
      </c>
    </row>
    <row r="83" spans="1:12" ht="13.15" x14ac:dyDescent="0.4">
      <c r="A83" s="41"/>
      <c r="B83" s="110" t="s">
        <v>1499</v>
      </c>
      <c r="C83" s="520">
        <v>0</v>
      </c>
      <c r="D83" s="520">
        <v>0</v>
      </c>
      <c r="E83" s="520">
        <v>1.7999999999999999E-2</v>
      </c>
      <c r="F83" s="520">
        <v>1.7999999999999999E-2</v>
      </c>
      <c r="G83" s="520">
        <v>1.7999999999999999E-2</v>
      </c>
      <c r="H83" s="520">
        <v>1.7000000000000001E-2</v>
      </c>
      <c r="I83" s="520">
        <v>5.8999999999999997E-2</v>
      </c>
      <c r="J83" s="520">
        <v>6.6000000000000003E-2</v>
      </c>
      <c r="K83" s="520">
        <v>3.9286158746672496E-2</v>
      </c>
      <c r="L83" s="684">
        <v>4.4105224146110053E-2</v>
      </c>
    </row>
    <row r="84" spans="1:12" ht="13.15" x14ac:dyDescent="0.4">
      <c r="A84" s="41"/>
      <c r="B84" s="110" t="s">
        <v>1496</v>
      </c>
      <c r="C84" s="520">
        <v>0</v>
      </c>
      <c r="D84" s="520">
        <v>0</v>
      </c>
      <c r="E84" s="520">
        <v>0</v>
      </c>
      <c r="F84" s="520">
        <v>0</v>
      </c>
      <c r="G84" s="520">
        <v>0</v>
      </c>
      <c r="H84" s="520">
        <v>0</v>
      </c>
      <c r="I84" s="520">
        <v>0</v>
      </c>
      <c r="J84" s="520">
        <v>0</v>
      </c>
      <c r="K84" s="520">
        <v>8.9074561928522339E-2</v>
      </c>
      <c r="L84" s="684">
        <v>7.0088595070120233E-2</v>
      </c>
    </row>
    <row r="85" spans="1:12" ht="25.9" x14ac:dyDescent="0.4">
      <c r="A85" s="41"/>
      <c r="B85" s="84" t="s">
        <v>1828</v>
      </c>
      <c r="C85" s="683">
        <v>0.45150021222900072</v>
      </c>
      <c r="D85" s="683">
        <v>0.41950456371163214</v>
      </c>
      <c r="E85" s="683">
        <v>0.41040210665063015</v>
      </c>
      <c r="F85" s="683">
        <v>0.37705432599499455</v>
      </c>
      <c r="G85" s="683">
        <v>0.26233844631825631</v>
      </c>
      <c r="H85" s="683">
        <v>0.23680008349157167</v>
      </c>
      <c r="I85" s="683">
        <v>0.46262759663739073</v>
      </c>
      <c r="J85" s="683">
        <v>0.41467426878529179</v>
      </c>
      <c r="K85" s="683">
        <v>0.41892923471699417</v>
      </c>
      <c r="L85" s="682">
        <v>0.4044095562051272</v>
      </c>
    </row>
    <row r="86" spans="1:12" ht="13.15" x14ac:dyDescent="0.4">
      <c r="A86" s="41"/>
    </row>
    <row r="87" spans="1:12" s="506" customFormat="1" ht="14.25" x14ac:dyDescent="0.45">
      <c r="A87" s="586" t="s">
        <v>2171</v>
      </c>
      <c r="C87" s="75"/>
      <c r="D87" s="75"/>
      <c r="E87" s="75"/>
      <c r="F87" s="75"/>
      <c r="H87" s="520"/>
      <c r="I87" s="75"/>
      <c r="J87" s="520"/>
      <c r="K87" s="75"/>
      <c r="L87" s="520"/>
    </row>
    <row r="88" spans="1:12" s="506" customFormat="1" ht="14.25" x14ac:dyDescent="0.45">
      <c r="B88" s="602">
        <v>4</v>
      </c>
      <c r="C88" s="75"/>
      <c r="D88" s="75"/>
      <c r="E88" s="75"/>
      <c r="F88" s="75"/>
      <c r="H88" s="520"/>
      <c r="I88" s="75"/>
      <c r="J88" s="520"/>
      <c r="K88" s="75"/>
      <c r="L88" s="520"/>
    </row>
    <row r="89" spans="1:12" s="506" customFormat="1" ht="14.25" x14ac:dyDescent="0.45">
      <c r="C89" s="75"/>
      <c r="D89" s="75"/>
      <c r="E89" s="75"/>
      <c r="F89" s="75"/>
      <c r="H89" s="520"/>
      <c r="I89" s="75"/>
      <c r="J89" s="520"/>
      <c r="K89" s="75"/>
      <c r="L89" s="520"/>
    </row>
    <row r="90" spans="1:12" s="506" customFormat="1" ht="13.15" x14ac:dyDescent="0.4">
      <c r="A90" s="41" t="s">
        <v>2170</v>
      </c>
      <c r="B90" s="39"/>
      <c r="C90" s="39"/>
      <c r="D90" s="39"/>
      <c r="E90" s="39"/>
      <c r="F90" s="39"/>
      <c r="G90" s="39"/>
      <c r="H90" s="39"/>
      <c r="I90" s="39"/>
      <c r="J90" s="39"/>
      <c r="K90" s="39"/>
      <c r="L90" s="39"/>
    </row>
    <row r="91" spans="1:12" s="506" customFormat="1" ht="38.25" x14ac:dyDescent="0.35">
      <c r="A91" s="39"/>
      <c r="B91" s="371"/>
      <c r="C91" s="681" t="s">
        <v>1481</v>
      </c>
      <c r="D91" s="370" t="s">
        <v>1480</v>
      </c>
      <c r="E91" s="370" t="s">
        <v>1479</v>
      </c>
      <c r="F91" s="370" t="s">
        <v>1478</v>
      </c>
      <c r="G91" s="370" t="s">
        <v>1477</v>
      </c>
      <c r="H91" s="370" t="s">
        <v>1476</v>
      </c>
      <c r="I91" s="370" t="s">
        <v>1475</v>
      </c>
      <c r="J91" s="370" t="s">
        <v>1474</v>
      </c>
      <c r="K91" s="370" t="s">
        <v>1473</v>
      </c>
      <c r="L91" s="369" t="s">
        <v>1472</v>
      </c>
    </row>
    <row r="92" spans="1:12" s="506" customFormat="1" x14ac:dyDescent="0.35">
      <c r="A92" s="39"/>
      <c r="B92" s="55" t="s">
        <v>2255</v>
      </c>
      <c r="C92" s="101">
        <v>30</v>
      </c>
      <c r="D92" s="101">
        <v>30</v>
      </c>
      <c r="E92" s="101">
        <v>30</v>
      </c>
      <c r="F92" s="101">
        <v>30</v>
      </c>
      <c r="G92" s="101">
        <v>30</v>
      </c>
      <c r="H92" s="101">
        <v>30</v>
      </c>
      <c r="I92" s="101">
        <v>30</v>
      </c>
      <c r="J92" s="101">
        <v>30</v>
      </c>
      <c r="K92" s="101">
        <v>30</v>
      </c>
      <c r="L92" s="60">
        <v>30</v>
      </c>
    </row>
    <row r="93" spans="1:12" s="506" customFormat="1" x14ac:dyDescent="0.35">
      <c r="A93" s="39"/>
      <c r="B93" s="50" t="s">
        <v>2254</v>
      </c>
      <c r="C93" s="39">
        <v>32.799999999999997</v>
      </c>
      <c r="D93" s="39">
        <v>29.1</v>
      </c>
      <c r="E93" s="39" t="e">
        <v>#N/A</v>
      </c>
      <c r="F93" s="39" t="e">
        <v>#N/A</v>
      </c>
      <c r="G93" s="39" t="e">
        <v>#N/A</v>
      </c>
      <c r="H93" s="39" t="e">
        <v>#N/A</v>
      </c>
      <c r="I93" s="39" t="e">
        <v>#N/A</v>
      </c>
      <c r="J93" s="39" t="e">
        <v>#N/A</v>
      </c>
      <c r="K93" s="39" t="e">
        <v>#N/A</v>
      </c>
      <c r="L93" s="99" t="e">
        <v>#N/A</v>
      </c>
    </row>
    <row r="94" spans="1:12" s="506" customFormat="1" x14ac:dyDescent="0.35">
      <c r="A94" s="39"/>
      <c r="B94" s="46" t="s">
        <v>2253</v>
      </c>
      <c r="C94" s="77">
        <v>30</v>
      </c>
      <c r="D94" s="77">
        <v>30</v>
      </c>
      <c r="E94" s="77">
        <v>30</v>
      </c>
      <c r="F94" s="77">
        <v>30</v>
      </c>
      <c r="G94" s="77">
        <v>30</v>
      </c>
      <c r="H94" s="77">
        <v>30</v>
      </c>
      <c r="I94" s="77">
        <v>30</v>
      </c>
      <c r="J94" s="77">
        <v>30</v>
      </c>
      <c r="K94" s="77">
        <v>30</v>
      </c>
      <c r="L94" s="100">
        <v>30</v>
      </c>
    </row>
    <row r="95" spans="1:12" s="506" customFormat="1" ht="14.25" x14ac:dyDescent="0.45">
      <c r="C95" s="75"/>
      <c r="D95" s="75"/>
      <c r="E95" s="75"/>
      <c r="F95" s="75"/>
      <c r="H95" s="520"/>
      <c r="I95" s="75"/>
      <c r="J95" s="520"/>
      <c r="K95" s="75"/>
      <c r="L95" s="520"/>
    </row>
    <row r="96" spans="1:12" s="506" customFormat="1" ht="14.25" x14ac:dyDescent="0.45">
      <c r="A96" s="578" t="s">
        <v>2169</v>
      </c>
      <c r="C96" s="75"/>
      <c r="D96" s="75"/>
      <c r="E96" s="75"/>
      <c r="F96" s="75"/>
      <c r="H96" s="520"/>
      <c r="I96" s="75"/>
      <c r="J96" s="520"/>
      <c r="K96" s="75"/>
      <c r="L96" s="520"/>
    </row>
    <row r="97" spans="1:12" s="506" customFormat="1" ht="13.15" x14ac:dyDescent="0.4">
      <c r="A97" s="586" t="s">
        <v>2266</v>
      </c>
      <c r="H97" s="520"/>
      <c r="I97" s="680"/>
      <c r="J97" s="520"/>
      <c r="L97" s="520"/>
    </row>
    <row r="98" spans="1:12" ht="13.15" x14ac:dyDescent="0.4">
      <c r="A98" s="41"/>
      <c r="B98" s="104"/>
      <c r="C98" s="90" t="s">
        <v>1465</v>
      </c>
      <c r="D98" s="89" t="s">
        <v>1456</v>
      </c>
      <c r="H98" s="520"/>
      <c r="J98" s="520"/>
    </row>
    <row r="99" spans="1:12" ht="13.15" x14ac:dyDescent="0.4">
      <c r="A99" s="41"/>
      <c r="B99" s="110" t="s">
        <v>1479</v>
      </c>
      <c r="C99" s="601">
        <v>45.485999999999997</v>
      </c>
      <c r="D99" s="601">
        <v>45.485999999999997</v>
      </c>
      <c r="H99" s="520"/>
      <c r="J99" s="520"/>
    </row>
    <row r="100" spans="1:12" ht="13.15" x14ac:dyDescent="0.4">
      <c r="A100" s="41"/>
      <c r="B100" s="110" t="s">
        <v>1478</v>
      </c>
      <c r="C100" s="601">
        <v>37.560600000000001</v>
      </c>
      <c r="D100" s="601">
        <v>37.560600000000001</v>
      </c>
    </row>
    <row r="101" spans="1:12" ht="13.15" x14ac:dyDescent="0.4">
      <c r="A101" s="41"/>
      <c r="B101" s="110" t="s">
        <v>1473</v>
      </c>
      <c r="C101" s="601">
        <v>45.485999999999997</v>
      </c>
      <c r="D101" s="601">
        <v>45.485999999999997</v>
      </c>
    </row>
    <row r="102" spans="1:12" ht="13.15" x14ac:dyDescent="0.4">
      <c r="A102" s="41"/>
      <c r="B102" s="108" t="s">
        <v>1472</v>
      </c>
      <c r="C102" s="600">
        <v>37.560600000000001</v>
      </c>
      <c r="D102" s="600">
        <v>37.560600000000001</v>
      </c>
    </row>
    <row r="103" spans="1:12" ht="13.15" x14ac:dyDescent="0.4">
      <c r="A103" s="41"/>
    </row>
    <row r="104" spans="1:12" ht="13.15" x14ac:dyDescent="0.4">
      <c r="A104" s="41" t="s">
        <v>2265</v>
      </c>
    </row>
    <row r="105" spans="1:12" ht="13.15" x14ac:dyDescent="0.4">
      <c r="A105" s="41"/>
      <c r="B105" s="104"/>
      <c r="C105" s="90" t="s">
        <v>1465</v>
      </c>
      <c r="D105" s="89" t="s">
        <v>1456</v>
      </c>
      <c r="F105" s="91" t="s">
        <v>2166</v>
      </c>
      <c r="G105" s="69" t="s">
        <v>2165</v>
      </c>
      <c r="H105" s="69" t="s">
        <v>2164</v>
      </c>
      <c r="I105" s="68" t="s">
        <v>2163</v>
      </c>
    </row>
    <row r="106" spans="1:12" ht="13.15" x14ac:dyDescent="0.4">
      <c r="A106" s="41"/>
      <c r="B106" s="110" t="s">
        <v>1477</v>
      </c>
      <c r="C106" s="595">
        <v>19.402179333333333</v>
      </c>
      <c r="D106" s="595">
        <v>19.402179333333333</v>
      </c>
      <c r="F106" s="594">
        <v>5.4187573333333336</v>
      </c>
      <c r="G106" s="593">
        <v>10.922107499999999</v>
      </c>
      <c r="H106" s="593">
        <v>14.451738000000002</v>
      </c>
      <c r="I106" s="592">
        <v>19.402179333333333</v>
      </c>
    </row>
    <row r="107" spans="1:12" ht="13.15" x14ac:dyDescent="0.4">
      <c r="A107" s="41"/>
      <c r="B107" s="110" t="s">
        <v>1476</v>
      </c>
      <c r="C107" s="595">
        <v>15.336617500000003</v>
      </c>
      <c r="D107" s="595">
        <v>15.336617500000003</v>
      </c>
      <c r="F107" s="594">
        <v>4.5076236666666674</v>
      </c>
      <c r="G107" s="593">
        <v>8.7794120000000007</v>
      </c>
      <c r="H107" s="593">
        <v>11.487025666666666</v>
      </c>
      <c r="I107" s="592">
        <v>15.336617500000003</v>
      </c>
    </row>
    <row r="108" spans="1:12" ht="13.15" x14ac:dyDescent="0.4">
      <c r="A108" s="41"/>
      <c r="B108" s="110" t="s">
        <v>1475</v>
      </c>
      <c r="C108" s="595">
        <v>34.617982705882348</v>
      </c>
      <c r="D108" s="595">
        <v>34.617982705882348</v>
      </c>
      <c r="F108" s="594">
        <v>34.617982705882348</v>
      </c>
      <c r="G108" s="593">
        <v>108.66179368421054</v>
      </c>
      <c r="H108" s="593"/>
      <c r="I108" s="592"/>
    </row>
    <row r="109" spans="1:12" ht="13.15" x14ac:dyDescent="0.4">
      <c r="A109" s="41"/>
      <c r="B109" s="108" t="s">
        <v>1474</v>
      </c>
      <c r="C109" s="590">
        <v>28.755105882352943</v>
      </c>
      <c r="D109" s="590">
        <v>28.755105882352943</v>
      </c>
      <c r="F109" s="589">
        <v>28.755105882352943</v>
      </c>
      <c r="G109" s="588">
        <v>83.35320505263158</v>
      </c>
      <c r="H109" s="588"/>
      <c r="I109" s="587"/>
    </row>
    <row r="110" spans="1:12" ht="13.15" x14ac:dyDescent="0.4">
      <c r="A110" s="41"/>
      <c r="B110" s="216"/>
    </row>
    <row r="111" spans="1:12" ht="13.15" x14ac:dyDescent="0.4">
      <c r="A111" s="41" t="s">
        <v>2264</v>
      </c>
    </row>
    <row r="112" spans="1:12" x14ac:dyDescent="0.35">
      <c r="B112" s="91"/>
      <c r="C112" s="367" t="s">
        <v>1471</v>
      </c>
      <c r="D112" s="367" t="s">
        <v>1465</v>
      </c>
      <c r="E112" s="366" t="s">
        <v>1807</v>
      </c>
    </row>
    <row r="113" spans="1:32" x14ac:dyDescent="0.35">
      <c r="B113" s="110" t="s">
        <v>1551</v>
      </c>
      <c r="C113" s="582">
        <v>2</v>
      </c>
      <c r="D113" s="506"/>
      <c r="E113" s="583"/>
    </row>
    <row r="114" spans="1:32" x14ac:dyDescent="0.35">
      <c r="B114" s="110" t="s">
        <v>293</v>
      </c>
      <c r="C114" s="582">
        <v>2</v>
      </c>
      <c r="D114" s="582">
        <v>0</v>
      </c>
      <c r="E114" s="581">
        <v>0</v>
      </c>
    </row>
    <row r="115" spans="1:32" x14ac:dyDescent="0.35">
      <c r="B115" s="110" t="s">
        <v>294</v>
      </c>
      <c r="C115" s="582">
        <v>2</v>
      </c>
      <c r="D115" s="582">
        <v>0</v>
      </c>
      <c r="E115" s="581">
        <v>0</v>
      </c>
    </row>
    <row r="116" spans="1:32" x14ac:dyDescent="0.35">
      <c r="B116" s="110" t="s">
        <v>1453</v>
      </c>
      <c r="C116" s="582">
        <v>2</v>
      </c>
      <c r="D116" s="582">
        <v>0</v>
      </c>
      <c r="E116" s="581">
        <v>0</v>
      </c>
    </row>
    <row r="117" spans="1:32" x14ac:dyDescent="0.35">
      <c r="B117" s="108" t="s">
        <v>1548</v>
      </c>
      <c r="C117" s="580">
        <v>2</v>
      </c>
      <c r="D117" s="580">
        <v>0</v>
      </c>
      <c r="E117" s="579">
        <v>0</v>
      </c>
    </row>
    <row r="118" spans="1:32" ht="13.15" x14ac:dyDescent="0.4">
      <c r="A118" s="41"/>
    </row>
    <row r="119" spans="1:32" ht="13.9" x14ac:dyDescent="0.4">
      <c r="A119" s="578" t="s">
        <v>2263</v>
      </c>
      <c r="B119" s="506"/>
      <c r="C119" s="506"/>
      <c r="D119" s="506"/>
      <c r="E119" s="506"/>
      <c r="F119" s="506"/>
      <c r="G119" s="506"/>
      <c r="H119" s="506"/>
    </row>
    <row r="120" spans="1:32" ht="25.5" x14ac:dyDescent="0.35">
      <c r="A120" s="506"/>
      <c r="B120" s="87" t="s">
        <v>1799</v>
      </c>
      <c r="C120" s="103" t="s">
        <v>1798</v>
      </c>
      <c r="D120" s="103" t="s">
        <v>1797</v>
      </c>
      <c r="E120" s="103" t="s">
        <v>1796</v>
      </c>
      <c r="F120" s="103" t="s">
        <v>1795</v>
      </c>
      <c r="G120" s="103" t="s">
        <v>1794</v>
      </c>
      <c r="H120" s="89" t="s">
        <v>1793</v>
      </c>
    </row>
    <row r="121" spans="1:32" x14ac:dyDescent="0.35">
      <c r="A121" s="506"/>
      <c r="B121" s="577">
        <v>44</v>
      </c>
      <c r="C121" s="576">
        <v>0</v>
      </c>
      <c r="D121" s="576">
        <v>4</v>
      </c>
      <c r="E121" s="576">
        <v>1</v>
      </c>
      <c r="F121" s="576">
        <v>4</v>
      </c>
      <c r="G121" s="576">
        <v>22</v>
      </c>
      <c r="H121" s="575">
        <v>0</v>
      </c>
    </row>
    <row r="122" spans="1:32" ht="13.15" x14ac:dyDescent="0.4">
      <c r="A122" s="41"/>
    </row>
    <row r="123" spans="1:32" ht="13.9" x14ac:dyDescent="0.4">
      <c r="A123" s="72" t="s">
        <v>2160</v>
      </c>
    </row>
    <row r="124" spans="1:32" ht="51" x14ac:dyDescent="0.35">
      <c r="B124" s="87"/>
      <c r="C124" s="103" t="s">
        <v>1481</v>
      </c>
      <c r="D124" s="103" t="s">
        <v>2262</v>
      </c>
      <c r="E124" s="103" t="s">
        <v>1479</v>
      </c>
      <c r="F124" s="103" t="s">
        <v>2261</v>
      </c>
      <c r="G124" s="103" t="s">
        <v>1477</v>
      </c>
      <c r="H124" s="103" t="s">
        <v>2260</v>
      </c>
      <c r="I124" s="103" t="s">
        <v>1475</v>
      </c>
      <c r="J124" s="103" t="s">
        <v>2259</v>
      </c>
      <c r="K124" s="103" t="s">
        <v>1473</v>
      </c>
      <c r="L124" s="86" t="s">
        <v>2258</v>
      </c>
    </row>
    <row r="125" spans="1:32" x14ac:dyDescent="0.35">
      <c r="B125" s="574" t="s">
        <v>296</v>
      </c>
      <c r="C125" s="285">
        <v>183363</v>
      </c>
      <c r="D125" s="285">
        <v>183363</v>
      </c>
      <c r="E125" s="285">
        <v>183363</v>
      </c>
      <c r="F125" s="285">
        <v>183363</v>
      </c>
      <c r="G125" s="285">
        <v>183363</v>
      </c>
      <c r="H125" s="285">
        <v>183363</v>
      </c>
      <c r="I125" s="285">
        <v>128354.09999999999</v>
      </c>
      <c r="J125" s="285">
        <v>128354.09999999999</v>
      </c>
      <c r="K125" s="285">
        <v>183363</v>
      </c>
      <c r="L125" s="283">
        <v>183363</v>
      </c>
    </row>
    <row r="127" spans="1:32" ht="13.9" x14ac:dyDescent="0.4">
      <c r="A127" s="72" t="s">
        <v>2257</v>
      </c>
    </row>
    <row r="128" spans="1:32" ht="13.9" x14ac:dyDescent="0.4">
      <c r="A128" s="72"/>
      <c r="B128" s="55"/>
      <c r="C128" s="2194" t="s">
        <v>2253</v>
      </c>
      <c r="D128" s="2194"/>
      <c r="E128" s="2194"/>
      <c r="F128" s="2194"/>
      <c r="G128" s="2194"/>
      <c r="H128" s="2194"/>
      <c r="I128" s="2194"/>
      <c r="J128" s="2194"/>
      <c r="K128" s="2194"/>
      <c r="L128" s="2195"/>
      <c r="M128" s="2193" t="s">
        <v>2255</v>
      </c>
      <c r="N128" s="2194"/>
      <c r="O128" s="2194"/>
      <c r="P128" s="2194"/>
      <c r="Q128" s="2194"/>
      <c r="R128" s="2194"/>
      <c r="S128" s="2194"/>
      <c r="T128" s="2194"/>
      <c r="U128" s="2194"/>
      <c r="V128" s="2195"/>
      <c r="W128" s="2193" t="s">
        <v>2254</v>
      </c>
      <c r="X128" s="2194"/>
      <c r="Y128" s="2194"/>
      <c r="Z128" s="2194"/>
      <c r="AA128" s="2194"/>
      <c r="AB128" s="2194"/>
      <c r="AC128" s="2194"/>
      <c r="AD128" s="2194"/>
      <c r="AE128" s="2194"/>
      <c r="AF128" s="2195"/>
    </row>
    <row r="129" spans="2:32" ht="38.25" x14ac:dyDescent="0.35">
      <c r="B129" s="55"/>
      <c r="C129" s="134" t="s">
        <v>1481</v>
      </c>
      <c r="D129" s="134" t="s">
        <v>1480</v>
      </c>
      <c r="E129" s="134" t="s">
        <v>1479</v>
      </c>
      <c r="F129" s="134" t="s">
        <v>1478</v>
      </c>
      <c r="G129" s="134" t="s">
        <v>1477</v>
      </c>
      <c r="H129" s="134" t="s">
        <v>1476</v>
      </c>
      <c r="I129" s="134" t="s">
        <v>1475</v>
      </c>
      <c r="J129" s="134" t="s">
        <v>1474</v>
      </c>
      <c r="K129" s="134" t="s">
        <v>1473</v>
      </c>
      <c r="L129" s="133" t="s">
        <v>1472</v>
      </c>
      <c r="M129" s="87" t="s">
        <v>1481</v>
      </c>
      <c r="N129" s="103" t="s">
        <v>1480</v>
      </c>
      <c r="O129" s="103" t="s">
        <v>1479</v>
      </c>
      <c r="P129" s="103" t="s">
        <v>1478</v>
      </c>
      <c r="Q129" s="103" t="s">
        <v>1477</v>
      </c>
      <c r="R129" s="103" t="s">
        <v>1476</v>
      </c>
      <c r="S129" s="103" t="s">
        <v>1475</v>
      </c>
      <c r="T129" s="103" t="s">
        <v>1474</v>
      </c>
      <c r="U129" s="103" t="s">
        <v>1473</v>
      </c>
      <c r="V129" s="86" t="s">
        <v>1472</v>
      </c>
      <c r="W129" s="87" t="s">
        <v>1481</v>
      </c>
      <c r="X129" s="103" t="s">
        <v>1480</v>
      </c>
      <c r="Y129" s="103" t="s">
        <v>1479</v>
      </c>
      <c r="Z129" s="103" t="s">
        <v>1478</v>
      </c>
      <c r="AA129" s="103" t="s">
        <v>1477</v>
      </c>
      <c r="AB129" s="103" t="s">
        <v>1476</v>
      </c>
      <c r="AC129" s="103" t="s">
        <v>1475</v>
      </c>
      <c r="AD129" s="103" t="s">
        <v>1474</v>
      </c>
      <c r="AE129" s="103" t="s">
        <v>1473</v>
      </c>
      <c r="AF129" s="86" t="s">
        <v>1472</v>
      </c>
    </row>
    <row r="130" spans="2:32" ht="13.15" x14ac:dyDescent="0.4">
      <c r="B130" s="178" t="s">
        <v>405</v>
      </c>
      <c r="C130" s="138"/>
      <c r="D130" s="138"/>
      <c r="E130" s="138"/>
      <c r="F130" s="138"/>
      <c r="G130" s="138"/>
      <c r="H130" s="138"/>
      <c r="I130" s="138"/>
      <c r="J130" s="138"/>
      <c r="K130" s="138"/>
      <c r="L130" s="137"/>
      <c r="M130" s="132"/>
      <c r="N130" s="132"/>
      <c r="O130" s="132"/>
      <c r="P130" s="132"/>
      <c r="Q130" s="132"/>
      <c r="R130" s="132"/>
      <c r="S130" s="132"/>
      <c r="T130" s="132"/>
      <c r="U130" s="132"/>
      <c r="V130" s="137"/>
      <c r="W130" s="132"/>
      <c r="X130" s="132"/>
      <c r="Y130" s="132"/>
      <c r="Z130" s="132"/>
      <c r="AA130" s="132"/>
      <c r="AB130" s="132"/>
      <c r="AC130" s="132"/>
      <c r="AD130" s="132"/>
      <c r="AE130" s="132"/>
      <c r="AF130" s="137"/>
    </row>
    <row r="131" spans="2:32" x14ac:dyDescent="0.35">
      <c r="B131" s="50" t="s">
        <v>1438</v>
      </c>
      <c r="C131" s="520">
        <v>0.68600000000000005</v>
      </c>
      <c r="D131" s="132">
        <v>9.4E-2</v>
      </c>
      <c r="E131" s="132">
        <v>0.68600000000000005</v>
      </c>
      <c r="F131" s="132">
        <v>0.09</v>
      </c>
      <c r="G131" s="132">
        <v>0.68600000000000005</v>
      </c>
      <c r="H131" s="132">
        <v>8.6999999999999994E-2</v>
      </c>
      <c r="I131" s="132">
        <v>0.68600000000000005</v>
      </c>
      <c r="J131" s="132">
        <v>8.5000000000000006E-2</v>
      </c>
      <c r="K131" s="132">
        <v>0.68600000000000005</v>
      </c>
      <c r="L131" s="136">
        <v>8.6999999999999994E-2</v>
      </c>
      <c r="M131" s="569">
        <v>0.68600000000000005</v>
      </c>
      <c r="N131" s="569">
        <v>9.4E-2</v>
      </c>
      <c r="O131" s="569">
        <v>0.68600000000000005</v>
      </c>
      <c r="P131" s="569">
        <v>0.09</v>
      </c>
      <c r="Q131" s="569">
        <v>0.68600000000000005</v>
      </c>
      <c r="R131" s="569">
        <v>8.6999999999999994E-2</v>
      </c>
      <c r="S131" s="569">
        <v>0.68600000000000005</v>
      </c>
      <c r="T131" s="569">
        <v>8.5000000000000006E-2</v>
      </c>
      <c r="U131" s="569">
        <v>0.68600000000000005</v>
      </c>
      <c r="V131" s="58">
        <v>8.6999999999999994E-2</v>
      </c>
      <c r="W131" s="569">
        <v>0.73350981959585815</v>
      </c>
      <c r="X131" s="569">
        <v>0.62716489598168546</v>
      </c>
      <c r="Y131" s="569">
        <v>0</v>
      </c>
      <c r="Z131" s="569">
        <v>0</v>
      </c>
      <c r="AA131" s="569">
        <v>0</v>
      </c>
      <c r="AB131" s="569">
        <v>0</v>
      </c>
      <c r="AC131" s="569">
        <v>0</v>
      </c>
      <c r="AD131" s="569">
        <v>0</v>
      </c>
      <c r="AE131" s="569">
        <v>0</v>
      </c>
      <c r="AF131" s="58">
        <v>0</v>
      </c>
    </row>
    <row r="132" spans="2:32" x14ac:dyDescent="0.35">
      <c r="B132" s="50" t="s">
        <v>1446</v>
      </c>
      <c r="C132" s="132">
        <v>6.0000000000000001E-3</v>
      </c>
      <c r="D132" s="132">
        <v>6.8000000000000005E-2</v>
      </c>
      <c r="E132" s="132">
        <v>6.0000000000000001E-3</v>
      </c>
      <c r="F132" s="132">
        <v>6.5000000000000002E-2</v>
      </c>
      <c r="G132" s="132">
        <v>6.0000000000000001E-3</v>
      </c>
      <c r="H132" s="132">
        <v>6.3E-2</v>
      </c>
      <c r="I132" s="132">
        <v>6.0000000000000001E-3</v>
      </c>
      <c r="J132" s="132">
        <v>6.0999999999999999E-2</v>
      </c>
      <c r="K132" s="132">
        <v>6.0000000000000001E-3</v>
      </c>
      <c r="L132" s="136">
        <v>6.2E-2</v>
      </c>
      <c r="M132" s="569">
        <v>6.0000000000000001E-3</v>
      </c>
      <c r="N132" s="569">
        <v>6.8000000000000005E-2</v>
      </c>
      <c r="O132" s="569">
        <v>6.0000000000000001E-3</v>
      </c>
      <c r="P132" s="569">
        <v>6.5000000000000002E-2</v>
      </c>
      <c r="Q132" s="569">
        <v>6.0000000000000001E-3</v>
      </c>
      <c r="R132" s="569">
        <v>6.3E-2</v>
      </c>
      <c r="S132" s="569">
        <v>6.0000000000000001E-3</v>
      </c>
      <c r="T132" s="569">
        <v>6.0999999999999999E-2</v>
      </c>
      <c r="U132" s="569">
        <v>6.0000000000000001E-3</v>
      </c>
      <c r="V132" s="58">
        <v>6.2E-2</v>
      </c>
      <c r="W132" s="569">
        <v>1.0773103589837157E-2</v>
      </c>
      <c r="X132" s="569">
        <v>4.1299130851446153E-2</v>
      </c>
      <c r="Y132" s="569">
        <v>0</v>
      </c>
      <c r="Z132" s="569">
        <v>0</v>
      </c>
      <c r="AA132" s="569">
        <v>0</v>
      </c>
      <c r="AB132" s="569">
        <v>0</v>
      </c>
      <c r="AC132" s="569">
        <v>0</v>
      </c>
      <c r="AD132" s="569">
        <v>0</v>
      </c>
      <c r="AE132" s="569">
        <v>0</v>
      </c>
      <c r="AF132" s="58">
        <v>0</v>
      </c>
    </row>
    <row r="133" spans="2:32" x14ac:dyDescent="0.35">
      <c r="B133" s="50" t="s">
        <v>290</v>
      </c>
      <c r="C133" s="132">
        <v>0</v>
      </c>
      <c r="D133" s="132">
        <v>0</v>
      </c>
      <c r="E133" s="132">
        <v>0</v>
      </c>
      <c r="F133" s="132">
        <v>0</v>
      </c>
      <c r="G133" s="132">
        <v>0</v>
      </c>
      <c r="H133" s="132">
        <v>0</v>
      </c>
      <c r="I133" s="132">
        <v>0</v>
      </c>
      <c r="J133" s="132">
        <v>0</v>
      </c>
      <c r="K133" s="132">
        <v>0</v>
      </c>
      <c r="L133" s="136">
        <v>0</v>
      </c>
      <c r="M133" s="571">
        <v>0</v>
      </c>
      <c r="N133" s="569">
        <v>0</v>
      </c>
      <c r="O133" s="569">
        <v>0</v>
      </c>
      <c r="P133" s="569">
        <v>0</v>
      </c>
      <c r="Q133" s="569">
        <v>0</v>
      </c>
      <c r="R133" s="569">
        <v>0</v>
      </c>
      <c r="S133" s="569">
        <v>0</v>
      </c>
      <c r="T133" s="569">
        <v>0</v>
      </c>
      <c r="U133" s="569">
        <v>0</v>
      </c>
      <c r="V133" s="58">
        <v>0</v>
      </c>
      <c r="W133" s="569">
        <v>0</v>
      </c>
      <c r="X133" s="569">
        <v>0</v>
      </c>
      <c r="Y133" s="569">
        <v>0</v>
      </c>
      <c r="Z133" s="569">
        <v>0</v>
      </c>
      <c r="AA133" s="569">
        <v>0</v>
      </c>
      <c r="AB133" s="569">
        <v>0</v>
      </c>
      <c r="AC133" s="569">
        <v>0</v>
      </c>
      <c r="AD133" s="569">
        <v>0</v>
      </c>
      <c r="AE133" s="569">
        <v>0</v>
      </c>
      <c r="AF133" s="58">
        <v>0</v>
      </c>
    </row>
    <row r="134" spans="2:32" x14ac:dyDescent="0.35">
      <c r="B134" s="50" t="s">
        <v>1498</v>
      </c>
      <c r="C134" s="132">
        <v>1.4999999999999999E-2</v>
      </c>
      <c r="D134" s="132">
        <v>2.8000000000000001E-2</v>
      </c>
      <c r="E134" s="132">
        <v>1.4999999999999999E-2</v>
      </c>
      <c r="F134" s="132">
        <v>2.7E-2</v>
      </c>
      <c r="G134" s="132">
        <v>1.4999999999999999E-2</v>
      </c>
      <c r="H134" s="132">
        <v>2.5999999999999999E-2</v>
      </c>
      <c r="I134" s="132">
        <v>1.4999999999999999E-2</v>
      </c>
      <c r="J134" s="132">
        <v>2.5000000000000001E-2</v>
      </c>
      <c r="K134" s="132">
        <v>1.4999999999999999E-2</v>
      </c>
      <c r="L134" s="136">
        <v>2.5999999999999999E-2</v>
      </c>
      <c r="M134" s="569">
        <v>1.4999999999999999E-2</v>
      </c>
      <c r="N134" s="569">
        <v>2.8000000000000001E-2</v>
      </c>
      <c r="O134" s="569">
        <v>1.4999999999999999E-2</v>
      </c>
      <c r="P134" s="569">
        <v>2.7E-2</v>
      </c>
      <c r="Q134" s="569">
        <v>1.4999999999999999E-2</v>
      </c>
      <c r="R134" s="569">
        <v>2.5999999999999999E-2</v>
      </c>
      <c r="S134" s="569">
        <v>1.4999999999999999E-2</v>
      </c>
      <c r="T134" s="569">
        <v>2.5000000000000001E-2</v>
      </c>
      <c r="U134" s="569">
        <v>1.4999999999999999E-2</v>
      </c>
      <c r="V134" s="58">
        <v>2.5999999999999999E-2</v>
      </c>
      <c r="W134" s="569">
        <v>2.8531279934315566E-3</v>
      </c>
      <c r="X134" s="569">
        <v>2.8597549613342036E-3</v>
      </c>
      <c r="Y134" s="569">
        <v>0</v>
      </c>
      <c r="Z134" s="569">
        <v>0</v>
      </c>
      <c r="AA134" s="569">
        <v>0</v>
      </c>
      <c r="AB134" s="569">
        <v>0</v>
      </c>
      <c r="AC134" s="569">
        <v>0</v>
      </c>
      <c r="AD134" s="569">
        <v>0</v>
      </c>
      <c r="AE134" s="569">
        <v>0</v>
      </c>
      <c r="AF134" s="58">
        <v>0</v>
      </c>
    </row>
    <row r="135" spans="2:32" x14ac:dyDescent="0.35">
      <c r="B135" s="50" t="s">
        <v>241</v>
      </c>
      <c r="C135" s="132">
        <v>0</v>
      </c>
      <c r="D135" s="132">
        <v>0</v>
      </c>
      <c r="E135" s="132">
        <v>0</v>
      </c>
      <c r="F135" s="132">
        <v>0</v>
      </c>
      <c r="G135" s="132">
        <v>0</v>
      </c>
      <c r="H135" s="132">
        <v>0</v>
      </c>
      <c r="I135" s="132">
        <v>0</v>
      </c>
      <c r="J135" s="132">
        <v>0</v>
      </c>
      <c r="K135" s="132">
        <v>0</v>
      </c>
      <c r="L135" s="136">
        <v>0</v>
      </c>
      <c r="M135" s="571">
        <v>0</v>
      </c>
      <c r="N135" s="569">
        <v>0</v>
      </c>
      <c r="O135" s="569">
        <v>0</v>
      </c>
      <c r="P135" s="569">
        <v>0</v>
      </c>
      <c r="Q135" s="569">
        <v>0</v>
      </c>
      <c r="R135" s="569">
        <v>0</v>
      </c>
      <c r="S135" s="569">
        <v>0</v>
      </c>
      <c r="T135" s="569">
        <v>0</v>
      </c>
      <c r="U135" s="569">
        <v>0</v>
      </c>
      <c r="V135" s="58">
        <v>0</v>
      </c>
      <c r="W135" s="569">
        <v>0</v>
      </c>
      <c r="X135" s="569">
        <v>0</v>
      </c>
      <c r="Y135" s="569">
        <v>0</v>
      </c>
      <c r="Z135" s="569">
        <v>0</v>
      </c>
      <c r="AA135" s="569">
        <v>0</v>
      </c>
      <c r="AB135" s="569">
        <v>0</v>
      </c>
      <c r="AC135" s="569">
        <v>0</v>
      </c>
      <c r="AD135" s="569">
        <v>0</v>
      </c>
      <c r="AE135" s="569">
        <v>0</v>
      </c>
      <c r="AF135" s="58">
        <v>0</v>
      </c>
    </row>
    <row r="136" spans="2:32" x14ac:dyDescent="0.35">
      <c r="B136" s="50" t="s">
        <v>1462</v>
      </c>
      <c r="C136" s="132">
        <v>2.9999999999999997E-4</v>
      </c>
      <c r="D136" s="132">
        <v>7.0000000000000001E-3</v>
      </c>
      <c r="E136" s="132">
        <v>2.9999999999999997E-4</v>
      </c>
      <c r="F136" s="132">
        <v>6.0000000000000001E-3</v>
      </c>
      <c r="G136" s="132">
        <v>2.9999999999999997E-4</v>
      </c>
      <c r="H136" s="132">
        <v>6.0000000000000001E-3</v>
      </c>
      <c r="I136" s="132">
        <v>2.9999999999999997E-4</v>
      </c>
      <c r="J136" s="132">
        <v>6.0000000000000001E-3</v>
      </c>
      <c r="K136" s="132">
        <v>2.9999999999999997E-4</v>
      </c>
      <c r="L136" s="136">
        <v>6.0000000000000001E-3</v>
      </c>
      <c r="M136" s="569">
        <v>2.9999999999999997E-4</v>
      </c>
      <c r="N136" s="569">
        <v>7.0000000000000001E-3</v>
      </c>
      <c r="O136" s="569">
        <v>2.9999999999999997E-4</v>
      </c>
      <c r="P136" s="569">
        <v>6.0000000000000001E-3</v>
      </c>
      <c r="Q136" s="569">
        <v>2.9999999999999997E-4</v>
      </c>
      <c r="R136" s="569">
        <v>6.0000000000000001E-3</v>
      </c>
      <c r="S136" s="569">
        <v>2.9999999999999997E-4</v>
      </c>
      <c r="T136" s="569">
        <v>6.0000000000000001E-3</v>
      </c>
      <c r="U136" s="569">
        <v>2.9999999999999997E-4</v>
      </c>
      <c r="V136" s="58">
        <v>6.0000000000000001E-3</v>
      </c>
      <c r="W136" s="569">
        <v>0</v>
      </c>
      <c r="X136" s="569">
        <v>5.4530087447258804E-2</v>
      </c>
      <c r="Y136" s="569">
        <v>0</v>
      </c>
      <c r="Z136" s="569">
        <v>0</v>
      </c>
      <c r="AA136" s="569">
        <v>0</v>
      </c>
      <c r="AB136" s="569">
        <v>0</v>
      </c>
      <c r="AC136" s="569">
        <v>0</v>
      </c>
      <c r="AD136" s="569">
        <v>0</v>
      </c>
      <c r="AE136" s="569">
        <v>0</v>
      </c>
      <c r="AF136" s="58">
        <v>0</v>
      </c>
    </row>
    <row r="137" spans="2:32" x14ac:dyDescent="0.35">
      <c r="B137" s="50" t="s">
        <v>1493</v>
      </c>
      <c r="C137" s="132">
        <v>0</v>
      </c>
      <c r="D137" s="132">
        <v>0</v>
      </c>
      <c r="E137" s="132">
        <v>0</v>
      </c>
      <c r="F137" s="132">
        <v>0</v>
      </c>
      <c r="G137" s="132">
        <v>0</v>
      </c>
      <c r="H137" s="132">
        <v>0</v>
      </c>
      <c r="I137" s="132">
        <v>0</v>
      </c>
      <c r="J137" s="132">
        <v>0</v>
      </c>
      <c r="K137" s="132">
        <v>0</v>
      </c>
      <c r="L137" s="136">
        <v>0</v>
      </c>
      <c r="M137" s="571">
        <v>0</v>
      </c>
      <c r="N137" s="569">
        <v>0</v>
      </c>
      <c r="O137" s="569">
        <v>0</v>
      </c>
      <c r="P137" s="569">
        <v>0</v>
      </c>
      <c r="Q137" s="569">
        <v>0</v>
      </c>
      <c r="R137" s="569">
        <v>0</v>
      </c>
      <c r="S137" s="569">
        <v>0</v>
      </c>
      <c r="T137" s="569">
        <v>0</v>
      </c>
      <c r="U137" s="569">
        <v>0</v>
      </c>
      <c r="V137" s="58">
        <v>0</v>
      </c>
      <c r="W137" s="571">
        <v>0</v>
      </c>
      <c r="X137" s="569">
        <v>0</v>
      </c>
      <c r="Y137" s="569">
        <v>0</v>
      </c>
      <c r="Z137" s="569">
        <v>0</v>
      </c>
      <c r="AA137" s="569">
        <v>0</v>
      </c>
      <c r="AB137" s="569">
        <v>0</v>
      </c>
      <c r="AC137" s="569">
        <v>0</v>
      </c>
      <c r="AD137" s="569">
        <v>0</v>
      </c>
      <c r="AE137" s="569">
        <v>0</v>
      </c>
      <c r="AF137" s="58">
        <v>0</v>
      </c>
    </row>
    <row r="138" spans="2:32" x14ac:dyDescent="0.35">
      <c r="B138" s="50" t="s">
        <v>1514</v>
      </c>
      <c r="C138" s="132">
        <v>7.6999999999999999E-2</v>
      </c>
      <c r="D138" s="132">
        <v>9.5000000000000001E-2</v>
      </c>
      <c r="E138" s="132">
        <v>7.6999999999999999E-2</v>
      </c>
      <c r="F138" s="132">
        <v>9.1999999999999998E-2</v>
      </c>
      <c r="G138" s="132">
        <v>7.6999999999999999E-2</v>
      </c>
      <c r="H138" s="132">
        <v>8.8999999999999996E-2</v>
      </c>
      <c r="I138" s="132">
        <v>7.6999999999999999E-2</v>
      </c>
      <c r="J138" s="132">
        <v>8.5999999999999993E-2</v>
      </c>
      <c r="K138" s="132">
        <v>7.6999999999999999E-2</v>
      </c>
      <c r="L138" s="136">
        <v>8.7999999999999995E-2</v>
      </c>
      <c r="M138" s="569">
        <v>7.6999999999999999E-2</v>
      </c>
      <c r="N138" s="569">
        <v>9.5000000000000001E-2</v>
      </c>
      <c r="O138" s="569">
        <v>7.6999999999999999E-2</v>
      </c>
      <c r="P138" s="569">
        <v>9.1999999999999998E-2</v>
      </c>
      <c r="Q138" s="569">
        <v>7.6999999999999999E-2</v>
      </c>
      <c r="R138" s="569">
        <v>8.8999999999999996E-2</v>
      </c>
      <c r="S138" s="569">
        <v>7.6999999999999999E-2</v>
      </c>
      <c r="T138" s="569">
        <v>8.5999999999999993E-2</v>
      </c>
      <c r="U138" s="569">
        <v>7.6999999999999999E-2</v>
      </c>
      <c r="V138" s="58">
        <v>8.7999999999999995E-2</v>
      </c>
      <c r="W138" s="569">
        <v>4.6856614058294936E-2</v>
      </c>
      <c r="X138" s="569">
        <v>4.904608750049913E-2</v>
      </c>
      <c r="Y138" s="569">
        <v>0</v>
      </c>
      <c r="Z138" s="569">
        <v>0</v>
      </c>
      <c r="AA138" s="569">
        <v>0</v>
      </c>
      <c r="AB138" s="569">
        <v>0</v>
      </c>
      <c r="AC138" s="569">
        <v>0</v>
      </c>
      <c r="AD138" s="569">
        <v>0</v>
      </c>
      <c r="AE138" s="569">
        <v>0</v>
      </c>
      <c r="AF138" s="58">
        <v>0</v>
      </c>
    </row>
    <row r="139" spans="2:32" x14ac:dyDescent="0.35">
      <c r="B139" s="50" t="s">
        <v>1504</v>
      </c>
      <c r="C139" s="132">
        <v>0</v>
      </c>
      <c r="D139" s="132">
        <v>0.39600000000000002</v>
      </c>
      <c r="E139" s="132">
        <v>0</v>
      </c>
      <c r="F139" s="132">
        <v>0.42</v>
      </c>
      <c r="G139" s="132">
        <v>0</v>
      </c>
      <c r="H139" s="132">
        <v>0.438</v>
      </c>
      <c r="I139" s="132">
        <v>0</v>
      </c>
      <c r="J139" s="132">
        <v>0.45500000000000002</v>
      </c>
      <c r="K139" s="132">
        <v>0</v>
      </c>
      <c r="L139" s="136">
        <v>0.442</v>
      </c>
      <c r="M139" s="569">
        <v>0</v>
      </c>
      <c r="N139" s="569">
        <v>0.39600000000000002</v>
      </c>
      <c r="O139" s="569">
        <v>0</v>
      </c>
      <c r="P139" s="569">
        <v>0.42</v>
      </c>
      <c r="Q139" s="569">
        <v>0</v>
      </c>
      <c r="R139" s="569">
        <v>0.438</v>
      </c>
      <c r="S139" s="569">
        <v>0</v>
      </c>
      <c r="T139" s="569">
        <v>0.45500000000000002</v>
      </c>
      <c r="U139" s="569">
        <v>0</v>
      </c>
      <c r="V139" s="58">
        <v>0.442</v>
      </c>
      <c r="W139" s="569">
        <v>0</v>
      </c>
      <c r="X139" s="569">
        <v>0</v>
      </c>
      <c r="Y139" s="569">
        <v>0</v>
      </c>
      <c r="Z139" s="569">
        <v>0</v>
      </c>
      <c r="AA139" s="569">
        <v>0</v>
      </c>
      <c r="AB139" s="569">
        <v>0</v>
      </c>
      <c r="AC139" s="569">
        <v>0</v>
      </c>
      <c r="AD139" s="569">
        <v>0</v>
      </c>
      <c r="AE139" s="569">
        <v>0</v>
      </c>
      <c r="AF139" s="58">
        <v>0</v>
      </c>
    </row>
    <row r="140" spans="2:32" x14ac:dyDescent="0.35">
      <c r="B140" s="50" t="s">
        <v>1497</v>
      </c>
      <c r="C140" s="132">
        <v>0.16500000000000001</v>
      </c>
      <c r="D140" s="132">
        <v>0.23799999999999999</v>
      </c>
      <c r="E140" s="132">
        <v>0.16500000000000001</v>
      </c>
      <c r="F140" s="132">
        <v>0.22900000000000001</v>
      </c>
      <c r="G140" s="132">
        <v>0.16500000000000001</v>
      </c>
      <c r="H140" s="132">
        <v>0.222</v>
      </c>
      <c r="I140" s="132">
        <v>0.16500000000000001</v>
      </c>
      <c r="J140" s="132">
        <v>0.215</v>
      </c>
      <c r="K140" s="132">
        <v>0.16500000000000001</v>
      </c>
      <c r="L140" s="136">
        <v>0.22</v>
      </c>
      <c r="M140" s="569">
        <v>0.16500000000000001</v>
      </c>
      <c r="N140" s="569">
        <v>0.23799999999999999</v>
      </c>
      <c r="O140" s="569">
        <v>0.16500000000000001</v>
      </c>
      <c r="P140" s="569">
        <v>0.22900000000000001</v>
      </c>
      <c r="Q140" s="569">
        <v>0.16500000000000001</v>
      </c>
      <c r="R140" s="569">
        <v>0.222</v>
      </c>
      <c r="S140" s="569">
        <v>0.16500000000000001</v>
      </c>
      <c r="T140" s="569">
        <v>0.215</v>
      </c>
      <c r="U140" s="569">
        <v>0.16500000000000001</v>
      </c>
      <c r="V140" s="58">
        <v>0.22</v>
      </c>
      <c r="W140" s="569">
        <v>0.19607884527665009</v>
      </c>
      <c r="X140" s="569">
        <v>0.22035329690806729</v>
      </c>
      <c r="Y140" s="569">
        <v>0</v>
      </c>
      <c r="Z140" s="569">
        <v>0</v>
      </c>
      <c r="AA140" s="569">
        <v>0</v>
      </c>
      <c r="AB140" s="569">
        <v>0</v>
      </c>
      <c r="AC140" s="569">
        <v>0</v>
      </c>
      <c r="AD140" s="569">
        <v>0</v>
      </c>
      <c r="AE140" s="569">
        <v>0</v>
      </c>
      <c r="AF140" s="58">
        <v>0</v>
      </c>
    </row>
    <row r="141" spans="2:32" x14ac:dyDescent="0.35">
      <c r="B141" s="50" t="s">
        <v>1457</v>
      </c>
      <c r="C141" s="132">
        <v>1.6E-2</v>
      </c>
      <c r="D141" s="132">
        <v>2.8000000000000001E-2</v>
      </c>
      <c r="E141" s="132">
        <v>1.6E-2</v>
      </c>
      <c r="F141" s="132">
        <v>2.7E-2</v>
      </c>
      <c r="G141" s="132">
        <v>1.6E-2</v>
      </c>
      <c r="H141" s="132">
        <v>2.5999999999999999E-2</v>
      </c>
      <c r="I141" s="132">
        <v>1.6E-2</v>
      </c>
      <c r="J141" s="132">
        <v>2.5000000000000001E-2</v>
      </c>
      <c r="K141" s="132">
        <v>1.6E-2</v>
      </c>
      <c r="L141" s="136">
        <v>2.5999999999999999E-2</v>
      </c>
      <c r="M141" s="569">
        <v>1.6E-2</v>
      </c>
      <c r="N141" s="569">
        <v>2.8000000000000001E-2</v>
      </c>
      <c r="O141" s="569">
        <v>1.6E-2</v>
      </c>
      <c r="P141" s="569">
        <v>2.7E-2</v>
      </c>
      <c r="Q141" s="569">
        <v>1.6E-2</v>
      </c>
      <c r="R141" s="569">
        <v>2.5999999999999999E-2</v>
      </c>
      <c r="S141" s="569">
        <v>1.6E-2</v>
      </c>
      <c r="T141" s="569">
        <v>2.5000000000000001E-2</v>
      </c>
      <c r="U141" s="569">
        <v>1.6E-2</v>
      </c>
      <c r="V141" s="58">
        <v>2.5999999999999999E-2</v>
      </c>
      <c r="W141" s="569">
        <v>9.9284894859280222E-3</v>
      </c>
      <c r="X141" s="569">
        <v>4.7467463497091744E-3</v>
      </c>
      <c r="Y141" s="569">
        <v>0</v>
      </c>
      <c r="Z141" s="569">
        <v>0</v>
      </c>
      <c r="AA141" s="569">
        <v>0</v>
      </c>
      <c r="AB141" s="569">
        <v>0</v>
      </c>
      <c r="AC141" s="569">
        <v>0</v>
      </c>
      <c r="AD141" s="569">
        <v>0</v>
      </c>
      <c r="AE141" s="569">
        <v>0</v>
      </c>
      <c r="AF141" s="58">
        <v>0</v>
      </c>
    </row>
    <row r="142" spans="2:32" x14ac:dyDescent="0.35">
      <c r="B142" s="46" t="s">
        <v>1466</v>
      </c>
      <c r="C142" s="122">
        <v>3.4699999999999953E-2</v>
      </c>
      <c r="D142" s="122">
        <v>4.599999999999993E-2</v>
      </c>
      <c r="E142" s="122">
        <v>3.4699999999999953E-2</v>
      </c>
      <c r="F142" s="122">
        <v>4.4000000000000039E-2</v>
      </c>
      <c r="G142" s="122">
        <v>3.4699999999999953E-2</v>
      </c>
      <c r="H142" s="122">
        <v>4.2999999999999927E-2</v>
      </c>
      <c r="I142" s="122">
        <v>3.4699999999999953E-2</v>
      </c>
      <c r="J142" s="122">
        <v>4.2000000000000037E-2</v>
      </c>
      <c r="K142" s="122">
        <v>3.4699999999999953E-2</v>
      </c>
      <c r="L142" s="56">
        <v>4.2999999999999927E-2</v>
      </c>
      <c r="M142" s="122">
        <v>3.4699999999999953E-2</v>
      </c>
      <c r="N142" s="122">
        <v>4.599999999999993E-2</v>
      </c>
      <c r="O142" s="122">
        <v>3.4699999999999953E-2</v>
      </c>
      <c r="P142" s="122">
        <v>4.4000000000000039E-2</v>
      </c>
      <c r="Q142" s="122">
        <v>3.4699999999999953E-2</v>
      </c>
      <c r="R142" s="122">
        <v>4.2999999999999927E-2</v>
      </c>
      <c r="S142" s="122">
        <v>3.4699999999999953E-2</v>
      </c>
      <c r="T142" s="122">
        <v>4.2000000000000037E-2</v>
      </c>
      <c r="U142" s="122">
        <v>3.4699999999999953E-2</v>
      </c>
      <c r="V142" s="56">
        <v>4.2999999999999927E-2</v>
      </c>
      <c r="W142" s="122">
        <v>0</v>
      </c>
      <c r="X142" s="122">
        <v>0</v>
      </c>
      <c r="Y142" s="122">
        <v>1</v>
      </c>
      <c r="Z142" s="122">
        <v>1</v>
      </c>
      <c r="AA142" s="122">
        <v>1</v>
      </c>
      <c r="AB142" s="122">
        <v>1</v>
      </c>
      <c r="AC142" s="122">
        <v>1</v>
      </c>
      <c r="AD142" s="122">
        <v>1</v>
      </c>
      <c r="AE142" s="122">
        <v>1</v>
      </c>
      <c r="AF142" s="56">
        <v>1</v>
      </c>
    </row>
    <row r="143" spans="2:32" ht="13.15" x14ac:dyDescent="0.4">
      <c r="B143" s="238" t="s">
        <v>2249</v>
      </c>
      <c r="C143" s="132"/>
      <c r="D143" s="132"/>
      <c r="E143" s="132"/>
      <c r="F143" s="132"/>
      <c r="G143" s="132"/>
      <c r="H143" s="132"/>
      <c r="I143" s="132"/>
      <c r="J143" s="132"/>
      <c r="K143" s="132"/>
      <c r="L143" s="136"/>
      <c r="M143" s="572"/>
      <c r="N143" s="138"/>
      <c r="O143" s="138"/>
      <c r="P143" s="138"/>
      <c r="Q143" s="138"/>
      <c r="R143" s="138"/>
      <c r="S143" s="138"/>
      <c r="T143" s="138"/>
      <c r="U143" s="138"/>
      <c r="V143" s="137"/>
      <c r="W143" s="132"/>
      <c r="X143" s="132"/>
      <c r="Y143" s="132"/>
      <c r="Z143" s="132"/>
      <c r="AA143" s="132"/>
      <c r="AB143" s="132"/>
      <c r="AC143" s="132"/>
      <c r="AD143" s="132"/>
      <c r="AE143" s="132"/>
      <c r="AF143" s="136"/>
    </row>
    <row r="144" spans="2:32" x14ac:dyDescent="0.35">
      <c r="B144" s="50" t="s">
        <v>1438</v>
      </c>
      <c r="C144" s="132">
        <v>0.38600000000000001</v>
      </c>
      <c r="D144" s="132">
        <v>0.54800000000000004</v>
      </c>
      <c r="E144" s="132">
        <v>0.48399999999999999</v>
      </c>
      <c r="F144" s="132">
        <v>0.61099999999999999</v>
      </c>
      <c r="G144" s="132">
        <v>0.51200000000000001</v>
      </c>
      <c r="H144" s="132">
        <v>0.63100000000000001</v>
      </c>
      <c r="I144" s="132">
        <v>0.46800000000000003</v>
      </c>
      <c r="J144" s="132">
        <v>0</v>
      </c>
      <c r="K144" s="132">
        <v>0.18710919904856269</v>
      </c>
      <c r="L144" s="136">
        <v>0.18710919904856269</v>
      </c>
      <c r="M144" s="126">
        <v>0.38600000000000001</v>
      </c>
      <c r="N144" s="125">
        <v>0.54800000000000004</v>
      </c>
      <c r="O144" s="125">
        <v>0.48399999999999999</v>
      </c>
      <c r="P144" s="125">
        <v>0.61099999999999999</v>
      </c>
      <c r="Q144" s="125">
        <v>0.51200000000000001</v>
      </c>
      <c r="R144" s="125">
        <v>0.63100000000000001</v>
      </c>
      <c r="S144" s="125">
        <v>0.46800000000000003</v>
      </c>
      <c r="T144" s="125">
        <v>0</v>
      </c>
      <c r="U144" s="125">
        <v>0.18710919904856269</v>
      </c>
      <c r="V144" s="124">
        <v>0.18710919904856269</v>
      </c>
      <c r="W144" s="569">
        <v>0.56399656070636417</v>
      </c>
      <c r="X144" s="569">
        <v>0.51766336123838641</v>
      </c>
      <c r="Y144" s="569">
        <v>0</v>
      </c>
      <c r="Z144" s="569">
        <v>0</v>
      </c>
      <c r="AA144" s="569">
        <v>0</v>
      </c>
      <c r="AB144" s="569">
        <v>0</v>
      </c>
      <c r="AC144" s="569">
        <v>0</v>
      </c>
      <c r="AD144" s="569">
        <v>0</v>
      </c>
      <c r="AE144" s="569">
        <v>0</v>
      </c>
      <c r="AF144" s="58">
        <v>0</v>
      </c>
    </row>
    <row r="145" spans="2:32" x14ac:dyDescent="0.35">
      <c r="B145" s="50" t="s">
        <v>1495</v>
      </c>
      <c r="C145" s="132">
        <v>0</v>
      </c>
      <c r="D145" s="132">
        <v>3.5000000000000003E-2</v>
      </c>
      <c r="E145" s="132">
        <v>0</v>
      </c>
      <c r="F145" s="132">
        <v>0.03</v>
      </c>
      <c r="G145" s="132">
        <v>0</v>
      </c>
      <c r="H145" s="132">
        <v>2.7E-2</v>
      </c>
      <c r="I145" s="132">
        <v>0</v>
      </c>
      <c r="J145" s="132">
        <v>0</v>
      </c>
      <c r="K145" s="132">
        <v>0.31347914244110364</v>
      </c>
      <c r="L145" s="136">
        <v>0.31347914244110364</v>
      </c>
      <c r="M145" s="126">
        <v>0</v>
      </c>
      <c r="N145" s="125">
        <v>3.5000000000000003E-2</v>
      </c>
      <c r="O145" s="125">
        <v>0</v>
      </c>
      <c r="P145" s="125">
        <v>0.03</v>
      </c>
      <c r="Q145" s="125">
        <v>0</v>
      </c>
      <c r="R145" s="125">
        <v>2.7E-2</v>
      </c>
      <c r="S145" s="125">
        <v>0</v>
      </c>
      <c r="T145" s="125">
        <v>0</v>
      </c>
      <c r="U145" s="125">
        <v>0.31347914244110364</v>
      </c>
      <c r="V145" s="124">
        <v>0.31347914244110364</v>
      </c>
      <c r="W145" s="569">
        <v>0</v>
      </c>
      <c r="X145" s="569">
        <v>0</v>
      </c>
      <c r="Y145" s="569">
        <v>0</v>
      </c>
      <c r="Z145" s="569">
        <v>0</v>
      </c>
      <c r="AA145" s="569">
        <v>0</v>
      </c>
      <c r="AB145" s="569">
        <v>0</v>
      </c>
      <c r="AC145" s="569">
        <v>0</v>
      </c>
      <c r="AD145" s="569">
        <v>0</v>
      </c>
      <c r="AE145" s="569">
        <v>0</v>
      </c>
      <c r="AF145" s="58">
        <v>0</v>
      </c>
    </row>
    <row r="146" spans="2:32" x14ac:dyDescent="0.35">
      <c r="B146" s="50" t="s">
        <v>1512</v>
      </c>
      <c r="C146" s="132">
        <v>0.29099999999999998</v>
      </c>
      <c r="D146" s="132">
        <v>5.2999999999999999E-2</v>
      </c>
      <c r="E146" s="132">
        <v>0.24199999999999999</v>
      </c>
      <c r="F146" s="132">
        <v>4.5999999999999999E-2</v>
      </c>
      <c r="G146" s="132">
        <v>0.22800000000000001</v>
      </c>
      <c r="H146" s="132">
        <v>4.1000000000000002E-2</v>
      </c>
      <c r="I146" s="132">
        <v>0</v>
      </c>
      <c r="J146" s="132">
        <v>0</v>
      </c>
      <c r="K146" s="132">
        <v>7.6391227457442282E-4</v>
      </c>
      <c r="L146" s="136">
        <v>7.6391227457442282E-4</v>
      </c>
      <c r="M146" s="126">
        <v>0.29099999999999998</v>
      </c>
      <c r="N146" s="125">
        <v>5.2999999999999999E-2</v>
      </c>
      <c r="O146" s="125">
        <v>0.24199999999999999</v>
      </c>
      <c r="P146" s="125">
        <v>4.5999999999999999E-2</v>
      </c>
      <c r="Q146" s="125">
        <v>0.22800000000000001</v>
      </c>
      <c r="R146" s="125">
        <v>4.1000000000000002E-2</v>
      </c>
      <c r="S146" s="125">
        <v>0</v>
      </c>
      <c r="T146" s="125">
        <v>0</v>
      </c>
      <c r="U146" s="125">
        <v>7.6391227457442282E-4</v>
      </c>
      <c r="V146" s="124">
        <v>7.6391227457442282E-4</v>
      </c>
      <c r="W146" s="569">
        <v>9.5196747430748591E-3</v>
      </c>
      <c r="X146" s="569">
        <v>0</v>
      </c>
      <c r="Y146" s="569">
        <v>0</v>
      </c>
      <c r="Z146" s="569">
        <v>0</v>
      </c>
      <c r="AA146" s="569">
        <v>0</v>
      </c>
      <c r="AB146" s="569">
        <v>0</v>
      </c>
      <c r="AC146" s="569">
        <v>0</v>
      </c>
      <c r="AD146" s="569">
        <v>0</v>
      </c>
      <c r="AE146" s="569">
        <v>0</v>
      </c>
      <c r="AF146" s="58">
        <v>0</v>
      </c>
    </row>
    <row r="147" spans="2:32" x14ac:dyDescent="0.35">
      <c r="B147" s="50" t="s">
        <v>1446</v>
      </c>
      <c r="C147" s="132">
        <v>0</v>
      </c>
      <c r="D147" s="132">
        <v>1.7000000000000001E-2</v>
      </c>
      <c r="E147" s="132">
        <v>0</v>
      </c>
      <c r="F147" s="132">
        <v>2.4E-2</v>
      </c>
      <c r="G147" s="132">
        <v>0</v>
      </c>
      <c r="H147" s="132">
        <v>2.7E-2</v>
      </c>
      <c r="I147" s="132">
        <v>0</v>
      </c>
      <c r="J147" s="132">
        <v>0.30599999999999999</v>
      </c>
      <c r="K147" s="132">
        <v>0.16794927778569879</v>
      </c>
      <c r="L147" s="136">
        <v>0.16794927778569879</v>
      </c>
      <c r="M147" s="126">
        <v>0</v>
      </c>
      <c r="N147" s="125">
        <v>1.7000000000000001E-2</v>
      </c>
      <c r="O147" s="125">
        <v>0</v>
      </c>
      <c r="P147" s="125">
        <v>2.4E-2</v>
      </c>
      <c r="Q147" s="125">
        <v>0</v>
      </c>
      <c r="R147" s="125">
        <v>2.7E-2</v>
      </c>
      <c r="S147" s="125">
        <v>0</v>
      </c>
      <c r="T147" s="125">
        <v>0.30599999999999999</v>
      </c>
      <c r="U147" s="125">
        <v>0.16794927778569879</v>
      </c>
      <c r="V147" s="124">
        <v>0.16794927778569879</v>
      </c>
      <c r="W147" s="569">
        <v>3.346784038139435E-3</v>
      </c>
      <c r="X147" s="569">
        <v>1.1986382149800318E-2</v>
      </c>
      <c r="Y147" s="569">
        <v>0</v>
      </c>
      <c r="Z147" s="569">
        <v>0</v>
      </c>
      <c r="AA147" s="569">
        <v>0</v>
      </c>
      <c r="AB147" s="569">
        <v>0</v>
      </c>
      <c r="AC147" s="569">
        <v>0</v>
      </c>
      <c r="AD147" s="569">
        <v>0</v>
      </c>
      <c r="AE147" s="569">
        <v>0</v>
      </c>
      <c r="AF147" s="58">
        <v>0</v>
      </c>
    </row>
    <row r="148" spans="2:32" x14ac:dyDescent="0.35">
      <c r="B148" s="50" t="s">
        <v>1445</v>
      </c>
      <c r="C148" s="132">
        <v>0.17399999999999999</v>
      </c>
      <c r="D148" s="132">
        <v>0.17699999999999999</v>
      </c>
      <c r="E148" s="132">
        <v>0.14499999999999999</v>
      </c>
      <c r="F148" s="132">
        <v>0.152</v>
      </c>
      <c r="G148" s="132">
        <v>0.13700000000000001</v>
      </c>
      <c r="H148" s="132">
        <v>0.13700000000000001</v>
      </c>
      <c r="I148" s="132">
        <v>0</v>
      </c>
      <c r="J148" s="132">
        <v>0</v>
      </c>
      <c r="K148" s="132">
        <v>0</v>
      </c>
      <c r="L148" s="136">
        <v>0</v>
      </c>
      <c r="M148" s="126">
        <v>0.17399999999999999</v>
      </c>
      <c r="N148" s="125">
        <v>0.17699999999999999</v>
      </c>
      <c r="O148" s="125">
        <v>0.14499999999999999</v>
      </c>
      <c r="P148" s="125">
        <v>0.152</v>
      </c>
      <c r="Q148" s="125">
        <v>0.13700000000000001</v>
      </c>
      <c r="R148" s="125">
        <v>0.13700000000000001</v>
      </c>
      <c r="S148" s="125">
        <v>0</v>
      </c>
      <c r="T148" s="125">
        <v>0</v>
      </c>
      <c r="U148" s="125"/>
      <c r="V148" s="124"/>
      <c r="W148" s="569">
        <v>0.25914276754582816</v>
      </c>
      <c r="X148" s="569">
        <v>0.11180514863423179</v>
      </c>
      <c r="Y148" s="569">
        <v>0</v>
      </c>
      <c r="Z148" s="569">
        <v>0</v>
      </c>
      <c r="AA148" s="569">
        <v>0</v>
      </c>
      <c r="AB148" s="569">
        <v>0</v>
      </c>
      <c r="AC148" s="569">
        <v>0</v>
      </c>
      <c r="AD148" s="569">
        <v>0</v>
      </c>
      <c r="AE148" s="569">
        <v>0</v>
      </c>
      <c r="AF148" s="58">
        <v>0</v>
      </c>
    </row>
    <row r="149" spans="2:32" x14ac:dyDescent="0.35">
      <c r="B149" s="50" t="s">
        <v>1498</v>
      </c>
      <c r="C149" s="132">
        <v>2.9000000000000001E-2</v>
      </c>
      <c r="D149" s="132">
        <v>3.7999999999999999E-2</v>
      </c>
      <c r="E149" s="132">
        <v>2.5000000000000001E-2</v>
      </c>
      <c r="F149" s="132">
        <v>0.03</v>
      </c>
      <c r="G149" s="132">
        <v>2.7E-2</v>
      </c>
      <c r="H149" s="132">
        <v>3.2000000000000001E-2</v>
      </c>
      <c r="I149" s="132">
        <v>0.218</v>
      </c>
      <c r="J149" s="132">
        <v>0.28399999999999997</v>
      </c>
      <c r="K149" s="132">
        <v>1.7274919301796213E-2</v>
      </c>
      <c r="L149" s="136">
        <v>1.7274919301796213E-2</v>
      </c>
      <c r="M149" s="126">
        <v>2.9000000000000001E-2</v>
      </c>
      <c r="N149" s="125">
        <v>3.7999999999999999E-2</v>
      </c>
      <c r="O149" s="125">
        <v>2.5000000000000001E-2</v>
      </c>
      <c r="P149" s="125">
        <v>0.03</v>
      </c>
      <c r="Q149" s="125">
        <v>2.7E-2</v>
      </c>
      <c r="R149" s="125">
        <v>3.2000000000000001E-2</v>
      </c>
      <c r="S149" s="125">
        <v>0.218</v>
      </c>
      <c r="T149" s="125">
        <v>0.28399999999999997</v>
      </c>
      <c r="U149" s="125">
        <v>1.7274919301796213E-2</v>
      </c>
      <c r="V149" s="124">
        <v>1.7274919301796213E-2</v>
      </c>
      <c r="W149" s="569">
        <v>6.9593065521546607E-2</v>
      </c>
      <c r="X149" s="569">
        <v>7.633675856724681E-2</v>
      </c>
      <c r="Y149" s="569">
        <v>0</v>
      </c>
      <c r="Z149" s="569">
        <v>0</v>
      </c>
      <c r="AA149" s="569">
        <v>0</v>
      </c>
      <c r="AB149" s="569">
        <v>0</v>
      </c>
      <c r="AC149" s="569">
        <v>0</v>
      </c>
      <c r="AD149" s="569">
        <v>0</v>
      </c>
      <c r="AE149" s="569">
        <v>0</v>
      </c>
      <c r="AF149" s="58">
        <v>0</v>
      </c>
    </row>
    <row r="150" spans="2:32" x14ac:dyDescent="0.35">
      <c r="B150" s="50" t="s">
        <v>1427</v>
      </c>
      <c r="C150" s="132">
        <v>0</v>
      </c>
      <c r="D150" s="132">
        <v>0</v>
      </c>
      <c r="E150" s="132">
        <v>0</v>
      </c>
      <c r="F150" s="132">
        <v>0</v>
      </c>
      <c r="G150" s="132">
        <v>0</v>
      </c>
      <c r="H150" s="132">
        <v>0</v>
      </c>
      <c r="I150" s="132">
        <v>0</v>
      </c>
      <c r="J150" s="132">
        <v>0</v>
      </c>
      <c r="K150" s="132">
        <v>0</v>
      </c>
      <c r="L150" s="136">
        <v>0</v>
      </c>
      <c r="M150" s="126">
        <v>0</v>
      </c>
      <c r="N150" s="125">
        <v>0</v>
      </c>
      <c r="O150" s="125">
        <v>0</v>
      </c>
      <c r="P150" s="125">
        <v>0</v>
      </c>
      <c r="Q150" s="125">
        <v>0</v>
      </c>
      <c r="R150" s="125">
        <v>0</v>
      </c>
      <c r="S150" s="125">
        <v>0</v>
      </c>
      <c r="T150" s="125">
        <v>0</v>
      </c>
      <c r="U150" s="125"/>
      <c r="V150" s="124"/>
      <c r="W150" s="569">
        <v>0</v>
      </c>
      <c r="X150" s="569">
        <v>7.4112527791815305E-2</v>
      </c>
      <c r="Y150" s="569">
        <v>0</v>
      </c>
      <c r="Z150" s="569">
        <v>0</v>
      </c>
      <c r="AA150" s="569">
        <v>0</v>
      </c>
      <c r="AB150" s="569">
        <v>0</v>
      </c>
      <c r="AC150" s="569">
        <v>0</v>
      </c>
      <c r="AD150" s="569">
        <v>0</v>
      </c>
      <c r="AE150" s="569">
        <v>0</v>
      </c>
      <c r="AF150" s="58">
        <v>0</v>
      </c>
    </row>
    <row r="151" spans="2:32" x14ac:dyDescent="0.35">
      <c r="B151" s="50" t="s">
        <v>1493</v>
      </c>
      <c r="C151" s="132">
        <v>0</v>
      </c>
      <c r="D151" s="132">
        <v>0</v>
      </c>
      <c r="E151" s="132">
        <v>0</v>
      </c>
      <c r="F151" s="132">
        <v>0</v>
      </c>
      <c r="G151" s="132">
        <v>0</v>
      </c>
      <c r="H151" s="132">
        <v>0</v>
      </c>
      <c r="I151" s="132">
        <v>0</v>
      </c>
      <c r="J151" s="132">
        <v>0</v>
      </c>
      <c r="K151" s="132">
        <v>2.5916749175188158E-2</v>
      </c>
      <c r="L151" s="136">
        <v>2.5916749175188158E-2</v>
      </c>
      <c r="M151" s="126">
        <v>0</v>
      </c>
      <c r="N151" s="125">
        <v>0</v>
      </c>
      <c r="O151" s="125">
        <v>0</v>
      </c>
      <c r="P151" s="125">
        <v>0</v>
      </c>
      <c r="Q151" s="125">
        <v>0</v>
      </c>
      <c r="R151" s="125">
        <v>0</v>
      </c>
      <c r="S151" s="125">
        <v>0</v>
      </c>
      <c r="T151" s="125">
        <v>0</v>
      </c>
      <c r="U151" s="125">
        <v>2.5916749175188158E-2</v>
      </c>
      <c r="V151" s="124">
        <v>2.5916749175188158E-2</v>
      </c>
      <c r="W151" s="569">
        <v>0</v>
      </c>
      <c r="X151" s="569">
        <v>0</v>
      </c>
      <c r="Y151" s="569">
        <v>0</v>
      </c>
      <c r="Z151" s="569">
        <v>0</v>
      </c>
      <c r="AA151" s="569">
        <v>0</v>
      </c>
      <c r="AB151" s="569">
        <v>0</v>
      </c>
      <c r="AC151" s="569">
        <v>0</v>
      </c>
      <c r="AD151" s="569">
        <v>0</v>
      </c>
      <c r="AE151" s="569">
        <v>0</v>
      </c>
      <c r="AF151" s="58">
        <v>0</v>
      </c>
    </row>
    <row r="152" spans="2:32" x14ac:dyDescent="0.35">
      <c r="B152" s="50" t="s">
        <v>1497</v>
      </c>
      <c r="C152" s="132">
        <v>9.4E-2</v>
      </c>
      <c r="D152" s="132">
        <v>0.114</v>
      </c>
      <c r="E152" s="132">
        <v>8.2000000000000003E-2</v>
      </c>
      <c r="F152" s="132">
        <v>9.1999999999999998E-2</v>
      </c>
      <c r="G152" s="132">
        <v>7.4999999999999997E-2</v>
      </c>
      <c r="H152" s="132">
        <v>9.0999999999999998E-2</v>
      </c>
      <c r="I152" s="132">
        <v>0.314</v>
      </c>
      <c r="J152" s="132">
        <v>0.41</v>
      </c>
      <c r="K152" s="132">
        <v>0.16617678413030071</v>
      </c>
      <c r="L152" s="136">
        <v>0.16617678413030071</v>
      </c>
      <c r="M152" s="126">
        <v>9.4E-2</v>
      </c>
      <c r="N152" s="125">
        <v>0.114</v>
      </c>
      <c r="O152" s="125">
        <v>8.2000000000000003E-2</v>
      </c>
      <c r="P152" s="125">
        <v>9.1999999999999998E-2</v>
      </c>
      <c r="Q152" s="125">
        <v>7.4999999999999997E-2</v>
      </c>
      <c r="R152" s="125">
        <v>9.0999999999999998E-2</v>
      </c>
      <c r="S152" s="125">
        <v>0.314</v>
      </c>
      <c r="T152" s="125">
        <v>0.41</v>
      </c>
      <c r="U152" s="125">
        <v>0.16617678413030071</v>
      </c>
      <c r="V152" s="124">
        <v>0.16617678413030071</v>
      </c>
      <c r="W152" s="569">
        <v>9.4396669102394845E-2</v>
      </c>
      <c r="X152" s="569">
        <v>0.20809033533887458</v>
      </c>
      <c r="Y152" s="569">
        <v>0</v>
      </c>
      <c r="Z152" s="569">
        <v>0</v>
      </c>
      <c r="AA152" s="569">
        <v>0</v>
      </c>
      <c r="AB152" s="569">
        <v>0</v>
      </c>
      <c r="AC152" s="569">
        <v>0</v>
      </c>
      <c r="AD152" s="569">
        <v>0</v>
      </c>
      <c r="AE152" s="569">
        <v>0</v>
      </c>
      <c r="AF152" s="58">
        <v>0</v>
      </c>
    </row>
    <row r="153" spans="2:32" x14ac:dyDescent="0.35">
      <c r="B153" s="50" t="s">
        <v>1457</v>
      </c>
      <c r="C153" s="132">
        <v>2.5999999999999999E-2</v>
      </c>
      <c r="D153" s="132">
        <v>1.7999999999999999E-2</v>
      </c>
      <c r="E153" s="132">
        <v>2.1999999999999999E-2</v>
      </c>
      <c r="F153" s="132">
        <v>1.4999999999999999E-2</v>
      </c>
      <c r="G153" s="132">
        <v>2.1000000000000001E-2</v>
      </c>
      <c r="H153" s="132">
        <v>1.4E-2</v>
      </c>
      <c r="I153" s="132">
        <v>0</v>
      </c>
      <c r="J153" s="132">
        <v>0</v>
      </c>
      <c r="K153" s="132">
        <v>6.4615988571509395E-2</v>
      </c>
      <c r="L153" s="136">
        <v>6.4615988571509395E-2</v>
      </c>
      <c r="M153" s="126">
        <v>2.5999999999999999E-2</v>
      </c>
      <c r="N153" s="125">
        <v>1.7999999999999999E-2</v>
      </c>
      <c r="O153" s="125">
        <v>2.1999999999999999E-2</v>
      </c>
      <c r="P153" s="125">
        <v>1.4999999999999999E-2</v>
      </c>
      <c r="Q153" s="125">
        <v>2.1000000000000001E-2</v>
      </c>
      <c r="R153" s="125">
        <v>1.4E-2</v>
      </c>
      <c r="S153" s="125">
        <v>0</v>
      </c>
      <c r="T153" s="125">
        <v>0</v>
      </c>
      <c r="U153" s="125">
        <v>6.4615988571509395E-2</v>
      </c>
      <c r="V153" s="124">
        <v>6.4615988571509395E-2</v>
      </c>
      <c r="W153" s="569">
        <v>0</v>
      </c>
      <c r="X153" s="569">
        <v>0</v>
      </c>
      <c r="Y153" s="569">
        <v>0</v>
      </c>
      <c r="Z153" s="569">
        <v>0</v>
      </c>
      <c r="AA153" s="569">
        <v>0</v>
      </c>
      <c r="AB153" s="569">
        <v>0</v>
      </c>
      <c r="AC153" s="569">
        <v>0</v>
      </c>
      <c r="AD153" s="569">
        <v>0</v>
      </c>
      <c r="AE153" s="569">
        <v>0</v>
      </c>
      <c r="AF153" s="58">
        <v>0</v>
      </c>
    </row>
    <row r="154" spans="2:32" x14ac:dyDescent="0.35">
      <c r="B154" s="50" t="s">
        <v>1504</v>
      </c>
      <c r="C154" s="132">
        <v>0</v>
      </c>
      <c r="D154" s="132">
        <v>0</v>
      </c>
      <c r="E154" s="132">
        <v>0</v>
      </c>
      <c r="F154" s="132">
        <v>0</v>
      </c>
      <c r="G154" s="132">
        <v>1.2979566905487986E-5</v>
      </c>
      <c r="H154" s="132">
        <v>1.2979566905487986E-5</v>
      </c>
      <c r="I154" s="132">
        <v>0</v>
      </c>
      <c r="J154" s="132">
        <v>0</v>
      </c>
      <c r="K154" s="132">
        <v>0</v>
      </c>
      <c r="L154" s="136">
        <v>0</v>
      </c>
      <c r="M154" s="126">
        <v>0</v>
      </c>
      <c r="N154" s="125">
        <v>0</v>
      </c>
      <c r="O154" s="125">
        <v>0</v>
      </c>
      <c r="P154" s="125">
        <v>0</v>
      </c>
      <c r="Q154" s="125">
        <v>1.2979566905487986E-5</v>
      </c>
      <c r="R154" s="125">
        <v>1.2979566905487986E-5</v>
      </c>
      <c r="S154" s="125">
        <v>0</v>
      </c>
      <c r="T154" s="125">
        <v>0</v>
      </c>
      <c r="U154" s="125"/>
      <c r="V154" s="124"/>
      <c r="W154" s="569">
        <v>0</v>
      </c>
      <c r="X154" s="569">
        <v>0</v>
      </c>
      <c r="Y154" s="569">
        <v>0</v>
      </c>
      <c r="Z154" s="569">
        <v>0</v>
      </c>
      <c r="AA154" s="569">
        <v>0</v>
      </c>
      <c r="AB154" s="569">
        <v>0</v>
      </c>
      <c r="AC154" s="569">
        <v>0</v>
      </c>
      <c r="AD154" s="569">
        <v>0</v>
      </c>
      <c r="AE154" s="569">
        <v>0</v>
      </c>
      <c r="AF154" s="58">
        <v>0</v>
      </c>
    </row>
    <row r="155" spans="2:32" x14ac:dyDescent="0.35">
      <c r="B155" s="50" t="s">
        <v>1511</v>
      </c>
      <c r="C155" s="132">
        <v>0</v>
      </c>
      <c r="D155" s="132">
        <v>0</v>
      </c>
      <c r="E155" s="132">
        <v>0</v>
      </c>
      <c r="F155" s="132">
        <v>0</v>
      </c>
      <c r="G155" s="132">
        <v>0</v>
      </c>
      <c r="H155" s="132">
        <v>0</v>
      </c>
      <c r="I155" s="132">
        <v>0</v>
      </c>
      <c r="J155" s="132">
        <v>0</v>
      </c>
      <c r="K155" s="132">
        <v>6.1984188925405387E-3</v>
      </c>
      <c r="L155" s="136">
        <v>6.1984188925405387E-3</v>
      </c>
      <c r="M155" s="126">
        <v>0</v>
      </c>
      <c r="N155" s="125">
        <v>0</v>
      </c>
      <c r="O155" s="125">
        <v>0</v>
      </c>
      <c r="P155" s="125">
        <v>0</v>
      </c>
      <c r="Q155" s="125">
        <v>0</v>
      </c>
      <c r="R155" s="125">
        <v>0</v>
      </c>
      <c r="S155" s="125">
        <v>0</v>
      </c>
      <c r="T155" s="125">
        <v>0</v>
      </c>
      <c r="U155" s="125">
        <v>6.1984188925405387E-3</v>
      </c>
      <c r="V155" s="124">
        <v>6.1984188925405387E-3</v>
      </c>
      <c r="W155" s="569">
        <v>0</v>
      </c>
      <c r="X155" s="569">
        <v>0</v>
      </c>
      <c r="Y155" s="569">
        <v>0</v>
      </c>
      <c r="Z155" s="569">
        <v>0</v>
      </c>
      <c r="AA155" s="569">
        <v>0</v>
      </c>
      <c r="AB155" s="569">
        <v>0</v>
      </c>
      <c r="AC155" s="569">
        <v>0</v>
      </c>
      <c r="AD155" s="569">
        <v>0</v>
      </c>
      <c r="AE155" s="569">
        <v>0</v>
      </c>
      <c r="AF155" s="58">
        <v>0</v>
      </c>
    </row>
    <row r="156" spans="2:32" x14ac:dyDescent="0.35">
      <c r="B156" s="50" t="s">
        <v>1510</v>
      </c>
      <c r="C156" s="132">
        <v>0</v>
      </c>
      <c r="D156" s="132">
        <v>0</v>
      </c>
      <c r="E156" s="132">
        <v>0</v>
      </c>
      <c r="F156" s="132">
        <v>0</v>
      </c>
      <c r="G156" s="132">
        <v>0</v>
      </c>
      <c r="H156" s="132">
        <v>0</v>
      </c>
      <c r="I156" s="132">
        <v>0</v>
      </c>
      <c r="J156" s="132">
        <v>0</v>
      </c>
      <c r="K156" s="132">
        <v>2.1400740290504861E-2</v>
      </c>
      <c r="L156" s="136">
        <v>2.1400740290504861E-2</v>
      </c>
      <c r="M156" s="126">
        <v>0</v>
      </c>
      <c r="N156" s="125">
        <v>0</v>
      </c>
      <c r="O156" s="125">
        <v>0</v>
      </c>
      <c r="P156" s="125">
        <v>0</v>
      </c>
      <c r="Q156" s="125">
        <v>0</v>
      </c>
      <c r="R156" s="125">
        <v>0</v>
      </c>
      <c r="S156" s="125">
        <v>0</v>
      </c>
      <c r="T156" s="125">
        <v>0</v>
      </c>
      <c r="U156" s="125">
        <v>2.1400740290504861E-2</v>
      </c>
      <c r="V156" s="124">
        <v>2.1400740290504861E-2</v>
      </c>
      <c r="W156" s="569">
        <v>0</v>
      </c>
      <c r="X156" s="569">
        <v>0</v>
      </c>
      <c r="Y156" s="569">
        <v>0</v>
      </c>
      <c r="Z156" s="569">
        <v>0</v>
      </c>
      <c r="AA156" s="569">
        <v>0</v>
      </c>
      <c r="AB156" s="569">
        <v>0</v>
      </c>
      <c r="AC156" s="569">
        <v>0</v>
      </c>
      <c r="AD156" s="569">
        <v>0</v>
      </c>
      <c r="AE156" s="569">
        <v>0</v>
      </c>
      <c r="AF156" s="58">
        <v>0</v>
      </c>
    </row>
    <row r="157" spans="2:32" x14ac:dyDescent="0.35">
      <c r="B157" s="50" t="s">
        <v>1509</v>
      </c>
      <c r="C157" s="132">
        <v>0</v>
      </c>
      <c r="D157" s="132">
        <v>0</v>
      </c>
      <c r="E157" s="132">
        <v>0</v>
      </c>
      <c r="F157" s="132">
        <v>0</v>
      </c>
      <c r="G157" s="132">
        <v>0</v>
      </c>
      <c r="H157" s="132">
        <v>0</v>
      </c>
      <c r="I157" s="132">
        <v>0</v>
      </c>
      <c r="J157" s="132">
        <v>0</v>
      </c>
      <c r="K157" s="132">
        <v>2.565086908263094E-2</v>
      </c>
      <c r="L157" s="136">
        <v>2.565086908263094E-2</v>
      </c>
      <c r="M157" s="126">
        <v>0</v>
      </c>
      <c r="N157" s="125">
        <v>0</v>
      </c>
      <c r="O157" s="125">
        <v>0</v>
      </c>
      <c r="P157" s="125">
        <v>0</v>
      </c>
      <c r="Q157" s="125">
        <v>0</v>
      </c>
      <c r="R157" s="125">
        <v>0</v>
      </c>
      <c r="S157" s="125">
        <v>0</v>
      </c>
      <c r="T157" s="125">
        <v>0</v>
      </c>
      <c r="U157" s="125">
        <v>2.565086908263094E-2</v>
      </c>
      <c r="V157" s="124">
        <v>2.565086908263094E-2</v>
      </c>
      <c r="W157" s="569">
        <v>0</v>
      </c>
      <c r="X157" s="569">
        <v>0</v>
      </c>
      <c r="Y157" s="569">
        <v>0</v>
      </c>
      <c r="Z157" s="569">
        <v>0</v>
      </c>
      <c r="AA157" s="569">
        <v>0</v>
      </c>
      <c r="AB157" s="569">
        <v>0</v>
      </c>
      <c r="AC157" s="569">
        <v>0</v>
      </c>
      <c r="AD157" s="569">
        <v>0</v>
      </c>
      <c r="AE157" s="569">
        <v>0</v>
      </c>
      <c r="AF157" s="58">
        <v>0</v>
      </c>
    </row>
    <row r="158" spans="2:32" x14ac:dyDescent="0.35">
      <c r="B158" s="50" t="s">
        <v>1508</v>
      </c>
      <c r="C158" s="132">
        <v>0</v>
      </c>
      <c r="D158" s="132">
        <v>0</v>
      </c>
      <c r="E158" s="132">
        <v>0</v>
      </c>
      <c r="F158" s="132">
        <v>0</v>
      </c>
      <c r="G158" s="132">
        <v>0</v>
      </c>
      <c r="H158" s="132">
        <v>0</v>
      </c>
      <c r="I158" s="132">
        <v>0</v>
      </c>
      <c r="J158" s="132">
        <v>0</v>
      </c>
      <c r="K158" s="132">
        <v>0</v>
      </c>
      <c r="L158" s="136">
        <v>0</v>
      </c>
      <c r="M158" s="126">
        <v>0</v>
      </c>
      <c r="N158" s="125">
        <v>0</v>
      </c>
      <c r="O158" s="125">
        <v>0</v>
      </c>
      <c r="P158" s="125">
        <v>0</v>
      </c>
      <c r="Q158" s="125">
        <v>0</v>
      </c>
      <c r="R158" s="125">
        <v>0</v>
      </c>
      <c r="S158" s="125">
        <v>0</v>
      </c>
      <c r="T158" s="125">
        <v>0</v>
      </c>
      <c r="U158" s="125"/>
      <c r="V158" s="124"/>
      <c r="W158" s="569">
        <v>0</v>
      </c>
      <c r="X158" s="569">
        <v>0</v>
      </c>
      <c r="Y158" s="569">
        <v>0</v>
      </c>
      <c r="Z158" s="569">
        <v>0</v>
      </c>
      <c r="AA158" s="569">
        <v>0</v>
      </c>
      <c r="AB158" s="569">
        <v>0</v>
      </c>
      <c r="AC158" s="569">
        <v>0</v>
      </c>
      <c r="AD158" s="569">
        <v>0</v>
      </c>
      <c r="AE158" s="569">
        <v>0</v>
      </c>
      <c r="AF158" s="58">
        <v>0</v>
      </c>
    </row>
    <row r="159" spans="2:32" x14ac:dyDescent="0.35">
      <c r="B159" s="50" t="s">
        <v>1507</v>
      </c>
      <c r="C159" s="132">
        <v>1.0000000000000001E-5</v>
      </c>
      <c r="D159" s="132">
        <v>2.0000000000000002E-5</v>
      </c>
      <c r="E159" s="132">
        <v>1.0000000000000001E-5</v>
      </c>
      <c r="F159" s="132">
        <v>2.0000000000000002E-5</v>
      </c>
      <c r="G159" s="132">
        <v>1.2979566905487986E-5</v>
      </c>
      <c r="H159" s="132">
        <v>2.0000000000000002E-5</v>
      </c>
      <c r="I159" s="132">
        <v>0</v>
      </c>
      <c r="J159" s="132">
        <v>0</v>
      </c>
      <c r="K159" s="132">
        <v>1.7668053030533081E-4</v>
      </c>
      <c r="L159" s="136">
        <v>1.7668053030533081E-4</v>
      </c>
      <c r="M159" s="126">
        <v>1.0000000000000001E-5</v>
      </c>
      <c r="N159" s="125">
        <v>2.0000000000000002E-5</v>
      </c>
      <c r="O159" s="125">
        <v>1.0000000000000001E-5</v>
      </c>
      <c r="P159" s="125">
        <v>2.0000000000000002E-5</v>
      </c>
      <c r="Q159" s="125">
        <v>1.2979566905487986E-5</v>
      </c>
      <c r="R159" s="125">
        <v>2.0000000000000002E-5</v>
      </c>
      <c r="S159" s="125">
        <v>0</v>
      </c>
      <c r="T159" s="125">
        <v>0</v>
      </c>
      <c r="U159" s="125">
        <v>1.7668053030533081E-4</v>
      </c>
      <c r="V159" s="124">
        <v>1.7668053030533081E-4</v>
      </c>
      <c r="W159" s="569">
        <v>4.4783426523110501E-6</v>
      </c>
      <c r="X159" s="569">
        <v>5.4862796445944602E-6</v>
      </c>
      <c r="Y159" s="569">
        <v>0</v>
      </c>
      <c r="Z159" s="569">
        <v>0</v>
      </c>
      <c r="AA159" s="569">
        <v>0</v>
      </c>
      <c r="AB159" s="569">
        <v>0</v>
      </c>
      <c r="AC159" s="569">
        <v>0</v>
      </c>
      <c r="AD159" s="569">
        <v>0</v>
      </c>
      <c r="AE159" s="569">
        <v>0</v>
      </c>
      <c r="AF159" s="58">
        <v>0</v>
      </c>
    </row>
    <row r="160" spans="2:32" x14ac:dyDescent="0.35">
      <c r="B160" s="50" t="s">
        <v>1506</v>
      </c>
      <c r="C160" s="132">
        <v>0</v>
      </c>
      <c r="D160" s="132">
        <v>0</v>
      </c>
      <c r="E160" s="132">
        <v>0</v>
      </c>
      <c r="F160" s="132">
        <v>0</v>
      </c>
      <c r="G160" s="132">
        <v>0</v>
      </c>
      <c r="H160" s="132">
        <v>0</v>
      </c>
      <c r="I160" s="132">
        <v>0</v>
      </c>
      <c r="J160" s="132">
        <v>0</v>
      </c>
      <c r="K160" s="132">
        <v>2.7278836091788705E-3</v>
      </c>
      <c r="L160" s="136">
        <v>2.7278836091788705E-3</v>
      </c>
      <c r="M160" s="126"/>
      <c r="N160" s="125"/>
      <c r="O160" s="125"/>
      <c r="P160" s="125"/>
      <c r="Q160" s="125"/>
      <c r="R160" s="125"/>
      <c r="S160" s="125"/>
      <c r="T160" s="125"/>
      <c r="U160" s="125">
        <v>2.7278836091788705E-3</v>
      </c>
      <c r="V160" s="124">
        <v>2.7278836091788705E-3</v>
      </c>
      <c r="W160" s="569"/>
      <c r="X160" s="569"/>
      <c r="Y160" s="569"/>
      <c r="Z160" s="569"/>
      <c r="AA160" s="569"/>
      <c r="AB160" s="569"/>
      <c r="AC160" s="569"/>
      <c r="AD160" s="569"/>
      <c r="AE160" s="569"/>
      <c r="AF160" s="58"/>
    </row>
    <row r="161" spans="2:32" x14ac:dyDescent="0.35">
      <c r="B161" s="50" t="s">
        <v>1460</v>
      </c>
      <c r="C161" s="132">
        <v>0</v>
      </c>
      <c r="D161" s="132">
        <v>0</v>
      </c>
      <c r="E161" s="132">
        <v>0</v>
      </c>
      <c r="F161" s="132">
        <v>0</v>
      </c>
      <c r="G161" s="132">
        <v>0</v>
      </c>
      <c r="H161" s="132">
        <v>0</v>
      </c>
      <c r="I161" s="132">
        <v>0</v>
      </c>
      <c r="J161" s="132">
        <v>0</v>
      </c>
      <c r="K161" s="132">
        <v>1.912608023438235E-5</v>
      </c>
      <c r="L161" s="136">
        <v>1.912608023438235E-5</v>
      </c>
      <c r="M161" s="126"/>
      <c r="N161" s="125"/>
      <c r="O161" s="125"/>
      <c r="P161" s="125"/>
      <c r="Q161" s="125"/>
      <c r="R161" s="125"/>
      <c r="S161" s="125"/>
      <c r="T161" s="125"/>
      <c r="U161" s="573">
        <v>1.912608023438235E-5</v>
      </c>
      <c r="V161" s="679">
        <v>1.912608023438235E-5</v>
      </c>
      <c r="W161" s="569"/>
      <c r="X161" s="569"/>
      <c r="Y161" s="569"/>
      <c r="Z161" s="569"/>
      <c r="AA161" s="569"/>
      <c r="AB161" s="569"/>
      <c r="AC161" s="569"/>
      <c r="AD161" s="569"/>
      <c r="AE161" s="569"/>
      <c r="AF161" s="58"/>
    </row>
    <row r="162" spans="2:32" x14ac:dyDescent="0.35">
      <c r="B162" s="50" t="s">
        <v>1449</v>
      </c>
      <c r="C162" s="132">
        <v>0</v>
      </c>
      <c r="D162" s="132">
        <v>0</v>
      </c>
      <c r="E162" s="132">
        <v>0</v>
      </c>
      <c r="F162" s="132">
        <v>0</v>
      </c>
      <c r="G162" s="132">
        <v>0</v>
      </c>
      <c r="H162" s="132">
        <v>0</v>
      </c>
      <c r="I162" s="132">
        <v>0</v>
      </c>
      <c r="J162" s="132">
        <v>0</v>
      </c>
      <c r="K162" s="132">
        <v>5.4030878587086771E-4</v>
      </c>
      <c r="L162" s="136">
        <v>5.4030878587086771E-4</v>
      </c>
      <c r="M162" s="126"/>
      <c r="N162" s="125"/>
      <c r="O162" s="125"/>
      <c r="P162" s="125"/>
      <c r="Q162" s="125"/>
      <c r="R162" s="125"/>
      <c r="S162" s="125"/>
      <c r="T162" s="125"/>
      <c r="U162" s="125">
        <v>5.4030878587086771E-4</v>
      </c>
      <c r="V162" s="124">
        <v>5.4030878587086771E-4</v>
      </c>
      <c r="W162" s="569"/>
      <c r="X162" s="569"/>
      <c r="Y162" s="569"/>
      <c r="Z162" s="569"/>
      <c r="AA162" s="569"/>
      <c r="AB162" s="569"/>
      <c r="AC162" s="569"/>
      <c r="AD162" s="569"/>
      <c r="AE162" s="569"/>
      <c r="AF162" s="58"/>
    </row>
    <row r="163" spans="2:32" x14ac:dyDescent="0.35">
      <c r="B163" s="50" t="s">
        <v>1466</v>
      </c>
      <c r="C163" s="123">
        <v>-1.0000000000065512E-5</v>
      </c>
      <c r="D163" s="122">
        <v>-1.9999999999908979E-5</v>
      </c>
      <c r="E163" s="122">
        <v>-1.0000000000065512E-5</v>
      </c>
      <c r="F163" s="122">
        <v>-1.9999999999908979E-5</v>
      </c>
      <c r="G163" s="122">
        <v>-2.5959133810982138E-5</v>
      </c>
      <c r="H163" s="122">
        <v>-3.2979566905400048E-5</v>
      </c>
      <c r="I163" s="122">
        <v>0</v>
      </c>
      <c r="J163" s="122">
        <v>0</v>
      </c>
      <c r="K163" s="122">
        <v>0</v>
      </c>
      <c r="L163" s="56">
        <v>0</v>
      </c>
      <c r="M163" s="123">
        <v>-1.0000000000065512E-5</v>
      </c>
      <c r="N163" s="122">
        <v>-1.9999999999908979E-5</v>
      </c>
      <c r="O163" s="122">
        <v>-1.0000000000065512E-5</v>
      </c>
      <c r="P163" s="122">
        <v>-1.9999999999908979E-5</v>
      </c>
      <c r="Q163" s="122">
        <v>-2.5959133810982138E-5</v>
      </c>
      <c r="R163" s="122">
        <v>-3.2979566905400048E-5</v>
      </c>
      <c r="S163" s="122">
        <v>0</v>
      </c>
      <c r="T163" s="122">
        <v>0</v>
      </c>
      <c r="U163" s="122">
        <v>0</v>
      </c>
      <c r="V163" s="56">
        <v>0</v>
      </c>
      <c r="W163" s="132">
        <v>0</v>
      </c>
      <c r="X163" s="132">
        <v>0</v>
      </c>
      <c r="Y163" s="132">
        <v>1</v>
      </c>
      <c r="Z163" s="132">
        <v>1</v>
      </c>
      <c r="AA163" s="132">
        <v>1</v>
      </c>
      <c r="AB163" s="132">
        <v>1</v>
      </c>
      <c r="AC163" s="132">
        <v>1</v>
      </c>
      <c r="AD163" s="132">
        <v>1</v>
      </c>
      <c r="AE163" s="132">
        <v>1</v>
      </c>
      <c r="AF163" s="136">
        <v>1</v>
      </c>
    </row>
    <row r="164" spans="2:32" ht="13.15" x14ac:dyDescent="0.4">
      <c r="B164" s="178" t="s">
        <v>1505</v>
      </c>
      <c r="C164" s="138"/>
      <c r="D164" s="138"/>
      <c r="E164" s="138"/>
      <c r="F164" s="138"/>
      <c r="G164" s="138"/>
      <c r="H164" s="138"/>
      <c r="I164" s="138"/>
      <c r="J164" s="138"/>
      <c r="K164" s="138"/>
      <c r="L164" s="137"/>
      <c r="M164" s="138"/>
      <c r="N164" s="138"/>
      <c r="O164" s="138"/>
      <c r="P164" s="138"/>
      <c r="Q164" s="138"/>
      <c r="R164" s="138"/>
      <c r="S164" s="138"/>
      <c r="T164" s="138"/>
      <c r="U164" s="138"/>
      <c r="V164" s="137"/>
      <c r="W164" s="138"/>
      <c r="X164" s="138"/>
      <c r="Y164" s="138"/>
      <c r="Z164" s="138"/>
      <c r="AA164" s="138"/>
      <c r="AB164" s="138"/>
      <c r="AC164" s="138"/>
      <c r="AD164" s="138"/>
      <c r="AE164" s="138"/>
      <c r="AF164" s="137"/>
    </row>
    <row r="165" spans="2:32" x14ac:dyDescent="0.35">
      <c r="B165" s="50" t="s">
        <v>1438</v>
      </c>
      <c r="C165" s="132">
        <v>0.3</v>
      </c>
      <c r="D165" s="132">
        <v>0.3</v>
      </c>
      <c r="E165" s="132">
        <v>0.60499999999999998</v>
      </c>
      <c r="F165" s="132">
        <v>0.60499999999999998</v>
      </c>
      <c r="G165" s="132">
        <v>0.60499999999999998</v>
      </c>
      <c r="H165" s="132">
        <v>0.60499999999999998</v>
      </c>
      <c r="I165" s="132">
        <v>0.60499999999999998</v>
      </c>
      <c r="J165" s="132">
        <v>0.60499999999999998</v>
      </c>
      <c r="K165" s="132">
        <v>0.60499999999999998</v>
      </c>
      <c r="L165" s="136">
        <v>0.60499999999999998</v>
      </c>
      <c r="M165" s="569">
        <v>0.3</v>
      </c>
      <c r="N165" s="569">
        <v>0.3</v>
      </c>
      <c r="O165" s="569">
        <v>0.60499999999999998</v>
      </c>
      <c r="P165" s="569">
        <v>0.60499999999999998</v>
      </c>
      <c r="Q165" s="569">
        <v>0.60499999999999998</v>
      </c>
      <c r="R165" s="569">
        <v>0.60499999999999998</v>
      </c>
      <c r="S165" s="569">
        <v>0.60499999999999998</v>
      </c>
      <c r="T165" s="569">
        <v>0.60499999999999998</v>
      </c>
      <c r="U165" s="569">
        <v>0.60499999999999998</v>
      </c>
      <c r="V165" s="58">
        <v>0.60499999999999998</v>
      </c>
      <c r="W165" s="569">
        <v>0.57302238485191603</v>
      </c>
      <c r="X165" s="569">
        <v>0.57261858922747799</v>
      </c>
      <c r="Y165" s="569">
        <v>0</v>
      </c>
      <c r="Z165" s="569">
        <v>0</v>
      </c>
      <c r="AA165" s="569">
        <v>0</v>
      </c>
      <c r="AB165" s="569">
        <v>0</v>
      </c>
      <c r="AC165" s="569">
        <v>0</v>
      </c>
      <c r="AD165" s="569">
        <v>0</v>
      </c>
      <c r="AE165" s="569">
        <v>0</v>
      </c>
      <c r="AF165" s="58">
        <v>0</v>
      </c>
    </row>
    <row r="166" spans="2:32" x14ac:dyDescent="0.35">
      <c r="B166" s="50" t="s">
        <v>1447</v>
      </c>
      <c r="C166" s="132">
        <v>0</v>
      </c>
      <c r="D166" s="132">
        <v>0</v>
      </c>
      <c r="E166" s="132">
        <v>0.189</v>
      </c>
      <c r="F166" s="132">
        <v>0.189</v>
      </c>
      <c r="G166" s="132">
        <v>0.189</v>
      </c>
      <c r="H166" s="132">
        <v>0.189</v>
      </c>
      <c r="I166" s="132">
        <v>0.189</v>
      </c>
      <c r="J166" s="132">
        <v>0.189</v>
      </c>
      <c r="K166" s="132">
        <v>0.189</v>
      </c>
      <c r="L166" s="136">
        <v>0.189</v>
      </c>
      <c r="M166" s="569">
        <v>0</v>
      </c>
      <c r="N166" s="569">
        <v>0</v>
      </c>
      <c r="O166" s="569">
        <v>0.189</v>
      </c>
      <c r="P166" s="569">
        <v>0.189</v>
      </c>
      <c r="Q166" s="569">
        <v>0.189</v>
      </c>
      <c r="R166" s="569">
        <v>0.189</v>
      </c>
      <c r="S166" s="569">
        <v>0.189</v>
      </c>
      <c r="T166" s="569">
        <v>0.189</v>
      </c>
      <c r="U166" s="569">
        <v>0.189</v>
      </c>
      <c r="V166" s="58">
        <v>0.189</v>
      </c>
      <c r="W166" s="569">
        <v>5.4425459837813255E-3</v>
      </c>
      <c r="X166" s="569">
        <v>6.8350904741220891E-3</v>
      </c>
      <c r="Y166" s="569">
        <v>0</v>
      </c>
      <c r="Z166" s="569">
        <v>0</v>
      </c>
      <c r="AA166" s="569">
        <v>0</v>
      </c>
      <c r="AB166" s="569">
        <v>0</v>
      </c>
      <c r="AC166" s="569">
        <v>0</v>
      </c>
      <c r="AD166" s="569">
        <v>0</v>
      </c>
      <c r="AE166" s="569">
        <v>0</v>
      </c>
      <c r="AF166" s="58">
        <v>0</v>
      </c>
    </row>
    <row r="167" spans="2:32" x14ac:dyDescent="0.35">
      <c r="B167" s="50" t="s">
        <v>1502</v>
      </c>
      <c r="C167" s="132">
        <v>0.3</v>
      </c>
      <c r="D167" s="132">
        <v>0</v>
      </c>
      <c r="E167" s="132">
        <v>0</v>
      </c>
      <c r="F167" s="132">
        <v>0</v>
      </c>
      <c r="G167" s="132">
        <v>0</v>
      </c>
      <c r="H167" s="132">
        <v>0</v>
      </c>
      <c r="I167" s="132">
        <v>0</v>
      </c>
      <c r="J167" s="132">
        <v>0</v>
      </c>
      <c r="K167" s="132">
        <v>0</v>
      </c>
      <c r="L167" s="136">
        <v>0</v>
      </c>
      <c r="M167" s="569">
        <v>0.3</v>
      </c>
      <c r="N167" s="569">
        <v>0</v>
      </c>
      <c r="O167" s="569">
        <v>0</v>
      </c>
      <c r="P167" s="569">
        <v>0</v>
      </c>
      <c r="Q167" s="569">
        <v>0</v>
      </c>
      <c r="R167" s="569">
        <v>0</v>
      </c>
      <c r="S167" s="569">
        <v>0</v>
      </c>
      <c r="T167" s="569">
        <v>0</v>
      </c>
      <c r="U167" s="569">
        <v>0</v>
      </c>
      <c r="V167" s="58">
        <v>0</v>
      </c>
      <c r="W167" s="569">
        <v>0.12673350062350761</v>
      </c>
      <c r="X167" s="569">
        <v>4.3864497387551334E-2</v>
      </c>
      <c r="Y167" s="569">
        <v>0</v>
      </c>
      <c r="Z167" s="569">
        <v>0</v>
      </c>
      <c r="AA167" s="569">
        <v>0</v>
      </c>
      <c r="AB167" s="569">
        <v>0</v>
      </c>
      <c r="AC167" s="569">
        <v>0</v>
      </c>
      <c r="AD167" s="569">
        <v>0</v>
      </c>
      <c r="AE167" s="569">
        <v>0</v>
      </c>
      <c r="AF167" s="58">
        <v>0</v>
      </c>
    </row>
    <row r="168" spans="2:32" x14ac:dyDescent="0.35">
      <c r="B168" s="50" t="s">
        <v>1427</v>
      </c>
      <c r="C168" s="132">
        <v>0</v>
      </c>
      <c r="D168" s="132">
        <v>0</v>
      </c>
      <c r="E168" s="132">
        <v>0</v>
      </c>
      <c r="F168" s="132">
        <v>0</v>
      </c>
      <c r="G168" s="132">
        <v>0</v>
      </c>
      <c r="H168" s="132">
        <v>0</v>
      </c>
      <c r="I168" s="132">
        <v>0</v>
      </c>
      <c r="J168" s="132">
        <v>0</v>
      </c>
      <c r="K168" s="132">
        <v>0</v>
      </c>
      <c r="L168" s="136">
        <v>0</v>
      </c>
      <c r="M168" s="569"/>
      <c r="N168" s="569"/>
      <c r="O168" s="569"/>
      <c r="P168" s="569"/>
      <c r="Q168" s="569"/>
      <c r="R168" s="569"/>
      <c r="S168" s="569"/>
      <c r="T168" s="569"/>
      <c r="U168" s="569"/>
      <c r="V168" s="58"/>
      <c r="W168" s="569">
        <v>0</v>
      </c>
      <c r="X168" s="569">
        <v>0.22782461791287467</v>
      </c>
      <c r="Y168" s="569">
        <v>0</v>
      </c>
      <c r="Z168" s="569">
        <v>0</v>
      </c>
      <c r="AA168" s="569">
        <v>0</v>
      </c>
      <c r="AB168" s="569">
        <v>0</v>
      </c>
      <c r="AC168" s="569">
        <v>0</v>
      </c>
      <c r="AD168" s="569">
        <v>0</v>
      </c>
      <c r="AE168" s="569">
        <v>0</v>
      </c>
      <c r="AF168" s="58">
        <v>0</v>
      </c>
    </row>
    <row r="169" spans="2:32" x14ac:dyDescent="0.35">
      <c r="B169" s="50" t="s">
        <v>1446</v>
      </c>
      <c r="C169" s="132">
        <v>0.3</v>
      </c>
      <c r="D169" s="132">
        <v>0.3</v>
      </c>
      <c r="E169" s="132">
        <v>0.2</v>
      </c>
      <c r="F169" s="132">
        <v>0.2</v>
      </c>
      <c r="G169" s="132">
        <v>0.2</v>
      </c>
      <c r="H169" s="132">
        <v>0.2</v>
      </c>
      <c r="I169" s="132">
        <v>0.2</v>
      </c>
      <c r="J169" s="132">
        <v>0.2</v>
      </c>
      <c r="K169" s="132">
        <v>0.2</v>
      </c>
      <c r="L169" s="136">
        <v>0.2</v>
      </c>
      <c r="M169" s="569">
        <v>0.3</v>
      </c>
      <c r="N169" s="569">
        <v>0.3</v>
      </c>
      <c r="O169" s="569">
        <v>0.2</v>
      </c>
      <c r="P169" s="569">
        <v>0.2</v>
      </c>
      <c r="Q169" s="569">
        <v>0.2</v>
      </c>
      <c r="R169" s="569">
        <v>0.2</v>
      </c>
      <c r="S169" s="569">
        <v>0.2</v>
      </c>
      <c r="T169" s="569">
        <v>0.2</v>
      </c>
      <c r="U169" s="569">
        <v>0.2</v>
      </c>
      <c r="V169" s="58">
        <v>0.2</v>
      </c>
      <c r="W169" s="569">
        <v>0</v>
      </c>
      <c r="X169" s="569">
        <v>4.0960808209210987E-3</v>
      </c>
      <c r="Y169" s="569">
        <v>0</v>
      </c>
      <c r="Z169" s="569">
        <v>0</v>
      </c>
      <c r="AA169" s="569">
        <v>0</v>
      </c>
      <c r="AB169" s="569">
        <v>0</v>
      </c>
      <c r="AC169" s="569">
        <v>0</v>
      </c>
      <c r="AD169" s="569">
        <v>0</v>
      </c>
      <c r="AE169" s="569">
        <v>0</v>
      </c>
      <c r="AF169" s="58">
        <v>0</v>
      </c>
    </row>
    <row r="170" spans="2:32" x14ac:dyDescent="0.35">
      <c r="B170" s="50" t="s">
        <v>1445</v>
      </c>
      <c r="C170" s="132">
        <v>0</v>
      </c>
      <c r="D170" s="132">
        <v>0.3</v>
      </c>
      <c r="E170" s="132">
        <v>0</v>
      </c>
      <c r="F170" s="132">
        <v>0</v>
      </c>
      <c r="G170" s="132">
        <v>0</v>
      </c>
      <c r="H170" s="132">
        <v>0</v>
      </c>
      <c r="I170" s="132">
        <v>0</v>
      </c>
      <c r="J170" s="132">
        <v>0</v>
      </c>
      <c r="K170" s="132">
        <v>0</v>
      </c>
      <c r="L170" s="136">
        <v>0</v>
      </c>
      <c r="M170" s="569">
        <v>0</v>
      </c>
      <c r="N170" s="569">
        <v>0.3</v>
      </c>
      <c r="O170" s="569">
        <v>0</v>
      </c>
      <c r="P170" s="569">
        <v>0</v>
      </c>
      <c r="Q170" s="569">
        <v>0</v>
      </c>
      <c r="R170" s="569">
        <v>0</v>
      </c>
      <c r="S170" s="569">
        <v>0</v>
      </c>
      <c r="T170" s="569">
        <v>0</v>
      </c>
      <c r="U170" s="569">
        <v>0</v>
      </c>
      <c r="V170" s="58">
        <v>0</v>
      </c>
      <c r="W170" s="569">
        <v>0.26805293288053156</v>
      </c>
      <c r="X170" s="569">
        <v>0.12928498434825023</v>
      </c>
      <c r="Y170" s="569">
        <v>0</v>
      </c>
      <c r="Z170" s="569">
        <v>0</v>
      </c>
      <c r="AA170" s="569">
        <v>0</v>
      </c>
      <c r="AB170" s="569">
        <v>0</v>
      </c>
      <c r="AC170" s="569">
        <v>0</v>
      </c>
      <c r="AD170" s="569">
        <v>0</v>
      </c>
      <c r="AE170" s="569">
        <v>0</v>
      </c>
      <c r="AF170" s="58">
        <v>0</v>
      </c>
    </row>
    <row r="171" spans="2:32" x14ac:dyDescent="0.35">
      <c r="B171" s="50" t="s">
        <v>1504</v>
      </c>
      <c r="C171" s="132">
        <v>0</v>
      </c>
      <c r="D171" s="132">
        <v>0</v>
      </c>
      <c r="E171" s="132">
        <v>0</v>
      </c>
      <c r="F171" s="132">
        <v>0</v>
      </c>
      <c r="G171" s="132">
        <v>0</v>
      </c>
      <c r="H171" s="132">
        <v>0</v>
      </c>
      <c r="I171" s="132">
        <v>0</v>
      </c>
      <c r="J171" s="132">
        <v>0</v>
      </c>
      <c r="K171" s="132">
        <v>0</v>
      </c>
      <c r="L171" s="136">
        <v>0</v>
      </c>
      <c r="M171" s="571">
        <v>0</v>
      </c>
      <c r="N171" s="569">
        <v>0</v>
      </c>
      <c r="O171" s="569">
        <v>0</v>
      </c>
      <c r="P171" s="569">
        <v>0</v>
      </c>
      <c r="Q171" s="569">
        <v>0</v>
      </c>
      <c r="R171" s="569">
        <v>0</v>
      </c>
      <c r="S171" s="569">
        <v>0</v>
      </c>
      <c r="T171" s="569">
        <v>0</v>
      </c>
      <c r="U171" s="569">
        <v>0</v>
      </c>
      <c r="V171" s="58">
        <v>0</v>
      </c>
      <c r="W171" s="571">
        <v>0</v>
      </c>
      <c r="X171" s="569">
        <v>0</v>
      </c>
      <c r="Y171" s="569">
        <v>0</v>
      </c>
      <c r="Z171" s="569">
        <v>0</v>
      </c>
      <c r="AA171" s="569">
        <v>0</v>
      </c>
      <c r="AB171" s="569">
        <v>0</v>
      </c>
      <c r="AC171" s="569">
        <v>0</v>
      </c>
      <c r="AD171" s="569">
        <v>0</v>
      </c>
      <c r="AE171" s="569">
        <v>0</v>
      </c>
      <c r="AF171" s="58">
        <v>0</v>
      </c>
    </row>
    <row r="172" spans="2:32" x14ac:dyDescent="0.35">
      <c r="B172" s="50" t="s">
        <v>1497</v>
      </c>
      <c r="C172" s="132">
        <v>0.05</v>
      </c>
      <c r="D172" s="132">
        <v>0.05</v>
      </c>
      <c r="E172" s="132">
        <v>2E-3</v>
      </c>
      <c r="F172" s="132">
        <v>2E-3</v>
      </c>
      <c r="G172" s="132">
        <v>2E-3</v>
      </c>
      <c r="H172" s="132">
        <v>2E-3</v>
      </c>
      <c r="I172" s="132">
        <v>2E-3</v>
      </c>
      <c r="J172" s="132">
        <v>2E-3</v>
      </c>
      <c r="K172" s="132">
        <v>2E-3</v>
      </c>
      <c r="L172" s="136">
        <v>2E-3</v>
      </c>
      <c r="M172" s="569">
        <v>0.05</v>
      </c>
      <c r="N172" s="569">
        <v>0.05</v>
      </c>
      <c r="O172" s="569">
        <v>2E-3</v>
      </c>
      <c r="P172" s="569">
        <v>2E-3</v>
      </c>
      <c r="Q172" s="569">
        <v>2E-3</v>
      </c>
      <c r="R172" s="569">
        <v>2E-3</v>
      </c>
      <c r="S172" s="569">
        <v>2E-3</v>
      </c>
      <c r="T172" s="569">
        <v>2E-3</v>
      </c>
      <c r="U172" s="569">
        <v>2E-3</v>
      </c>
      <c r="V172" s="58">
        <v>2E-3</v>
      </c>
      <c r="W172" s="569">
        <v>2.2867771090209238E-2</v>
      </c>
      <c r="X172" s="569">
        <v>1.0602306785741396E-2</v>
      </c>
      <c r="Y172" s="569">
        <v>0</v>
      </c>
      <c r="Z172" s="569">
        <v>0</v>
      </c>
      <c r="AA172" s="569">
        <v>0</v>
      </c>
      <c r="AB172" s="569">
        <v>0</v>
      </c>
      <c r="AC172" s="569">
        <v>0</v>
      </c>
      <c r="AD172" s="569">
        <v>0</v>
      </c>
      <c r="AE172" s="569">
        <v>0</v>
      </c>
      <c r="AF172" s="58">
        <v>0</v>
      </c>
    </row>
    <row r="173" spans="2:32" x14ac:dyDescent="0.35">
      <c r="B173" s="50" t="s">
        <v>1457</v>
      </c>
      <c r="C173" s="132">
        <v>0.05</v>
      </c>
      <c r="D173" s="132">
        <v>0.05</v>
      </c>
      <c r="E173" s="132">
        <v>0</v>
      </c>
      <c r="F173" s="132">
        <v>0</v>
      </c>
      <c r="G173" s="132">
        <v>0</v>
      </c>
      <c r="H173" s="132">
        <v>0</v>
      </c>
      <c r="I173" s="132">
        <v>0</v>
      </c>
      <c r="J173" s="132">
        <v>0</v>
      </c>
      <c r="K173" s="132">
        <v>0</v>
      </c>
      <c r="L173" s="136">
        <v>0</v>
      </c>
      <c r="M173" s="569">
        <v>0.05</v>
      </c>
      <c r="N173" s="569">
        <v>0.05</v>
      </c>
      <c r="O173" s="569">
        <v>0</v>
      </c>
      <c r="P173" s="569">
        <v>0</v>
      </c>
      <c r="Q173" s="569">
        <v>0</v>
      </c>
      <c r="R173" s="569">
        <v>0</v>
      </c>
      <c r="S173" s="569">
        <v>0</v>
      </c>
      <c r="T173" s="569">
        <v>0</v>
      </c>
      <c r="U173" s="569">
        <v>0</v>
      </c>
      <c r="V173" s="58">
        <v>0</v>
      </c>
      <c r="W173" s="569">
        <v>3.8808645700539653E-3</v>
      </c>
      <c r="X173" s="569">
        <v>4.8738330430612596E-3</v>
      </c>
      <c r="Y173" s="569">
        <v>0</v>
      </c>
      <c r="Z173" s="569">
        <v>0</v>
      </c>
      <c r="AA173" s="569">
        <v>0</v>
      </c>
      <c r="AB173" s="569">
        <v>0</v>
      </c>
      <c r="AC173" s="569">
        <v>0</v>
      </c>
      <c r="AD173" s="569">
        <v>0</v>
      </c>
      <c r="AE173" s="569">
        <v>0</v>
      </c>
      <c r="AF173" s="58">
        <v>0</v>
      </c>
    </row>
    <row r="174" spans="2:32" x14ac:dyDescent="0.35">
      <c r="B174" s="46" t="s">
        <v>1466</v>
      </c>
      <c r="C174" s="122">
        <v>0</v>
      </c>
      <c r="D174" s="122">
        <v>0</v>
      </c>
      <c r="E174" s="122">
        <v>4.0000000000000036E-3</v>
      </c>
      <c r="F174" s="122">
        <v>4.0000000000000036E-3</v>
      </c>
      <c r="G174" s="122">
        <v>4.0000000000000036E-3</v>
      </c>
      <c r="H174" s="122">
        <v>4.0000000000000036E-3</v>
      </c>
      <c r="I174" s="122">
        <v>4.0000000000000036E-3</v>
      </c>
      <c r="J174" s="122">
        <v>4.0000000000000036E-3</v>
      </c>
      <c r="K174" s="122">
        <v>4.0000000000000036E-3</v>
      </c>
      <c r="L174" s="56">
        <v>4.0000000000000036E-3</v>
      </c>
      <c r="M174" s="122">
        <v>0</v>
      </c>
      <c r="N174" s="122">
        <v>0</v>
      </c>
      <c r="O174" s="122">
        <v>4.0000000000000036E-3</v>
      </c>
      <c r="P174" s="122">
        <v>4.0000000000000036E-3</v>
      </c>
      <c r="Q174" s="122">
        <v>4.0000000000000036E-3</v>
      </c>
      <c r="R174" s="122">
        <v>4.0000000000000036E-3</v>
      </c>
      <c r="S174" s="122">
        <v>4.0000000000000036E-3</v>
      </c>
      <c r="T174" s="122">
        <v>4.0000000000000036E-3</v>
      </c>
      <c r="U174" s="122">
        <v>4.0000000000000036E-3</v>
      </c>
      <c r="V174" s="56">
        <v>4.0000000000000036E-3</v>
      </c>
      <c r="W174" s="122">
        <v>0</v>
      </c>
      <c r="X174" s="122">
        <v>0</v>
      </c>
      <c r="Y174" s="122">
        <v>1</v>
      </c>
      <c r="Z174" s="122">
        <v>1</v>
      </c>
      <c r="AA174" s="122">
        <v>1</v>
      </c>
      <c r="AB174" s="122">
        <v>1</v>
      </c>
      <c r="AC174" s="122">
        <v>1</v>
      </c>
      <c r="AD174" s="122">
        <v>1</v>
      </c>
      <c r="AE174" s="122">
        <v>1</v>
      </c>
      <c r="AF174" s="56">
        <v>1</v>
      </c>
    </row>
    <row r="175" spans="2:32" ht="13.15" x14ac:dyDescent="0.4">
      <c r="B175" s="238" t="s">
        <v>1503</v>
      </c>
      <c r="C175" s="132"/>
      <c r="D175" s="132"/>
      <c r="E175" s="132"/>
      <c r="F175" s="132"/>
      <c r="G175" s="132"/>
      <c r="H175" s="132"/>
      <c r="I175" s="132"/>
      <c r="J175" s="132"/>
      <c r="K175" s="132"/>
      <c r="L175" s="136"/>
      <c r="M175" s="132"/>
      <c r="N175" s="132"/>
      <c r="O175" s="132"/>
      <c r="P175" s="132"/>
      <c r="Q175" s="132"/>
      <c r="R175" s="132"/>
      <c r="S175" s="132"/>
      <c r="T175" s="132"/>
      <c r="U175" s="132"/>
      <c r="V175" s="136"/>
      <c r="W175" s="132"/>
      <c r="X175" s="132"/>
      <c r="Y175" s="132"/>
      <c r="Z175" s="132"/>
      <c r="AA175" s="132"/>
      <c r="AB175" s="132"/>
      <c r="AC175" s="132"/>
      <c r="AD175" s="132"/>
      <c r="AE175" s="132"/>
      <c r="AF175" s="136"/>
    </row>
    <row r="176" spans="2:32" x14ac:dyDescent="0.35">
      <c r="B176" s="50" t="s">
        <v>1438</v>
      </c>
      <c r="C176" s="132">
        <v>0.85</v>
      </c>
      <c r="D176" s="132">
        <v>0.307</v>
      </c>
      <c r="E176" s="132">
        <v>0.85</v>
      </c>
      <c r="F176" s="132">
        <v>0.28999999999999998</v>
      </c>
      <c r="G176" s="132">
        <v>0.85</v>
      </c>
      <c r="H176" s="132">
        <v>0.28799999999999998</v>
      </c>
      <c r="I176" s="132">
        <v>0.85</v>
      </c>
      <c r="J176" s="132">
        <v>0.28499999999999998</v>
      </c>
      <c r="K176" s="132">
        <v>0.85</v>
      </c>
      <c r="L176" s="136">
        <v>0.28599999999999998</v>
      </c>
      <c r="M176" s="569">
        <v>0.85</v>
      </c>
      <c r="N176" s="569">
        <v>0.307</v>
      </c>
      <c r="O176" s="569">
        <v>0.85</v>
      </c>
      <c r="P176" s="569">
        <v>0.28999999999999998</v>
      </c>
      <c r="Q176" s="569">
        <v>0.85</v>
      </c>
      <c r="R176" s="569">
        <v>0.28799999999999998</v>
      </c>
      <c r="S176" s="569">
        <v>0.85</v>
      </c>
      <c r="T176" s="569">
        <v>0.28499999999999998</v>
      </c>
      <c r="U176" s="569">
        <v>0.85</v>
      </c>
      <c r="V176" s="58">
        <v>0.28599999999999998</v>
      </c>
      <c r="W176" s="569">
        <v>0.53860225036837028</v>
      </c>
      <c r="X176" s="569">
        <v>0.40525092431856236</v>
      </c>
      <c r="Y176" s="569">
        <v>0</v>
      </c>
      <c r="Z176" s="569">
        <v>0</v>
      </c>
      <c r="AA176" s="569">
        <v>0</v>
      </c>
      <c r="AB176" s="569">
        <v>0</v>
      </c>
      <c r="AC176" s="569">
        <v>0</v>
      </c>
      <c r="AD176" s="569">
        <v>0</v>
      </c>
      <c r="AE176" s="569">
        <v>0</v>
      </c>
      <c r="AF176" s="58">
        <v>0</v>
      </c>
    </row>
    <row r="177" spans="2:32" x14ac:dyDescent="0.35">
      <c r="B177" s="50" t="s">
        <v>1502</v>
      </c>
      <c r="C177" s="132">
        <v>7.8E-2</v>
      </c>
      <c r="D177" s="132">
        <v>8.8999999999999996E-2</v>
      </c>
      <c r="E177" s="132">
        <v>7.8E-2</v>
      </c>
      <c r="F177" s="132">
        <v>8.6999999999999994E-2</v>
      </c>
      <c r="G177" s="132">
        <v>7.8E-2</v>
      </c>
      <c r="H177" s="132">
        <v>0.09</v>
      </c>
      <c r="I177" s="132">
        <v>7.8E-2</v>
      </c>
      <c r="J177" s="132">
        <v>9.1999999999999998E-2</v>
      </c>
      <c r="K177" s="132">
        <v>7.8E-2</v>
      </c>
      <c r="L177" s="136">
        <v>0.09</v>
      </c>
      <c r="M177" s="569">
        <v>7.8E-2</v>
      </c>
      <c r="N177" s="569">
        <v>8.8999999999999996E-2</v>
      </c>
      <c r="O177" s="569">
        <v>7.8E-2</v>
      </c>
      <c r="P177" s="569">
        <v>8.6999999999999994E-2</v>
      </c>
      <c r="Q177" s="569">
        <v>7.8E-2</v>
      </c>
      <c r="R177" s="569">
        <v>0.09</v>
      </c>
      <c r="S177" s="569">
        <v>7.8E-2</v>
      </c>
      <c r="T177" s="569">
        <v>9.1999999999999998E-2</v>
      </c>
      <c r="U177" s="569">
        <v>7.8E-2</v>
      </c>
      <c r="V177" s="58">
        <v>0.09</v>
      </c>
      <c r="W177" s="569">
        <v>0.15742056874630528</v>
      </c>
      <c r="X177" s="569">
        <v>3.6068676716917929E-2</v>
      </c>
      <c r="Y177" s="569">
        <v>0</v>
      </c>
      <c r="Z177" s="569">
        <v>0</v>
      </c>
      <c r="AA177" s="569">
        <v>0</v>
      </c>
      <c r="AB177" s="569">
        <v>0</v>
      </c>
      <c r="AC177" s="569">
        <v>0</v>
      </c>
      <c r="AD177" s="569">
        <v>0</v>
      </c>
      <c r="AE177" s="569">
        <v>0</v>
      </c>
      <c r="AF177" s="58">
        <v>0</v>
      </c>
    </row>
    <row r="178" spans="2:32" x14ac:dyDescent="0.35">
      <c r="B178" s="50" t="s">
        <v>1446</v>
      </c>
      <c r="C178" s="132">
        <v>0</v>
      </c>
      <c r="D178" s="132">
        <v>0.02</v>
      </c>
      <c r="E178" s="132">
        <v>0</v>
      </c>
      <c r="F178" s="132">
        <v>1.7000000000000001E-2</v>
      </c>
      <c r="G178" s="132">
        <v>0</v>
      </c>
      <c r="H178" s="132">
        <v>1.6E-2</v>
      </c>
      <c r="I178" s="132">
        <v>0</v>
      </c>
      <c r="J178" s="132">
        <v>1.6E-2</v>
      </c>
      <c r="K178" s="132">
        <v>0</v>
      </c>
      <c r="L178" s="136">
        <v>1.6E-2</v>
      </c>
      <c r="M178" s="569">
        <v>0</v>
      </c>
      <c r="N178" s="569">
        <v>0.02</v>
      </c>
      <c r="O178" s="569">
        <v>0</v>
      </c>
      <c r="P178" s="569">
        <v>1.7000000000000001E-2</v>
      </c>
      <c r="Q178" s="569">
        <v>0</v>
      </c>
      <c r="R178" s="569">
        <v>1.6E-2</v>
      </c>
      <c r="S178" s="569">
        <v>0</v>
      </c>
      <c r="T178" s="569">
        <v>1.6E-2</v>
      </c>
      <c r="U178" s="569">
        <v>0</v>
      </c>
      <c r="V178" s="58">
        <v>1.6E-2</v>
      </c>
      <c r="W178" s="569">
        <v>0</v>
      </c>
      <c r="X178" s="569">
        <v>2.2792751636972742E-2</v>
      </c>
      <c r="Y178" s="569">
        <v>0</v>
      </c>
      <c r="Z178" s="569">
        <v>0</v>
      </c>
      <c r="AA178" s="569">
        <v>0</v>
      </c>
      <c r="AB178" s="569">
        <v>0</v>
      </c>
      <c r="AC178" s="569">
        <v>0</v>
      </c>
      <c r="AD178" s="569">
        <v>0</v>
      </c>
      <c r="AE178" s="569">
        <v>0</v>
      </c>
      <c r="AF178" s="58">
        <v>0</v>
      </c>
    </row>
    <row r="179" spans="2:32" x14ac:dyDescent="0.35">
      <c r="B179" s="50" t="s">
        <v>1445</v>
      </c>
      <c r="C179" s="132">
        <v>0.01</v>
      </c>
      <c r="D179" s="132">
        <v>0.41799999999999998</v>
      </c>
      <c r="E179" s="132">
        <v>0.01</v>
      </c>
      <c r="F179" s="132">
        <v>0.45200000000000001</v>
      </c>
      <c r="G179" s="132">
        <v>0.01</v>
      </c>
      <c r="H179" s="132">
        <v>0.45300000000000001</v>
      </c>
      <c r="I179" s="132">
        <v>0.01</v>
      </c>
      <c r="J179" s="132">
        <v>0.45600000000000002</v>
      </c>
      <c r="K179" s="132">
        <v>0.01</v>
      </c>
      <c r="L179" s="136">
        <v>0.45400000000000001</v>
      </c>
      <c r="M179" s="569">
        <v>0.01</v>
      </c>
      <c r="N179" s="569">
        <v>0.41799999999999998</v>
      </c>
      <c r="O179" s="569">
        <v>0.01</v>
      </c>
      <c r="P179" s="569">
        <v>0.45200000000000001</v>
      </c>
      <c r="Q179" s="569">
        <v>0.01</v>
      </c>
      <c r="R179" s="569">
        <v>0.45300000000000001</v>
      </c>
      <c r="S179" s="569">
        <v>0.01</v>
      </c>
      <c r="T179" s="569">
        <v>0.45600000000000002</v>
      </c>
      <c r="U179" s="569">
        <v>0.01</v>
      </c>
      <c r="V179" s="58">
        <v>0.45400000000000001</v>
      </c>
      <c r="W179" s="569">
        <v>0.14134921737826128</v>
      </c>
      <c r="X179" s="569">
        <v>0.25656127607735657</v>
      </c>
      <c r="Y179" s="569">
        <v>0</v>
      </c>
      <c r="Z179" s="569">
        <v>0</v>
      </c>
      <c r="AA179" s="569">
        <v>0</v>
      </c>
      <c r="AB179" s="569">
        <v>0</v>
      </c>
      <c r="AC179" s="569">
        <v>0</v>
      </c>
      <c r="AD179" s="569">
        <v>0</v>
      </c>
      <c r="AE179" s="569">
        <v>0</v>
      </c>
      <c r="AF179" s="58">
        <v>0</v>
      </c>
    </row>
    <row r="180" spans="2:32" x14ac:dyDescent="0.35">
      <c r="B180" s="50" t="s">
        <v>1498</v>
      </c>
      <c r="C180" s="132">
        <v>7.0000000000000001E-3</v>
      </c>
      <c r="D180" s="132">
        <v>1.2E-2</v>
      </c>
      <c r="E180" s="132">
        <v>7.0000000000000001E-3</v>
      </c>
      <c r="F180" s="132">
        <v>1.0999999999999999E-2</v>
      </c>
      <c r="G180" s="132">
        <v>7.0000000000000001E-3</v>
      </c>
      <c r="H180" s="132">
        <v>0.01</v>
      </c>
      <c r="I180" s="132">
        <v>7.0000000000000001E-3</v>
      </c>
      <c r="J180" s="132">
        <v>0.01</v>
      </c>
      <c r="K180" s="132">
        <v>7.0000000000000001E-3</v>
      </c>
      <c r="L180" s="136">
        <v>0.01</v>
      </c>
      <c r="M180" s="569">
        <v>7.0000000000000001E-3</v>
      </c>
      <c r="N180" s="569">
        <v>1.2E-2</v>
      </c>
      <c r="O180" s="569">
        <v>7.0000000000000001E-3</v>
      </c>
      <c r="P180" s="569">
        <v>1.0999999999999999E-2</v>
      </c>
      <c r="Q180" s="569">
        <v>7.0000000000000001E-3</v>
      </c>
      <c r="R180" s="569">
        <v>0.01</v>
      </c>
      <c r="S180" s="569">
        <v>7.0000000000000001E-3</v>
      </c>
      <c r="T180" s="569">
        <v>0.01</v>
      </c>
      <c r="U180" s="569">
        <v>7.0000000000000001E-3</v>
      </c>
      <c r="V180" s="58">
        <v>0.01</v>
      </c>
      <c r="W180" s="569">
        <v>6.2170782709971163E-4</v>
      </c>
      <c r="X180" s="569">
        <v>2.5139333028780268E-3</v>
      </c>
      <c r="Y180" s="569">
        <v>0</v>
      </c>
      <c r="Z180" s="569">
        <v>0</v>
      </c>
      <c r="AA180" s="569">
        <v>0</v>
      </c>
      <c r="AB180" s="569">
        <v>0</v>
      </c>
      <c r="AC180" s="569">
        <v>0</v>
      </c>
      <c r="AD180" s="569">
        <v>0</v>
      </c>
      <c r="AE180" s="569">
        <v>0</v>
      </c>
      <c r="AF180" s="58">
        <v>0</v>
      </c>
    </row>
    <row r="181" spans="2:32" x14ac:dyDescent="0.35">
      <c r="B181" s="50" t="s">
        <v>241</v>
      </c>
      <c r="C181" s="132">
        <v>0</v>
      </c>
      <c r="D181" s="132">
        <v>0</v>
      </c>
      <c r="E181" s="132">
        <v>0</v>
      </c>
      <c r="F181" s="132">
        <v>0</v>
      </c>
      <c r="G181" s="132">
        <v>0</v>
      </c>
      <c r="H181" s="132">
        <v>0</v>
      </c>
      <c r="I181" s="132">
        <v>0</v>
      </c>
      <c r="J181" s="132">
        <v>0</v>
      </c>
      <c r="K181" s="132">
        <v>0</v>
      </c>
      <c r="L181" s="136">
        <v>0</v>
      </c>
      <c r="M181" s="571">
        <v>0</v>
      </c>
      <c r="N181" s="569">
        <v>0</v>
      </c>
      <c r="O181" s="569">
        <v>0</v>
      </c>
      <c r="P181" s="569">
        <v>0</v>
      </c>
      <c r="Q181" s="569">
        <v>0</v>
      </c>
      <c r="R181" s="569">
        <v>0</v>
      </c>
      <c r="S181" s="569">
        <v>0</v>
      </c>
      <c r="T181" s="569">
        <v>0</v>
      </c>
      <c r="U181" s="569">
        <v>0</v>
      </c>
      <c r="V181" s="58">
        <v>0</v>
      </c>
      <c r="W181" s="569">
        <v>5.7197120093173447E-4</v>
      </c>
      <c r="X181" s="569">
        <v>6.2888381300441618E-4</v>
      </c>
      <c r="Y181" s="569">
        <v>0</v>
      </c>
      <c r="Z181" s="569">
        <v>0</v>
      </c>
      <c r="AA181" s="569">
        <v>0</v>
      </c>
      <c r="AB181" s="569">
        <v>0</v>
      </c>
      <c r="AC181" s="569">
        <v>0</v>
      </c>
      <c r="AD181" s="569">
        <v>0</v>
      </c>
      <c r="AE181" s="569">
        <v>0</v>
      </c>
      <c r="AF181" s="58">
        <v>0</v>
      </c>
    </row>
    <row r="182" spans="2:32" x14ac:dyDescent="0.35">
      <c r="B182" s="50" t="s">
        <v>1427</v>
      </c>
      <c r="C182" s="132">
        <v>0</v>
      </c>
      <c r="D182" s="132">
        <v>0</v>
      </c>
      <c r="E182" s="132">
        <v>0</v>
      </c>
      <c r="F182" s="132">
        <v>0</v>
      </c>
      <c r="G182" s="132">
        <v>0</v>
      </c>
      <c r="H182" s="132">
        <v>0</v>
      </c>
      <c r="I182" s="132">
        <v>0</v>
      </c>
      <c r="J182" s="132">
        <v>0</v>
      </c>
      <c r="K182" s="132">
        <v>0</v>
      </c>
      <c r="L182" s="136">
        <v>0</v>
      </c>
      <c r="M182" s="571">
        <v>0</v>
      </c>
      <c r="N182" s="569">
        <v>0</v>
      </c>
      <c r="O182" s="569">
        <v>0</v>
      </c>
      <c r="P182" s="569">
        <v>0</v>
      </c>
      <c r="Q182" s="569">
        <v>0</v>
      </c>
      <c r="R182" s="569">
        <v>0</v>
      </c>
      <c r="S182" s="569">
        <v>0</v>
      </c>
      <c r="T182" s="569">
        <v>0</v>
      </c>
      <c r="U182" s="569">
        <v>0</v>
      </c>
      <c r="V182" s="58">
        <v>0</v>
      </c>
      <c r="W182" s="569">
        <v>4.5422059874533471E-3</v>
      </c>
      <c r="X182" s="569">
        <v>4.391305009897975E-2</v>
      </c>
      <c r="Y182" s="569">
        <v>0</v>
      </c>
      <c r="Z182" s="569">
        <v>0</v>
      </c>
      <c r="AA182" s="569">
        <v>0</v>
      </c>
      <c r="AB182" s="569">
        <v>0</v>
      </c>
      <c r="AC182" s="569">
        <v>0</v>
      </c>
      <c r="AD182" s="569">
        <v>0</v>
      </c>
      <c r="AE182" s="569">
        <v>0</v>
      </c>
      <c r="AF182" s="58">
        <v>0</v>
      </c>
    </row>
    <row r="183" spans="2:32" x14ac:dyDescent="0.35">
      <c r="B183" s="50" t="s">
        <v>1493</v>
      </c>
      <c r="C183" s="132">
        <v>0</v>
      </c>
      <c r="D183" s="132">
        <v>6.6000000000000003E-2</v>
      </c>
      <c r="E183" s="132">
        <v>0</v>
      </c>
      <c r="F183" s="132">
        <v>6.5000000000000002E-2</v>
      </c>
      <c r="G183" s="132">
        <v>0</v>
      </c>
      <c r="H183" s="132">
        <v>6.8000000000000005E-2</v>
      </c>
      <c r="I183" s="132">
        <v>0</v>
      </c>
      <c r="J183" s="132">
        <v>6.9000000000000006E-2</v>
      </c>
      <c r="K183" s="132">
        <v>0</v>
      </c>
      <c r="L183" s="136">
        <v>6.8000000000000005E-2</v>
      </c>
      <c r="M183" s="569">
        <v>0</v>
      </c>
      <c r="N183" s="569">
        <v>6.6000000000000003E-2</v>
      </c>
      <c r="O183" s="569">
        <v>0</v>
      </c>
      <c r="P183" s="569">
        <v>6.5000000000000002E-2</v>
      </c>
      <c r="Q183" s="569">
        <v>0</v>
      </c>
      <c r="R183" s="569">
        <v>6.8000000000000005E-2</v>
      </c>
      <c r="S183" s="569">
        <v>0</v>
      </c>
      <c r="T183" s="569">
        <v>6.9000000000000006E-2</v>
      </c>
      <c r="U183" s="569">
        <v>0</v>
      </c>
      <c r="V183" s="58">
        <v>6.8000000000000005E-2</v>
      </c>
      <c r="W183" s="569">
        <v>0</v>
      </c>
      <c r="X183" s="569">
        <v>0</v>
      </c>
      <c r="Y183" s="569">
        <v>0</v>
      </c>
      <c r="Z183" s="569">
        <v>0</v>
      </c>
      <c r="AA183" s="569">
        <v>0</v>
      </c>
      <c r="AB183" s="569">
        <v>0</v>
      </c>
      <c r="AC183" s="569">
        <v>0</v>
      </c>
      <c r="AD183" s="569">
        <v>0</v>
      </c>
      <c r="AE183" s="569">
        <v>0</v>
      </c>
      <c r="AF183" s="58">
        <v>0</v>
      </c>
    </row>
    <row r="184" spans="2:32" x14ac:dyDescent="0.35">
      <c r="B184" s="50" t="s">
        <v>1497</v>
      </c>
      <c r="C184" s="132">
        <v>0.01</v>
      </c>
      <c r="D184" s="132">
        <v>1.7999999999999999E-2</v>
      </c>
      <c r="E184" s="132">
        <v>0.01</v>
      </c>
      <c r="F184" s="132">
        <v>1.4999999999999999E-2</v>
      </c>
      <c r="G184" s="132">
        <v>0.01</v>
      </c>
      <c r="H184" s="132">
        <v>1.4999999999999999E-2</v>
      </c>
      <c r="I184" s="132">
        <v>0.01</v>
      </c>
      <c r="J184" s="132">
        <v>1.4E-2</v>
      </c>
      <c r="K184" s="132">
        <v>0.01</v>
      </c>
      <c r="L184" s="136">
        <v>1.4999999999999999E-2</v>
      </c>
      <c r="M184" s="569">
        <v>0.01</v>
      </c>
      <c r="N184" s="569">
        <v>1.7999999999999999E-2</v>
      </c>
      <c r="O184" s="569">
        <v>0.01</v>
      </c>
      <c r="P184" s="569">
        <v>1.4999999999999999E-2</v>
      </c>
      <c r="Q184" s="569">
        <v>0.01</v>
      </c>
      <c r="R184" s="569">
        <v>1.4999999999999999E-2</v>
      </c>
      <c r="S184" s="569">
        <v>0.01</v>
      </c>
      <c r="T184" s="569">
        <v>1.4E-2</v>
      </c>
      <c r="U184" s="569">
        <v>0.01</v>
      </c>
      <c r="V184" s="58">
        <v>1.4999999999999999E-2</v>
      </c>
      <c r="W184" s="569">
        <v>2.5722182517624432E-3</v>
      </c>
      <c r="X184" s="569">
        <v>2.3247205725597683E-2</v>
      </c>
      <c r="Y184" s="569">
        <v>0</v>
      </c>
      <c r="Z184" s="569">
        <v>0</v>
      </c>
      <c r="AA184" s="569">
        <v>0</v>
      </c>
      <c r="AB184" s="569">
        <v>0</v>
      </c>
      <c r="AC184" s="569">
        <v>0</v>
      </c>
      <c r="AD184" s="569">
        <v>0</v>
      </c>
      <c r="AE184" s="569">
        <v>0</v>
      </c>
      <c r="AF184" s="58">
        <v>0</v>
      </c>
    </row>
    <row r="185" spans="2:32" x14ac:dyDescent="0.35">
      <c r="B185" s="50" t="s">
        <v>1457</v>
      </c>
      <c r="C185" s="132">
        <v>3.9E-2</v>
      </c>
      <c r="D185" s="132">
        <v>6.3E-2</v>
      </c>
      <c r="E185" s="132">
        <v>3.9E-2</v>
      </c>
      <c r="F185" s="132">
        <v>5.6000000000000001E-2</v>
      </c>
      <c r="G185" s="132">
        <v>3.9E-2</v>
      </c>
      <c r="H185" s="132">
        <v>5.3999999999999999E-2</v>
      </c>
      <c r="I185" s="132">
        <v>3.9E-2</v>
      </c>
      <c r="J185" s="132">
        <v>5.1999999999999998E-2</v>
      </c>
      <c r="K185" s="132">
        <v>3.9E-2</v>
      </c>
      <c r="L185" s="136">
        <v>5.2999999999999999E-2</v>
      </c>
      <c r="M185" s="569">
        <v>3.9E-2</v>
      </c>
      <c r="N185" s="569">
        <v>6.3E-2</v>
      </c>
      <c r="O185" s="569">
        <v>3.9E-2</v>
      </c>
      <c r="P185" s="569">
        <v>5.6000000000000001E-2</v>
      </c>
      <c r="Q185" s="569">
        <v>3.9E-2</v>
      </c>
      <c r="R185" s="569">
        <v>5.3999999999999999E-2</v>
      </c>
      <c r="S185" s="569">
        <v>3.9E-2</v>
      </c>
      <c r="T185" s="569">
        <v>5.1999999999999998E-2</v>
      </c>
      <c r="U185" s="569">
        <v>3.9E-2</v>
      </c>
      <c r="V185" s="58">
        <v>5.2999999999999999E-2</v>
      </c>
      <c r="W185" s="569">
        <v>0.15431986023981575</v>
      </c>
      <c r="X185" s="569">
        <v>0.20902329830973049</v>
      </c>
      <c r="Y185" s="569">
        <v>0</v>
      </c>
      <c r="Z185" s="569">
        <v>0</v>
      </c>
      <c r="AA185" s="569">
        <v>0</v>
      </c>
      <c r="AB185" s="569">
        <v>0</v>
      </c>
      <c r="AC185" s="569">
        <v>0</v>
      </c>
      <c r="AD185" s="569">
        <v>0</v>
      </c>
      <c r="AE185" s="569">
        <v>0</v>
      </c>
      <c r="AF185" s="58">
        <v>0</v>
      </c>
    </row>
    <row r="186" spans="2:32" x14ac:dyDescent="0.35">
      <c r="B186" s="50" t="s">
        <v>1466</v>
      </c>
      <c r="C186" s="132">
        <v>6.0000000000000053E-3</v>
      </c>
      <c r="D186" s="132">
        <v>6.9999999999998952E-3</v>
      </c>
      <c r="E186" s="132">
        <v>6.0000000000000053E-3</v>
      </c>
      <c r="F186" s="132">
        <v>6.9999999999997842E-3</v>
      </c>
      <c r="G186" s="132">
        <v>6.0000000000000053E-3</v>
      </c>
      <c r="H186" s="132">
        <v>5.9999999999998943E-3</v>
      </c>
      <c r="I186" s="132">
        <v>6.0000000000000053E-3</v>
      </c>
      <c r="J186" s="132">
        <v>6.0000000000000053E-3</v>
      </c>
      <c r="K186" s="132">
        <v>6.0000000000000053E-3</v>
      </c>
      <c r="L186" s="136">
        <v>7.9999999999997851E-3</v>
      </c>
      <c r="M186" s="132">
        <v>6.0000000000000053E-3</v>
      </c>
      <c r="N186" s="132">
        <v>6.9999999999998952E-3</v>
      </c>
      <c r="O186" s="132">
        <v>6.0000000000000053E-3</v>
      </c>
      <c r="P186" s="132">
        <v>6.9999999999997842E-3</v>
      </c>
      <c r="Q186" s="132">
        <v>6.0000000000000053E-3</v>
      </c>
      <c r="R186" s="132">
        <v>5.9999999999998943E-3</v>
      </c>
      <c r="S186" s="132">
        <v>6.0000000000000053E-3</v>
      </c>
      <c r="T186" s="132">
        <v>6.0000000000000053E-3</v>
      </c>
      <c r="U186" s="132">
        <v>6.0000000000000053E-3</v>
      </c>
      <c r="V186" s="136">
        <v>7.9999999999997851E-3</v>
      </c>
      <c r="W186" s="132">
        <v>0</v>
      </c>
      <c r="X186" s="132">
        <v>0</v>
      </c>
      <c r="Y186" s="132">
        <v>1</v>
      </c>
      <c r="Z186" s="132">
        <v>1</v>
      </c>
      <c r="AA186" s="132">
        <v>1</v>
      </c>
      <c r="AB186" s="132">
        <v>1</v>
      </c>
      <c r="AC186" s="132">
        <v>1</v>
      </c>
      <c r="AD186" s="132">
        <v>1</v>
      </c>
      <c r="AE186" s="132">
        <v>1</v>
      </c>
      <c r="AF186" s="136">
        <v>1</v>
      </c>
    </row>
    <row r="187" spans="2:32" ht="13.15" x14ac:dyDescent="0.4">
      <c r="B187" s="178" t="s">
        <v>1501</v>
      </c>
      <c r="C187" s="138"/>
      <c r="D187" s="138"/>
      <c r="E187" s="138"/>
      <c r="F187" s="138"/>
      <c r="G187" s="138"/>
      <c r="H187" s="138"/>
      <c r="I187" s="138"/>
      <c r="J187" s="138"/>
      <c r="K187" s="138"/>
      <c r="L187" s="137"/>
      <c r="M187" s="138"/>
      <c r="N187" s="138"/>
      <c r="O187" s="138"/>
      <c r="P187" s="138"/>
      <c r="Q187" s="138"/>
      <c r="R187" s="138"/>
      <c r="S187" s="138"/>
      <c r="T187" s="138"/>
      <c r="U187" s="138"/>
      <c r="V187" s="137"/>
      <c r="W187" s="138"/>
      <c r="X187" s="138"/>
      <c r="Y187" s="138"/>
      <c r="Z187" s="138"/>
      <c r="AA187" s="138"/>
      <c r="AB187" s="138"/>
      <c r="AC187" s="138"/>
      <c r="AD187" s="138"/>
      <c r="AE187" s="138"/>
      <c r="AF187" s="137"/>
    </row>
    <row r="188" spans="2:32" x14ac:dyDescent="0.35">
      <c r="B188" s="50" t="s">
        <v>1438</v>
      </c>
      <c r="C188" s="132"/>
      <c r="D188" s="132"/>
      <c r="E188" s="132">
        <v>0.36099999999999999</v>
      </c>
      <c r="F188" s="132">
        <v>0.36099999999999999</v>
      </c>
      <c r="G188" s="132">
        <v>0.36099999999999999</v>
      </c>
      <c r="H188" s="132">
        <v>0.36099999999999999</v>
      </c>
      <c r="I188" s="132">
        <v>0.36099999999999999</v>
      </c>
      <c r="J188" s="132">
        <v>0.36099999999999999</v>
      </c>
      <c r="K188" s="132">
        <v>0.36099999999999999</v>
      </c>
      <c r="L188" s="136">
        <v>0.36099999999999999</v>
      </c>
      <c r="M188" s="132"/>
      <c r="N188" s="132"/>
      <c r="O188" s="569">
        <v>0.36099999999999999</v>
      </c>
      <c r="P188" s="569">
        <v>0.36099999999999999</v>
      </c>
      <c r="Q188" s="569">
        <v>0.36099999999999999</v>
      </c>
      <c r="R188" s="569">
        <v>0.36099999999999999</v>
      </c>
      <c r="S188" s="569">
        <v>0.36099999999999999</v>
      </c>
      <c r="T188" s="569">
        <v>0.36099999999999999</v>
      </c>
      <c r="U188" s="569">
        <v>0.36099999999999999</v>
      </c>
      <c r="V188" s="58">
        <v>0.36099999999999999</v>
      </c>
      <c r="W188" s="132"/>
      <c r="X188" s="132"/>
      <c r="Y188" s="569">
        <v>0</v>
      </c>
      <c r="Z188" s="569">
        <v>0</v>
      </c>
      <c r="AA188" s="569">
        <v>0</v>
      </c>
      <c r="AB188" s="569">
        <v>0</v>
      </c>
      <c r="AC188" s="569">
        <v>0</v>
      </c>
      <c r="AD188" s="569">
        <v>0</v>
      </c>
      <c r="AE188" s="569">
        <v>0</v>
      </c>
      <c r="AF188" s="58">
        <v>0</v>
      </c>
    </row>
    <row r="189" spans="2:32" x14ac:dyDescent="0.35">
      <c r="B189" s="50" t="s">
        <v>1495</v>
      </c>
      <c r="C189" s="132"/>
      <c r="D189" s="132"/>
      <c r="E189" s="132">
        <v>0</v>
      </c>
      <c r="F189" s="132">
        <v>0</v>
      </c>
      <c r="G189" s="132">
        <v>0</v>
      </c>
      <c r="H189" s="132">
        <v>0</v>
      </c>
      <c r="I189" s="132">
        <v>0</v>
      </c>
      <c r="J189" s="132">
        <v>0</v>
      </c>
      <c r="K189" s="132">
        <v>0</v>
      </c>
      <c r="L189" s="136">
        <v>0</v>
      </c>
      <c r="M189" s="132"/>
      <c r="N189" s="132"/>
      <c r="O189" s="569">
        <v>0</v>
      </c>
      <c r="P189" s="569">
        <v>0</v>
      </c>
      <c r="Q189" s="569">
        <v>0</v>
      </c>
      <c r="R189" s="569">
        <v>0</v>
      </c>
      <c r="S189" s="569">
        <v>0</v>
      </c>
      <c r="T189" s="569">
        <v>0</v>
      </c>
      <c r="U189" s="569">
        <v>0</v>
      </c>
      <c r="V189" s="58">
        <v>0</v>
      </c>
      <c r="W189" s="132"/>
      <c r="X189" s="132"/>
      <c r="Y189" s="569">
        <v>0</v>
      </c>
      <c r="Z189" s="569">
        <v>0</v>
      </c>
      <c r="AA189" s="569">
        <v>0</v>
      </c>
      <c r="AB189" s="569">
        <v>0</v>
      </c>
      <c r="AC189" s="569">
        <v>0</v>
      </c>
      <c r="AD189" s="569">
        <v>0</v>
      </c>
      <c r="AE189" s="569">
        <v>0</v>
      </c>
      <c r="AF189" s="58">
        <v>0</v>
      </c>
    </row>
    <row r="190" spans="2:32" x14ac:dyDescent="0.35">
      <c r="B190" s="50" t="s">
        <v>1445</v>
      </c>
      <c r="C190" s="132"/>
      <c r="D190" s="132"/>
      <c r="E190" s="132">
        <v>0.36099999999999999</v>
      </c>
      <c r="F190" s="132">
        <v>0.36099999999999999</v>
      </c>
      <c r="G190" s="132">
        <v>0.36099999999999999</v>
      </c>
      <c r="H190" s="132">
        <v>0.36099999999999999</v>
      </c>
      <c r="I190" s="132">
        <v>0.36099999999999999</v>
      </c>
      <c r="J190" s="132">
        <v>0.36099999999999999</v>
      </c>
      <c r="K190" s="132">
        <v>0.36099999999999999</v>
      </c>
      <c r="L190" s="136">
        <v>0.36099999999999999</v>
      </c>
      <c r="M190" s="132"/>
      <c r="N190" s="132"/>
      <c r="O190" s="569">
        <v>0.36099999999999999</v>
      </c>
      <c r="P190" s="569">
        <v>0.36099999999999999</v>
      </c>
      <c r="Q190" s="569">
        <v>0.36099999999999999</v>
      </c>
      <c r="R190" s="569">
        <v>0.36099999999999999</v>
      </c>
      <c r="S190" s="569">
        <v>0.36099999999999999</v>
      </c>
      <c r="T190" s="569">
        <v>0.36099999999999999</v>
      </c>
      <c r="U190" s="569">
        <v>0.36099999999999999</v>
      </c>
      <c r="V190" s="58">
        <v>0.36099999999999999</v>
      </c>
      <c r="W190" s="132"/>
      <c r="X190" s="132"/>
      <c r="Y190" s="569">
        <v>0</v>
      </c>
      <c r="Z190" s="569">
        <v>0</v>
      </c>
      <c r="AA190" s="569">
        <v>0</v>
      </c>
      <c r="AB190" s="569">
        <v>0</v>
      </c>
      <c r="AC190" s="569">
        <v>0</v>
      </c>
      <c r="AD190" s="569">
        <v>0</v>
      </c>
      <c r="AE190" s="569">
        <v>0</v>
      </c>
      <c r="AF190" s="58">
        <v>0</v>
      </c>
    </row>
    <row r="191" spans="2:32" x14ac:dyDescent="0.35">
      <c r="B191" s="50" t="s">
        <v>1498</v>
      </c>
      <c r="C191" s="132"/>
      <c r="D191" s="132"/>
      <c r="E191" s="132">
        <v>0.27800000000000002</v>
      </c>
      <c r="F191" s="132">
        <v>0.27800000000000002</v>
      </c>
      <c r="G191" s="132">
        <v>0.27800000000000002</v>
      </c>
      <c r="H191" s="132">
        <v>0.27800000000000002</v>
      </c>
      <c r="I191" s="132">
        <v>0.27800000000000002</v>
      </c>
      <c r="J191" s="132">
        <v>0.27800000000000002</v>
      </c>
      <c r="K191" s="132">
        <v>0.27800000000000002</v>
      </c>
      <c r="L191" s="136">
        <v>0.27800000000000002</v>
      </c>
      <c r="M191" s="132"/>
      <c r="N191" s="132"/>
      <c r="O191" s="569">
        <v>0.27800000000000002</v>
      </c>
      <c r="P191" s="569">
        <v>0.27800000000000002</v>
      </c>
      <c r="Q191" s="569">
        <v>0.27800000000000002</v>
      </c>
      <c r="R191" s="569">
        <v>0.27800000000000002</v>
      </c>
      <c r="S191" s="569">
        <v>0.27800000000000002</v>
      </c>
      <c r="T191" s="569">
        <v>0.27800000000000002</v>
      </c>
      <c r="U191" s="569">
        <v>0.27800000000000002</v>
      </c>
      <c r="V191" s="58">
        <v>0.27800000000000002</v>
      </c>
      <c r="W191" s="132"/>
      <c r="X191" s="132"/>
      <c r="Y191" s="569">
        <v>0</v>
      </c>
      <c r="Z191" s="569">
        <v>0</v>
      </c>
      <c r="AA191" s="569">
        <v>0</v>
      </c>
      <c r="AB191" s="569">
        <v>0</v>
      </c>
      <c r="AC191" s="569">
        <v>0</v>
      </c>
      <c r="AD191" s="569">
        <v>0</v>
      </c>
      <c r="AE191" s="569">
        <v>0</v>
      </c>
      <c r="AF191" s="58">
        <v>0</v>
      </c>
    </row>
    <row r="192" spans="2:32" x14ac:dyDescent="0.35">
      <c r="B192" s="46" t="s">
        <v>1466</v>
      </c>
      <c r="C192" s="122"/>
      <c r="D192" s="122"/>
      <c r="E192" s="122">
        <v>0</v>
      </c>
      <c r="F192" s="122">
        <v>0</v>
      </c>
      <c r="G192" s="122">
        <v>0</v>
      </c>
      <c r="H192" s="122">
        <v>0</v>
      </c>
      <c r="I192" s="122">
        <v>0</v>
      </c>
      <c r="J192" s="122">
        <v>0</v>
      </c>
      <c r="K192" s="122">
        <v>0</v>
      </c>
      <c r="L192" s="56">
        <v>0</v>
      </c>
      <c r="M192" s="122"/>
      <c r="N192" s="122"/>
      <c r="O192" s="122">
        <v>0</v>
      </c>
      <c r="P192" s="122">
        <v>0</v>
      </c>
      <c r="Q192" s="122">
        <v>0</v>
      </c>
      <c r="R192" s="122">
        <v>0</v>
      </c>
      <c r="S192" s="122">
        <v>0</v>
      </c>
      <c r="T192" s="122">
        <v>0</v>
      </c>
      <c r="U192" s="122">
        <v>0</v>
      </c>
      <c r="V192" s="56">
        <v>0</v>
      </c>
      <c r="W192" s="122"/>
      <c r="X192" s="122"/>
      <c r="Y192" s="122">
        <v>1</v>
      </c>
      <c r="Z192" s="122">
        <v>1</v>
      </c>
      <c r="AA192" s="122">
        <v>1</v>
      </c>
      <c r="AB192" s="122">
        <v>1</v>
      </c>
      <c r="AC192" s="122">
        <v>1</v>
      </c>
      <c r="AD192" s="122">
        <v>1</v>
      </c>
      <c r="AE192" s="122">
        <v>1</v>
      </c>
      <c r="AF192" s="56">
        <v>1</v>
      </c>
    </row>
    <row r="193" spans="2:32" ht="13.15" x14ac:dyDescent="0.4">
      <c r="B193" s="238" t="s">
        <v>1500</v>
      </c>
      <c r="C193" s="132"/>
      <c r="D193" s="132"/>
      <c r="E193" s="132"/>
      <c r="F193" s="132"/>
      <c r="G193" s="132"/>
      <c r="H193" s="132"/>
      <c r="I193" s="132"/>
      <c r="J193" s="132"/>
      <c r="K193" s="132"/>
      <c r="L193" s="136"/>
      <c r="M193" s="132"/>
      <c r="N193" s="132"/>
      <c r="O193" s="132"/>
      <c r="P193" s="132"/>
      <c r="Q193" s="132"/>
      <c r="R193" s="132"/>
      <c r="S193" s="132"/>
      <c r="T193" s="132"/>
      <c r="U193" s="132"/>
      <c r="V193" s="136"/>
      <c r="W193" s="132"/>
      <c r="X193" s="132"/>
      <c r="Y193" s="132"/>
      <c r="Z193" s="132"/>
      <c r="AA193" s="132"/>
      <c r="AB193" s="132"/>
      <c r="AC193" s="132"/>
      <c r="AD193" s="132"/>
      <c r="AE193" s="132"/>
      <c r="AF193" s="136"/>
    </row>
    <row r="194" spans="2:32" x14ac:dyDescent="0.35">
      <c r="B194" s="50" t="s">
        <v>1438</v>
      </c>
      <c r="C194" s="132"/>
      <c r="D194" s="132"/>
      <c r="E194" s="132">
        <v>0.36099999999999999</v>
      </c>
      <c r="F194" s="132">
        <v>0.36099999999999999</v>
      </c>
      <c r="G194" s="132">
        <v>0.36099999999999999</v>
      </c>
      <c r="H194" s="132">
        <v>0.36099999999999999</v>
      </c>
      <c r="I194" s="132"/>
      <c r="J194" s="132"/>
      <c r="K194" s="132"/>
      <c r="L194" s="136"/>
      <c r="M194" s="132"/>
      <c r="N194" s="132"/>
      <c r="O194" s="569">
        <v>0.36099999999999999</v>
      </c>
      <c r="P194" s="569">
        <v>0.36099999999999999</v>
      </c>
      <c r="Q194" s="569">
        <v>0.36099999999999999</v>
      </c>
      <c r="R194" s="569">
        <v>0.36099999999999999</v>
      </c>
      <c r="S194" s="132"/>
      <c r="T194" s="132"/>
      <c r="U194" s="132"/>
      <c r="V194" s="136"/>
      <c r="W194" s="132"/>
      <c r="X194" s="132"/>
      <c r="Y194" s="569">
        <v>0</v>
      </c>
      <c r="Z194" s="569">
        <v>0</v>
      </c>
      <c r="AA194" s="569">
        <v>0</v>
      </c>
      <c r="AB194" s="569">
        <v>0</v>
      </c>
      <c r="AC194" s="132"/>
      <c r="AD194" s="132"/>
      <c r="AE194" s="132"/>
      <c r="AF194" s="136"/>
    </row>
    <row r="195" spans="2:32" x14ac:dyDescent="0.35">
      <c r="B195" s="50" t="s">
        <v>1445</v>
      </c>
      <c r="C195" s="132"/>
      <c r="D195" s="132"/>
      <c r="E195" s="132">
        <v>0.36099999999999999</v>
      </c>
      <c r="F195" s="132">
        <v>0.36099999999999999</v>
      </c>
      <c r="G195" s="132">
        <v>0.36099999999999999</v>
      </c>
      <c r="H195" s="132">
        <v>0.36099999999999999</v>
      </c>
      <c r="I195" s="132"/>
      <c r="J195" s="132"/>
      <c r="K195" s="132"/>
      <c r="L195" s="136"/>
      <c r="M195" s="132"/>
      <c r="N195" s="132"/>
      <c r="O195" s="569">
        <v>0.36099999999999999</v>
      </c>
      <c r="P195" s="569">
        <v>0.36099999999999999</v>
      </c>
      <c r="Q195" s="569">
        <v>0.36099999999999999</v>
      </c>
      <c r="R195" s="569">
        <v>0.36099999999999999</v>
      </c>
      <c r="S195" s="132"/>
      <c r="T195" s="132"/>
      <c r="U195" s="132"/>
      <c r="V195" s="136"/>
      <c r="W195" s="132"/>
      <c r="X195" s="132"/>
      <c r="Y195" s="569">
        <v>0</v>
      </c>
      <c r="Z195" s="569">
        <v>0</v>
      </c>
      <c r="AA195" s="569">
        <v>0</v>
      </c>
      <c r="AB195" s="569">
        <v>0</v>
      </c>
      <c r="AC195" s="132"/>
      <c r="AD195" s="132"/>
      <c r="AE195" s="132"/>
      <c r="AF195" s="136"/>
    </row>
    <row r="196" spans="2:32" x14ac:dyDescent="0.35">
      <c r="B196" s="50" t="s">
        <v>1498</v>
      </c>
      <c r="C196" s="132"/>
      <c r="D196" s="132"/>
      <c r="E196" s="132">
        <v>0.27800000000000002</v>
      </c>
      <c r="F196" s="132">
        <v>0.27800000000000002</v>
      </c>
      <c r="G196" s="132">
        <v>0.27800000000000002</v>
      </c>
      <c r="H196" s="132">
        <v>0.27800000000000002</v>
      </c>
      <c r="I196" s="132"/>
      <c r="J196" s="132"/>
      <c r="K196" s="132"/>
      <c r="L196" s="136"/>
      <c r="M196" s="132"/>
      <c r="N196" s="132"/>
      <c r="O196" s="569">
        <v>0.27800000000000002</v>
      </c>
      <c r="P196" s="569">
        <v>0.27800000000000002</v>
      </c>
      <c r="Q196" s="569">
        <v>0.27800000000000002</v>
      </c>
      <c r="R196" s="569">
        <v>0.27800000000000002</v>
      </c>
      <c r="S196" s="132"/>
      <c r="T196" s="132"/>
      <c r="U196" s="132"/>
      <c r="V196" s="136"/>
      <c r="W196" s="132"/>
      <c r="X196" s="132"/>
      <c r="Y196" s="569">
        <v>0</v>
      </c>
      <c r="Z196" s="569">
        <v>0</v>
      </c>
      <c r="AA196" s="569">
        <v>0</v>
      </c>
      <c r="AB196" s="569">
        <v>0</v>
      </c>
      <c r="AC196" s="132"/>
      <c r="AD196" s="132"/>
      <c r="AE196" s="132"/>
      <c r="AF196" s="136"/>
    </row>
    <row r="197" spans="2:32" x14ac:dyDescent="0.35">
      <c r="B197" s="50" t="s">
        <v>1466</v>
      </c>
      <c r="C197" s="132"/>
      <c r="D197" s="132"/>
      <c r="E197" s="132">
        <v>0</v>
      </c>
      <c r="F197" s="132">
        <v>0</v>
      </c>
      <c r="G197" s="132">
        <v>0</v>
      </c>
      <c r="H197" s="132">
        <v>0</v>
      </c>
      <c r="I197" s="132"/>
      <c r="J197" s="132"/>
      <c r="K197" s="132"/>
      <c r="L197" s="136"/>
      <c r="M197" s="132"/>
      <c r="N197" s="132"/>
      <c r="O197" s="132">
        <v>0</v>
      </c>
      <c r="P197" s="132">
        <v>0</v>
      </c>
      <c r="Q197" s="132">
        <v>0</v>
      </c>
      <c r="R197" s="132">
        <v>0</v>
      </c>
      <c r="S197" s="132"/>
      <c r="T197" s="132"/>
      <c r="U197" s="132"/>
      <c r="V197" s="136"/>
      <c r="W197" s="132"/>
      <c r="X197" s="132"/>
      <c r="Y197" s="132">
        <v>1</v>
      </c>
      <c r="Z197" s="132">
        <v>1</v>
      </c>
      <c r="AA197" s="132">
        <v>1</v>
      </c>
      <c r="AB197" s="132">
        <v>1</v>
      </c>
      <c r="AC197" s="132"/>
      <c r="AD197" s="132"/>
      <c r="AE197" s="132"/>
      <c r="AF197" s="136"/>
    </row>
    <row r="198" spans="2:32" ht="13.15" x14ac:dyDescent="0.4">
      <c r="B198" s="178" t="s">
        <v>1499</v>
      </c>
      <c r="C198" s="138"/>
      <c r="D198" s="138"/>
      <c r="E198" s="138"/>
      <c r="F198" s="138"/>
      <c r="G198" s="138"/>
      <c r="H198" s="138"/>
      <c r="I198" s="138"/>
      <c r="J198" s="138"/>
      <c r="K198" s="138"/>
      <c r="L198" s="137"/>
      <c r="M198" s="138"/>
      <c r="N198" s="138"/>
      <c r="O198" s="138"/>
      <c r="P198" s="138"/>
      <c r="Q198" s="138"/>
      <c r="R198" s="138"/>
      <c r="S198" s="138"/>
      <c r="T198" s="138"/>
      <c r="U198" s="138"/>
      <c r="V198" s="137"/>
      <c r="W198" s="138"/>
      <c r="X198" s="138"/>
      <c r="Y198" s="138"/>
      <c r="Z198" s="138"/>
      <c r="AA198" s="138"/>
      <c r="AB198" s="138"/>
      <c r="AC198" s="138"/>
      <c r="AD198" s="138"/>
      <c r="AE198" s="138"/>
      <c r="AF198" s="137"/>
    </row>
    <row r="199" spans="2:32" x14ac:dyDescent="0.35">
      <c r="B199" s="50" t="s">
        <v>1438</v>
      </c>
      <c r="C199" s="132"/>
      <c r="D199" s="132"/>
      <c r="E199" s="132">
        <v>0.05</v>
      </c>
      <c r="F199" s="132">
        <v>0.05</v>
      </c>
      <c r="G199" s="132">
        <v>0.05</v>
      </c>
      <c r="H199" s="132">
        <v>0.05</v>
      </c>
      <c r="I199" s="132">
        <v>0.05</v>
      </c>
      <c r="J199" s="132">
        <v>0.05</v>
      </c>
      <c r="K199" s="132">
        <v>0.05</v>
      </c>
      <c r="L199" s="136">
        <v>0.05</v>
      </c>
      <c r="M199" s="132"/>
      <c r="N199" s="132"/>
      <c r="O199" s="569">
        <v>0.05</v>
      </c>
      <c r="P199" s="569">
        <v>0.05</v>
      </c>
      <c r="Q199" s="569">
        <v>0.05</v>
      </c>
      <c r="R199" s="569">
        <v>0.05</v>
      </c>
      <c r="S199" s="569">
        <v>0.05</v>
      </c>
      <c r="T199" s="569">
        <v>0.05</v>
      </c>
      <c r="U199" s="569">
        <v>0.05</v>
      </c>
      <c r="V199" s="58">
        <v>0.05</v>
      </c>
      <c r="W199" s="132"/>
      <c r="X199" s="132"/>
      <c r="Y199" s="569">
        <v>0</v>
      </c>
      <c r="Z199" s="569">
        <v>0</v>
      </c>
      <c r="AA199" s="569">
        <v>0</v>
      </c>
      <c r="AB199" s="569">
        <v>0</v>
      </c>
      <c r="AC199" s="569">
        <v>0</v>
      </c>
      <c r="AD199" s="569">
        <v>0</v>
      </c>
      <c r="AE199" s="569">
        <v>0</v>
      </c>
      <c r="AF199" s="58">
        <v>0</v>
      </c>
    </row>
    <row r="200" spans="2:32" x14ac:dyDescent="0.35">
      <c r="B200" s="50" t="s">
        <v>1445</v>
      </c>
      <c r="C200" s="132"/>
      <c r="D200" s="132"/>
      <c r="E200" s="132">
        <v>0.46899999999999997</v>
      </c>
      <c r="F200" s="132">
        <v>0.46899999999999997</v>
      </c>
      <c r="G200" s="132">
        <v>0.46899999999999997</v>
      </c>
      <c r="H200" s="132">
        <v>0.46899999999999997</v>
      </c>
      <c r="I200" s="132">
        <v>0.46899999999999997</v>
      </c>
      <c r="J200" s="132">
        <v>0.46899999999999997</v>
      </c>
      <c r="K200" s="132">
        <v>0.46899999999999997</v>
      </c>
      <c r="L200" s="136">
        <v>0.46899999999999997</v>
      </c>
      <c r="M200" s="132"/>
      <c r="N200" s="132"/>
      <c r="O200" s="569">
        <v>0.46899999999999997</v>
      </c>
      <c r="P200" s="569">
        <v>0.46899999999999997</v>
      </c>
      <c r="Q200" s="569">
        <v>0.46899999999999997</v>
      </c>
      <c r="R200" s="569">
        <v>0.46899999999999997</v>
      </c>
      <c r="S200" s="569">
        <v>0.46899999999999997</v>
      </c>
      <c r="T200" s="569">
        <v>0.46899999999999997</v>
      </c>
      <c r="U200" s="569">
        <v>0.46899999999999997</v>
      </c>
      <c r="V200" s="58">
        <v>0.46899999999999997</v>
      </c>
      <c r="W200" s="132"/>
      <c r="X200" s="132"/>
      <c r="Y200" s="569">
        <v>0</v>
      </c>
      <c r="Z200" s="569">
        <v>0</v>
      </c>
      <c r="AA200" s="569">
        <v>0</v>
      </c>
      <c r="AB200" s="569">
        <v>0</v>
      </c>
      <c r="AC200" s="569">
        <v>0</v>
      </c>
      <c r="AD200" s="569">
        <v>0</v>
      </c>
      <c r="AE200" s="569">
        <v>0</v>
      </c>
      <c r="AF200" s="58">
        <v>0</v>
      </c>
    </row>
    <row r="201" spans="2:32" x14ac:dyDescent="0.35">
      <c r="B201" s="50" t="s">
        <v>1498</v>
      </c>
      <c r="C201" s="132"/>
      <c r="D201" s="132"/>
      <c r="E201" s="132">
        <v>8.2000000000000003E-2</v>
      </c>
      <c r="F201" s="132">
        <v>8.2000000000000003E-2</v>
      </c>
      <c r="G201" s="132">
        <v>8.2000000000000003E-2</v>
      </c>
      <c r="H201" s="132">
        <v>8.2000000000000003E-2</v>
      </c>
      <c r="I201" s="132">
        <v>8.2000000000000003E-2</v>
      </c>
      <c r="J201" s="132">
        <v>8.2000000000000003E-2</v>
      </c>
      <c r="K201" s="132">
        <v>8.2000000000000003E-2</v>
      </c>
      <c r="L201" s="136">
        <v>8.2000000000000003E-2</v>
      </c>
      <c r="M201" s="132"/>
      <c r="N201" s="132"/>
      <c r="O201" s="569">
        <v>8.2000000000000003E-2</v>
      </c>
      <c r="P201" s="569">
        <v>8.2000000000000003E-2</v>
      </c>
      <c r="Q201" s="569">
        <v>8.2000000000000003E-2</v>
      </c>
      <c r="R201" s="569">
        <v>8.2000000000000003E-2</v>
      </c>
      <c r="S201" s="569">
        <v>8.2000000000000003E-2</v>
      </c>
      <c r="T201" s="569">
        <v>8.2000000000000003E-2</v>
      </c>
      <c r="U201" s="569">
        <v>8.2000000000000003E-2</v>
      </c>
      <c r="V201" s="58">
        <v>8.2000000000000003E-2</v>
      </c>
      <c r="W201" s="132"/>
      <c r="X201" s="132"/>
      <c r="Y201" s="569">
        <v>0</v>
      </c>
      <c r="Z201" s="569">
        <v>0</v>
      </c>
      <c r="AA201" s="569">
        <v>0</v>
      </c>
      <c r="AB201" s="569">
        <v>0</v>
      </c>
      <c r="AC201" s="569">
        <v>0</v>
      </c>
      <c r="AD201" s="569">
        <v>0</v>
      </c>
      <c r="AE201" s="569">
        <v>0</v>
      </c>
      <c r="AF201" s="58">
        <v>0</v>
      </c>
    </row>
    <row r="202" spans="2:32" x14ac:dyDescent="0.35">
      <c r="B202" s="50" t="s">
        <v>1457</v>
      </c>
      <c r="C202" s="132"/>
      <c r="D202" s="132"/>
      <c r="E202" s="132">
        <v>3.6999999999999998E-2</v>
      </c>
      <c r="F202" s="132">
        <v>3.6999999999999998E-2</v>
      </c>
      <c r="G202" s="132">
        <v>3.6999999999999998E-2</v>
      </c>
      <c r="H202" s="132">
        <v>3.6999999999999998E-2</v>
      </c>
      <c r="I202" s="132">
        <v>3.6999999999999998E-2</v>
      </c>
      <c r="J202" s="132">
        <v>3.6999999999999998E-2</v>
      </c>
      <c r="K202" s="132">
        <v>3.6999999999999998E-2</v>
      </c>
      <c r="L202" s="136">
        <v>3.6999999999999998E-2</v>
      </c>
      <c r="M202" s="132"/>
      <c r="N202" s="132"/>
      <c r="O202" s="569">
        <v>3.6999999999999998E-2</v>
      </c>
      <c r="P202" s="569">
        <v>3.6999999999999998E-2</v>
      </c>
      <c r="Q202" s="569">
        <v>3.6999999999999998E-2</v>
      </c>
      <c r="R202" s="569">
        <v>3.6999999999999998E-2</v>
      </c>
      <c r="S202" s="569">
        <v>3.6999999999999998E-2</v>
      </c>
      <c r="T202" s="569">
        <v>3.6999999999999998E-2</v>
      </c>
      <c r="U202" s="569">
        <v>3.6999999999999998E-2</v>
      </c>
      <c r="V202" s="58">
        <v>3.6999999999999998E-2</v>
      </c>
      <c r="W202" s="132"/>
      <c r="X202" s="132"/>
      <c r="Y202" s="569">
        <v>0</v>
      </c>
      <c r="Z202" s="569">
        <v>0</v>
      </c>
      <c r="AA202" s="569">
        <v>0</v>
      </c>
      <c r="AB202" s="569">
        <v>0</v>
      </c>
      <c r="AC202" s="569">
        <v>0</v>
      </c>
      <c r="AD202" s="569">
        <v>0</v>
      </c>
      <c r="AE202" s="569">
        <v>0</v>
      </c>
      <c r="AF202" s="58">
        <v>0</v>
      </c>
    </row>
    <row r="203" spans="2:32" x14ac:dyDescent="0.35">
      <c r="B203" s="50" t="s">
        <v>1497</v>
      </c>
      <c r="C203" s="132"/>
      <c r="D203" s="132"/>
      <c r="E203" s="132">
        <v>0.23799999999999999</v>
      </c>
      <c r="F203" s="132">
        <v>0.23799999999999999</v>
      </c>
      <c r="G203" s="132">
        <v>0.23799999999999999</v>
      </c>
      <c r="H203" s="132">
        <v>0.23799999999999999</v>
      </c>
      <c r="I203" s="132">
        <v>0.23799999999999999</v>
      </c>
      <c r="J203" s="132">
        <v>0.23799999999999999</v>
      </c>
      <c r="K203" s="132">
        <v>0.23799999999999999</v>
      </c>
      <c r="L203" s="136">
        <v>0.23799999999999999</v>
      </c>
      <c r="M203" s="132"/>
      <c r="N203" s="132"/>
      <c r="O203" s="569">
        <v>0.23799999999999999</v>
      </c>
      <c r="P203" s="569">
        <v>0.23799999999999999</v>
      </c>
      <c r="Q203" s="569">
        <v>0.23799999999999999</v>
      </c>
      <c r="R203" s="569">
        <v>0.23799999999999999</v>
      </c>
      <c r="S203" s="569">
        <v>0.23799999999999999</v>
      </c>
      <c r="T203" s="569">
        <v>0.23799999999999999</v>
      </c>
      <c r="U203" s="569">
        <v>0.23799999999999999</v>
      </c>
      <c r="V203" s="58">
        <v>0.23799999999999999</v>
      </c>
      <c r="W203" s="132"/>
      <c r="X203" s="132"/>
      <c r="Y203" s="569">
        <v>0</v>
      </c>
      <c r="Z203" s="569">
        <v>0</v>
      </c>
      <c r="AA203" s="569">
        <v>0</v>
      </c>
      <c r="AB203" s="569">
        <v>0</v>
      </c>
      <c r="AC203" s="569">
        <v>0</v>
      </c>
      <c r="AD203" s="569">
        <v>0</v>
      </c>
      <c r="AE203" s="569">
        <v>0</v>
      </c>
      <c r="AF203" s="58">
        <v>0</v>
      </c>
    </row>
    <row r="204" spans="2:32" x14ac:dyDescent="0.35">
      <c r="B204" s="46" t="s">
        <v>1466</v>
      </c>
      <c r="C204" s="122"/>
      <c r="D204" s="122"/>
      <c r="E204" s="122">
        <v>0.124</v>
      </c>
      <c r="F204" s="122">
        <v>0.124</v>
      </c>
      <c r="G204" s="122">
        <v>0.124</v>
      </c>
      <c r="H204" s="122">
        <v>0.124</v>
      </c>
      <c r="I204" s="122">
        <v>0.124</v>
      </c>
      <c r="J204" s="122">
        <v>0.124</v>
      </c>
      <c r="K204" s="122">
        <v>0.124</v>
      </c>
      <c r="L204" s="56">
        <v>0.124</v>
      </c>
      <c r="M204" s="122"/>
      <c r="N204" s="122"/>
      <c r="O204" s="122">
        <v>0.124</v>
      </c>
      <c r="P204" s="122">
        <v>0.124</v>
      </c>
      <c r="Q204" s="122">
        <v>0.124</v>
      </c>
      <c r="R204" s="122">
        <v>0.124</v>
      </c>
      <c r="S204" s="122">
        <v>0.124</v>
      </c>
      <c r="T204" s="122">
        <v>0.124</v>
      </c>
      <c r="U204" s="122">
        <v>0.124</v>
      </c>
      <c r="V204" s="56">
        <v>0.124</v>
      </c>
      <c r="W204" s="122"/>
      <c r="X204" s="122"/>
      <c r="Y204" s="122">
        <v>1</v>
      </c>
      <c r="Z204" s="122">
        <v>1</v>
      </c>
      <c r="AA204" s="122">
        <v>1</v>
      </c>
      <c r="AB204" s="122">
        <v>1</v>
      </c>
      <c r="AC204" s="122">
        <v>1</v>
      </c>
      <c r="AD204" s="122">
        <v>1</v>
      </c>
      <c r="AE204" s="122">
        <v>1</v>
      </c>
      <c r="AF204" s="56">
        <v>1</v>
      </c>
    </row>
    <row r="205" spans="2:32" ht="13.15" x14ac:dyDescent="0.4">
      <c r="B205" s="570" t="s">
        <v>1496</v>
      </c>
      <c r="C205" s="132"/>
      <c r="D205" s="132"/>
      <c r="E205" s="132"/>
      <c r="F205" s="132"/>
      <c r="G205" s="132"/>
      <c r="H205" s="132"/>
      <c r="I205" s="132"/>
      <c r="J205" s="132"/>
      <c r="K205" s="132"/>
      <c r="L205" s="136"/>
      <c r="M205" s="572"/>
      <c r="N205" s="138"/>
      <c r="O205" s="138"/>
      <c r="P205" s="138"/>
      <c r="Q205" s="138"/>
      <c r="R205" s="138"/>
      <c r="S205" s="138"/>
      <c r="T205" s="138"/>
      <c r="U205" s="138"/>
      <c r="V205" s="137"/>
      <c r="W205" s="132"/>
      <c r="X205" s="132"/>
      <c r="Y205" s="132"/>
      <c r="Z205" s="132"/>
      <c r="AA205" s="132"/>
      <c r="AB205" s="132"/>
      <c r="AC205" s="132"/>
      <c r="AD205" s="132"/>
      <c r="AE205" s="132"/>
      <c r="AF205" s="136"/>
    </row>
    <row r="206" spans="2:32" x14ac:dyDescent="0.35">
      <c r="B206" s="50" t="s">
        <v>1438</v>
      </c>
      <c r="C206" s="132"/>
      <c r="D206" s="132"/>
      <c r="E206" s="132"/>
      <c r="F206" s="132"/>
      <c r="G206" s="132"/>
      <c r="H206" s="132"/>
      <c r="I206" s="132"/>
      <c r="J206" s="132"/>
      <c r="K206" s="132">
        <v>9.1528724440116851E-2</v>
      </c>
      <c r="L206" s="136">
        <v>9.1528724440116851E-2</v>
      </c>
      <c r="M206" s="295"/>
      <c r="N206" s="132"/>
      <c r="O206" s="132"/>
      <c r="P206" s="132"/>
      <c r="Q206" s="132"/>
      <c r="R206" s="132"/>
      <c r="S206" s="132"/>
      <c r="T206" s="132"/>
      <c r="U206" s="125">
        <v>9.1528724440116851E-2</v>
      </c>
      <c r="V206" s="124">
        <v>9.1528724440116851E-2</v>
      </c>
      <c r="W206" s="132"/>
      <c r="X206" s="132"/>
      <c r="Y206" s="132"/>
      <c r="Z206" s="132"/>
      <c r="AA206" s="132"/>
      <c r="AB206" s="132"/>
      <c r="AC206" s="132"/>
      <c r="AD206" s="132"/>
      <c r="AE206" s="569">
        <v>0</v>
      </c>
      <c r="AF206" s="58">
        <v>0</v>
      </c>
    </row>
    <row r="207" spans="2:32" x14ac:dyDescent="0.35">
      <c r="B207" s="50" t="s">
        <v>1495</v>
      </c>
      <c r="C207" s="132"/>
      <c r="D207" s="132"/>
      <c r="E207" s="132"/>
      <c r="F207" s="132"/>
      <c r="G207" s="132"/>
      <c r="H207" s="132"/>
      <c r="I207" s="132"/>
      <c r="J207" s="132"/>
      <c r="K207" s="132">
        <v>8.081791626095422E-2</v>
      </c>
      <c r="L207" s="136">
        <v>8.081791626095422E-2</v>
      </c>
      <c r="M207" s="295"/>
      <c r="N207" s="132"/>
      <c r="O207" s="132"/>
      <c r="P207" s="132"/>
      <c r="Q207" s="132"/>
      <c r="R207" s="132"/>
      <c r="S207" s="132"/>
      <c r="T207" s="132"/>
      <c r="U207" s="125">
        <v>8.081791626095422E-2</v>
      </c>
      <c r="V207" s="124">
        <v>8.081791626095422E-2</v>
      </c>
      <c r="W207" s="132"/>
      <c r="X207" s="132"/>
      <c r="Y207" s="132"/>
      <c r="Z207" s="132"/>
      <c r="AA207" s="132"/>
      <c r="AB207" s="132"/>
      <c r="AC207" s="132"/>
      <c r="AD207" s="132"/>
      <c r="AE207" s="569"/>
      <c r="AF207" s="58"/>
    </row>
    <row r="208" spans="2:32" x14ac:dyDescent="0.35">
      <c r="B208" s="50" t="s">
        <v>1494</v>
      </c>
      <c r="C208" s="132"/>
      <c r="D208" s="132"/>
      <c r="E208" s="132"/>
      <c r="F208" s="132"/>
      <c r="G208" s="132"/>
      <c r="H208" s="132"/>
      <c r="I208" s="132"/>
      <c r="J208" s="132"/>
      <c r="K208" s="132">
        <v>0.65628042843232726</v>
      </c>
      <c r="L208" s="136">
        <v>0.65628042843232726</v>
      </c>
      <c r="M208" s="295"/>
      <c r="N208" s="132"/>
      <c r="O208" s="132"/>
      <c r="P208" s="132"/>
      <c r="Q208" s="132"/>
      <c r="R208" s="132"/>
      <c r="S208" s="132"/>
      <c r="T208" s="132"/>
      <c r="U208" s="125">
        <v>0.65628042843232726</v>
      </c>
      <c r="V208" s="124">
        <v>0.65628042843232726</v>
      </c>
      <c r="W208" s="132"/>
      <c r="X208" s="132"/>
      <c r="Y208" s="132"/>
      <c r="Z208" s="132"/>
      <c r="AA208" s="132"/>
      <c r="AB208" s="132"/>
      <c r="AC208" s="132"/>
      <c r="AD208" s="132"/>
      <c r="AE208" s="569">
        <v>0</v>
      </c>
      <c r="AF208" s="58">
        <v>0</v>
      </c>
    </row>
    <row r="209" spans="1:32" x14ac:dyDescent="0.35">
      <c r="B209" s="50" t="s">
        <v>1493</v>
      </c>
      <c r="C209" s="132"/>
      <c r="D209" s="132"/>
      <c r="E209" s="132"/>
      <c r="F209" s="132"/>
      <c r="G209" s="132"/>
      <c r="H209" s="132"/>
      <c r="I209" s="132"/>
      <c r="J209" s="132"/>
      <c r="K209" s="132">
        <v>4.4790652385589089E-2</v>
      </c>
      <c r="L209" s="136">
        <v>4.4790652385589089E-2</v>
      </c>
      <c r="M209" s="295"/>
      <c r="N209" s="132"/>
      <c r="O209" s="132"/>
      <c r="P209" s="132"/>
      <c r="Q209" s="132"/>
      <c r="R209" s="132"/>
      <c r="S209" s="132"/>
      <c r="T209" s="132"/>
      <c r="U209" s="125">
        <v>4.4790652385589089E-2</v>
      </c>
      <c r="V209" s="124">
        <v>4.4790652385589089E-2</v>
      </c>
      <c r="W209" s="132"/>
      <c r="X209" s="132"/>
      <c r="Y209" s="132"/>
      <c r="Z209" s="132"/>
      <c r="AA209" s="132"/>
      <c r="AB209" s="132"/>
      <c r="AC209" s="132"/>
      <c r="AD209" s="132"/>
      <c r="AE209" s="569"/>
      <c r="AF209" s="58"/>
    </row>
    <row r="210" spans="1:32" x14ac:dyDescent="0.35">
      <c r="B210" s="50" t="s">
        <v>1446</v>
      </c>
      <c r="C210" s="132"/>
      <c r="D210" s="132"/>
      <c r="E210" s="132"/>
      <c r="F210" s="132"/>
      <c r="G210" s="132"/>
      <c r="H210" s="132"/>
      <c r="I210" s="132"/>
      <c r="J210" s="132"/>
      <c r="K210" s="132">
        <v>0</v>
      </c>
      <c r="L210" s="136">
        <v>0</v>
      </c>
      <c r="M210" s="295"/>
      <c r="N210" s="132"/>
      <c r="O210" s="132"/>
      <c r="P210" s="132"/>
      <c r="Q210" s="132"/>
      <c r="R210" s="132"/>
      <c r="S210" s="132"/>
      <c r="T210" s="132"/>
      <c r="U210" s="125">
        <v>0</v>
      </c>
      <c r="V210" s="124">
        <v>0</v>
      </c>
      <c r="W210" s="132"/>
      <c r="X210" s="132"/>
      <c r="Y210" s="132"/>
      <c r="Z210" s="132"/>
      <c r="AA210" s="132"/>
      <c r="AB210" s="132"/>
      <c r="AC210" s="132"/>
      <c r="AD210" s="132"/>
      <c r="AE210" s="569">
        <v>0</v>
      </c>
      <c r="AF210" s="58">
        <v>0</v>
      </c>
    </row>
    <row r="211" spans="1:32" x14ac:dyDescent="0.35">
      <c r="B211" s="50" t="s">
        <v>1447</v>
      </c>
      <c r="C211" s="132"/>
      <c r="D211" s="132"/>
      <c r="E211" s="132"/>
      <c r="F211" s="132"/>
      <c r="G211" s="132"/>
      <c r="H211" s="132"/>
      <c r="I211" s="132"/>
      <c r="J211" s="132"/>
      <c r="K211" s="132">
        <v>0</v>
      </c>
      <c r="L211" s="136">
        <v>0</v>
      </c>
      <c r="M211" s="295"/>
      <c r="N211" s="132"/>
      <c r="O211" s="132"/>
      <c r="P211" s="132"/>
      <c r="Q211" s="132"/>
      <c r="R211" s="132"/>
      <c r="S211" s="132"/>
      <c r="T211" s="132"/>
      <c r="U211" s="125">
        <v>0</v>
      </c>
      <c r="V211" s="124">
        <v>0</v>
      </c>
      <c r="W211" s="132"/>
      <c r="X211" s="132"/>
      <c r="Y211" s="132"/>
      <c r="Z211" s="132"/>
      <c r="AA211" s="132"/>
      <c r="AB211" s="132"/>
      <c r="AC211" s="132"/>
      <c r="AD211" s="132"/>
      <c r="AE211" s="569">
        <v>0</v>
      </c>
      <c r="AF211" s="58">
        <v>0</v>
      </c>
    </row>
    <row r="212" spans="1:32" x14ac:dyDescent="0.35">
      <c r="B212" s="50" t="s">
        <v>1492</v>
      </c>
      <c r="C212" s="132"/>
      <c r="D212" s="132"/>
      <c r="E212" s="132"/>
      <c r="F212" s="132"/>
      <c r="G212" s="132"/>
      <c r="H212" s="132"/>
      <c r="I212" s="132"/>
      <c r="J212" s="132"/>
      <c r="K212" s="132">
        <v>7.7896786757546244E-2</v>
      </c>
      <c r="L212" s="136">
        <v>7.7896786757546244E-2</v>
      </c>
      <c r="M212" s="295"/>
      <c r="N212" s="132"/>
      <c r="O212" s="132"/>
      <c r="P212" s="132"/>
      <c r="Q212" s="132"/>
      <c r="R212" s="132"/>
      <c r="S212" s="132"/>
      <c r="T212" s="132"/>
      <c r="U212" s="125">
        <v>7.7896786757546244E-2</v>
      </c>
      <c r="V212" s="124">
        <v>7.7896786757546244E-2</v>
      </c>
      <c r="W212" s="132"/>
      <c r="X212" s="132"/>
      <c r="Y212" s="132"/>
      <c r="Z212" s="132"/>
      <c r="AA212" s="132"/>
      <c r="AB212" s="132"/>
      <c r="AC212" s="132"/>
      <c r="AD212" s="132"/>
      <c r="AE212" s="569">
        <v>0</v>
      </c>
      <c r="AF212" s="58">
        <v>0</v>
      </c>
    </row>
    <row r="213" spans="1:32" x14ac:dyDescent="0.35">
      <c r="B213" s="50" t="s">
        <v>1457</v>
      </c>
      <c r="C213" s="132"/>
      <c r="D213" s="132"/>
      <c r="E213" s="132"/>
      <c r="F213" s="132"/>
      <c r="G213" s="132"/>
      <c r="H213" s="132"/>
      <c r="I213" s="132"/>
      <c r="J213" s="132"/>
      <c r="K213" s="132">
        <v>0</v>
      </c>
      <c r="L213" s="136">
        <v>0</v>
      </c>
      <c r="M213" s="295"/>
      <c r="N213" s="132"/>
      <c r="O213" s="132"/>
      <c r="P213" s="132"/>
      <c r="Q213" s="132"/>
      <c r="R213" s="132"/>
      <c r="S213" s="132"/>
      <c r="T213" s="132"/>
      <c r="U213" s="125">
        <v>0</v>
      </c>
      <c r="V213" s="124">
        <v>0</v>
      </c>
      <c r="W213" s="132"/>
      <c r="X213" s="132"/>
      <c r="Y213" s="132"/>
      <c r="Z213" s="132"/>
      <c r="AA213" s="132"/>
      <c r="AB213" s="132"/>
      <c r="AC213" s="132"/>
      <c r="AD213" s="132"/>
      <c r="AE213" s="569">
        <v>0</v>
      </c>
      <c r="AF213" s="58">
        <v>0</v>
      </c>
    </row>
    <row r="214" spans="1:32" x14ac:dyDescent="0.35">
      <c r="B214" s="50" t="s">
        <v>1460</v>
      </c>
      <c r="C214" s="132"/>
      <c r="D214" s="132"/>
      <c r="E214" s="132"/>
      <c r="F214" s="132"/>
      <c r="G214" s="132"/>
      <c r="H214" s="132"/>
      <c r="I214" s="132"/>
      <c r="J214" s="132"/>
      <c r="K214" s="132">
        <v>0</v>
      </c>
      <c r="L214" s="136">
        <v>0</v>
      </c>
      <c r="M214" s="295"/>
      <c r="N214" s="132"/>
      <c r="O214" s="132"/>
      <c r="P214" s="132"/>
      <c r="Q214" s="132"/>
      <c r="R214" s="132"/>
      <c r="S214" s="132"/>
      <c r="T214" s="132"/>
      <c r="U214" s="125">
        <v>0</v>
      </c>
      <c r="V214" s="124">
        <v>0</v>
      </c>
      <c r="W214" s="132"/>
      <c r="X214" s="132"/>
      <c r="Y214" s="132"/>
      <c r="Z214" s="132"/>
      <c r="AA214" s="132"/>
      <c r="AB214" s="132"/>
      <c r="AC214" s="132"/>
      <c r="AD214" s="132"/>
      <c r="AE214" s="569">
        <v>0</v>
      </c>
      <c r="AF214" s="58">
        <v>0</v>
      </c>
    </row>
    <row r="215" spans="1:32" x14ac:dyDescent="0.35">
      <c r="B215" s="50" t="s">
        <v>1449</v>
      </c>
      <c r="C215" s="132"/>
      <c r="D215" s="132"/>
      <c r="E215" s="132"/>
      <c r="F215" s="132"/>
      <c r="G215" s="132"/>
      <c r="H215" s="132"/>
      <c r="I215" s="132"/>
      <c r="J215" s="132"/>
      <c r="K215" s="132">
        <v>9.7370983446932804E-3</v>
      </c>
      <c r="L215" s="136">
        <v>9.7370983446932804E-3</v>
      </c>
      <c r="M215" s="295"/>
      <c r="N215" s="132"/>
      <c r="O215" s="132"/>
      <c r="P215" s="132"/>
      <c r="Q215" s="132"/>
      <c r="R215" s="132"/>
      <c r="S215" s="132"/>
      <c r="T215" s="132"/>
      <c r="U215" s="125">
        <v>9.7370983446932804E-3</v>
      </c>
      <c r="V215" s="124">
        <v>9.7370983446932804E-3</v>
      </c>
      <c r="W215" s="132"/>
      <c r="X215" s="132"/>
      <c r="Y215" s="132"/>
      <c r="Z215" s="132"/>
      <c r="AA215" s="132"/>
      <c r="AB215" s="132"/>
      <c r="AC215" s="132"/>
      <c r="AD215" s="132"/>
      <c r="AE215" s="569"/>
      <c r="AF215" s="58"/>
    </row>
    <row r="216" spans="1:32" x14ac:dyDescent="0.35">
      <c r="B216" s="46" t="s">
        <v>1466</v>
      </c>
      <c r="C216" s="122"/>
      <c r="D216" s="122"/>
      <c r="E216" s="122"/>
      <c r="F216" s="122"/>
      <c r="G216" s="122"/>
      <c r="H216" s="122"/>
      <c r="I216" s="122"/>
      <c r="J216" s="122"/>
      <c r="K216" s="122">
        <v>3.8948393378772983E-2</v>
      </c>
      <c r="L216" s="56">
        <v>3.8948393378772983E-2</v>
      </c>
      <c r="M216" s="123"/>
      <c r="N216" s="122"/>
      <c r="O216" s="122"/>
      <c r="P216" s="122"/>
      <c r="Q216" s="122"/>
      <c r="R216" s="122"/>
      <c r="S216" s="122"/>
      <c r="T216" s="122"/>
      <c r="U216" s="122">
        <v>3.8948393378772983E-2</v>
      </c>
      <c r="V216" s="56">
        <v>3.8948393378772983E-2</v>
      </c>
      <c r="W216" s="122"/>
      <c r="X216" s="122"/>
      <c r="Y216" s="122"/>
      <c r="Z216" s="122"/>
      <c r="AA216" s="122"/>
      <c r="AB216" s="122"/>
      <c r="AC216" s="122"/>
      <c r="AD216" s="122"/>
      <c r="AE216" s="122">
        <v>1</v>
      </c>
      <c r="AF216" s="56">
        <v>1</v>
      </c>
    </row>
    <row r="218" spans="1:32" ht="13.9" x14ac:dyDescent="0.4">
      <c r="A218" s="72" t="s">
        <v>2256</v>
      </c>
    </row>
    <row r="219" spans="1:32" ht="42.75" x14ac:dyDescent="0.45">
      <c r="B219" s="568"/>
      <c r="C219" s="567" t="s">
        <v>1481</v>
      </c>
      <c r="D219" s="566" t="s">
        <v>1480</v>
      </c>
      <c r="E219" s="566" t="s">
        <v>1479</v>
      </c>
      <c r="F219" s="566" t="s">
        <v>1478</v>
      </c>
      <c r="G219" s="566" t="s">
        <v>1477</v>
      </c>
      <c r="H219" s="566" t="s">
        <v>1476</v>
      </c>
      <c r="I219" s="566" t="s">
        <v>1475</v>
      </c>
      <c r="J219" s="566" t="s">
        <v>1474</v>
      </c>
      <c r="K219" s="566" t="s">
        <v>1473</v>
      </c>
      <c r="L219" s="565" t="s">
        <v>1472</v>
      </c>
    </row>
    <row r="220" spans="1:32" x14ac:dyDescent="0.35">
      <c r="B220" s="55" t="s">
        <v>2255</v>
      </c>
      <c r="C220" s="564">
        <v>20.055628953204881</v>
      </c>
      <c r="D220" s="564">
        <v>22.465967084734547</v>
      </c>
      <c r="E220" s="564">
        <v>26.700882120000497</v>
      </c>
      <c r="F220" s="564">
        <v>30.264704174958677</v>
      </c>
      <c r="G220" s="564">
        <v>55.830140262567426</v>
      </c>
      <c r="H220" s="564">
        <v>61.738587106888509</v>
      </c>
      <c r="I220" s="564">
        <v>98.941607689945684</v>
      </c>
      <c r="J220" s="564">
        <v>110.95151326672789</v>
      </c>
      <c r="K220" s="564">
        <v>39.761366289547823</v>
      </c>
      <c r="L220" s="563">
        <v>45.127019222880669</v>
      </c>
    </row>
    <row r="221" spans="1:32" x14ac:dyDescent="0.35">
      <c r="B221" s="50" t="s">
        <v>2254</v>
      </c>
      <c r="C221" s="678">
        <v>24.128367670364501</v>
      </c>
      <c r="D221" s="678">
        <v>27.236101426307449</v>
      </c>
      <c r="E221" s="39" t="e">
        <v>#N/A</v>
      </c>
      <c r="F221" s="39" t="e">
        <v>#N/A</v>
      </c>
      <c r="G221" s="39" t="e">
        <v>#N/A</v>
      </c>
      <c r="H221" s="39" t="e">
        <v>#N/A</v>
      </c>
      <c r="I221" s="39" t="e">
        <v>#N/A</v>
      </c>
      <c r="J221" s="39" t="e">
        <v>#N/A</v>
      </c>
      <c r="K221" s="39" t="e">
        <v>#N/A</v>
      </c>
      <c r="L221" s="99" t="e">
        <v>#N/A</v>
      </c>
    </row>
    <row r="222" spans="1:32" x14ac:dyDescent="0.35">
      <c r="B222" s="46" t="s">
        <v>2253</v>
      </c>
      <c r="C222" s="183">
        <v>20.055628953204881</v>
      </c>
      <c r="D222" s="183">
        <v>22.465967084734547</v>
      </c>
      <c r="E222" s="183">
        <v>26.700882120000497</v>
      </c>
      <c r="F222" s="183">
        <v>30.264704174958677</v>
      </c>
      <c r="G222" s="183">
        <v>55.830140262567426</v>
      </c>
      <c r="H222" s="183">
        <v>61.738587106888509</v>
      </c>
      <c r="I222" s="183">
        <v>98.941607689945684</v>
      </c>
      <c r="J222" s="183">
        <v>110.95151326672789</v>
      </c>
      <c r="K222" s="183">
        <v>39.761366289547823</v>
      </c>
      <c r="L222" s="182">
        <v>45.127019222880669</v>
      </c>
    </row>
  </sheetData>
  <mergeCells count="3">
    <mergeCell ref="C128:L128"/>
    <mergeCell ref="M128:V128"/>
    <mergeCell ref="W128:AF128"/>
  </mergeCells>
  <pageMargins left="0.75" right="0.75" top="1" bottom="1" header="0.5" footer="0.5"/>
  <pageSetup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224"/>
  <sheetViews>
    <sheetView showGridLines="0" zoomScale="85" zoomScaleNormal="85" workbookViewId="0">
      <selection activeCell="A3" sqref="A3"/>
    </sheetView>
  </sheetViews>
  <sheetFormatPr defaultColWidth="9.1328125" defaultRowHeight="12.75" x14ac:dyDescent="0.35"/>
  <cols>
    <col min="1" max="1" width="43.46484375" style="39" customWidth="1"/>
    <col min="2" max="2" width="10.86328125" style="39" customWidth="1"/>
    <col min="3" max="3" width="11.19921875" style="39" customWidth="1"/>
    <col min="4" max="4" width="11.1328125" style="39" customWidth="1"/>
    <col min="5" max="5" width="10.796875" style="39" customWidth="1"/>
    <col min="6" max="6" width="9.86328125" style="39" customWidth="1"/>
    <col min="7" max="7" width="11.46484375" style="39" customWidth="1"/>
    <col min="8" max="9" width="10.46484375" style="39" customWidth="1"/>
    <col min="10" max="10" width="10.1328125" style="39" customWidth="1"/>
    <col min="11" max="11" width="12.796875" style="39" bestFit="1" customWidth="1"/>
    <col min="12" max="12" width="9.46484375" style="39" bestFit="1" customWidth="1"/>
    <col min="13" max="13" width="12.796875" style="39" bestFit="1" customWidth="1"/>
    <col min="14" max="14" width="9.19921875" style="39" bestFit="1" customWidth="1"/>
    <col min="15" max="15" width="12.796875" style="39" bestFit="1" customWidth="1"/>
    <col min="16" max="16" width="9.19921875" style="39" bestFit="1" customWidth="1"/>
    <col min="17" max="17" width="12.796875" style="39" bestFit="1" customWidth="1"/>
    <col min="18" max="18" width="9.19921875" style="39" bestFit="1" customWidth="1"/>
    <col min="19" max="19" width="12.796875" style="39" bestFit="1" customWidth="1"/>
    <col min="20" max="20" width="9.19921875" style="39" bestFit="1" customWidth="1"/>
    <col min="21" max="21" width="12.796875" style="39" bestFit="1" customWidth="1"/>
    <col min="22" max="22" width="9.19921875" style="39" bestFit="1" customWidth="1"/>
    <col min="23" max="23" width="11.86328125" style="39" bestFit="1" customWidth="1"/>
    <col min="24" max="24" width="9.1328125" style="39"/>
    <col min="25" max="25" width="12.796875" style="39" bestFit="1" customWidth="1"/>
    <col min="26" max="26" width="10.19921875" style="39" bestFit="1" customWidth="1"/>
    <col min="27" max="27" width="11.86328125" style="39" bestFit="1" customWidth="1"/>
    <col min="28" max="28" width="9.19921875" style="39" bestFit="1" customWidth="1"/>
    <col min="29" max="29" width="11.86328125" style="39" bestFit="1" customWidth="1"/>
    <col min="30" max="30" width="9.46484375" style="39" bestFit="1" customWidth="1"/>
    <col min="31" max="31" width="9.86328125" style="39" bestFit="1" customWidth="1"/>
    <col min="32" max="33" width="9.46484375" style="39" bestFit="1" customWidth="1"/>
    <col min="34" max="34" width="9.19921875" style="39" bestFit="1" customWidth="1"/>
    <col min="35" max="35" width="9.1328125" style="39"/>
    <col min="36" max="36" width="9.46484375" style="39" bestFit="1" customWidth="1"/>
    <col min="37" max="37" width="9.19921875" style="39" bestFit="1" customWidth="1"/>
    <col min="38" max="38" width="9.1328125" style="39"/>
    <col min="39" max="40" width="9.19921875" style="39" bestFit="1" customWidth="1"/>
    <col min="41" max="41" width="9.46484375" style="39" bestFit="1" customWidth="1"/>
    <col min="42" max="42" width="10.46484375" style="39" customWidth="1"/>
    <col min="43" max="43" width="9.46484375" style="39" bestFit="1" customWidth="1"/>
    <col min="44" max="44" width="9.19921875" style="39" bestFit="1" customWidth="1"/>
    <col min="45" max="45" width="9.46484375" style="39" bestFit="1" customWidth="1"/>
    <col min="46" max="16384" width="9.1328125" style="39"/>
  </cols>
  <sheetData>
    <row r="1" spans="1:15" ht="15" x14ac:dyDescent="0.4">
      <c r="A1" s="140" t="s">
        <v>2049</v>
      </c>
      <c r="G1" s="230" t="s">
        <v>1561</v>
      </c>
    </row>
    <row r="3" spans="1:15" ht="13.9" x14ac:dyDescent="0.4">
      <c r="A3" s="72" t="s">
        <v>2048</v>
      </c>
    </row>
    <row r="4" spans="1:15" ht="13.15" x14ac:dyDescent="0.4">
      <c r="A4" s="41" t="s">
        <v>2047</v>
      </c>
    </row>
    <row r="5" spans="1:15" ht="25.5" x14ac:dyDescent="0.35">
      <c r="A5" s="243" t="s">
        <v>1415</v>
      </c>
      <c r="B5" s="134" t="s">
        <v>1414</v>
      </c>
      <c r="C5" s="133" t="s">
        <v>1425</v>
      </c>
      <c r="D5" s="39" t="s">
        <v>2046</v>
      </c>
    </row>
    <row r="6" spans="1:15" x14ac:dyDescent="0.35">
      <c r="A6" s="273">
        <v>0.21099999999999999</v>
      </c>
      <c r="B6" s="77">
        <v>0.191</v>
      </c>
      <c r="C6" s="466">
        <v>0.59800000000000009</v>
      </c>
      <c r="D6" s="39" t="s">
        <v>2045</v>
      </c>
    </row>
    <row r="7" spans="1:15" x14ac:dyDescent="0.35">
      <c r="D7" s="39" t="s">
        <v>2044</v>
      </c>
    </row>
    <row r="8" spans="1:15" ht="13.15" x14ac:dyDescent="0.4">
      <c r="A8" s="41" t="s">
        <v>2043</v>
      </c>
    </row>
    <row r="9" spans="1:15" ht="25.5" x14ac:dyDescent="0.35">
      <c r="A9" s="61"/>
      <c r="B9" s="243" t="s">
        <v>1323</v>
      </c>
      <c r="C9" s="134" t="s">
        <v>1423</v>
      </c>
      <c r="D9" s="134" t="s">
        <v>1322</v>
      </c>
      <c r="E9" s="134" t="s">
        <v>1422</v>
      </c>
      <c r="F9" s="133" t="s">
        <v>1321</v>
      </c>
      <c r="G9" s="134" t="s">
        <v>1330</v>
      </c>
      <c r="H9" s="133" t="s">
        <v>1310</v>
      </c>
    </row>
    <row r="10" spans="1:15" x14ac:dyDescent="0.35">
      <c r="A10" s="59" t="s">
        <v>1421</v>
      </c>
      <c r="B10" s="59">
        <v>1.0309999999999999</v>
      </c>
      <c r="C10" s="39">
        <v>1.0149999999999999</v>
      </c>
      <c r="D10" s="39">
        <v>1.054</v>
      </c>
      <c r="E10" s="120">
        <v>1</v>
      </c>
      <c r="F10" s="121">
        <v>1</v>
      </c>
      <c r="H10" s="99"/>
    </row>
    <row r="11" spans="1:15" x14ac:dyDescent="0.35">
      <c r="A11" s="59" t="s">
        <v>1420</v>
      </c>
      <c r="B11" s="59"/>
      <c r="F11" s="99"/>
      <c r="G11" s="39">
        <v>1.0429999999999999</v>
      </c>
      <c r="H11" s="121">
        <v>1</v>
      </c>
      <c r="I11" s="39" t="s">
        <v>2042</v>
      </c>
    </row>
    <row r="12" spans="1:15" x14ac:dyDescent="0.35">
      <c r="A12" s="59" t="s">
        <v>1419</v>
      </c>
      <c r="B12" s="59"/>
      <c r="F12" s="99"/>
      <c r="G12" s="39">
        <v>1.0429999999999999</v>
      </c>
      <c r="H12" s="121">
        <v>1</v>
      </c>
    </row>
    <row r="13" spans="1:15" x14ac:dyDescent="0.35">
      <c r="A13" s="57" t="s">
        <v>287</v>
      </c>
      <c r="B13" s="57"/>
      <c r="C13" s="77"/>
      <c r="D13" s="77"/>
      <c r="E13" s="77"/>
      <c r="F13" s="100"/>
      <c r="G13" s="119">
        <v>1.61</v>
      </c>
      <c r="H13" s="466">
        <v>1</v>
      </c>
      <c r="I13" s="39" t="s">
        <v>2041</v>
      </c>
    </row>
    <row r="15" spans="1:15" ht="13.9" x14ac:dyDescent="0.4">
      <c r="A15" s="72" t="s">
        <v>1734</v>
      </c>
    </row>
    <row r="16" spans="1:15" ht="96.4" x14ac:dyDescent="0.35">
      <c r="A16" s="91"/>
      <c r="B16" s="526" t="s">
        <v>2033</v>
      </c>
      <c r="C16" s="307" t="s">
        <v>2008</v>
      </c>
      <c r="D16" s="307" t="s">
        <v>2032</v>
      </c>
      <c r="E16" s="307" t="s">
        <v>2031</v>
      </c>
      <c r="F16" s="307" t="s">
        <v>2030</v>
      </c>
      <c r="G16" s="307" t="s">
        <v>2029</v>
      </c>
      <c r="H16" s="306" t="s">
        <v>1323</v>
      </c>
      <c r="I16" s="307" t="s">
        <v>1423</v>
      </c>
      <c r="J16" s="307" t="s">
        <v>1322</v>
      </c>
      <c r="K16" s="305" t="s">
        <v>1422</v>
      </c>
      <c r="L16" s="526" t="s">
        <v>1321</v>
      </c>
      <c r="M16" s="307" t="s">
        <v>1331</v>
      </c>
      <c r="N16" s="307" t="s">
        <v>1330</v>
      </c>
      <c r="O16" s="305" t="s">
        <v>1310</v>
      </c>
    </row>
    <row r="17" spans="1:15" x14ac:dyDescent="0.35">
      <c r="A17" s="59" t="s">
        <v>1717</v>
      </c>
      <c r="B17" s="525">
        <v>1</v>
      </c>
      <c r="C17" s="519">
        <v>1</v>
      </c>
      <c r="D17" s="519">
        <v>1</v>
      </c>
      <c r="E17" s="519">
        <v>1</v>
      </c>
      <c r="F17" s="519">
        <v>1</v>
      </c>
      <c r="G17" s="519">
        <v>1</v>
      </c>
      <c r="H17" s="518">
        <v>1</v>
      </c>
      <c r="I17" s="519">
        <v>1</v>
      </c>
      <c r="J17" s="519">
        <v>1</v>
      </c>
      <c r="K17" s="517">
        <v>1</v>
      </c>
      <c r="L17" s="525">
        <v>1</v>
      </c>
      <c r="M17" s="519">
        <v>1</v>
      </c>
      <c r="N17" s="519">
        <v>1</v>
      </c>
      <c r="O17" s="517">
        <v>1</v>
      </c>
    </row>
    <row r="18" spans="1:15" x14ac:dyDescent="0.35">
      <c r="A18" s="59" t="s">
        <v>1909</v>
      </c>
      <c r="B18" s="525">
        <v>1</v>
      </c>
      <c r="C18" s="519">
        <v>1</v>
      </c>
      <c r="D18" s="519">
        <v>1</v>
      </c>
      <c r="E18" s="519">
        <v>0</v>
      </c>
      <c r="F18" s="519">
        <v>1</v>
      </c>
      <c r="G18" s="519">
        <v>1</v>
      </c>
      <c r="H18" s="518">
        <v>1</v>
      </c>
      <c r="I18" s="519">
        <v>1</v>
      </c>
      <c r="J18" s="519">
        <v>1</v>
      </c>
      <c r="K18" s="517">
        <v>1</v>
      </c>
      <c r="L18" s="525">
        <v>1</v>
      </c>
      <c r="M18" s="519">
        <v>1</v>
      </c>
      <c r="N18" s="519">
        <v>1</v>
      </c>
      <c r="O18" s="517">
        <v>1</v>
      </c>
    </row>
    <row r="19" spans="1:15" x14ac:dyDescent="0.35">
      <c r="A19" s="59" t="s">
        <v>2040</v>
      </c>
      <c r="B19" s="525">
        <v>0</v>
      </c>
      <c r="C19" s="519">
        <v>0</v>
      </c>
      <c r="D19" s="519">
        <v>0</v>
      </c>
      <c r="E19" s="519">
        <v>1</v>
      </c>
      <c r="F19" s="519">
        <v>0</v>
      </c>
      <c r="G19" s="519">
        <v>0</v>
      </c>
      <c r="H19" s="518">
        <v>0</v>
      </c>
      <c r="I19" s="519">
        <v>0</v>
      </c>
      <c r="J19" s="519">
        <v>0</v>
      </c>
      <c r="K19" s="517">
        <v>0</v>
      </c>
      <c r="L19" s="525">
        <v>0</v>
      </c>
      <c r="M19" s="519">
        <v>0</v>
      </c>
      <c r="N19" s="519">
        <v>0</v>
      </c>
      <c r="O19" s="517">
        <v>0</v>
      </c>
    </row>
    <row r="20" spans="1:15" x14ac:dyDescent="0.35">
      <c r="A20" s="59" t="s">
        <v>1946</v>
      </c>
      <c r="B20" s="525">
        <v>0</v>
      </c>
      <c r="C20" s="519"/>
      <c r="D20" s="519"/>
      <c r="E20" s="519"/>
      <c r="F20" s="519"/>
      <c r="G20" s="519"/>
      <c r="H20" s="518"/>
      <c r="I20" s="519"/>
      <c r="J20" s="519"/>
      <c r="K20" s="517"/>
      <c r="L20" s="525"/>
      <c r="M20" s="519"/>
      <c r="N20" s="519"/>
      <c r="O20" s="517"/>
    </row>
    <row r="21" spans="1:15" x14ac:dyDescent="0.35">
      <c r="A21" s="59" t="s">
        <v>1703</v>
      </c>
      <c r="B21" s="525">
        <v>1</v>
      </c>
      <c r="C21" s="519">
        <v>0</v>
      </c>
      <c r="D21" s="519">
        <v>1</v>
      </c>
      <c r="E21" s="519">
        <v>1</v>
      </c>
      <c r="F21" s="519">
        <v>1</v>
      </c>
      <c r="G21" s="519">
        <v>1</v>
      </c>
      <c r="H21" s="518">
        <v>1</v>
      </c>
      <c r="I21" s="519">
        <v>1</v>
      </c>
      <c r="J21" s="519">
        <v>1</v>
      </c>
      <c r="K21" s="517">
        <v>1</v>
      </c>
      <c r="L21" s="525">
        <v>1</v>
      </c>
      <c r="M21" s="519">
        <v>1</v>
      </c>
      <c r="N21" s="519">
        <v>1</v>
      </c>
      <c r="O21" s="517">
        <v>1</v>
      </c>
    </row>
    <row r="22" spans="1:15" x14ac:dyDescent="0.35">
      <c r="A22" s="59" t="s">
        <v>2039</v>
      </c>
      <c r="B22" s="525">
        <v>0</v>
      </c>
      <c r="C22" s="519">
        <v>1</v>
      </c>
      <c r="D22" s="519">
        <v>0</v>
      </c>
      <c r="E22" s="519">
        <v>0</v>
      </c>
      <c r="F22" s="519">
        <v>0</v>
      </c>
      <c r="G22" s="519">
        <v>0</v>
      </c>
      <c r="H22" s="518">
        <v>0</v>
      </c>
      <c r="I22" s="519">
        <v>0</v>
      </c>
      <c r="J22" s="519">
        <v>0</v>
      </c>
      <c r="K22" s="517">
        <v>0</v>
      </c>
      <c r="L22" s="525">
        <v>0</v>
      </c>
      <c r="M22" s="519">
        <v>0</v>
      </c>
      <c r="N22" s="519">
        <v>0</v>
      </c>
      <c r="O22" s="517">
        <v>0</v>
      </c>
    </row>
    <row r="23" spans="1:15" x14ac:dyDescent="0.35">
      <c r="A23" s="59" t="s">
        <v>2038</v>
      </c>
      <c r="B23" s="525">
        <v>1</v>
      </c>
      <c r="C23" s="519">
        <v>0.97009999999999996</v>
      </c>
      <c r="D23" s="519">
        <v>1</v>
      </c>
      <c r="E23" s="519">
        <v>1</v>
      </c>
      <c r="F23" s="519">
        <v>1</v>
      </c>
      <c r="G23" s="519">
        <v>1</v>
      </c>
      <c r="H23" s="518">
        <v>1</v>
      </c>
      <c r="I23" s="519">
        <v>1</v>
      </c>
      <c r="J23" s="519">
        <v>1</v>
      </c>
      <c r="K23" s="517">
        <v>1</v>
      </c>
      <c r="L23" s="525">
        <v>1</v>
      </c>
      <c r="M23" s="519">
        <v>0</v>
      </c>
      <c r="N23" s="519">
        <v>1</v>
      </c>
      <c r="O23" s="517">
        <v>1</v>
      </c>
    </row>
    <row r="24" spans="1:15" x14ac:dyDescent="0.35">
      <c r="A24" s="59" t="s">
        <v>2037</v>
      </c>
      <c r="B24" s="525">
        <v>0</v>
      </c>
      <c r="C24" s="519">
        <v>2.9900000000000038E-2</v>
      </c>
      <c r="D24" s="519">
        <v>0</v>
      </c>
      <c r="E24" s="519">
        <v>0</v>
      </c>
      <c r="F24" s="519">
        <v>0</v>
      </c>
      <c r="G24" s="519">
        <v>0</v>
      </c>
      <c r="H24" s="518">
        <v>0</v>
      </c>
      <c r="I24" s="519">
        <v>0</v>
      </c>
      <c r="J24" s="519">
        <v>0</v>
      </c>
      <c r="K24" s="517">
        <v>0</v>
      </c>
      <c r="L24" s="525">
        <v>0</v>
      </c>
      <c r="M24" s="519">
        <v>1</v>
      </c>
      <c r="N24" s="519">
        <v>0</v>
      </c>
      <c r="O24" s="517">
        <v>0</v>
      </c>
    </row>
    <row r="25" spans="1:15" x14ac:dyDescent="0.35">
      <c r="A25" s="59" t="s">
        <v>2036</v>
      </c>
      <c r="B25" s="525">
        <v>1</v>
      </c>
      <c r="C25" s="519">
        <v>1</v>
      </c>
      <c r="D25" s="519">
        <v>1</v>
      </c>
      <c r="E25" s="519">
        <v>0.90339999999999998</v>
      </c>
      <c r="F25" s="519">
        <v>1</v>
      </c>
      <c r="G25" s="519">
        <v>1</v>
      </c>
      <c r="H25" s="518">
        <v>1</v>
      </c>
      <c r="I25" s="519">
        <v>1</v>
      </c>
      <c r="J25" s="519">
        <v>1</v>
      </c>
      <c r="K25" s="517">
        <v>1</v>
      </c>
      <c r="L25" s="525">
        <v>1</v>
      </c>
      <c r="M25" s="519">
        <v>1</v>
      </c>
      <c r="N25" s="519">
        <v>1</v>
      </c>
      <c r="O25" s="517">
        <v>1</v>
      </c>
    </row>
    <row r="26" spans="1:15" x14ac:dyDescent="0.35">
      <c r="A26" s="59" t="s">
        <v>2035</v>
      </c>
      <c r="B26" s="525">
        <v>0</v>
      </c>
      <c r="C26" s="519">
        <v>0</v>
      </c>
      <c r="D26" s="519">
        <v>0</v>
      </c>
      <c r="E26" s="519">
        <v>6.4399999999999999E-2</v>
      </c>
      <c r="F26" s="519">
        <v>0</v>
      </c>
      <c r="G26" s="519">
        <v>0</v>
      </c>
      <c r="H26" s="518">
        <v>0</v>
      </c>
      <c r="I26" s="519">
        <v>0</v>
      </c>
      <c r="J26" s="519">
        <v>0</v>
      </c>
      <c r="K26" s="517">
        <v>0</v>
      </c>
      <c r="L26" s="525">
        <v>0</v>
      </c>
      <c r="M26" s="519">
        <v>0</v>
      </c>
      <c r="N26" s="519">
        <v>0</v>
      </c>
      <c r="O26" s="517">
        <v>0</v>
      </c>
    </row>
    <row r="27" spans="1:15" x14ac:dyDescent="0.35">
      <c r="A27" s="59" t="s">
        <v>2034</v>
      </c>
      <c r="B27" s="525">
        <v>0</v>
      </c>
      <c r="C27" s="519">
        <v>0</v>
      </c>
      <c r="D27" s="519">
        <v>0</v>
      </c>
      <c r="E27" s="519">
        <v>3.2200000000000006E-2</v>
      </c>
      <c r="F27" s="519">
        <v>0</v>
      </c>
      <c r="G27" s="519">
        <v>0</v>
      </c>
      <c r="H27" s="518">
        <v>0</v>
      </c>
      <c r="I27" s="519">
        <v>0</v>
      </c>
      <c r="J27" s="519">
        <v>0</v>
      </c>
      <c r="K27" s="517">
        <v>0</v>
      </c>
      <c r="L27" s="525">
        <v>0</v>
      </c>
      <c r="M27" s="519">
        <v>0</v>
      </c>
      <c r="N27" s="519">
        <v>0</v>
      </c>
      <c r="O27" s="517">
        <v>0</v>
      </c>
    </row>
    <row r="28" spans="1:15" x14ac:dyDescent="0.35">
      <c r="A28" s="59" t="s">
        <v>1945</v>
      </c>
      <c r="B28" s="525">
        <v>1</v>
      </c>
      <c r="C28" s="519"/>
      <c r="D28" s="519"/>
      <c r="E28" s="519"/>
      <c r="F28" s="519"/>
      <c r="G28" s="519"/>
      <c r="H28" s="518"/>
      <c r="I28" s="519"/>
      <c r="J28" s="519"/>
      <c r="K28" s="517"/>
      <c r="L28" s="525"/>
      <c r="M28" s="519"/>
      <c r="N28" s="519"/>
      <c r="O28" s="517"/>
    </row>
    <row r="29" spans="1:15" x14ac:dyDescent="0.35">
      <c r="A29" s="59" t="s">
        <v>1944</v>
      </c>
      <c r="B29" s="525">
        <v>0</v>
      </c>
      <c r="C29" s="519"/>
      <c r="D29" s="519"/>
      <c r="E29" s="519"/>
      <c r="F29" s="519"/>
      <c r="G29" s="519"/>
      <c r="H29" s="518"/>
      <c r="I29" s="519"/>
      <c r="J29" s="519"/>
      <c r="K29" s="517"/>
      <c r="L29" s="525"/>
      <c r="M29" s="519"/>
      <c r="N29" s="519"/>
      <c r="O29" s="517"/>
    </row>
    <row r="30" spans="1:15" x14ac:dyDescent="0.35">
      <c r="A30" s="59" t="s">
        <v>1943</v>
      </c>
      <c r="B30" s="525">
        <v>0</v>
      </c>
      <c r="C30" s="519"/>
      <c r="D30" s="519"/>
      <c r="E30" s="519"/>
      <c r="F30" s="519"/>
      <c r="G30" s="519"/>
      <c r="H30" s="518"/>
      <c r="I30" s="519"/>
      <c r="J30" s="519"/>
      <c r="K30" s="517"/>
      <c r="L30" s="525"/>
      <c r="M30" s="519"/>
      <c r="N30" s="519"/>
      <c r="O30" s="517"/>
    </row>
    <row r="31" spans="1:15" x14ac:dyDescent="0.35">
      <c r="A31" s="57" t="s">
        <v>1942</v>
      </c>
      <c r="B31" s="524">
        <v>1</v>
      </c>
      <c r="C31" s="516"/>
      <c r="D31" s="516"/>
      <c r="E31" s="516"/>
      <c r="F31" s="516"/>
      <c r="G31" s="516"/>
      <c r="H31" s="515"/>
      <c r="I31" s="516"/>
      <c r="J31" s="516"/>
      <c r="K31" s="514"/>
      <c r="L31" s="524"/>
      <c r="M31" s="516"/>
      <c r="N31" s="516"/>
      <c r="O31" s="514"/>
    </row>
    <row r="33" spans="1:30" ht="13.9" x14ac:dyDescent="0.4">
      <c r="A33" s="72" t="s">
        <v>1701</v>
      </c>
    </row>
    <row r="34" spans="1:30" ht="55.7" customHeight="1" x14ac:dyDescent="0.4">
      <c r="A34" s="61"/>
      <c r="B34" s="2191" t="s">
        <v>2033</v>
      </c>
      <c r="C34" s="2192"/>
      <c r="D34" s="2191" t="s">
        <v>2008</v>
      </c>
      <c r="E34" s="2196"/>
      <c r="F34" s="2192"/>
      <c r="G34" s="2191" t="s">
        <v>2032</v>
      </c>
      <c r="H34" s="2192"/>
      <c r="I34" s="2191" t="s">
        <v>2031</v>
      </c>
      <c r="J34" s="2192"/>
      <c r="K34" s="2191" t="s">
        <v>2030</v>
      </c>
      <c r="L34" s="2192"/>
      <c r="M34" s="2191" t="s">
        <v>2029</v>
      </c>
      <c r="N34" s="2192"/>
      <c r="O34" s="2191" t="s">
        <v>1323</v>
      </c>
      <c r="P34" s="2192"/>
      <c r="Q34" s="2191" t="s">
        <v>1423</v>
      </c>
      <c r="R34" s="2192"/>
      <c r="S34" s="2191" t="s">
        <v>1322</v>
      </c>
      <c r="T34" s="2192"/>
      <c r="U34" s="2191" t="s">
        <v>1422</v>
      </c>
      <c r="V34" s="2192"/>
      <c r="W34" s="2191" t="s">
        <v>1321</v>
      </c>
      <c r="X34" s="2192"/>
      <c r="Y34" s="2191" t="s">
        <v>1331</v>
      </c>
      <c r="Z34" s="2192"/>
      <c r="AA34" s="2191" t="s">
        <v>1330</v>
      </c>
      <c r="AB34" s="2192"/>
      <c r="AC34" s="2191" t="s">
        <v>1310</v>
      </c>
      <c r="AD34" s="2192"/>
    </row>
    <row r="35" spans="1:30" ht="92.25" x14ac:dyDescent="0.35">
      <c r="A35" s="59"/>
      <c r="B35" s="522" t="s">
        <v>1674</v>
      </c>
      <c r="C35" s="521" t="s">
        <v>1673</v>
      </c>
      <c r="D35" s="522" t="s">
        <v>1674</v>
      </c>
      <c r="E35" s="523" t="s">
        <v>1673</v>
      </c>
      <c r="F35" s="521" t="s">
        <v>2028</v>
      </c>
      <c r="G35" s="523" t="s">
        <v>1674</v>
      </c>
      <c r="H35" s="523" t="s">
        <v>1673</v>
      </c>
      <c r="I35" s="522" t="s">
        <v>1674</v>
      </c>
      <c r="J35" s="521" t="s">
        <v>1673</v>
      </c>
      <c r="K35" s="523" t="s">
        <v>1674</v>
      </c>
      <c r="L35" s="523" t="s">
        <v>1673</v>
      </c>
      <c r="M35" s="522" t="s">
        <v>1674</v>
      </c>
      <c r="N35" s="521" t="s">
        <v>1673</v>
      </c>
      <c r="O35" s="523" t="s">
        <v>1674</v>
      </c>
      <c r="P35" s="523" t="s">
        <v>1673</v>
      </c>
      <c r="Q35" s="522" t="s">
        <v>1674</v>
      </c>
      <c r="R35" s="521" t="s">
        <v>1673</v>
      </c>
      <c r="S35" s="523" t="s">
        <v>1674</v>
      </c>
      <c r="T35" s="523" t="s">
        <v>1673</v>
      </c>
      <c r="U35" s="522" t="s">
        <v>1674</v>
      </c>
      <c r="V35" s="521" t="s">
        <v>1673</v>
      </c>
      <c r="W35" s="523" t="s">
        <v>1674</v>
      </c>
      <c r="X35" s="523" t="s">
        <v>1673</v>
      </c>
      <c r="Y35" s="522" t="s">
        <v>1674</v>
      </c>
      <c r="Z35" s="521" t="s">
        <v>1673</v>
      </c>
      <c r="AA35" s="523" t="s">
        <v>1674</v>
      </c>
      <c r="AB35" s="523" t="s">
        <v>1673</v>
      </c>
      <c r="AC35" s="522" t="s">
        <v>1674</v>
      </c>
      <c r="AD35" s="521" t="s">
        <v>1673</v>
      </c>
    </row>
    <row r="36" spans="1:30" ht="27" customHeight="1" x14ac:dyDescent="0.4">
      <c r="A36" s="57"/>
      <c r="B36" s="2191" t="s">
        <v>2027</v>
      </c>
      <c r="C36" s="2192"/>
      <c r="D36" s="2191" t="s">
        <v>2026</v>
      </c>
      <c r="E36" s="2196"/>
      <c r="F36" s="2196"/>
      <c r="G36" s="2196"/>
      <c r="H36" s="2196"/>
      <c r="I36" s="2196"/>
      <c r="J36" s="2196"/>
      <c r="K36" s="2196"/>
      <c r="L36" s="2196"/>
      <c r="M36" s="2196"/>
      <c r="N36" s="2192"/>
      <c r="O36" s="2191" t="s">
        <v>2025</v>
      </c>
      <c r="P36" s="2192"/>
      <c r="Q36" s="2191" t="s">
        <v>2024</v>
      </c>
      <c r="R36" s="2192"/>
      <c r="S36" s="2191" t="s">
        <v>2023</v>
      </c>
      <c r="T36" s="2192"/>
      <c r="U36" s="2191" t="s">
        <v>2022</v>
      </c>
      <c r="V36" s="2192"/>
      <c r="W36" s="2191" t="s">
        <v>2021</v>
      </c>
      <c r="X36" s="2192"/>
      <c r="Y36" s="2191" t="s">
        <v>2020</v>
      </c>
      <c r="Z36" s="2192"/>
      <c r="AA36" s="2191" t="s">
        <v>2019</v>
      </c>
      <c r="AB36" s="2196"/>
      <c r="AC36" s="2196"/>
      <c r="AD36" s="2192"/>
    </row>
    <row r="37" spans="1:30" ht="13.15" x14ac:dyDescent="0.4">
      <c r="A37" s="128" t="s">
        <v>1940</v>
      </c>
      <c r="B37" s="277">
        <v>1.7948</v>
      </c>
      <c r="C37" s="121"/>
      <c r="D37" s="277">
        <v>15.583399999999999</v>
      </c>
      <c r="E37" s="120"/>
      <c r="F37" s="121"/>
      <c r="G37" s="120">
        <v>6.0299999999999999E-2</v>
      </c>
      <c r="H37" s="120"/>
      <c r="I37" s="277">
        <v>1.7791999999999999</v>
      </c>
      <c r="J37" s="121"/>
      <c r="K37" s="120">
        <v>0.69120000000000004</v>
      </c>
      <c r="L37" s="120"/>
      <c r="M37" s="277">
        <v>-4.0800000000000003E-2</v>
      </c>
      <c r="N37" s="121"/>
      <c r="O37" s="120">
        <v>1.3340000000000001</v>
      </c>
      <c r="P37" s="120"/>
      <c r="Q37" s="277">
        <v>4.1799999999999997E-2</v>
      </c>
      <c r="R37" s="121"/>
      <c r="S37" s="120">
        <v>1.3998999999999999</v>
      </c>
      <c r="T37" s="120"/>
      <c r="U37" s="277">
        <v>0.69569999999999999</v>
      </c>
      <c r="V37" s="121"/>
      <c r="W37" s="120">
        <v>0.85990521327014202</v>
      </c>
      <c r="X37" s="120"/>
      <c r="Y37" s="277">
        <v>6.1831000000000005</v>
      </c>
      <c r="Z37" s="121"/>
      <c r="AA37" s="120">
        <v>3.2335000000000003</v>
      </c>
      <c r="AB37" s="120"/>
      <c r="AC37" s="277">
        <v>0.54</v>
      </c>
      <c r="AD37" s="121"/>
    </row>
    <row r="38" spans="1:30" ht="13.15" x14ac:dyDescent="0.4">
      <c r="A38" s="128" t="s">
        <v>1671</v>
      </c>
      <c r="B38" s="518">
        <v>0</v>
      </c>
      <c r="C38" s="517"/>
      <c r="D38" s="518">
        <v>0</v>
      </c>
      <c r="E38" s="519"/>
      <c r="F38" s="517"/>
      <c r="G38" s="519">
        <v>0</v>
      </c>
      <c r="H38" s="519"/>
      <c r="I38" s="518">
        <v>0</v>
      </c>
      <c r="J38" s="517"/>
      <c r="K38" s="519">
        <v>0</v>
      </c>
      <c r="L38" s="519"/>
      <c r="M38" s="518">
        <v>0</v>
      </c>
      <c r="N38" s="517"/>
      <c r="O38" s="519">
        <v>0</v>
      </c>
      <c r="P38" s="519"/>
      <c r="Q38" s="518">
        <v>0</v>
      </c>
      <c r="R38" s="517"/>
      <c r="S38" s="519">
        <v>0</v>
      </c>
      <c r="T38" s="519"/>
      <c r="U38" s="518">
        <v>0</v>
      </c>
      <c r="V38" s="517"/>
      <c r="W38" s="519">
        <v>0</v>
      </c>
      <c r="X38" s="519"/>
      <c r="Y38" s="518">
        <v>0</v>
      </c>
      <c r="Z38" s="517"/>
      <c r="AA38" s="519">
        <v>0</v>
      </c>
      <c r="AB38" s="519"/>
      <c r="AC38" s="518">
        <v>0</v>
      </c>
      <c r="AD38" s="517"/>
    </row>
    <row r="39" spans="1:30" ht="13.15" x14ac:dyDescent="0.4">
      <c r="A39" s="131" t="s">
        <v>1670</v>
      </c>
      <c r="B39" s="61"/>
      <c r="C39" s="60"/>
      <c r="D39" s="61"/>
      <c r="E39" s="101"/>
      <c r="F39" s="60"/>
      <c r="G39" s="101"/>
      <c r="H39" s="101"/>
      <c r="I39" s="61"/>
      <c r="J39" s="60"/>
      <c r="K39" s="101"/>
      <c r="L39" s="101"/>
      <c r="M39" s="61"/>
      <c r="N39" s="60"/>
      <c r="O39" s="101"/>
      <c r="P39" s="101"/>
      <c r="Q39" s="61"/>
      <c r="R39" s="60"/>
      <c r="S39" s="101"/>
      <c r="T39" s="101"/>
      <c r="U39" s="61"/>
      <c r="V39" s="60"/>
      <c r="W39" s="101"/>
      <c r="X39" s="101"/>
      <c r="Y39" s="61"/>
      <c r="Z39" s="60"/>
      <c r="AA39" s="101"/>
      <c r="AB39" s="101"/>
      <c r="AC39" s="61"/>
      <c r="AD39" s="60"/>
    </row>
    <row r="40" spans="1:30" x14ac:dyDescent="0.35">
      <c r="A40" s="59" t="s">
        <v>1668</v>
      </c>
      <c r="B40" s="518">
        <v>0.1024</v>
      </c>
      <c r="C40" s="517"/>
      <c r="D40" s="518">
        <v>0</v>
      </c>
      <c r="E40" s="519"/>
      <c r="F40" s="517"/>
      <c r="G40" s="519">
        <v>0</v>
      </c>
      <c r="H40" s="519"/>
      <c r="I40" s="518">
        <v>0.6331</v>
      </c>
      <c r="J40" s="517"/>
      <c r="K40" s="519">
        <v>0</v>
      </c>
      <c r="L40" s="519"/>
      <c r="M40" s="518">
        <v>0</v>
      </c>
      <c r="N40" s="517"/>
      <c r="O40" s="519">
        <v>0</v>
      </c>
      <c r="P40" s="519"/>
      <c r="Q40" s="518">
        <v>0</v>
      </c>
      <c r="R40" s="517"/>
      <c r="S40" s="519">
        <v>0</v>
      </c>
      <c r="T40" s="519"/>
      <c r="U40" s="518">
        <v>0</v>
      </c>
      <c r="V40" s="517"/>
      <c r="W40" s="519">
        <v>0</v>
      </c>
      <c r="X40" s="519"/>
      <c r="Y40" s="518">
        <v>0</v>
      </c>
      <c r="Z40" s="517"/>
      <c r="AA40" s="519">
        <v>0</v>
      </c>
      <c r="AB40" s="519"/>
      <c r="AC40" s="518">
        <v>0</v>
      </c>
      <c r="AD40" s="517"/>
    </row>
    <row r="41" spans="1:30" x14ac:dyDescent="0.35">
      <c r="A41" s="59" t="s">
        <v>1666</v>
      </c>
      <c r="B41" s="518">
        <v>1.1999999999999999E-3</v>
      </c>
      <c r="C41" s="517"/>
      <c r="D41" s="518">
        <v>0</v>
      </c>
      <c r="E41" s="519"/>
      <c r="F41" s="517"/>
      <c r="G41" s="519">
        <v>0</v>
      </c>
      <c r="H41" s="519"/>
      <c r="I41" s="518">
        <v>0</v>
      </c>
      <c r="J41" s="517"/>
      <c r="K41" s="519">
        <v>0</v>
      </c>
      <c r="L41" s="519"/>
      <c r="M41" s="518">
        <v>0</v>
      </c>
      <c r="N41" s="517"/>
      <c r="O41" s="519"/>
      <c r="P41" s="519"/>
      <c r="Q41" s="518"/>
      <c r="R41" s="517"/>
      <c r="S41" s="519"/>
      <c r="T41" s="519"/>
      <c r="U41" s="518"/>
      <c r="V41" s="517"/>
      <c r="W41" s="519"/>
      <c r="X41" s="519"/>
      <c r="Y41" s="518"/>
      <c r="Z41" s="517"/>
      <c r="AA41" s="519"/>
      <c r="AB41" s="519"/>
      <c r="AC41" s="518"/>
      <c r="AD41" s="517"/>
    </row>
    <row r="42" spans="1:30" ht="14.25" x14ac:dyDescent="0.45">
      <c r="A42" s="59" t="s">
        <v>1667</v>
      </c>
      <c r="B42" s="518">
        <v>1.5800000000000002E-2</v>
      </c>
      <c r="C42" s="97" t="s">
        <v>2018</v>
      </c>
      <c r="D42" s="518">
        <v>0</v>
      </c>
      <c r="E42" s="519"/>
      <c r="F42" s="517"/>
      <c r="G42" s="519">
        <v>0</v>
      </c>
      <c r="H42" s="519"/>
      <c r="I42" s="518">
        <v>0</v>
      </c>
      <c r="J42" s="517"/>
      <c r="K42" s="519">
        <v>0</v>
      </c>
      <c r="L42" s="519"/>
      <c r="M42" s="518">
        <v>0</v>
      </c>
      <c r="N42" s="517"/>
      <c r="O42" s="519">
        <v>0</v>
      </c>
      <c r="P42" s="519"/>
      <c r="Q42" s="518">
        <v>0</v>
      </c>
      <c r="R42" s="517"/>
      <c r="S42" s="519">
        <v>0</v>
      </c>
      <c r="T42" s="519"/>
      <c r="U42" s="518">
        <v>0</v>
      </c>
      <c r="V42" s="517"/>
      <c r="W42" s="519">
        <v>0</v>
      </c>
      <c r="X42" s="519"/>
      <c r="Y42" s="518">
        <v>0</v>
      </c>
      <c r="Z42" s="517"/>
      <c r="AA42" s="519">
        <v>0</v>
      </c>
      <c r="AB42" s="519"/>
      <c r="AC42" s="518">
        <v>0</v>
      </c>
      <c r="AD42" s="517"/>
    </row>
    <row r="43" spans="1:30" x14ac:dyDescent="0.35">
      <c r="A43" s="59" t="s">
        <v>1534</v>
      </c>
      <c r="B43" s="518">
        <v>0.1082</v>
      </c>
      <c r="C43" s="517"/>
      <c r="D43" s="518">
        <v>0</v>
      </c>
      <c r="E43" s="519"/>
      <c r="F43" s="517"/>
      <c r="G43" s="519">
        <v>0</v>
      </c>
      <c r="H43" s="519"/>
      <c r="I43" s="518">
        <v>0.17050000000000001</v>
      </c>
      <c r="J43" s="517"/>
      <c r="K43" s="519">
        <v>5.3530000000000001E-2</v>
      </c>
      <c r="L43" s="519"/>
      <c r="M43" s="518">
        <v>0</v>
      </c>
      <c r="N43" s="517"/>
      <c r="O43" s="519">
        <v>0.47199999999999998</v>
      </c>
      <c r="P43" s="519"/>
      <c r="Q43" s="518">
        <v>0</v>
      </c>
      <c r="R43" s="517"/>
      <c r="S43" s="519">
        <v>0</v>
      </c>
      <c r="T43" s="519"/>
      <c r="U43" s="518">
        <v>0</v>
      </c>
      <c r="V43" s="517"/>
      <c r="W43" s="520">
        <v>0</v>
      </c>
      <c r="X43" s="519"/>
      <c r="Y43" s="518">
        <v>0.19239999999999999</v>
      </c>
      <c r="Z43" s="517"/>
      <c r="AA43" s="519">
        <v>0.66700000000000004</v>
      </c>
      <c r="AB43" s="519"/>
      <c r="AC43" s="518">
        <v>0</v>
      </c>
      <c r="AD43" s="517"/>
    </row>
    <row r="44" spans="1:30" x14ac:dyDescent="0.35">
      <c r="A44" s="59" t="s">
        <v>1535</v>
      </c>
      <c r="B44" s="518">
        <v>0</v>
      </c>
      <c r="C44" s="517"/>
      <c r="D44" s="518">
        <v>0.98914000000000002</v>
      </c>
      <c r="E44" s="519"/>
      <c r="F44" s="517"/>
      <c r="G44" s="519">
        <v>0</v>
      </c>
      <c r="H44" s="519"/>
      <c r="I44" s="518">
        <v>0</v>
      </c>
      <c r="J44" s="517"/>
      <c r="K44" s="519">
        <v>0</v>
      </c>
      <c r="L44" s="519"/>
      <c r="M44" s="518">
        <v>0</v>
      </c>
      <c r="N44" s="517"/>
      <c r="O44" s="519">
        <v>0</v>
      </c>
      <c r="P44" s="519"/>
      <c r="Q44" s="518">
        <v>0</v>
      </c>
      <c r="R44" s="517"/>
      <c r="S44" s="519">
        <v>0</v>
      </c>
      <c r="T44" s="519"/>
      <c r="U44" s="518">
        <v>0</v>
      </c>
      <c r="V44" s="517"/>
      <c r="W44" s="519">
        <v>0</v>
      </c>
      <c r="X44" s="519"/>
      <c r="Y44" s="518">
        <v>0</v>
      </c>
      <c r="Z44" s="517"/>
      <c r="AA44" s="519">
        <v>0</v>
      </c>
      <c r="AB44" s="519"/>
      <c r="AC44" s="518">
        <v>0</v>
      </c>
      <c r="AD44" s="517"/>
    </row>
    <row r="45" spans="1:30" x14ac:dyDescent="0.35">
      <c r="A45" s="57" t="s">
        <v>1664</v>
      </c>
      <c r="B45" s="515">
        <v>0.77239999999999998</v>
      </c>
      <c r="C45" s="514"/>
      <c r="D45" s="515">
        <v>1.0859999999999981E-2</v>
      </c>
      <c r="E45" s="516"/>
      <c r="F45" s="514"/>
      <c r="G45" s="516">
        <v>1</v>
      </c>
      <c r="H45" s="516"/>
      <c r="I45" s="515">
        <v>0.19640000000000002</v>
      </c>
      <c r="J45" s="514"/>
      <c r="K45" s="516">
        <v>0.94647000000000003</v>
      </c>
      <c r="L45" s="516"/>
      <c r="M45" s="515">
        <v>1</v>
      </c>
      <c r="N45" s="514"/>
      <c r="O45" s="516">
        <v>0.52800000000000002</v>
      </c>
      <c r="P45" s="516"/>
      <c r="Q45" s="515">
        <v>1</v>
      </c>
      <c r="R45" s="514"/>
      <c r="S45" s="516">
        <v>1</v>
      </c>
      <c r="T45" s="516"/>
      <c r="U45" s="515">
        <v>1</v>
      </c>
      <c r="V45" s="514"/>
      <c r="W45" s="516">
        <v>1</v>
      </c>
      <c r="X45" s="516"/>
      <c r="Y45" s="515">
        <v>0.80759999999999998</v>
      </c>
      <c r="Z45" s="514"/>
      <c r="AA45" s="516">
        <v>0.33299999999999996</v>
      </c>
      <c r="AB45" s="516"/>
      <c r="AC45" s="515">
        <v>1</v>
      </c>
      <c r="AD45" s="514"/>
    </row>
    <row r="46" spans="1:30" ht="13.15" x14ac:dyDescent="0.4">
      <c r="A46" s="128" t="s">
        <v>1938</v>
      </c>
      <c r="B46" s="59"/>
      <c r="C46" s="99"/>
      <c r="D46" s="59"/>
      <c r="F46" s="99"/>
      <c r="I46" s="59"/>
      <c r="J46" s="99"/>
      <c r="M46" s="59"/>
      <c r="N46" s="99"/>
      <c r="Q46" s="59"/>
      <c r="R46" s="99"/>
      <c r="U46" s="59"/>
      <c r="V46" s="99"/>
      <c r="Y46" s="59"/>
      <c r="Z46" s="99"/>
      <c r="AC46" s="59"/>
      <c r="AD46" s="99"/>
    </row>
    <row r="47" spans="1:30" x14ac:dyDescent="0.35">
      <c r="A47" s="59" t="s">
        <v>1668</v>
      </c>
      <c r="B47" s="277">
        <v>0.18378752000000001</v>
      </c>
      <c r="C47" s="121"/>
      <c r="D47" s="277">
        <v>0</v>
      </c>
      <c r="E47" s="120"/>
      <c r="F47" s="121"/>
      <c r="G47" s="120">
        <v>0</v>
      </c>
      <c r="H47" s="120"/>
      <c r="I47" s="277">
        <v>1.12641152</v>
      </c>
      <c r="J47" s="121"/>
      <c r="K47" s="120">
        <v>0</v>
      </c>
      <c r="L47" s="120"/>
      <c r="M47" s="277">
        <v>0</v>
      </c>
      <c r="N47" s="121"/>
      <c r="O47" s="120">
        <v>0</v>
      </c>
      <c r="P47" s="120"/>
      <c r="Q47" s="277">
        <v>0</v>
      </c>
      <c r="R47" s="121"/>
      <c r="S47" s="120">
        <v>0</v>
      </c>
      <c r="T47" s="120"/>
      <c r="U47" s="277">
        <v>0</v>
      </c>
      <c r="V47" s="121"/>
      <c r="W47" s="120">
        <v>0</v>
      </c>
      <c r="X47" s="120"/>
      <c r="Y47" s="277">
        <v>0</v>
      </c>
      <c r="Z47" s="121"/>
      <c r="AA47" s="120">
        <v>0</v>
      </c>
      <c r="AB47" s="120"/>
      <c r="AC47" s="277">
        <v>0</v>
      </c>
      <c r="AD47" s="121"/>
    </row>
    <row r="48" spans="1:30" x14ac:dyDescent="0.35">
      <c r="A48" s="59" t="s">
        <v>1666</v>
      </c>
      <c r="B48" s="277">
        <v>2.1537599999999998E-3</v>
      </c>
      <c r="C48" s="121"/>
      <c r="D48" s="277">
        <v>0</v>
      </c>
      <c r="E48" s="120"/>
      <c r="F48" s="121"/>
      <c r="G48" s="120">
        <v>0</v>
      </c>
      <c r="H48" s="120"/>
      <c r="I48" s="277">
        <v>0</v>
      </c>
      <c r="J48" s="121"/>
      <c r="K48" s="120">
        <v>0</v>
      </c>
      <c r="L48" s="120"/>
      <c r="M48" s="277">
        <v>0</v>
      </c>
      <c r="N48" s="121"/>
      <c r="O48" s="120"/>
      <c r="P48" s="120"/>
      <c r="Q48" s="277"/>
      <c r="R48" s="121"/>
      <c r="S48" s="120"/>
      <c r="T48" s="120"/>
      <c r="U48" s="277"/>
      <c r="V48" s="121"/>
      <c r="W48" s="120"/>
      <c r="X48" s="120"/>
      <c r="Y48" s="277"/>
      <c r="Z48" s="121"/>
      <c r="AA48" s="120"/>
      <c r="AB48" s="120"/>
      <c r="AC48" s="277"/>
      <c r="AD48" s="121"/>
    </row>
    <row r="49" spans="1:30" x14ac:dyDescent="0.35">
      <c r="A49" s="59" t="s">
        <v>1667</v>
      </c>
      <c r="B49" s="277">
        <v>2.8357840000000002E-2</v>
      </c>
      <c r="C49" s="121"/>
      <c r="D49" s="277">
        <v>0</v>
      </c>
      <c r="E49" s="120"/>
      <c r="F49" s="121"/>
      <c r="G49" s="120">
        <v>0</v>
      </c>
      <c r="H49" s="120"/>
      <c r="I49" s="277">
        <v>0</v>
      </c>
      <c r="J49" s="121"/>
      <c r="K49" s="120">
        <v>0</v>
      </c>
      <c r="L49" s="120"/>
      <c r="M49" s="277">
        <v>0</v>
      </c>
      <c r="N49" s="121"/>
      <c r="O49" s="120">
        <v>0</v>
      </c>
      <c r="P49" s="120"/>
      <c r="Q49" s="277">
        <v>0</v>
      </c>
      <c r="R49" s="121"/>
      <c r="S49" s="120">
        <v>0</v>
      </c>
      <c r="T49" s="120"/>
      <c r="U49" s="277">
        <v>0</v>
      </c>
      <c r="V49" s="121"/>
      <c r="W49" s="120">
        <v>0</v>
      </c>
      <c r="X49" s="120"/>
      <c r="Y49" s="277">
        <v>0</v>
      </c>
      <c r="Z49" s="121"/>
      <c r="AA49" s="120">
        <v>0</v>
      </c>
      <c r="AB49" s="120"/>
      <c r="AC49" s="277">
        <v>0</v>
      </c>
      <c r="AD49" s="121"/>
    </row>
    <row r="50" spans="1:30" x14ac:dyDescent="0.35">
      <c r="A50" s="59" t="s">
        <v>1937</v>
      </c>
      <c r="B50" s="277">
        <v>0.19419736000000001</v>
      </c>
      <c r="C50" s="121"/>
      <c r="D50" s="277">
        <v>0</v>
      </c>
      <c r="E50" s="120"/>
      <c r="F50" s="121"/>
      <c r="G50" s="120">
        <v>0</v>
      </c>
      <c r="H50" s="120"/>
      <c r="I50" s="277">
        <v>0.3033536</v>
      </c>
      <c r="J50" s="121"/>
      <c r="K50" s="120">
        <v>3.6999936000000004E-2</v>
      </c>
      <c r="L50" s="120"/>
      <c r="M50" s="277">
        <v>0</v>
      </c>
      <c r="N50" s="121"/>
      <c r="O50" s="120">
        <v>0.62964799999999999</v>
      </c>
      <c r="P50" s="120"/>
      <c r="Q50" s="277">
        <v>0</v>
      </c>
      <c r="R50" s="121"/>
      <c r="S50" s="120">
        <v>0</v>
      </c>
      <c r="T50" s="120"/>
      <c r="U50" s="277">
        <v>0</v>
      </c>
      <c r="V50" s="121"/>
      <c r="W50" s="120">
        <v>0</v>
      </c>
      <c r="X50" s="120"/>
      <c r="Y50" s="277">
        <v>1.1896284400000001</v>
      </c>
      <c r="Z50" s="121"/>
      <c r="AA50" s="120">
        <v>2.1567445000000003</v>
      </c>
      <c r="AB50" s="120"/>
      <c r="AC50" s="277">
        <v>0</v>
      </c>
      <c r="AD50" s="121"/>
    </row>
    <row r="51" spans="1:30" x14ac:dyDescent="0.35">
      <c r="A51" s="59" t="s">
        <v>1535</v>
      </c>
      <c r="B51" s="277">
        <v>0</v>
      </c>
      <c r="C51" s="121"/>
      <c r="D51" s="277">
        <v>15.414164275999999</v>
      </c>
      <c r="E51" s="120"/>
      <c r="F51" s="121"/>
      <c r="G51" s="120">
        <v>0</v>
      </c>
      <c r="H51" s="120"/>
      <c r="I51" s="277">
        <v>0</v>
      </c>
      <c r="J51" s="121"/>
      <c r="K51" s="120">
        <v>0</v>
      </c>
      <c r="L51" s="120"/>
      <c r="M51" s="277">
        <v>0</v>
      </c>
      <c r="N51" s="121"/>
      <c r="O51" s="120">
        <v>0</v>
      </c>
      <c r="P51" s="120"/>
      <c r="Q51" s="277">
        <v>0</v>
      </c>
      <c r="R51" s="121"/>
      <c r="S51" s="120">
        <v>0</v>
      </c>
      <c r="T51" s="120"/>
      <c r="U51" s="277">
        <v>0</v>
      </c>
      <c r="V51" s="121"/>
      <c r="W51" s="120">
        <v>0</v>
      </c>
      <c r="X51" s="120"/>
      <c r="Y51" s="277">
        <v>0</v>
      </c>
      <c r="Z51" s="121"/>
      <c r="AA51" s="120">
        <v>0</v>
      </c>
      <c r="AB51" s="120"/>
      <c r="AC51" s="277">
        <v>0</v>
      </c>
      <c r="AD51" s="121"/>
    </row>
    <row r="52" spans="1:30" x14ac:dyDescent="0.35">
      <c r="A52" s="59" t="s">
        <v>1664</v>
      </c>
      <c r="B52" s="277">
        <v>1.38630352</v>
      </c>
      <c r="C52" s="121"/>
      <c r="D52" s="277">
        <v>0.1692357239999997</v>
      </c>
      <c r="E52" s="120"/>
      <c r="F52" s="121"/>
      <c r="G52" s="120">
        <v>6.0299999999999999E-2</v>
      </c>
      <c r="H52" s="120"/>
      <c r="I52" s="277">
        <v>0.34943488</v>
      </c>
      <c r="J52" s="121"/>
      <c r="K52" s="120">
        <v>0.65420006400000008</v>
      </c>
      <c r="L52" s="120"/>
      <c r="M52" s="277">
        <v>-4.0800000000000003E-2</v>
      </c>
      <c r="N52" s="121"/>
      <c r="O52" s="120">
        <v>0.70435200000000009</v>
      </c>
      <c r="P52" s="120"/>
      <c r="Q52" s="277">
        <v>4.1799999999999997E-2</v>
      </c>
      <c r="R52" s="121"/>
      <c r="S52" s="120">
        <v>1.3998999999999999</v>
      </c>
      <c r="T52" s="120"/>
      <c r="U52" s="277">
        <v>0.69569999999999999</v>
      </c>
      <c r="V52" s="121"/>
      <c r="W52" s="120">
        <v>0.85990521327014202</v>
      </c>
      <c r="X52" s="120"/>
      <c r="Y52" s="277">
        <v>4.9934715600000006</v>
      </c>
      <c r="Z52" s="121"/>
      <c r="AA52" s="120">
        <v>1.0767555</v>
      </c>
      <c r="AB52" s="120"/>
      <c r="AC52" s="277">
        <v>0.54</v>
      </c>
      <c r="AD52" s="121"/>
    </row>
    <row r="53" spans="1:30" x14ac:dyDescent="0.35">
      <c r="A53" s="61" t="s">
        <v>2017</v>
      </c>
      <c r="B53" s="237"/>
      <c r="C53" s="156"/>
      <c r="D53" s="237"/>
      <c r="E53" s="157"/>
      <c r="F53" s="156"/>
      <c r="G53" s="513">
        <v>9.1999999999999998E-3</v>
      </c>
      <c r="H53" s="157"/>
      <c r="I53" s="512">
        <v>4.2900000000000001E-2</v>
      </c>
      <c r="J53" s="156"/>
      <c r="K53" s="157"/>
      <c r="L53" s="157"/>
      <c r="M53" s="237"/>
      <c r="N53" s="156"/>
      <c r="O53" s="157"/>
      <c r="P53" s="157"/>
      <c r="Q53" s="237"/>
      <c r="R53" s="156"/>
      <c r="S53" s="157"/>
      <c r="T53" s="157"/>
      <c r="U53" s="237"/>
      <c r="V53" s="156"/>
      <c r="W53" s="157"/>
      <c r="X53" s="157"/>
      <c r="Y53" s="237"/>
      <c r="Z53" s="156"/>
      <c r="AA53" s="157"/>
      <c r="AB53" s="157"/>
      <c r="AC53" s="237"/>
      <c r="AD53" s="156"/>
    </row>
    <row r="54" spans="1:30" x14ac:dyDescent="0.35">
      <c r="A54" s="59" t="s">
        <v>2016</v>
      </c>
      <c r="B54" s="232"/>
      <c r="C54" s="144"/>
      <c r="D54" s="232"/>
      <c r="E54" s="145"/>
      <c r="F54" s="144"/>
      <c r="G54" s="145"/>
      <c r="H54" s="145"/>
      <c r="I54" s="232"/>
      <c r="J54" s="144"/>
      <c r="K54" s="42">
        <v>6.2799999999999995E-2</v>
      </c>
      <c r="L54" s="145"/>
      <c r="M54" s="232"/>
      <c r="N54" s="144"/>
      <c r="O54" s="145"/>
      <c r="P54" s="145"/>
      <c r="Q54" s="232"/>
      <c r="R54" s="144"/>
      <c r="S54" s="145"/>
      <c r="T54" s="145"/>
      <c r="U54" s="232"/>
      <c r="V54" s="144"/>
      <c r="W54" s="145"/>
      <c r="X54" s="145"/>
      <c r="Y54" s="232"/>
      <c r="Z54" s="144"/>
      <c r="AA54" s="145"/>
      <c r="AB54" s="145"/>
      <c r="AC54" s="232"/>
      <c r="AD54" s="144"/>
    </row>
    <row r="55" spans="1:30" x14ac:dyDescent="0.35">
      <c r="A55" s="59" t="s">
        <v>2015</v>
      </c>
      <c r="B55" s="232"/>
      <c r="C55" s="144"/>
      <c r="D55" s="232"/>
      <c r="E55" s="145"/>
      <c r="F55" s="144"/>
      <c r="G55" s="42">
        <v>2.3999999999999998E-3</v>
      </c>
      <c r="H55" s="145"/>
      <c r="I55" s="511">
        <v>1.1439999999999999</v>
      </c>
      <c r="J55" s="144"/>
      <c r="K55" s="145"/>
      <c r="L55" s="145"/>
      <c r="M55" s="232"/>
      <c r="N55" s="144"/>
      <c r="O55" s="145"/>
      <c r="P55" s="145"/>
      <c r="Q55" s="232"/>
      <c r="R55" s="144"/>
      <c r="S55" s="145"/>
      <c r="T55" s="145"/>
      <c r="U55" s="232"/>
      <c r="V55" s="144"/>
      <c r="W55" s="145"/>
      <c r="X55" s="145"/>
      <c r="Y55" s="232"/>
      <c r="Z55" s="144"/>
      <c r="AA55" s="145"/>
      <c r="AB55" s="145"/>
      <c r="AC55" s="232"/>
      <c r="AD55" s="144"/>
    </row>
    <row r="56" spans="1:30" x14ac:dyDescent="0.35">
      <c r="A56" s="59" t="s">
        <v>2014</v>
      </c>
      <c r="B56" s="232"/>
      <c r="C56" s="144"/>
      <c r="D56" s="232"/>
      <c r="E56" s="42">
        <v>-11.1896</v>
      </c>
      <c r="F56" s="144">
        <v>-0.96460000000000079</v>
      </c>
      <c r="G56" s="42">
        <v>0.154</v>
      </c>
      <c r="H56" s="145"/>
      <c r="I56" s="511">
        <v>10.071</v>
      </c>
      <c r="J56" s="144"/>
      <c r="K56" s="145"/>
      <c r="L56" s="145"/>
      <c r="M56" s="232"/>
      <c r="N56" s="144"/>
      <c r="O56" s="145"/>
      <c r="P56" s="145"/>
      <c r="Q56" s="232"/>
      <c r="R56" s="144"/>
      <c r="S56" s="145"/>
      <c r="T56" s="145"/>
      <c r="U56" s="232"/>
      <c r="V56" s="144"/>
      <c r="W56" s="145"/>
      <c r="X56" s="145"/>
      <c r="Y56" s="511">
        <v>0.17019999999999999</v>
      </c>
      <c r="Z56" s="144"/>
      <c r="AA56" s="145"/>
      <c r="AB56" s="145"/>
      <c r="AC56" s="232"/>
      <c r="AD56" s="144"/>
    </row>
    <row r="57" spans="1:30" x14ac:dyDescent="0.35">
      <c r="A57" s="59" t="s">
        <v>2013</v>
      </c>
      <c r="B57" s="232"/>
      <c r="C57" s="144"/>
      <c r="D57" s="232"/>
      <c r="E57" s="42">
        <v>-0.72170000000000001</v>
      </c>
      <c r="F57" s="144">
        <v>-0.69320000000000004</v>
      </c>
      <c r="G57" s="145"/>
      <c r="H57" s="145"/>
      <c r="I57" s="511">
        <v>2.8500000000000001E-2</v>
      </c>
      <c r="J57" s="144"/>
      <c r="K57" s="145"/>
      <c r="L57" s="145"/>
      <c r="M57" s="232"/>
      <c r="N57" s="144"/>
      <c r="O57" s="145"/>
      <c r="P57" s="145"/>
      <c r="Q57" s="232"/>
      <c r="R57" s="144"/>
      <c r="S57" s="145"/>
      <c r="T57" s="145"/>
      <c r="U57" s="232"/>
      <c r="V57" s="144"/>
      <c r="W57" s="145"/>
      <c r="X57" s="145"/>
      <c r="Y57" s="232"/>
      <c r="Z57" s="144"/>
      <c r="AA57" s="145"/>
      <c r="AB57" s="145"/>
      <c r="AC57" s="232"/>
      <c r="AD57" s="144"/>
    </row>
    <row r="58" spans="1:30" x14ac:dyDescent="0.35">
      <c r="A58" s="59" t="s">
        <v>2012</v>
      </c>
      <c r="B58" s="232"/>
      <c r="C58" s="144"/>
      <c r="D58" s="232"/>
      <c r="E58" s="42">
        <v>-0.26629999999999998</v>
      </c>
      <c r="F58" s="144">
        <v>-0.26629999999999998</v>
      </c>
      <c r="G58" s="145"/>
      <c r="H58" s="145"/>
      <c r="I58" s="232"/>
      <c r="J58" s="144"/>
      <c r="K58" s="145"/>
      <c r="L58" s="145"/>
      <c r="M58" s="232"/>
      <c r="N58" s="144"/>
      <c r="O58" s="145"/>
      <c r="P58" s="145"/>
      <c r="Q58" s="232"/>
      <c r="R58" s="144"/>
      <c r="S58" s="145"/>
      <c r="T58" s="145"/>
      <c r="U58" s="232"/>
      <c r="V58" s="144"/>
      <c r="W58" s="145"/>
      <c r="X58" s="145"/>
      <c r="Y58" s="232"/>
      <c r="Z58" s="144"/>
      <c r="AA58" s="145"/>
      <c r="AB58" s="145"/>
      <c r="AC58" s="232"/>
      <c r="AD58" s="144"/>
    </row>
    <row r="59" spans="1:30" x14ac:dyDescent="0.35">
      <c r="A59" s="59" t="s">
        <v>2011</v>
      </c>
      <c r="B59" s="232"/>
      <c r="C59" s="144"/>
      <c r="D59" s="511">
        <v>0.3614</v>
      </c>
      <c r="E59" s="507"/>
      <c r="F59" s="144"/>
      <c r="G59" s="145"/>
      <c r="H59" s="145"/>
      <c r="I59" s="511">
        <v>2.4455</v>
      </c>
      <c r="J59" s="321">
        <v>-3.9367000000000001</v>
      </c>
      <c r="K59" s="42">
        <v>0.33489999999999998</v>
      </c>
      <c r="L59" s="145"/>
      <c r="M59" s="511">
        <v>0.60340000000000005</v>
      </c>
      <c r="N59" s="144"/>
      <c r="O59" s="42">
        <v>3.15E-2</v>
      </c>
      <c r="P59" s="145"/>
      <c r="Q59" s="511">
        <v>3.15E-2</v>
      </c>
      <c r="R59" s="144"/>
      <c r="S59" s="42">
        <v>0.2467</v>
      </c>
      <c r="T59" s="145"/>
      <c r="U59" s="511">
        <v>0.1759</v>
      </c>
      <c r="V59" s="144"/>
      <c r="W59" s="145"/>
      <c r="X59" s="145"/>
      <c r="Y59" s="232"/>
      <c r="Z59" s="144"/>
      <c r="AA59" s="145"/>
      <c r="AB59" s="145"/>
      <c r="AC59" s="232"/>
      <c r="AD59" s="144"/>
    </row>
    <row r="60" spans="1:30" x14ac:dyDescent="0.35">
      <c r="A60" s="57" t="s">
        <v>2010</v>
      </c>
      <c r="B60" s="231"/>
      <c r="C60" s="141"/>
      <c r="D60" s="510">
        <v>1.282</v>
      </c>
      <c r="E60" s="320">
        <v>-3.1434000000000002</v>
      </c>
      <c r="F60" s="141"/>
      <c r="G60" s="320">
        <v>2.46E-2</v>
      </c>
      <c r="H60" s="142"/>
      <c r="I60" s="510">
        <v>0.5504</v>
      </c>
      <c r="J60" s="141"/>
      <c r="K60" s="320">
        <v>5.8900000000000001E-2</v>
      </c>
      <c r="L60" s="142"/>
      <c r="M60" s="510">
        <v>1.7600000000000001E-2</v>
      </c>
      <c r="N60" s="141"/>
      <c r="O60" s="320">
        <v>1.2934000000000001</v>
      </c>
      <c r="P60" s="142"/>
      <c r="Q60" s="510">
        <v>8.9999999999999998E-4</v>
      </c>
      <c r="R60" s="141"/>
      <c r="S60" s="320">
        <v>0.34250000000000003</v>
      </c>
      <c r="T60" s="142"/>
      <c r="U60" s="510">
        <v>1.117</v>
      </c>
      <c r="V60" s="141"/>
      <c r="W60" s="142"/>
      <c r="X60" s="142"/>
      <c r="Y60" s="231"/>
      <c r="Z60" s="141"/>
      <c r="AA60" s="142"/>
      <c r="AB60" s="142"/>
      <c r="AC60" s="231"/>
      <c r="AD60" s="141"/>
    </row>
    <row r="61" spans="1:30" x14ac:dyDescent="0.35">
      <c r="A61" s="59" t="s">
        <v>1537</v>
      </c>
      <c r="B61" s="237">
        <v>3.3349136707127087</v>
      </c>
      <c r="C61" s="156"/>
      <c r="D61" s="145">
        <v>17.743606491435262</v>
      </c>
      <c r="E61" s="145">
        <v>-15.321</v>
      </c>
      <c r="F61" s="144">
        <v>-2.2452365540336614</v>
      </c>
      <c r="G61" s="237">
        <v>0.31257225814680062</v>
      </c>
      <c r="H61" s="156"/>
      <c r="I61" s="145">
        <v>19.266396258164615</v>
      </c>
      <c r="J61" s="144">
        <v>-3.9367000000000001</v>
      </c>
      <c r="K61" s="145">
        <v>2.0597007995125343</v>
      </c>
      <c r="L61" s="145"/>
      <c r="M61" s="237">
        <v>0.53643989739024545</v>
      </c>
      <c r="N61" s="156"/>
      <c r="O61" s="145">
        <v>3.4786380064153217</v>
      </c>
      <c r="P61" s="145"/>
      <c r="Q61" s="237">
        <v>0.1190326541443073</v>
      </c>
      <c r="R61" s="156"/>
      <c r="S61" s="145">
        <v>3.4905648932204736</v>
      </c>
      <c r="T61" s="145"/>
      <c r="U61" s="237">
        <v>2.7347741025883874</v>
      </c>
      <c r="V61" s="156"/>
      <c r="W61" s="145">
        <v>1.7821978693329914</v>
      </c>
      <c r="X61" s="145"/>
      <c r="Y61" s="237">
        <v>11.830511220314971</v>
      </c>
      <c r="Z61" s="156"/>
      <c r="AA61" s="157">
        <v>4.6085695368888846</v>
      </c>
      <c r="AB61" s="156"/>
      <c r="AC61" s="145">
        <v>1.1191778286585157</v>
      </c>
      <c r="AD61" s="144"/>
    </row>
    <row r="62" spans="1:30" x14ac:dyDescent="0.35">
      <c r="A62" s="59" t="s">
        <v>1536</v>
      </c>
      <c r="B62" s="232">
        <v>2.7825614617302943</v>
      </c>
      <c r="C62" s="144"/>
      <c r="D62" s="145">
        <v>17.664598447423003</v>
      </c>
      <c r="E62" s="145">
        <v>-15.321</v>
      </c>
      <c r="F62" s="144">
        <v>-2.234963013781242</v>
      </c>
      <c r="G62" s="232">
        <v>0.28727046708785725</v>
      </c>
      <c r="H62" s="144"/>
      <c r="I62" s="145">
        <v>18.489556629068147</v>
      </c>
      <c r="J62" s="144">
        <v>-3.9367000000000001</v>
      </c>
      <c r="K62" s="145">
        <v>1.7945211060196067</v>
      </c>
      <c r="L62" s="145"/>
      <c r="M62" s="232">
        <v>0.55265867928572887</v>
      </c>
      <c r="N62" s="144"/>
      <c r="O62" s="145">
        <v>3.1981999757448802</v>
      </c>
      <c r="P62" s="145"/>
      <c r="Q62" s="232">
        <v>0.10241635308471894</v>
      </c>
      <c r="R62" s="144"/>
      <c r="S62" s="145">
        <v>2.9340778153899056</v>
      </c>
      <c r="T62" s="145"/>
      <c r="U62" s="232">
        <v>2.4582200201205495</v>
      </c>
      <c r="V62" s="144"/>
      <c r="W62" s="145">
        <v>1.4403690677443257</v>
      </c>
      <c r="X62" s="145"/>
      <c r="Y62" s="232">
        <v>9.8446705492615312</v>
      </c>
      <c r="Z62" s="144"/>
      <c r="AA62" s="145">
        <v>4.1790156518350514</v>
      </c>
      <c r="AB62" s="144"/>
      <c r="AC62" s="145">
        <v>0.90451748004182386</v>
      </c>
      <c r="AD62" s="144"/>
    </row>
    <row r="63" spans="1:30" x14ac:dyDescent="0.35">
      <c r="A63" s="59" t="s">
        <v>1535</v>
      </c>
      <c r="B63" s="232">
        <v>1.3336859791670315</v>
      </c>
      <c r="C63" s="144"/>
      <c r="D63" s="145">
        <v>17.258048238895103</v>
      </c>
      <c r="E63" s="145">
        <v>-15.321</v>
      </c>
      <c r="F63" s="144">
        <v>-2.4100635093662781E-2</v>
      </c>
      <c r="G63" s="232">
        <v>0.23972771025035872</v>
      </c>
      <c r="H63" s="144"/>
      <c r="I63" s="145">
        <v>14.97088173558096</v>
      </c>
      <c r="J63" s="144">
        <v>-3.9367000000000001</v>
      </c>
      <c r="K63" s="145">
        <v>1.2469337105800271</v>
      </c>
      <c r="L63" s="145"/>
      <c r="M63" s="232">
        <v>0.58183652448128964</v>
      </c>
      <c r="N63" s="144"/>
      <c r="O63" s="145">
        <v>2.0020725397773331</v>
      </c>
      <c r="P63" s="145"/>
      <c r="Q63" s="232">
        <v>7.2523364624561049E-2</v>
      </c>
      <c r="R63" s="144"/>
      <c r="S63" s="145">
        <v>1.9329487592804551</v>
      </c>
      <c r="T63" s="145"/>
      <c r="U63" s="232">
        <v>1.9606948509403617</v>
      </c>
      <c r="V63" s="144"/>
      <c r="W63" s="145">
        <v>0.82541364628226888</v>
      </c>
      <c r="X63" s="145"/>
      <c r="Y63" s="232">
        <v>4.9654057151162716</v>
      </c>
      <c r="Z63" s="144"/>
      <c r="AA63" s="145">
        <v>1.0372403094283242</v>
      </c>
      <c r="AB63" s="144"/>
      <c r="AC63" s="145">
        <v>0.51834011715940109</v>
      </c>
      <c r="AD63" s="144"/>
    </row>
    <row r="64" spans="1:30" x14ac:dyDescent="0.35">
      <c r="A64" s="59" t="s">
        <v>1534</v>
      </c>
      <c r="B64" s="232">
        <v>1.1786394329401166</v>
      </c>
      <c r="C64" s="144"/>
      <c r="D64" s="145">
        <v>0.16380698748236019</v>
      </c>
      <c r="E64" s="145">
        <v>0</v>
      </c>
      <c r="F64" s="144">
        <v>-0.18015126640242674</v>
      </c>
      <c r="G64" s="232">
        <v>4.4090925245261307E-2</v>
      </c>
      <c r="H64" s="144"/>
      <c r="I64" s="145">
        <v>2.0155793982177084</v>
      </c>
      <c r="J64" s="144">
        <v>0</v>
      </c>
      <c r="K64" s="145">
        <v>0.51200539204905493</v>
      </c>
      <c r="L64" s="145"/>
      <c r="M64" s="232">
        <v>-2.7847024795670715E-2</v>
      </c>
      <c r="N64" s="144"/>
      <c r="O64" s="145">
        <v>1.1705971643678104</v>
      </c>
      <c r="P64" s="145"/>
      <c r="Q64" s="232">
        <v>2.8529549913211709E-2</v>
      </c>
      <c r="R64" s="144"/>
      <c r="S64" s="145">
        <v>0.95546691204557588</v>
      </c>
      <c r="T64" s="145"/>
      <c r="U64" s="232">
        <v>0.47483272427323908</v>
      </c>
      <c r="V64" s="144"/>
      <c r="W64" s="145">
        <v>0.58690690676127955</v>
      </c>
      <c r="X64" s="145"/>
      <c r="Y64" s="232">
        <v>4.7115585821136925</v>
      </c>
      <c r="Z64" s="144"/>
      <c r="AA64" s="145">
        <v>3.0978997813893412</v>
      </c>
      <c r="AB64" s="144"/>
      <c r="AC64" s="145">
        <v>0.36856356347211322</v>
      </c>
      <c r="AD64" s="144"/>
    </row>
    <row r="65" spans="1:30" x14ac:dyDescent="0.35">
      <c r="A65" s="59" t="s">
        <v>1533</v>
      </c>
      <c r="B65" s="232">
        <v>0.27023604962314624</v>
      </c>
      <c r="C65" s="144"/>
      <c r="D65" s="145">
        <v>0.24274322104553983</v>
      </c>
      <c r="E65" s="145">
        <v>0</v>
      </c>
      <c r="F65" s="144">
        <v>-2.0307111122851524</v>
      </c>
      <c r="G65" s="232">
        <v>3.4518315922372296E-3</v>
      </c>
      <c r="H65" s="144"/>
      <c r="I65" s="145">
        <v>1.5030954952694788</v>
      </c>
      <c r="J65" s="144">
        <v>0</v>
      </c>
      <c r="K65" s="145">
        <v>3.5582003390524669E-2</v>
      </c>
      <c r="L65" s="145"/>
      <c r="M65" s="232">
        <v>-1.3308203998900546E-3</v>
      </c>
      <c r="N65" s="144"/>
      <c r="O65" s="145">
        <v>2.5530271599736833E-2</v>
      </c>
      <c r="P65" s="145"/>
      <c r="Q65" s="232">
        <v>1.363438546946183E-3</v>
      </c>
      <c r="R65" s="144"/>
      <c r="S65" s="145">
        <v>4.5662144063874685E-2</v>
      </c>
      <c r="T65" s="145"/>
      <c r="U65" s="232">
        <v>2.2692444906948796E-2</v>
      </c>
      <c r="V65" s="144"/>
      <c r="W65" s="145">
        <v>2.804851470077728E-2</v>
      </c>
      <c r="X65" s="145"/>
      <c r="Y65" s="232">
        <v>0.167706252031567</v>
      </c>
      <c r="Z65" s="144"/>
      <c r="AA65" s="145">
        <v>4.387556101738558E-2</v>
      </c>
      <c r="AB65" s="144"/>
      <c r="AC65" s="145">
        <v>1.7613799410309543E-2</v>
      </c>
      <c r="AD65" s="144"/>
    </row>
    <row r="66" spans="1:30" x14ac:dyDescent="0.35">
      <c r="A66" s="59" t="s">
        <v>1532</v>
      </c>
      <c r="B66" s="509">
        <v>281.58876305388083</v>
      </c>
      <c r="C66" s="211"/>
      <c r="D66" s="210">
        <v>93.942028759328579</v>
      </c>
      <c r="E66" s="210">
        <v>0</v>
      </c>
      <c r="F66" s="210">
        <v>-41.260583687928822</v>
      </c>
      <c r="G66" s="509">
        <v>195.7161001035229</v>
      </c>
      <c r="H66" s="211"/>
      <c r="I66" s="210">
        <v>1269.864817043979</v>
      </c>
      <c r="J66" s="211">
        <v>0</v>
      </c>
      <c r="K66" s="210">
        <v>2540.2408578471895</v>
      </c>
      <c r="L66" s="210"/>
      <c r="M66" s="509">
        <v>-8.1346500797517418</v>
      </c>
      <c r="N66" s="211"/>
      <c r="O66" s="210">
        <v>142.4523111127356</v>
      </c>
      <c r="P66" s="210"/>
      <c r="Q66" s="509">
        <v>8.3340287581770287</v>
      </c>
      <c r="R66" s="211"/>
      <c r="S66" s="210">
        <v>279.11021192756033</v>
      </c>
      <c r="T66" s="210"/>
      <c r="U66" s="509">
        <v>138.7077465804727</v>
      </c>
      <c r="V66" s="211"/>
      <c r="W66" s="210">
        <v>171.44676499281616</v>
      </c>
      <c r="X66" s="210"/>
      <c r="Y66" s="509">
        <v>999.40738827027167</v>
      </c>
      <c r="Z66" s="211"/>
      <c r="AA66" s="210">
        <v>221.59965558754763</v>
      </c>
      <c r="AB66" s="211"/>
      <c r="AC66" s="210">
        <v>107.66448634965541</v>
      </c>
      <c r="AD66" s="211"/>
    </row>
    <row r="67" spans="1:30" ht="13.15" x14ac:dyDescent="0.4">
      <c r="A67" s="131" t="s">
        <v>1929</v>
      </c>
      <c r="B67" s="237"/>
      <c r="C67" s="156"/>
      <c r="D67" s="157"/>
      <c r="E67" s="157"/>
      <c r="F67" s="156"/>
      <c r="G67" s="237"/>
      <c r="H67" s="156"/>
      <c r="I67" s="157"/>
      <c r="J67" s="156"/>
      <c r="K67" s="157"/>
      <c r="L67" s="157"/>
      <c r="M67" s="237"/>
      <c r="N67" s="156"/>
      <c r="O67" s="157"/>
      <c r="P67" s="157"/>
      <c r="Q67" s="237"/>
      <c r="R67" s="156"/>
      <c r="S67" s="157"/>
      <c r="T67" s="157"/>
      <c r="U67" s="237"/>
      <c r="V67" s="156"/>
      <c r="W67" s="157"/>
      <c r="X67" s="157"/>
      <c r="Y67" s="237"/>
      <c r="Z67" s="156"/>
      <c r="AA67" s="157"/>
      <c r="AB67" s="156"/>
      <c r="AC67" s="157"/>
      <c r="AD67" s="156"/>
    </row>
    <row r="68" spans="1:30" x14ac:dyDescent="0.35">
      <c r="A68" s="59" t="s">
        <v>1525</v>
      </c>
      <c r="B68" s="232">
        <v>27.284757276909438</v>
      </c>
      <c r="C68" s="144"/>
      <c r="D68" s="145">
        <v>120.09903561313561</v>
      </c>
      <c r="E68" s="42">
        <v>1472.3507</v>
      </c>
      <c r="F68" s="144">
        <v>-11.795175597914366</v>
      </c>
      <c r="G68" s="232">
        <v>1.045752819959215</v>
      </c>
      <c r="H68" s="321">
        <v>47.2226</v>
      </c>
      <c r="I68" s="145">
        <v>50.717288108657257</v>
      </c>
      <c r="J68" s="321">
        <v>1137.4096999999999</v>
      </c>
      <c r="K68" s="145">
        <v>16.561759363894009</v>
      </c>
      <c r="L68" s="42">
        <v>0.47249999999999998</v>
      </c>
      <c r="M68" s="232">
        <v>0.15579039573054926</v>
      </c>
      <c r="N68" s="144"/>
      <c r="O68" s="145">
        <v>20.345293418686595</v>
      </c>
      <c r="P68" s="145"/>
      <c r="Q68" s="232">
        <v>0.66948074162899607</v>
      </c>
      <c r="R68" s="144"/>
      <c r="S68" s="145">
        <v>21.80629478962755</v>
      </c>
      <c r="T68" s="145"/>
      <c r="U68" s="232">
        <v>12.077055061035709</v>
      </c>
      <c r="V68" s="144"/>
      <c r="W68" s="145">
        <v>12.945991101971138</v>
      </c>
      <c r="X68" s="145"/>
      <c r="Y68" s="232">
        <v>90.477964287066442</v>
      </c>
      <c r="Z68" s="321">
        <v>174.51499999999999</v>
      </c>
      <c r="AA68" s="145">
        <v>43.949957551915276</v>
      </c>
      <c r="AB68" s="144"/>
      <c r="AC68" s="145">
        <v>8.1297741741544964</v>
      </c>
      <c r="AD68" s="144"/>
    </row>
    <row r="69" spans="1:30" x14ac:dyDescent="0.35">
      <c r="A69" s="59" t="s">
        <v>1524</v>
      </c>
      <c r="B69" s="232">
        <v>85.916364424813366</v>
      </c>
      <c r="C69" s="144"/>
      <c r="D69" s="145">
        <v>77.373629732274907</v>
      </c>
      <c r="E69" s="42">
        <v>326.8802</v>
      </c>
      <c r="F69" s="144">
        <v>-23.370370491251954</v>
      </c>
      <c r="G69" s="232">
        <v>3.2577404820599276</v>
      </c>
      <c r="H69" s="321">
        <v>3104.9686000000002</v>
      </c>
      <c r="I69" s="145">
        <v>221.27324919999387</v>
      </c>
      <c r="J69" s="321">
        <v>14731.2899</v>
      </c>
      <c r="K69" s="145">
        <v>63.1622554573907</v>
      </c>
      <c r="L69" s="42">
        <v>1645.2414000000001</v>
      </c>
      <c r="M69" s="232">
        <v>8.225717806527495</v>
      </c>
      <c r="N69" s="144"/>
      <c r="O69" s="145">
        <v>84.946119785614528</v>
      </c>
      <c r="P69" s="145"/>
      <c r="Q69" s="232">
        <v>2.2759498393909494</v>
      </c>
      <c r="R69" s="144"/>
      <c r="S69" s="145">
        <v>68.284333841229426</v>
      </c>
      <c r="T69" s="145"/>
      <c r="U69" s="232">
        <v>49.944281425461327</v>
      </c>
      <c r="V69" s="144"/>
      <c r="W69" s="145">
        <v>36.15079861347126</v>
      </c>
      <c r="X69" s="145"/>
      <c r="Y69" s="232">
        <v>274.40360489764078</v>
      </c>
      <c r="Z69" s="321">
        <v>3009.5250000000001</v>
      </c>
      <c r="AA69" s="145">
        <v>162.15915728966348</v>
      </c>
      <c r="AB69" s="144"/>
      <c r="AC69" s="145">
        <v>22.701840795959637</v>
      </c>
      <c r="AD69" s="144"/>
    </row>
    <row r="70" spans="1:30" x14ac:dyDescent="0.35">
      <c r="A70" s="59" t="s">
        <v>1523</v>
      </c>
      <c r="B70" s="232">
        <v>190.49487257215799</v>
      </c>
      <c r="C70" s="144"/>
      <c r="D70" s="145">
        <v>457.20912388524619</v>
      </c>
      <c r="E70" s="42">
        <v>175.11439999999999</v>
      </c>
      <c r="F70" s="144">
        <v>-51.312975742594965</v>
      </c>
      <c r="G70" s="232">
        <v>10.065657600583105</v>
      </c>
      <c r="H70" s="321">
        <v>17.163900000000002</v>
      </c>
      <c r="I70" s="145">
        <v>816.36944985296259</v>
      </c>
      <c r="J70" s="321">
        <v>12.2302</v>
      </c>
      <c r="K70" s="145">
        <v>141.55857524595265</v>
      </c>
      <c r="L70" s="42">
        <v>75.604900000000001</v>
      </c>
      <c r="M70" s="232">
        <v>75.864798616080208</v>
      </c>
      <c r="N70" s="144"/>
      <c r="O70" s="145">
        <v>312.51983523179319</v>
      </c>
      <c r="P70" s="145"/>
      <c r="Q70" s="232">
        <v>8.1054760972511666</v>
      </c>
      <c r="R70" s="144"/>
      <c r="S70" s="145">
        <v>215.03102393258155</v>
      </c>
      <c r="T70" s="145"/>
      <c r="U70" s="232">
        <v>255.59210718463245</v>
      </c>
      <c r="V70" s="144"/>
      <c r="W70" s="145">
        <v>81.19165976703006</v>
      </c>
      <c r="X70" s="145"/>
      <c r="Y70" s="232">
        <v>562.38604730454824</v>
      </c>
      <c r="Z70" s="321">
        <v>65.352999999999994</v>
      </c>
      <c r="AA70" s="145">
        <v>266.47493313795775</v>
      </c>
      <c r="AB70" s="144"/>
      <c r="AC70" s="145">
        <v>50.986429198938531</v>
      </c>
      <c r="AD70" s="144"/>
    </row>
    <row r="71" spans="1:30" x14ac:dyDescent="0.35">
      <c r="A71" s="59" t="s">
        <v>1522</v>
      </c>
      <c r="B71" s="232">
        <v>31.963131392540465</v>
      </c>
      <c r="C71" s="144"/>
      <c r="D71" s="145">
        <v>142.41687093337464</v>
      </c>
      <c r="E71" s="42">
        <v>660.43140000000005</v>
      </c>
      <c r="F71" s="144">
        <v>-3.5278064187149596</v>
      </c>
      <c r="G71" s="232">
        <v>1.1963057350930768</v>
      </c>
      <c r="H71" s="321">
        <v>284.90800000000002</v>
      </c>
      <c r="I71" s="145">
        <v>91.683632535169551</v>
      </c>
      <c r="J71" s="321">
        <v>6.3930999999999996</v>
      </c>
      <c r="K71" s="145">
        <v>20.459220228153576</v>
      </c>
      <c r="L71" s="42">
        <v>218.75399999999999</v>
      </c>
      <c r="M71" s="232">
        <v>0.82568434348671427</v>
      </c>
      <c r="N71" s="144"/>
      <c r="O71" s="145">
        <v>17.763951787777494</v>
      </c>
      <c r="P71" s="145"/>
      <c r="Q71" s="232">
        <v>0.79219873632978799</v>
      </c>
      <c r="R71" s="144"/>
      <c r="S71" s="145">
        <v>25.316146435121293</v>
      </c>
      <c r="T71" s="145"/>
      <c r="U71" s="232">
        <v>15.031432628340514</v>
      </c>
      <c r="V71" s="144"/>
      <c r="W71" s="145">
        <v>14.664032236521997</v>
      </c>
      <c r="X71" s="145"/>
      <c r="Y71" s="232">
        <v>89.889880182800511</v>
      </c>
      <c r="Z71" s="321">
        <v>582.23900000000003</v>
      </c>
      <c r="AA71" s="145">
        <v>26.947816567247131</v>
      </c>
      <c r="AB71" s="144"/>
      <c r="AC71" s="145">
        <v>9.2086631009111368</v>
      </c>
      <c r="AD71" s="144"/>
    </row>
    <row r="72" spans="1:30" s="506" customFormat="1" x14ac:dyDescent="0.35">
      <c r="A72" s="508" t="s">
        <v>1521</v>
      </c>
      <c r="B72" s="232">
        <v>14.99212310599156</v>
      </c>
      <c r="C72" s="144"/>
      <c r="D72" s="145">
        <v>27.59896170800728</v>
      </c>
      <c r="E72" s="507">
        <v>330.21570000000003</v>
      </c>
      <c r="F72" s="505">
        <v>-2.9007726765048183</v>
      </c>
      <c r="G72" s="232">
        <v>0.55194301369547549</v>
      </c>
      <c r="H72" s="505">
        <v>142.45400000000001</v>
      </c>
      <c r="I72" s="145">
        <v>46.827272677494534</v>
      </c>
      <c r="J72" s="505">
        <v>3.1965499999999998</v>
      </c>
      <c r="K72" s="145">
        <v>12.173011379407674</v>
      </c>
      <c r="L72" s="507">
        <v>109.377</v>
      </c>
      <c r="M72" s="232">
        <v>1.2186415462028115</v>
      </c>
      <c r="N72" s="144"/>
      <c r="O72" s="145">
        <v>10.947409869505986</v>
      </c>
      <c r="P72" s="145"/>
      <c r="Q72" s="232">
        <v>0.38961022962555109</v>
      </c>
      <c r="R72" s="144"/>
      <c r="S72" s="145">
        <v>11.833283982124616</v>
      </c>
      <c r="T72" s="145"/>
      <c r="U72" s="232">
        <v>8.3309344437917687</v>
      </c>
      <c r="V72" s="144"/>
      <c r="W72" s="145">
        <v>6.3820237265312123</v>
      </c>
      <c r="X72" s="145"/>
      <c r="Y72" s="232">
        <v>41.734429863643996</v>
      </c>
      <c r="Z72" s="505">
        <v>291.11950000000002</v>
      </c>
      <c r="AA72" s="145">
        <v>16.465202235756028</v>
      </c>
      <c r="AB72" s="144"/>
      <c r="AC72" s="145">
        <v>4.0077589473157325</v>
      </c>
      <c r="AD72" s="144"/>
    </row>
    <row r="73" spans="1:30" x14ac:dyDescent="0.35">
      <c r="A73" s="59" t="s">
        <v>1520</v>
      </c>
      <c r="B73" s="232">
        <v>486.48892966482873</v>
      </c>
      <c r="C73" s="144"/>
      <c r="D73" s="145">
        <v>1249.9298326817084</v>
      </c>
      <c r="E73" s="42">
        <v>1008.9924999999999</v>
      </c>
      <c r="F73" s="144">
        <v>-25.703376748051141</v>
      </c>
      <c r="G73" s="232">
        <v>33.376637865032748</v>
      </c>
      <c r="H73" s="321">
        <v>33.623600000000003</v>
      </c>
      <c r="I73" s="145">
        <v>3310.0606716102193</v>
      </c>
      <c r="J73" s="321">
        <v>1218.5737999999999</v>
      </c>
      <c r="K73" s="145">
        <v>446.83197290378405</v>
      </c>
      <c r="L73" s="145"/>
      <c r="M73" s="232">
        <v>411.29418526488951</v>
      </c>
      <c r="N73" s="144"/>
      <c r="O73" s="145">
        <v>1087.9030850505242</v>
      </c>
      <c r="P73" s="145"/>
      <c r="Q73" s="232">
        <v>32.722759123716152</v>
      </c>
      <c r="R73" s="144"/>
      <c r="S73" s="145">
        <v>759.1126578490489</v>
      </c>
      <c r="T73" s="145"/>
      <c r="U73" s="232">
        <v>1056.4680042729503</v>
      </c>
      <c r="V73" s="144"/>
      <c r="W73" s="145">
        <v>220.49172555738892</v>
      </c>
      <c r="X73" s="145"/>
      <c r="Y73" s="232">
        <v>1294.5351253552744</v>
      </c>
      <c r="Z73" s="321">
        <v>348.53100000000001</v>
      </c>
      <c r="AA73" s="145">
        <v>301.7288634666163</v>
      </c>
      <c r="AB73" s="144"/>
      <c r="AC73" s="145">
        <v>138.46355384705083</v>
      </c>
      <c r="AD73" s="144"/>
    </row>
    <row r="74" spans="1:30" x14ac:dyDescent="0.35">
      <c r="A74" s="59" t="s">
        <v>1519</v>
      </c>
      <c r="B74" s="232">
        <v>1.5361985660190043</v>
      </c>
      <c r="C74" s="144"/>
      <c r="D74" s="145">
        <v>2.1120179453796175</v>
      </c>
      <c r="E74" s="145"/>
      <c r="F74" s="144">
        <v>-0.51063892095427987</v>
      </c>
      <c r="G74" s="232">
        <v>4.8816858435341733E-2</v>
      </c>
      <c r="H74" s="144"/>
      <c r="I74" s="145">
        <v>4.5891970367520001</v>
      </c>
      <c r="J74" s="144"/>
      <c r="K74" s="145">
        <v>1.17453965998419</v>
      </c>
      <c r="L74" s="145"/>
      <c r="M74" s="232">
        <v>0.22861045960376494</v>
      </c>
      <c r="N74" s="144"/>
      <c r="O74" s="145">
        <v>1.3700708971813995</v>
      </c>
      <c r="P74" s="145"/>
      <c r="Q74" s="232">
        <v>3.6076215651044796E-2</v>
      </c>
      <c r="R74" s="144"/>
      <c r="S74" s="145">
        <v>1.0077444842080769</v>
      </c>
      <c r="T74" s="145"/>
      <c r="U74" s="232">
        <v>0.90509868477109734</v>
      </c>
      <c r="V74" s="144"/>
      <c r="W74" s="145">
        <v>0.47271161247710464</v>
      </c>
      <c r="X74" s="145"/>
      <c r="Y74" s="232">
        <v>3.59010799872269</v>
      </c>
      <c r="Z74" s="144"/>
      <c r="AA74" s="145">
        <v>2.1239957997266741</v>
      </c>
      <c r="AB74" s="144"/>
      <c r="AC74" s="145">
        <v>0.29685163759722943</v>
      </c>
      <c r="AD74" s="144"/>
    </row>
    <row r="75" spans="1:30" x14ac:dyDescent="0.35">
      <c r="A75" s="59" t="s">
        <v>1518</v>
      </c>
      <c r="B75" s="232">
        <v>2.4966844955722642</v>
      </c>
      <c r="C75" s="144"/>
      <c r="D75" s="145">
        <v>6.0720017073475505</v>
      </c>
      <c r="E75" s="145"/>
      <c r="F75" s="144">
        <v>-0.90926459379962876</v>
      </c>
      <c r="G75" s="232">
        <v>0.11115012450757791</v>
      </c>
      <c r="H75" s="144"/>
      <c r="I75" s="145">
        <v>7.6802703261039023</v>
      </c>
      <c r="J75" s="144"/>
      <c r="K75" s="145">
        <v>2.3149879349962408</v>
      </c>
      <c r="L75" s="145"/>
      <c r="M75" s="232">
        <v>0.59852643739656597</v>
      </c>
      <c r="N75" s="144"/>
      <c r="O75" s="145">
        <v>3.3385737492054952</v>
      </c>
      <c r="P75" s="145"/>
      <c r="Q75" s="232">
        <v>8.7919345804498672E-2</v>
      </c>
      <c r="R75" s="144"/>
      <c r="S75" s="145">
        <v>2.4244665471702795</v>
      </c>
      <c r="T75" s="145"/>
      <c r="U75" s="232">
        <v>2.2535658449806153</v>
      </c>
      <c r="V75" s="144"/>
      <c r="W75" s="145">
        <v>1.1097448265457535</v>
      </c>
      <c r="X75" s="145"/>
      <c r="Y75" s="232">
        <v>8.4097618141529757</v>
      </c>
      <c r="Z75" s="144"/>
      <c r="AA75" s="145">
        <v>4.9529128056308132</v>
      </c>
      <c r="AB75" s="144"/>
      <c r="AC75" s="145">
        <v>0.69689332857486319</v>
      </c>
      <c r="AD75" s="144"/>
    </row>
    <row r="76" spans="1:30" x14ac:dyDescent="0.35">
      <c r="A76" s="59" t="s">
        <v>1531</v>
      </c>
      <c r="B76" s="232">
        <v>435.11752117275967</v>
      </c>
      <c r="C76" s="144"/>
      <c r="D76" s="145">
        <v>2326.3492470251308</v>
      </c>
      <c r="E76" s="145"/>
      <c r="F76" s="144">
        <v>-205.75375425369594</v>
      </c>
      <c r="G76" s="232">
        <v>17.203089802116729</v>
      </c>
      <c r="H76" s="144"/>
      <c r="I76" s="145">
        <v>788.9729581269994</v>
      </c>
      <c r="J76" s="144"/>
      <c r="K76" s="145">
        <v>222.54135930688352</v>
      </c>
      <c r="L76" s="145"/>
      <c r="M76" s="232">
        <v>-8.2539932690644182</v>
      </c>
      <c r="N76" s="144"/>
      <c r="O76" s="145">
        <v>327.94257043307664</v>
      </c>
      <c r="P76" s="145"/>
      <c r="Q76" s="232">
        <v>11.252002701975167</v>
      </c>
      <c r="R76" s="144"/>
      <c r="S76" s="145">
        <v>373.52138142062273</v>
      </c>
      <c r="T76" s="145"/>
      <c r="U76" s="232">
        <v>186.3202904770489</v>
      </c>
      <c r="V76" s="144"/>
      <c r="W76" s="145">
        <v>228.68669943764658</v>
      </c>
      <c r="X76" s="145"/>
      <c r="Y76" s="232">
        <v>1592.2180192170863</v>
      </c>
      <c r="Z76" s="321">
        <v>0.13600000000000001</v>
      </c>
      <c r="AA76" s="145">
        <v>765.40115869197996</v>
      </c>
      <c r="AB76" s="144"/>
      <c r="AC76" s="145">
        <v>143.60980232542693</v>
      </c>
      <c r="AD76" s="144"/>
    </row>
    <row r="77" spans="1:30" x14ac:dyDescent="0.35">
      <c r="A77" s="59" t="s">
        <v>1530</v>
      </c>
      <c r="B77" s="232">
        <v>3.8211074416267254</v>
      </c>
      <c r="C77" s="144"/>
      <c r="D77" s="145">
        <v>1.6576315228987899</v>
      </c>
      <c r="E77" s="145"/>
      <c r="F77" s="144">
        <v>-0.39382374686964056</v>
      </c>
      <c r="G77" s="232">
        <v>0.15181084305013495</v>
      </c>
      <c r="H77" s="505"/>
      <c r="I77" s="145">
        <v>9.0636185153685744</v>
      </c>
      <c r="J77" s="144"/>
      <c r="K77" s="145">
        <v>1.749064188860499</v>
      </c>
      <c r="L77" s="145"/>
      <c r="M77" s="232">
        <v>0.22029613065830467</v>
      </c>
      <c r="N77" s="144"/>
      <c r="O77" s="145">
        <v>3.5384007429728168</v>
      </c>
      <c r="P77" s="145"/>
      <c r="Q77" s="232">
        <v>0.10609235057828592</v>
      </c>
      <c r="R77" s="144"/>
      <c r="S77" s="145">
        <v>3.3070042951715419</v>
      </c>
      <c r="T77" s="145"/>
      <c r="U77" s="232">
        <v>2.1397338206952612</v>
      </c>
      <c r="V77" s="144"/>
      <c r="W77" s="145">
        <v>1.8517705111034757</v>
      </c>
      <c r="X77" s="145"/>
      <c r="Y77" s="232">
        <v>13.330610098981637</v>
      </c>
      <c r="Z77" s="505"/>
      <c r="AA77" s="145">
        <v>6.9914162262792532</v>
      </c>
      <c r="AB77" s="144"/>
      <c r="AC77" s="145">
        <v>1.1628677911989092</v>
      </c>
      <c r="AD77" s="144"/>
    </row>
    <row r="78" spans="1:30" x14ac:dyDescent="0.35">
      <c r="A78" s="57" t="s">
        <v>1529</v>
      </c>
      <c r="B78" s="45">
        <v>226312.87442962275</v>
      </c>
      <c r="C78" s="43"/>
      <c r="D78" s="44">
        <v>214832.46780278205</v>
      </c>
      <c r="E78" s="44"/>
      <c r="F78" s="43">
        <v>-21848.847554280132</v>
      </c>
      <c r="G78" s="45">
        <v>10166.002517686466</v>
      </c>
      <c r="H78" s="283">
        <v>29166.042000000001</v>
      </c>
      <c r="I78" s="44">
        <v>1139152.7177307964</v>
      </c>
      <c r="J78" s="283">
        <v>23145.953000000001</v>
      </c>
      <c r="K78" s="44">
        <v>266838.35283807764</v>
      </c>
      <c r="L78" s="44"/>
      <c r="M78" s="45">
        <v>172495.10170913173</v>
      </c>
      <c r="N78" s="43"/>
      <c r="O78" s="44">
        <v>208766.23786651806</v>
      </c>
      <c r="P78" s="44"/>
      <c r="Q78" s="45">
        <v>15125.179642115056</v>
      </c>
      <c r="R78" s="43"/>
      <c r="S78" s="44">
        <v>283500.85839035572</v>
      </c>
      <c r="T78" s="44"/>
      <c r="U78" s="45">
        <v>200586.73770237906</v>
      </c>
      <c r="V78" s="43"/>
      <c r="W78" s="44">
        <v>119817.08672139455</v>
      </c>
      <c r="X78" s="44"/>
      <c r="Y78" s="45">
        <v>773647.80342388141</v>
      </c>
      <c r="Z78" s="283">
        <v>23335.602999999999</v>
      </c>
      <c r="AA78" s="44">
        <v>291206.85335235804</v>
      </c>
      <c r="AB78" s="43"/>
      <c r="AC78" s="44">
        <v>75242.277673256714</v>
      </c>
      <c r="AD78" s="43"/>
    </row>
    <row r="79" spans="1:30" ht="13.15" x14ac:dyDescent="0.4">
      <c r="A79" s="128" t="s">
        <v>1928</v>
      </c>
      <c r="B79" s="232"/>
      <c r="C79" s="144"/>
      <c r="D79" s="145"/>
      <c r="E79" s="145"/>
      <c r="F79" s="144"/>
      <c r="G79" s="232"/>
      <c r="H79" s="144"/>
      <c r="I79" s="145"/>
      <c r="J79" s="144"/>
      <c r="K79" s="145"/>
      <c r="L79" s="145"/>
      <c r="M79" s="232"/>
      <c r="N79" s="144"/>
      <c r="O79" s="145"/>
      <c r="P79" s="145"/>
      <c r="Q79" s="232"/>
      <c r="R79" s="144"/>
      <c r="S79" s="145"/>
      <c r="T79" s="145"/>
      <c r="U79" s="232"/>
      <c r="V79" s="144"/>
      <c r="W79" s="145"/>
      <c r="X79" s="145"/>
      <c r="Y79" s="232"/>
      <c r="Z79" s="144"/>
      <c r="AA79" s="145"/>
      <c r="AB79" s="144"/>
      <c r="AC79" s="145"/>
      <c r="AD79" s="144"/>
    </row>
    <row r="80" spans="1:30" x14ac:dyDescent="0.35">
      <c r="A80" s="59" t="s">
        <v>1525</v>
      </c>
      <c r="B80" s="232">
        <v>2.0204317609622091</v>
      </c>
      <c r="C80" s="144"/>
      <c r="D80" s="145">
        <v>1.3578623851533802</v>
      </c>
      <c r="E80" s="145">
        <v>0</v>
      </c>
      <c r="F80" s="144">
        <v>-3.6961836901507832</v>
      </c>
      <c r="G80" s="232">
        <v>7.2177727687295912E-2</v>
      </c>
      <c r="H80" s="144">
        <v>0</v>
      </c>
      <c r="I80" s="145">
        <v>4.7005736265361096</v>
      </c>
      <c r="J80" s="144">
        <v>0</v>
      </c>
      <c r="K80" s="145">
        <v>0.79158851987082468</v>
      </c>
      <c r="L80" s="145">
        <v>0</v>
      </c>
      <c r="M80" s="232">
        <v>-4.3734425026530938E-2</v>
      </c>
      <c r="N80" s="144"/>
      <c r="O80" s="145">
        <v>1.132571636854286</v>
      </c>
      <c r="P80" s="145"/>
      <c r="Q80" s="232">
        <v>4.4806347208553754E-2</v>
      </c>
      <c r="R80" s="144"/>
      <c r="S80" s="145">
        <v>1.5005838626137415</v>
      </c>
      <c r="T80" s="145"/>
      <c r="U80" s="232">
        <v>0.74573626203327381</v>
      </c>
      <c r="V80" s="144"/>
      <c r="W80" s="145">
        <v>0.9217514725413265</v>
      </c>
      <c r="X80" s="145"/>
      <c r="Y80" s="232">
        <v>6.0659597961377889</v>
      </c>
      <c r="Z80" s="144">
        <v>0</v>
      </c>
      <c r="AA80" s="145">
        <v>2.4474648742539511</v>
      </c>
      <c r="AB80" s="144">
        <v>0</v>
      </c>
      <c r="AC80" s="145">
        <v>0.57883797829232131</v>
      </c>
      <c r="AD80" s="144">
        <v>0</v>
      </c>
    </row>
    <row r="81" spans="1:30" x14ac:dyDescent="0.35">
      <c r="A81" s="59" t="s">
        <v>1524</v>
      </c>
      <c r="B81" s="232">
        <v>12.537296880502174</v>
      </c>
      <c r="C81" s="144"/>
      <c r="D81" s="145">
        <v>3.6152970428238755</v>
      </c>
      <c r="E81" s="145">
        <v>0</v>
      </c>
      <c r="F81" s="144">
        <v>-3.5638677076824528</v>
      </c>
      <c r="G81" s="232">
        <v>0.53779803544219029</v>
      </c>
      <c r="H81" s="144">
        <v>0</v>
      </c>
      <c r="I81" s="145">
        <v>19.845243872058326</v>
      </c>
      <c r="J81" s="144">
        <v>0</v>
      </c>
      <c r="K81" s="145">
        <v>5.78780116023818</v>
      </c>
      <c r="L81" s="145">
        <v>0</v>
      </c>
      <c r="M81" s="232">
        <v>-0.34227676403259349</v>
      </c>
      <c r="N81" s="144"/>
      <c r="O81" s="145">
        <v>7.7261880724698209</v>
      </c>
      <c r="P81" s="145"/>
      <c r="Q81" s="232">
        <v>0.35066590040594131</v>
      </c>
      <c r="R81" s="144"/>
      <c r="S81" s="145">
        <v>11.743952009049696</v>
      </c>
      <c r="T81" s="145"/>
      <c r="U81" s="232">
        <v>5.83632217493812</v>
      </c>
      <c r="V81" s="144"/>
      <c r="W81" s="145">
        <v>7.2138621022760141</v>
      </c>
      <c r="X81" s="145"/>
      <c r="Y81" s="232">
        <v>45.324406331834005</v>
      </c>
      <c r="Z81" s="144">
        <v>0</v>
      </c>
      <c r="AA81" s="145">
        <v>15.257820838639004</v>
      </c>
      <c r="AB81" s="144">
        <v>0</v>
      </c>
      <c r="AC81" s="145">
        <v>4.530133641607855</v>
      </c>
      <c r="AD81" s="144">
        <v>0</v>
      </c>
    </row>
    <row r="82" spans="1:30" x14ac:dyDescent="0.35">
      <c r="A82" s="59" t="s">
        <v>1523</v>
      </c>
      <c r="B82" s="232">
        <v>31.802389775529111</v>
      </c>
      <c r="C82" s="144"/>
      <c r="D82" s="145">
        <v>15.562919649843856</v>
      </c>
      <c r="E82" s="145">
        <v>0</v>
      </c>
      <c r="F82" s="144">
        <v>-6.5110236855697288</v>
      </c>
      <c r="G82" s="232">
        <v>1.4045396872505378</v>
      </c>
      <c r="H82" s="144">
        <v>0</v>
      </c>
      <c r="I82" s="145">
        <v>48.459823210969979</v>
      </c>
      <c r="J82" s="144">
        <v>0</v>
      </c>
      <c r="K82" s="145">
        <v>15.01858632280357</v>
      </c>
      <c r="L82" s="145">
        <v>0</v>
      </c>
      <c r="M82" s="232">
        <v>-0.89642272099382658</v>
      </c>
      <c r="N82" s="144"/>
      <c r="O82" s="145">
        <v>17.649509402343366</v>
      </c>
      <c r="P82" s="145"/>
      <c r="Q82" s="232">
        <v>0.91839386611622409</v>
      </c>
      <c r="R82" s="144"/>
      <c r="S82" s="145">
        <v>30.757406056844548</v>
      </c>
      <c r="T82" s="145"/>
      <c r="U82" s="232">
        <v>15.285325661652085</v>
      </c>
      <c r="V82" s="144"/>
      <c r="W82" s="145">
        <v>18.893102232264642</v>
      </c>
      <c r="X82" s="145"/>
      <c r="Y82" s="232">
        <v>113.81991443237369</v>
      </c>
      <c r="Z82" s="144">
        <v>0</v>
      </c>
      <c r="AA82" s="145">
        <v>31.10449844142034</v>
      </c>
      <c r="AB82" s="144">
        <v>0</v>
      </c>
      <c r="AC82" s="145">
        <v>11.864418366094762</v>
      </c>
      <c r="AD82" s="144">
        <v>0</v>
      </c>
    </row>
    <row r="83" spans="1:30" x14ac:dyDescent="0.35">
      <c r="A83" s="59" t="s">
        <v>1522</v>
      </c>
      <c r="B83" s="232">
        <v>3.8597612765901697</v>
      </c>
      <c r="C83" s="144"/>
      <c r="D83" s="145">
        <v>0.96999091967659534</v>
      </c>
      <c r="E83" s="145">
        <v>0</v>
      </c>
      <c r="F83" s="144">
        <v>-0.9579861043582717</v>
      </c>
      <c r="G83" s="232">
        <v>0.17303457053498031</v>
      </c>
      <c r="H83" s="144">
        <v>0</v>
      </c>
      <c r="I83" s="145">
        <v>5.8813100095347473</v>
      </c>
      <c r="J83" s="144">
        <v>0</v>
      </c>
      <c r="K83" s="145">
        <v>1.8181728178489793</v>
      </c>
      <c r="L83" s="145">
        <v>0</v>
      </c>
      <c r="M83" s="232">
        <v>-0.11047353432853732</v>
      </c>
      <c r="N83" s="144"/>
      <c r="O83" s="145">
        <v>1.9170639925992377</v>
      </c>
      <c r="P83" s="145"/>
      <c r="Q83" s="232">
        <v>0.11318121899345243</v>
      </c>
      <c r="R83" s="144"/>
      <c r="S83" s="145">
        <v>3.7904877624146902</v>
      </c>
      <c r="T83" s="145"/>
      <c r="U83" s="232">
        <v>1.8837362213814559</v>
      </c>
      <c r="V83" s="144"/>
      <c r="W83" s="145">
        <v>2.3283521592521379</v>
      </c>
      <c r="X83" s="145"/>
      <c r="Y83" s="232">
        <v>13.539452648971814</v>
      </c>
      <c r="Z83" s="144">
        <v>0</v>
      </c>
      <c r="AA83" s="145">
        <v>2.9494280276572411</v>
      </c>
      <c r="AB83" s="144">
        <v>0</v>
      </c>
      <c r="AC83" s="145">
        <v>1.4621497190541703</v>
      </c>
      <c r="AD83" s="144">
        <v>0</v>
      </c>
    </row>
    <row r="84" spans="1:30" x14ac:dyDescent="0.35">
      <c r="A84" s="59" t="s">
        <v>1521</v>
      </c>
      <c r="B84" s="232">
        <v>2.848555637261672</v>
      </c>
      <c r="C84" s="144"/>
      <c r="D84" s="145">
        <v>0.79009041541793179</v>
      </c>
      <c r="E84" s="145">
        <v>0</v>
      </c>
      <c r="F84" s="144">
        <v>-0.75975399489106799</v>
      </c>
      <c r="G84" s="232">
        <v>0.12740634218301108</v>
      </c>
      <c r="H84" s="144">
        <v>0</v>
      </c>
      <c r="I84" s="145">
        <v>4.3763750552458553</v>
      </c>
      <c r="J84" s="144">
        <v>0</v>
      </c>
      <c r="K84" s="145">
        <v>1.3397523856436608</v>
      </c>
      <c r="L84" s="145">
        <v>0</v>
      </c>
      <c r="M84" s="232">
        <v>-8.1317017013455103E-2</v>
      </c>
      <c r="N84" s="144"/>
      <c r="O84" s="145">
        <v>1.4124071911845375</v>
      </c>
      <c r="P84" s="145"/>
      <c r="Q84" s="232">
        <v>8.331008115594174E-2</v>
      </c>
      <c r="R84" s="144"/>
      <c r="S84" s="145">
        <v>2.7900904930670536</v>
      </c>
      <c r="T84" s="145"/>
      <c r="U84" s="232">
        <v>1.3865747239279587</v>
      </c>
      <c r="V84" s="144"/>
      <c r="W84" s="145">
        <v>1.7138462465060509</v>
      </c>
      <c r="X84" s="145"/>
      <c r="Y84" s="232">
        <v>9.9685357912526253</v>
      </c>
      <c r="Z84" s="144">
        <v>0</v>
      </c>
      <c r="AA84" s="145">
        <v>2.1754610379769925</v>
      </c>
      <c r="AB84" s="144">
        <v>0</v>
      </c>
      <c r="AC84" s="145">
        <v>1.0762546369427881</v>
      </c>
      <c r="AD84" s="144">
        <v>0</v>
      </c>
    </row>
    <row r="85" spans="1:30" x14ac:dyDescent="0.35">
      <c r="A85" s="59" t="s">
        <v>1520</v>
      </c>
      <c r="B85" s="232">
        <v>126.74165372867442</v>
      </c>
      <c r="C85" s="144"/>
      <c r="D85" s="145">
        <v>18.813602452598921</v>
      </c>
      <c r="E85" s="145">
        <v>0</v>
      </c>
      <c r="F85" s="144">
        <v>-7.4918924541600225</v>
      </c>
      <c r="G85" s="232">
        <v>5.7853175227254789</v>
      </c>
      <c r="H85" s="144">
        <v>0</v>
      </c>
      <c r="I85" s="145">
        <v>180.62339889972512</v>
      </c>
      <c r="J85" s="144">
        <v>0</v>
      </c>
      <c r="K85" s="145">
        <v>60.640343153316046</v>
      </c>
      <c r="L85" s="145">
        <v>0</v>
      </c>
      <c r="M85" s="232">
        <v>-3.7059165951539494</v>
      </c>
      <c r="N85" s="144"/>
      <c r="O85" s="145">
        <v>64.157531363571238</v>
      </c>
      <c r="P85" s="145"/>
      <c r="Q85" s="232">
        <v>3.7967478842508595</v>
      </c>
      <c r="R85" s="144"/>
      <c r="S85" s="145">
        <v>127.15472160676504</v>
      </c>
      <c r="T85" s="145"/>
      <c r="U85" s="232">
        <v>63.191327824720652</v>
      </c>
      <c r="V85" s="144"/>
      <c r="W85" s="145">
        <v>78.106299022480769</v>
      </c>
      <c r="X85" s="145"/>
      <c r="Y85" s="232">
        <v>453.904168521298</v>
      </c>
      <c r="Z85" s="144">
        <v>0</v>
      </c>
      <c r="AA85" s="145">
        <v>98.420781863466189</v>
      </c>
      <c r="AB85" s="144">
        <v>0</v>
      </c>
      <c r="AC85" s="145">
        <v>49.048896112331683</v>
      </c>
      <c r="AD85" s="144">
        <v>0</v>
      </c>
    </row>
    <row r="86" spans="1:30" x14ac:dyDescent="0.35">
      <c r="A86" s="59" t="s">
        <v>1519</v>
      </c>
      <c r="B86" s="232">
        <v>0.17480445719902776</v>
      </c>
      <c r="C86" s="144"/>
      <c r="D86" s="145">
        <v>6.1284405608195591E-2</v>
      </c>
      <c r="E86" s="145">
        <v>0</v>
      </c>
      <c r="F86" s="144">
        <v>-0.10763468001965432</v>
      </c>
      <c r="G86" s="232">
        <v>7.6272799104591324E-3</v>
      </c>
      <c r="H86" s="144">
        <v>0</v>
      </c>
      <c r="I86" s="145">
        <v>0.29039708875526832</v>
      </c>
      <c r="J86" s="144">
        <v>0</v>
      </c>
      <c r="K86" s="145">
        <v>8.0389503924017322E-2</v>
      </c>
      <c r="L86" s="145">
        <v>0</v>
      </c>
      <c r="M86" s="232">
        <v>-4.8445695046750812E-3</v>
      </c>
      <c r="N86" s="144"/>
      <c r="O86" s="145">
        <v>8.5268386346877459E-2</v>
      </c>
      <c r="P86" s="145"/>
      <c r="Q86" s="232">
        <v>4.9633089533190778E-3</v>
      </c>
      <c r="R86" s="144"/>
      <c r="S86" s="145">
        <v>0.16622335415673151</v>
      </c>
      <c r="T86" s="145"/>
      <c r="U86" s="232">
        <v>8.2607034421628769E-2</v>
      </c>
      <c r="V86" s="144"/>
      <c r="W86" s="145">
        <v>0.10210467090979539</v>
      </c>
      <c r="X86" s="145"/>
      <c r="Y86" s="232">
        <v>0.59600929993203955</v>
      </c>
      <c r="Z86" s="144">
        <v>0</v>
      </c>
      <c r="AA86" s="145">
        <v>0.13345038606820553</v>
      </c>
      <c r="AB86" s="144">
        <v>0</v>
      </c>
      <c r="AC86" s="145">
        <v>6.411930226775843E-2</v>
      </c>
      <c r="AD86" s="144">
        <v>0</v>
      </c>
    </row>
    <row r="87" spans="1:30" x14ac:dyDescent="0.35">
      <c r="A87" s="57" t="s">
        <v>1518</v>
      </c>
      <c r="B87" s="231">
        <v>0.43873392715198783</v>
      </c>
      <c r="C87" s="141"/>
      <c r="D87" s="142">
        <v>0.33676456969722657</v>
      </c>
      <c r="E87" s="142">
        <v>0</v>
      </c>
      <c r="F87" s="141">
        <v>-0.14846123743980041</v>
      </c>
      <c r="G87" s="231">
        <v>1.9543004159031947E-2</v>
      </c>
      <c r="H87" s="141">
        <v>0</v>
      </c>
      <c r="I87" s="142">
        <v>0.682433091186055</v>
      </c>
      <c r="J87" s="141">
        <v>0</v>
      </c>
      <c r="K87" s="142">
        <v>0.20853855387374878</v>
      </c>
      <c r="L87" s="142">
        <v>0</v>
      </c>
      <c r="M87" s="231">
        <v>-1.2464790830783126E-2</v>
      </c>
      <c r="N87" s="141"/>
      <c r="O87" s="142">
        <v>0.21781054676065897</v>
      </c>
      <c r="P87" s="142"/>
      <c r="Q87" s="231">
        <v>1.2770300409968986E-2</v>
      </c>
      <c r="R87" s="141"/>
      <c r="S87" s="142">
        <v>0.42768285990228666</v>
      </c>
      <c r="T87" s="142"/>
      <c r="U87" s="231">
        <v>0.21254301423960342</v>
      </c>
      <c r="V87" s="141"/>
      <c r="W87" s="142">
        <v>0.26270927984588904</v>
      </c>
      <c r="X87" s="142"/>
      <c r="Y87" s="231">
        <v>1.5305115599508656</v>
      </c>
      <c r="Z87" s="141">
        <v>0</v>
      </c>
      <c r="AA87" s="142">
        <v>0.33794805664679345</v>
      </c>
      <c r="AB87" s="141">
        <v>0</v>
      </c>
      <c r="AC87" s="142">
        <v>0.16497517276036491</v>
      </c>
      <c r="AD87" s="141">
        <v>0</v>
      </c>
    </row>
    <row r="89" spans="1:30" ht="13.9" x14ac:dyDescent="0.4">
      <c r="A89" s="72" t="s">
        <v>1927</v>
      </c>
    </row>
    <row r="90" spans="1:30" ht="13.15" x14ac:dyDescent="0.4">
      <c r="A90" s="41" t="s">
        <v>2009</v>
      </c>
    </row>
    <row r="91" spans="1:30" ht="52.5" x14ac:dyDescent="0.4">
      <c r="A91" s="61"/>
      <c r="B91" s="504" t="s">
        <v>2008</v>
      </c>
      <c r="C91" s="502" t="s">
        <v>2007</v>
      </c>
      <c r="D91" s="503" t="s">
        <v>1323</v>
      </c>
      <c r="E91" s="502" t="s">
        <v>1423</v>
      </c>
      <c r="F91" s="502" t="s">
        <v>1322</v>
      </c>
      <c r="G91" s="501" t="s">
        <v>1422</v>
      </c>
      <c r="H91" s="502" t="s">
        <v>1321</v>
      </c>
      <c r="I91" s="2191" t="s">
        <v>2006</v>
      </c>
      <c r="J91" s="2192"/>
      <c r="K91" s="2191" t="s">
        <v>2005</v>
      </c>
      <c r="L91" s="2192"/>
      <c r="M91" s="2191" t="s">
        <v>2004</v>
      </c>
      <c r="N91" s="2192"/>
      <c r="O91" s="2191" t="s">
        <v>2003</v>
      </c>
      <c r="P91" s="2192"/>
      <c r="Q91" s="2191" t="s">
        <v>2002</v>
      </c>
      <c r="R91" s="2192"/>
      <c r="S91" s="2191" t="s">
        <v>2001</v>
      </c>
      <c r="T91" s="2192"/>
      <c r="U91" s="2191" t="s">
        <v>322</v>
      </c>
      <c r="V91" s="2192"/>
    </row>
    <row r="92" spans="1:30" x14ac:dyDescent="0.35">
      <c r="A92" s="91" t="s">
        <v>1997</v>
      </c>
      <c r="B92" s="70"/>
      <c r="C92" s="69"/>
      <c r="D92" s="91">
        <v>1.0309999999999999</v>
      </c>
      <c r="E92" s="69">
        <v>1.0149999999999999</v>
      </c>
      <c r="F92" s="69">
        <v>1.054</v>
      </c>
      <c r="G92" s="437">
        <v>1</v>
      </c>
      <c r="H92" s="440">
        <v>1</v>
      </c>
      <c r="I92" s="91"/>
      <c r="J92" s="68"/>
      <c r="K92" s="69"/>
      <c r="L92" s="69"/>
      <c r="M92" s="91"/>
      <c r="N92" s="68"/>
      <c r="O92" s="69"/>
      <c r="P92" s="69"/>
      <c r="Q92" s="91"/>
      <c r="R92" s="68"/>
      <c r="S92" s="69"/>
      <c r="T92" s="69"/>
      <c r="U92" s="91"/>
      <c r="V92" s="68"/>
    </row>
    <row r="93" spans="1:30" ht="13.15" x14ac:dyDescent="0.4">
      <c r="A93" s="128" t="s">
        <v>1996</v>
      </c>
      <c r="B93" s="50"/>
      <c r="D93" s="59"/>
      <c r="G93" s="99"/>
      <c r="I93" s="110" t="s">
        <v>1873</v>
      </c>
      <c r="J93" s="215" t="s">
        <v>1872</v>
      </c>
      <c r="K93" s="216" t="s">
        <v>1873</v>
      </c>
      <c r="L93" s="216" t="s">
        <v>1872</v>
      </c>
      <c r="M93" s="110" t="s">
        <v>1873</v>
      </c>
      <c r="N93" s="215" t="s">
        <v>1872</v>
      </c>
      <c r="O93" s="216" t="s">
        <v>1873</v>
      </c>
      <c r="P93" s="216" t="s">
        <v>1872</v>
      </c>
      <c r="Q93" s="110" t="s">
        <v>1873</v>
      </c>
      <c r="R93" s="215" t="s">
        <v>1872</v>
      </c>
      <c r="S93" s="216" t="s">
        <v>1873</v>
      </c>
      <c r="T93" s="216" t="s">
        <v>1872</v>
      </c>
      <c r="U93" s="110" t="s">
        <v>1873</v>
      </c>
      <c r="V93" s="215" t="s">
        <v>1872</v>
      </c>
    </row>
    <row r="94" spans="1:30" x14ac:dyDescent="0.35">
      <c r="A94" s="59" t="s">
        <v>1537</v>
      </c>
      <c r="B94" s="146">
        <v>29.733656619092027</v>
      </c>
      <c r="C94" s="145">
        <v>18.415779150615798</v>
      </c>
      <c r="D94" s="232">
        <v>3.4786380064153217</v>
      </c>
      <c r="E94" s="145">
        <v>0.1190326541443073</v>
      </c>
      <c r="F94" s="145">
        <v>3.4905648932204736</v>
      </c>
      <c r="G94" s="144">
        <v>2.7347741025883874</v>
      </c>
      <c r="H94" s="145">
        <v>1.7821978693329914</v>
      </c>
      <c r="I94" s="232">
        <v>22.921318559505014</v>
      </c>
      <c r="J94" s="144">
        <v>1.1460659279752507E-2</v>
      </c>
      <c r="K94" s="145">
        <v>27.16899774469849</v>
      </c>
      <c r="L94" s="145">
        <v>1.3584498872349245E-2</v>
      </c>
      <c r="M94" s="232">
        <v>29.903771847286876</v>
      </c>
      <c r="N94" s="144">
        <v>1.4951885923643438E-2</v>
      </c>
      <c r="O94" s="145">
        <v>24.703516428838007</v>
      </c>
      <c r="P94" s="145">
        <v>1.2351758214419004E-2</v>
      </c>
      <c r="Q94" s="232">
        <v>28.951195614031484</v>
      </c>
      <c r="R94" s="144">
        <v>1.4475597807015742E-2</v>
      </c>
      <c r="S94" s="145">
        <v>31.685969716619866</v>
      </c>
      <c r="T94" s="145">
        <v>1.5842984858309934E-2</v>
      </c>
      <c r="U94" s="232">
        <v>29.690330219303515</v>
      </c>
      <c r="V94" s="144">
        <v>1.4845165109651757E-2</v>
      </c>
    </row>
    <row r="95" spans="1:30" x14ac:dyDescent="0.35">
      <c r="A95" s="59" t="s">
        <v>1536</v>
      </c>
      <c r="B95" s="146">
        <v>29.60125974408578</v>
      </c>
      <c r="C95" s="145">
        <v>17.295942315103101</v>
      </c>
      <c r="D95" s="232">
        <v>3.1981999757448802</v>
      </c>
      <c r="E95" s="145">
        <v>0.10241635308471894</v>
      </c>
      <c r="F95" s="145">
        <v>2.9340778153899056</v>
      </c>
      <c r="G95" s="144">
        <v>2.4582200201205495</v>
      </c>
      <c r="H95" s="145">
        <v>1.4403690677443257</v>
      </c>
      <c r="I95" s="232">
        <v>21.44818760324014</v>
      </c>
      <c r="J95" s="144">
        <v>1.0724093801620069E-2</v>
      </c>
      <c r="K95" s="145">
        <v>25.100031409147356</v>
      </c>
      <c r="L95" s="145">
        <v>1.2550015704573678E-2</v>
      </c>
      <c r="M95" s="232">
        <v>27.558251429267905</v>
      </c>
      <c r="N95" s="144">
        <v>1.3779125714633952E-2</v>
      </c>
      <c r="O95" s="145">
        <v>22.888556670984464</v>
      </c>
      <c r="P95" s="145">
        <v>1.1444278335492232E-2</v>
      </c>
      <c r="Q95" s="232">
        <v>26.54040047689168</v>
      </c>
      <c r="R95" s="144">
        <v>1.3270200238445841E-2</v>
      </c>
      <c r="S95" s="145">
        <v>28.998620497012229</v>
      </c>
      <c r="T95" s="145">
        <v>1.4499310248506115E-2</v>
      </c>
      <c r="U95" s="232">
        <v>27.23987700587735</v>
      </c>
      <c r="V95" s="144">
        <v>1.3619938502938675E-2</v>
      </c>
    </row>
    <row r="96" spans="1:30" x14ac:dyDescent="0.35">
      <c r="A96" s="59" t="s">
        <v>1535</v>
      </c>
      <c r="B96" s="146">
        <v>28.91998763040225</v>
      </c>
      <c r="C96" s="145">
        <v>15.015627284694075</v>
      </c>
      <c r="D96" s="232">
        <v>2.0020725397773331</v>
      </c>
      <c r="E96" s="145">
        <v>7.2523364624561049E-2</v>
      </c>
      <c r="F96" s="145">
        <v>1.9329487592804551</v>
      </c>
      <c r="G96" s="144">
        <v>1.9606948509403617</v>
      </c>
      <c r="H96" s="145">
        <v>0.82541364628226888</v>
      </c>
      <c r="I96" s="232">
        <v>17.81795539897594</v>
      </c>
      <c r="J96" s="144">
        <v>8.9089776994879695E-3</v>
      </c>
      <c r="K96" s="145">
        <v>20.360224980173413</v>
      </c>
      <c r="L96" s="145">
        <v>1.0180112490086707E-2</v>
      </c>
      <c r="M96" s="232">
        <v>22.320919831113773</v>
      </c>
      <c r="N96" s="144">
        <v>1.1160459915556887E-2</v>
      </c>
      <c r="O96" s="145">
        <v>18.643369045258208</v>
      </c>
      <c r="P96" s="145">
        <v>9.3216845226291034E-3</v>
      </c>
      <c r="Q96" s="232">
        <v>21.185638626455681</v>
      </c>
      <c r="R96" s="144">
        <v>1.0592819313227841E-2</v>
      </c>
      <c r="S96" s="145">
        <v>23.146333477396041</v>
      </c>
      <c r="T96" s="145">
        <v>1.157316673869802E-2</v>
      </c>
      <c r="U96" s="232">
        <v>21.821715265685349</v>
      </c>
      <c r="V96" s="144">
        <v>1.0910857632842674E-2</v>
      </c>
    </row>
    <row r="97" spans="1:22" x14ac:dyDescent="0.35">
      <c r="A97" s="59" t="s">
        <v>1534</v>
      </c>
      <c r="B97" s="146">
        <v>0.27449778713022094</v>
      </c>
      <c r="C97" s="145">
        <v>2.5274844117962871</v>
      </c>
      <c r="D97" s="232">
        <v>1.1705971643678104</v>
      </c>
      <c r="E97" s="145">
        <v>2.8529549913211709E-2</v>
      </c>
      <c r="F97" s="145">
        <v>0.95546691204557588</v>
      </c>
      <c r="G97" s="144">
        <v>0.47483272427323908</v>
      </c>
      <c r="H97" s="145">
        <v>0.58690690676127955</v>
      </c>
      <c r="I97" s="232">
        <v>3.8616096467369401</v>
      </c>
      <c r="J97" s="144">
        <v>1.9308048233684701E-3</v>
      </c>
      <c r="K97" s="145">
        <v>4.9358279189935663</v>
      </c>
      <c r="L97" s="145">
        <v>2.4679139594967832E-3</v>
      </c>
      <c r="M97" s="232">
        <v>5.4106606432668052</v>
      </c>
      <c r="N97" s="144">
        <v>2.7053303216334028E-3</v>
      </c>
      <c r="O97" s="145">
        <v>4.4485165534982194</v>
      </c>
      <c r="P97" s="145">
        <v>2.2242582767491095E-3</v>
      </c>
      <c r="Q97" s="232">
        <v>5.5227348257548456</v>
      </c>
      <c r="R97" s="144">
        <v>2.761367412877423E-3</v>
      </c>
      <c r="S97" s="145">
        <v>5.9975675500280845</v>
      </c>
      <c r="T97" s="145">
        <v>2.9987837750140422E-3</v>
      </c>
      <c r="U97" s="232">
        <v>5.5800247394240952</v>
      </c>
      <c r="V97" s="144">
        <v>2.7900123697120476E-3</v>
      </c>
    </row>
    <row r="98" spans="1:22" x14ac:dyDescent="0.35">
      <c r="A98" s="59" t="s">
        <v>1533</v>
      </c>
      <c r="B98" s="146">
        <v>0.4067743265533052</v>
      </c>
      <c r="C98" s="145">
        <v>-0.24716938138726202</v>
      </c>
      <c r="D98" s="232">
        <v>2.5530271599736833E-2</v>
      </c>
      <c r="E98" s="145">
        <v>1.363438546946183E-3</v>
      </c>
      <c r="F98" s="145">
        <v>4.5662144063874685E-2</v>
      </c>
      <c r="G98" s="144">
        <v>2.2692444906948796E-2</v>
      </c>
      <c r="H98" s="145">
        <v>2.804851470077728E-2</v>
      </c>
      <c r="I98" s="232">
        <v>-0.23137744247274203</v>
      </c>
      <c r="J98" s="144">
        <v>-1.1568872123637101E-4</v>
      </c>
      <c r="K98" s="145">
        <v>-0.19602149001962421</v>
      </c>
      <c r="L98" s="145">
        <v>-9.8010745009812107E-5</v>
      </c>
      <c r="M98" s="232">
        <v>-0.17332904511267541</v>
      </c>
      <c r="N98" s="144">
        <v>-8.6664522556337701E-5</v>
      </c>
      <c r="O98" s="145">
        <v>-0.20332892777196476</v>
      </c>
      <c r="P98" s="145">
        <v>-1.0166446388598238E-4</v>
      </c>
      <c r="Q98" s="232">
        <v>-0.16797297531884692</v>
      </c>
      <c r="R98" s="144">
        <v>-8.3986487659423455E-5</v>
      </c>
      <c r="S98" s="145">
        <v>-0.14528053041189815</v>
      </c>
      <c r="T98" s="145">
        <v>-7.2640265205949075E-5</v>
      </c>
      <c r="U98" s="232">
        <v>-0.16186299923209943</v>
      </c>
      <c r="V98" s="144">
        <v>-8.0931499616049719E-5</v>
      </c>
    </row>
    <row r="99" spans="1:22" x14ac:dyDescent="0.35">
      <c r="A99" s="91" t="s">
        <v>1995</v>
      </c>
      <c r="B99" s="383">
        <v>157.42233838306913</v>
      </c>
      <c r="C99" s="291">
        <v>4050.3685699863395</v>
      </c>
      <c r="D99" s="290">
        <v>142.4523111127356</v>
      </c>
      <c r="E99" s="291">
        <v>8.3340287581770287</v>
      </c>
      <c r="F99" s="291">
        <v>279.11021192756033</v>
      </c>
      <c r="G99" s="289">
        <v>138.7077465804727</v>
      </c>
      <c r="H99" s="291">
        <v>171.44676499281616</v>
      </c>
      <c r="I99" s="290">
        <v>4391.4920701283572</v>
      </c>
      <c r="J99" s="289">
        <v>2.1957460350641784</v>
      </c>
      <c r="K99" s="291">
        <v>4830.6851632617181</v>
      </c>
      <c r="L99" s="291">
        <v>2.4153425816308589</v>
      </c>
      <c r="M99" s="290">
        <v>4969.3929098421904</v>
      </c>
      <c r="N99" s="289">
        <v>2.484696454921095</v>
      </c>
      <c r="O99" s="291">
        <v>4562.9388351211737</v>
      </c>
      <c r="P99" s="291">
        <v>2.281469417560587</v>
      </c>
      <c r="Q99" s="290">
        <v>5002.1319282545346</v>
      </c>
      <c r="R99" s="289">
        <v>2.5010659641272674</v>
      </c>
      <c r="S99" s="291">
        <v>5140.8396748350069</v>
      </c>
      <c r="T99" s="291">
        <v>2.5704198374175036</v>
      </c>
      <c r="U99" s="290">
        <v>4992.409418058518</v>
      </c>
      <c r="V99" s="289">
        <v>2.496204709029259</v>
      </c>
    </row>
    <row r="100" spans="1:22" ht="13.15" x14ac:dyDescent="0.4">
      <c r="A100" s="131" t="s">
        <v>1994</v>
      </c>
      <c r="B100" s="241"/>
      <c r="C100" s="157"/>
      <c r="D100" s="237"/>
      <c r="E100" s="157"/>
      <c r="F100" s="157"/>
      <c r="G100" s="156"/>
      <c r="H100" s="157"/>
      <c r="I100" s="237"/>
      <c r="J100" s="156"/>
      <c r="K100" s="157"/>
      <c r="L100" s="157"/>
      <c r="M100" s="237"/>
      <c r="N100" s="156"/>
      <c r="O100" s="157"/>
      <c r="P100" s="157"/>
      <c r="Q100" s="237"/>
      <c r="R100" s="156"/>
      <c r="S100" s="157"/>
      <c r="T100" s="157"/>
      <c r="U100" s="237"/>
      <c r="V100" s="156"/>
    </row>
    <row r="101" spans="1:22" x14ac:dyDescent="0.35">
      <c r="A101" s="59" t="s">
        <v>1525</v>
      </c>
      <c r="B101" s="146">
        <v>2668.5304165610369</v>
      </c>
      <c r="C101" s="145">
        <v>2834.239950703462</v>
      </c>
      <c r="D101" s="232">
        <v>20.345293418686595</v>
      </c>
      <c r="E101" s="145">
        <v>0.66948074162899607</v>
      </c>
      <c r="F101" s="145">
        <v>21.80629478962755</v>
      </c>
      <c r="G101" s="144">
        <v>12.077055061035709</v>
      </c>
      <c r="H101" s="145">
        <v>12.945991101971138</v>
      </c>
      <c r="I101" s="232">
        <v>2987.2528635744939</v>
      </c>
      <c r="J101" s="144">
        <v>1.493626431787247</v>
      </c>
      <c r="K101" s="145">
        <v>3123.1450982436568</v>
      </c>
      <c r="L101" s="145">
        <v>1.5615725491218284</v>
      </c>
      <c r="M101" s="232">
        <v>3135.2221533046927</v>
      </c>
      <c r="N101" s="144">
        <v>1.5676110766523463</v>
      </c>
      <c r="O101" s="145">
        <v>3000.1988546764651</v>
      </c>
      <c r="P101" s="145">
        <v>1.5000994273382326</v>
      </c>
      <c r="Q101" s="232">
        <v>3136.091089345628</v>
      </c>
      <c r="R101" s="144">
        <v>1.5680455446728141</v>
      </c>
      <c r="S101" s="145">
        <v>3148.1681444066639</v>
      </c>
      <c r="T101" s="145">
        <v>1.574084072203332</v>
      </c>
      <c r="U101" s="232">
        <v>3114.6399067569346</v>
      </c>
      <c r="V101" s="144">
        <v>1.5573199533784672</v>
      </c>
    </row>
    <row r="102" spans="1:22" x14ac:dyDescent="0.35">
      <c r="A102" s="59" t="s">
        <v>1524</v>
      </c>
      <c r="B102" s="146">
        <v>677.42398176009567</v>
      </c>
      <c r="C102" s="145">
        <v>20158.302322186995</v>
      </c>
      <c r="D102" s="232">
        <v>84.946119785614528</v>
      </c>
      <c r="E102" s="145">
        <v>2.2759498393909494</v>
      </c>
      <c r="F102" s="145">
        <v>68.284333841229426</v>
      </c>
      <c r="G102" s="144">
        <v>49.944281425461327</v>
      </c>
      <c r="H102" s="145">
        <v>36.15079861347126</v>
      </c>
      <c r="I102" s="232">
        <v>21183.4541010092</v>
      </c>
      <c r="J102" s="144">
        <v>10.5917270505046</v>
      </c>
      <c r="K102" s="145">
        <v>22063.320561755496</v>
      </c>
      <c r="L102" s="145">
        <v>11.031660280877748</v>
      </c>
      <c r="M102" s="232">
        <v>22113.264843180958</v>
      </c>
      <c r="N102" s="144">
        <v>11.056632421590479</v>
      </c>
      <c r="O102" s="145">
        <v>21219.604899622671</v>
      </c>
      <c r="P102" s="145">
        <v>10.609802449811335</v>
      </c>
      <c r="Q102" s="232">
        <v>22099.471360368967</v>
      </c>
      <c r="R102" s="144">
        <v>11.049735680184483</v>
      </c>
      <c r="S102" s="145">
        <v>22149.415641794429</v>
      </c>
      <c r="T102" s="145">
        <v>11.074707820897215</v>
      </c>
      <c r="U102" s="232">
        <v>21943.686217443927</v>
      </c>
      <c r="V102" s="144">
        <v>10.971843108721963</v>
      </c>
    </row>
    <row r="103" spans="1:22" x14ac:dyDescent="0.35">
      <c r="A103" s="59" t="s">
        <v>1563</v>
      </c>
      <c r="B103" s="146">
        <v>1059.6093043685014</v>
      </c>
      <c r="C103" s="145">
        <v>1729.8680294582298</v>
      </c>
      <c r="D103" s="232">
        <v>312.51983523179319</v>
      </c>
      <c r="E103" s="145">
        <v>8.1054760972511666</v>
      </c>
      <c r="F103" s="145">
        <v>215.03102393258155</v>
      </c>
      <c r="G103" s="144">
        <v>255.59210718463245</v>
      </c>
      <c r="H103" s="145">
        <v>81.19165976703006</v>
      </c>
      <c r="I103" s="232">
        <v>2135.5594563045274</v>
      </c>
      <c r="J103" s="144">
        <v>1.0677797281522636</v>
      </c>
      <c r="K103" s="145">
        <v>2424.2295413103839</v>
      </c>
      <c r="L103" s="145">
        <v>1.212114770655192</v>
      </c>
      <c r="M103" s="232">
        <v>2679.8216484950162</v>
      </c>
      <c r="N103" s="144">
        <v>1.3399108242475082</v>
      </c>
      <c r="O103" s="145">
        <v>2216.7511160715576</v>
      </c>
      <c r="P103" s="145">
        <v>1.1083755580357788</v>
      </c>
      <c r="Q103" s="232">
        <v>2505.421201077414</v>
      </c>
      <c r="R103" s="144">
        <v>1.252710600538707</v>
      </c>
      <c r="S103" s="145">
        <v>2761.0133082620464</v>
      </c>
      <c r="T103" s="145">
        <v>1.3805066541310231</v>
      </c>
      <c r="U103" s="232">
        <v>2597.3558932375886</v>
      </c>
      <c r="V103" s="144">
        <v>1.2986779466187943</v>
      </c>
    </row>
    <row r="104" spans="1:22" x14ac:dyDescent="0.35">
      <c r="A104" s="59" t="s">
        <v>1522</v>
      </c>
      <c r="B104" s="146">
        <v>1345.3643044150815</v>
      </c>
      <c r="C104" s="145">
        <v>1423.5404073565626</v>
      </c>
      <c r="D104" s="232">
        <v>17.763951787777494</v>
      </c>
      <c r="E104" s="145">
        <v>0.79219873632978799</v>
      </c>
      <c r="F104" s="145">
        <v>25.316146435121293</v>
      </c>
      <c r="G104" s="144">
        <v>15.031432628340514</v>
      </c>
      <c r="H104" s="145">
        <v>14.664032236521997</v>
      </c>
      <c r="I104" s="232">
        <v>1508.5078221853087</v>
      </c>
      <c r="J104" s="144">
        <v>0.75425391109265438</v>
      </c>
      <c r="K104" s="145">
        <v>1590.9637002432237</v>
      </c>
      <c r="L104" s="145">
        <v>0.79548185012161188</v>
      </c>
      <c r="M104" s="232">
        <v>1605.9951328715642</v>
      </c>
      <c r="N104" s="144">
        <v>0.80299756643578213</v>
      </c>
      <c r="O104" s="145">
        <v>1523.1718544218306</v>
      </c>
      <c r="P104" s="145">
        <v>0.76158592721091534</v>
      </c>
      <c r="Q104" s="232">
        <v>1605.6277324797456</v>
      </c>
      <c r="R104" s="144">
        <v>0.80281386623987283</v>
      </c>
      <c r="S104" s="145">
        <v>1620.6591651080862</v>
      </c>
      <c r="T104" s="145">
        <v>0.81032958255404308</v>
      </c>
      <c r="U104" s="232">
        <v>1597.2183389212732</v>
      </c>
      <c r="V104" s="144">
        <v>0.79860916946063665</v>
      </c>
    </row>
    <row r="105" spans="1:22" x14ac:dyDescent="0.35">
      <c r="A105" s="59" t="s">
        <v>1521</v>
      </c>
      <c r="B105" s="146">
        <v>599.60404834484564</v>
      </c>
      <c r="C105" s="145">
        <v>670.71230764830284</v>
      </c>
      <c r="D105" s="232">
        <v>10.947409869505986</v>
      </c>
      <c r="E105" s="145">
        <v>0.38961022962555109</v>
      </c>
      <c r="F105" s="145">
        <v>11.833283982124616</v>
      </c>
      <c r="G105" s="144">
        <v>8.3309344437917687</v>
      </c>
      <c r="H105" s="145">
        <v>6.3820237265312123</v>
      </c>
      <c r="I105" s="232">
        <v>713.37818627035529</v>
      </c>
      <c r="J105" s="144">
        <v>0.35668909313517766</v>
      </c>
      <c r="K105" s="145">
        <v>752.21748018599578</v>
      </c>
      <c r="L105" s="145">
        <v>0.37610874009299788</v>
      </c>
      <c r="M105" s="232">
        <v>760.54841462978754</v>
      </c>
      <c r="N105" s="144">
        <v>0.38027420731489375</v>
      </c>
      <c r="O105" s="145">
        <v>719.76020999688649</v>
      </c>
      <c r="P105" s="145">
        <v>0.35988010499844325</v>
      </c>
      <c r="Q105" s="232">
        <v>758.59950391252698</v>
      </c>
      <c r="R105" s="144">
        <v>0.37929975195626348</v>
      </c>
      <c r="S105" s="145">
        <v>766.93043835631875</v>
      </c>
      <c r="T105" s="145">
        <v>0.3834652191781594</v>
      </c>
      <c r="U105" s="232">
        <v>755.38631169371433</v>
      </c>
      <c r="V105" s="144">
        <v>0.37769315584685714</v>
      </c>
    </row>
    <row r="106" spans="1:22" x14ac:dyDescent="0.35">
      <c r="A106" s="59" t="s">
        <v>1520</v>
      </c>
      <c r="B106" s="146">
        <v>3785.3646608752806</v>
      </c>
      <c r="C106" s="145">
        <v>7686.9798235775825</v>
      </c>
      <c r="D106" s="232">
        <v>1087.9030850505242</v>
      </c>
      <c r="E106" s="145">
        <v>32.722759123716152</v>
      </c>
      <c r="F106" s="145">
        <v>759.1126578490489</v>
      </c>
      <c r="G106" s="144">
        <v>1056.4680042729503</v>
      </c>
      <c r="H106" s="145">
        <v>220.49172555738892</v>
      </c>
      <c r="I106" s="232">
        <v>9181.099731530112</v>
      </c>
      <c r="J106" s="144">
        <v>4.5905498657650563</v>
      </c>
      <c r="K106" s="145">
        <v>10259.003622298647</v>
      </c>
      <c r="L106" s="145">
        <v>5.129501811149324</v>
      </c>
      <c r="M106" s="232">
        <v>11315.471626571598</v>
      </c>
      <c r="N106" s="144">
        <v>5.6577358132857993</v>
      </c>
      <c r="O106" s="145">
        <v>9401.5914570875011</v>
      </c>
      <c r="P106" s="145">
        <v>4.7007957285437509</v>
      </c>
      <c r="Q106" s="232">
        <v>10479.495347856036</v>
      </c>
      <c r="R106" s="144">
        <v>5.2397476739280187</v>
      </c>
      <c r="S106" s="145">
        <v>11535.963352128987</v>
      </c>
      <c r="T106" s="145">
        <v>5.7679816760644931</v>
      </c>
      <c r="U106" s="232">
        <v>10883.8254934591</v>
      </c>
      <c r="V106" s="144">
        <v>5.4419127467295505</v>
      </c>
    </row>
    <row r="107" spans="1:22" x14ac:dyDescent="0.35">
      <c r="A107" s="59" t="s">
        <v>1519</v>
      </c>
      <c r="B107" s="146">
        <v>3.5391912231366294</v>
      </c>
      <c r="C107" s="145">
        <v>7.6425430392006346</v>
      </c>
      <c r="D107" s="232">
        <v>1.3700708971813995</v>
      </c>
      <c r="E107" s="145">
        <v>3.6076215651044796E-2</v>
      </c>
      <c r="F107" s="145">
        <v>1.0077444842080769</v>
      </c>
      <c r="G107" s="144">
        <v>0.90509868477109734</v>
      </c>
      <c r="H107" s="145">
        <v>0.47271161247710464</v>
      </c>
      <c r="I107" s="232">
        <v>9.4243519778072553</v>
      </c>
      <c r="J107" s="144">
        <v>4.7121759889036273E-3</v>
      </c>
      <c r="K107" s="145">
        <v>10.756752024417581</v>
      </c>
      <c r="L107" s="145">
        <v>5.3783760122087911E-3</v>
      </c>
      <c r="M107" s="232">
        <v>11.661850709188679</v>
      </c>
      <c r="N107" s="144">
        <v>5.830925354594339E-3</v>
      </c>
      <c r="O107" s="145">
        <v>9.8970635902843593</v>
      </c>
      <c r="P107" s="145">
        <v>4.9485317951421795E-3</v>
      </c>
      <c r="Q107" s="232">
        <v>11.229463636894685</v>
      </c>
      <c r="R107" s="144">
        <v>5.6147318184473424E-3</v>
      </c>
      <c r="S107" s="145">
        <v>12.134562321665783</v>
      </c>
      <c r="T107" s="145">
        <v>6.0672811608328912E-3</v>
      </c>
      <c r="U107" s="232">
        <v>11.489576240553024</v>
      </c>
      <c r="V107" s="144">
        <v>5.7447881202765125E-3</v>
      </c>
    </row>
    <row r="108" spans="1:22" x14ac:dyDescent="0.35">
      <c r="A108" s="59" t="s">
        <v>1518</v>
      </c>
      <c r="B108" s="146">
        <v>10.175091171231708</v>
      </c>
      <c r="C108" s="145">
        <v>15.86767193655221</v>
      </c>
      <c r="D108" s="232">
        <v>3.3385737492054952</v>
      </c>
      <c r="E108" s="145">
        <v>8.7919345804498672E-2</v>
      </c>
      <c r="F108" s="145">
        <v>2.4244665471702795</v>
      </c>
      <c r="G108" s="144">
        <v>2.2535658449806153</v>
      </c>
      <c r="H108" s="145">
        <v>1.1097448265457535</v>
      </c>
      <c r="I108" s="232">
        <v>20.081535014332179</v>
      </c>
      <c r="J108" s="144">
        <v>1.0040767507166089E-2</v>
      </c>
      <c r="K108" s="145">
        <v>23.186309812813807</v>
      </c>
      <c r="L108" s="145">
        <v>1.1593154906406904E-2</v>
      </c>
      <c r="M108" s="232">
        <v>25.439875657794424</v>
      </c>
      <c r="N108" s="144">
        <v>1.2719937828897212E-2</v>
      </c>
      <c r="O108" s="145">
        <v>21.191279840877932</v>
      </c>
      <c r="P108" s="145">
        <v>1.0595639920438967E-2</v>
      </c>
      <c r="Q108" s="232">
        <v>24.296054639359561</v>
      </c>
      <c r="R108" s="144">
        <v>1.214802731967978E-2</v>
      </c>
      <c r="S108" s="145">
        <v>26.549620484340178</v>
      </c>
      <c r="T108" s="145">
        <v>1.3274810242170089E-2</v>
      </c>
      <c r="U108" s="232">
        <v>24.988579532178349</v>
      </c>
      <c r="V108" s="144">
        <v>1.2494289766089175E-2</v>
      </c>
    </row>
    <row r="109" spans="1:22" x14ac:dyDescent="0.35">
      <c r="A109" s="59" t="s">
        <v>1531</v>
      </c>
      <c r="B109" s="146">
        <v>3898.3545831292481</v>
      </c>
      <c r="C109" s="145">
        <v>3141.0589067383698</v>
      </c>
      <c r="D109" s="232">
        <v>327.94257043307664</v>
      </c>
      <c r="E109" s="145">
        <v>11.252002701975167</v>
      </c>
      <c r="F109" s="145">
        <v>373.52138142062273</v>
      </c>
      <c r="G109" s="144">
        <v>186.3202904770489</v>
      </c>
      <c r="H109" s="145">
        <v>228.68669943764658</v>
      </c>
      <c r="I109" s="232">
        <v>3631.1219205315151</v>
      </c>
      <c r="J109" s="144">
        <v>1.8155609602657576</v>
      </c>
      <c r="K109" s="145">
        <v>4132.4798970780967</v>
      </c>
      <c r="L109" s="145">
        <v>2.0662399485390481</v>
      </c>
      <c r="M109" s="232">
        <v>4318.8001875551454</v>
      </c>
      <c r="N109" s="144">
        <v>2.1594000937775726</v>
      </c>
      <c r="O109" s="145">
        <v>3859.8086199691616</v>
      </c>
      <c r="P109" s="145">
        <v>1.9299043099845807</v>
      </c>
      <c r="Q109" s="232">
        <v>4361.1665965157435</v>
      </c>
      <c r="R109" s="144">
        <v>2.1805832982578717</v>
      </c>
      <c r="S109" s="145">
        <v>4547.4868869927923</v>
      </c>
      <c r="T109" s="145">
        <v>2.2737434434963961</v>
      </c>
      <c r="U109" s="232">
        <v>4366.7995971696901</v>
      </c>
      <c r="V109" s="144">
        <v>2.183399798584845</v>
      </c>
    </row>
    <row r="110" spans="1:22" x14ac:dyDescent="0.35">
      <c r="A110" s="59" t="s">
        <v>1530</v>
      </c>
      <c r="B110" s="146">
        <v>2.7777580914368207</v>
      </c>
      <c r="C110" s="145">
        <v>12.448597453966663</v>
      </c>
      <c r="D110" s="232">
        <v>3.5384007429728168</v>
      </c>
      <c r="E110" s="145">
        <v>0.10609235057828592</v>
      </c>
      <c r="F110" s="145">
        <v>3.3070042951715419</v>
      </c>
      <c r="G110" s="144">
        <v>2.1397338206952612</v>
      </c>
      <c r="H110" s="145">
        <v>1.8517705111034757</v>
      </c>
      <c r="I110" s="232">
        <v>16.724590639360915</v>
      </c>
      <c r="J110" s="144">
        <v>8.3622953196804579E-3</v>
      </c>
      <c r="K110" s="145">
        <v>20.564045867956658</v>
      </c>
      <c r="L110" s="145">
        <v>1.0282022933978329E-2</v>
      </c>
      <c r="M110" s="232">
        <v>22.70377968865192</v>
      </c>
      <c r="N110" s="144">
        <v>1.135188984432596E-2</v>
      </c>
      <c r="O110" s="145">
        <v>18.57636115046439</v>
      </c>
      <c r="P110" s="145">
        <v>9.2881805752321953E-3</v>
      </c>
      <c r="Q110" s="232">
        <v>22.415816379060132</v>
      </c>
      <c r="R110" s="144">
        <v>1.1207908189530066E-2</v>
      </c>
      <c r="S110" s="145">
        <v>24.555550199755395</v>
      </c>
      <c r="T110" s="145">
        <v>1.2277775099877698E-2</v>
      </c>
      <c r="U110" s="232">
        <v>22.885252150602199</v>
      </c>
      <c r="V110" s="144">
        <v>1.14426260753011E-2</v>
      </c>
    </row>
    <row r="111" spans="1:22" x14ac:dyDescent="0.35">
      <c r="A111" s="59" t="s">
        <v>1529</v>
      </c>
      <c r="B111" s="155">
        <v>360003.18375880335</v>
      </c>
      <c r="C111" s="48">
        <v>1833947.7900441941</v>
      </c>
      <c r="D111" s="49">
        <v>208766.23786651806</v>
      </c>
      <c r="E111" s="48">
        <v>15125.179642115056</v>
      </c>
      <c r="F111" s="48">
        <v>283500.85839035572</v>
      </c>
      <c r="G111" s="47">
        <v>200586.73770237906</v>
      </c>
      <c r="H111" s="48">
        <v>119817.08672139455</v>
      </c>
      <c r="I111" s="49">
        <v>2146185.0851852279</v>
      </c>
      <c r="J111" s="47">
        <v>1073.0925425926139</v>
      </c>
      <c r="K111" s="48">
        <v>2496443.8539001504</v>
      </c>
      <c r="L111" s="48">
        <v>1248.2219269500752</v>
      </c>
      <c r="M111" s="49">
        <v>2697030.5916025294</v>
      </c>
      <c r="N111" s="47">
        <v>1348.5152958012648</v>
      </c>
      <c r="O111" s="48">
        <v>2266002.1719066226</v>
      </c>
      <c r="P111" s="48">
        <v>1133.0010859533113</v>
      </c>
      <c r="Q111" s="49">
        <v>2616260.9406215451</v>
      </c>
      <c r="R111" s="47">
        <v>1308.1304703107726</v>
      </c>
      <c r="S111" s="48">
        <v>2816847.6783239241</v>
      </c>
      <c r="T111" s="48">
        <v>1408.423839161962</v>
      </c>
      <c r="U111" s="49">
        <v>2662307.2095687194</v>
      </c>
      <c r="V111" s="47">
        <v>1331.1536047843597</v>
      </c>
    </row>
    <row r="112" spans="1:22" x14ac:dyDescent="0.35">
      <c r="A112" s="59" t="s">
        <v>1528</v>
      </c>
      <c r="B112" s="155">
        <v>369384.62695699401</v>
      </c>
      <c r="C112" s="48">
        <v>1874458.503444466</v>
      </c>
      <c r="D112" s="49">
        <v>208963.13412400277</v>
      </c>
      <c r="E112" s="48">
        <v>15130.842683031224</v>
      </c>
      <c r="F112" s="48">
        <v>283676.12529562914</v>
      </c>
      <c r="G112" s="47">
        <v>200702.86172813072</v>
      </c>
      <c r="H112" s="48">
        <v>119914.24345815019</v>
      </c>
      <c r="I112" s="49">
        <v>2188783.6416259068</v>
      </c>
      <c r="J112" s="47">
        <v>1094.3918208129535</v>
      </c>
      <c r="K112" s="48">
        <v>2540848.58843434</v>
      </c>
      <c r="L112" s="48">
        <v>1270.42429421717</v>
      </c>
      <c r="M112" s="49">
        <v>2741551.4501624703</v>
      </c>
      <c r="N112" s="47">
        <v>1370.7757250812351</v>
      </c>
      <c r="O112" s="48">
        <v>2308697.8850840572</v>
      </c>
      <c r="P112" s="48">
        <v>1154.3489425420287</v>
      </c>
      <c r="Q112" s="49">
        <v>2660762.8318924899</v>
      </c>
      <c r="R112" s="47">
        <v>1330.3814159462449</v>
      </c>
      <c r="S112" s="48">
        <v>2861465.6936206212</v>
      </c>
      <c r="T112" s="48">
        <v>1430.7328468103105</v>
      </c>
      <c r="U112" s="49">
        <v>2706497.439429333</v>
      </c>
      <c r="V112" s="47">
        <v>1353.2487197146665</v>
      </c>
    </row>
    <row r="113" spans="1:22" x14ac:dyDescent="0.35">
      <c r="A113" s="57" t="s">
        <v>1527</v>
      </c>
      <c r="B113" s="45">
        <v>487071.37034510222</v>
      </c>
      <c r="C113" s="152">
        <v>1971989.1489719183</v>
      </c>
      <c r="D113" s="45">
        <v>219739.08743388287</v>
      </c>
      <c r="E113" s="44">
        <v>15496.517236993725</v>
      </c>
      <c r="F113" s="44">
        <v>295758.12287646829</v>
      </c>
      <c r="G113" s="43">
        <v>206859.49990492643</v>
      </c>
      <c r="H113" s="44">
        <v>127265.56362672201</v>
      </c>
      <c r="I113" s="45">
        <v>2302149.315761283</v>
      </c>
      <c r="J113" s="43">
        <v>1151.0746578806416</v>
      </c>
      <c r="K113" s="44">
        <v>2670272.4575016913</v>
      </c>
      <c r="L113" s="44">
        <v>1335.1362287508457</v>
      </c>
      <c r="M113" s="45">
        <v>2877131.9574066177</v>
      </c>
      <c r="N113" s="43">
        <v>1438.5659787033087</v>
      </c>
      <c r="O113" s="44">
        <v>2429414.879388005</v>
      </c>
      <c r="P113" s="44">
        <v>1214.7074396940027</v>
      </c>
      <c r="Q113" s="45">
        <v>2797538.0211284133</v>
      </c>
      <c r="R113" s="43">
        <v>1398.7690105642066</v>
      </c>
      <c r="S113" s="44">
        <v>3004397.5210333401</v>
      </c>
      <c r="T113" s="44">
        <v>1502.1987605166701</v>
      </c>
      <c r="U113" s="45">
        <v>2843566.0191643331</v>
      </c>
      <c r="V113" s="43">
        <v>1421.7830095821666</v>
      </c>
    </row>
    <row r="114" spans="1:22" ht="13.15" x14ac:dyDescent="0.4">
      <c r="A114" s="128" t="s">
        <v>1993</v>
      </c>
      <c r="B114" s="146"/>
      <c r="C114" s="145"/>
      <c r="D114" s="232"/>
      <c r="E114" s="145"/>
      <c r="F114" s="145"/>
      <c r="G114" s="144"/>
      <c r="H114" s="145"/>
      <c r="I114" s="232"/>
      <c r="J114" s="144"/>
      <c r="K114" s="145"/>
      <c r="L114" s="145"/>
      <c r="M114" s="232"/>
      <c r="N114" s="144"/>
      <c r="O114" s="145"/>
      <c r="P114" s="145"/>
      <c r="Q114" s="232"/>
      <c r="R114" s="144"/>
      <c r="S114" s="145"/>
      <c r="T114" s="145"/>
      <c r="U114" s="232"/>
      <c r="V114" s="144"/>
    </row>
    <row r="115" spans="1:22" x14ac:dyDescent="0.35">
      <c r="A115" s="59" t="s">
        <v>1525</v>
      </c>
      <c r="B115" s="146">
        <v>2.2754232019077008</v>
      </c>
      <c r="C115" s="145">
        <v>3.1822841440702963</v>
      </c>
      <c r="D115" s="232">
        <v>1.132571636854286</v>
      </c>
      <c r="E115" s="145">
        <v>4.4806347208553754E-2</v>
      </c>
      <c r="F115" s="145">
        <v>1.5005838626137415</v>
      </c>
      <c r="G115" s="144">
        <v>0.74573626203327381</v>
      </c>
      <c r="H115" s="145">
        <v>0.9217514725413265</v>
      </c>
      <c r="I115" s="232">
        <v>4.5245155354401758</v>
      </c>
      <c r="J115" s="144">
        <v>2.2622577677200877E-3</v>
      </c>
      <c r="K115" s="145">
        <v>6.1524198078316044</v>
      </c>
      <c r="L115" s="145">
        <v>3.0762099039158023E-3</v>
      </c>
      <c r="M115" s="232">
        <v>6.8981560698648785</v>
      </c>
      <c r="N115" s="144">
        <v>3.4490780349324393E-3</v>
      </c>
      <c r="O115" s="145">
        <v>5.4462670079815023</v>
      </c>
      <c r="P115" s="145">
        <v>2.723133503990751E-3</v>
      </c>
      <c r="Q115" s="232">
        <v>7.0741712803729309</v>
      </c>
      <c r="R115" s="144">
        <v>3.5370856401864656E-3</v>
      </c>
      <c r="S115" s="145">
        <v>7.819907542406205</v>
      </c>
      <c r="T115" s="145">
        <v>3.9099537712031021E-3</v>
      </c>
      <c r="U115" s="232">
        <v>7.1766337635942383</v>
      </c>
      <c r="V115" s="144">
        <v>3.5883168817971191E-3</v>
      </c>
    </row>
    <row r="116" spans="1:22" x14ac:dyDescent="0.35">
      <c r="A116" s="59" t="s">
        <v>1524</v>
      </c>
      <c r="B116" s="146">
        <v>6.0582949074773298</v>
      </c>
      <c r="C116" s="145">
        <v>25.879995638847529</v>
      </c>
      <c r="D116" s="232">
        <v>7.7261880724698209</v>
      </c>
      <c r="E116" s="145">
        <v>0.35066590040594131</v>
      </c>
      <c r="F116" s="145">
        <v>11.743952009049696</v>
      </c>
      <c r="G116" s="144">
        <v>5.83632217493812</v>
      </c>
      <c r="H116" s="145">
        <v>7.2138621022760141</v>
      </c>
      <c r="I116" s="232">
        <v>35.275256430169385</v>
      </c>
      <c r="J116" s="144">
        <v>1.7637628215084692E-2</v>
      </c>
      <c r="K116" s="145">
        <v>48.010472618281881</v>
      </c>
      <c r="L116" s="145">
        <v>2.4005236309140941E-2</v>
      </c>
      <c r="M116" s="232">
        <v>53.846794793219999</v>
      </c>
      <c r="N116" s="144">
        <v>2.692339739661E-2</v>
      </c>
      <c r="O116" s="145">
        <v>42.489118532445403</v>
      </c>
      <c r="P116" s="145">
        <v>2.12445592662227E-2</v>
      </c>
      <c r="Q116" s="232">
        <v>55.224334720557891</v>
      </c>
      <c r="R116" s="144">
        <v>2.7612167360278946E-2</v>
      </c>
      <c r="S116" s="145">
        <v>61.06065689549601</v>
      </c>
      <c r="T116" s="145">
        <v>3.0530328447748004E-2</v>
      </c>
      <c r="U116" s="232">
        <v>56.02732476547915</v>
      </c>
      <c r="V116" s="144">
        <v>2.8013662382739574E-2</v>
      </c>
    </row>
    <row r="117" spans="1:22" x14ac:dyDescent="0.35">
      <c r="A117" s="59" t="s">
        <v>1523</v>
      </c>
      <c r="B117" s="146">
        <v>26.079394236021876</v>
      </c>
      <c r="C117" s="145">
        <v>73.038422464304389</v>
      </c>
      <c r="D117" s="232">
        <v>17.649509402343366</v>
      </c>
      <c r="E117" s="145">
        <v>0.91839386611622409</v>
      </c>
      <c r="F117" s="145">
        <v>30.757406056844548</v>
      </c>
      <c r="G117" s="144">
        <v>15.285325661652085</v>
      </c>
      <c r="H117" s="145">
        <v>18.893102232264642</v>
      </c>
      <c r="I117" s="232">
        <v>95.264798673603025</v>
      </c>
      <c r="J117" s="144">
        <v>4.7632399336801509E-2</v>
      </c>
      <c r="K117" s="145">
        <v>128.72894365988998</v>
      </c>
      <c r="L117" s="145">
        <v>6.4364471829944994E-2</v>
      </c>
      <c r="M117" s="232">
        <v>144.01426932154206</v>
      </c>
      <c r="N117" s="144">
        <v>7.2007134660771036E-2</v>
      </c>
      <c r="O117" s="145">
        <v>114.15790090586766</v>
      </c>
      <c r="P117" s="145">
        <v>5.7078950452933833E-2</v>
      </c>
      <c r="Q117" s="232">
        <v>147.62204589215463</v>
      </c>
      <c r="R117" s="144">
        <v>7.3811022946077318E-2</v>
      </c>
      <c r="S117" s="145">
        <v>162.90737155380671</v>
      </c>
      <c r="T117" s="145">
        <v>8.1453685776903359E-2</v>
      </c>
      <c r="U117" s="232">
        <v>149.70173604571602</v>
      </c>
      <c r="V117" s="144">
        <v>7.4850868022858008E-2</v>
      </c>
    </row>
    <row r="118" spans="1:22" x14ac:dyDescent="0.35">
      <c r="A118" s="59" t="s">
        <v>1522</v>
      </c>
      <c r="B118" s="146">
        <v>1.62545178981639</v>
      </c>
      <c r="C118" s="145">
        <v>7.7740486789084926</v>
      </c>
      <c r="D118" s="232">
        <v>1.9170639925992377</v>
      </c>
      <c r="E118" s="145">
        <v>0.11318121899345243</v>
      </c>
      <c r="F118" s="145">
        <v>3.7904877624146902</v>
      </c>
      <c r="G118" s="144">
        <v>1.8837362213814559</v>
      </c>
      <c r="H118" s="145">
        <v>2.3283521592521379</v>
      </c>
      <c r="I118" s="232">
        <v>10.194271022255652</v>
      </c>
      <c r="J118" s="144">
        <v>5.0971355111278259E-3</v>
      </c>
      <c r="K118" s="145">
        <v>14.258929784718495</v>
      </c>
      <c r="L118" s="145">
        <v>7.1294648923592475E-3</v>
      </c>
      <c r="M118" s="232">
        <v>16.142666006099951</v>
      </c>
      <c r="N118" s="144">
        <v>8.0713330030499752E-3</v>
      </c>
      <c r="O118" s="145">
        <v>12.52262318150779</v>
      </c>
      <c r="P118" s="145">
        <v>6.2613115907538949E-3</v>
      </c>
      <c r="Q118" s="232">
        <v>16.587281943970634</v>
      </c>
      <c r="R118" s="144">
        <v>8.2936409719853166E-3</v>
      </c>
      <c r="S118" s="145">
        <v>18.471018165352088</v>
      </c>
      <c r="T118" s="145">
        <v>9.2355090826760442E-3</v>
      </c>
      <c r="U118" s="232">
        <v>16.856113205477087</v>
      </c>
      <c r="V118" s="144">
        <v>8.4280566027385428E-3</v>
      </c>
    </row>
    <row r="119" spans="1:22" x14ac:dyDescent="0.35">
      <c r="A119" s="59" t="s">
        <v>1521</v>
      </c>
      <c r="B119" s="146">
        <v>1.3239854660557393</v>
      </c>
      <c r="C119" s="145">
        <v>5.7925531865859359</v>
      </c>
      <c r="D119" s="232">
        <v>1.4124071911845375</v>
      </c>
      <c r="E119" s="145">
        <v>8.331008115594174E-2</v>
      </c>
      <c r="F119" s="145">
        <v>2.7900904930670536</v>
      </c>
      <c r="G119" s="144">
        <v>1.3865747239279587</v>
      </c>
      <c r="H119" s="145">
        <v>1.7138462465060509</v>
      </c>
      <c r="I119" s="232">
        <v>7.578607550608897</v>
      </c>
      <c r="J119" s="144">
        <v>3.7893037753044486E-3</v>
      </c>
      <c r="K119" s="145">
        <v>10.573384614055641</v>
      </c>
      <c r="L119" s="145">
        <v>5.2866923070278207E-3</v>
      </c>
      <c r="M119" s="232">
        <v>11.9599593379836</v>
      </c>
      <c r="N119" s="144">
        <v>5.9799796689918002E-3</v>
      </c>
      <c r="O119" s="145">
        <v>9.2924537971149483</v>
      </c>
      <c r="P119" s="145">
        <v>4.6462268985574739E-3</v>
      </c>
      <c r="Q119" s="232">
        <v>12.287230860561692</v>
      </c>
      <c r="R119" s="144">
        <v>6.1436154302808464E-3</v>
      </c>
      <c r="S119" s="145">
        <v>13.673805584489651</v>
      </c>
      <c r="T119" s="145">
        <v>6.8369027922448259E-3</v>
      </c>
      <c r="U119" s="232">
        <v>12.48450458508335</v>
      </c>
      <c r="V119" s="144">
        <v>6.2422522925416751E-3</v>
      </c>
    </row>
    <row r="120" spans="1:22" x14ac:dyDescent="0.35">
      <c r="A120" s="59" t="s">
        <v>1520</v>
      </c>
      <c r="B120" s="146">
        <v>31.52669077527738</v>
      </c>
      <c r="C120" s="145">
        <v>254.6648529790516</v>
      </c>
      <c r="D120" s="232">
        <v>64.157531363571238</v>
      </c>
      <c r="E120" s="145">
        <v>3.7967478842508595</v>
      </c>
      <c r="F120" s="145">
        <v>127.15472160676504</v>
      </c>
      <c r="G120" s="144">
        <v>63.191327824720652</v>
      </c>
      <c r="H120" s="145">
        <v>78.106299022480769</v>
      </c>
      <c r="I120" s="232">
        <v>335.41449759099891</v>
      </c>
      <c r="J120" s="144">
        <v>0.16770724879549945</v>
      </c>
      <c r="K120" s="145">
        <v>471.51443411012713</v>
      </c>
      <c r="L120" s="145">
        <v>0.23575721705506356</v>
      </c>
      <c r="M120" s="232">
        <v>534.70576193484783</v>
      </c>
      <c r="N120" s="144">
        <v>0.26735288096742393</v>
      </c>
      <c r="O120" s="145">
        <v>413.52079661347966</v>
      </c>
      <c r="P120" s="145">
        <v>0.20676039830673984</v>
      </c>
      <c r="Q120" s="232">
        <v>549.62073313260794</v>
      </c>
      <c r="R120" s="144">
        <v>0.27481036656630398</v>
      </c>
      <c r="S120" s="145">
        <v>612.81206095732864</v>
      </c>
      <c r="T120" s="145">
        <v>0.30640603047866433</v>
      </c>
      <c r="U120" s="232">
        <v>558.6920605662549</v>
      </c>
      <c r="V120" s="144">
        <v>0.27934603028312743</v>
      </c>
    </row>
    <row r="121" spans="1:22" x14ac:dyDescent="0.35">
      <c r="A121" s="59" t="s">
        <v>1519</v>
      </c>
      <c r="B121" s="146">
        <v>0.10269667969354571</v>
      </c>
      <c r="C121" s="145">
        <v>0.32721902867361097</v>
      </c>
      <c r="D121" s="232">
        <v>8.5268386346877459E-2</v>
      </c>
      <c r="E121" s="145">
        <v>4.9633089533190778E-3</v>
      </c>
      <c r="F121" s="145">
        <v>0.16622335415673151</v>
      </c>
      <c r="G121" s="144">
        <v>8.2607034421628769E-2</v>
      </c>
      <c r="H121" s="145">
        <v>0.10210467090979539</v>
      </c>
      <c r="I121" s="232">
        <v>0.43393398193632993</v>
      </c>
      <c r="J121" s="144">
        <v>2.1696699096816497E-4</v>
      </c>
      <c r="K121" s="145">
        <v>0.61167664413120781</v>
      </c>
      <c r="L121" s="145">
        <v>3.058383220656039E-4</v>
      </c>
      <c r="M121" s="232">
        <v>0.69428367855283657</v>
      </c>
      <c r="N121" s="144">
        <v>3.471418392764183E-4</v>
      </c>
      <c r="O121" s="145">
        <v>0.53603865284612529</v>
      </c>
      <c r="P121" s="145">
        <v>2.6801932642306266E-4</v>
      </c>
      <c r="Q121" s="232">
        <v>0.71378131504100317</v>
      </c>
      <c r="R121" s="144">
        <v>3.5689065752050159E-4</v>
      </c>
      <c r="S121" s="145">
        <v>0.79638834946263193</v>
      </c>
      <c r="T121" s="145">
        <v>3.9819417473131594E-4</v>
      </c>
      <c r="U121" s="232">
        <v>0.72567661990201804</v>
      </c>
      <c r="V121" s="144">
        <v>3.6283830995100902E-4</v>
      </c>
    </row>
    <row r="122" spans="1:22" x14ac:dyDescent="0.35">
      <c r="A122" s="57" t="s">
        <v>1518</v>
      </c>
      <c r="B122" s="143">
        <v>0.56432958438787251</v>
      </c>
      <c r="C122" s="142">
        <v>1.0863531906454789</v>
      </c>
      <c r="D122" s="231">
        <v>0.21781054676065897</v>
      </c>
      <c r="E122" s="142">
        <v>1.2770300409968986E-2</v>
      </c>
      <c r="F122" s="142">
        <v>0.42768285990228666</v>
      </c>
      <c r="G122" s="141">
        <v>0.21254301423960342</v>
      </c>
      <c r="H122" s="142">
        <v>0.26270927984588904</v>
      </c>
      <c r="I122" s="231">
        <v>1.3706785970208588</v>
      </c>
      <c r="J122" s="141">
        <v>6.8533929851042935E-4</v>
      </c>
      <c r="K122" s="142">
        <v>1.8377669432795063</v>
      </c>
      <c r="L122" s="142">
        <v>9.1888347163975319E-4</v>
      </c>
      <c r="M122" s="231">
        <v>2.0503099575191097</v>
      </c>
      <c r="N122" s="141">
        <v>1.0251549787595549E-3</v>
      </c>
      <c r="O122" s="142">
        <v>1.6333878768667478</v>
      </c>
      <c r="P122" s="142">
        <v>8.1669393843337393E-4</v>
      </c>
      <c r="Q122" s="231">
        <v>2.1004762231253955</v>
      </c>
      <c r="R122" s="141">
        <v>1.0502381115626977E-3</v>
      </c>
      <c r="S122" s="142">
        <v>2.3130192373649989</v>
      </c>
      <c r="T122" s="142">
        <v>1.1565096186824996E-3</v>
      </c>
      <c r="U122" s="231">
        <v>2.1290213045801041</v>
      </c>
      <c r="V122" s="141">
        <v>1.0645106522900521E-3</v>
      </c>
    </row>
    <row r="124" spans="1:22" ht="13.15" x14ac:dyDescent="0.4">
      <c r="A124" s="41" t="s">
        <v>2000</v>
      </c>
    </row>
    <row r="125" spans="1:22" ht="65.650000000000006" x14ac:dyDescent="0.4">
      <c r="A125" s="61"/>
      <c r="B125" s="503" t="s">
        <v>1331</v>
      </c>
      <c r="C125" s="502" t="s">
        <v>1330</v>
      </c>
      <c r="D125" s="501" t="s">
        <v>1310</v>
      </c>
      <c r="E125" s="502" t="s">
        <v>323</v>
      </c>
      <c r="F125" s="501"/>
    </row>
    <row r="126" spans="1:22" x14ac:dyDescent="0.35">
      <c r="A126" s="91" t="s">
        <v>1997</v>
      </c>
      <c r="B126" s="438"/>
      <c r="C126" s="440">
        <v>1.0429999999999999</v>
      </c>
      <c r="D126" s="437">
        <v>1</v>
      </c>
      <c r="E126" s="69"/>
      <c r="F126" s="68"/>
    </row>
    <row r="127" spans="1:22" ht="13.15" x14ac:dyDescent="0.4">
      <c r="A127" s="128" t="s">
        <v>1996</v>
      </c>
      <c r="B127" s="59"/>
      <c r="D127" s="99"/>
      <c r="E127" s="216" t="s">
        <v>1873</v>
      </c>
      <c r="F127" s="215" t="s">
        <v>1872</v>
      </c>
    </row>
    <row r="128" spans="1:22" x14ac:dyDescent="0.35">
      <c r="A128" s="59" t="s">
        <v>1905</v>
      </c>
      <c r="B128" s="232">
        <v>11.830511220314971</v>
      </c>
      <c r="C128" s="145">
        <v>4.6085695368888846</v>
      </c>
      <c r="D128" s="144">
        <v>1.1191778286585157</v>
      </c>
      <c r="E128" s="145">
        <v>18.066970568335911</v>
      </c>
      <c r="F128" s="144">
        <v>9.0334852841679556E-3</v>
      </c>
    </row>
    <row r="129" spans="1:6" x14ac:dyDescent="0.35">
      <c r="A129" s="59" t="s">
        <v>1536</v>
      </c>
      <c r="B129" s="232">
        <v>9.8446705492615312</v>
      </c>
      <c r="C129" s="145">
        <v>4.1790156518350514</v>
      </c>
      <c r="D129" s="144">
        <v>0.90451748004182386</v>
      </c>
      <c r="E129" s="145">
        <v>15.351524514756651</v>
      </c>
      <c r="F129" s="144">
        <v>7.6757622573783253E-3</v>
      </c>
    </row>
    <row r="130" spans="1:6" x14ac:dyDescent="0.35">
      <c r="A130" s="59" t="s">
        <v>1535</v>
      </c>
      <c r="B130" s="232">
        <v>4.9654057151162716</v>
      </c>
      <c r="C130" s="145">
        <v>1.0372403094283242</v>
      </c>
      <c r="D130" s="144">
        <v>0.51834011715940109</v>
      </c>
      <c r="E130" s="145">
        <v>6.7344985874539969</v>
      </c>
      <c r="F130" s="144">
        <v>3.3672492937269986E-3</v>
      </c>
    </row>
    <row r="131" spans="1:6" x14ac:dyDescent="0.35">
      <c r="A131" s="59" t="s">
        <v>1534</v>
      </c>
      <c r="B131" s="232">
        <v>4.7115585821136925</v>
      </c>
      <c r="C131" s="145">
        <v>3.0978997813893412</v>
      </c>
      <c r="D131" s="144">
        <v>0.36856356347211322</v>
      </c>
      <c r="E131" s="145">
        <v>8.3806189460060363</v>
      </c>
      <c r="F131" s="144">
        <v>4.1903094730030167E-3</v>
      </c>
    </row>
    <row r="132" spans="1:6" x14ac:dyDescent="0.35">
      <c r="A132" s="59" t="s">
        <v>1533</v>
      </c>
      <c r="B132" s="232">
        <v>0.167706252031567</v>
      </c>
      <c r="C132" s="145">
        <v>4.387556101738558E-2</v>
      </c>
      <c r="D132" s="144">
        <v>1.7613799410309543E-2</v>
      </c>
      <c r="E132" s="145">
        <v>0.2364069812966195</v>
      </c>
      <c r="F132" s="144">
        <v>1.1820349064830975E-4</v>
      </c>
    </row>
    <row r="133" spans="1:6" x14ac:dyDescent="0.35">
      <c r="A133" s="91" t="s">
        <v>1995</v>
      </c>
      <c r="B133" s="290">
        <v>999.40738827027167</v>
      </c>
      <c r="C133" s="291">
        <v>221.59965558754763</v>
      </c>
      <c r="D133" s="289">
        <v>107.66448634965541</v>
      </c>
      <c r="E133" s="291">
        <v>1371.6460479030964</v>
      </c>
      <c r="F133" s="433">
        <v>0.68582302395154815</v>
      </c>
    </row>
    <row r="134" spans="1:6" ht="13.15" x14ac:dyDescent="0.4">
      <c r="A134" s="131" t="s">
        <v>1994</v>
      </c>
      <c r="B134" s="237"/>
      <c r="C134" s="157"/>
      <c r="D134" s="156"/>
      <c r="E134" s="382" t="s">
        <v>1873</v>
      </c>
      <c r="F134" s="381" t="s">
        <v>1872</v>
      </c>
    </row>
    <row r="135" spans="1:6" x14ac:dyDescent="0.35">
      <c r="A135" s="59" t="s">
        <v>1525</v>
      </c>
      <c r="B135" s="232">
        <v>264.99296428706646</v>
      </c>
      <c r="C135" s="145">
        <v>43.949957551915276</v>
      </c>
      <c r="D135" s="144">
        <v>8.1297741741544964</v>
      </c>
      <c r="E135" s="145">
        <v>328.46739347748007</v>
      </c>
      <c r="F135" s="144">
        <v>0.16423369673874003</v>
      </c>
    </row>
    <row r="136" spans="1:6" x14ac:dyDescent="0.35">
      <c r="A136" s="59" t="s">
        <v>1524</v>
      </c>
      <c r="B136" s="232">
        <v>3283.928604897641</v>
      </c>
      <c r="C136" s="145">
        <v>162.15915728966348</v>
      </c>
      <c r="D136" s="144">
        <v>22.701840795959637</v>
      </c>
      <c r="E136" s="145">
        <v>3609.9985329938622</v>
      </c>
      <c r="F136" s="144">
        <v>1.8049992664969312</v>
      </c>
    </row>
    <row r="137" spans="1:6" x14ac:dyDescent="0.35">
      <c r="A137" s="59" t="s">
        <v>1563</v>
      </c>
      <c r="B137" s="232">
        <v>627.73904730454819</v>
      </c>
      <c r="C137" s="145">
        <v>266.47493313795775</v>
      </c>
      <c r="D137" s="144">
        <v>50.986429198938531</v>
      </c>
      <c r="E137" s="145">
        <v>972.19318867554</v>
      </c>
      <c r="F137" s="144">
        <v>0.48609659433777003</v>
      </c>
    </row>
    <row r="138" spans="1:6" x14ac:dyDescent="0.35">
      <c r="A138" s="59" t="s">
        <v>1522</v>
      </c>
      <c r="B138" s="232">
        <v>672.12888018280057</v>
      </c>
      <c r="C138" s="145">
        <v>26.947816567247131</v>
      </c>
      <c r="D138" s="144">
        <v>9.2086631009111368</v>
      </c>
      <c r="E138" s="145">
        <v>737.18690169881927</v>
      </c>
      <c r="F138" s="144">
        <v>0.36859345084940964</v>
      </c>
    </row>
    <row r="139" spans="1:6" x14ac:dyDescent="0.35">
      <c r="A139" s="59" t="s">
        <v>1521</v>
      </c>
      <c r="B139" s="232">
        <v>332.853929863644</v>
      </c>
      <c r="C139" s="145">
        <v>16.465202235756028</v>
      </c>
      <c r="D139" s="144">
        <v>4.0077589473157325</v>
      </c>
      <c r="E139" s="145">
        <v>367.6396100308524</v>
      </c>
      <c r="F139" s="144">
        <v>0.18381980501542619</v>
      </c>
    </row>
    <row r="140" spans="1:6" x14ac:dyDescent="0.35">
      <c r="A140" s="59" t="s">
        <v>1520</v>
      </c>
      <c r="B140" s="232">
        <v>1643.0661253552744</v>
      </c>
      <c r="C140" s="145">
        <v>301.7288634666163</v>
      </c>
      <c r="D140" s="144">
        <v>138.46355384705083</v>
      </c>
      <c r="E140" s="145">
        <v>2153.9103860592181</v>
      </c>
      <c r="F140" s="144">
        <v>1.0769551930296091</v>
      </c>
    </row>
    <row r="141" spans="1:6" x14ac:dyDescent="0.35">
      <c r="A141" s="59" t="s">
        <v>1519</v>
      </c>
      <c r="B141" s="232">
        <v>3.59010799872269</v>
      </c>
      <c r="C141" s="145">
        <v>2.1239957997266741</v>
      </c>
      <c r="D141" s="144">
        <v>0.29685163759722943</v>
      </c>
      <c r="E141" s="145">
        <v>6.1653300799916684</v>
      </c>
      <c r="F141" s="144">
        <v>3.0826650399958344E-3</v>
      </c>
    </row>
    <row r="142" spans="1:6" x14ac:dyDescent="0.35">
      <c r="A142" s="59" t="s">
        <v>1518</v>
      </c>
      <c r="B142" s="232">
        <v>8.4097618141529757</v>
      </c>
      <c r="C142" s="145">
        <v>4.9529128056308132</v>
      </c>
      <c r="D142" s="144">
        <v>0.69689332857486319</v>
      </c>
      <c r="E142" s="145">
        <v>14.421187706367229</v>
      </c>
      <c r="F142" s="144">
        <v>7.2105938531836144E-3</v>
      </c>
    </row>
    <row r="143" spans="1:6" x14ac:dyDescent="0.35">
      <c r="A143" s="59" t="s">
        <v>1531</v>
      </c>
      <c r="B143" s="232">
        <v>1592.3540192170863</v>
      </c>
      <c r="C143" s="145">
        <v>765.40115869197996</v>
      </c>
      <c r="D143" s="144">
        <v>143.60980232542693</v>
      </c>
      <c r="E143" s="145">
        <v>2569.8362030608278</v>
      </c>
      <c r="F143" s="144">
        <v>1.2849181015304139</v>
      </c>
    </row>
    <row r="144" spans="1:6" x14ac:dyDescent="0.35">
      <c r="A144" s="59" t="s">
        <v>1530</v>
      </c>
      <c r="B144" s="232">
        <v>13.330610098981637</v>
      </c>
      <c r="C144" s="145">
        <v>6.9914162262792532</v>
      </c>
      <c r="D144" s="144">
        <v>1.1628677911989092</v>
      </c>
      <c r="E144" s="145">
        <v>22.05811035071601</v>
      </c>
      <c r="F144" s="144">
        <v>1.1029055175358005E-2</v>
      </c>
    </row>
    <row r="145" spans="1:6" x14ac:dyDescent="0.35">
      <c r="A145" s="59" t="s">
        <v>1529</v>
      </c>
      <c r="B145" s="49">
        <v>796983.40642388142</v>
      </c>
      <c r="C145" s="48">
        <v>291206.85335235804</v>
      </c>
      <c r="D145" s="47">
        <v>75242.277673256714</v>
      </c>
      <c r="E145" s="48">
        <v>1197702.8239257231</v>
      </c>
      <c r="F145" s="47">
        <v>598.85141196286156</v>
      </c>
    </row>
    <row r="146" spans="1:6" x14ac:dyDescent="0.35">
      <c r="A146" s="59" t="s">
        <v>1528</v>
      </c>
      <c r="B146" s="49">
        <v>802969.76039884379</v>
      </c>
      <c r="C146" s="48">
        <v>291598.65225294523</v>
      </c>
      <c r="D146" s="47">
        <v>75303.28979068363</v>
      </c>
      <c r="E146" s="48">
        <v>1204399.402139623</v>
      </c>
      <c r="F146" s="47">
        <v>602.19970106981145</v>
      </c>
    </row>
    <row r="147" spans="1:6" x14ac:dyDescent="0.35">
      <c r="A147" s="57" t="s">
        <v>1527</v>
      </c>
      <c r="B147" s="45">
        <v>854272.99265158654</v>
      </c>
      <c r="C147" s="44">
        <v>316413.41231366864</v>
      </c>
      <c r="D147" s="43">
        <v>79919.743825114143</v>
      </c>
      <c r="E147" s="44">
        <v>1287339.8874743874</v>
      </c>
      <c r="F147" s="43">
        <v>643.66994373719376</v>
      </c>
    </row>
    <row r="148" spans="1:6" ht="13.15" x14ac:dyDescent="0.4">
      <c r="A148" s="128" t="s">
        <v>1993</v>
      </c>
      <c r="B148" s="232"/>
      <c r="C148" s="145"/>
      <c r="D148" s="144"/>
      <c r="E148" s="403" t="s">
        <v>1873</v>
      </c>
      <c r="F148" s="402" t="s">
        <v>1872</v>
      </c>
    </row>
    <row r="149" spans="1:6" x14ac:dyDescent="0.35">
      <c r="A149" s="59" t="s">
        <v>1525</v>
      </c>
      <c r="B149" s="232">
        <v>6.0659597961377889</v>
      </c>
      <c r="C149" s="145">
        <v>2.4474648742539511</v>
      </c>
      <c r="D149" s="144">
        <v>0.57883797829232131</v>
      </c>
      <c r="E149" s="145">
        <v>9.3530989199179864</v>
      </c>
      <c r="F149" s="144">
        <v>4.6765494599589931E-3</v>
      </c>
    </row>
    <row r="150" spans="1:6" x14ac:dyDescent="0.35">
      <c r="A150" s="59" t="s">
        <v>1524</v>
      </c>
      <c r="B150" s="232">
        <v>45.324406331834005</v>
      </c>
      <c r="C150" s="145">
        <v>15.257820838639004</v>
      </c>
      <c r="D150" s="144">
        <v>4.530133641607855</v>
      </c>
      <c r="E150" s="145">
        <v>67.06131028434973</v>
      </c>
      <c r="F150" s="144">
        <v>3.3530655142174862E-2</v>
      </c>
    </row>
    <row r="151" spans="1:6" x14ac:dyDescent="0.35">
      <c r="A151" s="59" t="s">
        <v>1523</v>
      </c>
      <c r="B151" s="232">
        <v>113.81991443237369</v>
      </c>
      <c r="C151" s="145">
        <v>31.10449844142034</v>
      </c>
      <c r="D151" s="144">
        <v>11.864418366094762</v>
      </c>
      <c r="E151" s="145">
        <v>161.68308756048086</v>
      </c>
      <c r="F151" s="144">
        <v>8.084154378024043E-2</v>
      </c>
    </row>
    <row r="152" spans="1:6" x14ac:dyDescent="0.35">
      <c r="A152" s="59" t="s">
        <v>1522</v>
      </c>
      <c r="B152" s="232">
        <v>13.539452648971814</v>
      </c>
      <c r="C152" s="145">
        <v>2.9494280276572411</v>
      </c>
      <c r="D152" s="144">
        <v>1.4621497190541703</v>
      </c>
      <c r="E152" s="145">
        <v>18.533226859589011</v>
      </c>
      <c r="F152" s="144">
        <v>9.2666134297945055E-3</v>
      </c>
    </row>
    <row r="153" spans="1:6" x14ac:dyDescent="0.35">
      <c r="A153" s="59" t="s">
        <v>1521</v>
      </c>
      <c r="B153" s="232">
        <v>9.9685357912526253</v>
      </c>
      <c r="C153" s="145">
        <v>2.1754610379769925</v>
      </c>
      <c r="D153" s="144">
        <v>1.0762546369427881</v>
      </c>
      <c r="E153" s="145">
        <v>13.64889850519627</v>
      </c>
      <c r="F153" s="144">
        <v>6.8244492525981349E-3</v>
      </c>
    </row>
    <row r="154" spans="1:6" x14ac:dyDescent="0.35">
      <c r="A154" s="59" t="s">
        <v>1520</v>
      </c>
      <c r="B154" s="232">
        <v>453.904168521298</v>
      </c>
      <c r="C154" s="145">
        <v>98.420781863466189</v>
      </c>
      <c r="D154" s="144">
        <v>49.048896112331683</v>
      </c>
      <c r="E154" s="145">
        <v>620.89172574351164</v>
      </c>
      <c r="F154" s="144">
        <v>0.3104458628717558</v>
      </c>
    </row>
    <row r="155" spans="1:6" x14ac:dyDescent="0.35">
      <c r="A155" s="59" t="s">
        <v>1519</v>
      </c>
      <c r="B155" s="232">
        <v>0.59600929993203955</v>
      </c>
      <c r="C155" s="145">
        <v>0.13345038606820553</v>
      </c>
      <c r="D155" s="144">
        <v>6.411930226775843E-2</v>
      </c>
      <c r="E155" s="145">
        <v>0.81920738816508121</v>
      </c>
      <c r="F155" s="144">
        <v>4.096036940825406E-4</v>
      </c>
    </row>
    <row r="156" spans="1:6" x14ac:dyDescent="0.35">
      <c r="A156" s="57" t="s">
        <v>1518</v>
      </c>
      <c r="B156" s="231">
        <v>1.5305115599508656</v>
      </c>
      <c r="C156" s="142">
        <v>0.33794805664679345</v>
      </c>
      <c r="D156" s="141">
        <v>0.16497517276036491</v>
      </c>
      <c r="E156" s="142">
        <v>2.099246786435911</v>
      </c>
      <c r="F156" s="141">
        <v>1.0496233932179556E-3</v>
      </c>
    </row>
    <row r="158" spans="1:6" ht="13.15" x14ac:dyDescent="0.4">
      <c r="A158" s="41" t="s">
        <v>1999</v>
      </c>
    </row>
    <row r="159" spans="1:6" ht="22.5" customHeight="1" x14ac:dyDescent="0.4">
      <c r="A159" s="61"/>
      <c r="B159" s="503" t="s">
        <v>1331</v>
      </c>
      <c r="C159" s="502" t="s">
        <v>1330</v>
      </c>
      <c r="D159" s="501" t="s">
        <v>1310</v>
      </c>
      <c r="E159" s="502" t="s">
        <v>323</v>
      </c>
      <c r="F159" s="501"/>
    </row>
    <row r="160" spans="1:6" x14ac:dyDescent="0.35">
      <c r="A160" s="91" t="s">
        <v>1997</v>
      </c>
      <c r="B160" s="438"/>
      <c r="C160" s="440">
        <v>1.0429999999999999</v>
      </c>
      <c r="D160" s="437">
        <v>1</v>
      </c>
      <c r="E160" s="69"/>
      <c r="F160" s="68"/>
    </row>
    <row r="161" spans="1:6" ht="13.15" x14ac:dyDescent="0.4">
      <c r="A161" s="128" t="s">
        <v>1996</v>
      </c>
      <c r="B161" s="59"/>
      <c r="D161" s="99"/>
      <c r="E161" s="216" t="s">
        <v>1873</v>
      </c>
      <c r="F161" s="215" t="s">
        <v>1872</v>
      </c>
    </row>
    <row r="162" spans="1:6" x14ac:dyDescent="0.35">
      <c r="A162" s="59" t="s">
        <v>1905</v>
      </c>
      <c r="B162" s="232">
        <v>11.830511220314971</v>
      </c>
      <c r="C162" s="145">
        <v>4.6085695368888846</v>
      </c>
      <c r="D162" s="144">
        <v>1.1191778286585157</v>
      </c>
      <c r="E162" s="145">
        <v>18.066970568335911</v>
      </c>
      <c r="F162" s="144">
        <v>9.0334852841679556E-3</v>
      </c>
    </row>
    <row r="163" spans="1:6" x14ac:dyDescent="0.35">
      <c r="A163" s="59" t="s">
        <v>1536</v>
      </c>
      <c r="B163" s="232">
        <v>9.8446705492615312</v>
      </c>
      <c r="C163" s="145">
        <v>4.1790156518350514</v>
      </c>
      <c r="D163" s="144">
        <v>0.90451748004182386</v>
      </c>
      <c r="E163" s="145">
        <v>15.351524514756651</v>
      </c>
      <c r="F163" s="144">
        <v>7.6757622573783253E-3</v>
      </c>
    </row>
    <row r="164" spans="1:6" x14ac:dyDescent="0.35">
      <c r="A164" s="59" t="s">
        <v>1535</v>
      </c>
      <c r="B164" s="232">
        <v>4.9654057151162716</v>
      </c>
      <c r="C164" s="145">
        <v>1.0372403094283242</v>
      </c>
      <c r="D164" s="144">
        <v>0.51834011715940109</v>
      </c>
      <c r="E164" s="145">
        <v>6.7344985874539969</v>
      </c>
      <c r="F164" s="144">
        <v>3.3672492937269986E-3</v>
      </c>
    </row>
    <row r="165" spans="1:6" x14ac:dyDescent="0.35">
      <c r="A165" s="59" t="s">
        <v>1534</v>
      </c>
      <c r="B165" s="232">
        <v>4.7115585821136925</v>
      </c>
      <c r="C165" s="145">
        <v>3.0978997813893412</v>
      </c>
      <c r="D165" s="144">
        <v>0.36856356347211322</v>
      </c>
      <c r="E165" s="145">
        <v>8.3806189460060363</v>
      </c>
      <c r="F165" s="144">
        <v>4.1903094730030167E-3</v>
      </c>
    </row>
    <row r="166" spans="1:6" x14ac:dyDescent="0.35">
      <c r="A166" s="59" t="s">
        <v>1533</v>
      </c>
      <c r="B166" s="232">
        <v>0.167706252031567</v>
      </c>
      <c r="C166" s="145">
        <v>4.387556101738558E-2</v>
      </c>
      <c r="D166" s="144">
        <v>1.7613799410309543E-2</v>
      </c>
      <c r="E166" s="145">
        <v>0.2364069812966195</v>
      </c>
      <c r="F166" s="144">
        <v>1.1820349064830975E-4</v>
      </c>
    </row>
    <row r="167" spans="1:6" x14ac:dyDescent="0.35">
      <c r="A167" s="91" t="s">
        <v>1995</v>
      </c>
      <c r="B167" s="290">
        <v>999.40738827027167</v>
      </c>
      <c r="C167" s="291">
        <v>221.59965558754763</v>
      </c>
      <c r="D167" s="289">
        <v>107.66448634965541</v>
      </c>
      <c r="E167" s="291">
        <v>1371.6460479030964</v>
      </c>
      <c r="F167" s="433">
        <v>0.68582302395154815</v>
      </c>
    </row>
    <row r="168" spans="1:6" ht="13.15" x14ac:dyDescent="0.4">
      <c r="A168" s="131" t="s">
        <v>1994</v>
      </c>
      <c r="B168" s="237"/>
      <c r="C168" s="157"/>
      <c r="D168" s="156"/>
      <c r="E168" s="382" t="s">
        <v>1873</v>
      </c>
      <c r="F168" s="381" t="s">
        <v>1872</v>
      </c>
    </row>
    <row r="169" spans="1:6" x14ac:dyDescent="0.35">
      <c r="A169" s="59" t="s">
        <v>1525</v>
      </c>
      <c r="B169" s="232">
        <v>264.99296428706646</v>
      </c>
      <c r="C169" s="145">
        <v>43.949957551915276</v>
      </c>
      <c r="D169" s="144">
        <v>8.1297741741544964</v>
      </c>
      <c r="E169" s="145">
        <v>328.46739347748007</v>
      </c>
      <c r="F169" s="144">
        <v>0.16423369673874003</v>
      </c>
    </row>
    <row r="170" spans="1:6" x14ac:dyDescent="0.35">
      <c r="A170" s="59" t="s">
        <v>1524</v>
      </c>
      <c r="B170" s="232">
        <v>3283.928604897641</v>
      </c>
      <c r="C170" s="145">
        <v>162.15915728966348</v>
      </c>
      <c r="D170" s="144">
        <v>22.701840795959637</v>
      </c>
      <c r="E170" s="145">
        <v>3609.9985329938622</v>
      </c>
      <c r="F170" s="144">
        <v>1.8049992664969312</v>
      </c>
    </row>
    <row r="171" spans="1:6" x14ac:dyDescent="0.35">
      <c r="A171" s="59" t="s">
        <v>1563</v>
      </c>
      <c r="B171" s="232">
        <v>627.73904730454819</v>
      </c>
      <c r="C171" s="145">
        <v>266.47493313795775</v>
      </c>
      <c r="D171" s="144">
        <v>50.986429198938531</v>
      </c>
      <c r="E171" s="145">
        <v>972.19318867554</v>
      </c>
      <c r="F171" s="144">
        <v>0.48609659433777003</v>
      </c>
    </row>
    <row r="172" spans="1:6" x14ac:dyDescent="0.35">
      <c r="A172" s="59" t="s">
        <v>1522</v>
      </c>
      <c r="B172" s="232">
        <v>672.12888018280057</v>
      </c>
      <c r="C172" s="145">
        <v>26.947816567247131</v>
      </c>
      <c r="D172" s="144">
        <v>9.2086631009111368</v>
      </c>
      <c r="E172" s="145">
        <v>737.18690169881927</v>
      </c>
      <c r="F172" s="144">
        <v>0.36859345084940964</v>
      </c>
    </row>
    <row r="173" spans="1:6" x14ac:dyDescent="0.35">
      <c r="A173" s="59" t="s">
        <v>1521</v>
      </c>
      <c r="B173" s="232">
        <v>332.853929863644</v>
      </c>
      <c r="C173" s="145">
        <v>16.465202235756028</v>
      </c>
      <c r="D173" s="144">
        <v>4.0077589473157325</v>
      </c>
      <c r="E173" s="145">
        <v>367.6396100308524</v>
      </c>
      <c r="F173" s="144">
        <v>0.18381980501542619</v>
      </c>
    </row>
    <row r="174" spans="1:6" x14ac:dyDescent="0.35">
      <c r="A174" s="59" t="s">
        <v>1520</v>
      </c>
      <c r="B174" s="232">
        <v>1643.0661253552744</v>
      </c>
      <c r="C174" s="145">
        <v>301.7288634666163</v>
      </c>
      <c r="D174" s="144">
        <v>138.46355384705083</v>
      </c>
      <c r="E174" s="145">
        <v>2153.9103860592181</v>
      </c>
      <c r="F174" s="144">
        <v>1.0769551930296091</v>
      </c>
    </row>
    <row r="175" spans="1:6" x14ac:dyDescent="0.35">
      <c r="A175" s="59" t="s">
        <v>1519</v>
      </c>
      <c r="B175" s="232">
        <v>3.59010799872269</v>
      </c>
      <c r="C175" s="145">
        <v>2.1239957997266741</v>
      </c>
      <c r="D175" s="144">
        <v>0.29685163759722943</v>
      </c>
      <c r="E175" s="145">
        <v>6.1653300799916684</v>
      </c>
      <c r="F175" s="144">
        <v>3.0826650399958344E-3</v>
      </c>
    </row>
    <row r="176" spans="1:6" x14ac:dyDescent="0.35">
      <c r="A176" s="59" t="s">
        <v>1518</v>
      </c>
      <c r="B176" s="232">
        <v>8.4097618141529757</v>
      </c>
      <c r="C176" s="145">
        <v>4.9529128056308132</v>
      </c>
      <c r="D176" s="144">
        <v>0.69689332857486319</v>
      </c>
      <c r="E176" s="145">
        <v>14.421187706367229</v>
      </c>
      <c r="F176" s="144">
        <v>7.2105938531836144E-3</v>
      </c>
    </row>
    <row r="177" spans="1:6" x14ac:dyDescent="0.35">
      <c r="A177" s="59" t="s">
        <v>1531</v>
      </c>
      <c r="B177" s="232">
        <v>1592.3540192170863</v>
      </c>
      <c r="C177" s="145">
        <v>765.40115869197996</v>
      </c>
      <c r="D177" s="144">
        <v>143.60980232542693</v>
      </c>
      <c r="E177" s="145">
        <v>2569.8362030608278</v>
      </c>
      <c r="F177" s="144">
        <v>1.2849181015304139</v>
      </c>
    </row>
    <row r="178" spans="1:6" x14ac:dyDescent="0.35">
      <c r="A178" s="59" t="s">
        <v>1530</v>
      </c>
      <c r="B178" s="232">
        <v>13.330610098981637</v>
      </c>
      <c r="C178" s="145">
        <v>6.9914162262792532</v>
      </c>
      <c r="D178" s="144">
        <v>1.1628677911989092</v>
      </c>
      <c r="E178" s="145">
        <v>22.05811035071601</v>
      </c>
      <c r="F178" s="144">
        <v>1.1029055175358005E-2</v>
      </c>
    </row>
    <row r="179" spans="1:6" x14ac:dyDescent="0.35">
      <c r="A179" s="59" t="s">
        <v>1529</v>
      </c>
      <c r="B179" s="49">
        <v>796983.40642388142</v>
      </c>
      <c r="C179" s="48">
        <v>291206.85335235804</v>
      </c>
      <c r="D179" s="47">
        <v>75242.277673256714</v>
      </c>
      <c r="E179" s="48">
        <v>1197702.8239257231</v>
      </c>
      <c r="F179" s="47">
        <v>598.85141196286156</v>
      </c>
    </row>
    <row r="180" spans="1:6" x14ac:dyDescent="0.35">
      <c r="A180" s="59" t="s">
        <v>1528</v>
      </c>
      <c r="B180" s="49">
        <v>802969.76039884379</v>
      </c>
      <c r="C180" s="48">
        <v>291598.65225294523</v>
      </c>
      <c r="D180" s="47">
        <v>75303.28979068363</v>
      </c>
      <c r="E180" s="48">
        <v>1204399.402139623</v>
      </c>
      <c r="F180" s="47">
        <v>602.19970106981145</v>
      </c>
    </row>
    <row r="181" spans="1:6" x14ac:dyDescent="0.35">
      <c r="A181" s="57" t="s">
        <v>1527</v>
      </c>
      <c r="B181" s="45">
        <v>854272.99265158654</v>
      </c>
      <c r="C181" s="44">
        <v>316413.41231366864</v>
      </c>
      <c r="D181" s="43">
        <v>79919.743825114143</v>
      </c>
      <c r="E181" s="44">
        <v>1287339.8874743874</v>
      </c>
      <c r="F181" s="43">
        <v>643.66994373719376</v>
      </c>
    </row>
    <row r="182" spans="1:6" ht="13.15" x14ac:dyDescent="0.4">
      <c r="A182" s="128" t="s">
        <v>1993</v>
      </c>
      <c r="B182" s="232"/>
      <c r="C182" s="145"/>
      <c r="D182" s="144"/>
      <c r="E182" s="403" t="s">
        <v>1873</v>
      </c>
      <c r="F182" s="402" t="s">
        <v>1872</v>
      </c>
    </row>
    <row r="183" spans="1:6" x14ac:dyDescent="0.35">
      <c r="A183" s="59" t="s">
        <v>1525</v>
      </c>
      <c r="B183" s="232">
        <v>6.0659597961377889</v>
      </c>
      <c r="C183" s="145">
        <v>2.4474648742539511</v>
      </c>
      <c r="D183" s="144">
        <v>0.57883797829232131</v>
      </c>
      <c r="E183" s="145">
        <v>9.3530989199179864</v>
      </c>
      <c r="F183" s="144">
        <v>4.6765494599589931E-3</v>
      </c>
    </row>
    <row r="184" spans="1:6" x14ac:dyDescent="0.35">
      <c r="A184" s="59" t="s">
        <v>1524</v>
      </c>
      <c r="B184" s="232">
        <v>45.324406331834005</v>
      </c>
      <c r="C184" s="145">
        <v>15.257820838639004</v>
      </c>
      <c r="D184" s="144">
        <v>4.530133641607855</v>
      </c>
      <c r="E184" s="145">
        <v>67.06131028434973</v>
      </c>
      <c r="F184" s="144">
        <v>3.3530655142174862E-2</v>
      </c>
    </row>
    <row r="185" spans="1:6" x14ac:dyDescent="0.35">
      <c r="A185" s="59" t="s">
        <v>1523</v>
      </c>
      <c r="B185" s="232">
        <v>113.81991443237369</v>
      </c>
      <c r="C185" s="145">
        <v>31.10449844142034</v>
      </c>
      <c r="D185" s="144">
        <v>11.864418366094762</v>
      </c>
      <c r="E185" s="145">
        <v>161.68308756048086</v>
      </c>
      <c r="F185" s="144">
        <v>8.084154378024043E-2</v>
      </c>
    </row>
    <row r="186" spans="1:6" x14ac:dyDescent="0.35">
      <c r="A186" s="59" t="s">
        <v>1522</v>
      </c>
      <c r="B186" s="232">
        <v>13.539452648971814</v>
      </c>
      <c r="C186" s="145">
        <v>2.9494280276572411</v>
      </c>
      <c r="D186" s="144">
        <v>1.4621497190541703</v>
      </c>
      <c r="E186" s="145">
        <v>18.533226859589011</v>
      </c>
      <c r="F186" s="144">
        <v>9.2666134297945055E-3</v>
      </c>
    </row>
    <row r="187" spans="1:6" x14ac:dyDescent="0.35">
      <c r="A187" s="59" t="s">
        <v>1521</v>
      </c>
      <c r="B187" s="232">
        <v>9.9685357912526253</v>
      </c>
      <c r="C187" s="145">
        <v>2.1754610379769925</v>
      </c>
      <c r="D187" s="144">
        <v>1.0762546369427881</v>
      </c>
      <c r="E187" s="145">
        <v>13.64889850519627</v>
      </c>
      <c r="F187" s="144">
        <v>6.8244492525981349E-3</v>
      </c>
    </row>
    <row r="188" spans="1:6" x14ac:dyDescent="0.35">
      <c r="A188" s="59" t="s">
        <v>1520</v>
      </c>
      <c r="B188" s="232">
        <v>453.904168521298</v>
      </c>
      <c r="C188" s="145">
        <v>98.420781863466189</v>
      </c>
      <c r="D188" s="144">
        <v>49.048896112331683</v>
      </c>
      <c r="E188" s="145">
        <v>620.89172574351164</v>
      </c>
      <c r="F188" s="144">
        <v>0.3104458628717558</v>
      </c>
    </row>
    <row r="189" spans="1:6" x14ac:dyDescent="0.35">
      <c r="A189" s="59" t="s">
        <v>1519</v>
      </c>
      <c r="B189" s="232">
        <v>0.59600929993203955</v>
      </c>
      <c r="C189" s="145">
        <v>0.13345038606820553</v>
      </c>
      <c r="D189" s="144">
        <v>6.411930226775843E-2</v>
      </c>
      <c r="E189" s="145">
        <v>0.81920738816508121</v>
      </c>
      <c r="F189" s="144">
        <v>4.096036940825406E-4</v>
      </c>
    </row>
    <row r="190" spans="1:6" x14ac:dyDescent="0.35">
      <c r="A190" s="57" t="s">
        <v>1518</v>
      </c>
      <c r="B190" s="231">
        <v>1.5305115599508656</v>
      </c>
      <c r="C190" s="142">
        <v>0.33794805664679345</v>
      </c>
      <c r="D190" s="141">
        <v>0.16497517276036491</v>
      </c>
      <c r="E190" s="142">
        <v>2.099246786435911</v>
      </c>
      <c r="F190" s="141">
        <v>1.0496233932179556E-3</v>
      </c>
    </row>
    <row r="192" spans="1:6" ht="13.15" x14ac:dyDescent="0.4">
      <c r="A192" s="41" t="s">
        <v>1998</v>
      </c>
    </row>
    <row r="193" spans="1:6" ht="22.5" customHeight="1" x14ac:dyDescent="0.4">
      <c r="A193" s="61"/>
      <c r="B193" s="503" t="s">
        <v>1331</v>
      </c>
      <c r="C193" s="502" t="s">
        <v>1330</v>
      </c>
      <c r="D193" s="501" t="s">
        <v>1310</v>
      </c>
      <c r="E193" s="502" t="s">
        <v>323</v>
      </c>
      <c r="F193" s="501"/>
    </row>
    <row r="194" spans="1:6" x14ac:dyDescent="0.35">
      <c r="A194" s="91" t="s">
        <v>1997</v>
      </c>
      <c r="B194" s="438"/>
      <c r="C194" s="440">
        <v>1.61</v>
      </c>
      <c r="D194" s="437">
        <v>1</v>
      </c>
      <c r="E194" s="69"/>
      <c r="F194" s="68"/>
    </row>
    <row r="195" spans="1:6" ht="13.15" x14ac:dyDescent="0.4">
      <c r="A195" s="128" t="s">
        <v>1996</v>
      </c>
      <c r="B195" s="59"/>
      <c r="D195" s="99"/>
      <c r="E195" s="216" t="s">
        <v>1873</v>
      </c>
      <c r="F195" s="215" t="s">
        <v>1872</v>
      </c>
    </row>
    <row r="196" spans="1:6" x14ac:dyDescent="0.35">
      <c r="A196" s="59" t="s">
        <v>1905</v>
      </c>
      <c r="B196" s="232">
        <v>11.830511220314971</v>
      </c>
      <c r="C196" s="145">
        <v>4.6085695368888846</v>
      </c>
      <c r="D196" s="144">
        <v>1.1191778286585157</v>
      </c>
      <c r="E196" s="145">
        <v>24.774870430254502</v>
      </c>
      <c r="F196" s="144">
        <v>1.2387435215127252E-2</v>
      </c>
    </row>
    <row r="197" spans="1:6" x14ac:dyDescent="0.35">
      <c r="A197" s="59" t="s">
        <v>1536</v>
      </c>
      <c r="B197" s="232">
        <v>9.8446705492615312</v>
      </c>
      <c r="C197" s="145">
        <v>4.1790156518350514</v>
      </c>
      <c r="D197" s="144">
        <v>0.90451748004182386</v>
      </c>
      <c r="E197" s="145">
        <v>20.933452716187944</v>
      </c>
      <c r="F197" s="144">
        <v>1.0466726358093972E-2</v>
      </c>
    </row>
    <row r="198" spans="1:6" x14ac:dyDescent="0.35">
      <c r="A198" s="59" t="s">
        <v>1535</v>
      </c>
      <c r="B198" s="232">
        <v>4.9654057151162716</v>
      </c>
      <c r="C198" s="145">
        <v>1.0372403094283242</v>
      </c>
      <c r="D198" s="144">
        <v>0.51834011715940109</v>
      </c>
      <c r="E198" s="145">
        <v>9.5498836279249222</v>
      </c>
      <c r="F198" s="144">
        <v>4.7749418139624612E-3</v>
      </c>
    </row>
    <row r="199" spans="1:6" x14ac:dyDescent="0.35">
      <c r="A199" s="59" t="s">
        <v>1534</v>
      </c>
      <c r="B199" s="232">
        <v>4.7115585821136925</v>
      </c>
      <c r="C199" s="145">
        <v>3.0978997813893412</v>
      </c>
      <c r="D199" s="144">
        <v>0.36856356347211322</v>
      </c>
      <c r="E199" s="145">
        <v>11.0520726620645</v>
      </c>
      <c r="F199" s="144">
        <v>5.5260363310322518E-3</v>
      </c>
    </row>
    <row r="200" spans="1:6" x14ac:dyDescent="0.35">
      <c r="A200" s="59" t="s">
        <v>1533</v>
      </c>
      <c r="B200" s="232">
        <v>0.167706252031567</v>
      </c>
      <c r="C200" s="145">
        <v>4.387556101738558E-2</v>
      </c>
      <c r="D200" s="144">
        <v>1.7613799410309543E-2</v>
      </c>
      <c r="E200" s="145">
        <v>0.33149642619851805</v>
      </c>
      <c r="F200" s="144">
        <v>1.6574821309925904E-4</v>
      </c>
    </row>
    <row r="201" spans="1:6" x14ac:dyDescent="0.35">
      <c r="A201" s="91" t="s">
        <v>1995</v>
      </c>
      <c r="B201" s="290">
        <v>999.40738827027167</v>
      </c>
      <c r="C201" s="291">
        <v>221.59965558754763</v>
      </c>
      <c r="D201" s="289">
        <v>107.66448634965541</v>
      </c>
      <c r="E201" s="291">
        <v>1938.3100370523405</v>
      </c>
      <c r="F201" s="433">
        <v>0.96915501852617025</v>
      </c>
    </row>
    <row r="202" spans="1:6" ht="13.15" x14ac:dyDescent="0.4">
      <c r="A202" s="131" t="s">
        <v>1994</v>
      </c>
      <c r="B202" s="237"/>
      <c r="C202" s="157"/>
      <c r="D202" s="156"/>
      <c r="E202" s="382" t="s">
        <v>1873</v>
      </c>
      <c r="F202" s="381" t="s">
        <v>1872</v>
      </c>
    </row>
    <row r="203" spans="1:6" x14ac:dyDescent="0.35">
      <c r="A203" s="59" t="s">
        <v>1525</v>
      </c>
      <c r="B203" s="232">
        <v>264.99296428706646</v>
      </c>
      <c r="C203" s="145">
        <v>43.949957551915276</v>
      </c>
      <c r="D203" s="144">
        <v>8.1297741741544964</v>
      </c>
      <c r="E203" s="145">
        <v>478.71840422824675</v>
      </c>
      <c r="F203" s="144">
        <v>0.23935920211412337</v>
      </c>
    </row>
    <row r="204" spans="1:6" x14ac:dyDescent="0.35">
      <c r="A204" s="59" t="s">
        <v>1524</v>
      </c>
      <c r="B204" s="232">
        <v>3283.928604897641</v>
      </c>
      <c r="C204" s="145">
        <v>162.15915728966348</v>
      </c>
      <c r="D204" s="144">
        <v>22.701840795959637</v>
      </c>
      <c r="E204" s="145">
        <v>5471.9860519708245</v>
      </c>
      <c r="F204" s="144">
        <v>2.7359930259854122</v>
      </c>
    </row>
    <row r="205" spans="1:6" x14ac:dyDescent="0.35">
      <c r="A205" s="59" t="s">
        <v>1563</v>
      </c>
      <c r="B205" s="232">
        <v>627.73904730454819</v>
      </c>
      <c r="C205" s="145">
        <v>266.47493313795775</v>
      </c>
      <c r="D205" s="144">
        <v>50.986429198938531</v>
      </c>
      <c r="E205" s="145">
        <v>1328.1212284972189</v>
      </c>
      <c r="F205" s="144">
        <v>0.6640606142486094</v>
      </c>
    </row>
    <row r="206" spans="1:6" x14ac:dyDescent="0.35">
      <c r="A206" s="59" t="s">
        <v>1522</v>
      </c>
      <c r="B206" s="232">
        <v>672.12888018280057</v>
      </c>
      <c r="C206" s="145">
        <v>26.947816567247131</v>
      </c>
      <c r="D206" s="144">
        <v>9.2086631009111368</v>
      </c>
      <c r="E206" s="145">
        <v>1118.2839767624673</v>
      </c>
      <c r="F206" s="144">
        <v>0.55914198838123363</v>
      </c>
    </row>
    <row r="207" spans="1:6" x14ac:dyDescent="0.35">
      <c r="A207" s="59" t="s">
        <v>1521</v>
      </c>
      <c r="B207" s="232">
        <v>332.853929863644</v>
      </c>
      <c r="C207" s="145">
        <v>16.465202235756028</v>
      </c>
      <c r="D207" s="144">
        <v>4.0077589473157325</v>
      </c>
      <c r="E207" s="145">
        <v>556.36778826353861</v>
      </c>
      <c r="F207" s="144">
        <v>0.2781838941317693</v>
      </c>
    </row>
    <row r="208" spans="1:6" x14ac:dyDescent="0.35">
      <c r="A208" s="59" t="s">
        <v>1520</v>
      </c>
      <c r="B208" s="232">
        <v>1643.0661253552744</v>
      </c>
      <c r="C208" s="145">
        <v>301.7288634666163</v>
      </c>
      <c r="D208" s="144">
        <v>138.46355384705083</v>
      </c>
      <c r="E208" s="145">
        <v>3085.5288791356593</v>
      </c>
      <c r="F208" s="144">
        <v>1.5427644395678297</v>
      </c>
    </row>
    <row r="209" spans="1:6" x14ac:dyDescent="0.35">
      <c r="A209" s="59" t="s">
        <v>1519</v>
      </c>
      <c r="B209" s="232">
        <v>3.59010799872269</v>
      </c>
      <c r="C209" s="145">
        <v>2.1239957997266741</v>
      </c>
      <c r="D209" s="144">
        <v>0.29685163759722943</v>
      </c>
      <c r="E209" s="145">
        <v>8.2009213152674345</v>
      </c>
      <c r="F209" s="144">
        <v>4.1004606576337177E-3</v>
      </c>
    </row>
    <row r="210" spans="1:6" x14ac:dyDescent="0.35">
      <c r="A210" s="59" t="s">
        <v>1518</v>
      </c>
      <c r="B210" s="232">
        <v>8.4097618141529757</v>
      </c>
      <c r="C210" s="145">
        <v>4.9529128056308132</v>
      </c>
      <c r="D210" s="144">
        <v>0.69689332857486319</v>
      </c>
      <c r="E210" s="145">
        <v>19.189522654991968</v>
      </c>
      <c r="F210" s="144">
        <v>9.5947613274959837E-3</v>
      </c>
    </row>
    <row r="211" spans="1:6" x14ac:dyDescent="0.35">
      <c r="A211" s="59" t="s">
        <v>1531</v>
      </c>
      <c r="B211" s="232">
        <v>1592.3540192170863</v>
      </c>
      <c r="C211" s="145">
        <v>765.40115869197996</v>
      </c>
      <c r="D211" s="144">
        <v>143.60980232542693</v>
      </c>
      <c r="E211" s="145">
        <v>3472.7009319569161</v>
      </c>
      <c r="F211" s="144">
        <v>1.7363504659784581</v>
      </c>
    </row>
    <row r="212" spans="1:6" x14ac:dyDescent="0.35">
      <c r="A212" s="59" t="s">
        <v>1530</v>
      </c>
      <c r="B212" s="232">
        <v>13.330610098981637</v>
      </c>
      <c r="C212" s="145">
        <v>6.9914162262792532</v>
      </c>
      <c r="D212" s="144">
        <v>1.1628677911989092</v>
      </c>
      <c r="E212" s="145">
        <v>29.616566276838597</v>
      </c>
      <c r="F212" s="144">
        <v>1.4808283138419299E-2</v>
      </c>
    </row>
    <row r="213" spans="1:6" x14ac:dyDescent="0.35">
      <c r="A213" s="59" t="s">
        <v>1529</v>
      </c>
      <c r="B213" s="49">
        <v>796983.40642388142</v>
      </c>
      <c r="C213" s="48">
        <v>291206.85335235804</v>
      </c>
      <c r="D213" s="47">
        <v>75242.277673256714</v>
      </c>
      <c r="E213" s="48">
        <v>1649592.4153680641</v>
      </c>
      <c r="F213" s="47">
        <v>824.79620768403208</v>
      </c>
    </row>
    <row r="214" spans="1:6" x14ac:dyDescent="0.35">
      <c r="A214" s="59" t="s">
        <v>1528</v>
      </c>
      <c r="B214" s="49">
        <v>802969.76039884379</v>
      </c>
      <c r="C214" s="48">
        <v>291598.65225294523</v>
      </c>
      <c r="D214" s="47">
        <v>75303.28979068363</v>
      </c>
      <c r="E214" s="48">
        <v>1659683.2562857673</v>
      </c>
      <c r="F214" s="47">
        <v>829.84162814288368</v>
      </c>
    </row>
    <row r="215" spans="1:6" x14ac:dyDescent="0.35">
      <c r="A215" s="57" t="s">
        <v>1527</v>
      </c>
      <c r="B215" s="45">
        <v>854272.99265158654</v>
      </c>
      <c r="C215" s="44">
        <v>316413.41231366864</v>
      </c>
      <c r="D215" s="43">
        <v>79919.743825114143</v>
      </c>
      <c r="E215" s="44">
        <v>1771712.6743078369</v>
      </c>
      <c r="F215" s="43">
        <v>885.8563371539185</v>
      </c>
    </row>
    <row r="216" spans="1:6" ht="13.15" x14ac:dyDescent="0.4">
      <c r="A216" s="128" t="s">
        <v>1993</v>
      </c>
      <c r="B216" s="232"/>
      <c r="C216" s="145"/>
      <c r="D216" s="144"/>
      <c r="E216" s="403" t="s">
        <v>1873</v>
      </c>
      <c r="F216" s="402" t="s">
        <v>1872</v>
      </c>
    </row>
    <row r="217" spans="1:6" x14ac:dyDescent="0.35">
      <c r="A217" s="59" t="s">
        <v>1525</v>
      </c>
      <c r="B217" s="232">
        <v>6.0659597961377889</v>
      </c>
      <c r="C217" s="145">
        <v>2.4474648742539511</v>
      </c>
      <c r="D217" s="144">
        <v>0.57883797829232131</v>
      </c>
      <c r="E217" s="145">
        <v>12.792498124328114</v>
      </c>
      <c r="F217" s="144">
        <v>6.3962490621640574E-3</v>
      </c>
    </row>
    <row r="218" spans="1:6" x14ac:dyDescent="0.35">
      <c r="A218" s="59" t="s">
        <v>1524</v>
      </c>
      <c r="B218" s="232">
        <v>45.324406331834005</v>
      </c>
      <c r="C218" s="145">
        <v>15.257820838639004</v>
      </c>
      <c r="D218" s="144">
        <v>4.530133641607855</v>
      </c>
      <c r="E218" s="145">
        <v>92.760248674499621</v>
      </c>
      <c r="F218" s="144">
        <v>4.6380124337249813E-2</v>
      </c>
    </row>
    <row r="219" spans="1:6" x14ac:dyDescent="0.35">
      <c r="A219" s="59" t="s">
        <v>1523</v>
      </c>
      <c r="B219" s="232">
        <v>113.81991443237369</v>
      </c>
      <c r="C219" s="145">
        <v>31.10449844142034</v>
      </c>
      <c r="D219" s="144">
        <v>11.864418366094762</v>
      </c>
      <c r="E219" s="145">
        <v>226.21897904363675</v>
      </c>
      <c r="F219" s="144">
        <v>0.11310948952181837</v>
      </c>
    </row>
    <row r="220" spans="1:6" x14ac:dyDescent="0.35">
      <c r="A220" s="59" t="s">
        <v>1522</v>
      </c>
      <c r="B220" s="232">
        <v>13.539452648971814</v>
      </c>
      <c r="C220" s="145">
        <v>2.9494280276572411</v>
      </c>
      <c r="D220" s="144">
        <v>1.4621497190541703</v>
      </c>
      <c r="E220" s="145">
        <v>26.210096511556035</v>
      </c>
      <c r="F220" s="144">
        <v>1.3105048255778018E-2</v>
      </c>
    </row>
    <row r="221" spans="1:6" x14ac:dyDescent="0.35">
      <c r="A221" s="59" t="s">
        <v>1521</v>
      </c>
      <c r="B221" s="232">
        <v>9.9685357912526253</v>
      </c>
      <c r="C221" s="145">
        <v>2.1754610379769925</v>
      </c>
      <c r="D221" s="144">
        <v>1.0762546369427881</v>
      </c>
      <c r="E221" s="145">
        <v>19.301058298836512</v>
      </c>
      <c r="F221" s="144">
        <v>9.650529149418257E-3</v>
      </c>
    </row>
    <row r="222" spans="1:6" x14ac:dyDescent="0.35">
      <c r="A222" s="59" t="s">
        <v>1520</v>
      </c>
      <c r="B222" s="232">
        <v>453.904168521298</v>
      </c>
      <c r="C222" s="145">
        <v>98.420781863466189</v>
      </c>
      <c r="D222" s="144">
        <v>49.048896112331683</v>
      </c>
      <c r="E222" s="145">
        <v>878.25538929508775</v>
      </c>
      <c r="F222" s="144">
        <v>0.43912769464754386</v>
      </c>
    </row>
    <row r="223" spans="1:6" x14ac:dyDescent="0.35">
      <c r="A223" s="59" t="s">
        <v>1519</v>
      </c>
      <c r="B223" s="232">
        <v>0.59600929993203955</v>
      </c>
      <c r="C223" s="145">
        <v>0.13345038606820553</v>
      </c>
      <c r="D223" s="144">
        <v>6.411930226775843E-2</v>
      </c>
      <c r="E223" s="145">
        <v>1.1571446612265477</v>
      </c>
      <c r="F223" s="144">
        <v>5.7857233061327381E-4</v>
      </c>
    </row>
    <row r="224" spans="1:6" x14ac:dyDescent="0.35">
      <c r="A224" s="57" t="s">
        <v>1518</v>
      </c>
      <c r="B224" s="231">
        <v>1.5305115599508656</v>
      </c>
      <c r="C224" s="142">
        <v>0.33794805664679345</v>
      </c>
      <c r="D224" s="141">
        <v>0.16497517276036491</v>
      </c>
      <c r="E224" s="142">
        <v>2.9670468409280519</v>
      </c>
      <c r="F224" s="141">
        <v>1.4835234204640261E-3</v>
      </c>
    </row>
  </sheetData>
  <mergeCells count="30">
    <mergeCell ref="S34:T34"/>
    <mergeCell ref="U34:V34"/>
    <mergeCell ref="B34:C34"/>
    <mergeCell ref="D34:F34"/>
    <mergeCell ref="G34:H34"/>
    <mergeCell ref="I34:J34"/>
    <mergeCell ref="K34:L34"/>
    <mergeCell ref="W34:X34"/>
    <mergeCell ref="Y34:Z34"/>
    <mergeCell ref="AA34:AB34"/>
    <mergeCell ref="AC34:AD34"/>
    <mergeCell ref="B36:C36"/>
    <mergeCell ref="D36:N36"/>
    <mergeCell ref="O36:P36"/>
    <mergeCell ref="Q36:R36"/>
    <mergeCell ref="S36:T36"/>
    <mergeCell ref="U36:V36"/>
    <mergeCell ref="W36:X36"/>
    <mergeCell ref="Y36:Z36"/>
    <mergeCell ref="AA36:AD36"/>
    <mergeCell ref="M34:N34"/>
    <mergeCell ref="O34:P34"/>
    <mergeCell ref="Q34:R34"/>
    <mergeCell ref="S91:T91"/>
    <mergeCell ref="U91:V91"/>
    <mergeCell ref="I91:J91"/>
    <mergeCell ref="K91:L91"/>
    <mergeCell ref="M91:N91"/>
    <mergeCell ref="O91:P91"/>
    <mergeCell ref="Q91:R91"/>
  </mergeCells>
  <pageMargins left="0.75" right="0.75" top="1" bottom="1" header="0.5" footer="0.5"/>
  <pageSetup pageOrder="overThenDown" orientation="landscape" r:id="rId1"/>
  <headerFooter alignWithMargins="0">
    <oddHeader>&amp;A</oddHeader>
    <oddFooter>Page &amp;P</oddFoot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K90"/>
  <sheetViews>
    <sheetView showGridLines="0" zoomScale="85" zoomScaleNormal="85" workbookViewId="0">
      <selection activeCell="A3" sqref="A3"/>
    </sheetView>
  </sheetViews>
  <sheetFormatPr defaultColWidth="9.1328125" defaultRowHeight="12.75" x14ac:dyDescent="0.35"/>
  <cols>
    <col min="1" max="1" width="38.1328125" style="39" customWidth="1"/>
    <col min="2" max="2" width="12" style="39" customWidth="1"/>
    <col min="3" max="3" width="9.86328125" style="39" customWidth="1"/>
    <col min="4" max="4" width="10.46484375" style="39" customWidth="1"/>
    <col min="5" max="5" width="10.796875" style="39" customWidth="1"/>
    <col min="6" max="16384" width="9.1328125" style="39"/>
  </cols>
  <sheetData>
    <row r="1" spans="1:9" ht="15" x14ac:dyDescent="0.4">
      <c r="A1" s="140" t="s">
        <v>1977</v>
      </c>
      <c r="G1" s="230" t="s">
        <v>1561</v>
      </c>
    </row>
    <row r="2" spans="1:9" ht="13.15" x14ac:dyDescent="0.4">
      <c r="A2" s="41"/>
    </row>
    <row r="3" spans="1:9" ht="13.9" x14ac:dyDescent="0.4">
      <c r="A3" s="72" t="s">
        <v>1976</v>
      </c>
    </row>
    <row r="4" spans="1:9" ht="13.15" x14ac:dyDescent="0.4">
      <c r="A4" s="41" t="s">
        <v>1975</v>
      </c>
    </row>
    <row r="5" spans="1:9" x14ac:dyDescent="0.35">
      <c r="A5" s="368" t="s">
        <v>288</v>
      </c>
      <c r="B5" s="218" t="s">
        <v>1417</v>
      </c>
    </row>
    <row r="6" spans="1:9" x14ac:dyDescent="0.35">
      <c r="A6" s="480">
        <v>0.85</v>
      </c>
      <c r="B6" s="479">
        <v>0.15000000000000002</v>
      </c>
    </row>
    <row r="8" spans="1:9" ht="13.9" x14ac:dyDescent="0.4">
      <c r="A8" s="72" t="s">
        <v>1734</v>
      </c>
    </row>
    <row r="9" spans="1:9" x14ac:dyDescent="0.35">
      <c r="A9" s="61" t="s">
        <v>1717</v>
      </c>
      <c r="B9" s="417">
        <v>1</v>
      </c>
    </row>
    <row r="10" spans="1:9" x14ac:dyDescent="0.35">
      <c r="A10" s="59" t="s">
        <v>1909</v>
      </c>
      <c r="B10" s="196">
        <v>1</v>
      </c>
    </row>
    <row r="11" spans="1:9" x14ac:dyDescent="0.35">
      <c r="A11" s="57" t="s">
        <v>1703</v>
      </c>
      <c r="B11" s="193">
        <v>1</v>
      </c>
    </row>
    <row r="13" spans="1:9" ht="13.9" x14ac:dyDescent="0.4">
      <c r="A13" s="72" t="s">
        <v>1701</v>
      </c>
    </row>
    <row r="14" spans="1:9" ht="13.15" x14ac:dyDescent="0.4">
      <c r="A14" s="131"/>
      <c r="B14" s="2193" t="s">
        <v>1328</v>
      </c>
      <c r="C14" s="2195"/>
      <c r="D14" s="2194" t="s">
        <v>1327</v>
      </c>
      <c r="E14" s="2194"/>
      <c r="F14" s="2193" t="s">
        <v>1326</v>
      </c>
      <c r="G14" s="2195"/>
      <c r="H14" s="2194" t="s">
        <v>1310</v>
      </c>
      <c r="I14" s="2195"/>
    </row>
    <row r="15" spans="1:9" ht="73.5" customHeight="1" x14ac:dyDescent="0.4">
      <c r="A15" s="454"/>
      <c r="B15" s="416" t="s">
        <v>1674</v>
      </c>
      <c r="C15" s="415" t="s">
        <v>1673</v>
      </c>
      <c r="D15" s="478" t="s">
        <v>1674</v>
      </c>
      <c r="E15" s="478" t="s">
        <v>1673</v>
      </c>
      <c r="F15" s="416" t="s">
        <v>1674</v>
      </c>
      <c r="G15" s="415" t="s">
        <v>1673</v>
      </c>
      <c r="H15" s="478" t="s">
        <v>1674</v>
      </c>
      <c r="I15" s="415" t="s">
        <v>1673</v>
      </c>
    </row>
    <row r="16" spans="1:9" ht="26.25" x14ac:dyDescent="0.4">
      <c r="A16" s="414" t="s">
        <v>1940</v>
      </c>
      <c r="B16" s="456">
        <v>1.339</v>
      </c>
      <c r="C16" s="60"/>
      <c r="D16" s="455">
        <v>0</v>
      </c>
      <c r="E16" s="101"/>
      <c r="F16" s="456">
        <v>33.801000000000002</v>
      </c>
      <c r="G16" s="60"/>
      <c r="H16" s="455">
        <v>0.54</v>
      </c>
      <c r="I16" s="60"/>
    </row>
    <row r="17" spans="1:9" ht="13.15" x14ac:dyDescent="0.4">
      <c r="A17" s="454" t="s">
        <v>1671</v>
      </c>
      <c r="B17" s="412">
        <v>0</v>
      </c>
      <c r="C17" s="100"/>
      <c r="D17" s="194">
        <v>0</v>
      </c>
      <c r="E17" s="77"/>
      <c r="F17" s="412">
        <v>0</v>
      </c>
      <c r="G17" s="100"/>
      <c r="H17" s="194">
        <v>0</v>
      </c>
      <c r="I17" s="100"/>
    </row>
    <row r="18" spans="1:9" ht="13.15" x14ac:dyDescent="0.4">
      <c r="A18" s="131" t="s">
        <v>1670</v>
      </c>
      <c r="B18" s="59"/>
      <c r="C18" s="99"/>
      <c r="F18" s="59"/>
      <c r="G18" s="99"/>
      <c r="I18" s="99"/>
    </row>
    <row r="19" spans="1:9" x14ac:dyDescent="0.35">
      <c r="A19" s="59" t="s">
        <v>1668</v>
      </c>
      <c r="B19" s="477">
        <v>0</v>
      </c>
      <c r="C19" s="99"/>
      <c r="D19" s="254">
        <v>0</v>
      </c>
      <c r="F19" s="477">
        <v>0</v>
      </c>
      <c r="G19" s="99"/>
      <c r="H19" s="254">
        <v>0</v>
      </c>
      <c r="I19" s="99"/>
    </row>
    <row r="20" spans="1:9" x14ac:dyDescent="0.35">
      <c r="A20" s="59" t="s">
        <v>1667</v>
      </c>
      <c r="B20" s="477">
        <v>0.93</v>
      </c>
      <c r="C20" s="99" t="s">
        <v>1939</v>
      </c>
      <c r="D20" s="254">
        <v>0</v>
      </c>
      <c r="F20" s="477">
        <v>0</v>
      </c>
      <c r="G20" s="99"/>
      <c r="H20" s="254">
        <v>0</v>
      </c>
      <c r="I20" s="99"/>
    </row>
    <row r="21" spans="1:9" x14ac:dyDescent="0.35">
      <c r="A21" s="59" t="s">
        <v>1534</v>
      </c>
      <c r="B21" s="477">
        <v>0</v>
      </c>
      <c r="C21" s="99"/>
      <c r="D21" s="254">
        <v>0</v>
      </c>
      <c r="F21" s="477">
        <v>0.96499999999999997</v>
      </c>
      <c r="G21" s="99"/>
      <c r="H21" s="254">
        <v>0</v>
      </c>
      <c r="I21" s="99"/>
    </row>
    <row r="22" spans="1:9" x14ac:dyDescent="0.35">
      <c r="A22" s="59" t="s">
        <v>1535</v>
      </c>
      <c r="B22" s="477">
        <v>0</v>
      </c>
      <c r="C22" s="99"/>
      <c r="D22" s="254">
        <v>0</v>
      </c>
      <c r="F22" s="477">
        <v>0</v>
      </c>
      <c r="G22" s="99"/>
      <c r="H22" s="254">
        <v>0</v>
      </c>
      <c r="I22" s="99"/>
    </row>
    <row r="23" spans="1:9" x14ac:dyDescent="0.35">
      <c r="A23" s="59" t="s">
        <v>1664</v>
      </c>
      <c r="B23" s="477">
        <v>6.9999999999999951E-2</v>
      </c>
      <c r="C23" s="99"/>
      <c r="D23" s="254">
        <v>1</v>
      </c>
      <c r="F23" s="477">
        <v>3.5000000000000031E-2</v>
      </c>
      <c r="G23" s="99"/>
      <c r="H23" s="254">
        <v>1</v>
      </c>
      <c r="I23" s="99"/>
    </row>
    <row r="24" spans="1:9" ht="13.15" x14ac:dyDescent="0.4">
      <c r="A24" s="131" t="s">
        <v>1669</v>
      </c>
      <c r="B24" s="61"/>
      <c r="C24" s="60"/>
      <c r="D24" s="101"/>
      <c r="E24" s="101"/>
      <c r="F24" s="61"/>
      <c r="G24" s="60"/>
      <c r="H24" s="101"/>
      <c r="I24" s="60"/>
    </row>
    <row r="25" spans="1:9" x14ac:dyDescent="0.35">
      <c r="A25" s="59" t="s">
        <v>1668</v>
      </c>
      <c r="B25" s="451">
        <v>0</v>
      </c>
      <c r="C25" s="99"/>
      <c r="D25" s="476">
        <v>0</v>
      </c>
      <c r="F25" s="451">
        <v>0</v>
      </c>
      <c r="G25" s="99"/>
      <c r="H25" s="476">
        <v>0</v>
      </c>
      <c r="I25" s="99"/>
    </row>
    <row r="26" spans="1:9" x14ac:dyDescent="0.35">
      <c r="A26" s="59" t="s">
        <v>1667</v>
      </c>
      <c r="B26" s="451">
        <v>1.2452700000000001</v>
      </c>
      <c r="C26" s="99"/>
      <c r="D26" s="476">
        <v>0</v>
      </c>
      <c r="F26" s="451">
        <v>0</v>
      </c>
      <c r="G26" s="99"/>
      <c r="H26" s="476">
        <v>0</v>
      </c>
      <c r="I26" s="99"/>
    </row>
    <row r="27" spans="1:9" x14ac:dyDescent="0.35">
      <c r="A27" s="59" t="s">
        <v>1534</v>
      </c>
      <c r="B27" s="451">
        <v>0</v>
      </c>
      <c r="C27" s="99"/>
      <c r="D27" s="476">
        <v>0</v>
      </c>
      <c r="F27" s="451">
        <v>32.617964999999998</v>
      </c>
      <c r="G27" s="99"/>
      <c r="H27" s="476">
        <v>0</v>
      </c>
      <c r="I27" s="99"/>
    </row>
    <row r="28" spans="1:9" x14ac:dyDescent="0.35">
      <c r="A28" s="59" t="s">
        <v>1535</v>
      </c>
      <c r="B28" s="451">
        <v>0</v>
      </c>
      <c r="C28" s="99"/>
      <c r="D28" s="476">
        <v>0</v>
      </c>
      <c r="F28" s="451">
        <v>0</v>
      </c>
      <c r="G28" s="99"/>
      <c r="H28" s="476">
        <v>0</v>
      </c>
      <c r="I28" s="99"/>
    </row>
    <row r="29" spans="1:9" x14ac:dyDescent="0.35">
      <c r="A29" s="59" t="s">
        <v>1664</v>
      </c>
      <c r="B29" s="451">
        <v>9.3729999999999938E-2</v>
      </c>
      <c r="C29" s="99"/>
      <c r="D29" s="476">
        <v>0</v>
      </c>
      <c r="F29" s="451">
        <v>1.1830350000000012</v>
      </c>
      <c r="G29" s="99"/>
      <c r="H29" s="476">
        <v>0.54</v>
      </c>
      <c r="I29" s="99"/>
    </row>
    <row r="30" spans="1:9" x14ac:dyDescent="0.35">
      <c r="A30" s="57" t="s">
        <v>1932</v>
      </c>
      <c r="B30" s="474"/>
      <c r="C30" s="100"/>
      <c r="D30" s="475">
        <v>0.84</v>
      </c>
      <c r="E30" s="77"/>
      <c r="F30" s="474"/>
      <c r="G30" s="100"/>
      <c r="H30" s="473"/>
      <c r="I30" s="100"/>
    </row>
    <row r="31" spans="1:9" x14ac:dyDescent="0.35">
      <c r="A31" s="61" t="s">
        <v>1537</v>
      </c>
      <c r="B31" s="237">
        <v>1.6920721948584883</v>
      </c>
      <c r="C31" s="156"/>
      <c r="D31" s="157">
        <v>24.976271560037301</v>
      </c>
      <c r="E31" s="157"/>
      <c r="F31" s="237">
        <v>38.400011407517411</v>
      </c>
      <c r="G31" s="156"/>
      <c r="H31" s="157">
        <v>1.1191778286585157</v>
      </c>
      <c r="I31" s="156"/>
    </row>
    <row r="32" spans="1:9" x14ac:dyDescent="0.35">
      <c r="A32" s="59" t="s">
        <v>1536</v>
      </c>
      <c r="B32" s="232">
        <v>1.6472551663108683</v>
      </c>
      <c r="C32" s="144"/>
      <c r="D32" s="145">
        <v>24.865058185032055</v>
      </c>
      <c r="E32" s="145"/>
      <c r="F32" s="232">
        <v>37.906699848667422</v>
      </c>
      <c r="G32" s="144"/>
      <c r="H32" s="145">
        <v>0.90451748004182386</v>
      </c>
      <c r="I32" s="144"/>
    </row>
    <row r="33" spans="1:9" x14ac:dyDescent="0.35">
      <c r="A33" s="59" t="s">
        <v>1535</v>
      </c>
      <c r="B33" s="232">
        <v>0.10776418425987971</v>
      </c>
      <c r="C33" s="144"/>
      <c r="D33" s="145">
        <v>24.292789609537888</v>
      </c>
      <c r="E33" s="145"/>
      <c r="F33" s="232">
        <v>1.1911534796696457</v>
      </c>
      <c r="G33" s="144"/>
      <c r="H33" s="145">
        <v>0.51834011715940109</v>
      </c>
      <c r="I33" s="144"/>
    </row>
    <row r="34" spans="1:9" x14ac:dyDescent="0.35">
      <c r="A34" s="59" t="s">
        <v>1534</v>
      </c>
      <c r="B34" s="232">
        <v>0.22793771878343394</v>
      </c>
      <c r="C34" s="144"/>
      <c r="D34" s="145">
        <v>0.23057814118939085</v>
      </c>
      <c r="E34" s="145"/>
      <c r="F34" s="232">
        <v>36.544568205425463</v>
      </c>
      <c r="G34" s="144"/>
      <c r="H34" s="145">
        <v>0.36856356347211322</v>
      </c>
      <c r="I34" s="144"/>
    </row>
    <row r="35" spans="1:9" x14ac:dyDescent="0.35">
      <c r="A35" s="57" t="s">
        <v>1533</v>
      </c>
      <c r="B35" s="231">
        <v>1.3115532632675546</v>
      </c>
      <c r="C35" s="141"/>
      <c r="D35" s="142">
        <v>0.34169043430477636</v>
      </c>
      <c r="E35" s="142"/>
      <c r="F35" s="231">
        <v>0.17097816357231668</v>
      </c>
      <c r="G35" s="141"/>
      <c r="H35" s="142">
        <v>1.7613799410309543E-2</v>
      </c>
      <c r="I35" s="141"/>
    </row>
    <row r="36" spans="1:9" x14ac:dyDescent="0.35">
      <c r="A36" s="59" t="s">
        <v>1532</v>
      </c>
      <c r="B36" s="49">
        <v>47.14337541504446</v>
      </c>
      <c r="C36" s="47"/>
      <c r="D36" s="48">
        <v>132.23476424177807</v>
      </c>
      <c r="E36" s="48"/>
      <c r="F36" s="49">
        <v>340.49118934379453</v>
      </c>
      <c r="G36" s="47"/>
      <c r="H36" s="48">
        <v>107.66448634965541</v>
      </c>
      <c r="I36" s="47"/>
    </row>
    <row r="37" spans="1:9" ht="13.15" x14ac:dyDescent="0.4">
      <c r="A37" s="131" t="s">
        <v>1663</v>
      </c>
      <c r="B37" s="387"/>
      <c r="C37" s="381"/>
      <c r="D37" s="382"/>
      <c r="E37" s="382"/>
      <c r="F37" s="387"/>
      <c r="G37" s="381"/>
      <c r="H37" s="382"/>
      <c r="I37" s="381"/>
    </row>
    <row r="38" spans="1:9" x14ac:dyDescent="0.35">
      <c r="A38" s="59" t="s">
        <v>1525</v>
      </c>
      <c r="B38" s="232">
        <v>40.800688935302979</v>
      </c>
      <c r="C38" s="144"/>
      <c r="D38" s="145">
        <v>2241.5655499112709</v>
      </c>
      <c r="E38" s="145"/>
      <c r="F38" s="232">
        <v>437.3310398292079</v>
      </c>
      <c r="G38" s="144"/>
      <c r="H38" s="145">
        <v>8.1297741741544964</v>
      </c>
      <c r="I38" s="144"/>
    </row>
    <row r="39" spans="1:9" x14ac:dyDescent="0.35">
      <c r="A39" s="59" t="s">
        <v>1524</v>
      </c>
      <c r="B39" s="232">
        <v>121.83971899889355</v>
      </c>
      <c r="C39" s="144"/>
      <c r="D39" s="145">
        <v>569.03614467848035</v>
      </c>
      <c r="E39" s="145"/>
      <c r="F39" s="232">
        <v>1817.5734275728735</v>
      </c>
      <c r="G39" s="144"/>
      <c r="H39" s="145">
        <v>22.701840795959637</v>
      </c>
      <c r="I39" s="144"/>
    </row>
    <row r="40" spans="1:9" x14ac:dyDescent="0.35">
      <c r="A40" s="59" t="s">
        <v>1523</v>
      </c>
      <c r="B40" s="232">
        <v>292.36975820058831</v>
      </c>
      <c r="C40" s="144"/>
      <c r="D40" s="145">
        <v>890.07181566954114</v>
      </c>
      <c r="E40" s="145"/>
      <c r="F40" s="232">
        <v>2604.2150537261641</v>
      </c>
      <c r="G40" s="144"/>
      <c r="H40" s="145">
        <v>50.986429198938531</v>
      </c>
      <c r="I40" s="144"/>
    </row>
    <row r="41" spans="1:9" x14ac:dyDescent="0.35">
      <c r="A41" s="59" t="s">
        <v>1522</v>
      </c>
      <c r="B41" s="232">
        <v>12.440472992139222</v>
      </c>
      <c r="C41" s="144"/>
      <c r="D41" s="145">
        <v>1130.1060157086683</v>
      </c>
      <c r="E41" s="145"/>
      <c r="F41" s="232">
        <v>150.02377500942202</v>
      </c>
      <c r="G41" s="144"/>
      <c r="H41" s="145">
        <v>9.2086631009111368</v>
      </c>
      <c r="I41" s="144"/>
    </row>
    <row r="42" spans="1:9" x14ac:dyDescent="0.35">
      <c r="A42" s="59" t="s">
        <v>1521</v>
      </c>
      <c r="B42" s="232">
        <v>6.8029313240530733</v>
      </c>
      <c r="C42" s="144"/>
      <c r="D42" s="145">
        <v>503.66740060967032</v>
      </c>
      <c r="E42" s="145"/>
      <c r="F42" s="232">
        <v>136.93492184061873</v>
      </c>
      <c r="G42" s="144"/>
      <c r="H42" s="145">
        <v>4.0077589473157325</v>
      </c>
      <c r="I42" s="144"/>
    </row>
    <row r="43" spans="1:9" x14ac:dyDescent="0.35">
      <c r="A43" s="59" t="s">
        <v>1520</v>
      </c>
      <c r="B43" s="232">
        <v>43.294086345957609</v>
      </c>
      <c r="C43" s="144"/>
      <c r="D43" s="145">
        <v>3179.7063151352354</v>
      </c>
      <c r="E43" s="145"/>
      <c r="F43" s="232">
        <v>691.02307248340503</v>
      </c>
      <c r="G43" s="144"/>
      <c r="H43" s="145">
        <v>138.46355384705083</v>
      </c>
      <c r="I43" s="144"/>
    </row>
    <row r="44" spans="1:9" x14ac:dyDescent="0.35">
      <c r="A44" s="59" t="s">
        <v>1519</v>
      </c>
      <c r="B44" s="232">
        <v>0.71598366748946496</v>
      </c>
      <c r="C44" s="144"/>
      <c r="D44" s="145">
        <v>2.9729206274347684</v>
      </c>
      <c r="E44" s="145"/>
      <c r="F44" s="232">
        <v>23.82100948201467</v>
      </c>
      <c r="G44" s="144"/>
      <c r="H44" s="145">
        <v>0.29685163759722943</v>
      </c>
      <c r="I44" s="144"/>
    </row>
    <row r="45" spans="1:9" x14ac:dyDescent="0.35">
      <c r="A45" s="59" t="s">
        <v>1518</v>
      </c>
      <c r="B45" s="232">
        <v>1.3185311134098199</v>
      </c>
      <c r="C45" s="144"/>
      <c r="D45" s="145">
        <v>8.5470765838346345</v>
      </c>
      <c r="E45" s="145"/>
      <c r="F45" s="232">
        <v>55.417252928153175</v>
      </c>
      <c r="G45" s="144"/>
      <c r="H45" s="145">
        <v>0.69689332857486319</v>
      </c>
      <c r="I45" s="144"/>
    </row>
    <row r="46" spans="1:9" x14ac:dyDescent="0.35">
      <c r="A46" s="59" t="s">
        <v>1531</v>
      </c>
      <c r="B46" s="232">
        <v>191.00382728335131</v>
      </c>
      <c r="C46" s="144"/>
      <c r="D46" s="145">
        <v>3274.6178498285681</v>
      </c>
      <c r="E46" s="145"/>
      <c r="F46" s="232">
        <v>7559.5469128141049</v>
      </c>
      <c r="G46" s="144"/>
      <c r="H46" s="145">
        <v>143.60980232542693</v>
      </c>
      <c r="I46" s="144"/>
    </row>
    <row r="47" spans="1:9" x14ac:dyDescent="0.35">
      <c r="A47" s="59" t="s">
        <v>1530</v>
      </c>
      <c r="B47" s="232">
        <v>0.65312721182971301</v>
      </c>
      <c r="C47" s="144"/>
      <c r="D47" s="145">
        <v>2.3333167968069293</v>
      </c>
      <c r="E47" s="145"/>
      <c r="F47" s="232">
        <v>73.2156570872815</v>
      </c>
      <c r="G47" s="144"/>
      <c r="H47" s="145">
        <v>1.1628677911989092</v>
      </c>
      <c r="I47" s="144"/>
    </row>
    <row r="48" spans="1:9" x14ac:dyDescent="0.35">
      <c r="A48" s="57" t="s">
        <v>1529</v>
      </c>
      <c r="B48" s="45">
        <v>127778.51474294106</v>
      </c>
      <c r="C48" s="150"/>
      <c r="D48" s="44">
        <v>302402.6743573948</v>
      </c>
      <c r="E48" s="151"/>
      <c r="F48" s="45">
        <v>2299920.6880451976</v>
      </c>
      <c r="G48" s="150"/>
      <c r="H48" s="44">
        <v>75242.277673256714</v>
      </c>
      <c r="I48" s="150"/>
    </row>
    <row r="49" spans="1:11" ht="13.15" x14ac:dyDescent="0.4">
      <c r="A49" s="128" t="s">
        <v>1662</v>
      </c>
      <c r="B49" s="240"/>
      <c r="C49" s="153"/>
      <c r="D49" s="154"/>
      <c r="E49" s="154"/>
      <c r="F49" s="240"/>
      <c r="G49" s="153"/>
      <c r="H49" s="154"/>
      <c r="I49" s="153"/>
    </row>
    <row r="50" spans="1:11" x14ac:dyDescent="0.35">
      <c r="A50" s="59" t="s">
        <v>1525</v>
      </c>
      <c r="B50" s="232">
        <v>3.8805414494012656</v>
      </c>
      <c r="C50" s="147"/>
      <c r="D50" s="145">
        <v>1.9113554896024685</v>
      </c>
      <c r="E50" s="148"/>
      <c r="F50" s="232">
        <v>20.827105016034</v>
      </c>
      <c r="G50" s="147"/>
      <c r="H50" s="145">
        <v>0.57883797829232131</v>
      </c>
      <c r="I50" s="147"/>
    </row>
    <row r="51" spans="1:11" x14ac:dyDescent="0.35">
      <c r="A51" s="59" t="s">
        <v>1524</v>
      </c>
      <c r="B51" s="232">
        <v>3.6187065838315449</v>
      </c>
      <c r="C51" s="147"/>
      <c r="D51" s="145">
        <v>5.0889677222809571</v>
      </c>
      <c r="E51" s="148"/>
      <c r="F51" s="232">
        <v>104.06625156724073</v>
      </c>
      <c r="G51" s="147"/>
      <c r="H51" s="145">
        <v>4.530133641607855</v>
      </c>
      <c r="I51" s="147"/>
    </row>
    <row r="52" spans="1:11" x14ac:dyDescent="0.35">
      <c r="A52" s="59" t="s">
        <v>1523</v>
      </c>
      <c r="B52" s="232">
        <v>7.16818355627729</v>
      </c>
      <c r="C52" s="147"/>
      <c r="D52" s="145">
        <v>21.906691158258376</v>
      </c>
      <c r="E52" s="148"/>
      <c r="F52" s="232">
        <v>138.61805570052729</v>
      </c>
      <c r="G52" s="147"/>
      <c r="H52" s="145">
        <v>11.864418366094762</v>
      </c>
      <c r="I52" s="147"/>
    </row>
    <row r="53" spans="1:11" x14ac:dyDescent="0.35">
      <c r="A53" s="59" t="s">
        <v>1522</v>
      </c>
      <c r="B53" s="232">
        <v>1.0124289742826835</v>
      </c>
      <c r="C53" s="147"/>
      <c r="D53" s="145">
        <v>1.3653795034457676</v>
      </c>
      <c r="E53" s="148"/>
      <c r="F53" s="232">
        <v>3.7161860645272999</v>
      </c>
      <c r="G53" s="147"/>
      <c r="H53" s="145">
        <v>1.4621497190541703</v>
      </c>
      <c r="I53" s="147"/>
    </row>
    <row r="54" spans="1:11" x14ac:dyDescent="0.35">
      <c r="A54" s="59" t="s">
        <v>1521</v>
      </c>
      <c r="B54" s="232">
        <v>0.77730219568954984</v>
      </c>
      <c r="C54" s="147"/>
      <c r="D54" s="145">
        <v>1.112147791486821</v>
      </c>
      <c r="E54" s="148"/>
      <c r="F54" s="232">
        <v>2.8027776991031859</v>
      </c>
      <c r="G54" s="147"/>
      <c r="H54" s="145">
        <v>1.0762546369427881</v>
      </c>
      <c r="I54" s="147"/>
    </row>
    <row r="55" spans="1:11" x14ac:dyDescent="0.35">
      <c r="A55" s="59" t="s">
        <v>1520</v>
      </c>
      <c r="B55" s="232">
        <v>14.444092933020759</v>
      </c>
      <c r="C55" s="147"/>
      <c r="D55" s="145">
        <v>26.482420251232998</v>
      </c>
      <c r="E55" s="148"/>
      <c r="F55" s="232">
        <v>116.79838126119431</v>
      </c>
      <c r="G55" s="147"/>
      <c r="H55" s="145">
        <v>49.048896112331683</v>
      </c>
      <c r="I55" s="147"/>
    </row>
    <row r="56" spans="1:11" x14ac:dyDescent="0.35">
      <c r="A56" s="59" t="s">
        <v>1519</v>
      </c>
      <c r="B56" s="232">
        <v>8.4577391602542573E-2</v>
      </c>
      <c r="C56" s="147"/>
      <c r="D56" s="145">
        <v>8.6265210942578385E-2</v>
      </c>
      <c r="E56" s="148"/>
      <c r="F56" s="232">
        <v>0.22512077284576165</v>
      </c>
      <c r="G56" s="147"/>
      <c r="H56" s="145">
        <v>6.411930226775843E-2</v>
      </c>
      <c r="I56" s="147"/>
    </row>
    <row r="57" spans="1:11" x14ac:dyDescent="0.35">
      <c r="A57" s="57" t="s">
        <v>1518</v>
      </c>
      <c r="B57" s="231">
        <v>0.131875161669917</v>
      </c>
      <c r="C57" s="443"/>
      <c r="D57" s="142">
        <v>0.47403685088581288</v>
      </c>
      <c r="E57" s="444"/>
      <c r="F57" s="231">
        <v>0.49737454504802781</v>
      </c>
      <c r="G57" s="443"/>
      <c r="H57" s="142">
        <v>0.16497517276036491</v>
      </c>
      <c r="I57" s="443"/>
    </row>
    <row r="59" spans="1:11" ht="13.9" x14ac:dyDescent="0.4">
      <c r="A59" s="72" t="s">
        <v>1974</v>
      </c>
    </row>
    <row r="60" spans="1:11" ht="39" customHeight="1" x14ac:dyDescent="0.4">
      <c r="A60" s="61"/>
      <c r="B60" s="180" t="s">
        <v>1328</v>
      </c>
      <c r="C60" s="472" t="s">
        <v>1327</v>
      </c>
      <c r="D60" s="179" t="s">
        <v>1326</v>
      </c>
      <c r="E60" s="180" t="s">
        <v>1310</v>
      </c>
      <c r="F60" s="2191" t="s">
        <v>1973</v>
      </c>
      <c r="G60" s="2192"/>
      <c r="H60" s="2196" t="s">
        <v>1972</v>
      </c>
      <c r="I60" s="2196"/>
      <c r="J60" s="2191" t="s">
        <v>324</v>
      </c>
      <c r="K60" s="2192"/>
    </row>
    <row r="61" spans="1:11" ht="13.15" x14ac:dyDescent="0.4">
      <c r="A61" s="131" t="s">
        <v>1632</v>
      </c>
      <c r="B61" s="134"/>
      <c r="C61" s="243"/>
      <c r="D61" s="133"/>
      <c r="E61" s="134"/>
      <c r="F61" s="428" t="s">
        <v>1873</v>
      </c>
      <c r="G61" s="470" t="s">
        <v>1872</v>
      </c>
      <c r="H61" s="470" t="s">
        <v>1873</v>
      </c>
      <c r="I61" s="471" t="s">
        <v>1872</v>
      </c>
      <c r="J61" s="428" t="s">
        <v>1873</v>
      </c>
      <c r="K61" s="470" t="s">
        <v>1872</v>
      </c>
    </row>
    <row r="62" spans="1:11" x14ac:dyDescent="0.35">
      <c r="A62" s="59" t="s">
        <v>1537</v>
      </c>
      <c r="B62" s="145">
        <v>1.6920721948584883</v>
      </c>
      <c r="C62" s="232">
        <v>24.976271560037301</v>
      </c>
      <c r="D62" s="144">
        <v>38.400011407517411</v>
      </c>
      <c r="E62" s="145">
        <v>1.1191778286585157</v>
      </c>
      <c r="F62" s="146">
        <v>27.787521583554305</v>
      </c>
      <c r="G62" s="144">
        <v>1.3893760791777152E-2</v>
      </c>
      <c r="H62" s="144">
        <v>41.211261431034416</v>
      </c>
      <c r="I62" s="145">
        <v>2.0605630715517208E-2</v>
      </c>
      <c r="J62" s="146">
        <v>29.801082560676321</v>
      </c>
      <c r="K62" s="144">
        <v>1.490054128033816E-2</v>
      </c>
    </row>
    <row r="63" spans="1:11" x14ac:dyDescent="0.35">
      <c r="A63" s="59" t="s">
        <v>1536</v>
      </c>
      <c r="B63" s="145">
        <v>1.6472551663108683</v>
      </c>
      <c r="C63" s="232">
        <v>24.865058185032055</v>
      </c>
      <c r="D63" s="144">
        <v>37.906699848667422</v>
      </c>
      <c r="E63" s="145">
        <v>0.90451748004182386</v>
      </c>
      <c r="F63" s="146">
        <v>27.416830831384747</v>
      </c>
      <c r="G63" s="144">
        <v>1.3708415415692373E-2</v>
      </c>
      <c r="H63" s="144">
        <v>40.458472495020118</v>
      </c>
      <c r="I63" s="145">
        <v>2.0229236247510059E-2</v>
      </c>
      <c r="J63" s="146">
        <v>29.373077080930052</v>
      </c>
      <c r="K63" s="144">
        <v>1.4686538540465026E-2</v>
      </c>
    </row>
    <row r="64" spans="1:11" x14ac:dyDescent="0.35">
      <c r="A64" s="59" t="s">
        <v>1535</v>
      </c>
      <c r="B64" s="145">
        <v>0.10776418425987971</v>
      </c>
      <c r="C64" s="232">
        <v>24.292789609537888</v>
      </c>
      <c r="D64" s="144">
        <v>1.1911534796696457</v>
      </c>
      <c r="E64" s="145">
        <v>0.51834011715940109</v>
      </c>
      <c r="F64" s="146">
        <v>24.918893910957166</v>
      </c>
      <c r="G64" s="144">
        <v>1.2459446955478582E-2</v>
      </c>
      <c r="H64" s="144">
        <v>1.8172577810889265</v>
      </c>
      <c r="I64" s="145">
        <v>9.0862889054446323E-4</v>
      </c>
      <c r="J64" s="146">
        <v>21.45364849147693</v>
      </c>
      <c r="K64" s="144">
        <v>1.0726824245738465E-2</v>
      </c>
    </row>
    <row r="65" spans="1:11" x14ac:dyDescent="0.35">
      <c r="A65" s="59" t="s">
        <v>1534</v>
      </c>
      <c r="B65" s="145">
        <v>0.22793771878343394</v>
      </c>
      <c r="C65" s="232">
        <v>0.23057814118939085</v>
      </c>
      <c r="D65" s="144">
        <v>36.544568205425463</v>
      </c>
      <c r="E65" s="145">
        <v>0.36856356347211322</v>
      </c>
      <c r="F65" s="146">
        <v>0.82707942344493801</v>
      </c>
      <c r="G65" s="144">
        <v>4.1353971172247001E-4</v>
      </c>
      <c r="H65" s="144">
        <v>37.141069487681015</v>
      </c>
      <c r="I65" s="145">
        <v>1.8570534743840506E-2</v>
      </c>
      <c r="J65" s="146">
        <v>6.2741779330803507</v>
      </c>
      <c r="K65" s="144">
        <v>3.1370889665401748E-3</v>
      </c>
    </row>
    <row r="66" spans="1:11" x14ac:dyDescent="0.35">
      <c r="A66" s="57" t="s">
        <v>1533</v>
      </c>
      <c r="B66" s="142">
        <v>1.3115532632675546</v>
      </c>
      <c r="C66" s="231">
        <v>0.34169043430477636</v>
      </c>
      <c r="D66" s="141">
        <v>0.17097816357231668</v>
      </c>
      <c r="E66" s="142">
        <v>1.7613799410309543E-2</v>
      </c>
      <c r="F66" s="143">
        <v>1.6708574969826406</v>
      </c>
      <c r="G66" s="141">
        <v>8.3542874849132029E-4</v>
      </c>
      <c r="H66" s="141">
        <v>1.5001452262501809</v>
      </c>
      <c r="I66" s="142">
        <v>7.5007261312509048E-4</v>
      </c>
      <c r="J66" s="143">
        <v>1.6452506563727718</v>
      </c>
      <c r="K66" s="141">
        <v>8.2262532818638584E-4</v>
      </c>
    </row>
    <row r="67" spans="1:11" x14ac:dyDescent="0.35">
      <c r="A67" s="59" t="s">
        <v>1532</v>
      </c>
      <c r="B67" s="48">
        <v>47.14337541504446</v>
      </c>
      <c r="C67" s="49">
        <v>132.23476424177807</v>
      </c>
      <c r="D67" s="47">
        <v>340.49118934379453</v>
      </c>
      <c r="E67" s="48">
        <v>107.66448634965541</v>
      </c>
      <c r="F67" s="155">
        <v>287.04262600647792</v>
      </c>
      <c r="G67" s="144">
        <v>0.14352131300323895</v>
      </c>
      <c r="H67" s="47">
        <v>495.29905110849444</v>
      </c>
      <c r="I67" s="145">
        <v>0.24764952555424721</v>
      </c>
      <c r="J67" s="155">
        <v>318.28108977178039</v>
      </c>
      <c r="K67" s="144">
        <v>0.15914054488589019</v>
      </c>
    </row>
    <row r="68" spans="1:11" ht="13.15" x14ac:dyDescent="0.4">
      <c r="A68" s="131" t="s">
        <v>1663</v>
      </c>
      <c r="B68" s="157"/>
      <c r="C68" s="237"/>
      <c r="D68" s="156"/>
      <c r="E68" s="157"/>
      <c r="F68" s="429" t="s">
        <v>1873</v>
      </c>
      <c r="G68" s="381" t="s">
        <v>1872</v>
      </c>
      <c r="H68" s="381" t="s">
        <v>1873</v>
      </c>
      <c r="I68" s="382" t="s">
        <v>1872</v>
      </c>
      <c r="J68" s="429" t="s">
        <v>1873</v>
      </c>
      <c r="K68" s="381" t="s">
        <v>1872</v>
      </c>
    </row>
    <row r="69" spans="1:11" x14ac:dyDescent="0.35">
      <c r="A69" s="59" t="s">
        <v>1525</v>
      </c>
      <c r="B69" s="145">
        <v>40.800688935302979</v>
      </c>
      <c r="C69" s="232">
        <v>2241.5655499112709</v>
      </c>
      <c r="D69" s="144">
        <v>437.3310398292079</v>
      </c>
      <c r="E69" s="145">
        <v>8.1297741741544964</v>
      </c>
      <c r="F69" s="146">
        <v>2290.4960130207282</v>
      </c>
      <c r="G69" s="144">
        <v>1.1452480065103641</v>
      </c>
      <c r="H69" s="144">
        <v>486.26150293866533</v>
      </c>
      <c r="I69" s="145">
        <v>0.24313075146933266</v>
      </c>
      <c r="J69" s="146">
        <v>2019.8608365084187</v>
      </c>
      <c r="K69" s="144">
        <v>1.0099304182542093</v>
      </c>
    </row>
    <row r="70" spans="1:11" x14ac:dyDescent="0.35">
      <c r="A70" s="59" t="s">
        <v>1524</v>
      </c>
      <c r="B70" s="145">
        <v>121.83971899889355</v>
      </c>
      <c r="C70" s="232">
        <v>569.03614467848035</v>
      </c>
      <c r="D70" s="144">
        <v>1817.5734275728735</v>
      </c>
      <c r="E70" s="145">
        <v>22.701840795959637</v>
      </c>
      <c r="F70" s="146">
        <v>713.57770447333348</v>
      </c>
      <c r="G70" s="144">
        <v>0.35678885223666673</v>
      </c>
      <c r="H70" s="144">
        <v>1962.1149873677266</v>
      </c>
      <c r="I70" s="145">
        <v>0.9810574936838633</v>
      </c>
      <c r="J70" s="146">
        <v>900.85829690749244</v>
      </c>
      <c r="K70" s="144">
        <v>0.45042914845374621</v>
      </c>
    </row>
    <row r="71" spans="1:11" x14ac:dyDescent="0.35">
      <c r="A71" s="59" t="s">
        <v>1563</v>
      </c>
      <c r="B71" s="145">
        <v>292.36975820058831</v>
      </c>
      <c r="C71" s="232">
        <v>890.07181566954114</v>
      </c>
      <c r="D71" s="144">
        <v>2604.2150537261641</v>
      </c>
      <c r="E71" s="145">
        <v>50.986429198938531</v>
      </c>
      <c r="F71" s="146">
        <v>1233.4280030690682</v>
      </c>
      <c r="G71" s="144">
        <v>0.61671400153453404</v>
      </c>
      <c r="H71" s="144">
        <v>2947.5712411256909</v>
      </c>
      <c r="I71" s="145">
        <v>1.4737856205628455</v>
      </c>
      <c r="J71" s="146">
        <v>1490.5494887775617</v>
      </c>
      <c r="K71" s="144">
        <v>0.74527474438878083</v>
      </c>
    </row>
    <row r="72" spans="1:11" x14ac:dyDescent="0.35">
      <c r="A72" s="59" t="s">
        <v>1522</v>
      </c>
      <c r="B72" s="145">
        <v>12.440472992139222</v>
      </c>
      <c r="C72" s="232">
        <v>1130.1060157086683</v>
      </c>
      <c r="D72" s="144">
        <v>150.02377500942202</v>
      </c>
      <c r="E72" s="145">
        <v>9.2086631009111368</v>
      </c>
      <c r="F72" s="146">
        <v>1151.7551518017185</v>
      </c>
      <c r="G72" s="144">
        <v>0.57587757590085931</v>
      </c>
      <c r="H72" s="144">
        <v>171.6729111024724</v>
      </c>
      <c r="I72" s="145">
        <v>8.5836455551236202E-2</v>
      </c>
      <c r="J72" s="146">
        <v>1004.7428156968316</v>
      </c>
      <c r="K72" s="144">
        <v>0.50237140784841583</v>
      </c>
    </row>
    <row r="73" spans="1:11" x14ac:dyDescent="0.35">
      <c r="A73" s="59" t="s">
        <v>1521</v>
      </c>
      <c r="B73" s="145">
        <v>6.8029313240530733</v>
      </c>
      <c r="C73" s="232">
        <v>503.66740060967032</v>
      </c>
      <c r="D73" s="144">
        <v>136.93492184061873</v>
      </c>
      <c r="E73" s="145">
        <v>4.0077589473157325</v>
      </c>
      <c r="F73" s="146">
        <v>514.47809088103918</v>
      </c>
      <c r="G73" s="144">
        <v>0.25723904544051956</v>
      </c>
      <c r="H73" s="144">
        <v>147.74561211198753</v>
      </c>
      <c r="I73" s="145">
        <v>7.3872806055993764E-2</v>
      </c>
      <c r="J73" s="146">
        <v>459.46821906568141</v>
      </c>
      <c r="K73" s="144">
        <v>0.22973410953284071</v>
      </c>
    </row>
    <row r="74" spans="1:11" x14ac:dyDescent="0.35">
      <c r="A74" s="59" t="s">
        <v>1520</v>
      </c>
      <c r="B74" s="145">
        <v>43.294086345957609</v>
      </c>
      <c r="C74" s="232">
        <v>3179.7063151352354</v>
      </c>
      <c r="D74" s="144">
        <v>691.02307248340503</v>
      </c>
      <c r="E74" s="145">
        <v>138.46355384705083</v>
      </c>
      <c r="F74" s="146">
        <v>3361.4639553282436</v>
      </c>
      <c r="G74" s="144">
        <v>1.6807319776641219</v>
      </c>
      <c r="H74" s="144">
        <v>872.78071267641349</v>
      </c>
      <c r="I74" s="145">
        <v>0.43639035633820672</v>
      </c>
      <c r="J74" s="146">
        <v>2988.1614689304688</v>
      </c>
      <c r="K74" s="144">
        <v>1.4940807344652345</v>
      </c>
    </row>
    <row r="75" spans="1:11" x14ac:dyDescent="0.35">
      <c r="A75" s="59" t="s">
        <v>1519</v>
      </c>
      <c r="B75" s="145">
        <v>0.71598366748946496</v>
      </c>
      <c r="C75" s="232">
        <v>2.9729206274347684</v>
      </c>
      <c r="D75" s="144">
        <v>23.82100948201467</v>
      </c>
      <c r="E75" s="145">
        <v>0.29685163759722943</v>
      </c>
      <c r="F75" s="146">
        <v>3.9857559325214629</v>
      </c>
      <c r="G75" s="144">
        <v>1.9928779662607313E-3</v>
      </c>
      <c r="H75" s="144">
        <v>24.833844787101363</v>
      </c>
      <c r="I75" s="145">
        <v>1.2416922393550682E-2</v>
      </c>
      <c r="J75" s="146">
        <v>7.1129692607084483</v>
      </c>
      <c r="K75" s="144">
        <v>3.5564846303542241E-3</v>
      </c>
    </row>
    <row r="76" spans="1:11" x14ac:dyDescent="0.35">
      <c r="A76" s="59" t="s">
        <v>1518</v>
      </c>
      <c r="B76" s="145">
        <v>1.3185311134098199</v>
      </c>
      <c r="C76" s="232">
        <v>8.5470765838346345</v>
      </c>
      <c r="D76" s="144">
        <v>55.417252928153175</v>
      </c>
      <c r="E76" s="145">
        <v>0.69689332857486319</v>
      </c>
      <c r="F76" s="146">
        <v>10.562501025819317</v>
      </c>
      <c r="G76" s="144">
        <v>5.2812505129096587E-3</v>
      </c>
      <c r="H76" s="144">
        <v>57.43267737013786</v>
      </c>
      <c r="I76" s="145">
        <v>2.871633868506893E-2</v>
      </c>
      <c r="J76" s="146">
        <v>17.5930274774671</v>
      </c>
      <c r="K76" s="144">
        <v>8.7965137387335506E-3</v>
      </c>
    </row>
    <row r="77" spans="1:11" x14ac:dyDescent="0.35">
      <c r="A77" s="59" t="s">
        <v>1531</v>
      </c>
      <c r="B77" s="145">
        <v>191.00382728335131</v>
      </c>
      <c r="C77" s="232">
        <v>3274.6178498285681</v>
      </c>
      <c r="D77" s="144">
        <v>7559.5469128141049</v>
      </c>
      <c r="E77" s="145">
        <v>143.60980232542693</v>
      </c>
      <c r="F77" s="146">
        <v>3609.231479437346</v>
      </c>
      <c r="G77" s="144">
        <v>1.8046157397186731</v>
      </c>
      <c r="H77" s="144">
        <v>7894.1605424228837</v>
      </c>
      <c r="I77" s="145">
        <v>3.9470802712114419</v>
      </c>
      <c r="J77" s="146">
        <v>4251.9708388851768</v>
      </c>
      <c r="K77" s="144">
        <v>2.1259854194425882</v>
      </c>
    </row>
    <row r="78" spans="1:11" x14ac:dyDescent="0.35">
      <c r="A78" s="59" t="s">
        <v>1530</v>
      </c>
      <c r="B78" s="145">
        <v>0.65312721182971301</v>
      </c>
      <c r="C78" s="232">
        <v>2.3333167968069293</v>
      </c>
      <c r="D78" s="144">
        <v>73.2156570872815</v>
      </c>
      <c r="E78" s="145">
        <v>1.1628677911989092</v>
      </c>
      <c r="F78" s="146">
        <v>4.1493117998355515</v>
      </c>
      <c r="G78" s="144">
        <v>2.0746558999177756E-3</v>
      </c>
      <c r="H78" s="144">
        <v>75.031652090310118</v>
      </c>
      <c r="I78" s="145">
        <v>3.7515826045155062E-2</v>
      </c>
      <c r="J78" s="146">
        <v>14.781662843406737</v>
      </c>
      <c r="K78" s="144">
        <v>7.3908314217033689E-3</v>
      </c>
    </row>
    <row r="79" spans="1:11" x14ac:dyDescent="0.35">
      <c r="A79" s="59" t="s">
        <v>1529</v>
      </c>
      <c r="B79" s="154">
        <v>127778.51474294106</v>
      </c>
      <c r="C79" s="240">
        <v>302402.6743573948</v>
      </c>
      <c r="D79" s="153">
        <v>2299920.6880451976</v>
      </c>
      <c r="E79" s="154">
        <v>75242.277673256714</v>
      </c>
      <c r="F79" s="239">
        <v>505423.46677359258</v>
      </c>
      <c r="G79" s="153">
        <v>252.71173338679628</v>
      </c>
      <c r="H79" s="153">
        <v>2502941.4804613953</v>
      </c>
      <c r="I79" s="154">
        <v>1251.4707402306976</v>
      </c>
      <c r="J79" s="239">
        <v>805051.16882676305</v>
      </c>
      <c r="K79" s="153">
        <v>402.52558441338152</v>
      </c>
    </row>
    <row r="80" spans="1:11" x14ac:dyDescent="0.35">
      <c r="A80" s="59" t="s">
        <v>1528</v>
      </c>
      <c r="B80" s="154">
        <v>128097.13930569244</v>
      </c>
      <c r="C80" s="240">
        <v>310283.08664387494</v>
      </c>
      <c r="D80" s="153">
        <v>2304139.8899340895</v>
      </c>
      <c r="E80" s="154">
        <v>75303.28979068363</v>
      </c>
      <c r="F80" s="239">
        <v>513683.51574025105</v>
      </c>
      <c r="G80" s="153">
        <v>256.84175787012555</v>
      </c>
      <c r="H80" s="153">
        <v>2507540.3190304656</v>
      </c>
      <c r="I80" s="154">
        <v>1253.7701595152328</v>
      </c>
      <c r="J80" s="239">
        <v>812762.03623378323</v>
      </c>
      <c r="K80" s="153">
        <v>406.3810181168916</v>
      </c>
    </row>
    <row r="81" spans="1:11" x14ac:dyDescent="0.35">
      <c r="A81" s="57" t="s">
        <v>1527</v>
      </c>
      <c r="B81" s="151">
        <v>134000.33283532786</v>
      </c>
      <c r="C81" s="389">
        <v>409139.95108988578</v>
      </c>
      <c r="D81" s="150">
        <v>2550328.4464466423</v>
      </c>
      <c r="E81" s="151">
        <v>79919.743825114143</v>
      </c>
      <c r="F81" s="435">
        <v>623060.02775032783</v>
      </c>
      <c r="G81" s="150">
        <v>311.53001387516395</v>
      </c>
      <c r="H81" s="150">
        <v>2764248.5231070844</v>
      </c>
      <c r="I81" s="151">
        <v>1382.1242615535421</v>
      </c>
      <c r="J81" s="435">
        <v>944238.3020538413</v>
      </c>
      <c r="K81" s="150">
        <v>472.11915102692063</v>
      </c>
    </row>
    <row r="82" spans="1:11" ht="13.15" x14ac:dyDescent="0.4">
      <c r="A82" s="128" t="s">
        <v>1662</v>
      </c>
      <c r="B82" s="48"/>
      <c r="C82" s="49"/>
      <c r="D82" s="47"/>
      <c r="E82" s="48"/>
      <c r="F82" s="429" t="s">
        <v>1873</v>
      </c>
      <c r="G82" s="381" t="s">
        <v>1872</v>
      </c>
      <c r="H82" s="381" t="s">
        <v>1873</v>
      </c>
      <c r="I82" s="469" t="s">
        <v>1872</v>
      </c>
      <c r="J82" s="468" t="s">
        <v>1873</v>
      </c>
      <c r="K82" s="467" t="s">
        <v>1872</v>
      </c>
    </row>
    <row r="83" spans="1:11" x14ac:dyDescent="0.35">
      <c r="A83" s="59" t="s">
        <v>1525</v>
      </c>
      <c r="B83" s="145">
        <v>3.8805414494012656</v>
      </c>
      <c r="C83" s="232">
        <v>1.9113554896024685</v>
      </c>
      <c r="D83" s="144">
        <v>20.827105016034</v>
      </c>
      <c r="E83" s="145">
        <v>0.57883797829232131</v>
      </c>
      <c r="F83" s="146">
        <v>6.3707349172960548</v>
      </c>
      <c r="G83" s="144">
        <v>3.1853674586480273E-3</v>
      </c>
      <c r="H83" s="144">
        <v>25.286484443727588</v>
      </c>
      <c r="I83" s="145">
        <v>1.2643242221863794E-2</v>
      </c>
      <c r="J83" s="146">
        <v>9.2080973462607858</v>
      </c>
      <c r="K83" s="144">
        <v>4.6040486731303929E-3</v>
      </c>
    </row>
    <row r="84" spans="1:11" x14ac:dyDescent="0.35">
      <c r="A84" s="59" t="s">
        <v>1524</v>
      </c>
      <c r="B84" s="145">
        <v>3.6187065838315449</v>
      </c>
      <c r="C84" s="232">
        <v>5.0889677222809571</v>
      </c>
      <c r="D84" s="144">
        <v>104.06625156724073</v>
      </c>
      <c r="E84" s="145">
        <v>4.530133641607855</v>
      </c>
      <c r="F84" s="146">
        <v>13.237807947720356</v>
      </c>
      <c r="G84" s="144">
        <v>6.618903973860178E-3</v>
      </c>
      <c r="H84" s="144">
        <v>112.21509179268013</v>
      </c>
      <c r="I84" s="145">
        <v>5.6107545896340066E-2</v>
      </c>
      <c r="J84" s="146">
        <v>28.084400524464321</v>
      </c>
      <c r="K84" s="144">
        <v>1.4042200262232161E-2</v>
      </c>
    </row>
    <row r="85" spans="1:11" x14ac:dyDescent="0.35">
      <c r="A85" s="59" t="s">
        <v>1523</v>
      </c>
      <c r="B85" s="145">
        <v>7.16818355627729</v>
      </c>
      <c r="C85" s="232">
        <v>21.906691158258376</v>
      </c>
      <c r="D85" s="144">
        <v>138.61805570052729</v>
      </c>
      <c r="E85" s="145">
        <v>11.864418366094762</v>
      </c>
      <c r="F85" s="146">
        <v>40.939293080630428</v>
      </c>
      <c r="G85" s="144">
        <v>2.0469646540315214E-2</v>
      </c>
      <c r="H85" s="144">
        <v>157.65065762289933</v>
      </c>
      <c r="I85" s="145">
        <v>7.8825328811449671E-2</v>
      </c>
      <c r="J85" s="146">
        <v>58.445997761970766</v>
      </c>
      <c r="K85" s="144">
        <v>2.9222998880985382E-2</v>
      </c>
    </row>
    <row r="86" spans="1:11" x14ac:dyDescent="0.35">
      <c r="A86" s="59" t="s">
        <v>1522</v>
      </c>
      <c r="B86" s="145">
        <v>1.0124289742826835</v>
      </c>
      <c r="C86" s="232">
        <v>1.3653795034457676</v>
      </c>
      <c r="D86" s="144">
        <v>3.7161860645272999</v>
      </c>
      <c r="E86" s="145">
        <v>1.4621497190541703</v>
      </c>
      <c r="F86" s="146">
        <v>3.8399581967826215</v>
      </c>
      <c r="G86" s="144">
        <v>1.9199790983913108E-3</v>
      </c>
      <c r="H86" s="144">
        <v>6.1907647578641534</v>
      </c>
      <c r="I86" s="145">
        <v>3.0953823789320765E-3</v>
      </c>
      <c r="J86" s="146">
        <v>4.1925791809448514</v>
      </c>
      <c r="K86" s="144">
        <v>2.0962895904724256E-3</v>
      </c>
    </row>
    <row r="87" spans="1:11" x14ac:dyDescent="0.35">
      <c r="A87" s="59" t="s">
        <v>1521</v>
      </c>
      <c r="B87" s="145">
        <v>0.77730219568954984</v>
      </c>
      <c r="C87" s="232">
        <v>1.112147791486821</v>
      </c>
      <c r="D87" s="144">
        <v>2.8027776991031859</v>
      </c>
      <c r="E87" s="145">
        <v>1.0762546369427881</v>
      </c>
      <c r="F87" s="146">
        <v>2.9657046241191587</v>
      </c>
      <c r="G87" s="144">
        <v>1.4828523120595793E-3</v>
      </c>
      <c r="H87" s="144">
        <v>4.6563345317355234</v>
      </c>
      <c r="I87" s="145">
        <v>2.3281672658677617E-3</v>
      </c>
      <c r="J87" s="146">
        <v>3.2192991102616135</v>
      </c>
      <c r="K87" s="144">
        <v>1.6096495551308067E-3</v>
      </c>
    </row>
    <row r="88" spans="1:11" x14ac:dyDescent="0.35">
      <c r="A88" s="59" t="s">
        <v>1520</v>
      </c>
      <c r="B88" s="145">
        <v>14.444092933020759</v>
      </c>
      <c r="C88" s="232">
        <v>26.482420251232998</v>
      </c>
      <c r="D88" s="144">
        <v>116.79838126119431</v>
      </c>
      <c r="E88" s="145">
        <v>49.048896112331683</v>
      </c>
      <c r="F88" s="146">
        <v>89.97540929658544</v>
      </c>
      <c r="G88" s="144">
        <v>4.4987704648292721E-2</v>
      </c>
      <c r="H88" s="144">
        <v>180.29137030654675</v>
      </c>
      <c r="I88" s="145">
        <v>9.0145685153273383E-2</v>
      </c>
      <c r="J88" s="146">
        <v>103.52280344807964</v>
      </c>
      <c r="K88" s="144">
        <v>5.176140172403982E-2</v>
      </c>
    </row>
    <row r="89" spans="1:11" x14ac:dyDescent="0.35">
      <c r="A89" s="59" t="s">
        <v>1519</v>
      </c>
      <c r="B89" s="145">
        <v>8.4577391602542573E-2</v>
      </c>
      <c r="C89" s="232">
        <v>8.6265210942578385E-2</v>
      </c>
      <c r="D89" s="144">
        <v>0.22512077284576165</v>
      </c>
      <c r="E89" s="145">
        <v>6.411930226775843E-2</v>
      </c>
      <c r="F89" s="146">
        <v>0.23496190481287937</v>
      </c>
      <c r="G89" s="144">
        <v>1.1748095240643969E-4</v>
      </c>
      <c r="H89" s="144">
        <v>0.37381746671606264</v>
      </c>
      <c r="I89" s="145">
        <v>1.8690873335803132E-4</v>
      </c>
      <c r="J89" s="146">
        <v>0.25579023909835685</v>
      </c>
      <c r="K89" s="144">
        <v>1.2789511954917844E-4</v>
      </c>
    </row>
    <row r="90" spans="1:11" x14ac:dyDescent="0.35">
      <c r="A90" s="57" t="s">
        <v>1518</v>
      </c>
      <c r="B90" s="142">
        <v>0.131875161669917</v>
      </c>
      <c r="C90" s="231">
        <v>0.47403685088581288</v>
      </c>
      <c r="D90" s="141">
        <v>0.49737454504802781</v>
      </c>
      <c r="E90" s="142">
        <v>0.16497517276036491</v>
      </c>
      <c r="F90" s="143">
        <v>0.77088718531609479</v>
      </c>
      <c r="G90" s="141">
        <v>3.8544359265804738E-4</v>
      </c>
      <c r="H90" s="141">
        <v>0.79422487947830966</v>
      </c>
      <c r="I90" s="142">
        <v>3.9711243973915484E-4</v>
      </c>
      <c r="J90" s="143">
        <v>0.77438783944042699</v>
      </c>
      <c r="K90" s="141">
        <v>3.8719391972021349E-4</v>
      </c>
    </row>
  </sheetData>
  <mergeCells count="7">
    <mergeCell ref="J60:K60"/>
    <mergeCell ref="B14:C14"/>
    <mergeCell ref="D14:E14"/>
    <mergeCell ref="F14:G14"/>
    <mergeCell ref="H14:I14"/>
    <mergeCell ref="F60:G60"/>
    <mergeCell ref="H60:I60"/>
  </mergeCells>
  <printOptions gridLinesSet="0"/>
  <pageMargins left="0.75" right="0.75" top="1" bottom="1" header="0.5" footer="0.5"/>
  <pageSetup scale="65" orientation="portrait" horizontalDpi="4294967292" r:id="rId1"/>
  <headerFooter alignWithMargins="0">
    <oddHeader>&amp;A</oddHeader>
    <oddFooter>Page &amp;P</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93"/>
  <sheetViews>
    <sheetView showGridLines="0" zoomScale="85" zoomScaleNormal="85" workbookViewId="0">
      <selection activeCell="G1" sqref="G1"/>
    </sheetView>
  </sheetViews>
  <sheetFormatPr defaultColWidth="9.1328125" defaultRowHeight="12.75" x14ac:dyDescent="0.35"/>
  <cols>
    <col min="1" max="1" width="39.46484375" style="39" customWidth="1"/>
    <col min="2" max="2" width="11.46484375" style="39" customWidth="1"/>
    <col min="3" max="3" width="10.86328125" style="39" bestFit="1" customWidth="1"/>
    <col min="4" max="4" width="11.1328125" style="39" customWidth="1"/>
    <col min="5" max="23" width="10.46484375" style="39" customWidth="1"/>
    <col min="24" max="16384" width="9.1328125" style="39"/>
  </cols>
  <sheetData>
    <row r="1" spans="1:13" ht="15" x14ac:dyDescent="0.4">
      <c r="A1" s="140" t="s">
        <v>1992</v>
      </c>
      <c r="G1" s="230" t="s">
        <v>1561</v>
      </c>
    </row>
    <row r="2" spans="1:13" ht="13.15" x14ac:dyDescent="0.4">
      <c r="A2" s="41"/>
    </row>
    <row r="3" spans="1:13" ht="13.9" x14ac:dyDescent="0.4">
      <c r="A3" s="72" t="s">
        <v>1775</v>
      </c>
    </row>
    <row r="4" spans="1:13" ht="13.15" x14ac:dyDescent="0.4">
      <c r="A4" s="41" t="s">
        <v>1991</v>
      </c>
    </row>
    <row r="5" spans="1:13" ht="10.5" customHeight="1" x14ac:dyDescent="0.35">
      <c r="A5" s="104" t="s">
        <v>1415</v>
      </c>
      <c r="B5" s="90" t="s">
        <v>1414</v>
      </c>
      <c r="C5" s="89" t="s">
        <v>1413</v>
      </c>
    </row>
    <row r="6" spans="1:13" ht="10.5" customHeight="1" x14ac:dyDescent="0.35">
      <c r="A6" s="500">
        <v>0</v>
      </c>
      <c r="B6" s="423">
        <v>0.13</v>
      </c>
      <c r="C6" s="422">
        <v>0.87</v>
      </c>
    </row>
    <row r="7" spans="1:13" ht="10.5" customHeight="1" x14ac:dyDescent="0.4">
      <c r="A7" s="41"/>
    </row>
    <row r="8" spans="1:13" ht="13.15" x14ac:dyDescent="0.4">
      <c r="A8" s="41" t="s">
        <v>1990</v>
      </c>
    </row>
    <row r="9" spans="1:13" ht="37.5" customHeight="1" x14ac:dyDescent="0.35">
      <c r="A9" s="91"/>
      <c r="B9" s="103" t="s">
        <v>1318</v>
      </c>
      <c r="C9" s="103" t="s">
        <v>1403</v>
      </c>
      <c r="D9" s="103" t="s">
        <v>1316</v>
      </c>
      <c r="E9" s="103" t="s">
        <v>1402</v>
      </c>
      <c r="F9" s="103" t="s">
        <v>1314</v>
      </c>
      <c r="G9" s="103" t="s">
        <v>1401</v>
      </c>
      <c r="H9" s="103" t="s">
        <v>1400</v>
      </c>
      <c r="I9" s="103" t="s">
        <v>1323</v>
      </c>
      <c r="J9" s="103" t="s">
        <v>1322</v>
      </c>
      <c r="K9" s="103" t="s">
        <v>1321</v>
      </c>
      <c r="L9" s="86" t="s">
        <v>1320</v>
      </c>
    </row>
    <row r="10" spans="1:13" x14ac:dyDescent="0.35">
      <c r="A10" s="277" t="s">
        <v>1410</v>
      </c>
      <c r="B10" s="120">
        <v>1</v>
      </c>
      <c r="C10" s="120">
        <v>1</v>
      </c>
      <c r="D10" s="120">
        <v>1</v>
      </c>
      <c r="E10" s="120">
        <v>1</v>
      </c>
      <c r="F10" s="120">
        <v>1.02</v>
      </c>
      <c r="G10" s="120"/>
      <c r="H10" s="120"/>
      <c r="I10" s="120">
        <v>1.0349999999999999</v>
      </c>
      <c r="J10" s="120">
        <v>0</v>
      </c>
      <c r="K10" s="120">
        <v>1</v>
      </c>
      <c r="L10" s="121">
        <v>0</v>
      </c>
    </row>
    <row r="11" spans="1:13" x14ac:dyDescent="0.35">
      <c r="A11" s="277" t="s">
        <v>1409</v>
      </c>
      <c r="B11" s="120">
        <v>1</v>
      </c>
      <c r="C11" s="120">
        <v>1</v>
      </c>
      <c r="D11" s="120">
        <v>1</v>
      </c>
      <c r="E11" s="120">
        <v>1</v>
      </c>
      <c r="F11" s="120">
        <v>1.02</v>
      </c>
      <c r="G11" s="120"/>
      <c r="H11" s="120"/>
      <c r="I11" s="120">
        <v>1.0349999999999999</v>
      </c>
      <c r="J11" s="120">
        <v>1</v>
      </c>
      <c r="K11" s="120">
        <v>1</v>
      </c>
      <c r="L11" s="121">
        <v>0</v>
      </c>
    </row>
    <row r="12" spans="1:13" x14ac:dyDescent="0.35">
      <c r="A12" s="277" t="s">
        <v>1408</v>
      </c>
      <c r="B12" s="120">
        <v>1</v>
      </c>
      <c r="C12" s="120">
        <v>1</v>
      </c>
      <c r="D12" s="120">
        <v>1</v>
      </c>
      <c r="E12" s="120">
        <v>1</v>
      </c>
      <c r="F12" s="120">
        <v>1.02</v>
      </c>
      <c r="G12" s="120"/>
      <c r="H12" s="120"/>
      <c r="I12" s="120">
        <v>0</v>
      </c>
      <c r="J12" s="120">
        <v>0</v>
      </c>
      <c r="K12" s="120">
        <v>0</v>
      </c>
      <c r="L12" s="121">
        <v>1</v>
      </c>
    </row>
    <row r="13" spans="1:13" x14ac:dyDescent="0.35">
      <c r="A13" s="277" t="s">
        <v>1407</v>
      </c>
      <c r="B13" s="120"/>
      <c r="C13" s="120"/>
      <c r="D13" s="120"/>
      <c r="E13" s="120"/>
      <c r="F13" s="120"/>
      <c r="G13" s="120">
        <v>0.96799999999999997</v>
      </c>
      <c r="H13" s="120">
        <v>1</v>
      </c>
      <c r="I13" s="120">
        <v>1.0349999999999999</v>
      </c>
      <c r="J13" s="120">
        <v>0</v>
      </c>
      <c r="K13" s="120">
        <v>1</v>
      </c>
      <c r="L13" s="121">
        <v>0</v>
      </c>
    </row>
    <row r="14" spans="1:13" x14ac:dyDescent="0.35">
      <c r="A14" s="277" t="s">
        <v>1406</v>
      </c>
      <c r="B14" s="120"/>
      <c r="C14" s="120"/>
      <c r="D14" s="120"/>
      <c r="E14" s="120"/>
      <c r="F14" s="120"/>
      <c r="G14" s="120">
        <v>0.96799999999999997</v>
      </c>
      <c r="H14" s="120">
        <v>1</v>
      </c>
      <c r="I14" s="120">
        <v>1.0349999999999999</v>
      </c>
      <c r="J14" s="120">
        <v>1</v>
      </c>
      <c r="K14" s="120">
        <v>1</v>
      </c>
      <c r="L14" s="121">
        <v>0</v>
      </c>
    </row>
    <row r="15" spans="1:13" x14ac:dyDescent="0.35">
      <c r="A15" s="273" t="s">
        <v>1405</v>
      </c>
      <c r="B15" s="119"/>
      <c r="C15" s="119"/>
      <c r="D15" s="119"/>
      <c r="E15" s="119"/>
      <c r="F15" s="119"/>
      <c r="G15" s="119">
        <v>0.96799999999999997</v>
      </c>
      <c r="H15" s="119">
        <v>1</v>
      </c>
      <c r="I15" s="119">
        <v>0</v>
      </c>
      <c r="J15" s="119">
        <v>0</v>
      </c>
      <c r="K15" s="119">
        <v>0</v>
      </c>
      <c r="L15" s="466">
        <v>1</v>
      </c>
    </row>
    <row r="16" spans="1:13" x14ac:dyDescent="0.35">
      <c r="A16" s="499"/>
      <c r="B16" s="120"/>
      <c r="C16" s="120"/>
      <c r="D16" s="120"/>
      <c r="E16" s="120"/>
      <c r="F16" s="120"/>
      <c r="G16" s="120"/>
      <c r="H16" s="120"/>
      <c r="I16" s="120"/>
      <c r="J16" s="120"/>
      <c r="K16" s="120"/>
      <c r="L16" s="120"/>
      <c r="M16" s="120"/>
    </row>
    <row r="17" spans="1:2" ht="13.15" x14ac:dyDescent="0.4">
      <c r="A17" s="41" t="s">
        <v>1989</v>
      </c>
      <c r="B17" s="197"/>
    </row>
    <row r="18" spans="1:2" ht="25.5" x14ac:dyDescent="0.35">
      <c r="A18" s="70"/>
      <c r="B18" s="498" t="s">
        <v>1350</v>
      </c>
    </row>
    <row r="19" spans="1:2" x14ac:dyDescent="0.35">
      <c r="A19" s="497" t="s">
        <v>112</v>
      </c>
      <c r="B19" s="465">
        <v>0</v>
      </c>
    </row>
    <row r="20" spans="1:2" x14ac:dyDescent="0.35">
      <c r="A20" s="497" t="s">
        <v>113</v>
      </c>
      <c r="B20" s="465">
        <v>4.1000000000000002E-2</v>
      </c>
    </row>
    <row r="21" spans="1:2" x14ac:dyDescent="0.35">
      <c r="A21" s="497" t="s">
        <v>114</v>
      </c>
      <c r="B21" s="465">
        <v>0.14299999999999999</v>
      </c>
    </row>
    <row r="22" spans="1:2" x14ac:dyDescent="0.35">
      <c r="A22" s="497" t="s">
        <v>273</v>
      </c>
      <c r="B22" s="465">
        <v>5.0000000000000001E-3</v>
      </c>
    </row>
    <row r="23" spans="1:2" x14ac:dyDescent="0.35">
      <c r="A23" s="497" t="s">
        <v>116</v>
      </c>
      <c r="B23" s="465">
        <v>0</v>
      </c>
    </row>
    <row r="24" spans="1:2" x14ac:dyDescent="0.35">
      <c r="A24" s="327" t="s">
        <v>292</v>
      </c>
      <c r="B24" s="464">
        <v>0.81099999999999994</v>
      </c>
    </row>
    <row r="25" spans="1:2" x14ac:dyDescent="0.35">
      <c r="A25" s="50" t="s">
        <v>1968</v>
      </c>
      <c r="B25" s="462">
        <v>1378201.0088247485</v>
      </c>
    </row>
    <row r="26" spans="1:2" x14ac:dyDescent="0.35">
      <c r="A26" s="50" t="s">
        <v>1967</v>
      </c>
      <c r="B26" s="462">
        <v>519763.12441016326</v>
      </c>
    </row>
    <row r="27" spans="1:2" x14ac:dyDescent="0.35">
      <c r="A27" s="50" t="s">
        <v>114</v>
      </c>
      <c r="B27" s="462">
        <v>418581.01204894396</v>
      </c>
    </row>
    <row r="28" spans="1:2" x14ac:dyDescent="0.35">
      <c r="A28" s="50" t="s">
        <v>113</v>
      </c>
      <c r="B28" s="462">
        <v>94398.92049832124</v>
      </c>
    </row>
    <row r="29" spans="1:2" x14ac:dyDescent="0.35">
      <c r="A29" s="50" t="s">
        <v>1966</v>
      </c>
      <c r="B29" s="462">
        <v>6783.1918628980984</v>
      </c>
    </row>
    <row r="30" spans="1:2" x14ac:dyDescent="0.35">
      <c r="A30" s="50" t="s">
        <v>1532</v>
      </c>
      <c r="B30" s="462">
        <v>1124.339997909196</v>
      </c>
    </row>
    <row r="31" spans="1:2" x14ac:dyDescent="0.35">
      <c r="A31" s="50" t="s">
        <v>1965</v>
      </c>
      <c r="B31" s="430">
        <v>4.4289036224381597</v>
      </c>
    </row>
    <row r="32" spans="1:2" x14ac:dyDescent="0.35">
      <c r="A32" s="50" t="s">
        <v>1964</v>
      </c>
      <c r="B32" s="430">
        <v>7.8646851938972269</v>
      </c>
    </row>
    <row r="33" spans="1:2" x14ac:dyDescent="0.35">
      <c r="A33" s="50" t="s">
        <v>1963</v>
      </c>
      <c r="B33" s="430">
        <v>26.747773863867661</v>
      </c>
    </row>
    <row r="34" spans="1:2" x14ac:dyDescent="0.35">
      <c r="A34" s="50" t="s">
        <v>1962</v>
      </c>
      <c r="B34" s="430">
        <v>6.536115867066326</v>
      </c>
    </row>
    <row r="35" spans="1:2" x14ac:dyDescent="0.35">
      <c r="A35" s="50" t="s">
        <v>1961</v>
      </c>
      <c r="B35" s="430">
        <v>2.6635644560817888</v>
      </c>
    </row>
    <row r="36" spans="1:2" x14ac:dyDescent="0.35">
      <c r="A36" s="50" t="s">
        <v>1960</v>
      </c>
      <c r="B36" s="430">
        <v>107.25505602979078</v>
      </c>
    </row>
    <row r="37" spans="1:2" x14ac:dyDescent="0.35">
      <c r="A37" s="50" t="s">
        <v>1959</v>
      </c>
      <c r="B37" s="430">
        <v>0.14828192381063188</v>
      </c>
    </row>
    <row r="38" spans="1:2" x14ac:dyDescent="0.35">
      <c r="A38" s="50" t="s">
        <v>1958</v>
      </c>
      <c r="B38" s="430">
        <v>0.34442332291948208</v>
      </c>
    </row>
    <row r="39" spans="1:2" x14ac:dyDescent="0.35">
      <c r="A39" s="50" t="s">
        <v>1957</v>
      </c>
      <c r="B39" s="430">
        <v>78.843445463081238</v>
      </c>
    </row>
    <row r="40" spans="1:2" x14ac:dyDescent="0.35">
      <c r="A40" s="50" t="s">
        <v>1956</v>
      </c>
      <c r="B40" s="430">
        <v>0.75175651852899505</v>
      </c>
    </row>
    <row r="41" spans="1:2" x14ac:dyDescent="0.35">
      <c r="A41" s="50" t="s">
        <v>1955</v>
      </c>
      <c r="B41" s="462">
        <v>48010.902094964717</v>
      </c>
    </row>
    <row r="42" spans="1:2" x14ac:dyDescent="0.35">
      <c r="A42" s="55" t="s">
        <v>1954</v>
      </c>
      <c r="B42" s="461">
        <v>0.26316673511068056</v>
      </c>
    </row>
    <row r="43" spans="1:2" x14ac:dyDescent="0.35">
      <c r="A43" s="50" t="s">
        <v>1953</v>
      </c>
      <c r="B43" s="430">
        <v>1.82404531521527</v>
      </c>
    </row>
    <row r="44" spans="1:2" x14ac:dyDescent="0.35">
      <c r="A44" s="50" t="s">
        <v>1952</v>
      </c>
      <c r="B44" s="430">
        <v>7.3622284798298807</v>
      </c>
    </row>
    <row r="45" spans="1:2" x14ac:dyDescent="0.35">
      <c r="A45" s="50" t="s">
        <v>1951</v>
      </c>
      <c r="B45" s="430">
        <v>1.0794337289447915</v>
      </c>
    </row>
    <row r="46" spans="1:2" x14ac:dyDescent="0.35">
      <c r="A46" s="50" t="s">
        <v>1950</v>
      </c>
      <c r="B46" s="430">
        <v>0.77252847878833319</v>
      </c>
    </row>
    <row r="47" spans="1:2" x14ac:dyDescent="0.35">
      <c r="A47" s="50" t="s">
        <v>1949</v>
      </c>
      <c r="B47" s="430">
        <v>39.389852314917157</v>
      </c>
    </row>
    <row r="48" spans="1:2" x14ac:dyDescent="0.35">
      <c r="A48" s="50" t="s">
        <v>1948</v>
      </c>
      <c r="B48" s="430">
        <v>3.8056078482825377E-2</v>
      </c>
    </row>
    <row r="49" spans="1:23" x14ac:dyDescent="0.35">
      <c r="A49" s="46" t="s">
        <v>1947</v>
      </c>
      <c r="B49" s="496">
        <v>8.6801390180444735E-2</v>
      </c>
    </row>
    <row r="50" spans="1:23" x14ac:dyDescent="0.35">
      <c r="B50" s="197"/>
    </row>
    <row r="51" spans="1:23" ht="13.9" x14ac:dyDescent="0.4">
      <c r="A51" s="72" t="s">
        <v>1734</v>
      </c>
    </row>
    <row r="52" spans="1:23" x14ac:dyDescent="0.35">
      <c r="A52" s="61" t="s">
        <v>1717</v>
      </c>
      <c r="B52" s="417">
        <v>1</v>
      </c>
    </row>
    <row r="53" spans="1:23" x14ac:dyDescent="0.35">
      <c r="A53" s="59" t="s">
        <v>1909</v>
      </c>
      <c r="B53" s="196">
        <v>1</v>
      </c>
    </row>
    <row r="54" spans="1:23" x14ac:dyDescent="0.35">
      <c r="A54" s="59" t="s">
        <v>1946</v>
      </c>
      <c r="B54" s="457">
        <v>0</v>
      </c>
    </row>
    <row r="55" spans="1:23" x14ac:dyDescent="0.35">
      <c r="A55" s="59" t="s">
        <v>1703</v>
      </c>
      <c r="B55" s="196">
        <v>1</v>
      </c>
    </row>
    <row r="56" spans="1:23" x14ac:dyDescent="0.35">
      <c r="A56" s="59" t="s">
        <v>1945</v>
      </c>
      <c r="B56" s="457">
        <v>1</v>
      </c>
      <c r="F56" s="297"/>
    </row>
    <row r="57" spans="1:23" x14ac:dyDescent="0.35">
      <c r="A57" s="59" t="s">
        <v>1944</v>
      </c>
      <c r="B57" s="457">
        <v>0</v>
      </c>
      <c r="F57" s="297"/>
    </row>
    <row r="58" spans="1:23" x14ac:dyDescent="0.35">
      <c r="A58" s="59" t="s">
        <v>1943</v>
      </c>
      <c r="B58" s="457">
        <v>0</v>
      </c>
      <c r="F58" s="297"/>
    </row>
    <row r="59" spans="1:23" x14ac:dyDescent="0.35">
      <c r="A59" s="57" t="s">
        <v>1942</v>
      </c>
      <c r="B59" s="323">
        <v>1</v>
      </c>
      <c r="F59" s="297"/>
    </row>
    <row r="60" spans="1:23" x14ac:dyDescent="0.35">
      <c r="F60" s="297"/>
    </row>
    <row r="61" spans="1:23" ht="13.9" x14ac:dyDescent="0.4">
      <c r="A61" s="72" t="s">
        <v>1701</v>
      </c>
    </row>
    <row r="62" spans="1:23" ht="27" customHeight="1" x14ac:dyDescent="0.4">
      <c r="A62" s="61"/>
      <c r="B62" s="2191" t="s">
        <v>1318</v>
      </c>
      <c r="C62" s="2192"/>
      <c r="D62" s="2196" t="s">
        <v>1317</v>
      </c>
      <c r="E62" s="2196"/>
      <c r="F62" s="2191" t="s">
        <v>1316</v>
      </c>
      <c r="G62" s="2192"/>
      <c r="H62" s="2196" t="s">
        <v>1315</v>
      </c>
      <c r="I62" s="2196"/>
      <c r="J62" s="2191" t="s">
        <v>1314</v>
      </c>
      <c r="K62" s="2192"/>
      <c r="L62" s="2196" t="s">
        <v>1941</v>
      </c>
      <c r="M62" s="2196"/>
      <c r="N62" s="2191" t="s">
        <v>1312</v>
      </c>
      <c r="O62" s="2192"/>
      <c r="P62" s="2196" t="s">
        <v>1323</v>
      </c>
      <c r="Q62" s="2196"/>
      <c r="R62" s="2191" t="s">
        <v>1322</v>
      </c>
      <c r="S62" s="2192"/>
      <c r="T62" s="2196" t="s">
        <v>1321</v>
      </c>
      <c r="U62" s="2196"/>
      <c r="V62" s="2191" t="s">
        <v>1320</v>
      </c>
      <c r="W62" s="2192"/>
    </row>
    <row r="63" spans="1:23" ht="70.5" customHeight="1" x14ac:dyDescent="0.35">
      <c r="A63" s="59"/>
      <c r="B63" s="248" t="s">
        <v>1674</v>
      </c>
      <c r="C63" s="246" t="s">
        <v>1673</v>
      </c>
      <c r="D63" s="247" t="s">
        <v>1674</v>
      </c>
      <c r="E63" s="247" t="s">
        <v>1673</v>
      </c>
      <c r="F63" s="248" t="s">
        <v>1674</v>
      </c>
      <c r="G63" s="246" t="s">
        <v>1673</v>
      </c>
      <c r="H63" s="247" t="s">
        <v>1674</v>
      </c>
      <c r="I63" s="247" t="s">
        <v>1673</v>
      </c>
      <c r="J63" s="248" t="s">
        <v>1674</v>
      </c>
      <c r="K63" s="246" t="s">
        <v>1673</v>
      </c>
      <c r="L63" s="247" t="s">
        <v>1674</v>
      </c>
      <c r="M63" s="247" t="s">
        <v>1673</v>
      </c>
      <c r="N63" s="248" t="s">
        <v>1674</v>
      </c>
      <c r="O63" s="246" t="s">
        <v>1673</v>
      </c>
      <c r="P63" s="247" t="s">
        <v>1674</v>
      </c>
      <c r="Q63" s="247" t="s">
        <v>1673</v>
      </c>
      <c r="R63" s="248" t="s">
        <v>1674</v>
      </c>
      <c r="S63" s="246" t="s">
        <v>1673</v>
      </c>
      <c r="T63" s="247" t="s">
        <v>1674</v>
      </c>
      <c r="U63" s="247" t="s">
        <v>1673</v>
      </c>
      <c r="V63" s="248" t="s">
        <v>1674</v>
      </c>
      <c r="W63" s="246" t="s">
        <v>1673</v>
      </c>
    </row>
    <row r="64" spans="1:23" ht="26.25" x14ac:dyDescent="0.4">
      <c r="A64" s="414" t="s">
        <v>1940</v>
      </c>
      <c r="B64" s="456">
        <v>0.57699999999999996</v>
      </c>
      <c r="C64" s="60"/>
      <c r="D64" s="455">
        <v>17.835000000000001</v>
      </c>
      <c r="E64" s="101"/>
      <c r="F64" s="456">
        <v>1.486</v>
      </c>
      <c r="G64" s="60"/>
      <c r="H64" s="455">
        <v>46.777999999999999</v>
      </c>
      <c r="I64" s="101"/>
      <c r="J64" s="456">
        <v>1.006</v>
      </c>
      <c r="K64" s="60"/>
      <c r="L64" s="455">
        <v>1.0920000000000001</v>
      </c>
      <c r="M64" s="101"/>
      <c r="N64" s="456">
        <v>4.46</v>
      </c>
      <c r="O64" s="60"/>
      <c r="P64" s="455">
        <v>3.629</v>
      </c>
      <c r="Q64" s="101"/>
      <c r="R64" s="456">
        <v>3.0219999999999998</v>
      </c>
      <c r="S64" s="60"/>
      <c r="T64" s="455">
        <v>0.85990521327014224</v>
      </c>
      <c r="U64" s="101"/>
      <c r="V64" s="456">
        <v>5.8970000000000002</v>
      </c>
      <c r="W64" s="60"/>
    </row>
    <row r="65" spans="1:23" ht="13.15" x14ac:dyDescent="0.4">
      <c r="A65" s="454" t="s">
        <v>1671</v>
      </c>
      <c r="B65" s="412">
        <v>0</v>
      </c>
      <c r="C65" s="100"/>
      <c r="D65" s="194">
        <v>0</v>
      </c>
      <c r="E65" s="77"/>
      <c r="F65" s="412">
        <v>0</v>
      </c>
      <c r="G65" s="100"/>
      <c r="H65" s="194">
        <v>0</v>
      </c>
      <c r="I65" s="77"/>
      <c r="J65" s="412">
        <v>0</v>
      </c>
      <c r="K65" s="100"/>
      <c r="L65" s="194">
        <v>0</v>
      </c>
      <c r="M65" s="77"/>
      <c r="N65" s="412">
        <v>0</v>
      </c>
      <c r="O65" s="100"/>
      <c r="P65" s="194">
        <v>0</v>
      </c>
      <c r="Q65" s="77"/>
      <c r="R65" s="412">
        <v>0</v>
      </c>
      <c r="S65" s="100"/>
      <c r="T65" s="194">
        <v>0</v>
      </c>
      <c r="U65" s="77"/>
      <c r="V65" s="412">
        <v>0</v>
      </c>
      <c r="W65" s="100"/>
    </row>
    <row r="66" spans="1:23" ht="13.15" x14ac:dyDescent="0.4">
      <c r="A66" s="131" t="s">
        <v>1670</v>
      </c>
      <c r="B66" s="59"/>
      <c r="C66" s="99"/>
      <c r="F66" s="59"/>
      <c r="G66" s="99"/>
      <c r="J66" s="59"/>
      <c r="K66" s="99"/>
      <c r="N66" s="59"/>
      <c r="O66" s="99"/>
      <c r="R66" s="59"/>
      <c r="S66" s="99"/>
      <c r="V66" s="59"/>
      <c r="W66" s="99"/>
    </row>
    <row r="67" spans="1:23" x14ac:dyDescent="0.35">
      <c r="A67" s="59" t="s">
        <v>1668</v>
      </c>
      <c r="B67" s="477">
        <v>0.37</v>
      </c>
      <c r="C67" s="99"/>
      <c r="D67" s="477">
        <v>0.16500000000000001</v>
      </c>
      <c r="F67" s="477">
        <v>0.35099999999999998</v>
      </c>
      <c r="G67" s="99"/>
      <c r="H67" s="477">
        <v>0</v>
      </c>
      <c r="J67" s="477">
        <v>0.105</v>
      </c>
      <c r="K67" s="99"/>
      <c r="L67" s="477">
        <v>0</v>
      </c>
      <c r="N67" s="477">
        <v>0</v>
      </c>
      <c r="O67" s="99"/>
      <c r="P67" s="477">
        <v>0</v>
      </c>
      <c r="R67" s="477">
        <v>0</v>
      </c>
      <c r="S67" s="99"/>
      <c r="T67" s="477">
        <v>0</v>
      </c>
      <c r="V67" s="477">
        <v>0</v>
      </c>
      <c r="W67" s="99"/>
    </row>
    <row r="68" spans="1:23" x14ac:dyDescent="0.35">
      <c r="A68" s="59" t="s">
        <v>1667</v>
      </c>
      <c r="B68" s="477">
        <v>0.60299999999999998</v>
      </c>
      <c r="C68" s="99" t="s">
        <v>1939</v>
      </c>
      <c r="D68" s="477">
        <v>0</v>
      </c>
      <c r="F68" s="477">
        <v>6.4000000000000001E-2</v>
      </c>
      <c r="G68" s="99"/>
      <c r="H68" s="477">
        <v>0</v>
      </c>
      <c r="J68" s="477">
        <v>2.9000000000000001E-2</v>
      </c>
      <c r="K68" s="99"/>
      <c r="L68" s="477">
        <v>0</v>
      </c>
      <c r="M68" s="39" t="s">
        <v>1939</v>
      </c>
      <c r="N68" s="477">
        <v>0</v>
      </c>
      <c r="O68" s="99"/>
      <c r="P68" s="477">
        <v>0</v>
      </c>
      <c r="R68" s="477">
        <v>0</v>
      </c>
      <c r="S68" s="99"/>
      <c r="T68" s="477">
        <v>0</v>
      </c>
      <c r="V68" s="477">
        <v>0</v>
      </c>
      <c r="W68" s="99"/>
    </row>
    <row r="69" spans="1:23" x14ac:dyDescent="0.35">
      <c r="A69" s="59" t="s">
        <v>1666</v>
      </c>
      <c r="B69" s="413">
        <v>0</v>
      </c>
      <c r="C69" s="99"/>
      <c r="D69" s="413">
        <v>0</v>
      </c>
      <c r="F69" s="413">
        <v>0</v>
      </c>
      <c r="G69" s="99"/>
      <c r="H69" s="413">
        <v>0</v>
      </c>
      <c r="J69" s="413">
        <v>0</v>
      </c>
      <c r="K69" s="99"/>
      <c r="L69" s="413">
        <v>0</v>
      </c>
      <c r="N69" s="413">
        <v>0</v>
      </c>
      <c r="O69" s="99"/>
      <c r="P69" s="413">
        <v>0</v>
      </c>
      <c r="R69" s="413">
        <v>0</v>
      </c>
      <c r="S69" s="99"/>
      <c r="T69" s="413">
        <v>0</v>
      </c>
      <c r="V69" s="413">
        <v>0</v>
      </c>
      <c r="W69" s="99"/>
    </row>
    <row r="70" spans="1:23" x14ac:dyDescent="0.35">
      <c r="A70" s="59" t="s">
        <v>1534</v>
      </c>
      <c r="B70" s="413">
        <v>0</v>
      </c>
      <c r="C70" s="99"/>
      <c r="D70" s="413">
        <v>0.72399999999999998</v>
      </c>
      <c r="F70" s="413">
        <v>0.47499999999999998</v>
      </c>
      <c r="G70" s="99"/>
      <c r="H70" s="413">
        <v>0</v>
      </c>
      <c r="J70" s="413">
        <v>0.65500000000000003</v>
      </c>
      <c r="K70" s="99"/>
      <c r="L70" s="413">
        <v>0.68400000000000005</v>
      </c>
      <c r="N70" s="413">
        <v>0.92300000000000004</v>
      </c>
      <c r="O70" s="99"/>
      <c r="P70" s="413">
        <v>0.90300000000000002</v>
      </c>
      <c r="R70" s="413">
        <v>0.625</v>
      </c>
      <c r="S70" s="99"/>
      <c r="T70" s="413">
        <v>0</v>
      </c>
      <c r="V70" s="413">
        <v>0.89700000000000002</v>
      </c>
      <c r="W70" s="99"/>
    </row>
    <row r="71" spans="1:23" x14ac:dyDescent="0.35">
      <c r="A71" s="59" t="s">
        <v>1535</v>
      </c>
      <c r="B71" s="413">
        <v>0</v>
      </c>
      <c r="C71" s="99"/>
      <c r="D71" s="413">
        <v>7.4999999999999997E-2</v>
      </c>
      <c r="F71" s="413">
        <v>0</v>
      </c>
      <c r="G71" s="99"/>
      <c r="H71" s="413">
        <v>0</v>
      </c>
      <c r="J71" s="413">
        <v>0</v>
      </c>
      <c r="K71" s="99"/>
      <c r="L71" s="413">
        <v>0</v>
      </c>
      <c r="N71" s="413">
        <v>0</v>
      </c>
      <c r="O71" s="99"/>
      <c r="P71" s="413">
        <v>0</v>
      </c>
      <c r="R71" s="413">
        <v>0</v>
      </c>
      <c r="S71" s="99"/>
      <c r="T71" s="413">
        <v>0</v>
      </c>
      <c r="V71" s="413">
        <v>0</v>
      </c>
      <c r="W71" s="99"/>
    </row>
    <row r="72" spans="1:23" x14ac:dyDescent="0.35">
      <c r="A72" s="59" t="s">
        <v>1936</v>
      </c>
      <c r="B72" s="413">
        <v>0</v>
      </c>
      <c r="C72" s="99"/>
      <c r="D72" s="413">
        <v>0</v>
      </c>
      <c r="F72" s="413">
        <v>0</v>
      </c>
      <c r="G72" s="99"/>
      <c r="H72" s="413">
        <v>0</v>
      </c>
      <c r="J72" s="413">
        <v>3.0000000000000001E-3</v>
      </c>
      <c r="K72" s="99"/>
      <c r="L72" s="413">
        <v>0</v>
      </c>
      <c r="N72" s="413">
        <v>0</v>
      </c>
      <c r="O72" s="99"/>
      <c r="P72" s="413">
        <v>0</v>
      </c>
      <c r="R72" s="413">
        <v>0</v>
      </c>
      <c r="S72" s="99"/>
      <c r="T72" s="413">
        <v>0</v>
      </c>
      <c r="V72" s="413">
        <v>0</v>
      </c>
      <c r="W72" s="99"/>
    </row>
    <row r="73" spans="1:23" x14ac:dyDescent="0.35">
      <c r="A73" s="59" t="s">
        <v>1664</v>
      </c>
      <c r="B73" s="413">
        <v>2.7000000000000024E-2</v>
      </c>
      <c r="C73" s="99"/>
      <c r="D73" s="197">
        <v>3.6000000000000032E-2</v>
      </c>
      <c r="F73" s="413">
        <v>0.1100000000000001</v>
      </c>
      <c r="G73" s="99"/>
      <c r="H73" s="197">
        <v>1</v>
      </c>
      <c r="J73" s="413">
        <v>0.20799999999999996</v>
      </c>
      <c r="K73" s="99"/>
      <c r="L73" s="197">
        <v>0.31599999999999995</v>
      </c>
      <c r="N73" s="413">
        <v>7.6999999999999957E-2</v>
      </c>
      <c r="O73" s="99"/>
      <c r="P73" s="197">
        <v>9.6999999999999975E-2</v>
      </c>
      <c r="R73" s="413">
        <v>0.375</v>
      </c>
      <c r="S73" s="99"/>
      <c r="T73" s="197">
        <v>1</v>
      </c>
      <c r="V73" s="413">
        <v>0.10299999999999998</v>
      </c>
      <c r="W73" s="99"/>
    </row>
    <row r="74" spans="1:23" ht="26.25" x14ac:dyDescent="0.4">
      <c r="A74" s="414" t="s">
        <v>1938</v>
      </c>
      <c r="B74" s="61"/>
      <c r="C74" s="60"/>
      <c r="D74" s="101"/>
      <c r="E74" s="101"/>
      <c r="F74" s="61"/>
      <c r="G74" s="60"/>
      <c r="H74" s="101"/>
      <c r="I74" s="101"/>
      <c r="J74" s="61"/>
      <c r="K74" s="60"/>
      <c r="L74" s="101"/>
      <c r="M74" s="101"/>
      <c r="N74" s="61"/>
      <c r="O74" s="60"/>
      <c r="P74" s="101"/>
      <c r="Q74" s="101"/>
      <c r="R74" s="61"/>
      <c r="S74" s="60"/>
      <c r="T74" s="101"/>
      <c r="U74" s="101"/>
      <c r="V74" s="61"/>
      <c r="W74" s="60"/>
    </row>
    <row r="75" spans="1:23" x14ac:dyDescent="0.35">
      <c r="A75" s="59" t="s">
        <v>1668</v>
      </c>
      <c r="B75" s="411">
        <v>0.21348999999999999</v>
      </c>
      <c r="C75" s="144"/>
      <c r="D75" s="148">
        <v>2.9427750000000001</v>
      </c>
      <c r="E75" s="145"/>
      <c r="F75" s="495">
        <v>0.52158599999999999</v>
      </c>
      <c r="G75" s="144"/>
      <c r="H75" s="148">
        <v>0</v>
      </c>
      <c r="I75" s="145"/>
      <c r="J75" s="411">
        <v>0.10563</v>
      </c>
      <c r="K75" s="144"/>
      <c r="L75" s="148">
        <v>0</v>
      </c>
      <c r="M75" s="145"/>
      <c r="N75" s="411">
        <v>0</v>
      </c>
      <c r="O75" s="144"/>
      <c r="P75" s="148">
        <v>0</v>
      </c>
      <c r="Q75" s="145"/>
      <c r="R75" s="411">
        <v>0</v>
      </c>
      <c r="S75" s="144"/>
      <c r="T75" s="148">
        <v>0</v>
      </c>
      <c r="U75" s="145"/>
      <c r="V75" s="411">
        <v>0</v>
      </c>
      <c r="W75" s="144"/>
    </row>
    <row r="76" spans="1:23" x14ac:dyDescent="0.35">
      <c r="A76" s="59" t="s">
        <v>1667</v>
      </c>
      <c r="B76" s="411">
        <v>0.34793099999999999</v>
      </c>
      <c r="C76" s="144"/>
      <c r="D76" s="148">
        <v>0</v>
      </c>
      <c r="E76" s="145"/>
      <c r="F76" s="495">
        <v>9.5104000000000008E-2</v>
      </c>
      <c r="G76" s="144"/>
      <c r="H76" s="148">
        <v>0</v>
      </c>
      <c r="I76" s="145"/>
      <c r="J76" s="411">
        <v>2.9174000000000002E-2</v>
      </c>
      <c r="K76" s="144"/>
      <c r="L76" s="148">
        <v>0</v>
      </c>
      <c r="M76" s="145"/>
      <c r="N76" s="411">
        <v>0</v>
      </c>
      <c r="O76" s="144"/>
      <c r="P76" s="148">
        <v>0</v>
      </c>
      <c r="Q76" s="145"/>
      <c r="R76" s="411">
        <v>0</v>
      </c>
      <c r="S76" s="144"/>
      <c r="T76" s="148">
        <v>0</v>
      </c>
      <c r="U76" s="145"/>
      <c r="V76" s="411">
        <v>0</v>
      </c>
      <c r="W76" s="144"/>
    </row>
    <row r="77" spans="1:23" x14ac:dyDescent="0.35">
      <c r="A77" s="59" t="s">
        <v>1666</v>
      </c>
      <c r="B77" s="411">
        <v>0</v>
      </c>
      <c r="C77" s="144"/>
      <c r="D77" s="148">
        <v>0</v>
      </c>
      <c r="E77" s="145"/>
      <c r="F77" s="411">
        <v>0</v>
      </c>
      <c r="G77" s="144"/>
      <c r="H77" s="148">
        <v>0</v>
      </c>
      <c r="I77" s="145"/>
      <c r="J77" s="411">
        <v>0</v>
      </c>
      <c r="K77" s="144"/>
      <c r="L77" s="148">
        <v>0</v>
      </c>
      <c r="M77" s="145"/>
      <c r="N77" s="411">
        <v>0</v>
      </c>
      <c r="O77" s="144"/>
      <c r="P77" s="148">
        <v>0</v>
      </c>
      <c r="Q77" s="145"/>
      <c r="R77" s="411">
        <v>0</v>
      </c>
      <c r="S77" s="144"/>
      <c r="T77" s="148">
        <v>0</v>
      </c>
      <c r="U77" s="145"/>
      <c r="V77" s="411">
        <v>0</v>
      </c>
      <c r="W77" s="144"/>
    </row>
    <row r="78" spans="1:23" x14ac:dyDescent="0.35">
      <c r="A78" s="59" t="s">
        <v>1937</v>
      </c>
      <c r="B78" s="411">
        <v>0</v>
      </c>
      <c r="C78" s="144"/>
      <c r="D78" s="148">
        <v>12.91254</v>
      </c>
      <c r="E78" s="145"/>
      <c r="F78" s="490">
        <v>0.70584999999999998</v>
      </c>
      <c r="G78" s="144"/>
      <c r="H78" s="148">
        <v>0</v>
      </c>
      <c r="I78" s="145"/>
      <c r="J78" s="411">
        <v>0.65893000000000002</v>
      </c>
      <c r="K78" s="144"/>
      <c r="L78" s="148">
        <v>0.74692800000000015</v>
      </c>
      <c r="M78" s="145"/>
      <c r="N78" s="411">
        <v>4.1165799999999999</v>
      </c>
      <c r="O78" s="144"/>
      <c r="P78" s="148">
        <v>3.2769870000000001</v>
      </c>
      <c r="Q78" s="145"/>
      <c r="R78" s="411">
        <v>1.8887499999999999</v>
      </c>
      <c r="S78" s="144"/>
      <c r="T78" s="148">
        <v>0</v>
      </c>
      <c r="U78" s="145"/>
      <c r="V78" s="411">
        <v>5.2896090000000004</v>
      </c>
      <c r="W78" s="144"/>
    </row>
    <row r="79" spans="1:23" x14ac:dyDescent="0.35">
      <c r="A79" s="59" t="s">
        <v>1535</v>
      </c>
      <c r="B79" s="411">
        <v>0</v>
      </c>
      <c r="C79" s="144"/>
      <c r="D79" s="148">
        <v>1.3376250000000001</v>
      </c>
      <c r="E79" s="145"/>
      <c r="F79" s="411">
        <v>0</v>
      </c>
      <c r="G79" s="144"/>
      <c r="H79" s="148">
        <v>0</v>
      </c>
      <c r="I79" s="145"/>
      <c r="J79" s="411">
        <v>0</v>
      </c>
      <c r="K79" s="144"/>
      <c r="L79" s="148">
        <v>0</v>
      </c>
      <c r="M79" s="145"/>
      <c r="N79" s="411">
        <v>0</v>
      </c>
      <c r="O79" s="144"/>
      <c r="P79" s="148">
        <v>0</v>
      </c>
      <c r="Q79" s="145"/>
      <c r="R79" s="411">
        <v>0</v>
      </c>
      <c r="S79" s="144"/>
      <c r="T79" s="148">
        <v>0</v>
      </c>
      <c r="U79" s="145"/>
      <c r="V79" s="411">
        <v>0</v>
      </c>
      <c r="W79" s="144"/>
    </row>
    <row r="80" spans="1:23" x14ac:dyDescent="0.35">
      <c r="A80" s="59" t="s">
        <v>1936</v>
      </c>
      <c r="B80" s="411">
        <v>0</v>
      </c>
      <c r="C80" s="144"/>
      <c r="D80" s="148">
        <v>0</v>
      </c>
      <c r="E80" s="145"/>
      <c r="F80" s="411">
        <v>0</v>
      </c>
      <c r="G80" s="144"/>
      <c r="H80" s="148">
        <v>0</v>
      </c>
      <c r="I80" s="145"/>
      <c r="J80" s="411">
        <v>3.0180000000000003E-3</v>
      </c>
      <c r="K80" s="144"/>
      <c r="L80" s="148">
        <v>0</v>
      </c>
      <c r="M80" s="145"/>
      <c r="N80" s="411">
        <v>0</v>
      </c>
      <c r="O80" s="144"/>
      <c r="P80" s="148">
        <v>0</v>
      </c>
      <c r="Q80" s="145"/>
      <c r="R80" s="411">
        <v>0</v>
      </c>
      <c r="S80" s="144"/>
      <c r="T80" s="148">
        <v>0</v>
      </c>
      <c r="U80" s="145"/>
      <c r="V80" s="411">
        <v>0</v>
      </c>
      <c r="W80" s="144"/>
    </row>
    <row r="81" spans="1:23" x14ac:dyDescent="0.35">
      <c r="A81" s="59" t="s">
        <v>1664</v>
      </c>
      <c r="B81" s="411">
        <v>1.5579000000000013E-2</v>
      </c>
      <c r="C81" s="144"/>
      <c r="D81" s="148">
        <v>0.64206000000000063</v>
      </c>
      <c r="E81" s="145"/>
      <c r="F81" s="495">
        <v>0.16346000000000013</v>
      </c>
      <c r="G81" s="144"/>
      <c r="H81" s="148">
        <v>46.777999999999999</v>
      </c>
      <c r="I81" s="145"/>
      <c r="J81" s="411">
        <v>0.20924799999999996</v>
      </c>
      <c r="K81" s="144"/>
      <c r="L81" s="148">
        <v>0.34507199999999999</v>
      </c>
      <c r="M81" s="145"/>
      <c r="N81" s="411">
        <v>0.34341999999999978</v>
      </c>
      <c r="O81" s="144"/>
      <c r="P81" s="148">
        <v>0.35201299999999991</v>
      </c>
      <c r="Q81" s="145"/>
      <c r="R81" s="411">
        <v>1.1332499999999999</v>
      </c>
      <c r="S81" s="144"/>
      <c r="T81" s="148">
        <v>0.85990521327014224</v>
      </c>
      <c r="U81" s="145"/>
      <c r="V81" s="411">
        <v>0.6073909999999999</v>
      </c>
      <c r="W81" s="144"/>
    </row>
    <row r="82" spans="1:23" x14ac:dyDescent="0.35">
      <c r="A82" s="59" t="s">
        <v>1935</v>
      </c>
      <c r="B82" s="411"/>
      <c r="C82" s="144"/>
      <c r="D82" s="145">
        <v>0.30599999999999999</v>
      </c>
      <c r="E82" s="145"/>
      <c r="F82" s="411"/>
      <c r="G82" s="144"/>
      <c r="H82" s="489"/>
      <c r="I82" s="488"/>
      <c r="J82" s="490"/>
      <c r="K82" s="486"/>
      <c r="L82" s="489"/>
      <c r="M82" s="488"/>
      <c r="N82" s="487">
        <v>3.836E-4</v>
      </c>
      <c r="O82" s="486"/>
      <c r="P82" s="488">
        <v>2.0999999999999999E-5</v>
      </c>
      <c r="Q82" s="488"/>
      <c r="R82" s="487">
        <v>1.076E-4</v>
      </c>
      <c r="S82" s="486"/>
      <c r="T82" s="488"/>
      <c r="U82" s="488"/>
      <c r="V82" s="487">
        <v>7.7866000000000003E-3</v>
      </c>
      <c r="W82" s="486"/>
    </row>
    <row r="83" spans="1:23" x14ac:dyDescent="0.35">
      <c r="A83" s="59" t="s">
        <v>1934</v>
      </c>
      <c r="B83" s="411"/>
      <c r="C83" s="144"/>
      <c r="D83" s="145">
        <v>7.8E-2</v>
      </c>
      <c r="E83" s="145"/>
      <c r="F83" s="411"/>
      <c r="G83" s="144"/>
      <c r="H83" s="489"/>
      <c r="I83" s="488"/>
      <c r="J83" s="490"/>
      <c r="K83" s="486"/>
      <c r="L83" s="488">
        <v>8.9599999999999999E-4</v>
      </c>
      <c r="M83" s="488"/>
      <c r="N83" s="487">
        <v>3.9871999999999998E-3</v>
      </c>
      <c r="O83" s="486"/>
      <c r="P83" s="488">
        <v>2.0010000000000001E-4</v>
      </c>
      <c r="Q83" s="488"/>
      <c r="R83" s="487">
        <v>3.235E-4</v>
      </c>
      <c r="S83" s="486"/>
      <c r="T83" s="488"/>
      <c r="U83" s="488"/>
      <c r="V83" s="487"/>
      <c r="W83" s="486"/>
    </row>
    <row r="84" spans="1:23" x14ac:dyDescent="0.35">
      <c r="A84" s="59" t="s">
        <v>1933</v>
      </c>
      <c r="B84" s="232"/>
      <c r="C84" s="144"/>
      <c r="D84" s="145"/>
      <c r="E84" s="145"/>
      <c r="F84" s="232">
        <v>0.28599999999999998</v>
      </c>
      <c r="G84" s="144"/>
      <c r="H84" s="488"/>
      <c r="I84" s="488"/>
      <c r="J84" s="487"/>
      <c r="K84" s="486"/>
      <c r="L84" s="488"/>
      <c r="M84" s="488"/>
      <c r="N84" s="487"/>
      <c r="O84" s="486"/>
      <c r="P84" s="488"/>
      <c r="Q84" s="488"/>
      <c r="R84" s="487"/>
      <c r="S84" s="486"/>
      <c r="T84" s="488"/>
      <c r="U84" s="488"/>
      <c r="V84" s="487"/>
      <c r="W84" s="486"/>
    </row>
    <row r="85" spans="1:23" x14ac:dyDescent="0.35">
      <c r="A85" s="59" t="s">
        <v>1932</v>
      </c>
      <c r="B85" s="494"/>
      <c r="C85" s="144"/>
      <c r="D85" s="493"/>
      <c r="E85" s="145"/>
      <c r="F85" s="232">
        <v>6.3E-2</v>
      </c>
      <c r="G85" s="144"/>
      <c r="H85" s="488">
        <v>6.0000000000000001E-3</v>
      </c>
      <c r="I85" s="488"/>
      <c r="J85" s="492"/>
      <c r="K85" s="486"/>
      <c r="L85" s="491"/>
      <c r="M85" s="488"/>
      <c r="N85" s="487"/>
      <c r="O85" s="486"/>
      <c r="P85" s="488"/>
      <c r="Q85" s="488"/>
      <c r="R85" s="487"/>
      <c r="S85" s="486"/>
      <c r="T85" s="488"/>
      <c r="U85" s="488"/>
      <c r="V85" s="487"/>
      <c r="W85" s="486"/>
    </row>
    <row r="86" spans="1:23" x14ac:dyDescent="0.35">
      <c r="A86" s="59" t="s">
        <v>1931</v>
      </c>
      <c r="B86" s="411"/>
      <c r="C86" s="144"/>
      <c r="D86" s="148"/>
      <c r="E86" s="145"/>
      <c r="F86" s="232">
        <v>3.0000000000000001E-3</v>
      </c>
      <c r="G86" s="144"/>
      <c r="H86" s="488">
        <v>4.0000000000000001E-3</v>
      </c>
      <c r="I86" s="488"/>
      <c r="J86" s="490"/>
      <c r="K86" s="486"/>
      <c r="L86" s="489"/>
      <c r="M86" s="488"/>
      <c r="N86" s="487">
        <v>9.1299999999999997E-5</v>
      </c>
      <c r="O86" s="486"/>
      <c r="P86" s="488">
        <v>1.08E-5</v>
      </c>
      <c r="Q86" s="488"/>
      <c r="R86" s="487">
        <v>1.7650000000000001E-4</v>
      </c>
      <c r="S86" s="486"/>
      <c r="T86" s="488"/>
      <c r="U86" s="488"/>
      <c r="V86" s="487">
        <v>7.6480000000000005E-4</v>
      </c>
      <c r="W86" s="486"/>
    </row>
    <row r="87" spans="1:23" x14ac:dyDescent="0.35">
      <c r="A87" s="59" t="s">
        <v>1930</v>
      </c>
      <c r="B87" s="232"/>
      <c r="C87" s="144"/>
      <c r="D87" s="145"/>
      <c r="E87" s="145"/>
      <c r="F87" s="232"/>
      <c r="G87" s="144"/>
      <c r="H87" s="488"/>
      <c r="I87" s="488"/>
      <c r="J87" s="487"/>
      <c r="K87" s="486"/>
      <c r="L87" s="488"/>
      <c r="M87" s="488"/>
      <c r="N87" s="487">
        <v>7.9923300000000003E-2</v>
      </c>
      <c r="O87" s="486"/>
      <c r="P87" s="488"/>
      <c r="Q87" s="488"/>
      <c r="R87" s="487"/>
      <c r="S87" s="486"/>
      <c r="T87" s="488"/>
      <c r="U87" s="488"/>
      <c r="V87" s="487"/>
      <c r="W87" s="486"/>
    </row>
    <row r="88" spans="1:23" x14ac:dyDescent="0.35">
      <c r="A88" s="61" t="s">
        <v>1537</v>
      </c>
      <c r="B88" s="237">
        <v>0.69578218556264471</v>
      </c>
      <c r="C88" s="156"/>
      <c r="D88" s="157">
        <v>24.90561337275226</v>
      </c>
      <c r="E88" s="157"/>
      <c r="F88" s="237">
        <v>12.78947536426803</v>
      </c>
      <c r="G88" s="156"/>
      <c r="H88" s="157">
        <v>64.739574004756648</v>
      </c>
      <c r="I88" s="157"/>
      <c r="J88" s="237">
        <v>1.3197239743574714</v>
      </c>
      <c r="K88" s="156"/>
      <c r="L88" s="157">
        <v>1.5422071152040491</v>
      </c>
      <c r="M88" s="157"/>
      <c r="N88" s="237">
        <v>13.786008070340351</v>
      </c>
      <c r="O88" s="156"/>
      <c r="P88" s="157">
        <v>4.3425157477657201</v>
      </c>
      <c r="Q88" s="157"/>
      <c r="R88" s="237">
        <v>4.437234416165956</v>
      </c>
      <c r="S88" s="156"/>
      <c r="T88" s="157">
        <v>1.7821978693329918</v>
      </c>
      <c r="U88" s="157"/>
      <c r="V88" s="237">
        <v>7.2145816775606919</v>
      </c>
      <c r="W88" s="156"/>
    </row>
    <row r="89" spans="1:23" x14ac:dyDescent="0.35">
      <c r="A89" s="59" t="s">
        <v>1536</v>
      </c>
      <c r="B89" s="232">
        <v>0.6863782306550007</v>
      </c>
      <c r="C89" s="144"/>
      <c r="D89" s="145">
        <v>24.191540149571509</v>
      </c>
      <c r="E89" s="145"/>
      <c r="F89" s="232">
        <v>12.66658646095415</v>
      </c>
      <c r="G89" s="144"/>
      <c r="H89" s="145">
        <v>24.576879742536089</v>
      </c>
      <c r="I89" s="145"/>
      <c r="J89" s="232">
        <v>1.2353469476313939</v>
      </c>
      <c r="K89" s="144"/>
      <c r="L89" s="145">
        <v>1.4044342406087105</v>
      </c>
      <c r="M89" s="145"/>
      <c r="N89" s="232">
        <v>10.295716854109276</v>
      </c>
      <c r="O89" s="144"/>
      <c r="P89" s="145">
        <v>4.2002083923949076</v>
      </c>
      <c r="Q89" s="145"/>
      <c r="R89" s="232">
        <v>3.9849756365458693</v>
      </c>
      <c r="S89" s="144"/>
      <c r="T89" s="145">
        <v>1.4403690677443262</v>
      </c>
      <c r="U89" s="145"/>
      <c r="V89" s="232">
        <v>6.9573990692949934</v>
      </c>
      <c r="W89" s="144"/>
    </row>
    <row r="90" spans="1:23" x14ac:dyDescent="0.35">
      <c r="A90" s="59" t="s">
        <v>1535</v>
      </c>
      <c r="B90" s="232">
        <v>2.2502787392071861E-2</v>
      </c>
      <c r="C90" s="144"/>
      <c r="D90" s="145">
        <v>3.4131832751350699</v>
      </c>
      <c r="E90" s="145"/>
      <c r="F90" s="232">
        <v>2.13827879072196</v>
      </c>
      <c r="G90" s="144"/>
      <c r="H90" s="145">
        <v>19.825174329003818</v>
      </c>
      <c r="I90" s="145"/>
      <c r="J90" s="232">
        <v>0.20369475413410845</v>
      </c>
      <c r="K90" s="144"/>
      <c r="L90" s="145">
        <v>0.33571516825618758</v>
      </c>
      <c r="M90" s="145"/>
      <c r="N90" s="232">
        <v>2.4408429027046834</v>
      </c>
      <c r="O90" s="144"/>
      <c r="P90" s="145">
        <v>0.34446292048075111</v>
      </c>
      <c r="Q90" s="145"/>
      <c r="R90" s="232">
        <v>1.0957100816133774</v>
      </c>
      <c r="S90" s="144"/>
      <c r="T90" s="145">
        <v>0.82541364628226921</v>
      </c>
      <c r="U90" s="145"/>
      <c r="V90" s="232">
        <v>0.63413733366007408</v>
      </c>
      <c r="W90" s="144"/>
    </row>
    <row r="91" spans="1:23" x14ac:dyDescent="0.35">
      <c r="A91" s="59" t="s">
        <v>1534</v>
      </c>
      <c r="B91" s="232">
        <v>7.4613856082037633E-2</v>
      </c>
      <c r="C91" s="144"/>
      <c r="D91" s="145">
        <v>17.430183470668545</v>
      </c>
      <c r="E91" s="145"/>
      <c r="F91" s="232">
        <v>1.7029057887189509</v>
      </c>
      <c r="G91" s="144"/>
      <c r="H91" s="145">
        <v>4.4328861283801952</v>
      </c>
      <c r="I91" s="145"/>
      <c r="J91" s="232">
        <v>0.8800979234403381</v>
      </c>
      <c r="K91" s="144"/>
      <c r="L91" s="145">
        <v>1.054230760125509</v>
      </c>
      <c r="M91" s="145"/>
      <c r="N91" s="232">
        <v>6.7473363205133694</v>
      </c>
      <c r="O91" s="144"/>
      <c r="P91" s="145">
        <v>3.830909394894944</v>
      </c>
      <c r="Q91" s="145"/>
      <c r="R91" s="232">
        <v>2.8445467152955679</v>
      </c>
      <c r="S91" s="144"/>
      <c r="T91" s="145">
        <v>0.58690690676127966</v>
      </c>
      <c r="U91" s="145"/>
      <c r="V91" s="232">
        <v>6.2780678914104762</v>
      </c>
      <c r="W91" s="144"/>
    </row>
    <row r="92" spans="1:23" x14ac:dyDescent="0.35">
      <c r="A92" s="57" t="s">
        <v>1533</v>
      </c>
      <c r="B92" s="231">
        <v>0.58926158718089117</v>
      </c>
      <c r="C92" s="141"/>
      <c r="D92" s="142">
        <v>3.3481734037678947</v>
      </c>
      <c r="E92" s="142"/>
      <c r="F92" s="231">
        <v>8.8254018815132387</v>
      </c>
      <c r="G92" s="141"/>
      <c r="H92" s="142">
        <v>0.31881928515207608</v>
      </c>
      <c r="I92" s="142"/>
      <c r="J92" s="231">
        <v>0.15155427005694724</v>
      </c>
      <c r="K92" s="141"/>
      <c r="L92" s="142">
        <v>1.4488312227013845E-2</v>
      </c>
      <c r="M92" s="142"/>
      <c r="N92" s="231">
        <v>1.1075376308912233</v>
      </c>
      <c r="O92" s="141"/>
      <c r="P92" s="142">
        <v>2.4836077019212373E-2</v>
      </c>
      <c r="Q92" s="142"/>
      <c r="R92" s="231">
        <v>4.4718839636924038E-2</v>
      </c>
      <c r="S92" s="141"/>
      <c r="T92" s="142">
        <v>2.8048514700777287E-2</v>
      </c>
      <c r="U92" s="142"/>
      <c r="V92" s="231">
        <v>4.5193844224443509E-2</v>
      </c>
      <c r="W92" s="141"/>
    </row>
    <row r="93" spans="1:23" x14ac:dyDescent="0.35">
      <c r="A93" s="59" t="s">
        <v>1532</v>
      </c>
      <c r="B93" s="49">
        <v>15.54187122742867</v>
      </c>
      <c r="C93" s="47">
        <v>1486</v>
      </c>
      <c r="D93" s="48">
        <v>3757.1161600328728</v>
      </c>
      <c r="E93" s="48">
        <v>824</v>
      </c>
      <c r="F93" s="49">
        <v>236.89752140180491</v>
      </c>
      <c r="G93" s="47">
        <v>11.3</v>
      </c>
      <c r="H93" s="48">
        <v>52612.886924507176</v>
      </c>
      <c r="I93" s="48">
        <v>57.5</v>
      </c>
      <c r="J93" s="49">
        <v>46.750446579834552</v>
      </c>
      <c r="K93" s="47">
        <v>55.1</v>
      </c>
      <c r="L93" s="48">
        <v>105.57597578023987</v>
      </c>
      <c r="M93" s="48">
        <v>0.105</v>
      </c>
      <c r="N93" s="49">
        <v>5053.7545862339002</v>
      </c>
      <c r="O93" s="47">
        <v>73.099999999999994</v>
      </c>
      <c r="P93" s="48">
        <v>88.456180819510422</v>
      </c>
      <c r="Q93" s="48">
        <v>19.7</v>
      </c>
      <c r="R93" s="49">
        <v>245.37751213528017</v>
      </c>
      <c r="S93" s="47">
        <v>65.3</v>
      </c>
      <c r="T93" s="48">
        <v>171.44676499281618</v>
      </c>
      <c r="U93" s="48"/>
      <c r="V93" s="49">
        <v>154.85378586982699</v>
      </c>
      <c r="W93" s="47">
        <v>105</v>
      </c>
    </row>
    <row r="94" spans="1:23" ht="13.15" x14ac:dyDescent="0.4">
      <c r="A94" s="131" t="s">
        <v>1929</v>
      </c>
      <c r="B94" s="387"/>
      <c r="C94" s="381"/>
      <c r="D94" s="382"/>
      <c r="E94" s="382"/>
      <c r="F94" s="387"/>
      <c r="G94" s="381"/>
      <c r="H94" s="382"/>
      <c r="I94" s="382"/>
      <c r="J94" s="387"/>
      <c r="K94" s="381"/>
      <c r="L94" s="382"/>
      <c r="M94" s="382"/>
      <c r="N94" s="387"/>
      <c r="O94" s="381"/>
      <c r="P94" s="382"/>
      <c r="Q94" s="382"/>
      <c r="R94" s="387"/>
      <c r="S94" s="381"/>
      <c r="T94" s="382"/>
      <c r="U94" s="382"/>
      <c r="V94" s="387"/>
      <c r="W94" s="381"/>
    </row>
    <row r="95" spans="1:23" x14ac:dyDescent="0.35">
      <c r="A95" s="59" t="s">
        <v>1525</v>
      </c>
      <c r="B95" s="232">
        <v>17.39555116112922</v>
      </c>
      <c r="C95" s="144"/>
      <c r="D95" s="145">
        <v>252.31020925280336</v>
      </c>
      <c r="E95" s="145"/>
      <c r="F95" s="232">
        <v>240.76707186293075</v>
      </c>
      <c r="G95" s="144"/>
      <c r="H95" s="145">
        <v>235.13544760407643</v>
      </c>
      <c r="I95" s="145"/>
      <c r="J95" s="232">
        <v>12.676921755513046</v>
      </c>
      <c r="K95" s="144"/>
      <c r="L95" s="145">
        <v>14.883836709293696</v>
      </c>
      <c r="M95" s="145"/>
      <c r="N95" s="232">
        <v>120.59949984377305</v>
      </c>
      <c r="O95" s="144">
        <v>69.5541840445877</v>
      </c>
      <c r="P95" s="145">
        <v>47.500275563940065</v>
      </c>
      <c r="Q95" s="145">
        <v>256.39425696045498</v>
      </c>
      <c r="R95" s="232">
        <v>41.924286021083198</v>
      </c>
      <c r="S95" s="144">
        <v>235.43001525565899</v>
      </c>
      <c r="T95" s="145">
        <v>12.945991101971142</v>
      </c>
      <c r="U95" s="145"/>
      <c r="V95" s="232">
        <v>80.45926546031356</v>
      </c>
      <c r="W95" s="144">
        <v>243.397446491875</v>
      </c>
    </row>
    <row r="96" spans="1:23" x14ac:dyDescent="0.35">
      <c r="A96" s="59" t="s">
        <v>1524</v>
      </c>
      <c r="B96" s="232">
        <v>71.537633242355597</v>
      </c>
      <c r="C96" s="144"/>
      <c r="D96" s="145">
        <v>1082.9097124169582</v>
      </c>
      <c r="E96" s="145"/>
      <c r="F96" s="232">
        <v>334.13503528751454</v>
      </c>
      <c r="G96" s="144"/>
      <c r="H96" s="145">
        <v>456.69260429472183</v>
      </c>
      <c r="I96" s="145"/>
      <c r="J96" s="232">
        <v>69.222621982845311</v>
      </c>
      <c r="K96" s="144"/>
      <c r="L96" s="145">
        <v>55.379423401128193</v>
      </c>
      <c r="M96" s="145"/>
      <c r="N96" s="232">
        <v>405.51686623140017</v>
      </c>
      <c r="O96" s="144"/>
      <c r="P96" s="145">
        <v>192.73180849202382</v>
      </c>
      <c r="Q96" s="145"/>
      <c r="R96" s="232">
        <v>153.94030935390029</v>
      </c>
      <c r="S96" s="144">
        <v>3.7195200000000002</v>
      </c>
      <c r="T96" s="145">
        <v>36.150798613471267</v>
      </c>
      <c r="U96" s="145"/>
      <c r="V96" s="232">
        <v>332.12727346354194</v>
      </c>
      <c r="W96" s="144"/>
    </row>
    <row r="97" spans="1:23" x14ac:dyDescent="0.35">
      <c r="A97" s="59" t="s">
        <v>1523</v>
      </c>
      <c r="B97" s="232">
        <v>203.31158579939336</v>
      </c>
      <c r="C97" s="144"/>
      <c r="D97" s="145">
        <v>2012.692049663699</v>
      </c>
      <c r="E97" s="145">
        <v>19.7257467877353</v>
      </c>
      <c r="F97" s="232">
        <v>631.83819869260253</v>
      </c>
      <c r="G97" s="144">
        <v>120.63789155888099</v>
      </c>
      <c r="H97" s="145">
        <v>1266.1072594554305</v>
      </c>
      <c r="I97" s="145">
        <v>235.87200000000001</v>
      </c>
      <c r="J97" s="232">
        <v>149.47849883499558</v>
      </c>
      <c r="K97" s="144">
        <v>26.6437206463393</v>
      </c>
      <c r="L97" s="145">
        <v>90.01995704909163</v>
      </c>
      <c r="M97" s="145"/>
      <c r="N97" s="232">
        <v>729.25398692107899</v>
      </c>
      <c r="O97" s="144">
        <v>42.750584953933597</v>
      </c>
      <c r="P97" s="145">
        <v>283.77088669395982</v>
      </c>
      <c r="Q97" s="145">
        <v>85.881084630142198</v>
      </c>
      <c r="R97" s="232">
        <v>251.93025677035402</v>
      </c>
      <c r="S97" s="144"/>
      <c r="T97" s="145">
        <v>81.191659767030075</v>
      </c>
      <c r="U97" s="145"/>
      <c r="V97" s="232">
        <v>469.88575214081908</v>
      </c>
      <c r="W97" s="144"/>
    </row>
    <row r="98" spans="1:23" x14ac:dyDescent="0.35">
      <c r="A98" s="59" t="s">
        <v>1522</v>
      </c>
      <c r="B98" s="232">
        <v>15.454046779799508</v>
      </c>
      <c r="C98" s="144">
        <v>852.21807889424099</v>
      </c>
      <c r="D98" s="145">
        <v>227.63766349879936</v>
      </c>
      <c r="E98" s="145">
        <v>790.78538038236002</v>
      </c>
      <c r="F98" s="232">
        <v>133.64409581811108</v>
      </c>
      <c r="G98" s="144">
        <v>72.040998192995104</v>
      </c>
      <c r="H98" s="145">
        <v>319.85264514486033</v>
      </c>
      <c r="I98" s="145">
        <v>1759.9680000000001</v>
      </c>
      <c r="J98" s="232">
        <v>11.807936487577422</v>
      </c>
      <c r="K98" s="144">
        <v>27.5105641596057</v>
      </c>
      <c r="L98" s="145">
        <v>8.9748632111711739</v>
      </c>
      <c r="M98" s="145"/>
      <c r="N98" s="232">
        <v>366.15796223572488</v>
      </c>
      <c r="O98" s="144">
        <v>242.20348557652301</v>
      </c>
      <c r="P98" s="145">
        <v>19.092750303271075</v>
      </c>
      <c r="Q98" s="145">
        <v>98.818768992250199</v>
      </c>
      <c r="R98" s="232">
        <v>27.163272022498241</v>
      </c>
      <c r="S98" s="144">
        <v>53.5247291266123</v>
      </c>
      <c r="T98" s="145">
        <v>14.664032236522001</v>
      </c>
      <c r="U98" s="145"/>
      <c r="V98" s="232">
        <v>33.326628519414548</v>
      </c>
      <c r="W98" s="144"/>
    </row>
    <row r="99" spans="1:23" x14ac:dyDescent="0.35">
      <c r="A99" s="59" t="s">
        <v>1521</v>
      </c>
      <c r="B99" s="232">
        <v>10.814181555146488</v>
      </c>
      <c r="C99" s="144">
        <v>429.87896532000002</v>
      </c>
      <c r="D99" s="145">
        <v>137.87320534867823</v>
      </c>
      <c r="E99" s="145">
        <v>365.75929967151899</v>
      </c>
      <c r="F99" s="232">
        <v>69.887391684019406</v>
      </c>
      <c r="G99" s="144">
        <v>35.564012085509098</v>
      </c>
      <c r="H99" s="145">
        <v>131.04735516174441</v>
      </c>
      <c r="I99" s="145">
        <v>879.98400000000004</v>
      </c>
      <c r="J99" s="232">
        <v>7.6713793820201523</v>
      </c>
      <c r="K99" s="144">
        <v>12.752846743325099</v>
      </c>
      <c r="L99" s="145">
        <v>5.584263416255288</v>
      </c>
      <c r="M99" s="145"/>
      <c r="N99" s="232">
        <v>188.83595221620928</v>
      </c>
      <c r="O99" s="144">
        <v>113.880045576523</v>
      </c>
      <c r="P99" s="145">
        <v>15.516343536553466</v>
      </c>
      <c r="Q99" s="145">
        <v>43.661008992250203</v>
      </c>
      <c r="R99" s="232">
        <v>15.995308865535474</v>
      </c>
      <c r="S99" s="144">
        <v>23.4510491266123</v>
      </c>
      <c r="T99" s="145">
        <v>6.3820237265312141</v>
      </c>
      <c r="U99" s="145"/>
      <c r="V99" s="232">
        <v>26.260905797201563</v>
      </c>
      <c r="W99" s="144"/>
    </row>
    <row r="100" spans="1:23" x14ac:dyDescent="0.35">
      <c r="A100" s="59" t="s">
        <v>1520</v>
      </c>
      <c r="B100" s="232">
        <v>158.3024913329138</v>
      </c>
      <c r="C100" s="144"/>
      <c r="D100" s="145">
        <v>3536.3623351422198</v>
      </c>
      <c r="E100" s="145">
        <v>1465.61586624962</v>
      </c>
      <c r="F100" s="232">
        <v>783.36685969650216</v>
      </c>
      <c r="G100" s="144">
        <v>829.74927334021504</v>
      </c>
      <c r="H100" s="145">
        <v>5076.6135978529246</v>
      </c>
      <c r="I100" s="145">
        <v>13862.016</v>
      </c>
      <c r="J100" s="232">
        <v>135.70527237498848</v>
      </c>
      <c r="K100" s="144">
        <v>27.423201466832602</v>
      </c>
      <c r="L100" s="145">
        <v>97.518516381246926</v>
      </c>
      <c r="M100" s="145"/>
      <c r="N100" s="232">
        <v>2248.1797492581763</v>
      </c>
      <c r="O100" s="144">
        <v>20.458070685852899</v>
      </c>
      <c r="P100" s="145">
        <v>129.37244499011797</v>
      </c>
      <c r="Q100" s="145">
        <v>6.5586202651212799</v>
      </c>
      <c r="R100" s="232">
        <v>314.85319087263792</v>
      </c>
      <c r="S100" s="144"/>
      <c r="T100" s="145">
        <v>220.49172555738897</v>
      </c>
      <c r="U100" s="145"/>
      <c r="V100" s="232">
        <v>236.15831508621818</v>
      </c>
      <c r="W100" s="144">
        <v>5.0210133819238001</v>
      </c>
    </row>
    <row r="101" spans="1:23" x14ac:dyDescent="0.35">
      <c r="A101" s="59" t="s">
        <v>1519</v>
      </c>
      <c r="B101" s="232">
        <v>5.2462422392490584</v>
      </c>
      <c r="C101" s="144"/>
      <c r="D101" s="145">
        <v>16.347726164904138</v>
      </c>
      <c r="E101" s="145"/>
      <c r="F101" s="232">
        <v>7.7528540019330743</v>
      </c>
      <c r="G101" s="144"/>
      <c r="H101" s="145">
        <v>6.995264387263787</v>
      </c>
      <c r="I101" s="145"/>
      <c r="J101" s="232">
        <v>2.0137224005540699</v>
      </c>
      <c r="K101" s="144"/>
      <c r="L101" s="145">
        <v>0.72926684084866666</v>
      </c>
      <c r="M101" s="145"/>
      <c r="N101" s="232">
        <v>6.2799112070254273</v>
      </c>
      <c r="O101" s="144"/>
      <c r="P101" s="145">
        <v>2.5236071448524808</v>
      </c>
      <c r="Q101" s="145"/>
      <c r="R101" s="232">
        <v>1.970260595655559</v>
      </c>
      <c r="S101" s="144"/>
      <c r="T101" s="145">
        <v>0.47271161247710475</v>
      </c>
      <c r="U101" s="145"/>
      <c r="V101" s="232">
        <v>4.1476166932620382</v>
      </c>
      <c r="W101" s="144"/>
    </row>
    <row r="102" spans="1:23" x14ac:dyDescent="0.35">
      <c r="A102" s="59" t="s">
        <v>1518</v>
      </c>
      <c r="B102" s="232">
        <v>1.7903048967636037</v>
      </c>
      <c r="C102" s="144"/>
      <c r="D102" s="145">
        <v>32.065684816412066</v>
      </c>
      <c r="E102" s="145"/>
      <c r="F102" s="232">
        <v>7.2567181536344201</v>
      </c>
      <c r="G102" s="144"/>
      <c r="H102" s="145">
        <v>16.252810886612249</v>
      </c>
      <c r="I102" s="145"/>
      <c r="J102" s="232">
        <v>1.7981411371324645</v>
      </c>
      <c r="K102" s="144"/>
      <c r="L102" s="145">
        <v>1.6936036602888893</v>
      </c>
      <c r="M102" s="145"/>
      <c r="N102" s="232">
        <v>12.135255874642619</v>
      </c>
      <c r="O102" s="144"/>
      <c r="P102" s="145">
        <v>5.872122708866625</v>
      </c>
      <c r="Q102" s="145"/>
      <c r="R102" s="232">
        <v>4.5932402414020252</v>
      </c>
      <c r="S102" s="144"/>
      <c r="T102" s="145">
        <v>1.1097448265457537</v>
      </c>
      <c r="U102" s="145"/>
      <c r="V102" s="232">
        <v>9.6480954222954498</v>
      </c>
      <c r="W102" s="144"/>
    </row>
    <row r="103" spans="1:23" x14ac:dyDescent="0.35">
      <c r="A103" s="59" t="s">
        <v>1531</v>
      </c>
      <c r="B103" s="232">
        <v>67.575560403884509</v>
      </c>
      <c r="C103" s="144"/>
      <c r="D103" s="145">
        <v>4281.1373311172356</v>
      </c>
      <c r="E103" s="145"/>
      <c r="F103" s="232">
        <v>1351.619582454332</v>
      </c>
      <c r="G103" s="144"/>
      <c r="H103" s="145">
        <v>3726.0533070529159</v>
      </c>
      <c r="I103" s="145"/>
      <c r="J103" s="232">
        <v>217.38882852714548</v>
      </c>
      <c r="K103" s="144"/>
      <c r="L103" s="145">
        <v>258.22813946248056</v>
      </c>
      <c r="M103" s="145"/>
      <c r="N103" s="232">
        <v>1795.1635619917583</v>
      </c>
      <c r="O103" s="144">
        <v>0.35380800000000001</v>
      </c>
      <c r="P103" s="145">
        <v>821.69204170920284</v>
      </c>
      <c r="Q103" s="145"/>
      <c r="R103" s="232">
        <v>721.9798271598462</v>
      </c>
      <c r="S103" s="144">
        <v>1.0886400000000001</v>
      </c>
      <c r="T103" s="145">
        <v>228.68669943764664</v>
      </c>
      <c r="U103" s="145"/>
      <c r="V103" s="232">
        <v>1356.4762672341567</v>
      </c>
      <c r="W103" s="144"/>
    </row>
    <row r="104" spans="1:23" x14ac:dyDescent="0.35">
      <c r="A104" s="59" t="s">
        <v>1530</v>
      </c>
      <c r="B104" s="232">
        <v>1.2269494524225155</v>
      </c>
      <c r="C104" s="144"/>
      <c r="D104" s="145">
        <v>42.056685994894003</v>
      </c>
      <c r="E104" s="145"/>
      <c r="F104" s="232">
        <v>4.7774866396906086</v>
      </c>
      <c r="G104" s="144"/>
      <c r="H104" s="145">
        <v>35.249231334855395</v>
      </c>
      <c r="I104" s="145"/>
      <c r="J104" s="232">
        <v>2.1211582915400387</v>
      </c>
      <c r="K104" s="144"/>
      <c r="L104" s="145">
        <v>2.3622688183068399</v>
      </c>
      <c r="M104" s="145"/>
      <c r="N104" s="232">
        <v>16.632361951626891</v>
      </c>
      <c r="O104" s="144">
        <v>0.33566400000000002</v>
      </c>
      <c r="P104" s="145">
        <v>7.8585480664657261</v>
      </c>
      <c r="Q104" s="145"/>
      <c r="R104" s="232">
        <v>6.5377945703251088</v>
      </c>
      <c r="S104" s="144">
        <v>0.99792000000000003</v>
      </c>
      <c r="T104" s="145">
        <v>1.8517705111034761</v>
      </c>
      <c r="U104" s="145"/>
      <c r="V104" s="232">
        <v>12.929609273089619</v>
      </c>
      <c r="W104" s="144"/>
    </row>
    <row r="105" spans="1:23" x14ac:dyDescent="0.35">
      <c r="A105" s="59" t="s">
        <v>1921</v>
      </c>
      <c r="B105" s="232">
        <v>0</v>
      </c>
      <c r="C105" s="147"/>
      <c r="D105" s="145">
        <v>0</v>
      </c>
      <c r="E105" s="148"/>
      <c r="F105" s="232">
        <v>0</v>
      </c>
      <c r="G105" s="144"/>
      <c r="H105" s="145">
        <v>0</v>
      </c>
      <c r="I105" s="145">
        <v>69.763679999999994</v>
      </c>
      <c r="J105" s="232">
        <v>0</v>
      </c>
      <c r="K105" s="147"/>
      <c r="L105" s="145">
        <v>0</v>
      </c>
      <c r="M105" s="148"/>
      <c r="N105" s="232">
        <v>5.687258396258879</v>
      </c>
      <c r="O105" s="144"/>
      <c r="P105" s="145">
        <v>0</v>
      </c>
      <c r="Q105" s="148"/>
      <c r="R105" s="232">
        <v>0</v>
      </c>
      <c r="S105" s="147"/>
      <c r="T105" s="145">
        <v>0</v>
      </c>
      <c r="U105" s="148"/>
      <c r="V105" s="232">
        <v>0</v>
      </c>
      <c r="W105" s="144"/>
    </row>
    <row r="106" spans="1:23" x14ac:dyDescent="0.35">
      <c r="A106" s="59" t="s">
        <v>1920</v>
      </c>
      <c r="B106" s="232">
        <v>0</v>
      </c>
      <c r="C106" s="147"/>
      <c r="D106" s="145">
        <v>0</v>
      </c>
      <c r="E106" s="148"/>
      <c r="F106" s="232">
        <v>0</v>
      </c>
      <c r="G106" s="144"/>
      <c r="H106" s="145">
        <v>0</v>
      </c>
      <c r="I106" s="145">
        <v>9.61632</v>
      </c>
      <c r="J106" s="232">
        <v>0</v>
      </c>
      <c r="K106" s="147"/>
      <c r="L106" s="145">
        <v>0</v>
      </c>
      <c r="M106" s="148"/>
      <c r="N106" s="232">
        <v>0.78393938882112013</v>
      </c>
      <c r="O106" s="144"/>
      <c r="P106" s="145">
        <v>0</v>
      </c>
      <c r="Q106" s="148"/>
      <c r="R106" s="232">
        <v>0</v>
      </c>
      <c r="S106" s="147"/>
      <c r="T106" s="145">
        <v>0</v>
      </c>
      <c r="U106" s="148"/>
      <c r="V106" s="232">
        <v>0</v>
      </c>
      <c r="W106" s="144"/>
    </row>
    <row r="107" spans="1:23" x14ac:dyDescent="0.35">
      <c r="A107" s="59" t="s">
        <v>1529</v>
      </c>
      <c r="B107" s="49">
        <v>54665.091610594958</v>
      </c>
      <c r="C107" s="153"/>
      <c r="D107" s="48">
        <v>1719894.5074309767</v>
      </c>
      <c r="E107" s="154"/>
      <c r="F107" s="49">
        <v>244870.71359417879</v>
      </c>
      <c r="G107" s="47">
        <v>41915.434176000097</v>
      </c>
      <c r="H107" s="48">
        <v>2256598.7376415534</v>
      </c>
      <c r="I107" s="48">
        <v>1391644.8</v>
      </c>
      <c r="J107" s="49">
        <v>85327.773242306328</v>
      </c>
      <c r="K107" s="153"/>
      <c r="L107" s="48">
        <v>98001.723812409138</v>
      </c>
      <c r="M107" s="48"/>
      <c r="N107" s="49">
        <v>794706.67008018843</v>
      </c>
      <c r="O107" s="47">
        <v>6.6134880000000003</v>
      </c>
      <c r="P107" s="48">
        <v>263822.79764057492</v>
      </c>
      <c r="Q107" s="154"/>
      <c r="R107" s="49">
        <v>282384.14992019266</v>
      </c>
      <c r="S107" s="153"/>
      <c r="T107" s="48">
        <v>119817.08672139457</v>
      </c>
      <c r="U107" s="154"/>
      <c r="V107" s="49">
        <v>439574.41594726971</v>
      </c>
      <c r="W107" s="153"/>
    </row>
    <row r="108" spans="1:23" ht="13.15" x14ac:dyDescent="0.4">
      <c r="A108" s="131" t="s">
        <v>1928</v>
      </c>
      <c r="B108" s="236"/>
      <c r="C108" s="234"/>
      <c r="D108" s="235"/>
      <c r="E108" s="235"/>
      <c r="F108" s="236"/>
      <c r="G108" s="234"/>
      <c r="H108" s="235"/>
      <c r="I108" s="235"/>
      <c r="J108" s="236"/>
      <c r="K108" s="234"/>
      <c r="L108" s="235"/>
      <c r="M108" s="157"/>
      <c r="N108" s="236"/>
      <c r="O108" s="156"/>
      <c r="P108" s="235"/>
      <c r="Q108" s="235"/>
      <c r="R108" s="236"/>
      <c r="S108" s="234"/>
      <c r="T108" s="235"/>
      <c r="U108" s="235"/>
      <c r="V108" s="236"/>
      <c r="W108" s="234"/>
    </row>
    <row r="109" spans="1:23" x14ac:dyDescent="0.35">
      <c r="A109" s="59" t="s">
        <v>1525</v>
      </c>
      <c r="B109" s="232">
        <v>1.417839239244697</v>
      </c>
      <c r="C109" s="147">
        <v>0</v>
      </c>
      <c r="D109" s="145">
        <v>15.718773675428286</v>
      </c>
      <c r="E109" s="148">
        <v>0</v>
      </c>
      <c r="F109" s="232">
        <v>17.070764163423945</v>
      </c>
      <c r="G109" s="147">
        <v>0</v>
      </c>
      <c r="H109" s="145">
        <v>12.342164136360621</v>
      </c>
      <c r="I109" s="148">
        <v>0</v>
      </c>
      <c r="J109" s="232">
        <v>0.88431947601313643</v>
      </c>
      <c r="K109" s="147">
        <v>0</v>
      </c>
      <c r="L109" s="145">
        <v>0.81874936062844828</v>
      </c>
      <c r="M109" s="148">
        <v>0</v>
      </c>
      <c r="N109" s="232">
        <v>6.7097379263565387</v>
      </c>
      <c r="O109" s="147">
        <v>0</v>
      </c>
      <c r="P109" s="145">
        <v>2.342764696834275</v>
      </c>
      <c r="Q109" s="148">
        <v>0</v>
      </c>
      <c r="R109" s="232">
        <v>2.3492972570440829</v>
      </c>
      <c r="S109" s="147">
        <v>0</v>
      </c>
      <c r="T109" s="145">
        <v>0.92175147254132672</v>
      </c>
      <c r="U109" s="148">
        <v>0</v>
      </c>
      <c r="V109" s="232">
        <v>3.8860781074171986</v>
      </c>
      <c r="W109" s="147">
        <v>0</v>
      </c>
    </row>
    <row r="110" spans="1:23" x14ac:dyDescent="0.35">
      <c r="A110" s="59" t="s">
        <v>1524</v>
      </c>
      <c r="B110" s="232">
        <v>1.2418071804671207</v>
      </c>
      <c r="C110" s="147">
        <v>0</v>
      </c>
      <c r="D110" s="145">
        <v>61.448100929252661</v>
      </c>
      <c r="E110" s="148">
        <v>0</v>
      </c>
      <c r="F110" s="232">
        <v>19.608516640866405</v>
      </c>
      <c r="G110" s="147">
        <v>0</v>
      </c>
      <c r="H110" s="145">
        <v>85.502642550305438</v>
      </c>
      <c r="I110" s="148">
        <v>0</v>
      </c>
      <c r="J110" s="232">
        <v>3.8906594350893426</v>
      </c>
      <c r="K110" s="147">
        <v>0</v>
      </c>
      <c r="L110" s="145">
        <v>5.0533827250588237</v>
      </c>
      <c r="M110" s="148">
        <v>0</v>
      </c>
      <c r="N110" s="232">
        <v>28.785578273371872</v>
      </c>
      <c r="O110" s="147">
        <v>0</v>
      </c>
      <c r="P110" s="145">
        <v>12.413041885995314</v>
      </c>
      <c r="Q110" s="148">
        <v>0</v>
      </c>
      <c r="R110" s="232">
        <v>14.970405139854027</v>
      </c>
      <c r="S110" s="147">
        <v>0</v>
      </c>
      <c r="T110" s="145">
        <v>7.2138621022760159</v>
      </c>
      <c r="U110" s="148">
        <v>0</v>
      </c>
      <c r="V110" s="232">
        <v>20.744415883477039</v>
      </c>
      <c r="W110" s="147">
        <v>0</v>
      </c>
    </row>
    <row r="111" spans="1:23" x14ac:dyDescent="0.35">
      <c r="A111" s="59" t="s">
        <v>1523</v>
      </c>
      <c r="B111" s="232">
        <v>2.402232679512927</v>
      </c>
      <c r="C111" s="147">
        <v>0</v>
      </c>
      <c r="D111" s="145">
        <v>98.73583759382214</v>
      </c>
      <c r="E111" s="148">
        <v>0</v>
      </c>
      <c r="F111" s="232">
        <v>36.495979195469403</v>
      </c>
      <c r="G111" s="147">
        <v>0</v>
      </c>
      <c r="H111" s="145">
        <v>344.9278593895927</v>
      </c>
      <c r="I111" s="148">
        <v>0</v>
      </c>
      <c r="J111" s="232">
        <v>7.318022789968099</v>
      </c>
      <c r="K111" s="147">
        <v>0</v>
      </c>
      <c r="L111" s="145">
        <v>10.168049033946687</v>
      </c>
      <c r="M111" s="148">
        <v>0</v>
      </c>
      <c r="N111" s="232">
        <v>61.76222071734238</v>
      </c>
      <c r="O111" s="147">
        <v>0</v>
      </c>
      <c r="P111" s="145">
        <v>19.053833925914443</v>
      </c>
      <c r="Q111" s="148">
        <v>0</v>
      </c>
      <c r="R111" s="232">
        <v>31.450305111152545</v>
      </c>
      <c r="S111" s="147">
        <v>0</v>
      </c>
      <c r="T111" s="145">
        <v>18.893102232264646</v>
      </c>
      <c r="U111" s="148">
        <v>0</v>
      </c>
      <c r="V111" s="232">
        <v>32.436841145293805</v>
      </c>
      <c r="W111" s="147">
        <v>0</v>
      </c>
    </row>
    <row r="112" spans="1:23" x14ac:dyDescent="0.35">
      <c r="A112" s="59" t="s">
        <v>1522</v>
      </c>
      <c r="B112" s="232">
        <v>0.35128121155139858</v>
      </c>
      <c r="C112" s="147">
        <v>0</v>
      </c>
      <c r="D112" s="145">
        <v>6.361635396985946</v>
      </c>
      <c r="E112" s="148">
        <v>0</v>
      </c>
      <c r="F112" s="232">
        <v>4.7725423128348714</v>
      </c>
      <c r="G112" s="147">
        <v>0</v>
      </c>
      <c r="H112" s="145">
        <v>50.544280767407379</v>
      </c>
      <c r="I112" s="148">
        <v>0</v>
      </c>
      <c r="J112" s="232">
        <v>0.64365679059672809</v>
      </c>
      <c r="K112" s="147">
        <v>0</v>
      </c>
      <c r="L112" s="145">
        <v>0.94675070746143342</v>
      </c>
      <c r="M112" s="148">
        <v>0</v>
      </c>
      <c r="N112" s="232">
        <v>6.1104216426579265</v>
      </c>
      <c r="O112" s="147">
        <v>0</v>
      </c>
      <c r="P112" s="145">
        <v>1.0051309457927655</v>
      </c>
      <c r="Q112" s="148">
        <v>0</v>
      </c>
      <c r="R112" s="232">
        <v>3.1012682958040911</v>
      </c>
      <c r="S112" s="147">
        <v>0</v>
      </c>
      <c r="T112" s="145">
        <v>2.3283521592521383</v>
      </c>
      <c r="U112" s="148">
        <v>0</v>
      </c>
      <c r="V112" s="232">
        <v>1.8114106436827582</v>
      </c>
      <c r="W112" s="147">
        <v>0</v>
      </c>
    </row>
    <row r="113" spans="1:24" x14ac:dyDescent="0.35">
      <c r="A113" s="59" t="s">
        <v>1521</v>
      </c>
      <c r="B113" s="232">
        <v>0.27473446794064094</v>
      </c>
      <c r="C113" s="147">
        <v>0</v>
      </c>
      <c r="D113" s="145">
        <v>4.8244695507095354</v>
      </c>
      <c r="E113" s="148">
        <v>0</v>
      </c>
      <c r="F113" s="232">
        <v>3.7548140079258436</v>
      </c>
      <c r="G113" s="147">
        <v>0</v>
      </c>
      <c r="H113" s="145">
        <v>36.175595523759419</v>
      </c>
      <c r="I113" s="148">
        <v>0</v>
      </c>
      <c r="J113" s="232">
        <v>0.47951955741650781</v>
      </c>
      <c r="K113" s="147">
        <v>0</v>
      </c>
      <c r="L113" s="145">
        <v>0.69844367594910794</v>
      </c>
      <c r="M113" s="148">
        <v>0</v>
      </c>
      <c r="N113" s="232">
        <v>4.4555243778934441</v>
      </c>
      <c r="O113" s="147">
        <v>0</v>
      </c>
      <c r="P113" s="145">
        <v>0.74662861402861291</v>
      </c>
      <c r="Q113" s="148">
        <v>0</v>
      </c>
      <c r="R113" s="232">
        <v>2.286696438353002</v>
      </c>
      <c r="S113" s="147">
        <v>0</v>
      </c>
      <c r="T113" s="145">
        <v>1.7138462465060513</v>
      </c>
      <c r="U113" s="148">
        <v>0</v>
      </c>
      <c r="V113" s="232">
        <v>1.3445142202206217</v>
      </c>
      <c r="W113" s="147">
        <v>0</v>
      </c>
    </row>
    <row r="114" spans="1:24" x14ac:dyDescent="0.35">
      <c r="A114" s="59" t="s">
        <v>1520</v>
      </c>
      <c r="B114" s="232">
        <v>3.789563950445209</v>
      </c>
      <c r="C114" s="147">
        <v>0</v>
      </c>
      <c r="D114" s="145">
        <v>171.79491684121055</v>
      </c>
      <c r="E114" s="148">
        <v>0</v>
      </c>
      <c r="F114" s="232">
        <v>50.918367853962138</v>
      </c>
      <c r="G114" s="147">
        <v>0</v>
      </c>
      <c r="H114" s="145">
        <v>1844.1093297222103</v>
      </c>
      <c r="I114" s="148">
        <v>0</v>
      </c>
      <c r="J114" s="232">
        <v>19.695455531811245</v>
      </c>
      <c r="K114" s="147">
        <v>0</v>
      </c>
      <c r="L114" s="145">
        <v>31.574488708676594</v>
      </c>
      <c r="M114" s="148">
        <v>0</v>
      </c>
      <c r="N114" s="232">
        <v>202.97663455580681</v>
      </c>
      <c r="O114" s="147">
        <v>0</v>
      </c>
      <c r="P114" s="145">
        <v>32.92652664989869</v>
      </c>
      <c r="Q114" s="148">
        <v>0</v>
      </c>
      <c r="R114" s="232">
        <v>103.57541062208921</v>
      </c>
      <c r="S114" s="147">
        <v>0</v>
      </c>
      <c r="T114" s="145">
        <v>78.106299022480783</v>
      </c>
      <c r="U114" s="148">
        <v>0</v>
      </c>
      <c r="V114" s="232">
        <v>59.437572758667095</v>
      </c>
      <c r="W114" s="147">
        <v>0</v>
      </c>
    </row>
    <row r="115" spans="1:24" x14ac:dyDescent="0.35">
      <c r="A115" s="59" t="s">
        <v>1519</v>
      </c>
      <c r="B115" s="232">
        <v>3.1453513784580743E-2</v>
      </c>
      <c r="C115" s="147">
        <v>0</v>
      </c>
      <c r="D115" s="145">
        <v>0.37832539245029539</v>
      </c>
      <c r="E115" s="148">
        <v>0</v>
      </c>
      <c r="F115" s="232">
        <v>0.50456125948372144</v>
      </c>
      <c r="G115" s="147">
        <v>0</v>
      </c>
      <c r="H115" s="145">
        <v>1.7825391552755119</v>
      </c>
      <c r="I115" s="148">
        <v>0</v>
      </c>
      <c r="J115" s="232">
        <v>3.2840176430620149E-2</v>
      </c>
      <c r="K115" s="147">
        <v>0</v>
      </c>
      <c r="L115" s="145">
        <v>4.2949331180151054E-2</v>
      </c>
      <c r="M115" s="148">
        <v>0</v>
      </c>
      <c r="N115" s="232">
        <v>0.27431641046383376</v>
      </c>
      <c r="O115" s="147">
        <v>0</v>
      </c>
      <c r="P115" s="145">
        <v>5.0324423909037193E-2</v>
      </c>
      <c r="Q115" s="148">
        <v>0</v>
      </c>
      <c r="R115" s="232">
        <v>0.13960110834150261</v>
      </c>
      <c r="S115" s="147">
        <v>0</v>
      </c>
      <c r="T115" s="145">
        <v>0.10210467090979541</v>
      </c>
      <c r="U115" s="148">
        <v>0</v>
      </c>
      <c r="V115" s="232">
        <v>8.9655500736239277E-2</v>
      </c>
      <c r="W115" s="147">
        <v>0</v>
      </c>
    </row>
    <row r="116" spans="1:24" x14ac:dyDescent="0.35">
      <c r="A116" s="57" t="s">
        <v>1518</v>
      </c>
      <c r="B116" s="231">
        <v>4.7286276204430766E-2</v>
      </c>
      <c r="C116" s="443">
        <v>0</v>
      </c>
      <c r="D116" s="142">
        <v>0.81675094221689548</v>
      </c>
      <c r="E116" s="444">
        <v>0</v>
      </c>
      <c r="F116" s="231">
        <v>0.74474574563054918</v>
      </c>
      <c r="G116" s="443">
        <v>0</v>
      </c>
      <c r="H116" s="142">
        <v>4.0692641217552543</v>
      </c>
      <c r="I116" s="444">
        <v>0</v>
      </c>
      <c r="J116" s="231">
        <v>7.5974660988460063E-2</v>
      </c>
      <c r="K116" s="443">
        <v>0</v>
      </c>
      <c r="L116" s="142">
        <v>0.10865742648750785</v>
      </c>
      <c r="M116" s="444">
        <v>0</v>
      </c>
      <c r="N116" s="231">
        <v>0.59212776560196723</v>
      </c>
      <c r="O116" s="443">
        <v>0</v>
      </c>
      <c r="P116" s="142">
        <v>0.1212667379113614</v>
      </c>
      <c r="Q116" s="444">
        <v>0</v>
      </c>
      <c r="R116" s="231">
        <v>0.35449709229349219</v>
      </c>
      <c r="S116" s="443">
        <v>0</v>
      </c>
      <c r="T116" s="142">
        <v>0.26270927984588915</v>
      </c>
      <c r="U116" s="444">
        <v>0</v>
      </c>
      <c r="V116" s="231">
        <v>0.21738312927281483</v>
      </c>
      <c r="W116" s="443">
        <v>0</v>
      </c>
    </row>
    <row r="117" spans="1:24" x14ac:dyDescent="0.35">
      <c r="D117" s="120"/>
      <c r="F117" s="120"/>
      <c r="H117" s="120"/>
      <c r="J117" s="120"/>
      <c r="L117" s="120"/>
    </row>
    <row r="118" spans="1:24" ht="13.9" x14ac:dyDescent="0.4">
      <c r="A118" s="72" t="s">
        <v>1927</v>
      </c>
    </row>
    <row r="119" spans="1:24" ht="13.15" x14ac:dyDescent="0.4">
      <c r="A119" s="41" t="s">
        <v>1988</v>
      </c>
      <c r="T119" s="120"/>
    </row>
    <row r="120" spans="1:24" ht="39.75" customHeight="1" x14ac:dyDescent="0.4">
      <c r="A120" s="91"/>
      <c r="B120" s="442" t="s">
        <v>1318</v>
      </c>
      <c r="C120" s="442" t="s">
        <v>1403</v>
      </c>
      <c r="D120" s="442" t="s">
        <v>1316</v>
      </c>
      <c r="E120" s="442" t="s">
        <v>1402</v>
      </c>
      <c r="F120" s="442" t="s">
        <v>1314</v>
      </c>
      <c r="G120" s="485" t="s">
        <v>1323</v>
      </c>
      <c r="H120" s="484" t="s">
        <v>1322</v>
      </c>
      <c r="I120" s="442" t="s">
        <v>1321</v>
      </c>
      <c r="J120" s="442" t="s">
        <v>1320</v>
      </c>
      <c r="K120" s="2191" t="s">
        <v>1985</v>
      </c>
      <c r="L120" s="2236"/>
      <c r="M120" s="2196" t="s">
        <v>1984</v>
      </c>
      <c r="N120" s="2237"/>
      <c r="O120" s="2191" t="s">
        <v>1983</v>
      </c>
      <c r="P120" s="2236"/>
      <c r="Q120" s="2196" t="s">
        <v>1982</v>
      </c>
      <c r="R120" s="2237"/>
      <c r="S120" s="2191" t="s">
        <v>1981</v>
      </c>
      <c r="T120" s="2236"/>
      <c r="U120" s="2196" t="s">
        <v>325</v>
      </c>
      <c r="V120" s="2237"/>
      <c r="W120" s="2191" t="s">
        <v>1987</v>
      </c>
      <c r="X120" s="2236"/>
    </row>
    <row r="121" spans="1:24" ht="25.5" x14ac:dyDescent="0.35">
      <c r="A121" s="98" t="s">
        <v>1980</v>
      </c>
      <c r="B121" s="120">
        <v>1</v>
      </c>
      <c r="C121" s="120">
        <v>1</v>
      </c>
      <c r="D121" s="120">
        <v>1</v>
      </c>
      <c r="E121" s="120">
        <v>1</v>
      </c>
      <c r="F121" s="120">
        <v>1.02</v>
      </c>
      <c r="G121" s="277">
        <v>1.0349999999999999</v>
      </c>
      <c r="H121" s="121">
        <v>0</v>
      </c>
      <c r="I121" s="120">
        <v>1</v>
      </c>
      <c r="J121" s="120">
        <v>0</v>
      </c>
      <c r="K121" s="277"/>
      <c r="L121" s="121"/>
      <c r="M121" s="120"/>
      <c r="N121" s="120"/>
      <c r="O121" s="277"/>
      <c r="P121" s="121"/>
      <c r="Q121" s="120"/>
      <c r="R121" s="120"/>
      <c r="S121" s="277"/>
      <c r="T121" s="121"/>
      <c r="U121" s="120"/>
      <c r="V121" s="120"/>
      <c r="W121" s="277"/>
      <c r="X121" s="121"/>
    </row>
    <row r="122" spans="1:24" ht="25.5" x14ac:dyDescent="0.35">
      <c r="A122" s="98" t="s">
        <v>1979</v>
      </c>
      <c r="B122" s="120">
        <v>1</v>
      </c>
      <c r="C122" s="120">
        <v>1</v>
      </c>
      <c r="D122" s="120">
        <v>1</v>
      </c>
      <c r="E122" s="120">
        <v>1</v>
      </c>
      <c r="F122" s="120">
        <v>1.02</v>
      </c>
      <c r="G122" s="277">
        <v>1.0349999999999999</v>
      </c>
      <c r="H122" s="121">
        <v>1</v>
      </c>
      <c r="I122" s="120">
        <v>1</v>
      </c>
      <c r="J122" s="120">
        <v>0</v>
      </c>
      <c r="K122" s="277"/>
      <c r="L122" s="121"/>
      <c r="M122" s="120"/>
      <c r="N122" s="120"/>
      <c r="O122" s="277"/>
      <c r="P122" s="121"/>
      <c r="Q122" s="120"/>
      <c r="R122" s="120"/>
      <c r="S122" s="277"/>
      <c r="T122" s="121"/>
      <c r="U122" s="120"/>
      <c r="V122" s="120"/>
      <c r="W122" s="277"/>
      <c r="X122" s="121"/>
    </row>
    <row r="123" spans="1:24" ht="25.5" x14ac:dyDescent="0.35">
      <c r="A123" s="96" t="s">
        <v>1978</v>
      </c>
      <c r="B123" s="119">
        <v>1</v>
      </c>
      <c r="C123" s="119">
        <v>1</v>
      </c>
      <c r="D123" s="119">
        <v>1</v>
      </c>
      <c r="E123" s="119">
        <v>1</v>
      </c>
      <c r="F123" s="119">
        <v>1.02</v>
      </c>
      <c r="G123" s="273">
        <v>0</v>
      </c>
      <c r="H123" s="466">
        <v>0</v>
      </c>
      <c r="I123" s="119">
        <v>0</v>
      </c>
      <c r="J123" s="119">
        <v>1</v>
      </c>
      <c r="K123" s="273"/>
      <c r="L123" s="466"/>
      <c r="M123" s="119"/>
      <c r="N123" s="119"/>
      <c r="O123" s="273"/>
      <c r="P123" s="466"/>
      <c r="Q123" s="119"/>
      <c r="R123" s="119"/>
      <c r="S123" s="273"/>
      <c r="T123" s="466"/>
      <c r="U123" s="120"/>
      <c r="V123" s="120"/>
      <c r="W123" s="277"/>
      <c r="X123" s="121"/>
    </row>
    <row r="124" spans="1:24" ht="13.15" x14ac:dyDescent="0.4">
      <c r="A124" s="128" t="s">
        <v>1923</v>
      </c>
      <c r="B124" s="120"/>
      <c r="C124" s="120"/>
      <c r="D124" s="120"/>
      <c r="E124" s="120"/>
      <c r="F124" s="120"/>
      <c r="G124" s="277"/>
      <c r="H124" s="121"/>
      <c r="I124" s="120"/>
      <c r="J124" s="120"/>
      <c r="K124" s="482" t="s">
        <v>1873</v>
      </c>
      <c r="L124" s="427" t="s">
        <v>1872</v>
      </c>
      <c r="M124" s="427" t="s">
        <v>1873</v>
      </c>
      <c r="N124" s="483" t="s">
        <v>1872</v>
      </c>
      <c r="O124" s="482" t="s">
        <v>1873</v>
      </c>
      <c r="P124" s="427" t="s">
        <v>1872</v>
      </c>
      <c r="Q124" s="427" t="s">
        <v>1873</v>
      </c>
      <c r="R124" s="483" t="s">
        <v>1872</v>
      </c>
      <c r="S124" s="482" t="s">
        <v>1873</v>
      </c>
      <c r="T124" s="427" t="s">
        <v>1872</v>
      </c>
      <c r="U124" s="470" t="s">
        <v>1873</v>
      </c>
      <c r="V124" s="471" t="s">
        <v>1872</v>
      </c>
      <c r="W124" s="428" t="s">
        <v>1873</v>
      </c>
      <c r="X124" s="470" t="s">
        <v>1872</v>
      </c>
    </row>
    <row r="125" spans="1:24" x14ac:dyDescent="0.35">
      <c r="A125" s="59" t="s">
        <v>1537</v>
      </c>
      <c r="B125" s="145">
        <v>0.69578218556264471</v>
      </c>
      <c r="C125" s="145">
        <v>24.90561337275226</v>
      </c>
      <c r="D125" s="145">
        <v>12.78947536426803</v>
      </c>
      <c r="E125" s="145">
        <v>64.739574004756648</v>
      </c>
      <c r="F125" s="145">
        <v>1.3197239743574714</v>
      </c>
      <c r="G125" s="232">
        <v>4.3425157477657201</v>
      </c>
      <c r="H125" s="144">
        <v>4.437234416165956</v>
      </c>
      <c r="I125" s="145">
        <v>1.7821978693329918</v>
      </c>
      <c r="J125" s="145">
        <v>7.2145816775606919</v>
      </c>
      <c r="K125" s="59">
        <v>114.5832407710181</v>
      </c>
      <c r="L125" s="146">
        <v>5.729162038550905E-2</v>
      </c>
      <c r="M125" s="39">
        <v>119.02047518718405</v>
      </c>
      <c r="N125" s="146">
        <v>5.9510237593592023E-2</v>
      </c>
      <c r="O125" s="59">
        <v>116.36543864035109</v>
      </c>
      <c r="P125" s="146">
        <v>5.8182719320175547E-2</v>
      </c>
      <c r="Q125" s="144">
        <v>120.80267305651704</v>
      </c>
      <c r="R125" s="145">
        <v>6.040133652825852E-2</v>
      </c>
      <c r="S125" s="59">
        <v>113.72735947780454</v>
      </c>
      <c r="T125" s="146">
        <v>5.6863679738902273E-2</v>
      </c>
      <c r="U125" s="39">
        <v>114.64715024303716</v>
      </c>
      <c r="V125" s="146">
        <v>5.7323575121518582E-2</v>
      </c>
      <c r="W125" s="146">
        <v>13.366083094035139</v>
      </c>
      <c r="X125" s="144">
        <v>6.6830415470175691E-3</v>
      </c>
    </row>
    <row r="126" spans="1:24" x14ac:dyDescent="0.35">
      <c r="A126" s="59" t="s">
        <v>1536</v>
      </c>
      <c r="B126" s="145">
        <v>0.6863782306550007</v>
      </c>
      <c r="C126" s="145">
        <v>24.191540149571509</v>
      </c>
      <c r="D126" s="145">
        <v>12.66658646095415</v>
      </c>
      <c r="E126" s="145">
        <v>24.576879742536089</v>
      </c>
      <c r="F126" s="145">
        <v>1.2353469476313939</v>
      </c>
      <c r="G126" s="232">
        <v>4.2002083923949076</v>
      </c>
      <c r="H126" s="144">
        <v>3.9849756365458693</v>
      </c>
      <c r="I126" s="145">
        <v>1.4403690677443262</v>
      </c>
      <c r="J126" s="145">
        <v>6.9573990692949934</v>
      </c>
      <c r="K126" s="146">
        <v>71.06033818822317</v>
      </c>
      <c r="L126" s="144">
        <v>3.5530169094111587E-2</v>
      </c>
      <c r="M126" s="144">
        <v>75.045313824769039</v>
      </c>
      <c r="N126" s="145">
        <v>3.7522656912384517E-2</v>
      </c>
      <c r="O126" s="146">
        <v>72.500707255967498</v>
      </c>
      <c r="P126" s="144">
        <v>3.6250353627983747E-2</v>
      </c>
      <c r="Q126" s="144">
        <v>76.485682892513367</v>
      </c>
      <c r="R126" s="145">
        <v>3.8242841446256684E-2</v>
      </c>
      <c r="S126" s="146">
        <v>71.556558292317476</v>
      </c>
      <c r="T126" s="144">
        <v>3.5778279146158741E-2</v>
      </c>
      <c r="U126" s="144">
        <v>72.197344490342942</v>
      </c>
      <c r="V126" s="145">
        <v>3.6098672245171472E-2</v>
      </c>
      <c r="W126" s="146">
        <v>12.988367119257862</v>
      </c>
      <c r="X126" s="144">
        <v>6.4941835596289315E-3</v>
      </c>
    </row>
    <row r="127" spans="1:24" x14ac:dyDescent="0.35">
      <c r="A127" s="59" t="s">
        <v>1535</v>
      </c>
      <c r="B127" s="145">
        <v>2.2502787392071861E-2</v>
      </c>
      <c r="C127" s="145">
        <v>3.4131832751350699</v>
      </c>
      <c r="D127" s="145">
        <v>2.13827879072196</v>
      </c>
      <c r="E127" s="145">
        <v>19.825174329003818</v>
      </c>
      <c r="F127" s="145">
        <v>0.20369475413410845</v>
      </c>
      <c r="G127" s="232">
        <v>0.34446292048075111</v>
      </c>
      <c r="H127" s="144">
        <v>1.0957100816133774</v>
      </c>
      <c r="I127" s="145">
        <v>0.82541364628226921</v>
      </c>
      <c r="J127" s="145">
        <v>0.63413733366007408</v>
      </c>
      <c r="K127" s="146">
        <v>27.36915822571396</v>
      </c>
      <c r="L127" s="144">
        <v>1.368457911285698E-2</v>
      </c>
      <c r="M127" s="144">
        <v>28.464868307327336</v>
      </c>
      <c r="N127" s="145">
        <v>1.4232434153663667E-2</v>
      </c>
      <c r="O127" s="146">
        <v>28.194571871996228</v>
      </c>
      <c r="P127" s="144">
        <v>1.4097285935998113E-2</v>
      </c>
      <c r="Q127" s="144">
        <v>29.290281953609604</v>
      </c>
      <c r="R127" s="145">
        <v>1.4645140976804801E-2</v>
      </c>
      <c r="S127" s="146">
        <v>26.744954053692162</v>
      </c>
      <c r="T127" s="144">
        <v>1.3372477026846082E-2</v>
      </c>
      <c r="U127" s="144">
        <v>27.07584668068143</v>
      </c>
      <c r="V127" s="145">
        <v>1.3537923340340714E-2</v>
      </c>
      <c r="W127" s="146">
        <v>1.7937172718633922</v>
      </c>
      <c r="X127" s="144">
        <v>8.9685863593169613E-4</v>
      </c>
    </row>
    <row r="128" spans="1:24" x14ac:dyDescent="0.35">
      <c r="A128" s="59" t="s">
        <v>1534</v>
      </c>
      <c r="B128" s="145">
        <v>7.4613856082037633E-2</v>
      </c>
      <c r="C128" s="145">
        <v>17.430183470668545</v>
      </c>
      <c r="D128" s="145">
        <v>1.7029057887189509</v>
      </c>
      <c r="E128" s="145">
        <v>4.4328861283801952</v>
      </c>
      <c r="F128" s="145">
        <v>0.8800979234403381</v>
      </c>
      <c r="G128" s="232">
        <v>3.830909394894944</v>
      </c>
      <c r="H128" s="144">
        <v>2.8445467152955679</v>
      </c>
      <c r="I128" s="145">
        <v>0.58690690676127966</v>
      </c>
      <c r="J128" s="145">
        <v>6.2780678914104762</v>
      </c>
      <c r="K128" s="146">
        <v>29.699180810387855</v>
      </c>
      <c r="L128" s="144">
        <v>1.4849590405193928E-2</v>
      </c>
      <c r="M128" s="144">
        <v>32.543727525683423</v>
      </c>
      <c r="N128" s="145">
        <v>1.6271863762841711E-2</v>
      </c>
      <c r="O128" s="146">
        <v>30.286087717149133</v>
      </c>
      <c r="P128" s="144">
        <v>1.5143043858574566E-2</v>
      </c>
      <c r="Q128" s="144">
        <v>33.130634432444701</v>
      </c>
      <c r="R128" s="145">
        <v>1.6565317216222352E-2</v>
      </c>
      <c r="S128" s="146">
        <v>31.271566843577542</v>
      </c>
      <c r="T128" s="144">
        <v>1.5635783421788771E-2</v>
      </c>
      <c r="U128" s="144">
        <v>31.513245630130275</v>
      </c>
      <c r="V128" s="145">
        <v>1.5756622815065138E-2</v>
      </c>
      <c r="W128" s="146">
        <v>9.1389774077219297</v>
      </c>
      <c r="X128" s="144">
        <v>4.5694887038609652E-3</v>
      </c>
    </row>
    <row r="129" spans="1:24" x14ac:dyDescent="0.35">
      <c r="A129" s="59" t="s">
        <v>1533</v>
      </c>
      <c r="B129" s="145">
        <v>0.58926158718089117</v>
      </c>
      <c r="C129" s="145">
        <v>3.3481734037678947</v>
      </c>
      <c r="D129" s="145">
        <v>8.8254018815132387</v>
      </c>
      <c r="E129" s="145">
        <v>0.31881928515207608</v>
      </c>
      <c r="F129" s="145">
        <v>0.15155427005694724</v>
      </c>
      <c r="G129" s="232">
        <v>2.4836077019212373E-2</v>
      </c>
      <c r="H129" s="144">
        <v>4.4718839636924038E-2</v>
      </c>
      <c r="I129" s="145">
        <v>2.8048514700777287E-2</v>
      </c>
      <c r="J129" s="145">
        <v>4.5193844224443509E-2</v>
      </c>
      <c r="K129" s="146">
        <v>13.991999152121357</v>
      </c>
      <c r="L129" s="144">
        <v>6.9959995760606785E-3</v>
      </c>
      <c r="M129" s="144">
        <v>14.036717991758282</v>
      </c>
      <c r="N129" s="145">
        <v>7.018358995879141E-3</v>
      </c>
      <c r="O129" s="146">
        <v>14.020047666822135</v>
      </c>
      <c r="P129" s="144">
        <v>7.0100238334110674E-3</v>
      </c>
      <c r="Q129" s="144">
        <v>14.06476650645906</v>
      </c>
      <c r="R129" s="145">
        <v>7.0323832532295299E-3</v>
      </c>
      <c r="S129" s="146">
        <v>13.540037395047774</v>
      </c>
      <c r="T129" s="144">
        <v>6.7700186975238868E-3</v>
      </c>
      <c r="U129" s="144">
        <v>13.608252179531242</v>
      </c>
      <c r="V129" s="145">
        <v>6.8041260897656209E-3</v>
      </c>
      <c r="W129" s="146">
        <v>2.0556724396725414</v>
      </c>
      <c r="X129" s="144">
        <v>1.0278362198362708E-3</v>
      </c>
    </row>
    <row r="130" spans="1:24" x14ac:dyDescent="0.35">
      <c r="A130" s="59" t="s">
        <v>1532</v>
      </c>
      <c r="B130" s="48">
        <v>1501.5418712274286</v>
      </c>
      <c r="C130" s="48">
        <v>4581.1161600328724</v>
      </c>
      <c r="D130" s="48">
        <v>248.19752140180492</v>
      </c>
      <c r="E130" s="48">
        <v>52670.386924507176</v>
      </c>
      <c r="F130" s="48">
        <v>101.85044657983455</v>
      </c>
      <c r="G130" s="49">
        <v>108.15618081951042</v>
      </c>
      <c r="H130" s="47">
        <v>310.67751213528015</v>
      </c>
      <c r="I130" s="48">
        <v>171.44676499281618</v>
      </c>
      <c r="J130" s="48">
        <v>259.85378586982699</v>
      </c>
      <c r="K130" s="49">
        <v>62501.183076177243</v>
      </c>
      <c r="L130" s="143">
        <v>31.250591538088621</v>
      </c>
      <c r="M130" s="49">
        <v>62811.86058831252</v>
      </c>
      <c r="N130" s="143">
        <v>31.40593029415626</v>
      </c>
      <c r="O130" s="155">
        <v>62672.629841170063</v>
      </c>
      <c r="P130" s="146">
        <v>31.336314920585032</v>
      </c>
      <c r="Q130" s="155">
        <v>62983.307353305339</v>
      </c>
      <c r="R130" s="146">
        <v>31.491653676652671</v>
      </c>
      <c r="S130" s="155">
        <v>60542.971559162324</v>
      </c>
      <c r="T130" s="146">
        <v>30.271485779581162</v>
      </c>
      <c r="U130" s="155">
        <v>60860.215212400915</v>
      </c>
      <c r="V130" s="146">
        <v>30.430107606200458</v>
      </c>
      <c r="W130" s="155">
        <v>3175.6594086145456</v>
      </c>
      <c r="X130" s="146">
        <v>1.5878297043072729</v>
      </c>
    </row>
    <row r="131" spans="1:24" ht="13.15" x14ac:dyDescent="0.4">
      <c r="A131" s="131" t="s">
        <v>1922</v>
      </c>
      <c r="B131" s="157"/>
      <c r="C131" s="157"/>
      <c r="D131" s="157"/>
      <c r="E131" s="157"/>
      <c r="F131" s="157"/>
      <c r="G131" s="237"/>
      <c r="H131" s="156"/>
      <c r="I131" s="157"/>
      <c r="J131" s="157"/>
      <c r="K131" s="429" t="s">
        <v>1873</v>
      </c>
      <c r="L131" s="381" t="s">
        <v>1872</v>
      </c>
      <c r="M131" s="381" t="s">
        <v>1873</v>
      </c>
      <c r="N131" s="382" t="s">
        <v>1872</v>
      </c>
      <c r="O131" s="429" t="s">
        <v>1873</v>
      </c>
      <c r="P131" s="381" t="s">
        <v>1872</v>
      </c>
      <c r="Q131" s="381" t="s">
        <v>1873</v>
      </c>
      <c r="R131" s="382" t="s">
        <v>1872</v>
      </c>
      <c r="S131" s="429" t="s">
        <v>1873</v>
      </c>
      <c r="T131" s="381" t="s">
        <v>1872</v>
      </c>
      <c r="U131" s="381" t="s">
        <v>1873</v>
      </c>
      <c r="V131" s="382" t="s">
        <v>1872</v>
      </c>
      <c r="W131" s="429" t="s">
        <v>1873</v>
      </c>
      <c r="X131" s="381" t="s">
        <v>1872</v>
      </c>
    </row>
    <row r="132" spans="1:24" x14ac:dyDescent="0.35">
      <c r="A132" s="59" t="s">
        <v>1525</v>
      </c>
      <c r="B132" s="145">
        <v>17.39555116112922</v>
      </c>
      <c r="C132" s="145">
        <v>252.31020925280336</v>
      </c>
      <c r="D132" s="145">
        <v>240.76707186293075</v>
      </c>
      <c r="E132" s="145">
        <v>235.13544760407643</v>
      </c>
      <c r="F132" s="145">
        <v>12.676921755513046</v>
      </c>
      <c r="G132" s="232">
        <v>303.89453252439506</v>
      </c>
      <c r="H132" s="144">
        <v>277.35430127674221</v>
      </c>
      <c r="I132" s="145">
        <v>12.945991101971142</v>
      </c>
      <c r="J132" s="145">
        <v>323.85671195218856</v>
      </c>
      <c r="K132" s="146">
        <v>1104.1538076116592</v>
      </c>
      <c r="L132" s="144">
        <v>0.55207690380582963</v>
      </c>
      <c r="M132" s="144">
        <v>1381.5081088884015</v>
      </c>
      <c r="N132" s="145">
        <v>0.69075405444420068</v>
      </c>
      <c r="O132" s="146">
        <v>1117.0997987136304</v>
      </c>
      <c r="P132" s="144">
        <v>0.5585498993568152</v>
      </c>
      <c r="Q132" s="144">
        <v>1394.4540999903727</v>
      </c>
      <c r="R132" s="145">
        <v>0.69722704999518637</v>
      </c>
      <c r="S132" s="146">
        <v>1097.0540791862602</v>
      </c>
      <c r="T132" s="144">
        <v>0.54852703959313009</v>
      </c>
      <c r="U132" s="144">
        <v>1135.7160818907948</v>
      </c>
      <c r="V132" s="145">
        <v>0.56785804094539738</v>
      </c>
      <c r="W132" s="146">
        <v>140.80910536385747</v>
      </c>
      <c r="X132" s="144">
        <v>7.0404552681928731E-2</v>
      </c>
    </row>
    <row r="133" spans="1:24" x14ac:dyDescent="0.35">
      <c r="A133" s="59" t="s">
        <v>1524</v>
      </c>
      <c r="B133" s="145">
        <v>71.537633242355597</v>
      </c>
      <c r="C133" s="145">
        <v>1082.9097124169582</v>
      </c>
      <c r="D133" s="145">
        <v>334.13503528751454</v>
      </c>
      <c r="E133" s="145">
        <v>456.69260429472183</v>
      </c>
      <c r="F133" s="145">
        <v>69.222621982845311</v>
      </c>
      <c r="G133" s="232">
        <v>192.73180849202382</v>
      </c>
      <c r="H133" s="144">
        <v>157.65982935390028</v>
      </c>
      <c r="I133" s="145">
        <v>36.150798613471267</v>
      </c>
      <c r="J133" s="145">
        <v>332.12727346354194</v>
      </c>
      <c r="K133" s="146">
        <v>2318.004024163773</v>
      </c>
      <c r="L133" s="144">
        <v>1.1590020120818865</v>
      </c>
      <c r="M133" s="144">
        <v>2475.6638535176735</v>
      </c>
      <c r="N133" s="145">
        <v>1.2378319267588367</v>
      </c>
      <c r="O133" s="146">
        <v>2354.1548227772441</v>
      </c>
      <c r="P133" s="144">
        <v>1.177077411388622</v>
      </c>
      <c r="Q133" s="144">
        <v>2511.8146521311446</v>
      </c>
      <c r="R133" s="145">
        <v>1.2559073260655722</v>
      </c>
      <c r="S133" s="146">
        <v>2385.5303803927682</v>
      </c>
      <c r="T133" s="144">
        <v>1.1927651901963841</v>
      </c>
      <c r="U133" s="144">
        <v>2401.9473357187571</v>
      </c>
      <c r="V133" s="145">
        <v>1.2009736678593785</v>
      </c>
      <c r="W133" s="146">
        <v>602.71867268419851</v>
      </c>
      <c r="X133" s="144">
        <v>0.30135933634209927</v>
      </c>
    </row>
    <row r="134" spans="1:24" x14ac:dyDescent="0.35">
      <c r="A134" s="59" t="s">
        <v>1563</v>
      </c>
      <c r="B134" s="145">
        <v>203.31158579939336</v>
      </c>
      <c r="C134" s="145">
        <v>2032.4177964514342</v>
      </c>
      <c r="D134" s="145">
        <v>752.47609025148358</v>
      </c>
      <c r="E134" s="145">
        <v>1501.9792594554306</v>
      </c>
      <c r="F134" s="145">
        <v>176.12221948133487</v>
      </c>
      <c r="G134" s="232">
        <v>369.65197132410202</v>
      </c>
      <c r="H134" s="144">
        <v>251.93025677035402</v>
      </c>
      <c r="I134" s="145">
        <v>81.191659767030075</v>
      </c>
      <c r="J134" s="145">
        <v>469.88575214081908</v>
      </c>
      <c r="K134" s="146">
        <v>5292.2264900150712</v>
      </c>
      <c r="L134" s="144">
        <v>2.6461132450075358</v>
      </c>
      <c r="M134" s="144">
        <v>5544.1567467854256</v>
      </c>
      <c r="N134" s="145">
        <v>2.7720783733927128</v>
      </c>
      <c r="O134" s="146">
        <v>5373.418149782101</v>
      </c>
      <c r="P134" s="144">
        <v>2.6867090748910503</v>
      </c>
      <c r="Q134" s="144">
        <v>5625.3484065524553</v>
      </c>
      <c r="R134" s="145">
        <v>2.8126742032762277</v>
      </c>
      <c r="S134" s="146">
        <v>5225.9963982190502</v>
      </c>
      <c r="T134" s="144">
        <v>2.612998199109525</v>
      </c>
      <c r="U134" s="144">
        <v>5277.9121593023929</v>
      </c>
      <c r="V134" s="145">
        <v>2.6389560796511966</v>
      </c>
      <c r="W134" s="146">
        <v>1167.238896445039</v>
      </c>
      <c r="X134" s="144">
        <v>0.58361944822251954</v>
      </c>
    </row>
    <row r="135" spans="1:24" x14ac:dyDescent="0.35">
      <c r="A135" s="59" t="s">
        <v>1522</v>
      </c>
      <c r="B135" s="145">
        <v>867.67212567404044</v>
      </c>
      <c r="C135" s="145">
        <v>1018.4230438811594</v>
      </c>
      <c r="D135" s="145">
        <v>205.68509401110617</v>
      </c>
      <c r="E135" s="145">
        <v>2079.8206451448605</v>
      </c>
      <c r="F135" s="145">
        <v>39.318500647183122</v>
      </c>
      <c r="G135" s="232">
        <v>117.91151929552127</v>
      </c>
      <c r="H135" s="144">
        <v>80.688001149110534</v>
      </c>
      <c r="I135" s="145">
        <v>14.664032236522001</v>
      </c>
      <c r="J135" s="145">
        <v>33.326628519414548</v>
      </c>
      <c r="K135" s="146">
        <v>4562.5652467917344</v>
      </c>
      <c r="L135" s="144">
        <v>2.281282623395867</v>
      </c>
      <c r="M135" s="144">
        <v>4643.2532479408446</v>
      </c>
      <c r="N135" s="145">
        <v>2.3216266239704222</v>
      </c>
      <c r="O135" s="146">
        <v>4577.2292790282563</v>
      </c>
      <c r="P135" s="144">
        <v>2.2886146395141282</v>
      </c>
      <c r="Q135" s="144">
        <v>4657.9172801773666</v>
      </c>
      <c r="R135" s="145">
        <v>2.3289586400886835</v>
      </c>
      <c r="S135" s="146">
        <v>4327.6780560519883</v>
      </c>
      <c r="T135" s="144">
        <v>2.1638390280259943</v>
      </c>
      <c r="U135" s="144">
        <v>4370.6091551882873</v>
      </c>
      <c r="V135" s="145">
        <v>2.1853045775941435</v>
      </c>
      <c r="W135" s="146">
        <v>984.70041221426322</v>
      </c>
      <c r="X135" s="144">
        <v>0.49235020610713159</v>
      </c>
    </row>
    <row r="136" spans="1:24" x14ac:dyDescent="0.35">
      <c r="A136" s="59" t="s">
        <v>1521</v>
      </c>
      <c r="B136" s="145">
        <v>440.69314687514651</v>
      </c>
      <c r="C136" s="145">
        <v>503.63250502019719</v>
      </c>
      <c r="D136" s="145">
        <v>105.4514037695285</v>
      </c>
      <c r="E136" s="145">
        <v>1011.0313551617444</v>
      </c>
      <c r="F136" s="145">
        <v>20.42422612534525</v>
      </c>
      <c r="G136" s="232">
        <v>59.177352528803667</v>
      </c>
      <c r="H136" s="144">
        <v>39.446357992147774</v>
      </c>
      <c r="I136" s="145">
        <v>6.3820237265312141</v>
      </c>
      <c r="J136" s="145">
        <v>26.260905797201563</v>
      </c>
      <c r="K136" s="146">
        <v>2255.9118658781949</v>
      </c>
      <c r="L136" s="144">
        <v>1.1279559329390976</v>
      </c>
      <c r="M136" s="144">
        <v>2295.3582238703425</v>
      </c>
      <c r="N136" s="145">
        <v>1.1476791119351712</v>
      </c>
      <c r="O136" s="146">
        <v>2262.2938896047262</v>
      </c>
      <c r="P136" s="144">
        <v>1.1311469448023632</v>
      </c>
      <c r="Q136" s="144">
        <v>2301.7402475968738</v>
      </c>
      <c r="R136" s="145">
        <v>1.1508701237984369</v>
      </c>
      <c r="S136" s="146">
        <v>2148.7097109656961</v>
      </c>
      <c r="T136" s="144">
        <v>1.0743548554828481</v>
      </c>
      <c r="U136" s="144">
        <v>2168.6036807277492</v>
      </c>
      <c r="V136" s="145">
        <v>1.0843018403638747</v>
      </c>
      <c r="W136" s="146">
        <v>493.01746470467981</v>
      </c>
      <c r="X136" s="144">
        <v>0.24650873235233992</v>
      </c>
    </row>
    <row r="137" spans="1:24" x14ac:dyDescent="0.35">
      <c r="A137" s="59" t="s">
        <v>1520</v>
      </c>
      <c r="B137" s="145">
        <v>158.3024913329138</v>
      </c>
      <c r="C137" s="145">
        <v>5001.9782013918393</v>
      </c>
      <c r="D137" s="145">
        <v>1613.1161330367172</v>
      </c>
      <c r="E137" s="145">
        <v>18938.629597852923</v>
      </c>
      <c r="F137" s="145">
        <v>163.12847384182109</v>
      </c>
      <c r="G137" s="232">
        <v>135.93106525523925</v>
      </c>
      <c r="H137" s="144">
        <v>314.85319087263792</v>
      </c>
      <c r="I137" s="145">
        <v>220.49172555738897</v>
      </c>
      <c r="J137" s="145">
        <v>241.17932846814199</v>
      </c>
      <c r="K137" s="146">
        <v>27448.955331091234</v>
      </c>
      <c r="L137" s="144">
        <v>13.724477665545617</v>
      </c>
      <c r="M137" s="144">
        <v>27763.808521963871</v>
      </c>
      <c r="N137" s="145">
        <v>13.881904260981935</v>
      </c>
      <c r="O137" s="146">
        <v>27669.447056648623</v>
      </c>
      <c r="P137" s="144">
        <v>13.834723528324311</v>
      </c>
      <c r="Q137" s="144">
        <v>27984.30024752126</v>
      </c>
      <c r="R137" s="145">
        <v>13.992150123760631</v>
      </c>
      <c r="S137" s="146">
        <v>26630.574754396643</v>
      </c>
      <c r="T137" s="144">
        <v>13.315287377198322</v>
      </c>
      <c r="U137" s="144">
        <v>26806.559068502844</v>
      </c>
      <c r="V137" s="145">
        <v>13.403279534251421</v>
      </c>
      <c r="W137" s="146">
        <v>2694.1008106529985</v>
      </c>
      <c r="X137" s="144">
        <v>1.3470504053264993</v>
      </c>
    </row>
    <row r="138" spans="1:24" x14ac:dyDescent="0.35">
      <c r="A138" s="59" t="s">
        <v>1519</v>
      </c>
      <c r="B138" s="145">
        <v>5.2462422392490584</v>
      </c>
      <c r="C138" s="145">
        <v>16.347726164904138</v>
      </c>
      <c r="D138" s="145">
        <v>7.7528540019330743</v>
      </c>
      <c r="E138" s="145">
        <v>6.995264387263787</v>
      </c>
      <c r="F138" s="145">
        <v>2.0137224005540699</v>
      </c>
      <c r="G138" s="232">
        <v>2.5236071448524808</v>
      </c>
      <c r="H138" s="144">
        <v>1.970260595655559</v>
      </c>
      <c r="I138" s="145">
        <v>0.47271161247710475</v>
      </c>
      <c r="J138" s="145">
        <v>4.1476166932620382</v>
      </c>
      <c r="K138" s="146">
        <v>42.974150857165604</v>
      </c>
      <c r="L138" s="144">
        <v>2.1487075428582803E-2</v>
      </c>
      <c r="M138" s="144">
        <v>44.944411452821164</v>
      </c>
      <c r="N138" s="145">
        <v>2.2472205726410583E-2</v>
      </c>
      <c r="O138" s="146">
        <v>43.44686246964271</v>
      </c>
      <c r="P138" s="144">
        <v>2.1723431234821355E-2</v>
      </c>
      <c r="Q138" s="144">
        <v>45.41712306529827</v>
      </c>
      <c r="R138" s="145">
        <v>2.2708561532649135E-2</v>
      </c>
      <c r="S138" s="146">
        <v>43.230267623033171</v>
      </c>
      <c r="T138" s="144">
        <v>2.1615133811516585E-2</v>
      </c>
      <c r="U138" s="144">
        <v>43.514558830527633</v>
      </c>
      <c r="V138" s="145">
        <v>2.1757279415263817E-2</v>
      </c>
      <c r="W138" s="146">
        <v>11.273868854627334</v>
      </c>
      <c r="X138" s="144">
        <v>5.6369344273136677E-3</v>
      </c>
    </row>
    <row r="139" spans="1:24" x14ac:dyDescent="0.35">
      <c r="A139" s="59" t="s">
        <v>1518</v>
      </c>
      <c r="B139" s="145">
        <v>1.7903048967636037</v>
      </c>
      <c r="C139" s="145">
        <v>32.065684816412066</v>
      </c>
      <c r="D139" s="145">
        <v>7.2567181536344201</v>
      </c>
      <c r="E139" s="145">
        <v>16.252810886612249</v>
      </c>
      <c r="F139" s="145">
        <v>1.7981411371324645</v>
      </c>
      <c r="G139" s="232">
        <v>5.872122708866625</v>
      </c>
      <c r="H139" s="144">
        <v>4.5932402414020252</v>
      </c>
      <c r="I139" s="145">
        <v>1.1097448265457537</v>
      </c>
      <c r="J139" s="145">
        <v>9.6480954222954498</v>
      </c>
      <c r="K139" s="146">
        <v>68.293976933786681</v>
      </c>
      <c r="L139" s="144">
        <v>3.414698846689334E-2</v>
      </c>
      <c r="M139" s="144">
        <v>72.887217175188709</v>
      </c>
      <c r="N139" s="145">
        <v>3.6443608587594357E-2</v>
      </c>
      <c r="O139" s="146">
        <v>69.403721760332431</v>
      </c>
      <c r="P139" s="144">
        <v>3.4701860880166219E-2</v>
      </c>
      <c r="Q139" s="144">
        <v>73.99696200173446</v>
      </c>
      <c r="R139" s="145">
        <v>3.699848100086723E-2</v>
      </c>
      <c r="S139" s="146">
        <v>69.959065687918695</v>
      </c>
      <c r="T139" s="144">
        <v>3.4979532843959348E-2</v>
      </c>
      <c r="U139" s="144">
        <v>70.483992208714739</v>
      </c>
      <c r="V139" s="145">
        <v>3.5241996104357368E-2</v>
      </c>
      <c r="W139" s="146">
        <v>17.675675949240716</v>
      </c>
      <c r="X139" s="144">
        <v>8.8378379746203578E-3</v>
      </c>
    </row>
    <row r="140" spans="1:24" x14ac:dyDescent="0.35">
      <c r="A140" s="59" t="s">
        <v>1531</v>
      </c>
      <c r="B140" s="145">
        <v>67.575560403884509</v>
      </c>
      <c r="C140" s="145">
        <v>4281.1373311172356</v>
      </c>
      <c r="D140" s="145">
        <v>1351.619582454332</v>
      </c>
      <c r="E140" s="145">
        <v>3726.0533070529159</v>
      </c>
      <c r="F140" s="145">
        <v>217.38882852714548</v>
      </c>
      <c r="G140" s="232">
        <v>821.69204170920284</v>
      </c>
      <c r="H140" s="144">
        <v>723.06846715984625</v>
      </c>
      <c r="I140" s="145">
        <v>228.68669943764664</v>
      </c>
      <c r="J140" s="145">
        <v>1356.4762672341567</v>
      </c>
      <c r="K140" s="146">
        <v>10998.124948266446</v>
      </c>
      <c r="L140" s="144">
        <v>5.4990624741332228</v>
      </c>
      <c r="M140" s="144">
        <v>11721.193415426293</v>
      </c>
      <c r="N140" s="145">
        <v>5.860596707713146</v>
      </c>
      <c r="O140" s="146">
        <v>11226.811647704093</v>
      </c>
      <c r="P140" s="144">
        <v>5.6134058238520463</v>
      </c>
      <c r="Q140" s="144">
        <v>11949.88011486394</v>
      </c>
      <c r="R140" s="145">
        <v>5.9749400574319695</v>
      </c>
      <c r="S140" s="146">
        <v>11188.778592410239</v>
      </c>
      <c r="T140" s="144">
        <v>5.5943892962051196</v>
      </c>
      <c r="U140" s="144">
        <v>11287.72179032922</v>
      </c>
      <c r="V140" s="145">
        <v>5.6438608951646101</v>
      </c>
      <c r="W140" s="146">
        <v>2270.3941169056698</v>
      </c>
      <c r="X140" s="144">
        <v>1.1351970584528348</v>
      </c>
    </row>
    <row r="141" spans="1:24" x14ac:dyDescent="0.35">
      <c r="A141" s="59" t="s">
        <v>1530</v>
      </c>
      <c r="B141" s="145">
        <v>1.2269494524225155</v>
      </c>
      <c r="C141" s="145">
        <v>42.056685994894003</v>
      </c>
      <c r="D141" s="145">
        <v>4.7774866396906086</v>
      </c>
      <c r="E141" s="145">
        <v>35.249231334855395</v>
      </c>
      <c r="F141" s="145">
        <v>2.1211582915400387</v>
      </c>
      <c r="G141" s="232">
        <v>7.8585480664657261</v>
      </c>
      <c r="H141" s="144">
        <v>7.5357145703251085</v>
      </c>
      <c r="I141" s="145">
        <v>1.8517705111034761</v>
      </c>
      <c r="J141" s="145">
        <v>12.929609273089619</v>
      </c>
      <c r="K141" s="146">
        <v>98.004687005669922</v>
      </c>
      <c r="L141" s="144">
        <v>4.9002343502834958E-2</v>
      </c>
      <c r="M141" s="144">
        <v>105.54040157599503</v>
      </c>
      <c r="N141" s="145">
        <v>5.2770200787997518E-2</v>
      </c>
      <c r="O141" s="146">
        <v>99.856457516773403</v>
      </c>
      <c r="P141" s="144">
        <v>4.9928228758386699E-2</v>
      </c>
      <c r="Q141" s="144">
        <v>107.39217208709852</v>
      </c>
      <c r="R141" s="145">
        <v>5.3696086043549258E-2</v>
      </c>
      <c r="S141" s="146">
        <v>100.02732805492943</v>
      </c>
      <c r="T141" s="144">
        <v>5.001366402746471E-2</v>
      </c>
      <c r="U141" s="144">
        <v>100.98475777911142</v>
      </c>
      <c r="V141" s="145">
        <v>5.0492378889555711E-2</v>
      </c>
      <c r="W141" s="146">
        <v>22.597700452812216</v>
      </c>
      <c r="X141" s="144">
        <v>1.1298850226406108E-2</v>
      </c>
    </row>
    <row r="142" spans="1:24" x14ac:dyDescent="0.35">
      <c r="A142" s="59" t="s">
        <v>1921</v>
      </c>
      <c r="B142" s="145">
        <v>0</v>
      </c>
      <c r="C142" s="148">
        <v>0</v>
      </c>
      <c r="D142" s="148">
        <v>0</v>
      </c>
      <c r="E142" s="148">
        <v>69.763679999999994</v>
      </c>
      <c r="F142" s="148">
        <v>0</v>
      </c>
      <c r="G142" s="411">
        <v>0</v>
      </c>
      <c r="H142" s="147">
        <v>0</v>
      </c>
      <c r="I142" s="148">
        <v>0</v>
      </c>
      <c r="J142" s="148">
        <v>0</v>
      </c>
      <c r="K142" s="146">
        <v>73.649516975999987</v>
      </c>
      <c r="L142" s="147">
        <v>3.6824758487999994E-2</v>
      </c>
      <c r="M142" s="144">
        <v>73.649516975999987</v>
      </c>
      <c r="N142" s="148">
        <v>3.6824758487999994E-2</v>
      </c>
      <c r="O142" s="146">
        <v>73.649516975999987</v>
      </c>
      <c r="P142" s="147">
        <v>3.6824758487999994E-2</v>
      </c>
      <c r="Q142" s="144">
        <v>73.649516975999987</v>
      </c>
      <c r="R142" s="148">
        <v>3.6824758487999994E-2</v>
      </c>
      <c r="S142" s="146">
        <v>71.15895359999999</v>
      </c>
      <c r="T142" s="144">
        <v>3.5579476799999996E-2</v>
      </c>
      <c r="U142" s="144">
        <v>71.482726838879984</v>
      </c>
      <c r="V142" s="145">
        <v>3.5741363419439995E-2</v>
      </c>
      <c r="W142" s="146">
        <v>0</v>
      </c>
      <c r="X142" s="144">
        <v>0</v>
      </c>
    </row>
    <row r="143" spans="1:24" x14ac:dyDescent="0.35">
      <c r="A143" s="59" t="s">
        <v>1920</v>
      </c>
      <c r="B143" s="148">
        <v>0</v>
      </c>
      <c r="C143" s="148">
        <v>0</v>
      </c>
      <c r="D143" s="148">
        <v>0</v>
      </c>
      <c r="E143" s="148">
        <v>9.61632</v>
      </c>
      <c r="F143" s="148">
        <v>0</v>
      </c>
      <c r="G143" s="411">
        <v>0</v>
      </c>
      <c r="H143" s="147">
        <v>0</v>
      </c>
      <c r="I143" s="148">
        <v>0</v>
      </c>
      <c r="J143" s="148">
        <v>0</v>
      </c>
      <c r="K143" s="146">
        <v>10.151949024</v>
      </c>
      <c r="L143" s="147">
        <v>5.0759745120000001E-3</v>
      </c>
      <c r="M143" s="144">
        <v>10.151949024</v>
      </c>
      <c r="N143" s="148">
        <v>5.0759745120000001E-3</v>
      </c>
      <c r="O143" s="146">
        <v>10.151949024</v>
      </c>
      <c r="P143" s="147">
        <v>5.0759745120000001E-3</v>
      </c>
      <c r="Q143" s="144">
        <v>10.151949024</v>
      </c>
      <c r="R143" s="148">
        <v>5.0759745120000001E-3</v>
      </c>
      <c r="S143" s="146">
        <v>9.8086464000000007</v>
      </c>
      <c r="T143" s="144">
        <v>4.9043232000000004E-3</v>
      </c>
      <c r="U143" s="144">
        <v>9.8532757411200009</v>
      </c>
      <c r="V143" s="145">
        <v>4.9266378705600002E-3</v>
      </c>
      <c r="W143" s="146">
        <v>0</v>
      </c>
      <c r="X143" s="144">
        <v>0</v>
      </c>
    </row>
    <row r="144" spans="1:24" x14ac:dyDescent="0.35">
      <c r="A144" s="59" t="s">
        <v>1529</v>
      </c>
      <c r="B144" s="154">
        <v>54665.091610594958</v>
      </c>
      <c r="C144" s="154">
        <v>1719894.5074309767</v>
      </c>
      <c r="D144" s="154">
        <v>286786.14777017885</v>
      </c>
      <c r="E144" s="154">
        <v>3648243.5376415532</v>
      </c>
      <c r="F144" s="154">
        <v>85327.773242306328</v>
      </c>
      <c r="G144" s="240">
        <v>263822.79764057492</v>
      </c>
      <c r="H144" s="153">
        <v>282384.14992019266</v>
      </c>
      <c r="I144" s="154">
        <v>119817.08672139457</v>
      </c>
      <c r="J144" s="154">
        <v>439574.41594726971</v>
      </c>
      <c r="K144" s="155">
        <v>6379750.4505437138</v>
      </c>
      <c r="L144" s="153">
        <v>3189.8752252718568</v>
      </c>
      <c r="M144" s="47">
        <v>6662134.6004639063</v>
      </c>
      <c r="N144" s="154">
        <v>3331.0673002319531</v>
      </c>
      <c r="O144" s="155">
        <v>6499567.537265108</v>
      </c>
      <c r="P144" s="153">
        <v>3249.7837686325538</v>
      </c>
      <c r="Q144" s="47">
        <v>6781951.6871853005</v>
      </c>
      <c r="R144" s="154">
        <v>3390.9758435926501</v>
      </c>
      <c r="S144" s="155">
        <v>6348683.2593319453</v>
      </c>
      <c r="T144" s="153">
        <v>3174.3416296659725</v>
      </c>
      <c r="U144" s="47">
        <v>6405008.1549528819</v>
      </c>
      <c r="V144" s="154">
        <v>3202.5040774764411</v>
      </c>
      <c r="W144" s="155">
        <v>926469.45757626172</v>
      </c>
      <c r="X144" s="153">
        <v>463.23472878813084</v>
      </c>
    </row>
    <row r="145" spans="1:24" x14ac:dyDescent="0.35">
      <c r="A145" s="59" t="s">
        <v>1528</v>
      </c>
      <c r="B145" s="154">
        <v>54831.724025856565</v>
      </c>
      <c r="C145" s="154">
        <v>1722382.589512184</v>
      </c>
      <c r="D145" s="154">
        <v>288061.60781865113</v>
      </c>
      <c r="E145" s="154">
        <v>3649694.0362600014</v>
      </c>
      <c r="F145" s="154">
        <v>85476.061387750728</v>
      </c>
      <c r="G145" s="240">
        <v>265072.79987076338</v>
      </c>
      <c r="H145" s="153">
        <v>283496.32198625174</v>
      </c>
      <c r="I145" s="154">
        <v>119914.24345815022</v>
      </c>
      <c r="J145" s="154">
        <v>441105.6836530586</v>
      </c>
      <c r="K145" s="155">
        <v>6386834.3076630263</v>
      </c>
      <c r="L145" s="153">
        <v>3193.4171538315131</v>
      </c>
      <c r="M145" s="47">
        <v>6670330.6296492778</v>
      </c>
      <c r="N145" s="154">
        <v>3335.1653148246387</v>
      </c>
      <c r="O145" s="155">
        <v>6506748.5511211762</v>
      </c>
      <c r="P145" s="153">
        <v>3253.3742755605881</v>
      </c>
      <c r="Q145" s="47">
        <v>6790244.8731074277</v>
      </c>
      <c r="R145" s="154">
        <v>3395.1224365537137</v>
      </c>
      <c r="S145" s="155">
        <v>6355851.1018098351</v>
      </c>
      <c r="T145" s="153">
        <v>3177.9255509049176</v>
      </c>
      <c r="U145" s="47">
        <v>6412322.292078522</v>
      </c>
      <c r="V145" s="154">
        <v>3206.161146039261</v>
      </c>
      <c r="W145" s="155">
        <v>927855.44196410174</v>
      </c>
      <c r="X145" s="153">
        <v>463.92772098205086</v>
      </c>
    </row>
    <row r="146" spans="1:24" x14ac:dyDescent="0.35">
      <c r="A146" s="59" t="s">
        <v>1527</v>
      </c>
      <c r="B146" s="151">
        <v>57184.13244286507</v>
      </c>
      <c r="C146" s="154">
        <v>1861961.7312343479</v>
      </c>
      <c r="D146" s="154">
        <v>329876.22925179912</v>
      </c>
      <c r="E146" s="154">
        <v>4340091.0321753249</v>
      </c>
      <c r="F146" s="154">
        <v>92559.833190823207</v>
      </c>
      <c r="G146" s="240">
        <v>291806.07635965291</v>
      </c>
      <c r="H146" s="153">
        <v>307185.34036218328</v>
      </c>
      <c r="I146" s="154">
        <v>127265.56362672204</v>
      </c>
      <c r="J146" s="154">
        <v>485226.31812745205</v>
      </c>
      <c r="K146" s="155">
        <v>7343732.2298848033</v>
      </c>
      <c r="L146" s="153">
        <v>3671.8661149424015</v>
      </c>
      <c r="M146" s="47">
        <v>7650917.570246987</v>
      </c>
      <c r="N146" s="154">
        <v>3825.4587851234937</v>
      </c>
      <c r="O146" s="155">
        <v>7470997.7935115257</v>
      </c>
      <c r="P146" s="153">
        <v>3735.4988967557629</v>
      </c>
      <c r="Q146" s="47">
        <v>7778183.1338737095</v>
      </c>
      <c r="R146" s="154">
        <v>3889.0915669368546</v>
      </c>
      <c r="S146" s="155">
        <v>7298681.5389246996</v>
      </c>
      <c r="T146" s="153">
        <v>3649.3407694623497</v>
      </c>
      <c r="U146" s="47">
        <v>7361016.7462680712</v>
      </c>
      <c r="V146" s="154">
        <v>3680.5083731340355</v>
      </c>
      <c r="W146" s="155">
        <v>1001955.6560912671</v>
      </c>
      <c r="X146" s="153">
        <v>500.97782804563354</v>
      </c>
    </row>
    <row r="147" spans="1:24" ht="13.15" x14ac:dyDescent="0.4">
      <c r="A147" s="131" t="s">
        <v>1919</v>
      </c>
      <c r="B147" s="101"/>
      <c r="C147" s="101"/>
      <c r="D147" s="101"/>
      <c r="E147" s="101"/>
      <c r="F147" s="101"/>
      <c r="G147" s="61"/>
      <c r="H147" s="60"/>
      <c r="I147" s="101"/>
      <c r="J147" s="101"/>
      <c r="K147" s="428" t="s">
        <v>1873</v>
      </c>
      <c r="L147" s="470" t="s">
        <v>1872</v>
      </c>
      <c r="M147" s="470" t="s">
        <v>1873</v>
      </c>
      <c r="N147" s="471" t="s">
        <v>1872</v>
      </c>
      <c r="O147" s="428" t="s">
        <v>1873</v>
      </c>
      <c r="P147" s="470" t="s">
        <v>1872</v>
      </c>
      <c r="Q147" s="470" t="s">
        <v>1873</v>
      </c>
      <c r="R147" s="471" t="s">
        <v>1872</v>
      </c>
      <c r="S147" s="428" t="s">
        <v>1873</v>
      </c>
      <c r="T147" s="470" t="s">
        <v>1872</v>
      </c>
      <c r="U147" s="470" t="s">
        <v>1873</v>
      </c>
      <c r="V147" s="471" t="s">
        <v>1872</v>
      </c>
      <c r="W147" s="428" t="s">
        <v>1873</v>
      </c>
      <c r="X147" s="470" t="s">
        <v>1872</v>
      </c>
    </row>
    <row r="148" spans="1:24" x14ac:dyDescent="0.35">
      <c r="A148" s="59" t="s">
        <v>1525</v>
      </c>
      <c r="B148" s="145">
        <v>1.417839239244697</v>
      </c>
      <c r="C148" s="145">
        <v>15.718773675428286</v>
      </c>
      <c r="D148" s="145">
        <v>17.070764163423945</v>
      </c>
      <c r="E148" s="145">
        <v>12.342164136360621</v>
      </c>
      <c r="F148" s="145">
        <v>0.88431947601313643</v>
      </c>
      <c r="G148" s="232">
        <v>2.342764696834275</v>
      </c>
      <c r="H148" s="144">
        <v>2.3492972570440829</v>
      </c>
      <c r="I148" s="145">
        <v>0.92175147254132672</v>
      </c>
      <c r="J148" s="145">
        <v>3.8860781074171986</v>
      </c>
      <c r="K148" s="146">
        <v>52.400386014610703</v>
      </c>
      <c r="L148" s="144">
        <v>2.6200193007305351E-2</v>
      </c>
      <c r="M148" s="144">
        <v>54.749683271654789</v>
      </c>
      <c r="N148" s="145">
        <v>2.7374841635827395E-2</v>
      </c>
      <c r="O148" s="146">
        <v>53.322137487152027</v>
      </c>
      <c r="P148" s="144">
        <v>2.6661068743576013E-2</v>
      </c>
      <c r="Q148" s="144">
        <v>55.671434744196112</v>
      </c>
      <c r="R148" s="145">
        <v>2.7835717372098057E-2</v>
      </c>
      <c r="S148" s="146">
        <v>52.25092962217704</v>
      </c>
      <c r="T148" s="144">
        <v>2.612546481108852E-2</v>
      </c>
      <c r="U148" s="144">
        <v>52.695595288039513</v>
      </c>
      <c r="V148" s="145">
        <v>2.6347797644019757E-2</v>
      </c>
      <c r="W148" s="146">
        <v>8.946754158229604</v>
      </c>
      <c r="X148" s="144">
        <v>4.4733770791148021E-3</v>
      </c>
    </row>
    <row r="149" spans="1:24" x14ac:dyDescent="0.35">
      <c r="A149" s="59" t="s">
        <v>1524</v>
      </c>
      <c r="B149" s="145">
        <v>1.2418071804671207</v>
      </c>
      <c r="C149" s="145">
        <v>61.448100929252661</v>
      </c>
      <c r="D149" s="145">
        <v>19.608516640866405</v>
      </c>
      <c r="E149" s="145">
        <v>85.502642550305438</v>
      </c>
      <c r="F149" s="145">
        <v>3.8906594350893426</v>
      </c>
      <c r="G149" s="232">
        <v>12.413041885995314</v>
      </c>
      <c r="H149" s="144">
        <v>14.970405139854027</v>
      </c>
      <c r="I149" s="145">
        <v>7.2138621022760159</v>
      </c>
      <c r="J149" s="145">
        <v>20.744415883477039</v>
      </c>
      <c r="K149" s="146">
        <v>193.58746115086404</v>
      </c>
      <c r="L149" s="144">
        <v>9.6793730575432016E-2</v>
      </c>
      <c r="M149" s="144">
        <v>208.55786629071807</v>
      </c>
      <c r="N149" s="145">
        <v>0.10427893314535903</v>
      </c>
      <c r="O149" s="146">
        <v>200.80132325314005</v>
      </c>
      <c r="P149" s="144">
        <v>0.10040066162657003</v>
      </c>
      <c r="Q149" s="144">
        <v>215.77172839299408</v>
      </c>
      <c r="R149" s="145">
        <v>0.10788586419649704</v>
      </c>
      <c r="S149" s="146">
        <v>195.79216396547582</v>
      </c>
      <c r="T149" s="144">
        <v>9.7896081982737915E-2</v>
      </c>
      <c r="U149" s="144">
        <v>198.38950734105319</v>
      </c>
      <c r="V149" s="145">
        <v>9.9194753670526589E-2</v>
      </c>
      <c r="W149" s="146">
        <v>32.729408013845557</v>
      </c>
      <c r="X149" s="144">
        <v>1.6364704006922779E-2</v>
      </c>
    </row>
    <row r="150" spans="1:24" x14ac:dyDescent="0.35">
      <c r="A150" s="59" t="s">
        <v>1523</v>
      </c>
      <c r="B150" s="145">
        <v>2.402232679512927</v>
      </c>
      <c r="C150" s="145">
        <v>98.73583759382214</v>
      </c>
      <c r="D150" s="145">
        <v>36.495979195469403</v>
      </c>
      <c r="E150" s="145">
        <v>344.9278593895927</v>
      </c>
      <c r="F150" s="145">
        <v>7.318022789968099</v>
      </c>
      <c r="G150" s="232">
        <v>19.053833925914443</v>
      </c>
      <c r="H150" s="144">
        <v>31.450305111152545</v>
      </c>
      <c r="I150" s="145">
        <v>18.893102232264646</v>
      </c>
      <c r="J150" s="145">
        <v>32.436841145293805</v>
      </c>
      <c r="K150" s="146">
        <v>536.06859469534129</v>
      </c>
      <c r="L150" s="144">
        <v>0.26803429734767065</v>
      </c>
      <c r="M150" s="144">
        <v>567.51889980649389</v>
      </c>
      <c r="N150" s="145">
        <v>0.28375944990324692</v>
      </c>
      <c r="O150" s="146">
        <v>554.96169692760589</v>
      </c>
      <c r="P150" s="144">
        <v>0.27748084846380294</v>
      </c>
      <c r="Q150" s="144">
        <v>586.41200203875849</v>
      </c>
      <c r="R150" s="145">
        <v>0.29320600101937927</v>
      </c>
      <c r="S150" s="146">
        <v>531.96801097082698</v>
      </c>
      <c r="T150" s="144">
        <v>0.26598400548541351</v>
      </c>
      <c r="U150" s="144">
        <v>539.04572980965804</v>
      </c>
      <c r="V150" s="145">
        <v>0.26952286490482902</v>
      </c>
      <c r="W150" s="146">
        <v>52.802584459295737</v>
      </c>
      <c r="X150" s="144">
        <v>2.640129222964787E-2</v>
      </c>
    </row>
    <row r="151" spans="1:24" x14ac:dyDescent="0.35">
      <c r="A151" s="59" t="s">
        <v>1522</v>
      </c>
      <c r="B151" s="145">
        <v>0.35128121155139858</v>
      </c>
      <c r="C151" s="145">
        <v>6.361635396985946</v>
      </c>
      <c r="D151" s="145">
        <v>4.7725423128348714</v>
      </c>
      <c r="E151" s="145">
        <v>50.544280767407379</v>
      </c>
      <c r="F151" s="145">
        <v>0.64365679059672809</v>
      </c>
      <c r="G151" s="232">
        <v>1.0051309457927655</v>
      </c>
      <c r="H151" s="144">
        <v>3.1012682958040911</v>
      </c>
      <c r="I151" s="145">
        <v>2.3283521592521383</v>
      </c>
      <c r="J151" s="145">
        <v>1.8114106436827582</v>
      </c>
      <c r="K151" s="146">
        <v>67.156111913505001</v>
      </c>
      <c r="L151" s="144">
        <v>3.3578055956752499E-2</v>
      </c>
      <c r="M151" s="144">
        <v>70.25738020930909</v>
      </c>
      <c r="N151" s="145">
        <v>3.5128690104654546E-2</v>
      </c>
      <c r="O151" s="146">
        <v>69.484464072757135</v>
      </c>
      <c r="P151" s="144">
        <v>3.4742232036378565E-2</v>
      </c>
      <c r="Q151" s="144">
        <v>72.585732368561224</v>
      </c>
      <c r="R151" s="145">
        <v>3.6292866184280612E-2</v>
      </c>
      <c r="S151" s="146">
        <v>65.725401916834684</v>
      </c>
      <c r="T151" s="144">
        <v>3.286270095841734E-2</v>
      </c>
      <c r="U151" s="144">
        <v>66.617244875559138</v>
      </c>
      <c r="V151" s="145">
        <v>3.3308622437779566E-2</v>
      </c>
      <c r="W151" s="146">
        <v>3.5047074284939672</v>
      </c>
      <c r="X151" s="144">
        <v>1.7523537142469835E-3</v>
      </c>
    </row>
    <row r="152" spans="1:24" x14ac:dyDescent="0.35">
      <c r="A152" s="59" t="s">
        <v>1521</v>
      </c>
      <c r="B152" s="145">
        <v>0.27473446794064094</v>
      </c>
      <c r="C152" s="145">
        <v>4.8244695507095354</v>
      </c>
      <c r="D152" s="145">
        <v>3.7548140079258436</v>
      </c>
      <c r="E152" s="145">
        <v>36.175595523759419</v>
      </c>
      <c r="F152" s="145">
        <v>0.47951955741650781</v>
      </c>
      <c r="G152" s="232">
        <v>0.74662861402861291</v>
      </c>
      <c r="H152" s="144">
        <v>2.286696438353002</v>
      </c>
      <c r="I152" s="145">
        <v>1.7138462465060513</v>
      </c>
      <c r="J152" s="145">
        <v>1.3445142202206217</v>
      </c>
      <c r="K152" s="146">
        <v>48.780694381043823</v>
      </c>
      <c r="L152" s="144">
        <v>2.439034719052191E-2</v>
      </c>
      <c r="M152" s="144">
        <v>51.067390819396827</v>
      </c>
      <c r="N152" s="145">
        <v>2.5533695409698413E-2</v>
      </c>
      <c r="O152" s="146">
        <v>50.494540627549874</v>
      </c>
      <c r="P152" s="144">
        <v>2.5247270313774935E-2</v>
      </c>
      <c r="Q152" s="144">
        <v>52.781237065902879</v>
      </c>
      <c r="R152" s="145">
        <v>2.6390618532951441E-2</v>
      </c>
      <c r="S152" s="146">
        <v>47.754239598979282</v>
      </c>
      <c r="T152" s="144">
        <v>2.387711979948964E-2</v>
      </c>
      <c r="U152" s="144">
        <v>48.40774926967935</v>
      </c>
      <c r="V152" s="145">
        <v>2.4203874634839674E-2</v>
      </c>
      <c r="W152" s="146">
        <v>2.6622136465752204</v>
      </c>
      <c r="X152" s="144">
        <v>1.3311068232876103E-3</v>
      </c>
    </row>
    <row r="153" spans="1:24" x14ac:dyDescent="0.35">
      <c r="A153" s="59" t="s">
        <v>1520</v>
      </c>
      <c r="B153" s="145">
        <v>3.789563950445209</v>
      </c>
      <c r="C153" s="145">
        <v>171.79491684121055</v>
      </c>
      <c r="D153" s="145">
        <v>50.918367853962138</v>
      </c>
      <c r="E153" s="145">
        <v>1844.1093297222103</v>
      </c>
      <c r="F153" s="145">
        <v>19.695455531811245</v>
      </c>
      <c r="G153" s="232">
        <v>32.92652664989869</v>
      </c>
      <c r="H153" s="144">
        <v>103.57541062208921</v>
      </c>
      <c r="I153" s="145">
        <v>78.106299022480783</v>
      </c>
      <c r="J153" s="145">
        <v>59.437572758667095</v>
      </c>
      <c r="K153" s="146">
        <v>2239.2565998282394</v>
      </c>
      <c r="L153" s="144">
        <v>1.1196282999141196</v>
      </c>
      <c r="M153" s="144">
        <v>2342.8320104503287</v>
      </c>
      <c r="N153" s="145">
        <v>1.1714160052251643</v>
      </c>
      <c r="O153" s="146">
        <v>2317.3628988507203</v>
      </c>
      <c r="P153" s="144">
        <v>1.1586814494253601</v>
      </c>
      <c r="Q153" s="144">
        <v>2420.9383094728096</v>
      </c>
      <c r="R153" s="145">
        <v>1.2104691547364048</v>
      </c>
      <c r="S153" s="146">
        <v>2191.1574502256631</v>
      </c>
      <c r="T153" s="144">
        <v>1.0955787251128315</v>
      </c>
      <c r="U153" s="144">
        <v>2221.0289619277919</v>
      </c>
      <c r="V153" s="145">
        <v>1.110514480963896</v>
      </c>
      <c r="W153" s="146">
        <v>91.669876157280854</v>
      </c>
      <c r="X153" s="144">
        <v>4.5834938078640426E-2</v>
      </c>
    </row>
    <row r="154" spans="1:24" x14ac:dyDescent="0.35">
      <c r="A154" s="59" t="s">
        <v>1519</v>
      </c>
      <c r="B154" s="145">
        <v>3.1453513784580743E-2</v>
      </c>
      <c r="C154" s="145">
        <v>0.37832539245029539</v>
      </c>
      <c r="D154" s="145">
        <v>0.50456125948372144</v>
      </c>
      <c r="E154" s="145">
        <v>1.7825391552755119</v>
      </c>
      <c r="F154" s="145">
        <v>3.2840176430620149E-2</v>
      </c>
      <c r="G154" s="232">
        <v>5.0324423909037193E-2</v>
      </c>
      <c r="H154" s="144">
        <v>0.13960110834150261</v>
      </c>
      <c r="I154" s="145">
        <v>0.10210467090979541</v>
      </c>
      <c r="J154" s="145">
        <v>8.9655500736239277E-2</v>
      </c>
      <c r="K154" s="146">
        <v>2.9314095056882103</v>
      </c>
      <c r="L154" s="144">
        <v>1.4657047528441052E-3</v>
      </c>
      <c r="M154" s="144">
        <v>3.0710106140297131</v>
      </c>
      <c r="N154" s="145">
        <v>1.5355053070148566E-3</v>
      </c>
      <c r="O154" s="146">
        <v>3.0335141765980058</v>
      </c>
      <c r="P154" s="144">
        <v>1.516757088299003E-3</v>
      </c>
      <c r="Q154" s="144">
        <v>3.1731152849395086</v>
      </c>
      <c r="R154" s="145">
        <v>1.5865576424697542E-3</v>
      </c>
      <c r="S154" s="146">
        <v>2.8733125845808511</v>
      </c>
      <c r="T154" s="144">
        <v>1.4366562922904255E-3</v>
      </c>
      <c r="U154" s="144">
        <v>2.9122869356274768</v>
      </c>
      <c r="V154" s="145">
        <v>1.4561434678137383E-3</v>
      </c>
      <c r="W154" s="146">
        <v>0.21393907603366197</v>
      </c>
      <c r="X154" s="144">
        <v>1.0696953801683098E-4</v>
      </c>
    </row>
    <row r="155" spans="1:24" x14ac:dyDescent="0.35">
      <c r="A155" s="57" t="s">
        <v>1518</v>
      </c>
      <c r="B155" s="142">
        <v>4.7286276204430766E-2</v>
      </c>
      <c r="C155" s="142">
        <v>0.81675094221689548</v>
      </c>
      <c r="D155" s="142">
        <v>0.74474574563054918</v>
      </c>
      <c r="E155" s="142">
        <v>4.0692641217552543</v>
      </c>
      <c r="F155" s="142">
        <v>7.5974660988460063E-2</v>
      </c>
      <c r="G155" s="231">
        <v>0.1212667379113614</v>
      </c>
      <c r="H155" s="141">
        <v>0.35449709229349219</v>
      </c>
      <c r="I155" s="142">
        <v>0.26270927984588915</v>
      </c>
      <c r="J155" s="142">
        <v>0.21738312927281483</v>
      </c>
      <c r="K155" s="143">
        <v>6.1942148205210046</v>
      </c>
      <c r="L155" s="141">
        <v>3.0971074102605022E-3</v>
      </c>
      <c r="M155" s="141">
        <v>6.5487119128144968</v>
      </c>
      <c r="N155" s="142">
        <v>3.2743559564072486E-3</v>
      </c>
      <c r="O155" s="143">
        <v>6.4569241003668933</v>
      </c>
      <c r="P155" s="141">
        <v>3.2284620501834465E-3</v>
      </c>
      <c r="Q155" s="141">
        <v>6.8114211926603856</v>
      </c>
      <c r="R155" s="142">
        <v>3.4057105963301929E-3</v>
      </c>
      <c r="S155" s="143">
        <v>6.0849658177845471</v>
      </c>
      <c r="T155" s="141">
        <v>3.0424829088922735E-3</v>
      </c>
      <c r="U155" s="141">
        <v>6.1794050165184053</v>
      </c>
      <c r="V155" s="142">
        <v>3.0897025082592027E-3</v>
      </c>
      <c r="W155" s="143">
        <v>0.45110014535936427</v>
      </c>
      <c r="X155" s="141">
        <v>2.2555007267968213E-4</v>
      </c>
    </row>
    <row r="157" spans="1:24" ht="13.15" x14ac:dyDescent="0.4">
      <c r="A157" s="41" t="s">
        <v>1986</v>
      </c>
    </row>
    <row r="158" spans="1:24" ht="40.5" customHeight="1" x14ac:dyDescent="0.4">
      <c r="A158" s="91"/>
      <c r="B158" s="160" t="s">
        <v>1401</v>
      </c>
      <c r="C158" s="160" t="s">
        <v>1400</v>
      </c>
      <c r="D158" s="481" t="s">
        <v>1323</v>
      </c>
      <c r="E158" s="159" t="s">
        <v>1322</v>
      </c>
      <c r="F158" s="160" t="s">
        <v>1321</v>
      </c>
      <c r="G158" s="160" t="s">
        <v>1320</v>
      </c>
      <c r="H158" s="2191" t="s">
        <v>1985</v>
      </c>
      <c r="I158" s="2236"/>
      <c r="J158" s="2191" t="s">
        <v>1984</v>
      </c>
      <c r="K158" s="2236"/>
      <c r="L158" s="2191" t="s">
        <v>1983</v>
      </c>
      <c r="M158" s="2236"/>
      <c r="N158" s="2191" t="s">
        <v>1982</v>
      </c>
      <c r="O158" s="2236"/>
      <c r="P158" s="2191" t="s">
        <v>1981</v>
      </c>
      <c r="Q158" s="2236"/>
      <c r="R158" s="2196" t="s">
        <v>325</v>
      </c>
      <c r="S158" s="2236"/>
    </row>
    <row r="159" spans="1:24" ht="25.5" x14ac:dyDescent="0.35">
      <c r="A159" s="98" t="s">
        <v>1980</v>
      </c>
      <c r="B159" s="120">
        <v>0.96799999999999997</v>
      </c>
      <c r="C159" s="120">
        <v>1</v>
      </c>
      <c r="D159" s="277">
        <v>1.0349999999999999</v>
      </c>
      <c r="E159" s="121">
        <v>0</v>
      </c>
      <c r="F159" s="120">
        <v>1</v>
      </c>
      <c r="G159" s="120">
        <v>0</v>
      </c>
      <c r="H159" s="277"/>
      <c r="I159" s="121"/>
      <c r="J159" s="277"/>
      <c r="K159" s="121"/>
      <c r="L159" s="277"/>
      <c r="M159" s="121"/>
      <c r="N159" s="277"/>
      <c r="O159" s="121"/>
      <c r="P159" s="277"/>
      <c r="Q159" s="121"/>
      <c r="R159" s="120"/>
      <c r="S159" s="121"/>
    </row>
    <row r="160" spans="1:24" ht="25.5" x14ac:dyDescent="0.35">
      <c r="A160" s="98" t="s">
        <v>1979</v>
      </c>
      <c r="B160" s="120">
        <v>0.96799999999999997</v>
      </c>
      <c r="C160" s="120">
        <v>1</v>
      </c>
      <c r="D160" s="277">
        <v>1.0349999999999999</v>
      </c>
      <c r="E160" s="121">
        <v>1</v>
      </c>
      <c r="F160" s="120">
        <v>1</v>
      </c>
      <c r="G160" s="120">
        <v>0</v>
      </c>
      <c r="H160" s="277"/>
      <c r="I160" s="121"/>
      <c r="J160" s="277"/>
      <c r="K160" s="121"/>
      <c r="L160" s="277"/>
      <c r="M160" s="121"/>
      <c r="N160" s="277"/>
      <c r="O160" s="121"/>
      <c r="P160" s="277"/>
      <c r="Q160" s="121"/>
      <c r="R160" s="120"/>
      <c r="S160" s="121"/>
    </row>
    <row r="161" spans="1:19" ht="25.5" x14ac:dyDescent="0.35">
      <c r="A161" s="96" t="s">
        <v>1978</v>
      </c>
      <c r="B161" s="119">
        <v>0.96799999999999997</v>
      </c>
      <c r="C161" s="119">
        <v>1</v>
      </c>
      <c r="D161" s="273">
        <v>0</v>
      </c>
      <c r="E161" s="466">
        <v>0</v>
      </c>
      <c r="F161" s="119">
        <v>0</v>
      </c>
      <c r="G161" s="119">
        <v>1</v>
      </c>
      <c r="H161" s="273"/>
      <c r="I161" s="466"/>
      <c r="J161" s="273"/>
      <c r="K161" s="466"/>
      <c r="L161" s="273"/>
      <c r="M161" s="466"/>
      <c r="N161" s="273"/>
      <c r="O161" s="466"/>
      <c r="P161" s="273"/>
      <c r="Q161" s="466"/>
      <c r="R161" s="119"/>
      <c r="S161" s="466"/>
    </row>
    <row r="162" spans="1:19" ht="13.15" x14ac:dyDescent="0.4">
      <c r="A162" s="128" t="s">
        <v>1923</v>
      </c>
      <c r="D162" s="59"/>
      <c r="E162" s="99"/>
      <c r="H162" s="428" t="s">
        <v>1873</v>
      </c>
      <c r="I162" s="470" t="s">
        <v>1872</v>
      </c>
      <c r="J162" s="428" t="s">
        <v>1873</v>
      </c>
      <c r="K162" s="470" t="s">
        <v>1872</v>
      </c>
      <c r="L162" s="428" t="s">
        <v>1873</v>
      </c>
      <c r="M162" s="470" t="s">
        <v>1872</v>
      </c>
      <c r="N162" s="428" t="s">
        <v>1873</v>
      </c>
      <c r="O162" s="470" t="s">
        <v>1872</v>
      </c>
      <c r="P162" s="428" t="s">
        <v>1873</v>
      </c>
      <c r="Q162" s="470" t="s">
        <v>1872</v>
      </c>
      <c r="R162" s="470" t="s">
        <v>1873</v>
      </c>
      <c r="S162" s="470" t="s">
        <v>1872</v>
      </c>
    </row>
    <row r="163" spans="1:19" s="145" customFormat="1" x14ac:dyDescent="0.35">
      <c r="A163" s="232" t="s">
        <v>1537</v>
      </c>
      <c r="B163" s="145">
        <v>1.5422071152040491</v>
      </c>
      <c r="C163" s="145">
        <v>13.786008070340351</v>
      </c>
      <c r="D163" s="232">
        <v>4.3425157477657201</v>
      </c>
      <c r="E163" s="144">
        <v>4.437234416165956</v>
      </c>
      <c r="F163" s="145">
        <v>1.7821978693329918</v>
      </c>
      <c r="G163" s="145">
        <v>7.2145816775606919</v>
      </c>
      <c r="H163" s="146">
        <v>20.156140565148615</v>
      </c>
      <c r="I163" s="144">
        <v>1.0078070282574307E-2</v>
      </c>
      <c r="J163" s="146">
        <v>24.593374981314572</v>
      </c>
      <c r="K163" s="144">
        <v>1.2296687490657286E-2</v>
      </c>
      <c r="L163" s="146">
        <v>21.938338434481608</v>
      </c>
      <c r="M163" s="144">
        <v>1.0969169217240804E-2</v>
      </c>
      <c r="N163" s="146">
        <v>26.375572850647565</v>
      </c>
      <c r="O163" s="144">
        <v>1.3187786425323783E-2</v>
      </c>
      <c r="P163" s="146">
        <v>22.493446235418563</v>
      </c>
      <c r="Q163" s="144">
        <v>1.1246723117709282E-2</v>
      </c>
      <c r="R163" s="144">
        <v>22.998122695398337</v>
      </c>
      <c r="S163" s="144">
        <v>1.1499061347699168E-2</v>
      </c>
    </row>
    <row r="164" spans="1:19" s="145" customFormat="1" x14ac:dyDescent="0.35">
      <c r="A164" s="232" t="s">
        <v>1536</v>
      </c>
      <c r="B164" s="145">
        <v>1.4044342406087105</v>
      </c>
      <c r="C164" s="145">
        <v>10.295716854109276</v>
      </c>
      <c r="D164" s="232">
        <v>4.2002083923949076</v>
      </c>
      <c r="E164" s="144">
        <v>3.9849756365458693</v>
      </c>
      <c r="F164" s="145">
        <v>1.4403690677443262</v>
      </c>
      <c r="G164" s="145">
        <v>6.9573990692949934</v>
      </c>
      <c r="H164" s="146">
        <v>16.263349913379063</v>
      </c>
      <c r="I164" s="144">
        <v>8.1316749566895316E-3</v>
      </c>
      <c r="J164" s="146">
        <v>20.248325549924932</v>
      </c>
      <c r="K164" s="144">
        <v>1.0124162774962467E-2</v>
      </c>
      <c r="L164" s="146">
        <v>17.703718981123387</v>
      </c>
      <c r="M164" s="144">
        <v>8.8518594905616938E-3</v>
      </c>
      <c r="N164" s="146">
        <v>21.688694617669256</v>
      </c>
      <c r="O164" s="144">
        <v>1.0844347308834629E-2</v>
      </c>
      <c r="P164" s="146">
        <v>18.612608268313501</v>
      </c>
      <c r="Q164" s="144">
        <v>9.3063041341567513E-3</v>
      </c>
      <c r="R164" s="144">
        <v>19.012499493729749</v>
      </c>
      <c r="S164" s="144">
        <v>9.5062497468648751E-3</v>
      </c>
    </row>
    <row r="165" spans="1:19" s="145" customFormat="1" x14ac:dyDescent="0.35">
      <c r="A165" s="232" t="s">
        <v>1535</v>
      </c>
      <c r="B165" s="145">
        <v>0.33571516825618758</v>
      </c>
      <c r="C165" s="145">
        <v>2.4408429027046834</v>
      </c>
      <c r="D165" s="232">
        <v>0.34446292048075111</v>
      </c>
      <c r="E165" s="144">
        <v>1.0957100816133774</v>
      </c>
      <c r="F165" s="145">
        <v>0.82541364628226921</v>
      </c>
      <c r="G165" s="145">
        <v>0.63413733366007408</v>
      </c>
      <c r="H165" s="146">
        <v>3.2070816375526077</v>
      </c>
      <c r="I165" s="144">
        <v>1.6035408187763038E-3</v>
      </c>
      <c r="J165" s="146">
        <v>4.3027917191659846</v>
      </c>
      <c r="K165" s="144">
        <v>2.1513958595829924E-3</v>
      </c>
      <c r="L165" s="146">
        <v>4.0324952838348764</v>
      </c>
      <c r="M165" s="144">
        <v>2.0162476419174381E-3</v>
      </c>
      <c r="N165" s="146">
        <v>5.1282053654482542</v>
      </c>
      <c r="O165" s="144">
        <v>2.5641026827241272E-3</v>
      </c>
      <c r="P165" s="146">
        <v>3.3999525192367472</v>
      </c>
      <c r="Q165" s="144">
        <v>1.6999762596183736E-3</v>
      </c>
      <c r="R165" s="144">
        <v>3.624625389244243</v>
      </c>
      <c r="S165" s="144">
        <v>1.8123126946221215E-3</v>
      </c>
    </row>
    <row r="166" spans="1:19" s="145" customFormat="1" x14ac:dyDescent="0.35">
      <c r="A166" s="232" t="s">
        <v>1534</v>
      </c>
      <c r="B166" s="145">
        <v>1.054230760125509</v>
      </c>
      <c r="C166" s="145">
        <v>6.7473363205133694</v>
      </c>
      <c r="D166" s="232">
        <v>3.830909394894944</v>
      </c>
      <c r="E166" s="144">
        <v>2.8445467152955679</v>
      </c>
      <c r="F166" s="145">
        <v>0.58690690676127966</v>
      </c>
      <c r="G166" s="145">
        <v>6.2780678914104762</v>
      </c>
      <c r="H166" s="146">
        <v>11.870615200580826</v>
      </c>
      <c r="I166" s="144">
        <v>5.9353076002904128E-3</v>
      </c>
      <c r="J166" s="146">
        <v>14.715161915876394</v>
      </c>
      <c r="K166" s="144">
        <v>7.3575809579381965E-3</v>
      </c>
      <c r="L166" s="146">
        <v>12.457522107342106</v>
      </c>
      <c r="M166" s="144">
        <v>6.228761053671053E-3</v>
      </c>
      <c r="N166" s="146">
        <v>15.302068822637674</v>
      </c>
      <c r="O166" s="144">
        <v>7.6510344113188368E-3</v>
      </c>
      <c r="P166" s="146">
        <v>14.045899587725337</v>
      </c>
      <c r="Q166" s="144">
        <v>7.0229497938626689E-3</v>
      </c>
      <c r="R166" s="144">
        <v>14.209201588263941</v>
      </c>
      <c r="S166" s="144">
        <v>7.1046007941319711E-3</v>
      </c>
    </row>
    <row r="167" spans="1:19" s="145" customFormat="1" x14ac:dyDescent="0.35">
      <c r="A167" s="232" t="s">
        <v>1533</v>
      </c>
      <c r="B167" s="145">
        <v>1.4488312227013845E-2</v>
      </c>
      <c r="C167" s="145">
        <v>1.1075376308912233</v>
      </c>
      <c r="D167" s="232">
        <v>2.4836077019212373E-2</v>
      </c>
      <c r="E167" s="144">
        <v>4.4718839636924038E-2</v>
      </c>
      <c r="F167" s="145">
        <v>2.8048514700777287E-2</v>
      </c>
      <c r="G167" s="145">
        <v>4.5193844224443509E-2</v>
      </c>
      <c r="H167" s="146">
        <v>1.1856530752456289</v>
      </c>
      <c r="I167" s="144">
        <v>5.928265376228145E-4</v>
      </c>
      <c r="J167" s="146">
        <v>1.2303719148825529</v>
      </c>
      <c r="K167" s="144">
        <v>6.1518595744127652E-4</v>
      </c>
      <c r="L167" s="146">
        <v>1.2137015899464061</v>
      </c>
      <c r="M167" s="144">
        <v>6.0685079497320308E-4</v>
      </c>
      <c r="N167" s="146">
        <v>1.2584204295833301</v>
      </c>
      <c r="O167" s="144">
        <v>6.2921021479166509E-4</v>
      </c>
      <c r="P167" s="146">
        <v>1.1667561613514161</v>
      </c>
      <c r="Q167" s="144">
        <v>5.8337808067570804E-4</v>
      </c>
      <c r="R167" s="144">
        <v>1.178672516221565</v>
      </c>
      <c r="S167" s="144">
        <v>5.8933625811078251E-4</v>
      </c>
    </row>
    <row r="168" spans="1:19" s="145" customFormat="1" x14ac:dyDescent="0.35">
      <c r="A168" s="232" t="s">
        <v>1532</v>
      </c>
      <c r="B168" s="48">
        <v>105.68097578023988</v>
      </c>
      <c r="C168" s="48">
        <v>5126.8545862339006</v>
      </c>
      <c r="D168" s="45">
        <v>108.15618081951042</v>
      </c>
      <c r="E168" s="43">
        <v>310.67751213528015</v>
      </c>
      <c r="F168" s="45">
        <v>171.44676499281618</v>
      </c>
      <c r="G168" s="43">
        <v>259.85378586982699</v>
      </c>
      <c r="H168" s="152">
        <v>5520.3303335863038</v>
      </c>
      <c r="I168" s="143">
        <v>2.7601651667931519</v>
      </c>
      <c r="J168" s="152">
        <v>5831.0078457215841</v>
      </c>
      <c r="K168" s="143">
        <v>2.915503922860792</v>
      </c>
      <c r="L168" s="152">
        <v>5691.7770985791203</v>
      </c>
      <c r="M168" s="143">
        <v>2.84588854928956</v>
      </c>
      <c r="N168" s="152">
        <v>6002.4546107144006</v>
      </c>
      <c r="O168" s="143">
        <v>3.0012273053572005</v>
      </c>
      <c r="P168" s="152">
        <v>5489.0075566590003</v>
      </c>
      <c r="Q168" s="143">
        <v>2.7445037783295003</v>
      </c>
      <c r="R168" s="152">
        <v>5555.7556736862025</v>
      </c>
      <c r="S168" s="143">
        <v>2.7778778368431012</v>
      </c>
    </row>
    <row r="169" spans="1:19" s="145" customFormat="1" ht="13.15" x14ac:dyDescent="0.4">
      <c r="A169" s="390" t="s">
        <v>1922</v>
      </c>
      <c r="B169" s="157"/>
      <c r="C169" s="157"/>
      <c r="D169" s="237"/>
      <c r="E169" s="156"/>
      <c r="F169" s="157"/>
      <c r="G169" s="157"/>
      <c r="H169" s="429" t="s">
        <v>1873</v>
      </c>
      <c r="I169" s="381" t="s">
        <v>1872</v>
      </c>
      <c r="J169" s="429" t="s">
        <v>1873</v>
      </c>
      <c r="K169" s="381" t="s">
        <v>1872</v>
      </c>
      <c r="L169" s="429" t="s">
        <v>1873</v>
      </c>
      <c r="M169" s="381" t="s">
        <v>1872</v>
      </c>
      <c r="N169" s="429" t="s">
        <v>1873</v>
      </c>
      <c r="O169" s="381" t="s">
        <v>1872</v>
      </c>
      <c r="P169" s="429" t="s">
        <v>1873</v>
      </c>
      <c r="Q169" s="381" t="s">
        <v>1872</v>
      </c>
      <c r="R169" s="381" t="s">
        <v>1873</v>
      </c>
      <c r="S169" s="381" t="s">
        <v>1872</v>
      </c>
    </row>
    <row r="170" spans="1:19" s="145" customFormat="1" x14ac:dyDescent="0.35">
      <c r="A170" s="232" t="s">
        <v>1525</v>
      </c>
      <c r="B170" s="145">
        <v>14.883836709293696</v>
      </c>
      <c r="C170" s="145">
        <v>190.15368388836075</v>
      </c>
      <c r="D170" s="232">
        <v>303.89453252439506</v>
      </c>
      <c r="E170" s="144">
        <v>277.35430127674221</v>
      </c>
      <c r="F170" s="145">
        <v>12.945991101971142</v>
      </c>
      <c r="G170" s="145">
        <v>323.85671195218856</v>
      </c>
      <c r="H170" s="146">
        <v>515.61541367115558</v>
      </c>
      <c r="I170" s="144">
        <v>0.2578077068355778</v>
      </c>
      <c r="J170" s="146">
        <v>792.96971494789773</v>
      </c>
      <c r="K170" s="144">
        <v>0.39648485747394885</v>
      </c>
      <c r="L170" s="146">
        <v>528.5614047731267</v>
      </c>
      <c r="M170" s="144">
        <v>0.26428070238656337</v>
      </c>
      <c r="N170" s="146">
        <v>805.91570604986885</v>
      </c>
      <c r="O170" s="144">
        <v>0.40295785302493442</v>
      </c>
      <c r="P170" s="146">
        <v>528.41794977514564</v>
      </c>
      <c r="Q170" s="144">
        <v>0.26420897488757283</v>
      </c>
      <c r="R170" s="144">
        <v>564.49265809085966</v>
      </c>
      <c r="S170" s="144">
        <v>0.28224632904542984</v>
      </c>
    </row>
    <row r="171" spans="1:19" s="145" customFormat="1" x14ac:dyDescent="0.35">
      <c r="A171" s="232" t="s">
        <v>1524</v>
      </c>
      <c r="B171" s="145">
        <v>55.379423401128193</v>
      </c>
      <c r="C171" s="145">
        <v>405.51686623140017</v>
      </c>
      <c r="D171" s="232">
        <v>192.73180849202382</v>
      </c>
      <c r="E171" s="144">
        <v>157.65982935390028</v>
      </c>
      <c r="F171" s="145">
        <v>36.150798613471267</v>
      </c>
      <c r="G171" s="145">
        <v>332.12727346354194</v>
      </c>
      <c r="H171" s="146">
        <v>667.92530175864522</v>
      </c>
      <c r="I171" s="144">
        <v>0.33396265087932259</v>
      </c>
      <c r="J171" s="146">
        <v>825.58513111254547</v>
      </c>
      <c r="K171" s="144">
        <v>0.41279256555627275</v>
      </c>
      <c r="L171" s="146">
        <v>704.07610037211646</v>
      </c>
      <c r="M171" s="144">
        <v>0.35203805018605822</v>
      </c>
      <c r="N171" s="146">
        <v>861.73592972601671</v>
      </c>
      <c r="O171" s="144">
        <v>0.43086796486300838</v>
      </c>
      <c r="P171" s="146">
        <v>791.25142154723426</v>
      </c>
      <c r="Q171" s="144">
        <v>0.39562571077361713</v>
      </c>
      <c r="R171" s="144">
        <v>800.41440761047602</v>
      </c>
      <c r="S171" s="144">
        <v>0.400207203805238</v>
      </c>
    </row>
    <row r="172" spans="1:19" s="145" customFormat="1" x14ac:dyDescent="0.35">
      <c r="A172" s="232" t="s">
        <v>1563</v>
      </c>
      <c r="B172" s="145">
        <v>90.01995704909163</v>
      </c>
      <c r="C172" s="145">
        <v>772.00457187501263</v>
      </c>
      <c r="D172" s="232">
        <v>369.65197132410202</v>
      </c>
      <c r="E172" s="144">
        <v>251.93025677035402</v>
      </c>
      <c r="F172" s="145">
        <v>81.191659767030075</v>
      </c>
      <c r="G172" s="145">
        <v>469.88575214081908</v>
      </c>
      <c r="H172" s="146">
        <v>1258.8658977830839</v>
      </c>
      <c r="I172" s="144">
        <v>0.629432948891542</v>
      </c>
      <c r="J172" s="146">
        <v>1510.7961545534379</v>
      </c>
      <c r="K172" s="144">
        <v>0.75539807727671893</v>
      </c>
      <c r="L172" s="146">
        <v>1340.0575575501141</v>
      </c>
      <c r="M172" s="144">
        <v>0.67002877877505707</v>
      </c>
      <c r="N172" s="146">
        <v>1591.987814320468</v>
      </c>
      <c r="O172" s="144">
        <v>0.79599390716023399</v>
      </c>
      <c r="P172" s="146">
        <v>1329.0296424393523</v>
      </c>
      <c r="Q172" s="144">
        <v>0.6645148212196762</v>
      </c>
      <c r="R172" s="144">
        <v>1363.2142047838972</v>
      </c>
      <c r="S172" s="144">
        <v>0.68160710239194866</v>
      </c>
    </row>
    <row r="173" spans="1:19" s="145" customFormat="1" x14ac:dyDescent="0.35">
      <c r="A173" s="232" t="s">
        <v>1522</v>
      </c>
      <c r="B173" s="145">
        <v>8.9748632111711739</v>
      </c>
      <c r="C173" s="145">
        <v>608.36144781224789</v>
      </c>
      <c r="D173" s="232">
        <v>117.91151929552127</v>
      </c>
      <c r="E173" s="144">
        <v>80.688001149110534</v>
      </c>
      <c r="F173" s="145">
        <v>14.664032236522001</v>
      </c>
      <c r="G173" s="145">
        <v>33.326628519414548</v>
      </c>
      <c r="H173" s="146">
        <v>756.55735373520599</v>
      </c>
      <c r="I173" s="144">
        <v>0.37827867686760297</v>
      </c>
      <c r="J173" s="146">
        <v>837.2453548843165</v>
      </c>
      <c r="K173" s="144">
        <v>0.41862267744215825</v>
      </c>
      <c r="L173" s="146">
        <v>771.22138597172795</v>
      </c>
      <c r="M173" s="144">
        <v>0.38561069298586398</v>
      </c>
      <c r="N173" s="146">
        <v>851.90938712083846</v>
      </c>
      <c r="O173" s="144">
        <v>0.42595469356041921</v>
      </c>
      <c r="P173" s="146">
        <v>650.37574392007605</v>
      </c>
      <c r="Q173" s="144">
        <v>0.32518787196003801</v>
      </c>
      <c r="R173" s="144">
        <v>676.57511753617518</v>
      </c>
      <c r="S173" s="144">
        <v>0.33828755876808758</v>
      </c>
    </row>
    <row r="174" spans="1:19" s="145" customFormat="1" x14ac:dyDescent="0.35">
      <c r="A174" s="232" t="s">
        <v>1521</v>
      </c>
      <c r="B174" s="145">
        <v>5.584263416255288</v>
      </c>
      <c r="C174" s="145">
        <v>302.71599779273231</v>
      </c>
      <c r="D174" s="232">
        <v>59.177352528803667</v>
      </c>
      <c r="E174" s="144">
        <v>39.446357992147774</v>
      </c>
      <c r="F174" s="145">
        <v>6.3820237265312141</v>
      </c>
      <c r="G174" s="145">
        <v>26.260905797201563</v>
      </c>
      <c r="H174" s="146">
        <v>378.08317207575948</v>
      </c>
      <c r="I174" s="144">
        <v>0.18904158603787974</v>
      </c>
      <c r="J174" s="146">
        <v>417.52953006790727</v>
      </c>
      <c r="K174" s="144">
        <v>0.20876476503395364</v>
      </c>
      <c r="L174" s="146">
        <v>384.46519580229068</v>
      </c>
      <c r="M174" s="144">
        <v>0.19223259790114533</v>
      </c>
      <c r="N174" s="146">
        <v>423.91155379443848</v>
      </c>
      <c r="O174" s="144">
        <v>0.21195577689721923</v>
      </c>
      <c r="P174" s="146">
        <v>334.38247057686903</v>
      </c>
      <c r="Q174" s="144">
        <v>0.16719123528843452</v>
      </c>
      <c r="R174" s="144">
        <v>346.02125139515306</v>
      </c>
      <c r="S174" s="144">
        <v>0.17301062569757653</v>
      </c>
    </row>
    <row r="175" spans="1:19" s="145" customFormat="1" x14ac:dyDescent="0.35">
      <c r="A175" s="232" t="s">
        <v>1520</v>
      </c>
      <c r="B175" s="145">
        <v>97.518516381246926</v>
      </c>
      <c r="C175" s="145">
        <v>2268.6378199440292</v>
      </c>
      <c r="D175" s="232">
        <v>135.93106525523925</v>
      </c>
      <c r="E175" s="144">
        <v>314.85319087263792</v>
      </c>
      <c r="F175" s="145">
        <v>220.49172555738897</v>
      </c>
      <c r="G175" s="145">
        <v>241.17932846814199</v>
      </c>
      <c r="H175" s="146">
        <v>2581.6730600893529</v>
      </c>
      <c r="I175" s="144">
        <v>1.2908365300446765</v>
      </c>
      <c r="J175" s="146">
        <v>2896.5262509619906</v>
      </c>
      <c r="K175" s="144">
        <v>1.4482631254809952</v>
      </c>
      <c r="L175" s="146">
        <v>2802.1647856467421</v>
      </c>
      <c r="M175" s="144">
        <v>1.4010823928233711</v>
      </c>
      <c r="N175" s="146">
        <v>3117.0179765193798</v>
      </c>
      <c r="O175" s="144">
        <v>1.5585089882596899</v>
      </c>
      <c r="P175" s="146">
        <v>2604.2150722692181</v>
      </c>
      <c r="Q175" s="144">
        <v>1.3021075361346091</v>
      </c>
      <c r="R175" s="144">
        <v>2670.8794498217389</v>
      </c>
      <c r="S175" s="144">
        <v>1.3354397249108694</v>
      </c>
    </row>
    <row r="176" spans="1:19" s="145" customFormat="1" x14ac:dyDescent="0.35">
      <c r="A176" s="232" t="s">
        <v>1519</v>
      </c>
      <c r="B176" s="145">
        <v>0.72926684084866666</v>
      </c>
      <c r="C176" s="145">
        <v>6.2799112070254273</v>
      </c>
      <c r="D176" s="232">
        <v>2.5236071448524808</v>
      </c>
      <c r="E176" s="144">
        <v>1.970260595655559</v>
      </c>
      <c r="F176" s="145">
        <v>0.47271161247710475</v>
      </c>
      <c r="G176" s="145">
        <v>4.1476166932620382</v>
      </c>
      <c r="H176" s="146">
        <v>9.7539531066332597</v>
      </c>
      <c r="I176" s="144">
        <v>4.8769765533166302E-3</v>
      </c>
      <c r="J176" s="146">
        <v>11.724213702288818</v>
      </c>
      <c r="K176" s="144">
        <v>5.862106851144409E-3</v>
      </c>
      <c r="L176" s="146">
        <v>10.226664719110364</v>
      </c>
      <c r="M176" s="144">
        <v>5.1133323595551816E-3</v>
      </c>
      <c r="N176" s="146">
        <v>12.196925314765922</v>
      </c>
      <c r="O176" s="144">
        <v>6.0984626573829612E-3</v>
      </c>
      <c r="P176" s="146">
        <v>11.133458202228976</v>
      </c>
      <c r="Q176" s="144">
        <v>5.5667291011144877E-3</v>
      </c>
      <c r="R176" s="144">
        <v>11.27170892685878</v>
      </c>
      <c r="S176" s="144">
        <v>5.6358544634293904E-3</v>
      </c>
    </row>
    <row r="177" spans="1:19" s="145" customFormat="1" x14ac:dyDescent="0.35">
      <c r="A177" s="232" t="s">
        <v>1518</v>
      </c>
      <c r="B177" s="145">
        <v>1.6936036602888893</v>
      </c>
      <c r="C177" s="145">
        <v>12.135255874642619</v>
      </c>
      <c r="D177" s="232">
        <v>5.872122708866625</v>
      </c>
      <c r="E177" s="144">
        <v>4.5932402414020252</v>
      </c>
      <c r="F177" s="145">
        <v>1.1097448265457537</v>
      </c>
      <c r="G177" s="145">
        <v>9.6480954222954498</v>
      </c>
      <c r="H177" s="146">
        <v>20.128900174291964</v>
      </c>
      <c r="I177" s="144">
        <v>1.0064450087145982E-2</v>
      </c>
      <c r="J177" s="146">
        <v>24.722140415693989</v>
      </c>
      <c r="K177" s="144">
        <v>1.2361070207846995E-2</v>
      </c>
      <c r="L177" s="146">
        <v>21.238645000837717</v>
      </c>
      <c r="M177" s="144">
        <v>1.0619322500418858E-2</v>
      </c>
      <c r="N177" s="146">
        <v>25.831885242239743</v>
      </c>
      <c r="O177" s="144">
        <v>1.2915942621119871E-2</v>
      </c>
      <c r="P177" s="146">
        <v>23.422759640097713</v>
      </c>
      <c r="Q177" s="144">
        <v>1.1711379820048856E-2</v>
      </c>
      <c r="R177" s="144">
        <v>23.735945968376175</v>
      </c>
      <c r="S177" s="144">
        <v>1.1867972984188088E-2</v>
      </c>
    </row>
    <row r="178" spans="1:19" s="145" customFormat="1" x14ac:dyDescent="0.35">
      <c r="A178" s="232" t="s">
        <v>1531</v>
      </c>
      <c r="B178" s="145">
        <v>258.22813946248056</v>
      </c>
      <c r="C178" s="145">
        <v>1795.5173699917584</v>
      </c>
      <c r="D178" s="232">
        <v>821.69204170920284</v>
      </c>
      <c r="E178" s="144">
        <v>723.06846715984625</v>
      </c>
      <c r="F178" s="145">
        <v>228.68669943764664</v>
      </c>
      <c r="G178" s="145">
        <v>1356.4762672341567</v>
      </c>
      <c r="H178" s="146">
        <v>2938.7661280153425</v>
      </c>
      <c r="I178" s="144">
        <v>1.4693830640076713</v>
      </c>
      <c r="J178" s="146">
        <v>3661.834595175189</v>
      </c>
      <c r="K178" s="144">
        <v>1.8309172975875945</v>
      </c>
      <c r="L178" s="146">
        <v>3167.4528274529889</v>
      </c>
      <c r="M178" s="144">
        <v>1.5837264137264944</v>
      </c>
      <c r="N178" s="146">
        <v>3890.5212946128354</v>
      </c>
      <c r="O178" s="144">
        <v>1.9452606473064178</v>
      </c>
      <c r="P178" s="146">
        <v>3401.9584762255963</v>
      </c>
      <c r="Q178" s="144">
        <v>1.7009792381127982</v>
      </c>
      <c r="R178" s="144">
        <v>3465.4716426159375</v>
      </c>
      <c r="S178" s="144">
        <v>1.7327358213079687</v>
      </c>
    </row>
    <row r="179" spans="1:19" s="145" customFormat="1" x14ac:dyDescent="0.35">
      <c r="A179" s="232" t="s">
        <v>1530</v>
      </c>
      <c r="B179" s="145">
        <v>2.3622688183068399</v>
      </c>
      <c r="C179" s="145">
        <v>16.968025951626892</v>
      </c>
      <c r="D179" s="232">
        <v>7.8585480664657261</v>
      </c>
      <c r="E179" s="144">
        <v>7.5357145703251085</v>
      </c>
      <c r="F179" s="145">
        <v>1.8517705111034761</v>
      </c>
      <c r="G179" s="145">
        <v>12.929609273089619</v>
      </c>
      <c r="H179" s="146">
        <v>27.787164810084814</v>
      </c>
      <c r="I179" s="144">
        <v>1.3893582405042407E-2</v>
      </c>
      <c r="J179" s="146">
        <v>35.322879380409923</v>
      </c>
      <c r="K179" s="144">
        <v>1.766143969020496E-2</v>
      </c>
      <c r="L179" s="146">
        <v>29.638935321188292</v>
      </c>
      <c r="M179" s="144">
        <v>1.4819467660594146E-2</v>
      </c>
      <c r="N179" s="146">
        <v>37.174649891513397</v>
      </c>
      <c r="O179" s="144">
        <v>1.8587324945756697E-2</v>
      </c>
      <c r="P179" s="146">
        <v>32.184311440837533</v>
      </c>
      <c r="Q179" s="144">
        <v>1.6092155720418767E-2</v>
      </c>
      <c r="R179" s="144">
        <v>32.833055439425394</v>
      </c>
      <c r="S179" s="144">
        <v>1.6416527719712696E-2</v>
      </c>
    </row>
    <row r="180" spans="1:19" s="145" customFormat="1" x14ac:dyDescent="0.35">
      <c r="A180" s="232" t="s">
        <v>1921</v>
      </c>
      <c r="B180" s="148">
        <v>0</v>
      </c>
      <c r="C180" s="148">
        <v>5.687258396258879</v>
      </c>
      <c r="D180" s="411">
        <v>0</v>
      </c>
      <c r="E180" s="147">
        <v>0</v>
      </c>
      <c r="F180" s="148">
        <v>0</v>
      </c>
      <c r="G180" s="148">
        <v>0</v>
      </c>
      <c r="H180" s="146">
        <v>5.8863124401279396</v>
      </c>
      <c r="I180" s="144">
        <v>2.9431562200639698E-3</v>
      </c>
      <c r="J180" s="146">
        <v>5.8863124401279396</v>
      </c>
      <c r="K180" s="144">
        <v>2.9431562200639698E-3</v>
      </c>
      <c r="L180" s="146">
        <v>5.8863124401279396</v>
      </c>
      <c r="M180" s="144">
        <v>2.9431562200639698E-3</v>
      </c>
      <c r="N180" s="146">
        <v>5.8863124401279396</v>
      </c>
      <c r="O180" s="144">
        <v>2.9431562200639698E-3</v>
      </c>
      <c r="P180" s="146">
        <v>5.687258396258879</v>
      </c>
      <c r="Q180" s="144">
        <v>2.8436291981294394E-3</v>
      </c>
      <c r="R180" s="144">
        <v>5.7131354219618569</v>
      </c>
      <c r="S180" s="144">
        <v>2.8565677109809286E-3</v>
      </c>
    </row>
    <row r="181" spans="1:19" s="145" customFormat="1" x14ac:dyDescent="0.35">
      <c r="A181" s="232" t="s">
        <v>1920</v>
      </c>
      <c r="B181" s="148">
        <v>0</v>
      </c>
      <c r="C181" s="148">
        <v>0.78393938882112013</v>
      </c>
      <c r="D181" s="411">
        <v>0</v>
      </c>
      <c r="E181" s="147">
        <v>0</v>
      </c>
      <c r="F181" s="148">
        <v>0</v>
      </c>
      <c r="G181" s="148">
        <v>0</v>
      </c>
      <c r="H181" s="146">
        <v>0.81137726742985927</v>
      </c>
      <c r="I181" s="144">
        <v>4.0568863371492962E-4</v>
      </c>
      <c r="J181" s="146">
        <v>0.81137726742985927</v>
      </c>
      <c r="K181" s="144">
        <v>4.0568863371492962E-4</v>
      </c>
      <c r="L181" s="146">
        <v>0.81137726742985927</v>
      </c>
      <c r="M181" s="144">
        <v>4.0568863371492962E-4</v>
      </c>
      <c r="N181" s="146">
        <v>0.81137726742985927</v>
      </c>
      <c r="O181" s="144">
        <v>4.0568863371492962E-4</v>
      </c>
      <c r="P181" s="146">
        <v>0.78393938882112013</v>
      </c>
      <c r="Q181" s="144">
        <v>3.9196969441056007E-4</v>
      </c>
      <c r="R181" s="144">
        <v>0.7875063130402562</v>
      </c>
      <c r="S181" s="144">
        <v>3.9375315652012813E-4</v>
      </c>
    </row>
    <row r="182" spans="1:19" x14ac:dyDescent="0.35">
      <c r="A182" s="59" t="s">
        <v>1529</v>
      </c>
      <c r="B182" s="154">
        <v>98001.723812409138</v>
      </c>
      <c r="C182" s="154">
        <v>794713.28356818843</v>
      </c>
      <c r="D182" s="240">
        <v>263822.79764057492</v>
      </c>
      <c r="E182" s="153">
        <v>282384.14992019266</v>
      </c>
      <c r="F182" s="154">
        <v>119817.08672139457</v>
      </c>
      <c r="G182" s="154">
        <v>439574.41594726971</v>
      </c>
      <c r="H182" s="155">
        <v>1184537.0131868264</v>
      </c>
      <c r="I182" s="153">
        <v>592.26850659341324</v>
      </c>
      <c r="J182" s="155">
        <v>1466921.1631070189</v>
      </c>
      <c r="K182" s="153">
        <v>733.46058155350943</v>
      </c>
      <c r="L182" s="155">
        <v>1304354.099908221</v>
      </c>
      <c r="M182" s="153">
        <v>652.17704995411054</v>
      </c>
      <c r="N182" s="155">
        <v>1586738.2498284136</v>
      </c>
      <c r="O182" s="153">
        <v>793.36912491420685</v>
      </c>
      <c r="P182" s="155">
        <v>1329153.3681658702</v>
      </c>
      <c r="Q182" s="153">
        <v>664.57668408293512</v>
      </c>
      <c r="R182" s="47">
        <v>1362639.4027820008</v>
      </c>
      <c r="S182" s="153">
        <v>681.31970139100042</v>
      </c>
    </row>
    <row r="183" spans="1:19" x14ac:dyDescent="0.35">
      <c r="A183" s="59" t="s">
        <v>1528</v>
      </c>
      <c r="B183" s="154">
        <v>98135.136578354883</v>
      </c>
      <c r="C183" s="154">
        <v>795943.17000609927</v>
      </c>
      <c r="D183" s="240">
        <v>265072.79987076338</v>
      </c>
      <c r="E183" s="153">
        <v>283496.32198625174</v>
      </c>
      <c r="F183" s="154">
        <v>119914.24345815022</v>
      </c>
      <c r="G183" s="154">
        <v>441105.6836530586</v>
      </c>
      <c r="H183" s="155">
        <v>1187193.6114621982</v>
      </c>
      <c r="I183" s="153">
        <v>593.59680573109915</v>
      </c>
      <c r="J183" s="155">
        <v>1470689.9334484499</v>
      </c>
      <c r="K183" s="153">
        <v>735.34496672422495</v>
      </c>
      <c r="L183" s="155">
        <v>1307107.8549203484</v>
      </c>
      <c r="M183" s="153">
        <v>653.55392746017424</v>
      </c>
      <c r="N183" s="155">
        <v>1590604.1769066001</v>
      </c>
      <c r="O183" s="153">
        <v>795.30208845330003</v>
      </c>
      <c r="P183" s="155">
        <v>1332043.6658670055</v>
      </c>
      <c r="Q183" s="153">
        <v>666.02183293350276</v>
      </c>
      <c r="R183" s="47">
        <v>1365656.5323021528</v>
      </c>
      <c r="S183" s="153">
        <v>682.82826615107638</v>
      </c>
    </row>
    <row r="184" spans="1:19" x14ac:dyDescent="0.35">
      <c r="A184" s="59" t="s">
        <v>1527</v>
      </c>
      <c r="B184" s="151">
        <v>106507.98199908061</v>
      </c>
      <c r="C184" s="151">
        <v>900713.46836614399</v>
      </c>
      <c r="D184" s="389">
        <v>291806.07635965291</v>
      </c>
      <c r="E184" s="150">
        <v>307185.34036218328</v>
      </c>
      <c r="F184" s="151">
        <v>127265.56362672204</v>
      </c>
      <c r="G184" s="151">
        <v>485226.31812745205</v>
      </c>
      <c r="H184" s="155">
        <v>1330752.7331238508</v>
      </c>
      <c r="I184" s="153">
        <v>665.37636656192535</v>
      </c>
      <c r="J184" s="155">
        <v>1637938.0734860341</v>
      </c>
      <c r="K184" s="153">
        <v>818.96903674301689</v>
      </c>
      <c r="L184" s="155">
        <v>1458018.2967505727</v>
      </c>
      <c r="M184" s="153">
        <v>729.00914837528637</v>
      </c>
      <c r="N184" s="155">
        <v>1765203.637112756</v>
      </c>
      <c r="O184" s="153">
        <v>882.60181855637791</v>
      </c>
      <c r="P184" s="155">
        <v>1489039.513068706</v>
      </c>
      <c r="Q184" s="153">
        <v>744.51975653435306</v>
      </c>
      <c r="R184" s="47">
        <v>1524940.8491944328</v>
      </c>
      <c r="S184" s="153">
        <v>762.47042459721627</v>
      </c>
    </row>
    <row r="185" spans="1:19" ht="13.15" x14ac:dyDescent="0.4">
      <c r="A185" s="131" t="s">
        <v>1919</v>
      </c>
      <c r="D185" s="59"/>
      <c r="E185" s="99"/>
      <c r="H185" s="428" t="s">
        <v>1873</v>
      </c>
      <c r="I185" s="470" t="s">
        <v>1872</v>
      </c>
      <c r="J185" s="428" t="s">
        <v>1873</v>
      </c>
      <c r="K185" s="470" t="s">
        <v>1872</v>
      </c>
      <c r="L185" s="428" t="s">
        <v>1873</v>
      </c>
      <c r="M185" s="470" t="s">
        <v>1872</v>
      </c>
      <c r="N185" s="428" t="s">
        <v>1873</v>
      </c>
      <c r="O185" s="470" t="s">
        <v>1872</v>
      </c>
      <c r="P185" s="428" t="s">
        <v>1873</v>
      </c>
      <c r="Q185" s="470" t="s">
        <v>1872</v>
      </c>
      <c r="R185" s="470" t="s">
        <v>1873</v>
      </c>
      <c r="S185" s="470" t="s">
        <v>1872</v>
      </c>
    </row>
    <row r="186" spans="1:19" s="145" customFormat="1" x14ac:dyDescent="0.35">
      <c r="A186" s="232" t="s">
        <v>1525</v>
      </c>
      <c r="B186" s="145">
        <v>0.81874936062844828</v>
      </c>
      <c r="C186" s="145">
        <v>6.7097379263565387</v>
      </c>
      <c r="D186" s="232">
        <v>2.342764696834275</v>
      </c>
      <c r="E186" s="144">
        <v>2.3492972570440829</v>
      </c>
      <c r="F186" s="145">
        <v>0.92175147254132672</v>
      </c>
      <c r="G186" s="145">
        <v>3.8860781074171986</v>
      </c>
      <c r="H186" s="146">
        <v>10.107632060039721</v>
      </c>
      <c r="I186" s="144">
        <v>5.0538160300198608E-3</v>
      </c>
      <c r="J186" s="146">
        <v>12.456929317083805</v>
      </c>
      <c r="K186" s="144">
        <v>6.2284646585419028E-3</v>
      </c>
      <c r="L186" s="146">
        <v>11.029383532581049</v>
      </c>
      <c r="M186" s="144">
        <v>5.5146917662905245E-3</v>
      </c>
      <c r="N186" s="146">
        <v>13.378680789625133</v>
      </c>
      <c r="O186" s="144">
        <v>6.6893403948125665E-3</v>
      </c>
      <c r="P186" s="146">
        <v>11.388365414862076</v>
      </c>
      <c r="Q186" s="144">
        <v>5.6941827074310381E-3</v>
      </c>
      <c r="R186" s="144">
        <v>11.647106413581273</v>
      </c>
      <c r="S186" s="144">
        <v>5.8235532067906362E-3</v>
      </c>
    </row>
    <row r="187" spans="1:19" s="145" customFormat="1" x14ac:dyDescent="0.35">
      <c r="A187" s="232" t="s">
        <v>1524</v>
      </c>
      <c r="B187" s="145">
        <v>5.0533827250588237</v>
      </c>
      <c r="C187" s="145">
        <v>28.785578273371872</v>
      </c>
      <c r="D187" s="232">
        <v>12.413041885995314</v>
      </c>
      <c r="E187" s="144">
        <v>14.970405139854027</v>
      </c>
      <c r="F187" s="145">
        <v>7.2138621022760159</v>
      </c>
      <c r="G187" s="145">
        <v>20.744415883477039</v>
      </c>
      <c r="H187" s="146">
        <v>47.26899848351713</v>
      </c>
      <c r="I187" s="144">
        <v>2.3634499241758564E-2</v>
      </c>
      <c r="J187" s="146">
        <v>62.23940362337116</v>
      </c>
      <c r="K187" s="144">
        <v>3.1119701811685579E-2</v>
      </c>
      <c r="L187" s="146">
        <v>54.482860585793148</v>
      </c>
      <c r="M187" s="144">
        <v>2.7241430292896576E-2</v>
      </c>
      <c r="N187" s="146">
        <v>69.453265725647171</v>
      </c>
      <c r="O187" s="144">
        <v>3.4726632862823584E-2</v>
      </c>
      <c r="P187" s="146">
        <v>54.421668634705853</v>
      </c>
      <c r="Q187" s="144">
        <v>2.7210834317352925E-2</v>
      </c>
      <c r="R187" s="144">
        <v>56.375776256528226</v>
      </c>
      <c r="S187" s="144">
        <v>2.8187888128264112E-2</v>
      </c>
    </row>
    <row r="188" spans="1:19" s="145" customFormat="1" x14ac:dyDescent="0.35">
      <c r="A188" s="232" t="s">
        <v>1523</v>
      </c>
      <c r="B188" s="145">
        <v>10.168049033946687</v>
      </c>
      <c r="C188" s="145">
        <v>61.76222071734238</v>
      </c>
      <c r="D188" s="232">
        <v>19.053833925914443</v>
      </c>
      <c r="E188" s="144">
        <v>31.450305111152545</v>
      </c>
      <c r="F188" s="145">
        <v>18.893102232264646</v>
      </c>
      <c r="G188" s="145">
        <v>32.436841145293805</v>
      </c>
      <c r="H188" s="146">
        <v>93.164897334494313</v>
      </c>
      <c r="I188" s="144">
        <v>4.6582448667247159E-2</v>
      </c>
      <c r="J188" s="146">
        <v>124.61520244564686</v>
      </c>
      <c r="K188" s="144">
        <v>6.230760122282343E-2</v>
      </c>
      <c r="L188" s="146">
        <v>112.05799956675895</v>
      </c>
      <c r="M188" s="144">
        <v>5.6028999783379475E-2</v>
      </c>
      <c r="N188" s="146">
        <v>143.5083046779115</v>
      </c>
      <c r="O188" s="144">
        <v>7.1754152338955754E-2</v>
      </c>
      <c r="P188" s="146">
        <v>104.04173332749659</v>
      </c>
      <c r="Q188" s="144">
        <v>5.2020866663748291E-2</v>
      </c>
      <c r="R188" s="144">
        <v>109.17238760305052</v>
      </c>
      <c r="S188" s="144">
        <v>5.4586193801525261E-2</v>
      </c>
    </row>
    <row r="189" spans="1:19" s="145" customFormat="1" x14ac:dyDescent="0.35">
      <c r="A189" s="232" t="s">
        <v>1522</v>
      </c>
      <c r="B189" s="145">
        <v>0.94675070746143342</v>
      </c>
      <c r="C189" s="145">
        <v>6.1104216426579265</v>
      </c>
      <c r="D189" s="232">
        <v>1.0051309457927655</v>
      </c>
      <c r="E189" s="144">
        <v>3.1012682958040911</v>
      </c>
      <c r="F189" s="145">
        <v>2.3283521592521383</v>
      </c>
      <c r="G189" s="145">
        <v>1.8114106436827582</v>
      </c>
      <c r="H189" s="146">
        <v>8.27794794473518</v>
      </c>
      <c r="I189" s="144">
        <v>4.1389739723675899E-3</v>
      </c>
      <c r="J189" s="146">
        <v>11.379216240539272</v>
      </c>
      <c r="K189" s="144">
        <v>5.6896081202696359E-3</v>
      </c>
      <c r="L189" s="146">
        <v>10.606300103987319</v>
      </c>
      <c r="M189" s="144">
        <v>5.3031500519936598E-3</v>
      </c>
      <c r="N189" s="146">
        <v>13.707568399791409</v>
      </c>
      <c r="O189" s="144">
        <v>6.8537841998957049E-3</v>
      </c>
      <c r="P189" s="146">
        <v>8.8382869711633525</v>
      </c>
      <c r="Q189" s="144">
        <v>4.4191434855816759E-3</v>
      </c>
      <c r="R189" s="144">
        <v>9.4712935568849996</v>
      </c>
      <c r="S189" s="144">
        <v>4.7356467784425002E-3</v>
      </c>
    </row>
    <row r="190" spans="1:19" s="145" customFormat="1" x14ac:dyDescent="0.35">
      <c r="A190" s="232" t="s">
        <v>1521</v>
      </c>
      <c r="B190" s="145">
        <v>0.69844367594910794</v>
      </c>
      <c r="C190" s="145">
        <v>4.4555243778934441</v>
      </c>
      <c r="D190" s="232">
        <v>0.74662861402861291</v>
      </c>
      <c r="E190" s="144">
        <v>2.286696438353002</v>
      </c>
      <c r="F190" s="145">
        <v>1.7138462465060513</v>
      </c>
      <c r="G190" s="145">
        <v>1.3445142202206217</v>
      </c>
      <c r="H190" s="146">
        <v>6.0578530952082197</v>
      </c>
      <c r="I190" s="144">
        <v>3.02892654760411E-3</v>
      </c>
      <c r="J190" s="146">
        <v>8.3445495335612208</v>
      </c>
      <c r="K190" s="144">
        <v>4.1722747667806105E-3</v>
      </c>
      <c r="L190" s="146">
        <v>7.771699341714271</v>
      </c>
      <c r="M190" s="144">
        <v>3.8858496708571357E-3</v>
      </c>
      <c r="N190" s="146">
        <v>10.058395780067272</v>
      </c>
      <c r="O190" s="144">
        <v>5.0291978900336362E-3</v>
      </c>
      <c r="P190" s="146">
        <v>6.4761320764328021</v>
      </c>
      <c r="Q190" s="144">
        <v>3.2380660382164009E-3</v>
      </c>
      <c r="R190" s="144">
        <v>6.941826357905283</v>
      </c>
      <c r="S190" s="144">
        <v>3.4709131789526417E-3</v>
      </c>
    </row>
    <row r="191" spans="1:19" s="145" customFormat="1" x14ac:dyDescent="0.35">
      <c r="A191" s="232" t="s">
        <v>1520</v>
      </c>
      <c r="B191" s="145">
        <v>31.574488708676594</v>
      </c>
      <c r="C191" s="145">
        <v>202.97663455580681</v>
      </c>
      <c r="D191" s="232">
        <v>32.92652664989869</v>
      </c>
      <c r="E191" s="144">
        <v>103.57541062208921</v>
      </c>
      <c r="F191" s="145">
        <v>78.106299022480783</v>
      </c>
      <c r="G191" s="145">
        <v>59.437572758667095</v>
      </c>
      <c r="H191" s="146">
        <v>274.64119216260764</v>
      </c>
      <c r="I191" s="144">
        <v>0.13732059608130381</v>
      </c>
      <c r="J191" s="146">
        <v>378.21660278469687</v>
      </c>
      <c r="K191" s="144">
        <v>0.18910830139234844</v>
      </c>
      <c r="L191" s="146">
        <v>352.74749118508839</v>
      </c>
      <c r="M191" s="144">
        <v>0.17637374559254421</v>
      </c>
      <c r="N191" s="146">
        <v>456.32290180717769</v>
      </c>
      <c r="O191" s="144">
        <v>0.22816145090358883</v>
      </c>
      <c r="P191" s="146">
        <v>292.97831238447282</v>
      </c>
      <c r="Q191" s="144">
        <v>0.1464891561922364</v>
      </c>
      <c r="R191" s="144">
        <v>314.21310900942444</v>
      </c>
      <c r="S191" s="144">
        <v>0.15710655450471223</v>
      </c>
    </row>
    <row r="192" spans="1:19" s="145" customFormat="1" x14ac:dyDescent="0.35">
      <c r="A192" s="232" t="s">
        <v>1519</v>
      </c>
      <c r="B192" s="145">
        <v>4.2949331180151054E-2</v>
      </c>
      <c r="C192" s="145">
        <v>0.27431641046383376</v>
      </c>
      <c r="D192" s="232">
        <v>5.0324423909037193E-2</v>
      </c>
      <c r="E192" s="144">
        <v>0.13960110834150261</v>
      </c>
      <c r="F192" s="145">
        <v>0.10210467090979541</v>
      </c>
      <c r="G192" s="145">
        <v>8.9655500736239277E-2</v>
      </c>
      <c r="H192" s="146">
        <v>0.37727198466187489</v>
      </c>
      <c r="I192" s="144">
        <v>1.8863599233093746E-4</v>
      </c>
      <c r="J192" s="146">
        <v>0.51687309300337747</v>
      </c>
      <c r="K192" s="144">
        <v>2.5843654650168876E-4</v>
      </c>
      <c r="L192" s="146">
        <v>0.47937665557167031</v>
      </c>
      <c r="M192" s="144">
        <v>2.3968832778583515E-4</v>
      </c>
      <c r="N192" s="146">
        <v>0.61897776391317283</v>
      </c>
      <c r="O192" s="144">
        <v>3.0948888195658639E-4</v>
      </c>
      <c r="P192" s="146">
        <v>0.4055468637824593</v>
      </c>
      <c r="Q192" s="144">
        <v>2.0277343189122965E-4</v>
      </c>
      <c r="R192" s="144">
        <v>0.43329288079945205</v>
      </c>
      <c r="S192" s="144">
        <v>2.1664644039972602E-4</v>
      </c>
    </row>
    <row r="193" spans="1:19" s="145" customFormat="1" x14ac:dyDescent="0.35">
      <c r="A193" s="231" t="s">
        <v>1518</v>
      </c>
      <c r="B193" s="142">
        <v>0.10865742648750785</v>
      </c>
      <c r="C193" s="142">
        <v>0.59212776560196723</v>
      </c>
      <c r="D193" s="231">
        <v>0.1212667379113614</v>
      </c>
      <c r="E193" s="141">
        <v>0.35449709229349219</v>
      </c>
      <c r="F193" s="142">
        <v>0.26270927984588915</v>
      </c>
      <c r="G193" s="142">
        <v>0.21738312927281483</v>
      </c>
      <c r="H193" s="143">
        <v>0.84298067775870189</v>
      </c>
      <c r="I193" s="141">
        <v>4.2149033887935096E-4</v>
      </c>
      <c r="J193" s="143">
        <v>1.1974777700521941</v>
      </c>
      <c r="K193" s="141">
        <v>5.9873888502609703E-4</v>
      </c>
      <c r="L193" s="143">
        <v>1.1056899576045911</v>
      </c>
      <c r="M193" s="141">
        <v>5.5284497880229554E-4</v>
      </c>
      <c r="N193" s="143">
        <v>1.4601870498980833</v>
      </c>
      <c r="O193" s="141">
        <v>7.3009352494904172E-4</v>
      </c>
      <c r="P193" s="143">
        <v>0.91469128371468966</v>
      </c>
      <c r="Q193" s="141">
        <v>4.5734564185734484E-4</v>
      </c>
      <c r="R193" s="141">
        <v>0.98560573331853085</v>
      </c>
      <c r="S193" s="141">
        <v>4.9280286665926538E-4</v>
      </c>
    </row>
  </sheetData>
  <mergeCells count="24">
    <mergeCell ref="B62:C62"/>
    <mergeCell ref="D62:E62"/>
    <mergeCell ref="F62:G62"/>
    <mergeCell ref="H62:I62"/>
    <mergeCell ref="J62:K62"/>
    <mergeCell ref="V62:W62"/>
    <mergeCell ref="K120:L120"/>
    <mergeCell ref="M120:N120"/>
    <mergeCell ref="O120:P120"/>
    <mergeCell ref="Q120:R120"/>
    <mergeCell ref="S120:T120"/>
    <mergeCell ref="U120:V120"/>
    <mergeCell ref="W120:X120"/>
    <mergeCell ref="L62:M62"/>
    <mergeCell ref="N62:O62"/>
    <mergeCell ref="P62:Q62"/>
    <mergeCell ref="R62:S62"/>
    <mergeCell ref="T62:U62"/>
    <mergeCell ref="R158:S158"/>
    <mergeCell ref="H158:I158"/>
    <mergeCell ref="J158:K158"/>
    <mergeCell ref="L158:M158"/>
    <mergeCell ref="N158:O158"/>
    <mergeCell ref="P158:Q158"/>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S181"/>
  <sheetViews>
    <sheetView showGridLines="0" zoomScale="85" zoomScaleNormal="85" workbookViewId="0">
      <selection activeCell="G1" sqref="G1"/>
    </sheetView>
  </sheetViews>
  <sheetFormatPr defaultColWidth="9.1328125" defaultRowHeight="12.75" x14ac:dyDescent="0.35"/>
  <cols>
    <col min="1" max="1" width="39.46484375" style="39" customWidth="1"/>
    <col min="2" max="2" width="13.1328125" style="39" bestFit="1" customWidth="1"/>
    <col min="3" max="3" width="10.46484375" style="39" customWidth="1"/>
    <col min="4" max="4" width="11.46484375" style="39" customWidth="1"/>
    <col min="5" max="25" width="10.46484375" style="39" customWidth="1"/>
    <col min="26" max="16384" width="9.1328125" style="39"/>
  </cols>
  <sheetData>
    <row r="1" spans="1:10" ht="15" x14ac:dyDescent="0.4">
      <c r="A1" s="140" t="s">
        <v>1971</v>
      </c>
      <c r="G1" s="230" t="s">
        <v>1561</v>
      </c>
    </row>
    <row r="2" spans="1:10" ht="13.15" x14ac:dyDescent="0.4">
      <c r="A2" s="41"/>
    </row>
    <row r="3" spans="1:10" ht="13.9" x14ac:dyDescent="0.4">
      <c r="A3" s="72" t="s">
        <v>1775</v>
      </c>
    </row>
    <row r="4" spans="1:10" ht="13.15" x14ac:dyDescent="0.4">
      <c r="A4" s="41" t="s">
        <v>1970</v>
      </c>
    </row>
    <row r="5" spans="1:10" ht="28.5" customHeight="1" x14ac:dyDescent="0.35">
      <c r="A5" s="91"/>
      <c r="B5" s="103" t="s">
        <v>1318</v>
      </c>
      <c r="C5" s="103" t="s">
        <v>1403</v>
      </c>
      <c r="D5" s="103" t="s">
        <v>1316</v>
      </c>
      <c r="E5" s="103" t="s">
        <v>1402</v>
      </c>
      <c r="F5" s="103" t="s">
        <v>1314</v>
      </c>
      <c r="G5" s="103" t="s">
        <v>1401</v>
      </c>
      <c r="H5" s="103" t="s">
        <v>1400</v>
      </c>
      <c r="I5" s="103" t="s">
        <v>1311</v>
      </c>
      <c r="J5" s="86" t="s">
        <v>1310</v>
      </c>
    </row>
    <row r="6" spans="1:10" x14ac:dyDescent="0.35">
      <c r="A6" s="277" t="s">
        <v>1399</v>
      </c>
      <c r="B6" s="120">
        <v>1</v>
      </c>
      <c r="C6" s="120">
        <v>1</v>
      </c>
      <c r="D6" s="120">
        <v>1</v>
      </c>
      <c r="E6" s="120">
        <v>1</v>
      </c>
      <c r="F6" s="120">
        <v>1.02</v>
      </c>
      <c r="G6" s="120">
        <v>0</v>
      </c>
      <c r="H6" s="120">
        <v>0</v>
      </c>
      <c r="I6" s="120">
        <v>1.107</v>
      </c>
      <c r="J6" s="121">
        <v>1</v>
      </c>
    </row>
    <row r="7" spans="1:10" x14ac:dyDescent="0.35">
      <c r="A7" s="273" t="s">
        <v>1398</v>
      </c>
      <c r="B7" s="119">
        <v>0</v>
      </c>
      <c r="C7" s="119">
        <v>0</v>
      </c>
      <c r="D7" s="119">
        <v>0</v>
      </c>
      <c r="E7" s="119">
        <v>0</v>
      </c>
      <c r="F7" s="119">
        <v>0</v>
      </c>
      <c r="G7" s="119">
        <v>0.96799999999999997</v>
      </c>
      <c r="H7" s="119">
        <v>1</v>
      </c>
      <c r="I7" s="119">
        <v>1.107</v>
      </c>
      <c r="J7" s="466">
        <v>1</v>
      </c>
    </row>
    <row r="8" spans="1:10" x14ac:dyDescent="0.35">
      <c r="A8" s="120"/>
      <c r="B8" s="120"/>
      <c r="C8" s="120"/>
      <c r="D8" s="120"/>
      <c r="E8" s="120"/>
      <c r="F8" s="120"/>
      <c r="G8" s="120"/>
      <c r="H8" s="120"/>
      <c r="I8" s="120"/>
    </row>
    <row r="9" spans="1:10" ht="13.15" x14ac:dyDescent="0.4">
      <c r="A9" s="41" t="s">
        <v>1969</v>
      </c>
      <c r="B9" s="197"/>
    </row>
    <row r="10" spans="1:10" x14ac:dyDescent="0.35">
      <c r="A10" s="61"/>
      <c r="B10" s="60" t="s">
        <v>1350</v>
      </c>
    </row>
    <row r="11" spans="1:10" x14ac:dyDescent="0.35">
      <c r="A11" s="110" t="s">
        <v>112</v>
      </c>
      <c r="B11" s="465">
        <v>0</v>
      </c>
    </row>
    <row r="12" spans="1:10" x14ac:dyDescent="0.35">
      <c r="A12" s="110" t="s">
        <v>113</v>
      </c>
      <c r="B12" s="465">
        <v>4.1000000000000002E-2</v>
      </c>
    </row>
    <row r="13" spans="1:10" x14ac:dyDescent="0.35">
      <c r="A13" s="110" t="s">
        <v>114</v>
      </c>
      <c r="B13" s="465">
        <v>0.14299999999999999</v>
      </c>
    </row>
    <row r="14" spans="1:10" x14ac:dyDescent="0.35">
      <c r="A14" s="110" t="s">
        <v>273</v>
      </c>
      <c r="B14" s="465">
        <v>5.0000000000000001E-3</v>
      </c>
    </row>
    <row r="15" spans="1:10" x14ac:dyDescent="0.35">
      <c r="A15" s="110" t="s">
        <v>116</v>
      </c>
      <c r="B15" s="465">
        <v>0</v>
      </c>
    </row>
    <row r="16" spans="1:10" x14ac:dyDescent="0.35">
      <c r="A16" s="108" t="s">
        <v>292</v>
      </c>
      <c r="B16" s="464">
        <v>0.81099999999999994</v>
      </c>
    </row>
    <row r="17" spans="1:2" x14ac:dyDescent="0.35">
      <c r="A17" s="55" t="s">
        <v>1968</v>
      </c>
      <c r="B17" s="463">
        <v>1378201.0088247485</v>
      </c>
    </row>
    <row r="18" spans="1:2" x14ac:dyDescent="0.35">
      <c r="A18" s="50" t="s">
        <v>1967</v>
      </c>
      <c r="B18" s="462">
        <v>519763.12441016326</v>
      </c>
    </row>
    <row r="19" spans="1:2" x14ac:dyDescent="0.35">
      <c r="A19" s="50" t="s">
        <v>114</v>
      </c>
      <c r="B19" s="462">
        <v>418581.01204894396</v>
      </c>
    </row>
    <row r="20" spans="1:2" x14ac:dyDescent="0.35">
      <c r="A20" s="50" t="s">
        <v>113</v>
      </c>
      <c r="B20" s="462">
        <v>94398.92049832124</v>
      </c>
    </row>
    <row r="21" spans="1:2" x14ac:dyDescent="0.35">
      <c r="A21" s="50" t="s">
        <v>1966</v>
      </c>
      <c r="B21" s="462">
        <v>6783.1918628980984</v>
      </c>
    </row>
    <row r="22" spans="1:2" x14ac:dyDescent="0.35">
      <c r="A22" s="50" t="s">
        <v>1532</v>
      </c>
      <c r="B22" s="462">
        <v>1124.339997909196</v>
      </c>
    </row>
    <row r="23" spans="1:2" x14ac:dyDescent="0.35">
      <c r="A23" s="50" t="s">
        <v>1965</v>
      </c>
      <c r="B23" s="430">
        <v>4.4289036224381597</v>
      </c>
    </row>
    <row r="24" spans="1:2" x14ac:dyDescent="0.35">
      <c r="A24" s="50" t="s">
        <v>1964</v>
      </c>
      <c r="B24" s="430">
        <v>7.8646851938972269</v>
      </c>
    </row>
    <row r="25" spans="1:2" x14ac:dyDescent="0.35">
      <c r="A25" s="50" t="s">
        <v>1963</v>
      </c>
      <c r="B25" s="430">
        <v>26.747773863867661</v>
      </c>
    </row>
    <row r="26" spans="1:2" x14ac:dyDescent="0.35">
      <c r="A26" s="50" t="s">
        <v>1962</v>
      </c>
      <c r="B26" s="430">
        <v>6.536115867066326</v>
      </c>
    </row>
    <row r="27" spans="1:2" x14ac:dyDescent="0.35">
      <c r="A27" s="50" t="s">
        <v>1961</v>
      </c>
      <c r="B27" s="430">
        <v>2.6635644560817888</v>
      </c>
    </row>
    <row r="28" spans="1:2" x14ac:dyDescent="0.35">
      <c r="A28" s="50" t="s">
        <v>1960</v>
      </c>
      <c r="B28" s="430">
        <v>107.25505602979078</v>
      </c>
    </row>
    <row r="29" spans="1:2" x14ac:dyDescent="0.35">
      <c r="A29" s="50" t="s">
        <v>1959</v>
      </c>
      <c r="B29" s="430">
        <v>0.14828192381063188</v>
      </c>
    </row>
    <row r="30" spans="1:2" x14ac:dyDescent="0.35">
      <c r="A30" s="50" t="s">
        <v>1958</v>
      </c>
      <c r="B30" s="430">
        <v>0.34442332291948208</v>
      </c>
    </row>
    <row r="31" spans="1:2" x14ac:dyDescent="0.35">
      <c r="A31" s="50" t="s">
        <v>1957</v>
      </c>
      <c r="B31" s="430">
        <v>78.843445463081238</v>
      </c>
    </row>
    <row r="32" spans="1:2" x14ac:dyDescent="0.35">
      <c r="A32" s="50" t="s">
        <v>1956</v>
      </c>
      <c r="B32" s="430">
        <v>0.75175651852899505</v>
      </c>
    </row>
    <row r="33" spans="1:6" x14ac:dyDescent="0.35">
      <c r="A33" s="50" t="s">
        <v>1955</v>
      </c>
      <c r="B33" s="462">
        <v>48010.902094964717</v>
      </c>
    </row>
    <row r="34" spans="1:6" x14ac:dyDescent="0.35">
      <c r="A34" s="55" t="s">
        <v>1954</v>
      </c>
      <c r="B34" s="461">
        <v>0.26316673511068056</v>
      </c>
    </row>
    <row r="35" spans="1:6" x14ac:dyDescent="0.35">
      <c r="A35" s="50" t="s">
        <v>1953</v>
      </c>
      <c r="B35" s="430">
        <v>1.82404531521527</v>
      </c>
    </row>
    <row r="36" spans="1:6" x14ac:dyDescent="0.35">
      <c r="A36" s="50" t="s">
        <v>1952</v>
      </c>
      <c r="B36" s="430">
        <v>7.3622284798298807</v>
      </c>
    </row>
    <row r="37" spans="1:6" x14ac:dyDescent="0.35">
      <c r="A37" s="50" t="s">
        <v>1951</v>
      </c>
      <c r="B37" s="430">
        <v>1.0794337289447915</v>
      </c>
    </row>
    <row r="38" spans="1:6" x14ac:dyDescent="0.35">
      <c r="A38" s="50" t="s">
        <v>1950</v>
      </c>
      <c r="B38" s="430">
        <v>0.77252847878833319</v>
      </c>
    </row>
    <row r="39" spans="1:6" x14ac:dyDescent="0.35">
      <c r="A39" s="50" t="s">
        <v>1949</v>
      </c>
      <c r="B39" s="460">
        <v>39.389852314917157</v>
      </c>
    </row>
    <row r="40" spans="1:6" x14ac:dyDescent="0.35">
      <c r="A40" s="50" t="s">
        <v>1948</v>
      </c>
      <c r="B40" s="460">
        <v>3.8056078482825377E-2</v>
      </c>
    </row>
    <row r="41" spans="1:6" x14ac:dyDescent="0.35">
      <c r="A41" s="46" t="s">
        <v>1947</v>
      </c>
      <c r="B41" s="459">
        <v>8.6801390180444735E-2</v>
      </c>
    </row>
    <row r="42" spans="1:6" x14ac:dyDescent="0.35">
      <c r="A42" s="216"/>
      <c r="B42" s="458"/>
    </row>
    <row r="43" spans="1:6" ht="13.9" x14ac:dyDescent="0.4">
      <c r="A43" s="72" t="s">
        <v>1734</v>
      </c>
    </row>
    <row r="44" spans="1:6" x14ac:dyDescent="0.35">
      <c r="A44" s="61" t="s">
        <v>1717</v>
      </c>
      <c r="B44" s="417">
        <v>1</v>
      </c>
    </row>
    <row r="45" spans="1:6" x14ac:dyDescent="0.35">
      <c r="A45" s="59" t="s">
        <v>1909</v>
      </c>
      <c r="B45" s="196">
        <v>1</v>
      </c>
    </row>
    <row r="46" spans="1:6" x14ac:dyDescent="0.35">
      <c r="A46" s="59" t="s">
        <v>1946</v>
      </c>
      <c r="B46" s="457">
        <v>0</v>
      </c>
    </row>
    <row r="47" spans="1:6" x14ac:dyDescent="0.35">
      <c r="A47" s="59" t="s">
        <v>1703</v>
      </c>
      <c r="B47" s="196">
        <v>1</v>
      </c>
    </row>
    <row r="48" spans="1:6" x14ac:dyDescent="0.35">
      <c r="A48" s="59" t="s">
        <v>1945</v>
      </c>
      <c r="B48" s="457">
        <v>1</v>
      </c>
      <c r="F48" s="297"/>
    </row>
    <row r="49" spans="1:19" x14ac:dyDescent="0.35">
      <c r="A49" s="59" t="s">
        <v>1944</v>
      </c>
      <c r="B49" s="457">
        <v>0</v>
      </c>
      <c r="F49" s="297"/>
    </row>
    <row r="50" spans="1:19" x14ac:dyDescent="0.35">
      <c r="A50" s="59" t="s">
        <v>1943</v>
      </c>
      <c r="B50" s="457">
        <v>0</v>
      </c>
      <c r="F50" s="297"/>
    </row>
    <row r="51" spans="1:19" x14ac:dyDescent="0.35">
      <c r="A51" s="57" t="s">
        <v>1942</v>
      </c>
      <c r="B51" s="323">
        <v>1</v>
      </c>
      <c r="F51" s="297"/>
    </row>
    <row r="52" spans="1:19" x14ac:dyDescent="0.35">
      <c r="F52" s="297"/>
    </row>
    <row r="53" spans="1:19" ht="13.9" x14ac:dyDescent="0.4">
      <c r="A53" s="72" t="s">
        <v>1701</v>
      </c>
    </row>
    <row r="54" spans="1:19" ht="36.75" customHeight="1" x14ac:dyDescent="0.4">
      <c r="A54" s="61"/>
      <c r="B54" s="2191" t="s">
        <v>1318</v>
      </c>
      <c r="C54" s="2192"/>
      <c r="D54" s="2196" t="s">
        <v>1317</v>
      </c>
      <c r="E54" s="2196"/>
      <c r="F54" s="2191" t="s">
        <v>1316</v>
      </c>
      <c r="G54" s="2192"/>
      <c r="H54" s="2196" t="s">
        <v>1315</v>
      </c>
      <c r="I54" s="2196"/>
      <c r="J54" s="2191" t="s">
        <v>1314</v>
      </c>
      <c r="K54" s="2192"/>
      <c r="L54" s="2196" t="s">
        <v>1941</v>
      </c>
      <c r="M54" s="2196"/>
      <c r="N54" s="2191" t="s">
        <v>1312</v>
      </c>
      <c r="O54" s="2192"/>
      <c r="P54" s="2191" t="s">
        <v>1311</v>
      </c>
      <c r="Q54" s="2192"/>
      <c r="R54" s="2196" t="s">
        <v>1310</v>
      </c>
      <c r="S54" s="2192"/>
    </row>
    <row r="55" spans="1:19" ht="68.099999999999994" customHeight="1" x14ac:dyDescent="0.35">
      <c r="A55" s="59"/>
      <c r="B55" s="248" t="s">
        <v>1674</v>
      </c>
      <c r="C55" s="246" t="s">
        <v>1673</v>
      </c>
      <c r="D55" s="247" t="s">
        <v>1674</v>
      </c>
      <c r="E55" s="247" t="s">
        <v>1673</v>
      </c>
      <c r="F55" s="248" t="s">
        <v>1674</v>
      </c>
      <c r="G55" s="246" t="s">
        <v>1673</v>
      </c>
      <c r="H55" s="247" t="s">
        <v>1674</v>
      </c>
      <c r="I55" s="247" t="s">
        <v>1673</v>
      </c>
      <c r="J55" s="248" t="s">
        <v>1674</v>
      </c>
      <c r="K55" s="246" t="s">
        <v>1673</v>
      </c>
      <c r="L55" s="247" t="s">
        <v>1674</v>
      </c>
      <c r="M55" s="247" t="s">
        <v>1673</v>
      </c>
      <c r="N55" s="248" t="s">
        <v>1674</v>
      </c>
      <c r="O55" s="246" t="s">
        <v>1673</v>
      </c>
      <c r="P55" s="248" t="s">
        <v>1674</v>
      </c>
      <c r="Q55" s="246" t="s">
        <v>1673</v>
      </c>
      <c r="R55" s="247" t="s">
        <v>1674</v>
      </c>
      <c r="S55" s="246" t="s">
        <v>1673</v>
      </c>
    </row>
    <row r="56" spans="1:19" ht="26.25" x14ac:dyDescent="0.4">
      <c r="A56" s="414" t="s">
        <v>1940</v>
      </c>
      <c r="B56" s="456">
        <v>0.57699999999999996</v>
      </c>
      <c r="C56" s="60"/>
      <c r="D56" s="455">
        <v>17.835000000000001</v>
      </c>
      <c r="E56" s="101"/>
      <c r="F56" s="456">
        <v>1.486</v>
      </c>
      <c r="G56" s="60"/>
      <c r="H56" s="455">
        <v>46.777999999999999</v>
      </c>
      <c r="I56" s="101"/>
      <c r="J56" s="456">
        <v>1.006</v>
      </c>
      <c r="K56" s="60"/>
      <c r="L56" s="455">
        <v>1.0920000000000001</v>
      </c>
      <c r="M56" s="101"/>
      <c r="N56" s="456">
        <v>4.46</v>
      </c>
      <c r="O56" s="60"/>
      <c r="P56" s="456">
        <v>7.569</v>
      </c>
      <c r="Q56" s="60"/>
      <c r="R56" s="455">
        <v>0.54</v>
      </c>
      <c r="S56" s="60"/>
    </row>
    <row r="57" spans="1:19" ht="13.15" x14ac:dyDescent="0.4">
      <c r="A57" s="454" t="s">
        <v>1671</v>
      </c>
      <c r="B57" s="412">
        <v>0</v>
      </c>
      <c r="C57" s="100"/>
      <c r="D57" s="194">
        <v>0</v>
      </c>
      <c r="E57" s="77"/>
      <c r="F57" s="412">
        <v>0</v>
      </c>
      <c r="G57" s="100"/>
      <c r="H57" s="194">
        <v>0</v>
      </c>
      <c r="I57" s="77"/>
      <c r="J57" s="412">
        <v>0</v>
      </c>
      <c r="K57" s="100"/>
      <c r="L57" s="194">
        <v>0</v>
      </c>
      <c r="M57" s="77"/>
      <c r="N57" s="412">
        <v>0</v>
      </c>
      <c r="O57" s="100"/>
      <c r="P57" s="412">
        <v>0</v>
      </c>
      <c r="Q57" s="100"/>
      <c r="R57" s="194">
        <v>0</v>
      </c>
      <c r="S57" s="100"/>
    </row>
    <row r="58" spans="1:19" ht="13.15" x14ac:dyDescent="0.4">
      <c r="A58" s="131" t="s">
        <v>1670</v>
      </c>
      <c r="B58" s="59"/>
      <c r="C58" s="99"/>
      <c r="F58" s="59"/>
      <c r="G58" s="99"/>
      <c r="J58" s="59"/>
      <c r="K58" s="99"/>
      <c r="N58" s="59"/>
      <c r="O58" s="99"/>
      <c r="P58" s="59"/>
      <c r="Q58" s="99"/>
      <c r="S58" s="99"/>
    </row>
    <row r="59" spans="1:19" x14ac:dyDescent="0.35">
      <c r="A59" s="59" t="s">
        <v>1668</v>
      </c>
      <c r="B59" s="59">
        <v>0.37</v>
      </c>
      <c r="C59" s="99"/>
      <c r="D59" s="39">
        <v>0.16500000000000001</v>
      </c>
      <c r="F59" s="59">
        <v>0.35099999999999998</v>
      </c>
      <c r="G59" s="99"/>
      <c r="H59" s="39">
        <v>0</v>
      </c>
      <c r="J59" s="59">
        <v>0.105</v>
      </c>
      <c r="K59" s="99"/>
      <c r="L59" s="39">
        <v>0</v>
      </c>
      <c r="N59" s="59">
        <v>0</v>
      </c>
      <c r="O59" s="99"/>
      <c r="P59" s="59">
        <v>0</v>
      </c>
      <c r="Q59" s="99"/>
      <c r="R59" s="39">
        <v>0</v>
      </c>
      <c r="S59" s="99"/>
    </row>
    <row r="60" spans="1:19" x14ac:dyDescent="0.35">
      <c r="A60" s="59" t="s">
        <v>1667</v>
      </c>
      <c r="B60" s="59">
        <v>0.60299999999999998</v>
      </c>
      <c r="C60" s="99" t="s">
        <v>1939</v>
      </c>
      <c r="D60" s="39">
        <v>0</v>
      </c>
      <c r="F60" s="59">
        <v>6.4000000000000001E-2</v>
      </c>
      <c r="G60" s="99"/>
      <c r="H60" s="39">
        <v>0</v>
      </c>
      <c r="J60" s="59">
        <v>2.9000000000000001E-2</v>
      </c>
      <c r="K60" s="99"/>
      <c r="L60" s="39">
        <v>0</v>
      </c>
      <c r="M60" s="39" t="s">
        <v>1939</v>
      </c>
      <c r="N60" s="59">
        <v>0</v>
      </c>
      <c r="O60" s="99"/>
      <c r="P60" s="59">
        <v>0</v>
      </c>
      <c r="Q60" s="99"/>
      <c r="R60" s="39">
        <v>0</v>
      </c>
      <c r="S60" s="99"/>
    </row>
    <row r="61" spans="1:19" x14ac:dyDescent="0.35">
      <c r="A61" s="59" t="s">
        <v>1666</v>
      </c>
      <c r="B61" s="59">
        <v>0</v>
      </c>
      <c r="C61" s="99"/>
      <c r="D61" s="39">
        <v>0</v>
      </c>
      <c r="F61" s="59">
        <v>0</v>
      </c>
      <c r="G61" s="99"/>
      <c r="H61" s="39">
        <v>0</v>
      </c>
      <c r="J61" s="59">
        <v>0</v>
      </c>
      <c r="K61" s="99"/>
      <c r="L61" s="39">
        <v>0</v>
      </c>
      <c r="N61" s="59">
        <v>0</v>
      </c>
      <c r="O61" s="99"/>
      <c r="P61" s="59">
        <v>0</v>
      </c>
      <c r="Q61" s="99"/>
      <c r="R61" s="39">
        <v>0</v>
      </c>
      <c r="S61" s="99"/>
    </row>
    <row r="62" spans="1:19" x14ac:dyDescent="0.35">
      <c r="A62" s="59" t="s">
        <v>1534</v>
      </c>
      <c r="B62" s="59">
        <v>0</v>
      </c>
      <c r="C62" s="99"/>
      <c r="D62" s="39">
        <v>0.72399999999999998</v>
      </c>
      <c r="F62" s="59">
        <v>0.47499999999999998</v>
      </c>
      <c r="G62" s="99"/>
      <c r="H62" s="39">
        <v>0</v>
      </c>
      <c r="J62" s="59">
        <v>0.65500000000000003</v>
      </c>
      <c r="K62" s="99"/>
      <c r="L62" s="39">
        <v>0.68400000000000005</v>
      </c>
      <c r="N62" s="59">
        <v>0.92300000000000004</v>
      </c>
      <c r="O62" s="99"/>
      <c r="P62" s="59">
        <v>1</v>
      </c>
      <c r="Q62" s="99"/>
      <c r="R62" s="39">
        <v>0</v>
      </c>
      <c r="S62" s="99"/>
    </row>
    <row r="63" spans="1:19" x14ac:dyDescent="0.35">
      <c r="A63" s="59" t="s">
        <v>1535</v>
      </c>
      <c r="B63" s="59">
        <v>0</v>
      </c>
      <c r="C63" s="99"/>
      <c r="D63" s="39">
        <v>7.4999999999999997E-2</v>
      </c>
      <c r="F63" s="59">
        <v>0</v>
      </c>
      <c r="G63" s="99"/>
      <c r="H63" s="39">
        <v>0</v>
      </c>
      <c r="J63" s="59">
        <v>0</v>
      </c>
      <c r="K63" s="99"/>
      <c r="L63" s="39">
        <v>0</v>
      </c>
      <c r="N63" s="59">
        <v>0</v>
      </c>
      <c r="O63" s="99"/>
      <c r="P63" s="59">
        <v>0</v>
      </c>
      <c r="Q63" s="99"/>
      <c r="R63" s="39">
        <v>0</v>
      </c>
      <c r="S63" s="99"/>
    </row>
    <row r="64" spans="1:19" x14ac:dyDescent="0.35">
      <c r="A64" s="59" t="s">
        <v>1936</v>
      </c>
      <c r="B64" s="59">
        <v>0</v>
      </c>
      <c r="C64" s="99"/>
      <c r="D64" s="39">
        <v>0</v>
      </c>
      <c r="F64" s="59">
        <v>0</v>
      </c>
      <c r="G64" s="99"/>
      <c r="H64" s="39">
        <v>0</v>
      </c>
      <c r="J64" s="59">
        <v>3.0000000000000001E-3</v>
      </c>
      <c r="K64" s="99"/>
      <c r="L64" s="39">
        <v>0</v>
      </c>
      <c r="N64" s="59">
        <v>0</v>
      </c>
      <c r="O64" s="99"/>
      <c r="P64" s="59">
        <v>0</v>
      </c>
      <c r="Q64" s="99"/>
      <c r="R64" s="39">
        <v>0</v>
      </c>
      <c r="S64" s="99"/>
    </row>
    <row r="65" spans="1:19" x14ac:dyDescent="0.35">
      <c r="A65" s="59" t="s">
        <v>1664</v>
      </c>
      <c r="B65" s="413">
        <v>2.7000000000000024E-2</v>
      </c>
      <c r="C65" s="99"/>
      <c r="D65" s="197">
        <v>3.6000000000000032E-2</v>
      </c>
      <c r="F65" s="413">
        <v>0.1100000000000001</v>
      </c>
      <c r="G65" s="99"/>
      <c r="H65" s="197">
        <v>1</v>
      </c>
      <c r="J65" s="413">
        <v>0.20799999999999996</v>
      </c>
      <c r="K65" s="99"/>
      <c r="L65" s="197">
        <v>0.31599999999999995</v>
      </c>
      <c r="N65" s="413">
        <v>7.6999999999999957E-2</v>
      </c>
      <c r="O65" s="99"/>
      <c r="P65" s="413">
        <v>0</v>
      </c>
      <c r="Q65" s="196"/>
      <c r="R65" s="197">
        <v>1</v>
      </c>
      <c r="S65" s="196"/>
    </row>
    <row r="66" spans="1:19" ht="26.25" x14ac:dyDescent="0.4">
      <c r="A66" s="414" t="s">
        <v>1938</v>
      </c>
      <c r="B66" s="61"/>
      <c r="C66" s="60"/>
      <c r="D66" s="101"/>
      <c r="E66" s="101"/>
      <c r="F66" s="61"/>
      <c r="G66" s="60"/>
      <c r="H66" s="101"/>
      <c r="I66" s="101"/>
      <c r="J66" s="61"/>
      <c r="K66" s="60"/>
      <c r="L66" s="101"/>
      <c r="M66" s="101"/>
      <c r="N66" s="61"/>
      <c r="O66" s="60"/>
      <c r="P66" s="61"/>
      <c r="Q66" s="60"/>
      <c r="R66" s="101"/>
      <c r="S66" s="60"/>
    </row>
    <row r="67" spans="1:19" x14ac:dyDescent="0.35">
      <c r="A67" s="59" t="s">
        <v>1668</v>
      </c>
      <c r="B67" s="452">
        <v>0.21348999999999999</v>
      </c>
      <c r="C67" s="99"/>
      <c r="D67" s="453">
        <v>2.9427750000000001</v>
      </c>
      <c r="F67" s="452">
        <v>0.52158599999999999</v>
      </c>
      <c r="G67" s="99"/>
      <c r="H67" s="453">
        <v>0</v>
      </c>
      <c r="J67" s="452">
        <v>0.10563</v>
      </c>
      <c r="K67" s="99"/>
      <c r="L67" s="453">
        <v>0</v>
      </c>
      <c r="N67" s="452">
        <v>0</v>
      </c>
      <c r="O67" s="99"/>
      <c r="P67" s="452">
        <v>0</v>
      </c>
      <c r="Q67" s="99"/>
      <c r="R67" s="453">
        <v>0</v>
      </c>
      <c r="S67" s="99"/>
    </row>
    <row r="68" spans="1:19" x14ac:dyDescent="0.35">
      <c r="A68" s="59" t="s">
        <v>1667</v>
      </c>
      <c r="B68" s="452">
        <v>0.34793099999999999</v>
      </c>
      <c r="C68" s="99"/>
      <c r="D68" s="453">
        <v>0</v>
      </c>
      <c r="F68" s="452">
        <v>9.5104000000000008E-2</v>
      </c>
      <c r="G68" s="99"/>
      <c r="H68" s="453">
        <v>0</v>
      </c>
      <c r="J68" s="452">
        <v>2.9174000000000002E-2</v>
      </c>
      <c r="K68" s="99"/>
      <c r="L68" s="453">
        <v>0</v>
      </c>
      <c r="N68" s="452">
        <v>0</v>
      </c>
      <c r="O68" s="99"/>
      <c r="P68" s="452">
        <v>0</v>
      </c>
      <c r="Q68" s="99"/>
      <c r="R68" s="453">
        <v>0</v>
      </c>
      <c r="S68" s="99"/>
    </row>
    <row r="69" spans="1:19" x14ac:dyDescent="0.35">
      <c r="A69" s="59" t="s">
        <v>1666</v>
      </c>
      <c r="B69" s="452">
        <v>0</v>
      </c>
      <c r="C69" s="99"/>
      <c r="D69" s="453">
        <v>0</v>
      </c>
      <c r="F69" s="452">
        <v>0</v>
      </c>
      <c r="G69" s="99"/>
      <c r="H69" s="453">
        <v>0</v>
      </c>
      <c r="J69" s="452">
        <v>0</v>
      </c>
      <c r="K69" s="99"/>
      <c r="L69" s="453">
        <v>0</v>
      </c>
      <c r="N69" s="452">
        <v>0</v>
      </c>
      <c r="O69" s="99"/>
      <c r="P69" s="452">
        <v>0</v>
      </c>
      <c r="Q69" s="99"/>
      <c r="R69" s="453">
        <v>0</v>
      </c>
      <c r="S69" s="99"/>
    </row>
    <row r="70" spans="1:19" x14ac:dyDescent="0.35">
      <c r="A70" s="59" t="s">
        <v>1937</v>
      </c>
      <c r="B70" s="452">
        <v>0</v>
      </c>
      <c r="C70" s="99"/>
      <c r="D70" s="453">
        <v>12.91254</v>
      </c>
      <c r="F70" s="452">
        <v>0.70584999999999998</v>
      </c>
      <c r="G70" s="99"/>
      <c r="H70" s="453">
        <v>0</v>
      </c>
      <c r="J70" s="452">
        <v>0.65893000000000002</v>
      </c>
      <c r="K70" s="99"/>
      <c r="L70" s="453">
        <v>0.74692800000000015</v>
      </c>
      <c r="N70" s="452">
        <v>4.1165799999999999</v>
      </c>
      <c r="O70" s="99"/>
      <c r="P70" s="452">
        <v>7.569</v>
      </c>
      <c r="Q70" s="99"/>
      <c r="R70" s="453">
        <v>0</v>
      </c>
      <c r="S70" s="99"/>
    </row>
    <row r="71" spans="1:19" x14ac:dyDescent="0.35">
      <c r="A71" s="59" t="s">
        <v>1535</v>
      </c>
      <c r="B71" s="452">
        <v>0</v>
      </c>
      <c r="C71" s="99"/>
      <c r="D71" s="453">
        <v>1.3376250000000001</v>
      </c>
      <c r="F71" s="452">
        <v>0</v>
      </c>
      <c r="G71" s="99"/>
      <c r="H71" s="453">
        <v>0</v>
      </c>
      <c r="J71" s="452">
        <v>0</v>
      </c>
      <c r="K71" s="99"/>
      <c r="L71" s="453">
        <v>0</v>
      </c>
      <c r="N71" s="452">
        <v>0</v>
      </c>
      <c r="O71" s="99"/>
      <c r="P71" s="452">
        <v>0</v>
      </c>
      <c r="Q71" s="99"/>
      <c r="R71" s="453">
        <v>0</v>
      </c>
      <c r="S71" s="99"/>
    </row>
    <row r="72" spans="1:19" x14ac:dyDescent="0.35">
      <c r="A72" s="59" t="s">
        <v>1936</v>
      </c>
      <c r="B72" s="452">
        <v>0</v>
      </c>
      <c r="C72" s="99"/>
      <c r="D72" s="453">
        <v>0</v>
      </c>
      <c r="F72" s="452">
        <v>0</v>
      </c>
      <c r="G72" s="99"/>
      <c r="H72" s="453">
        <v>0</v>
      </c>
      <c r="J72" s="452">
        <v>3.0180000000000003E-3</v>
      </c>
      <c r="K72" s="99"/>
      <c r="L72" s="453">
        <v>0</v>
      </c>
      <c r="N72" s="452">
        <v>0</v>
      </c>
      <c r="O72" s="99"/>
      <c r="P72" s="452">
        <v>0</v>
      </c>
      <c r="Q72" s="99"/>
      <c r="R72" s="453">
        <v>0</v>
      </c>
      <c r="S72" s="99"/>
    </row>
    <row r="73" spans="1:19" x14ac:dyDescent="0.35">
      <c r="A73" s="59" t="s">
        <v>1664</v>
      </c>
      <c r="B73" s="452">
        <v>1.5579000000000013E-2</v>
      </c>
      <c r="C73" s="99"/>
      <c r="D73" s="453">
        <v>0.64206000000000063</v>
      </c>
      <c r="F73" s="452">
        <v>0.16346000000000013</v>
      </c>
      <c r="G73" s="99"/>
      <c r="H73" s="453">
        <v>46.777999999999999</v>
      </c>
      <c r="J73" s="452">
        <v>0.20924799999999996</v>
      </c>
      <c r="K73" s="99"/>
      <c r="L73" s="453">
        <v>0.34507199999999999</v>
      </c>
      <c r="N73" s="452">
        <v>0.34341999999999978</v>
      </c>
      <c r="O73" s="99"/>
      <c r="P73" s="452">
        <v>0</v>
      </c>
      <c r="Q73" s="99"/>
      <c r="R73" s="453">
        <v>0.54</v>
      </c>
      <c r="S73" s="99"/>
    </row>
    <row r="74" spans="1:19" x14ac:dyDescent="0.35">
      <c r="A74" s="59" t="s">
        <v>1935</v>
      </c>
      <c r="B74" s="452"/>
      <c r="C74" s="99"/>
      <c r="D74" s="39">
        <v>0.30599999999999999</v>
      </c>
      <c r="F74" s="59"/>
      <c r="G74" s="99"/>
      <c r="J74" s="59"/>
      <c r="K74" s="99"/>
      <c r="N74" s="59">
        <v>3.836E-4</v>
      </c>
      <c r="O74" s="99"/>
      <c r="P74" s="59"/>
      <c r="Q74" s="99"/>
      <c r="S74" s="99"/>
    </row>
    <row r="75" spans="1:19" x14ac:dyDescent="0.35">
      <c r="A75" s="59" t="s">
        <v>1934</v>
      </c>
      <c r="B75" s="452"/>
      <c r="C75" s="99"/>
      <c r="D75" s="39">
        <v>7.8E-2</v>
      </c>
      <c r="F75" s="59"/>
      <c r="G75" s="99"/>
      <c r="J75" s="59"/>
      <c r="K75" s="99"/>
      <c r="L75" s="39">
        <v>8.9599999999999999E-4</v>
      </c>
      <c r="N75" s="59">
        <v>3.9871999999999998E-3</v>
      </c>
      <c r="O75" s="99"/>
      <c r="P75" s="59"/>
      <c r="Q75" s="99"/>
      <c r="S75" s="99"/>
    </row>
    <row r="76" spans="1:19" x14ac:dyDescent="0.35">
      <c r="A76" s="59" t="s">
        <v>1933</v>
      </c>
      <c r="B76" s="59"/>
      <c r="C76" s="99"/>
      <c r="F76" s="59">
        <v>0.28599999999999998</v>
      </c>
      <c r="G76" s="99"/>
      <c r="J76" s="59"/>
      <c r="K76" s="99"/>
      <c r="N76" s="59"/>
      <c r="O76" s="99"/>
      <c r="P76" s="59"/>
      <c r="Q76" s="99"/>
      <c r="S76" s="99"/>
    </row>
    <row r="77" spans="1:19" x14ac:dyDescent="0.35">
      <c r="A77" s="59" t="s">
        <v>1932</v>
      </c>
      <c r="B77" s="451"/>
      <c r="C77" s="99"/>
      <c r="F77" s="59">
        <v>6.3E-2</v>
      </c>
      <c r="G77" s="99"/>
      <c r="H77" s="39">
        <v>6.0000000000000001E-3</v>
      </c>
      <c r="J77" s="59"/>
      <c r="K77" s="99"/>
      <c r="N77" s="59"/>
      <c r="O77" s="99"/>
      <c r="P77" s="59"/>
      <c r="Q77" s="99"/>
      <c r="S77" s="99"/>
    </row>
    <row r="78" spans="1:19" x14ac:dyDescent="0.35">
      <c r="A78" s="59" t="s">
        <v>1931</v>
      </c>
      <c r="B78" s="451"/>
      <c r="C78" s="99"/>
      <c r="F78" s="59">
        <v>3.0000000000000001E-3</v>
      </c>
      <c r="G78" s="99"/>
      <c r="H78" s="39">
        <v>4.0000000000000001E-3</v>
      </c>
      <c r="J78" s="59"/>
      <c r="K78" s="99"/>
      <c r="N78" s="59">
        <v>9.1299999999999997E-5</v>
      </c>
      <c r="O78" s="99"/>
      <c r="P78" s="59"/>
      <c r="Q78" s="99"/>
      <c r="S78" s="99"/>
    </row>
    <row r="79" spans="1:19" x14ac:dyDescent="0.35">
      <c r="A79" s="59" t="s">
        <v>1930</v>
      </c>
      <c r="B79" s="59"/>
      <c r="C79" s="99"/>
      <c r="F79" s="59"/>
      <c r="G79" s="99"/>
      <c r="J79" s="59"/>
      <c r="K79" s="99"/>
      <c r="N79" s="59">
        <v>7.9923300000000003E-2</v>
      </c>
      <c r="O79" s="99"/>
      <c r="P79" s="59"/>
      <c r="Q79" s="99"/>
      <c r="S79" s="99"/>
    </row>
    <row r="80" spans="1:19" x14ac:dyDescent="0.35">
      <c r="A80" s="61" t="s">
        <v>1537</v>
      </c>
      <c r="B80" s="237">
        <v>0.69578218556264471</v>
      </c>
      <c r="C80" s="156"/>
      <c r="D80" s="157">
        <v>24.90561337275226</v>
      </c>
      <c r="E80" s="157"/>
      <c r="F80" s="237">
        <v>12.78947536426803</v>
      </c>
      <c r="G80" s="156"/>
      <c r="H80" s="157">
        <v>64.739574004756648</v>
      </c>
      <c r="I80" s="157"/>
      <c r="J80" s="237">
        <v>1.3197239743574714</v>
      </c>
      <c r="K80" s="156"/>
      <c r="L80" s="157">
        <v>1.5422071152040491</v>
      </c>
      <c r="M80" s="157"/>
      <c r="N80" s="237">
        <v>13.786008070340351</v>
      </c>
      <c r="O80" s="156"/>
      <c r="P80" s="237">
        <v>8.3417603654635961</v>
      </c>
      <c r="Q80" s="156"/>
      <c r="R80" s="157">
        <v>1.1191778286585157</v>
      </c>
      <c r="S80" s="156"/>
    </row>
    <row r="81" spans="1:19" x14ac:dyDescent="0.35">
      <c r="A81" s="59" t="s">
        <v>1536</v>
      </c>
      <c r="B81" s="232">
        <v>0.6863782306550007</v>
      </c>
      <c r="C81" s="144"/>
      <c r="D81" s="145">
        <v>24.191540149571509</v>
      </c>
      <c r="E81" s="145"/>
      <c r="F81" s="232">
        <v>12.66658646095415</v>
      </c>
      <c r="G81" s="144"/>
      <c r="H81" s="145">
        <v>24.576879742536089</v>
      </c>
      <c r="I81" s="145"/>
      <c r="J81" s="232">
        <v>1.2353469476313939</v>
      </c>
      <c r="K81" s="144"/>
      <c r="L81" s="145">
        <v>1.4044342406087105</v>
      </c>
      <c r="M81" s="145"/>
      <c r="N81" s="232">
        <v>10.295716854109276</v>
      </c>
      <c r="O81" s="144"/>
      <c r="P81" s="232">
        <v>8.3364156788831707</v>
      </c>
      <c r="Q81" s="144"/>
      <c r="R81" s="145">
        <v>0.90451748004182386</v>
      </c>
      <c r="S81" s="144"/>
    </row>
    <row r="82" spans="1:19" x14ac:dyDescent="0.35">
      <c r="A82" s="59" t="s">
        <v>1535</v>
      </c>
      <c r="B82" s="232">
        <v>2.2502787392071861E-2</v>
      </c>
      <c r="C82" s="144"/>
      <c r="D82" s="145">
        <v>3.4131832751350699</v>
      </c>
      <c r="E82" s="145"/>
      <c r="F82" s="232">
        <v>2.13827879072196</v>
      </c>
      <c r="G82" s="144"/>
      <c r="H82" s="145">
        <v>19.825174329003818</v>
      </c>
      <c r="I82" s="145"/>
      <c r="J82" s="232">
        <v>0.20369475413410845</v>
      </c>
      <c r="K82" s="144"/>
      <c r="L82" s="145">
        <v>0.33571516825618758</v>
      </c>
      <c r="M82" s="145"/>
      <c r="N82" s="232">
        <v>2.4408429027046834</v>
      </c>
      <c r="O82" s="144"/>
      <c r="P82" s="232">
        <v>1.2895269183502679E-2</v>
      </c>
      <c r="Q82" s="144"/>
      <c r="R82" s="145">
        <v>0.51834011715940109</v>
      </c>
      <c r="S82" s="144"/>
    </row>
    <row r="83" spans="1:19" x14ac:dyDescent="0.35">
      <c r="A83" s="59" t="s">
        <v>1534</v>
      </c>
      <c r="B83" s="232">
        <v>7.4613856082037633E-2</v>
      </c>
      <c r="C83" s="144"/>
      <c r="D83" s="145">
        <v>17.430183470668545</v>
      </c>
      <c r="E83" s="145"/>
      <c r="F83" s="232">
        <v>1.7029057887189509</v>
      </c>
      <c r="G83" s="144"/>
      <c r="H83" s="145">
        <v>4.4328861283801952</v>
      </c>
      <c r="I83" s="145"/>
      <c r="J83" s="232">
        <v>0.8800979234403381</v>
      </c>
      <c r="K83" s="144"/>
      <c r="L83" s="145">
        <v>1.054230760125509</v>
      </c>
      <c r="M83" s="145"/>
      <c r="N83" s="232">
        <v>6.7473363205133694</v>
      </c>
      <c r="O83" s="144"/>
      <c r="P83" s="232">
        <v>8.2927993623321452</v>
      </c>
      <c r="Q83" s="144"/>
      <c r="R83" s="145">
        <v>0.36856356347211322</v>
      </c>
      <c r="S83" s="144"/>
    </row>
    <row r="84" spans="1:19" x14ac:dyDescent="0.35">
      <c r="A84" s="57" t="s">
        <v>1533</v>
      </c>
      <c r="B84" s="231">
        <v>0.58926158718089117</v>
      </c>
      <c r="C84" s="141"/>
      <c r="D84" s="142">
        <v>3.3481734037678947</v>
      </c>
      <c r="E84" s="142"/>
      <c r="F84" s="231">
        <v>8.8254018815132387</v>
      </c>
      <c r="G84" s="141"/>
      <c r="H84" s="142">
        <v>0.31881928515207608</v>
      </c>
      <c r="I84" s="142"/>
      <c r="J84" s="231">
        <v>0.15155427005694724</v>
      </c>
      <c r="K84" s="141"/>
      <c r="L84" s="142">
        <v>1.4488312227013845E-2</v>
      </c>
      <c r="M84" s="142"/>
      <c r="N84" s="231">
        <v>1.1075376308912233</v>
      </c>
      <c r="O84" s="141"/>
      <c r="P84" s="231">
        <v>3.0721047367522281E-2</v>
      </c>
      <c r="Q84" s="141"/>
      <c r="R84" s="142">
        <v>1.7613799410309543E-2</v>
      </c>
      <c r="S84" s="141"/>
    </row>
    <row r="85" spans="1:19" x14ac:dyDescent="0.35">
      <c r="A85" s="91" t="s">
        <v>1532</v>
      </c>
      <c r="B85" s="290">
        <v>15.54187122742867</v>
      </c>
      <c r="C85" s="289">
        <v>1486</v>
      </c>
      <c r="D85" s="291">
        <v>3757.1161600328728</v>
      </c>
      <c r="E85" s="291">
        <v>824</v>
      </c>
      <c r="F85" s="290">
        <v>236.89752140180491</v>
      </c>
      <c r="G85" s="289">
        <v>11.3</v>
      </c>
      <c r="H85" s="291">
        <v>52612.886924507176</v>
      </c>
      <c r="I85" s="291">
        <v>57.5</v>
      </c>
      <c r="J85" s="290">
        <v>46.750446579834552</v>
      </c>
      <c r="K85" s="289">
        <v>55.1</v>
      </c>
      <c r="L85" s="291">
        <v>105.57597578023987</v>
      </c>
      <c r="M85" s="291">
        <v>0.105</v>
      </c>
      <c r="N85" s="290">
        <v>5053.7545862339002</v>
      </c>
      <c r="O85" s="289">
        <v>73.099999999999994</v>
      </c>
      <c r="P85" s="290">
        <v>24.276897287381267</v>
      </c>
      <c r="Q85" s="289"/>
      <c r="R85" s="291">
        <v>107.66448634965541</v>
      </c>
      <c r="S85" s="289"/>
    </row>
    <row r="86" spans="1:19" ht="13.15" x14ac:dyDescent="0.4">
      <c r="A86" s="128" t="s">
        <v>1929</v>
      </c>
      <c r="B86" s="450"/>
      <c r="C86" s="99"/>
      <c r="D86" s="403"/>
      <c r="F86" s="450"/>
      <c r="G86" s="99"/>
      <c r="H86" s="403"/>
      <c r="J86" s="450"/>
      <c r="K86" s="99"/>
      <c r="L86" s="403"/>
      <c r="M86" s="403"/>
      <c r="N86" s="450"/>
      <c r="O86" s="144"/>
      <c r="P86" s="450"/>
      <c r="Q86" s="402"/>
      <c r="R86" s="403"/>
      <c r="S86" s="402"/>
    </row>
    <row r="87" spans="1:19" x14ac:dyDescent="0.35">
      <c r="A87" s="59" t="s">
        <v>1525</v>
      </c>
      <c r="B87" s="232">
        <v>17.39555116112922</v>
      </c>
      <c r="C87" s="99"/>
      <c r="D87" s="145">
        <v>252.31020925280336</v>
      </c>
      <c r="E87" s="145"/>
      <c r="F87" s="232">
        <v>240.76707186293075</v>
      </c>
      <c r="G87" s="99"/>
      <c r="H87" s="145">
        <v>235.13544760407643</v>
      </c>
      <c r="J87" s="232">
        <v>12.676921755513046</v>
      </c>
      <c r="K87" s="99"/>
      <c r="L87" s="145">
        <v>14.883836709293696</v>
      </c>
      <c r="M87" s="145"/>
      <c r="N87" s="232">
        <v>120.59949984377305</v>
      </c>
      <c r="O87" s="144">
        <v>69.5541840445877</v>
      </c>
      <c r="P87" s="232">
        <v>97.349697941479405</v>
      </c>
      <c r="Q87" s="144"/>
      <c r="R87" s="145">
        <v>8.1297741741544964</v>
      </c>
      <c r="S87" s="144"/>
    </row>
    <row r="88" spans="1:19" x14ac:dyDescent="0.35">
      <c r="A88" s="59" t="s">
        <v>1524</v>
      </c>
      <c r="B88" s="232">
        <v>71.537633242355597</v>
      </c>
      <c r="C88" s="99"/>
      <c r="D88" s="145">
        <v>1082.9097124169582</v>
      </c>
      <c r="E88" s="145"/>
      <c r="F88" s="232">
        <v>334.13503528751454</v>
      </c>
      <c r="G88" s="144"/>
      <c r="H88" s="145">
        <v>456.69260429472183</v>
      </c>
      <c r="I88" s="145"/>
      <c r="J88" s="232">
        <v>69.222621982845311</v>
      </c>
      <c r="K88" s="144"/>
      <c r="L88" s="145">
        <v>55.379423401128193</v>
      </c>
      <c r="M88" s="145"/>
      <c r="N88" s="232">
        <v>405.51686623140017</v>
      </c>
      <c r="O88" s="144"/>
      <c r="P88" s="232">
        <v>410.22689932569284</v>
      </c>
      <c r="Q88" s="144"/>
      <c r="R88" s="145">
        <v>22.701840795959637</v>
      </c>
      <c r="S88" s="144"/>
    </row>
    <row r="89" spans="1:19" x14ac:dyDescent="0.35">
      <c r="A89" s="59" t="s">
        <v>1523</v>
      </c>
      <c r="B89" s="232">
        <v>203.31158579939336</v>
      </c>
      <c r="C89" s="144"/>
      <c r="D89" s="145">
        <v>2012.692049663699</v>
      </c>
      <c r="E89" s="145">
        <v>19.7257467877353</v>
      </c>
      <c r="F89" s="232">
        <v>631.83819869260253</v>
      </c>
      <c r="G89" s="144">
        <v>120.63789155888099</v>
      </c>
      <c r="H89" s="145">
        <v>1266.1072594554305</v>
      </c>
      <c r="I89" s="145">
        <v>235.87200000000001</v>
      </c>
      <c r="J89" s="232">
        <v>149.47849883499558</v>
      </c>
      <c r="K89" s="144">
        <v>26.6437206463393</v>
      </c>
      <c r="L89" s="145">
        <v>90.01995704909163</v>
      </c>
      <c r="M89" s="145"/>
      <c r="N89" s="232">
        <v>729.25398692107899</v>
      </c>
      <c r="O89" s="144">
        <v>42.750584953933597</v>
      </c>
      <c r="P89" s="232">
        <v>578.38789776551323</v>
      </c>
      <c r="Q89" s="144"/>
      <c r="R89" s="145">
        <v>50.986429198938531</v>
      </c>
      <c r="S89" s="144"/>
    </row>
    <row r="90" spans="1:19" x14ac:dyDescent="0.35">
      <c r="A90" s="59" t="s">
        <v>1522</v>
      </c>
      <c r="B90" s="232">
        <v>15.454046779799508</v>
      </c>
      <c r="C90" s="144">
        <v>852.21807889424099</v>
      </c>
      <c r="D90" s="145">
        <v>227.63766349879936</v>
      </c>
      <c r="E90" s="145">
        <v>790.78538038236002</v>
      </c>
      <c r="F90" s="232">
        <v>133.64409581811108</v>
      </c>
      <c r="G90" s="144">
        <v>72.040998192995104</v>
      </c>
      <c r="H90" s="145">
        <v>319.85264514486033</v>
      </c>
      <c r="I90" s="145">
        <v>1759.9680000000001</v>
      </c>
      <c r="J90" s="232">
        <v>11.807936487577422</v>
      </c>
      <c r="K90" s="144">
        <v>27.5105641596057</v>
      </c>
      <c r="L90" s="145">
        <v>8.9748632111711739</v>
      </c>
      <c r="M90" s="145"/>
      <c r="N90" s="232">
        <v>366.15796223572488</v>
      </c>
      <c r="O90" s="144">
        <v>242.20348557652301</v>
      </c>
      <c r="P90" s="232">
        <v>30.131554589980677</v>
      </c>
      <c r="Q90" s="144"/>
      <c r="R90" s="145">
        <v>9.2086631009111368</v>
      </c>
      <c r="S90" s="144"/>
    </row>
    <row r="91" spans="1:19" x14ac:dyDescent="0.35">
      <c r="A91" s="59" t="s">
        <v>1521</v>
      </c>
      <c r="B91" s="232">
        <v>10.814181555146488</v>
      </c>
      <c r="C91" s="144">
        <v>429.87896532000002</v>
      </c>
      <c r="D91" s="145">
        <v>137.87320534867823</v>
      </c>
      <c r="E91" s="145">
        <v>365.75929967151899</v>
      </c>
      <c r="F91" s="232">
        <v>69.887391684019406</v>
      </c>
      <c r="G91" s="144">
        <v>35.564012085509098</v>
      </c>
      <c r="H91" s="145">
        <v>131.04735516174441</v>
      </c>
      <c r="I91" s="145">
        <v>879.98400000000004</v>
      </c>
      <c r="J91" s="232">
        <v>7.6713793820201523</v>
      </c>
      <c r="K91" s="144">
        <v>12.752846743325099</v>
      </c>
      <c r="L91" s="145">
        <v>5.584263416255288</v>
      </c>
      <c r="M91" s="145"/>
      <c r="N91" s="232">
        <v>188.83595221620928</v>
      </c>
      <c r="O91" s="144">
        <v>113.880045576523</v>
      </c>
      <c r="P91" s="232">
        <v>29.738303230726128</v>
      </c>
      <c r="Q91" s="144"/>
      <c r="R91" s="145">
        <v>4.0077589473157325</v>
      </c>
      <c r="S91" s="144"/>
    </row>
    <row r="92" spans="1:19" x14ac:dyDescent="0.35">
      <c r="A92" s="59" t="s">
        <v>1520</v>
      </c>
      <c r="B92" s="232">
        <v>158.3024913329138</v>
      </c>
      <c r="C92" s="144"/>
      <c r="D92" s="145">
        <v>3536.3623351422198</v>
      </c>
      <c r="E92" s="145">
        <v>1465.61586624962</v>
      </c>
      <c r="F92" s="232">
        <v>783.36685969650216</v>
      </c>
      <c r="G92" s="144">
        <v>829.74927334021504</v>
      </c>
      <c r="H92" s="145">
        <v>5076.6135978529246</v>
      </c>
      <c r="I92" s="145">
        <v>13862.016</v>
      </c>
      <c r="J92" s="232">
        <v>135.70527237498848</v>
      </c>
      <c r="K92" s="144">
        <v>27.423201466832602</v>
      </c>
      <c r="L92" s="145">
        <v>97.518516381246926</v>
      </c>
      <c r="M92" s="145"/>
      <c r="N92" s="232">
        <v>2248.1797492581763</v>
      </c>
      <c r="O92" s="144">
        <v>20.458070685852899</v>
      </c>
      <c r="P92" s="232">
        <v>89.960311416225949</v>
      </c>
      <c r="Q92" s="144"/>
      <c r="R92" s="145">
        <v>138.46355384705083</v>
      </c>
      <c r="S92" s="144"/>
    </row>
    <row r="93" spans="1:19" x14ac:dyDescent="0.35">
      <c r="A93" s="59" t="s">
        <v>1519</v>
      </c>
      <c r="B93" s="232">
        <v>5.2462422392490584</v>
      </c>
      <c r="C93" s="144"/>
      <c r="D93" s="145">
        <v>16.347726164904138</v>
      </c>
      <c r="E93" s="145"/>
      <c r="F93" s="232">
        <v>7.7528540019330743</v>
      </c>
      <c r="G93" s="144"/>
      <c r="H93" s="145">
        <v>6.995264387263787</v>
      </c>
      <c r="I93" s="145"/>
      <c r="J93" s="232">
        <v>2.0137224005540699</v>
      </c>
      <c r="K93" s="144"/>
      <c r="L93" s="145">
        <v>0.72926684084866666</v>
      </c>
      <c r="M93" s="145"/>
      <c r="N93" s="232">
        <v>6.2799112070254273</v>
      </c>
      <c r="O93" s="144"/>
      <c r="P93" s="232">
        <v>5.3767537426761569</v>
      </c>
      <c r="Q93" s="144"/>
      <c r="R93" s="145">
        <v>0.29685163759722943</v>
      </c>
      <c r="S93" s="144"/>
    </row>
    <row r="94" spans="1:19" x14ac:dyDescent="0.35">
      <c r="A94" s="59" t="s">
        <v>1518</v>
      </c>
      <c r="B94" s="232">
        <v>1.7903048967636037</v>
      </c>
      <c r="C94" s="144"/>
      <c r="D94" s="145">
        <v>32.065684816412066</v>
      </c>
      <c r="E94" s="145"/>
      <c r="F94" s="232">
        <v>7.2567181536344201</v>
      </c>
      <c r="G94" s="144"/>
      <c r="H94" s="145">
        <v>16.252810886612249</v>
      </c>
      <c r="I94" s="145"/>
      <c r="J94" s="232">
        <v>1.7981411371324645</v>
      </c>
      <c r="K94" s="144"/>
      <c r="L94" s="145">
        <v>1.6936036602888893</v>
      </c>
      <c r="M94" s="145"/>
      <c r="N94" s="232">
        <v>12.135255874642619</v>
      </c>
      <c r="O94" s="144"/>
      <c r="P94" s="232">
        <v>12.505291418628374</v>
      </c>
      <c r="Q94" s="144"/>
      <c r="R94" s="145">
        <v>0.69689332857486319</v>
      </c>
      <c r="S94" s="144"/>
    </row>
    <row r="95" spans="1:19" x14ac:dyDescent="0.35">
      <c r="A95" s="59" t="s">
        <v>1531</v>
      </c>
      <c r="B95" s="232">
        <v>67.575560403884509</v>
      </c>
      <c r="C95" s="144"/>
      <c r="D95" s="145">
        <v>4281.1373311172356</v>
      </c>
      <c r="E95" s="145"/>
      <c r="F95" s="232">
        <v>1351.619582454332</v>
      </c>
      <c r="G95" s="144"/>
      <c r="H95" s="145">
        <v>3726.0533070529159</v>
      </c>
      <c r="I95" s="145"/>
      <c r="J95" s="232">
        <v>217.38882852714548</v>
      </c>
      <c r="K95" s="144"/>
      <c r="L95" s="145">
        <v>258.22813946248056</v>
      </c>
      <c r="M95" s="145"/>
      <c r="N95" s="232">
        <v>1795.1635619917583</v>
      </c>
      <c r="O95" s="144">
        <v>0.35380800000000001</v>
      </c>
      <c r="P95" s="232">
        <v>1681.1852939874759</v>
      </c>
      <c r="Q95" s="144"/>
      <c r="R95" s="145">
        <v>143.60980232542693</v>
      </c>
      <c r="S95" s="144"/>
    </row>
    <row r="96" spans="1:19" x14ac:dyDescent="0.35">
      <c r="A96" s="59" t="s">
        <v>1530</v>
      </c>
      <c r="B96" s="232">
        <v>1.2269494524225155</v>
      </c>
      <c r="C96" s="144"/>
      <c r="D96" s="145">
        <v>42.056685994894003</v>
      </c>
      <c r="E96" s="145"/>
      <c r="F96" s="232">
        <v>4.7774866396906086</v>
      </c>
      <c r="G96" s="144"/>
      <c r="H96" s="145">
        <v>35.249231334855395</v>
      </c>
      <c r="I96" s="145"/>
      <c r="J96" s="232">
        <v>2.1211582915400387</v>
      </c>
      <c r="K96" s="144"/>
      <c r="L96" s="145">
        <v>2.3622688183068399</v>
      </c>
      <c r="M96" s="145"/>
      <c r="N96" s="232">
        <v>16.632361951626891</v>
      </c>
      <c r="O96" s="144">
        <v>0.33566400000000002</v>
      </c>
      <c r="P96" s="232">
        <v>16.398521298788065</v>
      </c>
      <c r="Q96" s="144"/>
      <c r="R96" s="145">
        <v>1.1628677911989092</v>
      </c>
      <c r="S96" s="144"/>
    </row>
    <row r="97" spans="1:19" x14ac:dyDescent="0.35">
      <c r="A97" s="59" t="s">
        <v>1921</v>
      </c>
      <c r="B97" s="232">
        <v>0</v>
      </c>
      <c r="C97" s="147"/>
      <c r="D97" s="145">
        <v>0</v>
      </c>
      <c r="E97" s="148"/>
      <c r="F97" s="232">
        <v>0</v>
      </c>
      <c r="G97" s="144"/>
      <c r="H97" s="145">
        <v>0</v>
      </c>
      <c r="I97" s="145">
        <v>69.763679999999994</v>
      </c>
      <c r="J97" s="232">
        <v>0</v>
      </c>
      <c r="K97" s="147"/>
      <c r="L97" s="145">
        <v>0</v>
      </c>
      <c r="M97" s="148"/>
      <c r="N97" s="59">
        <v>5.687258396258879</v>
      </c>
      <c r="O97" s="144"/>
      <c r="P97" s="232">
        <v>0</v>
      </c>
      <c r="Q97" s="147"/>
      <c r="R97" s="145">
        <v>0</v>
      </c>
      <c r="S97" s="147"/>
    </row>
    <row r="98" spans="1:19" x14ac:dyDescent="0.35">
      <c r="A98" s="59" t="s">
        <v>1920</v>
      </c>
      <c r="B98" s="232">
        <v>0</v>
      </c>
      <c r="C98" s="147"/>
      <c r="D98" s="145">
        <v>0</v>
      </c>
      <c r="E98" s="148"/>
      <c r="F98" s="232">
        <v>0</v>
      </c>
      <c r="G98" s="144"/>
      <c r="H98" s="145">
        <v>0</v>
      </c>
      <c r="I98" s="145">
        <v>9.61632</v>
      </c>
      <c r="J98" s="232">
        <v>0</v>
      </c>
      <c r="K98" s="147"/>
      <c r="L98" s="145">
        <v>0</v>
      </c>
      <c r="M98" s="148"/>
      <c r="N98" s="59">
        <v>0.78393938882112013</v>
      </c>
      <c r="O98" s="99"/>
      <c r="P98" s="232">
        <v>0</v>
      </c>
      <c r="Q98" s="147"/>
      <c r="R98" s="145">
        <v>0</v>
      </c>
      <c r="S98" s="147"/>
    </row>
    <row r="99" spans="1:19" x14ac:dyDescent="0.35">
      <c r="A99" s="59" t="s">
        <v>1529</v>
      </c>
      <c r="B99" s="49">
        <v>54665.091610594958</v>
      </c>
      <c r="C99" s="153"/>
      <c r="D99" s="48">
        <v>1719894.5074309767</v>
      </c>
      <c r="E99" s="154"/>
      <c r="F99" s="49">
        <v>244870.71359417879</v>
      </c>
      <c r="G99" s="47">
        <v>41915.434176000097</v>
      </c>
      <c r="H99" s="48">
        <v>2256598.7376415534</v>
      </c>
      <c r="I99" s="48">
        <v>1391644.8</v>
      </c>
      <c r="J99" s="49">
        <v>85327.773242306328</v>
      </c>
      <c r="K99" s="448"/>
      <c r="L99" s="48">
        <v>98001.723812409138</v>
      </c>
      <c r="M99" s="449"/>
      <c r="N99" s="49">
        <v>794706.67008018843</v>
      </c>
      <c r="O99" s="47">
        <v>6.6134880000000003</v>
      </c>
      <c r="P99" s="49">
        <v>495445.27518728125</v>
      </c>
      <c r="Q99" s="448"/>
      <c r="R99" s="48">
        <v>75242.277673256714</v>
      </c>
      <c r="S99" s="448"/>
    </row>
    <row r="100" spans="1:19" ht="13.15" x14ac:dyDescent="0.4">
      <c r="A100" s="131" t="s">
        <v>1928</v>
      </c>
      <c r="B100" s="447"/>
      <c r="C100" s="445"/>
      <c r="D100" s="446"/>
      <c r="E100" s="446"/>
      <c r="F100" s="447"/>
      <c r="G100" s="445"/>
      <c r="H100" s="446"/>
      <c r="I100" s="235"/>
      <c r="J100" s="447"/>
      <c r="K100" s="445"/>
      <c r="L100" s="446"/>
      <c r="M100" s="446"/>
      <c r="N100" s="447"/>
      <c r="O100" s="445"/>
      <c r="P100" s="447"/>
      <c r="Q100" s="445"/>
      <c r="R100" s="446"/>
      <c r="S100" s="445"/>
    </row>
    <row r="101" spans="1:19" x14ac:dyDescent="0.35">
      <c r="A101" s="59" t="s">
        <v>1525</v>
      </c>
      <c r="B101" s="232">
        <v>1.417839239244697</v>
      </c>
      <c r="C101" s="147">
        <v>0</v>
      </c>
      <c r="D101" s="145">
        <v>15.718773675428286</v>
      </c>
      <c r="E101" s="148">
        <v>0</v>
      </c>
      <c r="F101" s="232">
        <v>17.070764163423945</v>
      </c>
      <c r="G101" s="147">
        <v>0</v>
      </c>
      <c r="H101" s="145">
        <v>12.342164136360621</v>
      </c>
      <c r="I101" s="148">
        <v>0</v>
      </c>
      <c r="J101" s="232">
        <v>0.88431947601313643</v>
      </c>
      <c r="K101" s="147">
        <v>0</v>
      </c>
      <c r="L101" s="145">
        <v>0.81874936062844828</v>
      </c>
      <c r="M101" s="148">
        <v>0</v>
      </c>
      <c r="N101" s="232">
        <v>6.7097379263565387</v>
      </c>
      <c r="O101" s="147">
        <v>0</v>
      </c>
      <c r="P101" s="232">
        <v>4.538662867108572</v>
      </c>
      <c r="Q101" s="147">
        <v>0</v>
      </c>
      <c r="R101" s="145">
        <v>0.57883797829232131</v>
      </c>
      <c r="S101" s="147">
        <v>0</v>
      </c>
    </row>
    <row r="102" spans="1:19" x14ac:dyDescent="0.35">
      <c r="A102" s="59" t="s">
        <v>1524</v>
      </c>
      <c r="B102" s="232">
        <v>1.2418071804671207</v>
      </c>
      <c r="C102" s="147">
        <v>0</v>
      </c>
      <c r="D102" s="145">
        <v>61.448100929252661</v>
      </c>
      <c r="E102" s="148">
        <v>0</v>
      </c>
      <c r="F102" s="232">
        <v>19.608516640866405</v>
      </c>
      <c r="G102" s="147">
        <v>0</v>
      </c>
      <c r="H102" s="145">
        <v>85.502642550305438</v>
      </c>
      <c r="I102" s="148">
        <v>0</v>
      </c>
      <c r="J102" s="232">
        <v>3.8906594350893426</v>
      </c>
      <c r="K102" s="147">
        <v>0</v>
      </c>
      <c r="L102" s="145">
        <v>5.0533827250588237</v>
      </c>
      <c r="M102" s="148">
        <v>0</v>
      </c>
      <c r="N102" s="232">
        <v>28.785578273371872</v>
      </c>
      <c r="O102" s="147">
        <v>0</v>
      </c>
      <c r="P102" s="232">
        <v>21.845564038011148</v>
      </c>
      <c r="Q102" s="147">
        <v>0</v>
      </c>
      <c r="R102" s="145">
        <v>4.530133641607855</v>
      </c>
      <c r="S102" s="147">
        <v>0</v>
      </c>
    </row>
    <row r="103" spans="1:19" x14ac:dyDescent="0.35">
      <c r="A103" s="59" t="s">
        <v>1523</v>
      </c>
      <c r="B103" s="232">
        <v>2.402232679512927</v>
      </c>
      <c r="C103" s="147">
        <v>0</v>
      </c>
      <c r="D103" s="145">
        <v>98.73583759382214</v>
      </c>
      <c r="E103" s="148">
        <v>0</v>
      </c>
      <c r="F103" s="232">
        <v>36.495979195469403</v>
      </c>
      <c r="G103" s="147">
        <v>0</v>
      </c>
      <c r="H103" s="145">
        <v>344.9278593895927</v>
      </c>
      <c r="I103" s="148">
        <v>0</v>
      </c>
      <c r="J103" s="232">
        <v>7.318022789968099</v>
      </c>
      <c r="K103" s="147">
        <v>0</v>
      </c>
      <c r="L103" s="145">
        <v>10.168049033946687</v>
      </c>
      <c r="M103" s="148">
        <v>0</v>
      </c>
      <c r="N103" s="232">
        <v>61.76222071734238</v>
      </c>
      <c r="O103" s="147">
        <v>0</v>
      </c>
      <c r="P103" s="232">
        <v>26.134733400750211</v>
      </c>
      <c r="Q103" s="147">
        <v>0</v>
      </c>
      <c r="R103" s="145">
        <v>11.864418366094762</v>
      </c>
      <c r="S103" s="147">
        <v>0</v>
      </c>
    </row>
    <row r="104" spans="1:19" x14ac:dyDescent="0.35">
      <c r="A104" s="59" t="s">
        <v>1522</v>
      </c>
      <c r="B104" s="232">
        <v>0.35128121155139858</v>
      </c>
      <c r="C104" s="147">
        <v>0</v>
      </c>
      <c r="D104" s="145">
        <v>6.361635396985946</v>
      </c>
      <c r="E104" s="148">
        <v>0</v>
      </c>
      <c r="F104" s="232">
        <v>4.7725423128348714</v>
      </c>
      <c r="G104" s="147">
        <v>0</v>
      </c>
      <c r="H104" s="145">
        <v>50.544280767407379</v>
      </c>
      <c r="I104" s="148">
        <v>0</v>
      </c>
      <c r="J104" s="232">
        <v>0.64365679059672809</v>
      </c>
      <c r="K104" s="147">
        <v>0</v>
      </c>
      <c r="L104" s="145">
        <v>0.94675070746143342</v>
      </c>
      <c r="M104" s="148">
        <v>0</v>
      </c>
      <c r="N104" s="232">
        <v>6.1104216426579265</v>
      </c>
      <c r="O104" s="147">
        <v>0</v>
      </c>
      <c r="P104" s="232">
        <v>0.11901854240513113</v>
      </c>
      <c r="Q104" s="147">
        <v>0</v>
      </c>
      <c r="R104" s="145">
        <v>1.4621497190541703</v>
      </c>
      <c r="S104" s="147">
        <v>0</v>
      </c>
    </row>
    <row r="105" spans="1:19" x14ac:dyDescent="0.35">
      <c r="A105" s="59" t="s">
        <v>1521</v>
      </c>
      <c r="B105" s="232">
        <v>0.27473446794064094</v>
      </c>
      <c r="C105" s="147">
        <v>0</v>
      </c>
      <c r="D105" s="145">
        <v>4.8244695507095354</v>
      </c>
      <c r="E105" s="148">
        <v>0</v>
      </c>
      <c r="F105" s="232">
        <v>3.7548140079258436</v>
      </c>
      <c r="G105" s="147">
        <v>0</v>
      </c>
      <c r="H105" s="145">
        <v>36.175595523759419</v>
      </c>
      <c r="I105" s="148">
        <v>0</v>
      </c>
      <c r="J105" s="232">
        <v>0.47951955741650781</v>
      </c>
      <c r="K105" s="147">
        <v>0</v>
      </c>
      <c r="L105" s="145">
        <v>0.69844367594910794</v>
      </c>
      <c r="M105" s="148">
        <v>0</v>
      </c>
      <c r="N105" s="232">
        <v>4.4555243778934441</v>
      </c>
      <c r="O105" s="147">
        <v>0</v>
      </c>
      <c r="P105" s="232">
        <v>0.10324209253867245</v>
      </c>
      <c r="Q105" s="147">
        <v>0</v>
      </c>
      <c r="R105" s="145">
        <v>1.0762546369427881</v>
      </c>
      <c r="S105" s="147">
        <v>0</v>
      </c>
    </row>
    <row r="106" spans="1:19" x14ac:dyDescent="0.35">
      <c r="A106" s="59" t="s">
        <v>1520</v>
      </c>
      <c r="B106" s="232">
        <v>3.789563950445209</v>
      </c>
      <c r="C106" s="147">
        <v>0</v>
      </c>
      <c r="D106" s="145">
        <v>171.79491684121055</v>
      </c>
      <c r="E106" s="148">
        <v>0</v>
      </c>
      <c r="F106" s="232">
        <v>50.918367853962138</v>
      </c>
      <c r="G106" s="147">
        <v>0</v>
      </c>
      <c r="H106" s="145">
        <v>1844.1093297222103</v>
      </c>
      <c r="I106" s="148">
        <v>0</v>
      </c>
      <c r="J106" s="232">
        <v>19.695455531811245</v>
      </c>
      <c r="K106" s="147">
        <v>0</v>
      </c>
      <c r="L106" s="145">
        <v>31.574488708676594</v>
      </c>
      <c r="M106" s="148">
        <v>0</v>
      </c>
      <c r="N106" s="232">
        <v>202.97663455580681</v>
      </c>
      <c r="O106" s="147">
        <v>0</v>
      </c>
      <c r="P106" s="232">
        <v>2.1677620614154072</v>
      </c>
      <c r="Q106" s="147">
        <v>0</v>
      </c>
      <c r="R106" s="145">
        <v>49.048896112331683</v>
      </c>
      <c r="S106" s="147">
        <v>0</v>
      </c>
    </row>
    <row r="107" spans="1:19" x14ac:dyDescent="0.35">
      <c r="A107" s="59" t="s">
        <v>1519</v>
      </c>
      <c r="B107" s="232">
        <v>3.1453513784580743E-2</v>
      </c>
      <c r="C107" s="147">
        <v>0</v>
      </c>
      <c r="D107" s="145">
        <v>0.37832539245029539</v>
      </c>
      <c r="E107" s="148">
        <v>0</v>
      </c>
      <c r="F107" s="232">
        <v>0.50456125948372144</v>
      </c>
      <c r="G107" s="147">
        <v>0</v>
      </c>
      <c r="H107" s="145">
        <v>1.7825391552755119</v>
      </c>
      <c r="I107" s="148">
        <v>0</v>
      </c>
      <c r="J107" s="232">
        <v>3.2840176430620149E-2</v>
      </c>
      <c r="K107" s="147">
        <v>0</v>
      </c>
      <c r="L107" s="145">
        <v>4.2949331180151054E-2</v>
      </c>
      <c r="M107" s="148">
        <v>0</v>
      </c>
      <c r="N107" s="232">
        <v>0.27431641046383376</v>
      </c>
      <c r="O107" s="147">
        <v>0</v>
      </c>
      <c r="P107" s="232">
        <v>1.9642536581917471E-2</v>
      </c>
      <c r="Q107" s="147">
        <v>0</v>
      </c>
      <c r="R107" s="145">
        <v>6.411930226775843E-2</v>
      </c>
      <c r="S107" s="147">
        <v>0</v>
      </c>
    </row>
    <row r="108" spans="1:19" x14ac:dyDescent="0.35">
      <c r="A108" s="57" t="s">
        <v>1518</v>
      </c>
      <c r="B108" s="231">
        <v>4.7286276204430766E-2</v>
      </c>
      <c r="C108" s="443">
        <v>0</v>
      </c>
      <c r="D108" s="142">
        <v>0.81675094221689548</v>
      </c>
      <c r="E108" s="444">
        <v>0</v>
      </c>
      <c r="F108" s="231">
        <v>0.74474574563054918</v>
      </c>
      <c r="G108" s="443">
        <v>0</v>
      </c>
      <c r="H108" s="142">
        <v>4.0692641217552543</v>
      </c>
      <c r="I108" s="444">
        <v>0</v>
      </c>
      <c r="J108" s="231">
        <v>7.5974660988460063E-2</v>
      </c>
      <c r="K108" s="443">
        <v>0</v>
      </c>
      <c r="L108" s="142">
        <v>0.10865742648750785</v>
      </c>
      <c r="M108" s="444">
        <v>0</v>
      </c>
      <c r="N108" s="231">
        <v>0.59212776560196723</v>
      </c>
      <c r="O108" s="443">
        <v>0</v>
      </c>
      <c r="P108" s="231">
        <v>3.15462790413686E-2</v>
      </c>
      <c r="Q108" s="443">
        <v>0</v>
      </c>
      <c r="R108" s="142">
        <v>0.16497517276036491</v>
      </c>
      <c r="S108" s="443">
        <v>0</v>
      </c>
    </row>
    <row r="109" spans="1:19" x14ac:dyDescent="0.35">
      <c r="D109" s="120"/>
      <c r="F109" s="120"/>
      <c r="H109" s="120"/>
      <c r="J109" s="120"/>
      <c r="L109" s="120"/>
    </row>
    <row r="110" spans="1:19" ht="13.9" x14ac:dyDescent="0.4">
      <c r="A110" s="72" t="s">
        <v>1927</v>
      </c>
    </row>
    <row r="111" spans="1:19" ht="13.15" x14ac:dyDescent="0.4">
      <c r="A111" s="41" t="s">
        <v>1926</v>
      </c>
      <c r="H111" s="120"/>
    </row>
    <row r="112" spans="1:19" ht="41.45" customHeight="1" x14ac:dyDescent="0.4">
      <c r="A112" s="61"/>
      <c r="B112" s="442" t="s">
        <v>1318</v>
      </c>
      <c r="C112" s="442" t="s">
        <v>1403</v>
      </c>
      <c r="D112" s="442" t="s">
        <v>1316</v>
      </c>
      <c r="E112" s="442" t="s">
        <v>1402</v>
      </c>
      <c r="F112" s="442" t="s">
        <v>1314</v>
      </c>
      <c r="G112" s="441" t="s">
        <v>1311</v>
      </c>
      <c r="H112" s="179" t="s">
        <v>1310</v>
      </c>
      <c r="I112" s="2203" t="s">
        <v>326</v>
      </c>
      <c r="J112" s="2204"/>
    </row>
    <row r="113" spans="1:10" x14ac:dyDescent="0.35">
      <c r="A113" s="91" t="s">
        <v>1924</v>
      </c>
      <c r="B113" s="440">
        <v>1</v>
      </c>
      <c r="C113" s="440">
        <v>1</v>
      </c>
      <c r="D113" s="440">
        <v>1</v>
      </c>
      <c r="E113" s="440">
        <v>1</v>
      </c>
      <c r="F113" s="440">
        <v>1.02</v>
      </c>
      <c r="G113" s="439">
        <v>1.107</v>
      </c>
      <c r="H113" s="437">
        <v>1</v>
      </c>
      <c r="I113" s="438"/>
      <c r="J113" s="437"/>
    </row>
    <row r="114" spans="1:10" ht="13.15" x14ac:dyDescent="0.4">
      <c r="A114" s="131" t="s">
        <v>1923</v>
      </c>
      <c r="B114" s="120"/>
      <c r="C114" s="120"/>
      <c r="D114" s="120"/>
      <c r="E114" s="120"/>
      <c r="F114" s="120"/>
      <c r="G114" s="436"/>
      <c r="H114" s="436"/>
      <c r="I114" s="428" t="s">
        <v>1873</v>
      </c>
      <c r="J114" s="428" t="s">
        <v>1872</v>
      </c>
    </row>
    <row r="115" spans="1:10" x14ac:dyDescent="0.35">
      <c r="A115" s="59" t="s">
        <v>1537</v>
      </c>
      <c r="B115" s="145">
        <v>0.69578218556264471</v>
      </c>
      <c r="C115" s="145">
        <v>24.90561337275226</v>
      </c>
      <c r="D115" s="145">
        <v>12.78947536426803</v>
      </c>
      <c r="E115" s="145">
        <v>64.739574004756648</v>
      </c>
      <c r="F115" s="145">
        <v>1.3197239743574714</v>
      </c>
      <c r="G115" s="146">
        <v>8.3417603654635961</v>
      </c>
      <c r="H115" s="146">
        <v>1.1191778286585157</v>
      </c>
      <c r="I115" s="50">
        <v>127.37058321899207</v>
      </c>
      <c r="J115" s="146">
        <v>6.3685291609496028E-2</v>
      </c>
    </row>
    <row r="116" spans="1:10" x14ac:dyDescent="0.35">
      <c r="A116" s="59" t="s">
        <v>1536</v>
      </c>
      <c r="B116" s="145">
        <v>0.6863782306550007</v>
      </c>
      <c r="C116" s="145">
        <v>24.191540149571509</v>
      </c>
      <c r="D116" s="145">
        <v>12.66658646095415</v>
      </c>
      <c r="E116" s="145">
        <v>24.576879742536089</v>
      </c>
      <c r="F116" s="145">
        <v>1.2353469476313939</v>
      </c>
      <c r="G116" s="146">
        <v>8.3364156788831707</v>
      </c>
      <c r="H116" s="146">
        <v>0.90451748004182386</v>
      </c>
      <c r="I116" s="146">
        <v>80.752202418810882</v>
      </c>
      <c r="J116" s="146">
        <v>4.0376101209405442E-2</v>
      </c>
    </row>
    <row r="117" spans="1:10" x14ac:dyDescent="0.35">
      <c r="A117" s="59" t="s">
        <v>1535</v>
      </c>
      <c r="B117" s="145">
        <v>2.2502787392071861E-2</v>
      </c>
      <c r="C117" s="145">
        <v>3.4131832751350699</v>
      </c>
      <c r="D117" s="145">
        <v>2.13827879072196</v>
      </c>
      <c r="E117" s="145">
        <v>19.825174329003818</v>
      </c>
      <c r="F117" s="145">
        <v>0.20369475413410845</v>
      </c>
      <c r="G117" s="146">
        <v>1.2895269183502679E-2</v>
      </c>
      <c r="H117" s="146">
        <v>0.51834011715940109</v>
      </c>
      <c r="I117" s="146">
        <v>29.435909495418421</v>
      </c>
      <c r="J117" s="146">
        <v>1.4717954747709211E-2</v>
      </c>
    </row>
    <row r="118" spans="1:10" x14ac:dyDescent="0.35">
      <c r="A118" s="59" t="s">
        <v>1534</v>
      </c>
      <c r="B118" s="145">
        <v>7.4613856082037633E-2</v>
      </c>
      <c r="C118" s="145">
        <v>17.430183470668545</v>
      </c>
      <c r="D118" s="145">
        <v>1.7029057887189509</v>
      </c>
      <c r="E118" s="145">
        <v>4.4328861283801952</v>
      </c>
      <c r="F118" s="145">
        <v>0.8800979234403381</v>
      </c>
      <c r="G118" s="146">
        <v>8.2927993623321452</v>
      </c>
      <c r="H118" s="146">
        <v>0.36856356347211322</v>
      </c>
      <c r="I118" s="146">
        <v>36.329166265853203</v>
      </c>
      <c r="J118" s="146">
        <v>1.8164583132926598E-2</v>
      </c>
    </row>
    <row r="119" spans="1:10" x14ac:dyDescent="0.35">
      <c r="A119" s="59" t="s">
        <v>1533</v>
      </c>
      <c r="B119" s="145">
        <v>0.58926158718089117</v>
      </c>
      <c r="C119" s="145">
        <v>3.3481734037678947</v>
      </c>
      <c r="D119" s="145">
        <v>8.8254018815132387</v>
      </c>
      <c r="E119" s="145">
        <v>0.31881928515207608</v>
      </c>
      <c r="F119" s="145">
        <v>0.15155427005694724</v>
      </c>
      <c r="G119" s="146">
        <v>3.0721047367522281E-2</v>
      </c>
      <c r="H119" s="146">
        <v>1.7613799410309543E-2</v>
      </c>
      <c r="I119" s="146">
        <v>14.987126657539259</v>
      </c>
      <c r="J119" s="146">
        <v>7.4935633287696295E-3</v>
      </c>
    </row>
    <row r="120" spans="1:10" x14ac:dyDescent="0.35">
      <c r="A120" s="59" t="s">
        <v>1532</v>
      </c>
      <c r="B120" s="48">
        <v>1501.5418712274286</v>
      </c>
      <c r="C120" s="48">
        <v>4581.1161600328724</v>
      </c>
      <c r="D120" s="48">
        <v>248.19752140180492</v>
      </c>
      <c r="E120" s="48">
        <v>52670.386924507176</v>
      </c>
      <c r="F120" s="48">
        <v>101.85044657983455</v>
      </c>
      <c r="G120" s="152">
        <v>24.276897287381267</v>
      </c>
      <c r="H120" s="152">
        <v>107.66448634965541</v>
      </c>
      <c r="I120" s="152">
        <v>66865.352758671826</v>
      </c>
      <c r="J120" s="143">
        <v>33.432676379335916</v>
      </c>
    </row>
    <row r="121" spans="1:10" ht="13.15" x14ac:dyDescent="0.4">
      <c r="A121" s="131" t="s">
        <v>1922</v>
      </c>
      <c r="B121" s="157"/>
      <c r="C121" s="157"/>
      <c r="D121" s="157"/>
      <c r="E121" s="157"/>
      <c r="F121" s="157"/>
      <c r="G121" s="241"/>
      <c r="H121" s="156"/>
      <c r="I121" s="429" t="s">
        <v>1873</v>
      </c>
      <c r="J121" s="381" t="s">
        <v>1872</v>
      </c>
    </row>
    <row r="122" spans="1:10" x14ac:dyDescent="0.35">
      <c r="A122" s="59" t="s">
        <v>1525</v>
      </c>
      <c r="B122" s="145">
        <v>17.39555116112922</v>
      </c>
      <c r="C122" s="145">
        <v>252.31020925280336</v>
      </c>
      <c r="D122" s="145">
        <v>240.76707186293075</v>
      </c>
      <c r="E122" s="145">
        <v>235.13544760407643</v>
      </c>
      <c r="F122" s="145">
        <v>12.676921755513046</v>
      </c>
      <c r="G122" s="146">
        <v>97.349697941479405</v>
      </c>
      <c r="H122" s="144">
        <v>8.1297741741544964</v>
      </c>
      <c r="I122" s="146">
        <v>961.40895764375125</v>
      </c>
      <c r="J122" s="144">
        <v>0.48070447882187561</v>
      </c>
    </row>
    <row r="123" spans="1:10" x14ac:dyDescent="0.35">
      <c r="A123" s="59" t="s">
        <v>1524</v>
      </c>
      <c r="B123" s="145">
        <v>71.537633242355597</v>
      </c>
      <c r="C123" s="145">
        <v>1082.9097124169582</v>
      </c>
      <c r="D123" s="145">
        <v>334.13503528751454</v>
      </c>
      <c r="E123" s="145">
        <v>456.69260429472183</v>
      </c>
      <c r="F123" s="145">
        <v>69.222621982845311</v>
      </c>
      <c r="G123" s="146">
        <v>410.22689932569284</v>
      </c>
      <c r="H123" s="144">
        <v>22.701840795959637</v>
      </c>
      <c r="I123" s="146">
        <v>2706.0459794923063</v>
      </c>
      <c r="J123" s="144">
        <v>1.3530229897461532</v>
      </c>
    </row>
    <row r="124" spans="1:10" x14ac:dyDescent="0.35">
      <c r="A124" s="59" t="s">
        <v>1563</v>
      </c>
      <c r="B124" s="145">
        <v>203.31158579939336</v>
      </c>
      <c r="C124" s="145">
        <v>2032.4177964514342</v>
      </c>
      <c r="D124" s="145">
        <v>752.47609025148358</v>
      </c>
      <c r="E124" s="145">
        <v>1501.9792594554306</v>
      </c>
      <c r="F124" s="145">
        <v>176.12221948133487</v>
      </c>
      <c r="G124" s="146">
        <v>578.38789776551323</v>
      </c>
      <c r="H124" s="144">
        <v>50.986429198938531</v>
      </c>
      <c r="I124" s="146">
        <v>5894.3888121730533</v>
      </c>
      <c r="J124" s="144">
        <v>2.9471944060865267</v>
      </c>
    </row>
    <row r="125" spans="1:10" x14ac:dyDescent="0.35">
      <c r="A125" s="59" t="s">
        <v>1522</v>
      </c>
      <c r="B125" s="145">
        <v>867.67212567404044</v>
      </c>
      <c r="C125" s="145">
        <v>1018.4230438811594</v>
      </c>
      <c r="D125" s="145">
        <v>205.68509401110617</v>
      </c>
      <c r="E125" s="145">
        <v>2079.8206451448605</v>
      </c>
      <c r="F125" s="145">
        <v>39.318500647183122</v>
      </c>
      <c r="G125" s="146">
        <v>30.131554589980677</v>
      </c>
      <c r="H125" s="144">
        <v>9.2086631009111368</v>
      </c>
      <c r="I125" s="146">
        <v>4793.1872479694512</v>
      </c>
      <c r="J125" s="144">
        <v>2.3965936239847254</v>
      </c>
    </row>
    <row r="126" spans="1:10" x14ac:dyDescent="0.35">
      <c r="A126" s="59" t="s">
        <v>1521</v>
      </c>
      <c r="B126" s="145">
        <v>440.69314687514651</v>
      </c>
      <c r="C126" s="145">
        <v>503.63250502019719</v>
      </c>
      <c r="D126" s="145">
        <v>105.4514037695285</v>
      </c>
      <c r="E126" s="145">
        <v>1011.0313551617444</v>
      </c>
      <c r="F126" s="145">
        <v>20.42422612534525</v>
      </c>
      <c r="G126" s="146">
        <v>29.738303230726128</v>
      </c>
      <c r="H126" s="144">
        <v>4.0077589473157325</v>
      </c>
      <c r="I126" s="146">
        <v>2383.2968894995652</v>
      </c>
      <c r="J126" s="144">
        <v>1.1916484447497826</v>
      </c>
    </row>
    <row r="127" spans="1:10" x14ac:dyDescent="0.35">
      <c r="A127" s="59" t="s">
        <v>1520</v>
      </c>
      <c r="B127" s="145">
        <v>158.3024913329138</v>
      </c>
      <c r="C127" s="145">
        <v>5001.9782013918393</v>
      </c>
      <c r="D127" s="145">
        <v>1613.1161330367172</v>
      </c>
      <c r="E127" s="145">
        <v>18938.629597852923</v>
      </c>
      <c r="F127" s="145">
        <v>163.12847384182109</v>
      </c>
      <c r="G127" s="146">
        <v>89.960311416225949</v>
      </c>
      <c r="H127" s="144">
        <v>138.46355384705083</v>
      </c>
      <c r="I127" s="146">
        <v>29441.484601766129</v>
      </c>
      <c r="J127" s="144">
        <v>14.720742300883064</v>
      </c>
    </row>
    <row r="128" spans="1:10" x14ac:dyDescent="0.35">
      <c r="A128" s="59" t="s">
        <v>1519</v>
      </c>
      <c r="B128" s="145">
        <v>5.2462422392490584</v>
      </c>
      <c r="C128" s="145">
        <v>16.347726164904138</v>
      </c>
      <c r="D128" s="145">
        <v>7.7528540019330743</v>
      </c>
      <c r="E128" s="145">
        <v>6.995264387263787</v>
      </c>
      <c r="F128" s="145">
        <v>2.0137224005540699</v>
      </c>
      <c r="G128" s="146">
        <v>5.3767537426761569</v>
      </c>
      <c r="H128" s="144">
        <v>0.29685163759722943</v>
      </c>
      <c r="I128" s="146">
        <v>48.938099959530028</v>
      </c>
      <c r="J128" s="144">
        <v>2.4469049979765015E-2</v>
      </c>
    </row>
    <row r="129" spans="1:10" x14ac:dyDescent="0.35">
      <c r="A129" s="59" t="s">
        <v>1518</v>
      </c>
      <c r="B129" s="145">
        <v>1.7903048967636037</v>
      </c>
      <c r="C129" s="145">
        <v>32.065684816412066</v>
      </c>
      <c r="D129" s="145">
        <v>7.2567181536344201</v>
      </c>
      <c r="E129" s="145">
        <v>16.252810886612249</v>
      </c>
      <c r="F129" s="145">
        <v>1.7981411371324645</v>
      </c>
      <c r="G129" s="146">
        <v>12.505291418628374</v>
      </c>
      <c r="H129" s="144">
        <v>0.69689332857486319</v>
      </c>
      <c r="I129" s="146">
        <v>79.966428831248166</v>
      </c>
      <c r="J129" s="144">
        <v>3.998321441562408E-2</v>
      </c>
    </row>
    <row r="130" spans="1:10" x14ac:dyDescent="0.35">
      <c r="A130" s="59" t="s">
        <v>1531</v>
      </c>
      <c r="B130" s="145">
        <v>67.575560403884509</v>
      </c>
      <c r="C130" s="145">
        <v>4281.1373311172356</v>
      </c>
      <c r="D130" s="145">
        <v>1351.619582454332</v>
      </c>
      <c r="E130" s="145">
        <v>3726.0533070529159</v>
      </c>
      <c r="F130" s="145">
        <v>217.38882852714548</v>
      </c>
      <c r="G130" s="146">
        <v>1681.1852939874759</v>
      </c>
      <c r="H130" s="144">
        <v>143.60980232542693</v>
      </c>
      <c r="I130" s="146">
        <v>12709.153770282825</v>
      </c>
      <c r="J130" s="144">
        <v>6.3545768851414124</v>
      </c>
    </row>
    <row r="131" spans="1:10" x14ac:dyDescent="0.35">
      <c r="A131" s="59" t="s">
        <v>1530</v>
      </c>
      <c r="B131" s="145">
        <v>1.2269494524225155</v>
      </c>
      <c r="C131" s="145">
        <v>42.056685994894003</v>
      </c>
      <c r="D131" s="145">
        <v>4.7774866396906086</v>
      </c>
      <c r="E131" s="145">
        <v>35.249231334855395</v>
      </c>
      <c r="F131" s="145">
        <v>2.1211582915400387</v>
      </c>
      <c r="G131" s="146">
        <v>16.398521298788065</v>
      </c>
      <c r="H131" s="144">
        <v>1.1628677911989092</v>
      </c>
      <c r="I131" s="146">
        <v>113.97856378148363</v>
      </c>
      <c r="J131" s="144">
        <v>5.6989281890741816E-2</v>
      </c>
    </row>
    <row r="132" spans="1:10" x14ac:dyDescent="0.35">
      <c r="A132" s="59" t="s">
        <v>1921</v>
      </c>
      <c r="B132" s="148">
        <v>0</v>
      </c>
      <c r="C132" s="148">
        <v>0</v>
      </c>
      <c r="D132" s="148">
        <v>0</v>
      </c>
      <c r="E132" s="148">
        <v>69.763679999999994</v>
      </c>
      <c r="F132" s="145">
        <v>0</v>
      </c>
      <c r="G132" s="146">
        <v>0</v>
      </c>
      <c r="H132" s="144">
        <v>0</v>
      </c>
      <c r="I132" s="146">
        <v>78.772961635199991</v>
      </c>
      <c r="J132" s="144">
        <v>3.9386480817599996E-2</v>
      </c>
    </row>
    <row r="133" spans="1:10" x14ac:dyDescent="0.35">
      <c r="A133" s="59" t="s">
        <v>1920</v>
      </c>
      <c r="B133" s="148">
        <v>0</v>
      </c>
      <c r="C133" s="148">
        <v>0</v>
      </c>
      <c r="D133" s="148">
        <v>0</v>
      </c>
      <c r="E133" s="148">
        <v>9.61632</v>
      </c>
      <c r="F133" s="145">
        <v>0</v>
      </c>
      <c r="G133" s="146">
        <v>0</v>
      </c>
      <c r="H133" s="144">
        <v>0</v>
      </c>
      <c r="I133" s="146">
        <v>10.858171564800001</v>
      </c>
      <c r="J133" s="144">
        <v>5.4290857824000009E-3</v>
      </c>
    </row>
    <row r="134" spans="1:10" x14ac:dyDescent="0.35">
      <c r="A134" s="59" t="s">
        <v>1529</v>
      </c>
      <c r="B134" s="154">
        <v>54665.091610594958</v>
      </c>
      <c r="C134" s="154">
        <v>1719894.5074309767</v>
      </c>
      <c r="D134" s="154">
        <v>286786.14777017885</v>
      </c>
      <c r="E134" s="154">
        <v>3648243.5376415532</v>
      </c>
      <c r="F134" s="154">
        <v>85327.773242306328</v>
      </c>
      <c r="G134" s="239">
        <v>495445.27518728125</v>
      </c>
      <c r="H134" s="153">
        <v>75242.277673256714</v>
      </c>
      <c r="I134" s="155">
        <v>7112071.0424873736</v>
      </c>
      <c r="J134" s="153">
        <v>3556.0355212436866</v>
      </c>
    </row>
    <row r="135" spans="1:10" x14ac:dyDescent="0.35">
      <c r="A135" s="59" t="s">
        <v>1528</v>
      </c>
      <c r="B135" s="154">
        <v>54831.724025856565</v>
      </c>
      <c r="C135" s="154">
        <v>1722382.589512184</v>
      </c>
      <c r="D135" s="154">
        <v>288061.60781865113</v>
      </c>
      <c r="E135" s="154">
        <v>3649694.0362600014</v>
      </c>
      <c r="F135" s="154">
        <v>85476.061387750728</v>
      </c>
      <c r="G135" s="239">
        <v>496393.32401623449</v>
      </c>
      <c r="H135" s="153">
        <v>75303.28979068363</v>
      </c>
      <c r="I135" s="155">
        <v>7119319.7917064698</v>
      </c>
      <c r="J135" s="153">
        <v>3559.659895853235</v>
      </c>
    </row>
    <row r="136" spans="1:10" x14ac:dyDescent="0.35">
      <c r="A136" s="57" t="s">
        <v>1527</v>
      </c>
      <c r="B136" s="151">
        <v>57184.13244286507</v>
      </c>
      <c r="C136" s="151">
        <v>1861961.7312343479</v>
      </c>
      <c r="D136" s="151">
        <v>329876.22925179912</v>
      </c>
      <c r="E136" s="151">
        <v>4340091.0321753249</v>
      </c>
      <c r="F136" s="151">
        <v>92559.833190823207</v>
      </c>
      <c r="G136" s="435">
        <v>551174.4909800376</v>
      </c>
      <c r="H136" s="150">
        <v>79919.743825114143</v>
      </c>
      <c r="I136" s="155">
        <v>8173589.1642277045</v>
      </c>
      <c r="J136" s="150">
        <v>4086.7945821138519</v>
      </c>
    </row>
    <row r="137" spans="1:10" ht="13.15" x14ac:dyDescent="0.4">
      <c r="A137" s="128" t="s">
        <v>1919</v>
      </c>
      <c r="G137" s="50"/>
      <c r="H137" s="99"/>
      <c r="I137" s="428" t="s">
        <v>1873</v>
      </c>
      <c r="J137" s="427" t="s">
        <v>1872</v>
      </c>
    </row>
    <row r="138" spans="1:10" x14ac:dyDescent="0.35">
      <c r="A138" s="59" t="s">
        <v>1525</v>
      </c>
      <c r="B138" s="145">
        <v>1.417839239244697</v>
      </c>
      <c r="C138" s="145">
        <v>15.718773675428286</v>
      </c>
      <c r="D138" s="145">
        <v>17.070764163423945</v>
      </c>
      <c r="E138" s="145">
        <v>12.342164136360621</v>
      </c>
      <c r="F138" s="145">
        <v>0.88431947601313643</v>
      </c>
      <c r="G138" s="146">
        <v>4.538662867108572</v>
      </c>
      <c r="H138" s="144">
        <v>0.57883797829232131</v>
      </c>
      <c r="I138" s="146">
        <v>58.657391472240036</v>
      </c>
      <c r="J138" s="144">
        <v>2.9328695736120017E-2</v>
      </c>
    </row>
    <row r="139" spans="1:10" x14ac:dyDescent="0.35">
      <c r="A139" s="59" t="s">
        <v>1524</v>
      </c>
      <c r="B139" s="145">
        <v>1.2418071804671207</v>
      </c>
      <c r="C139" s="145">
        <v>61.448100929252661</v>
      </c>
      <c r="D139" s="145">
        <v>19.608516640866405</v>
      </c>
      <c r="E139" s="145">
        <v>85.502642550305438</v>
      </c>
      <c r="F139" s="145">
        <v>3.8906594350893426</v>
      </c>
      <c r="G139" s="146">
        <v>21.845564038011148</v>
      </c>
      <c r="H139" s="144">
        <v>4.530133641607855</v>
      </c>
      <c r="I139" s="146">
        <v>220.15355480639164</v>
      </c>
      <c r="J139" s="144">
        <v>0.11007677740319582</v>
      </c>
    </row>
    <row r="140" spans="1:10" x14ac:dyDescent="0.35">
      <c r="A140" s="59" t="s">
        <v>1523</v>
      </c>
      <c r="B140" s="145">
        <v>2.402232679512927</v>
      </c>
      <c r="C140" s="145">
        <v>98.73583759382214</v>
      </c>
      <c r="D140" s="145">
        <v>36.495979195469403</v>
      </c>
      <c r="E140" s="145">
        <v>344.9278593895927</v>
      </c>
      <c r="F140" s="145">
        <v>7.318022789968099</v>
      </c>
      <c r="G140" s="146">
        <v>26.134733400750211</v>
      </c>
      <c r="H140" s="144">
        <v>11.864418366094762</v>
      </c>
      <c r="I140" s="146">
        <v>590.98015676371028</v>
      </c>
      <c r="J140" s="144">
        <v>0.29549007838185515</v>
      </c>
    </row>
    <row r="141" spans="1:10" x14ac:dyDescent="0.35">
      <c r="A141" s="59" t="s">
        <v>1522</v>
      </c>
      <c r="B141" s="145">
        <v>0.35128121155139858</v>
      </c>
      <c r="C141" s="145">
        <v>6.361635396985946</v>
      </c>
      <c r="D141" s="145">
        <v>4.7725423128348714</v>
      </c>
      <c r="E141" s="145">
        <v>50.544280767407379</v>
      </c>
      <c r="F141" s="145">
        <v>0.64365679059672809</v>
      </c>
      <c r="G141" s="146">
        <v>0.11901854240513113</v>
      </c>
      <c r="H141" s="144">
        <v>1.4621497190541703</v>
      </c>
      <c r="I141" s="146">
        <v>72.333956600838476</v>
      </c>
      <c r="J141" s="144">
        <v>3.616697830041924E-2</v>
      </c>
    </row>
    <row r="142" spans="1:10" x14ac:dyDescent="0.35">
      <c r="A142" s="59" t="s">
        <v>1521</v>
      </c>
      <c r="B142" s="145">
        <v>0.27473446794064094</v>
      </c>
      <c r="C142" s="145">
        <v>4.8244695507095354</v>
      </c>
      <c r="D142" s="145">
        <v>3.7548140079258436</v>
      </c>
      <c r="E142" s="145">
        <v>36.175595523759419</v>
      </c>
      <c r="F142" s="145">
        <v>0.47951955741650781</v>
      </c>
      <c r="G142" s="146">
        <v>0.10324209253867245</v>
      </c>
      <c r="H142" s="144">
        <v>1.0762546369427881</v>
      </c>
      <c r="I142" s="146">
        <v>52.555062723767293</v>
      </c>
      <c r="J142" s="144">
        <v>2.6277531361883648E-2</v>
      </c>
    </row>
    <row r="143" spans="1:10" x14ac:dyDescent="0.35">
      <c r="A143" s="59" t="s">
        <v>1520</v>
      </c>
      <c r="B143" s="145">
        <v>3.789563950445209</v>
      </c>
      <c r="C143" s="145">
        <v>171.79491684121055</v>
      </c>
      <c r="D143" s="145">
        <v>50.918367853962138</v>
      </c>
      <c r="E143" s="145">
        <v>1844.1093297222103</v>
      </c>
      <c r="F143" s="145">
        <v>19.695455531811245</v>
      </c>
      <c r="G143" s="146">
        <v>2.1677620614154072</v>
      </c>
      <c r="H143" s="144">
        <v>49.048896112331683</v>
      </c>
      <c r="I143" s="146">
        <v>2411.0305625297115</v>
      </c>
      <c r="J143" s="144">
        <v>1.2055152812648557</v>
      </c>
    </row>
    <row r="144" spans="1:10" x14ac:dyDescent="0.35">
      <c r="A144" s="59" t="s">
        <v>1519</v>
      </c>
      <c r="B144" s="145">
        <v>3.1453513784580743E-2</v>
      </c>
      <c r="C144" s="145">
        <v>0.37832539245029539</v>
      </c>
      <c r="D144" s="145">
        <v>0.50456125948372144</v>
      </c>
      <c r="E144" s="145">
        <v>1.7825391552755119</v>
      </c>
      <c r="F144" s="145">
        <v>3.2840176430620149E-2</v>
      </c>
      <c r="G144" s="146">
        <v>1.9642536581917471E-2</v>
      </c>
      <c r="H144" s="144">
        <v>6.411930226775843E-2</v>
      </c>
      <c r="I144" s="146">
        <v>3.1652702306656613</v>
      </c>
      <c r="J144" s="144">
        <v>1.5826351153328307E-3</v>
      </c>
    </row>
    <row r="145" spans="1:10" x14ac:dyDescent="0.35">
      <c r="A145" s="57" t="s">
        <v>1518</v>
      </c>
      <c r="B145" s="142">
        <v>4.7286276204430766E-2</v>
      </c>
      <c r="C145" s="142">
        <v>0.81675094221689548</v>
      </c>
      <c r="D145" s="142">
        <v>0.74474574563054918</v>
      </c>
      <c r="E145" s="142">
        <v>4.0692641217552543</v>
      </c>
      <c r="F145" s="142">
        <v>7.5974660988460063E-2</v>
      </c>
      <c r="G145" s="143">
        <v>3.15462790413686E-2</v>
      </c>
      <c r="H145" s="141">
        <v>0.16497517276036491</v>
      </c>
      <c r="I145" s="143">
        <v>6.691935487984221</v>
      </c>
      <c r="J145" s="141">
        <v>3.3459677439921106E-3</v>
      </c>
    </row>
    <row r="147" spans="1:10" ht="13.15" x14ac:dyDescent="0.4">
      <c r="A147" s="41" t="s">
        <v>1925</v>
      </c>
    </row>
    <row r="148" spans="1:10" ht="42.75" customHeight="1" x14ac:dyDescent="0.4">
      <c r="A148" s="61"/>
      <c r="B148" s="180" t="s">
        <v>1401</v>
      </c>
      <c r="C148" s="180" t="s">
        <v>1400</v>
      </c>
      <c r="D148" s="180" t="s">
        <v>1311</v>
      </c>
      <c r="E148" s="179" t="s">
        <v>1310</v>
      </c>
      <c r="F148" s="2203" t="s">
        <v>326</v>
      </c>
      <c r="G148" s="2238"/>
    </row>
    <row r="149" spans="1:10" x14ac:dyDescent="0.35">
      <c r="A149" s="91" t="s">
        <v>1924</v>
      </c>
      <c r="B149" s="434">
        <v>0.96799999999999997</v>
      </c>
      <c r="C149" s="434">
        <v>1</v>
      </c>
      <c r="D149" s="434">
        <v>1.107</v>
      </c>
      <c r="E149" s="433">
        <v>1</v>
      </c>
      <c r="F149" s="432"/>
      <c r="G149" s="431"/>
    </row>
    <row r="150" spans="1:10" ht="13.15" x14ac:dyDescent="0.4">
      <c r="A150" s="131" t="s">
        <v>1923</v>
      </c>
      <c r="B150" s="408"/>
      <c r="C150" s="408"/>
      <c r="D150" s="408"/>
      <c r="E150" s="430"/>
      <c r="F150" s="429" t="s">
        <v>1873</v>
      </c>
      <c r="G150" s="381" t="s">
        <v>1872</v>
      </c>
    </row>
    <row r="151" spans="1:10" x14ac:dyDescent="0.35">
      <c r="A151" s="59" t="s">
        <v>1537</v>
      </c>
      <c r="B151" s="145">
        <v>1.5422071152040491</v>
      </c>
      <c r="C151" s="145">
        <v>13.786008070340351</v>
      </c>
      <c r="D151" s="145">
        <v>8.3417603654635961</v>
      </c>
      <c r="E151" s="144">
        <v>1.1191778286585157</v>
      </c>
      <c r="F151" s="146">
        <v>26.374641259670774</v>
      </c>
      <c r="G151" s="144">
        <v>1.3187320629835388E-2</v>
      </c>
    </row>
    <row r="152" spans="1:10" x14ac:dyDescent="0.35">
      <c r="A152" s="59" t="s">
        <v>1536</v>
      </c>
      <c r="B152" s="145">
        <v>1.4044342406087105</v>
      </c>
      <c r="C152" s="145">
        <v>10.295716854109276</v>
      </c>
      <c r="D152" s="145">
        <v>8.3364156788831707</v>
      </c>
      <c r="E152" s="144">
        <v>0.90451748004182386</v>
      </c>
      <c r="F152" s="146">
        <v>22.143249742238481</v>
      </c>
      <c r="G152" s="144">
        <v>1.1071624871119241E-2</v>
      </c>
    </row>
    <row r="153" spans="1:10" x14ac:dyDescent="0.35">
      <c r="A153" s="59" t="s">
        <v>1535</v>
      </c>
      <c r="B153" s="145">
        <v>0.33571516825618758</v>
      </c>
      <c r="C153" s="145">
        <v>2.4408429027046834</v>
      </c>
      <c r="D153" s="145">
        <v>1.2895269183502679E-2</v>
      </c>
      <c r="E153" s="144">
        <v>0.51834011715940109</v>
      </c>
      <c r="F153" s="146">
        <v>3.5929927967762807</v>
      </c>
      <c r="G153" s="144">
        <v>1.7964963983881403E-3</v>
      </c>
    </row>
    <row r="154" spans="1:10" x14ac:dyDescent="0.35">
      <c r="A154" s="59" t="s">
        <v>1534</v>
      </c>
      <c r="B154" s="145">
        <v>1.054230760125509</v>
      </c>
      <c r="C154" s="145">
        <v>6.7473363205133694</v>
      </c>
      <c r="D154" s="145">
        <v>8.2927993623321452</v>
      </c>
      <c r="E154" s="144">
        <v>0.36856356347211322</v>
      </c>
      <c r="F154" s="146">
        <v>17.260352613624807</v>
      </c>
      <c r="G154" s="144">
        <v>8.6301763068124052E-3</v>
      </c>
    </row>
    <row r="155" spans="1:10" x14ac:dyDescent="0.35">
      <c r="A155" s="59" t="s">
        <v>1533</v>
      </c>
      <c r="B155" s="145">
        <v>1.4488312227013845E-2</v>
      </c>
      <c r="C155" s="145">
        <v>1.1075376308912233</v>
      </c>
      <c r="D155" s="145">
        <v>3.0721047367522281E-2</v>
      </c>
      <c r="E155" s="144">
        <v>1.7613799410309543E-2</v>
      </c>
      <c r="F155" s="146">
        <v>1.2899043318373906</v>
      </c>
      <c r="G155" s="146">
        <v>6.449521659186953E-4</v>
      </c>
    </row>
    <row r="156" spans="1:10" x14ac:dyDescent="0.35">
      <c r="A156" s="59" t="s">
        <v>1532</v>
      </c>
      <c r="B156" s="48">
        <v>105.68097578023988</v>
      </c>
      <c r="C156" s="48">
        <v>5126.8545862339006</v>
      </c>
      <c r="D156" s="48">
        <v>24.276897287381267</v>
      </c>
      <c r="E156" s="47">
        <v>107.66448634965541</v>
      </c>
      <c r="F156" s="155">
        <v>5920.6146079006512</v>
      </c>
      <c r="G156" s="146">
        <v>2.9603073039503256</v>
      </c>
    </row>
    <row r="157" spans="1:10" ht="13.15" x14ac:dyDescent="0.4">
      <c r="A157" s="131" t="s">
        <v>1922</v>
      </c>
      <c r="B157" s="157"/>
      <c r="C157" s="157"/>
      <c r="D157" s="157"/>
      <c r="E157" s="156"/>
      <c r="F157" s="429" t="s">
        <v>1873</v>
      </c>
      <c r="G157" s="429" t="s">
        <v>1872</v>
      </c>
    </row>
    <row r="158" spans="1:10" x14ac:dyDescent="0.35">
      <c r="A158" s="59" t="s">
        <v>1525</v>
      </c>
      <c r="B158" s="145">
        <v>14.883836709293696</v>
      </c>
      <c r="C158" s="145">
        <v>190.15368388836075</v>
      </c>
      <c r="D158" s="145">
        <v>97.349697941479405</v>
      </c>
      <c r="E158" s="144">
        <v>8.1297741741544964</v>
      </c>
      <c r="F158" s="146">
        <v>331.92876238564736</v>
      </c>
      <c r="G158" s="144">
        <v>0.16596438119282367</v>
      </c>
    </row>
    <row r="159" spans="1:10" x14ac:dyDescent="0.35">
      <c r="A159" s="59" t="s">
        <v>1524</v>
      </c>
      <c r="B159" s="145">
        <v>55.379423401128193</v>
      </c>
      <c r="C159" s="145">
        <v>405.51686623140017</v>
      </c>
      <c r="D159" s="145">
        <v>410.22689932569284</v>
      </c>
      <c r="E159" s="144">
        <v>22.701840795959637</v>
      </c>
      <c r="F159" s="146">
        <v>941.17917205029983</v>
      </c>
      <c r="G159" s="144">
        <v>0.47058958602514989</v>
      </c>
    </row>
    <row r="160" spans="1:10" x14ac:dyDescent="0.35">
      <c r="A160" s="59" t="s">
        <v>1563</v>
      </c>
      <c r="B160" s="145">
        <v>90.01995704909163</v>
      </c>
      <c r="C160" s="145">
        <v>772.00457187501263</v>
      </c>
      <c r="D160" s="145">
        <v>578.38789776551323</v>
      </c>
      <c r="E160" s="144">
        <v>50.986429198938531</v>
      </c>
      <c r="F160" s="146">
        <v>1580.4466135249281</v>
      </c>
      <c r="G160" s="144">
        <v>0.79022330676246411</v>
      </c>
    </row>
    <row r="161" spans="1:7" x14ac:dyDescent="0.35">
      <c r="A161" s="59" t="s">
        <v>1522</v>
      </c>
      <c r="B161" s="145">
        <v>8.9748632111711739</v>
      </c>
      <c r="C161" s="145">
        <v>608.36144781224789</v>
      </c>
      <c r="D161" s="145">
        <v>30.131554589980677</v>
      </c>
      <c r="E161" s="144">
        <v>9.2086631009111368</v>
      </c>
      <c r="F161" s="146">
        <v>722.41358843942407</v>
      </c>
      <c r="G161" s="144">
        <v>0.36120679421971202</v>
      </c>
    </row>
    <row r="162" spans="1:7" x14ac:dyDescent="0.35">
      <c r="A162" s="59" t="s">
        <v>1521</v>
      </c>
      <c r="B162" s="145">
        <v>5.584263416255288</v>
      </c>
      <c r="C162" s="145">
        <v>302.71599779273231</v>
      </c>
      <c r="D162" s="145">
        <v>29.738303230726128</v>
      </c>
      <c r="E162" s="144">
        <v>4.0077589473157325</v>
      </c>
      <c r="F162" s="146">
        <v>374.83663438913368</v>
      </c>
      <c r="G162" s="144">
        <v>0.18741831719456684</v>
      </c>
    </row>
    <row r="163" spans="1:7" x14ac:dyDescent="0.35">
      <c r="A163" s="59" t="s">
        <v>1520</v>
      </c>
      <c r="B163" s="145">
        <v>97.518516381246926</v>
      </c>
      <c r="C163" s="145">
        <v>2268.6378199440292</v>
      </c>
      <c r="D163" s="145">
        <v>89.960311416225949</v>
      </c>
      <c r="E163" s="144">
        <v>138.46355384705083</v>
      </c>
      <c r="F163" s="146">
        <v>2844.3044336510679</v>
      </c>
      <c r="G163" s="144">
        <v>1.4221522168255341</v>
      </c>
    </row>
    <row r="164" spans="1:7" x14ac:dyDescent="0.35">
      <c r="A164" s="59" t="s">
        <v>1519</v>
      </c>
      <c r="B164" s="145">
        <v>0.72926684084866666</v>
      </c>
      <c r="C164" s="145">
        <v>6.2799112070254273</v>
      </c>
      <c r="D164" s="145">
        <v>5.3767537426761569</v>
      </c>
      <c r="E164" s="144">
        <v>0.29685163759722943</v>
      </c>
      <c r="F164" s="146">
        <v>13.406931930699784</v>
      </c>
      <c r="G164" s="144">
        <v>6.7034659653498916E-3</v>
      </c>
    </row>
    <row r="165" spans="1:7" x14ac:dyDescent="0.35">
      <c r="A165" s="59" t="s">
        <v>1518</v>
      </c>
      <c r="B165" s="145">
        <v>1.6936036602888893</v>
      </c>
      <c r="C165" s="145">
        <v>12.135255874642619</v>
      </c>
      <c r="D165" s="145">
        <v>12.505291418628374</v>
      </c>
      <c r="E165" s="144">
        <v>0.69689332857486319</v>
      </c>
      <c r="F165" s="146">
        <v>28.450738036310344</v>
      </c>
      <c r="G165" s="144">
        <v>1.4225369018155172E-2</v>
      </c>
    </row>
    <row r="166" spans="1:7" x14ac:dyDescent="0.35">
      <c r="A166" s="59" t="s">
        <v>1531</v>
      </c>
      <c r="B166" s="145">
        <v>258.22813946248056</v>
      </c>
      <c r="C166" s="145">
        <v>1795.5173699917584</v>
      </c>
      <c r="D166" s="145">
        <v>1681.1852939874759</v>
      </c>
      <c r="E166" s="144">
        <v>143.60980232542693</v>
      </c>
      <c r="F166" s="146">
        <v>4089.1439016664262</v>
      </c>
      <c r="G166" s="144">
        <v>2.044571950833213</v>
      </c>
    </row>
    <row r="167" spans="1:7" x14ac:dyDescent="0.35">
      <c r="A167" s="59" t="s">
        <v>1530</v>
      </c>
      <c r="B167" s="145">
        <v>2.3622688183068399</v>
      </c>
      <c r="C167" s="145">
        <v>16.968025951626892</v>
      </c>
      <c r="D167" s="145">
        <v>16.398521298788065</v>
      </c>
      <c r="E167" s="144">
        <v>1.1628677911989092</v>
      </c>
      <c r="F167" s="146">
        <v>38.876344389683908</v>
      </c>
      <c r="G167" s="144">
        <v>1.9438172194841955E-2</v>
      </c>
    </row>
    <row r="168" spans="1:7" x14ac:dyDescent="0.35">
      <c r="A168" s="59" t="s">
        <v>1921</v>
      </c>
      <c r="B168" s="148">
        <v>0</v>
      </c>
      <c r="C168" s="148">
        <v>5.687258396258879</v>
      </c>
      <c r="D168" s="148">
        <v>0</v>
      </c>
      <c r="E168" s="147">
        <v>0</v>
      </c>
      <c r="F168" s="146">
        <v>6.2957950446585791</v>
      </c>
      <c r="G168" s="144">
        <v>3.1478975223292894E-3</v>
      </c>
    </row>
    <row r="169" spans="1:7" x14ac:dyDescent="0.35">
      <c r="A169" s="59" t="s">
        <v>1920</v>
      </c>
      <c r="B169" s="148">
        <v>0</v>
      </c>
      <c r="C169" s="148">
        <v>0.78393938882112013</v>
      </c>
      <c r="D169" s="148">
        <v>0</v>
      </c>
      <c r="E169" s="147">
        <v>0</v>
      </c>
      <c r="F169" s="146">
        <v>0.86782090342497997</v>
      </c>
      <c r="G169" s="144">
        <v>4.3391045171248997E-4</v>
      </c>
    </row>
    <row r="170" spans="1:7" x14ac:dyDescent="0.35">
      <c r="A170" s="59" t="s">
        <v>1529</v>
      </c>
      <c r="B170" s="154">
        <v>98001.723812409138</v>
      </c>
      <c r="C170" s="154">
        <v>794713.28356818843</v>
      </c>
      <c r="D170" s="154">
        <v>495445.27518728125</v>
      </c>
      <c r="E170" s="153">
        <v>75242.277673256714</v>
      </c>
      <c r="F170" s="155">
        <v>1555451.4529665287</v>
      </c>
      <c r="G170" s="153">
        <v>777.72572648326434</v>
      </c>
    </row>
    <row r="171" spans="1:7" x14ac:dyDescent="0.35">
      <c r="A171" s="59" t="s">
        <v>1528</v>
      </c>
      <c r="B171" s="154">
        <v>98135.136578354883</v>
      </c>
      <c r="C171" s="154">
        <v>795943.17000609927</v>
      </c>
      <c r="D171" s="154">
        <v>496393.32401623449</v>
      </c>
      <c r="E171" s="153">
        <v>75303.28979068363</v>
      </c>
      <c r="F171" s="155">
        <v>1557964.9601177571</v>
      </c>
      <c r="G171" s="153">
        <v>778.98248005887854</v>
      </c>
    </row>
    <row r="172" spans="1:7" x14ac:dyDescent="0.35">
      <c r="A172" s="57" t="s">
        <v>1527</v>
      </c>
      <c r="B172" s="151">
        <v>106507.98199908061</v>
      </c>
      <c r="C172" s="151">
        <v>900713.46836614399</v>
      </c>
      <c r="D172" s="151">
        <v>551174.4909800376</v>
      </c>
      <c r="E172" s="150">
        <v>79919.743825114143</v>
      </c>
      <c r="F172" s="155">
        <v>1742315.4416051197</v>
      </c>
      <c r="G172" s="150">
        <v>871.15772080255988</v>
      </c>
    </row>
    <row r="173" spans="1:7" ht="13.15" x14ac:dyDescent="0.4">
      <c r="A173" s="128" t="s">
        <v>1919</v>
      </c>
      <c r="B173" s="120"/>
      <c r="C173" s="120"/>
      <c r="D173" s="120"/>
      <c r="E173" s="121"/>
      <c r="F173" s="428" t="s">
        <v>1873</v>
      </c>
      <c r="G173" s="427" t="s">
        <v>1872</v>
      </c>
    </row>
    <row r="174" spans="1:7" x14ac:dyDescent="0.35">
      <c r="A174" s="59" t="s">
        <v>1525</v>
      </c>
      <c r="B174" s="145">
        <v>0.81874936062844828</v>
      </c>
      <c r="C174" s="145">
        <v>6.7097379263565387</v>
      </c>
      <c r="D174" s="145">
        <v>4.538662867108572</v>
      </c>
      <c r="E174" s="144">
        <v>0.57883797829232131</v>
      </c>
      <c r="F174" s="146">
        <v>13.422532894742373</v>
      </c>
      <c r="G174" s="144">
        <v>6.7112664473711866E-3</v>
      </c>
    </row>
    <row r="175" spans="1:7" x14ac:dyDescent="0.35">
      <c r="A175" s="59" t="s">
        <v>1524</v>
      </c>
      <c r="B175" s="145">
        <v>5.0533827250588237</v>
      </c>
      <c r="C175" s="145">
        <v>28.785578273371872</v>
      </c>
      <c r="D175" s="145">
        <v>21.845564038011148</v>
      </c>
      <c r="E175" s="144">
        <v>4.530133641607855</v>
      </c>
      <c r="F175" s="146">
        <v>63.6564164752293</v>
      </c>
      <c r="G175" s="144">
        <v>3.1828208237614647E-2</v>
      </c>
    </row>
    <row r="176" spans="1:7" x14ac:dyDescent="0.35">
      <c r="A176" s="59" t="s">
        <v>1523</v>
      </c>
      <c r="B176" s="145">
        <v>10.168049033946687</v>
      </c>
      <c r="C176" s="145">
        <v>61.76222071734238</v>
      </c>
      <c r="D176" s="145">
        <v>26.134733400750211</v>
      </c>
      <c r="E176" s="144">
        <v>11.864418366094762</v>
      </c>
      <c r="F176" s="146">
        <v>117.26576741254344</v>
      </c>
      <c r="G176" s="144">
        <v>5.8632883706271718E-2</v>
      </c>
    </row>
    <row r="177" spans="1:7" x14ac:dyDescent="0.35">
      <c r="A177" s="59" t="s">
        <v>1522</v>
      </c>
      <c r="B177" s="145">
        <v>0.94675070746143342</v>
      </c>
      <c r="C177" s="145">
        <v>6.1104216426579265</v>
      </c>
      <c r="D177" s="145">
        <v>0.11901854240513113</v>
      </c>
      <c r="E177" s="144">
        <v>1.4621497190541703</v>
      </c>
      <c r="F177" s="146">
        <v>9.3599203559803197</v>
      </c>
      <c r="G177" s="144">
        <v>4.6799601779901594E-3</v>
      </c>
    </row>
    <row r="178" spans="1:7" x14ac:dyDescent="0.35">
      <c r="A178" s="59" t="s">
        <v>1521</v>
      </c>
      <c r="B178" s="145">
        <v>0.69844367594910794</v>
      </c>
      <c r="C178" s="145">
        <v>4.4555243778934441</v>
      </c>
      <c r="D178" s="145">
        <v>0.10324209253867245</v>
      </c>
      <c r="E178" s="144">
        <v>1.0762546369427881</v>
      </c>
      <c r="F178" s="146">
        <v>6.8601976963083446</v>
      </c>
      <c r="G178" s="144">
        <v>3.4300988481541722E-3</v>
      </c>
    </row>
    <row r="179" spans="1:7" x14ac:dyDescent="0.35">
      <c r="A179" s="59" t="s">
        <v>1520</v>
      </c>
      <c r="B179" s="145">
        <v>31.574488708676594</v>
      </c>
      <c r="C179" s="145">
        <v>202.97663455580681</v>
      </c>
      <c r="D179" s="145">
        <v>2.1677620614154072</v>
      </c>
      <c r="E179" s="144">
        <v>49.048896112331683</v>
      </c>
      <c r="F179" s="146">
        <v>309.74625693951407</v>
      </c>
      <c r="G179" s="144">
        <v>0.15487312846975704</v>
      </c>
    </row>
    <row r="180" spans="1:7" x14ac:dyDescent="0.35">
      <c r="A180" s="59" t="s">
        <v>1519</v>
      </c>
      <c r="B180" s="145">
        <v>4.2949331180151054E-2</v>
      </c>
      <c r="C180" s="145">
        <v>0.27431641046383376</v>
      </c>
      <c r="D180" s="145">
        <v>1.9642536581917471E-2</v>
      </c>
      <c r="E180" s="144">
        <v>6.411930226775843E-2</v>
      </c>
      <c r="F180" s="146">
        <v>0.4334535777418414</v>
      </c>
      <c r="G180" s="144">
        <v>2.1672678887092069E-4</v>
      </c>
    </row>
    <row r="181" spans="1:7" x14ac:dyDescent="0.35">
      <c r="A181" s="57" t="s">
        <v>1518</v>
      </c>
      <c r="B181" s="142">
        <v>0.10865742648750785</v>
      </c>
      <c r="C181" s="142">
        <v>0.59212776560196723</v>
      </c>
      <c r="D181" s="142">
        <v>3.15462790413686E-2</v>
      </c>
      <c r="E181" s="141">
        <v>0.16497517276036491</v>
      </c>
      <c r="F181" s="143">
        <v>0.96844157876888903</v>
      </c>
      <c r="G181" s="141">
        <v>4.8422078938444452E-4</v>
      </c>
    </row>
  </sheetData>
  <mergeCells count="11">
    <mergeCell ref="L54:M54"/>
    <mergeCell ref="N54:O54"/>
    <mergeCell ref="P54:Q54"/>
    <mergeCell ref="R54:S54"/>
    <mergeCell ref="I112:J112"/>
    <mergeCell ref="J54:K54"/>
    <mergeCell ref="F148:G148"/>
    <mergeCell ref="B54:C54"/>
    <mergeCell ref="D54:E54"/>
    <mergeCell ref="F54:G54"/>
    <mergeCell ref="H54:I54"/>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91"/>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0" style="39" customWidth="1"/>
    <col min="3" max="3" width="11.19921875" style="39" bestFit="1" customWidth="1"/>
    <col min="4" max="5" width="12.796875" style="39" bestFit="1" customWidth="1"/>
    <col min="6" max="6" width="11.19921875" style="39" bestFit="1" customWidth="1"/>
    <col min="7" max="7" width="12.796875" style="39" bestFit="1" customWidth="1"/>
    <col min="8" max="8" width="9.1328125" style="39"/>
    <col min="9" max="9" width="12.796875" style="39" bestFit="1" customWidth="1"/>
    <col min="10" max="10" width="9.1328125" style="39"/>
    <col min="11" max="11" width="11.19921875" style="39" bestFit="1" customWidth="1"/>
    <col min="12" max="16384" width="9.1328125" style="39"/>
  </cols>
  <sheetData>
    <row r="1" spans="1:9" ht="15" x14ac:dyDescent="0.4">
      <c r="A1" s="140" t="s">
        <v>238</v>
      </c>
      <c r="G1" s="230" t="s">
        <v>1561</v>
      </c>
    </row>
    <row r="2" spans="1:9" ht="13.15" x14ac:dyDescent="0.4">
      <c r="A2" s="41"/>
    </row>
    <row r="3" spans="1:9" ht="13.9" x14ac:dyDescent="0.4">
      <c r="A3" s="72" t="s">
        <v>2057</v>
      </c>
    </row>
    <row r="4" spans="1:9" x14ac:dyDescent="0.35">
      <c r="A4" s="61" t="s">
        <v>2056</v>
      </c>
      <c r="B4" s="60">
        <v>0.84199999999999997</v>
      </c>
    </row>
    <row r="5" spans="1:9" x14ac:dyDescent="0.35">
      <c r="A5" s="57" t="s">
        <v>1284</v>
      </c>
      <c r="B5" s="100">
        <v>0.158</v>
      </c>
    </row>
    <row r="6" spans="1:9" ht="13.15" x14ac:dyDescent="0.4">
      <c r="A6" s="41"/>
    </row>
    <row r="7" spans="1:9" ht="13.9" x14ac:dyDescent="0.4">
      <c r="A7" s="72" t="s">
        <v>1734</v>
      </c>
    </row>
    <row r="8" spans="1:9" x14ac:dyDescent="0.35">
      <c r="A8" s="61" t="s">
        <v>1717</v>
      </c>
      <c r="B8" s="417">
        <v>1</v>
      </c>
    </row>
    <row r="9" spans="1:9" x14ac:dyDescent="0.35">
      <c r="A9" s="59" t="s">
        <v>1909</v>
      </c>
      <c r="B9" s="196">
        <v>1</v>
      </c>
    </row>
    <row r="10" spans="1:9" x14ac:dyDescent="0.35">
      <c r="A10" s="59" t="s">
        <v>1946</v>
      </c>
      <c r="B10" s="457">
        <v>0</v>
      </c>
    </row>
    <row r="11" spans="1:9" x14ac:dyDescent="0.35">
      <c r="A11" s="59" t="s">
        <v>1703</v>
      </c>
      <c r="B11" s="196">
        <v>1</v>
      </c>
    </row>
    <row r="12" spans="1:9" x14ac:dyDescent="0.35">
      <c r="A12" s="59" t="s">
        <v>1943</v>
      </c>
      <c r="B12" s="457">
        <v>1</v>
      </c>
    </row>
    <row r="13" spans="1:9" x14ac:dyDescent="0.35">
      <c r="A13" s="57" t="s">
        <v>1942</v>
      </c>
      <c r="B13" s="323">
        <v>0</v>
      </c>
    </row>
    <row r="15" spans="1:9" ht="13.9" x14ac:dyDescent="0.4">
      <c r="A15" s="72" t="s">
        <v>1701</v>
      </c>
    </row>
    <row r="16" spans="1:9" ht="23.85" customHeight="1" x14ac:dyDescent="0.4">
      <c r="A16" s="131"/>
      <c r="B16" s="2191" t="s">
        <v>1290</v>
      </c>
      <c r="C16" s="2192"/>
      <c r="D16" s="2196" t="s">
        <v>1289</v>
      </c>
      <c r="E16" s="2196"/>
      <c r="F16" s="2191" t="s">
        <v>2055</v>
      </c>
      <c r="G16" s="2192"/>
      <c r="H16" s="2196" t="s">
        <v>1287</v>
      </c>
      <c r="I16" s="2192"/>
    </row>
    <row r="17" spans="1:9" ht="68.25" customHeight="1" x14ac:dyDescent="0.4">
      <c r="A17" s="128"/>
      <c r="B17" s="416" t="s">
        <v>1674</v>
      </c>
      <c r="C17" s="415" t="s">
        <v>1673</v>
      </c>
      <c r="D17" s="478" t="s">
        <v>1674</v>
      </c>
      <c r="E17" s="478" t="s">
        <v>1673</v>
      </c>
      <c r="F17" s="416" t="s">
        <v>1674</v>
      </c>
      <c r="G17" s="415" t="s">
        <v>1673</v>
      </c>
      <c r="H17" s="478" t="s">
        <v>1674</v>
      </c>
      <c r="I17" s="415" t="s">
        <v>1673</v>
      </c>
    </row>
    <row r="18" spans="1:9" ht="26.25" x14ac:dyDescent="0.4">
      <c r="A18" s="414" t="s">
        <v>1940</v>
      </c>
      <c r="B18" s="277">
        <v>2.15</v>
      </c>
      <c r="C18" s="99"/>
      <c r="D18" s="120">
        <v>19.782</v>
      </c>
      <c r="F18" s="59">
        <v>24.338000000000001</v>
      </c>
      <c r="G18" s="99"/>
      <c r="H18" s="455">
        <v>2.4820000000000002</v>
      </c>
      <c r="I18" s="60"/>
    </row>
    <row r="19" spans="1:9" ht="13.15" x14ac:dyDescent="0.4">
      <c r="A19" s="454" t="s">
        <v>1671</v>
      </c>
      <c r="B19" s="413">
        <v>0</v>
      </c>
      <c r="C19" s="99"/>
      <c r="D19" s="197">
        <v>0</v>
      </c>
      <c r="F19" s="413">
        <v>0</v>
      </c>
      <c r="G19" s="99"/>
      <c r="H19" s="194">
        <v>0</v>
      </c>
      <c r="I19" s="193"/>
    </row>
    <row r="20" spans="1:9" ht="13.15" x14ac:dyDescent="0.4">
      <c r="A20" s="131" t="s">
        <v>1670</v>
      </c>
      <c r="B20" s="61"/>
      <c r="C20" s="60"/>
      <c r="D20" s="101"/>
      <c r="E20" s="101"/>
      <c r="F20" s="61"/>
      <c r="G20" s="60"/>
      <c r="H20" s="101"/>
      <c r="I20" s="60"/>
    </row>
    <row r="21" spans="1:9" x14ac:dyDescent="0.35">
      <c r="A21" s="59" t="s">
        <v>1668</v>
      </c>
      <c r="B21" s="413">
        <v>0</v>
      </c>
      <c r="C21" s="99"/>
      <c r="D21" s="254">
        <v>0</v>
      </c>
      <c r="F21" s="477">
        <v>0.36117248453676198</v>
      </c>
      <c r="G21" s="99"/>
      <c r="H21" s="254">
        <v>0.33800000000000002</v>
      </c>
      <c r="I21" s="99"/>
    </row>
    <row r="22" spans="1:9" x14ac:dyDescent="0.35">
      <c r="A22" s="59" t="s">
        <v>1667</v>
      </c>
      <c r="B22" s="413">
        <v>0.48</v>
      </c>
      <c r="C22" s="99" t="s">
        <v>1939</v>
      </c>
      <c r="D22" s="254">
        <v>7.0000000000000007E-2</v>
      </c>
      <c r="F22" s="477">
        <v>7.5773624268391002E-2</v>
      </c>
      <c r="G22" s="99"/>
      <c r="H22" s="254">
        <v>0</v>
      </c>
      <c r="I22" s="99"/>
    </row>
    <row r="23" spans="1:9" x14ac:dyDescent="0.35">
      <c r="A23" s="59" t="s">
        <v>1534</v>
      </c>
      <c r="B23" s="413">
        <v>0</v>
      </c>
      <c r="C23" s="99"/>
      <c r="D23" s="254">
        <v>0.435</v>
      </c>
      <c r="F23" s="477">
        <v>7.7134827099559697E-3</v>
      </c>
      <c r="G23" s="99"/>
      <c r="H23" s="254">
        <v>0</v>
      </c>
      <c r="I23" s="99"/>
    </row>
    <row r="24" spans="1:9" x14ac:dyDescent="0.35">
      <c r="A24" s="59" t="s">
        <v>1535</v>
      </c>
      <c r="B24" s="413">
        <v>0</v>
      </c>
      <c r="C24" s="99"/>
      <c r="D24" s="254">
        <v>0.16500000000000001</v>
      </c>
      <c r="F24" s="477">
        <v>0</v>
      </c>
      <c r="G24" s="99"/>
      <c r="H24" s="254">
        <v>5.0000000000000001E-3</v>
      </c>
      <c r="I24" s="99"/>
    </row>
    <row r="25" spans="1:9" x14ac:dyDescent="0.35">
      <c r="A25" s="57" t="s">
        <v>1664</v>
      </c>
      <c r="B25" s="412">
        <v>0.52</v>
      </c>
      <c r="C25" s="100"/>
      <c r="D25" s="252">
        <v>0.32999999999999996</v>
      </c>
      <c r="E25" s="77"/>
      <c r="F25" s="412">
        <v>0.55534040848489097</v>
      </c>
      <c r="G25" s="100"/>
      <c r="H25" s="252">
        <v>0.65700000000000003</v>
      </c>
      <c r="I25" s="100"/>
    </row>
    <row r="26" spans="1:9" ht="13.15" x14ac:dyDescent="0.4">
      <c r="A26" s="128" t="s">
        <v>1669</v>
      </c>
      <c r="B26" s="59"/>
      <c r="C26" s="99"/>
      <c r="F26" s="59"/>
      <c r="G26" s="99"/>
      <c r="I26" s="99"/>
    </row>
    <row r="27" spans="1:9" s="145" customFormat="1" x14ac:dyDescent="0.35">
      <c r="A27" s="232" t="s">
        <v>1668</v>
      </c>
      <c r="B27" s="411">
        <v>0</v>
      </c>
      <c r="C27" s="144"/>
      <c r="D27" s="493">
        <v>0</v>
      </c>
      <c r="F27" s="411">
        <v>8.790215928655714</v>
      </c>
      <c r="G27" s="144"/>
      <c r="H27" s="493">
        <v>0.83891600000000011</v>
      </c>
      <c r="I27" s="144"/>
    </row>
    <row r="28" spans="1:9" s="145" customFormat="1" x14ac:dyDescent="0.35">
      <c r="A28" s="232" t="s">
        <v>1667</v>
      </c>
      <c r="B28" s="411">
        <v>1.032</v>
      </c>
      <c r="C28" s="144"/>
      <c r="D28" s="493">
        <v>1.3847400000000001</v>
      </c>
      <c r="F28" s="411">
        <v>1.8441784674441002</v>
      </c>
      <c r="G28" s="144"/>
      <c r="H28" s="493">
        <v>0</v>
      </c>
      <c r="I28" s="144"/>
    </row>
    <row r="29" spans="1:9" s="145" customFormat="1" x14ac:dyDescent="0.35">
      <c r="A29" s="232" t="s">
        <v>1534</v>
      </c>
      <c r="B29" s="411">
        <v>0</v>
      </c>
      <c r="C29" s="144"/>
      <c r="D29" s="493">
        <v>8.6051699999999993</v>
      </c>
      <c r="F29" s="411">
        <v>0.1877307421949084</v>
      </c>
      <c r="G29" s="144"/>
      <c r="H29" s="493">
        <v>0</v>
      </c>
      <c r="I29" s="144"/>
    </row>
    <row r="30" spans="1:9" s="145" customFormat="1" x14ac:dyDescent="0.35">
      <c r="A30" s="232" t="s">
        <v>1535</v>
      </c>
      <c r="B30" s="411">
        <v>0</v>
      </c>
      <c r="C30" s="144"/>
      <c r="D30" s="493">
        <v>3.26403</v>
      </c>
      <c r="F30" s="411">
        <v>0</v>
      </c>
      <c r="G30" s="144"/>
      <c r="H30" s="493">
        <v>1.2410000000000001E-2</v>
      </c>
      <c r="I30" s="144"/>
    </row>
    <row r="31" spans="1:9" s="145" customFormat="1" x14ac:dyDescent="0.35">
      <c r="A31" s="231" t="s">
        <v>1664</v>
      </c>
      <c r="B31" s="411">
        <v>1.1179999999999999</v>
      </c>
      <c r="C31" s="144"/>
      <c r="D31" s="493">
        <v>6.5280599999999991</v>
      </c>
      <c r="F31" s="411">
        <v>13.515874861705276</v>
      </c>
      <c r="G31" s="144"/>
      <c r="H31" s="493">
        <v>1.6306740000000002</v>
      </c>
      <c r="I31" s="144"/>
    </row>
    <row r="32" spans="1:9" s="145" customFormat="1" x14ac:dyDescent="0.35">
      <c r="A32" s="237" t="s">
        <v>1537</v>
      </c>
      <c r="B32" s="237">
        <v>3.5584031964596159</v>
      </c>
      <c r="C32" s="156"/>
      <c r="D32" s="157">
        <v>28.014031964053189</v>
      </c>
      <c r="E32" s="157"/>
      <c r="F32" s="237">
        <v>46.222488953407478</v>
      </c>
      <c r="G32" s="156"/>
      <c r="H32" s="157">
        <v>4.3550799491951944</v>
      </c>
      <c r="I32" s="156"/>
    </row>
    <row r="33" spans="1:9" s="145" customFormat="1" x14ac:dyDescent="0.35">
      <c r="A33" s="232" t="s">
        <v>1536</v>
      </c>
      <c r="B33" s="232">
        <v>3.1077135516646881</v>
      </c>
      <c r="C33" s="144"/>
      <c r="D33" s="145">
        <v>25.402039382407267</v>
      </c>
      <c r="F33" s="232">
        <v>34.957262723287648</v>
      </c>
      <c r="G33" s="144"/>
      <c r="H33" s="145">
        <v>3.7025261817512649</v>
      </c>
      <c r="I33" s="144"/>
    </row>
    <row r="34" spans="1:9" s="145" customFormat="1" x14ac:dyDescent="0.35">
      <c r="A34" s="232" t="s">
        <v>1535</v>
      </c>
      <c r="B34" s="232">
        <v>1.0879023639262815</v>
      </c>
      <c r="C34" s="144"/>
      <c r="D34" s="145">
        <v>9.5727420236514185</v>
      </c>
      <c r="F34" s="232">
        <v>10.556756193044935</v>
      </c>
      <c r="G34" s="144"/>
      <c r="H34" s="145">
        <v>1.5878334605173874</v>
      </c>
      <c r="I34" s="144"/>
    </row>
    <row r="35" spans="1:9" s="145" customFormat="1" x14ac:dyDescent="0.35">
      <c r="A35" s="232" t="s">
        <v>1534</v>
      </c>
      <c r="B35" s="232">
        <v>0.89894647053992172</v>
      </c>
      <c r="C35" s="144"/>
      <c r="D35" s="145">
        <v>14.076172129229834</v>
      </c>
      <c r="F35" s="232">
        <v>3.8389654474134716</v>
      </c>
      <c r="G35" s="144"/>
      <c r="H35" s="145">
        <v>1.1844095115428028</v>
      </c>
      <c r="I35" s="144"/>
    </row>
    <row r="36" spans="1:9" s="145" customFormat="1" x14ac:dyDescent="0.35">
      <c r="A36" s="232" t="s">
        <v>1533</v>
      </c>
      <c r="B36" s="232">
        <v>1.1208647171984851</v>
      </c>
      <c r="C36" s="144"/>
      <c r="D36" s="145">
        <v>1.7531252295260142</v>
      </c>
      <c r="F36" s="232">
        <v>20.561541082829244</v>
      </c>
      <c r="G36" s="144"/>
      <c r="H36" s="145">
        <v>0.93028320969107503</v>
      </c>
      <c r="I36" s="144"/>
    </row>
    <row r="37" spans="1:9" s="145" customFormat="1" x14ac:dyDescent="0.35">
      <c r="A37" s="231" t="s">
        <v>1532</v>
      </c>
      <c r="B37" s="49">
        <v>246.48755065280119</v>
      </c>
      <c r="C37" s="43"/>
      <c r="D37" s="48">
        <v>1373.5456280212559</v>
      </c>
      <c r="E37" s="44"/>
      <c r="F37" s="49">
        <v>9520.6758359872183</v>
      </c>
      <c r="G37" s="43"/>
      <c r="H37" s="48">
        <v>342.79481330431082</v>
      </c>
      <c r="I37" s="43"/>
    </row>
    <row r="38" spans="1:9" s="145" customFormat="1" ht="13.15" x14ac:dyDescent="0.4">
      <c r="A38" s="390" t="s">
        <v>1663</v>
      </c>
      <c r="B38" s="387"/>
      <c r="C38" s="381"/>
      <c r="D38" s="382"/>
      <c r="E38" s="382"/>
      <c r="F38" s="387"/>
      <c r="G38" s="381"/>
      <c r="H38" s="382"/>
      <c r="I38" s="381"/>
    </row>
    <row r="39" spans="1:9" s="145" customFormat="1" x14ac:dyDescent="0.35">
      <c r="A39" s="232" t="s">
        <v>1525</v>
      </c>
      <c r="B39" s="232">
        <v>49.475196516112888</v>
      </c>
      <c r="C39" s="144"/>
      <c r="D39" s="145">
        <v>248.89137326385008</v>
      </c>
      <c r="F39" s="232">
        <v>303.30601374760073</v>
      </c>
      <c r="G39" s="144"/>
      <c r="H39" s="145">
        <v>30.230264422737317</v>
      </c>
      <c r="I39" s="144"/>
    </row>
    <row r="40" spans="1:9" s="145" customFormat="1" x14ac:dyDescent="0.35">
      <c r="A40" s="232" t="s">
        <v>1524</v>
      </c>
      <c r="B40" s="232">
        <v>144.7085788514928</v>
      </c>
      <c r="C40" s="144"/>
      <c r="D40" s="145">
        <v>1757.1174588548711</v>
      </c>
      <c r="F40" s="232">
        <v>3553.4427408521615</v>
      </c>
      <c r="G40" s="144"/>
      <c r="H40" s="145">
        <v>108.98715949836586</v>
      </c>
      <c r="I40" s="144"/>
    </row>
    <row r="41" spans="1:9" s="145" customFormat="1" x14ac:dyDescent="0.35">
      <c r="A41" s="232" t="s">
        <v>1523</v>
      </c>
      <c r="B41" s="232">
        <v>340.52386915754062</v>
      </c>
      <c r="C41" s="144"/>
      <c r="D41" s="145">
        <v>4631.6657984819994</v>
      </c>
      <c r="F41" s="232">
        <v>10209.322377963084</v>
      </c>
      <c r="G41" s="144"/>
      <c r="H41" s="145">
        <v>295.31337768532569</v>
      </c>
      <c r="I41" s="144"/>
    </row>
    <row r="42" spans="1:9" s="145" customFormat="1" x14ac:dyDescent="0.35">
      <c r="A42" s="232" t="s">
        <v>1522</v>
      </c>
      <c r="B42" s="232">
        <v>28.050571041837806</v>
      </c>
      <c r="C42" s="321">
        <v>54.447000000000003</v>
      </c>
      <c r="D42" s="145">
        <v>261.41900503868811</v>
      </c>
      <c r="F42" s="232">
        <v>1414.2330464497682</v>
      </c>
      <c r="G42" s="144">
        <v>54.447000000000003</v>
      </c>
      <c r="H42" s="145">
        <v>59.311896698441132</v>
      </c>
      <c r="I42" s="144"/>
    </row>
    <row r="43" spans="1:9" s="145" customFormat="1" x14ac:dyDescent="0.35">
      <c r="A43" s="232" t="s">
        <v>1521</v>
      </c>
      <c r="B43" s="232">
        <v>13.358874646453661</v>
      </c>
      <c r="C43" s="144">
        <v>27.223500000000001</v>
      </c>
      <c r="D43" s="145">
        <v>172.35370691160642</v>
      </c>
      <c r="F43" s="232">
        <v>641.76674460245704</v>
      </c>
      <c r="G43" s="144">
        <v>27.223500000000001</v>
      </c>
      <c r="H43" s="145">
        <v>27.163107671558905</v>
      </c>
      <c r="I43" s="144"/>
    </row>
    <row r="44" spans="1:9" s="145" customFormat="1" x14ac:dyDescent="0.35">
      <c r="A44" s="232" t="s">
        <v>1520</v>
      </c>
      <c r="B44" s="232">
        <v>302.63262754490734</v>
      </c>
      <c r="C44" s="144"/>
      <c r="D44" s="145">
        <v>3597.0193501071603</v>
      </c>
      <c r="E44" s="42">
        <v>125927.30499999999</v>
      </c>
      <c r="F44" s="232">
        <v>11749.576894089882</v>
      </c>
      <c r="G44" s="144">
        <v>125927.30499999999</v>
      </c>
      <c r="H44" s="145">
        <v>1010.3303296698975</v>
      </c>
      <c r="I44" s="144"/>
    </row>
    <row r="45" spans="1:9" s="145" customFormat="1" x14ac:dyDescent="0.35">
      <c r="A45" s="232" t="s">
        <v>1519</v>
      </c>
      <c r="B45" s="232">
        <v>1.1652529911289233</v>
      </c>
      <c r="C45" s="144"/>
      <c r="D45" s="145">
        <v>71.567998124446589</v>
      </c>
      <c r="F45" s="232">
        <v>134.45587620242407</v>
      </c>
      <c r="G45" s="144"/>
      <c r="H45" s="145">
        <v>1.9971404042636398</v>
      </c>
      <c r="I45" s="144"/>
    </row>
    <row r="46" spans="1:9" s="145" customFormat="1" x14ac:dyDescent="0.35">
      <c r="A46" s="232" t="s">
        <v>1518</v>
      </c>
      <c r="B46" s="232">
        <v>2.4352953508171358</v>
      </c>
      <c r="C46" s="144"/>
      <c r="D46" s="145">
        <v>38.418530928253304</v>
      </c>
      <c r="F46" s="232">
        <v>113.07499615555577</v>
      </c>
      <c r="G46" s="144"/>
      <c r="H46" s="145">
        <v>3.1725840562092973</v>
      </c>
      <c r="I46" s="144"/>
    </row>
    <row r="47" spans="1:9" s="145" customFormat="1" x14ac:dyDescent="0.35">
      <c r="A47" s="232" t="s">
        <v>1531</v>
      </c>
      <c r="B47" s="232">
        <v>434.95936566116688</v>
      </c>
      <c r="C47" s="144"/>
      <c r="D47" s="145">
        <v>4297.4043048607919</v>
      </c>
      <c r="F47" s="232">
        <v>4185.7482353563428</v>
      </c>
      <c r="G47" s="144"/>
      <c r="H47" s="145">
        <v>525.5989485384622</v>
      </c>
      <c r="I47" s="144"/>
    </row>
    <row r="48" spans="1:9" s="145" customFormat="1" x14ac:dyDescent="0.35">
      <c r="A48" s="232" t="s">
        <v>1530</v>
      </c>
      <c r="B48" s="232">
        <v>2.7815618833819813</v>
      </c>
      <c r="C48" s="144"/>
      <c r="D48" s="145">
        <v>36.774381292435024</v>
      </c>
      <c r="F48" s="232">
        <v>64.427447790712165</v>
      </c>
      <c r="G48" s="144"/>
      <c r="H48" s="145">
        <v>5.1148976039149936</v>
      </c>
      <c r="I48" s="144"/>
    </row>
    <row r="49" spans="1:12" s="48" customFormat="1" x14ac:dyDescent="0.35">
      <c r="A49" s="45" t="s">
        <v>1529</v>
      </c>
      <c r="B49" s="389">
        <v>250850.64801027975</v>
      </c>
      <c r="C49" s="531"/>
      <c r="D49" s="151">
        <v>1931125.1630920414</v>
      </c>
      <c r="E49" s="44"/>
      <c r="F49" s="389">
        <v>3024077.8049814352</v>
      </c>
      <c r="G49" s="43"/>
      <c r="H49" s="151">
        <v>308967.8708387615</v>
      </c>
      <c r="I49" s="43"/>
    </row>
    <row r="50" spans="1:12" s="145" customFormat="1" ht="13.15" x14ac:dyDescent="0.4">
      <c r="A50" s="388" t="s">
        <v>1662</v>
      </c>
      <c r="B50" s="232"/>
      <c r="C50" s="144"/>
      <c r="D50" s="148"/>
      <c r="F50" s="411"/>
      <c r="G50" s="144"/>
      <c r="H50" s="148"/>
      <c r="I50" s="144"/>
    </row>
    <row r="51" spans="1:12" s="145" customFormat="1" x14ac:dyDescent="0.35">
      <c r="A51" s="232" t="s">
        <v>1525</v>
      </c>
      <c r="B51" s="232">
        <v>4.3310890039545482</v>
      </c>
      <c r="C51" s="144">
        <v>0</v>
      </c>
      <c r="D51" s="145">
        <v>16.609939288337291</v>
      </c>
      <c r="E51" s="145">
        <v>0</v>
      </c>
      <c r="F51" s="232">
        <v>41.416885580311678</v>
      </c>
      <c r="G51" s="144">
        <v>0</v>
      </c>
      <c r="H51" s="145">
        <v>3.1045145770414768</v>
      </c>
      <c r="I51" s="144">
        <v>0</v>
      </c>
    </row>
    <row r="52" spans="1:12" s="145" customFormat="1" x14ac:dyDescent="0.35">
      <c r="A52" s="232" t="s">
        <v>1524</v>
      </c>
      <c r="B52" s="232">
        <v>11.726360192006391</v>
      </c>
      <c r="C52" s="144">
        <v>0</v>
      </c>
      <c r="D52" s="145">
        <v>83.21485009461486</v>
      </c>
      <c r="E52" s="145">
        <v>0</v>
      </c>
      <c r="F52" s="232">
        <v>94.187408087327384</v>
      </c>
      <c r="G52" s="144">
        <v>0</v>
      </c>
      <c r="H52" s="145">
        <v>14.938129109993493</v>
      </c>
      <c r="I52" s="144">
        <v>0</v>
      </c>
    </row>
    <row r="53" spans="1:12" s="145" customFormat="1" x14ac:dyDescent="0.35">
      <c r="A53" s="232" t="s">
        <v>1523</v>
      </c>
      <c r="B53" s="232">
        <v>28.797609708018943</v>
      </c>
      <c r="C53" s="144">
        <v>0</v>
      </c>
      <c r="D53" s="145">
        <v>181.32860028156594</v>
      </c>
      <c r="E53" s="145">
        <v>0</v>
      </c>
      <c r="F53" s="232">
        <v>277.64061726892123</v>
      </c>
      <c r="G53" s="144">
        <v>0</v>
      </c>
      <c r="H53" s="145">
        <v>38.322847440585292</v>
      </c>
      <c r="I53" s="144">
        <v>0</v>
      </c>
    </row>
    <row r="54" spans="1:12" s="145" customFormat="1" x14ac:dyDescent="0.35">
      <c r="A54" s="232" t="s">
        <v>1522</v>
      </c>
      <c r="B54" s="232">
        <v>3.6559017726080643</v>
      </c>
      <c r="C54" s="144">
        <v>0</v>
      </c>
      <c r="D54" s="145">
        <v>18.763124086076658</v>
      </c>
      <c r="E54" s="145">
        <v>0</v>
      </c>
      <c r="F54" s="232">
        <v>45.503828330527632</v>
      </c>
      <c r="G54" s="144">
        <v>0</v>
      </c>
      <c r="H54" s="145">
        <v>4.797451351024355</v>
      </c>
      <c r="I54" s="144">
        <v>0</v>
      </c>
    </row>
    <row r="55" spans="1:12" s="145" customFormat="1" x14ac:dyDescent="0.35">
      <c r="A55" s="232" t="s">
        <v>1521</v>
      </c>
      <c r="B55" s="232">
        <v>2.7176078954126974</v>
      </c>
      <c r="C55" s="144">
        <v>0</v>
      </c>
      <c r="D55" s="145">
        <v>13.880660896275444</v>
      </c>
      <c r="E55" s="145">
        <v>0</v>
      </c>
      <c r="F55" s="232">
        <v>29.783088542780217</v>
      </c>
      <c r="G55" s="144">
        <v>0</v>
      </c>
      <c r="H55" s="145">
        <v>3.5596557263812802</v>
      </c>
      <c r="I55" s="144">
        <v>0</v>
      </c>
    </row>
    <row r="56" spans="1:12" s="145" customFormat="1" x14ac:dyDescent="0.35">
      <c r="A56" s="232" t="s">
        <v>1520</v>
      </c>
      <c r="B56" s="232">
        <v>106.46417996447823</v>
      </c>
      <c r="C56" s="144">
        <v>0</v>
      </c>
      <c r="D56" s="145">
        <v>602.73965273415024</v>
      </c>
      <c r="E56" s="145">
        <v>0</v>
      </c>
      <c r="F56" s="232">
        <v>1066.8615202914104</v>
      </c>
      <c r="G56" s="144">
        <v>0</v>
      </c>
      <c r="H56" s="145">
        <v>150.93849541873072</v>
      </c>
      <c r="I56" s="144">
        <v>0</v>
      </c>
    </row>
    <row r="57" spans="1:12" s="145" customFormat="1" x14ac:dyDescent="0.35">
      <c r="A57" s="232" t="s">
        <v>1519</v>
      </c>
      <c r="B57" s="232">
        <v>0.19361965349825408</v>
      </c>
      <c r="C57" s="144">
        <v>0</v>
      </c>
      <c r="D57" s="145">
        <v>0.88785813857210516</v>
      </c>
      <c r="E57" s="145">
        <v>0</v>
      </c>
      <c r="F57" s="232">
        <v>2.1870466271175975</v>
      </c>
      <c r="G57" s="144">
        <v>0</v>
      </c>
      <c r="H57" s="145">
        <v>0.22934716251641404</v>
      </c>
      <c r="I57" s="144">
        <v>0</v>
      </c>
    </row>
    <row r="58" spans="1:12" s="145" customFormat="1" x14ac:dyDescent="0.35">
      <c r="A58" s="231" t="s">
        <v>1518</v>
      </c>
      <c r="B58" s="231">
        <v>0.42711819947561686</v>
      </c>
      <c r="C58" s="141">
        <v>0</v>
      </c>
      <c r="D58" s="142">
        <v>2.2053951308544066</v>
      </c>
      <c r="E58" s="142">
        <v>0</v>
      </c>
      <c r="F58" s="231">
        <v>4.2050428615082813</v>
      </c>
      <c r="G58" s="141">
        <v>0</v>
      </c>
      <c r="H58" s="142">
        <v>0.55217732522872742</v>
      </c>
      <c r="I58" s="141">
        <v>0</v>
      </c>
    </row>
    <row r="59" spans="1:12" s="145" customFormat="1" x14ac:dyDescent="0.35"/>
    <row r="60" spans="1:12" s="145" customFormat="1" ht="13.9" x14ac:dyDescent="0.4">
      <c r="A60" s="386" t="s">
        <v>2054</v>
      </c>
    </row>
    <row r="61" spans="1:12" s="145" customFormat="1" ht="39.4" x14ac:dyDescent="0.4">
      <c r="A61" s="237"/>
      <c r="B61" s="530" t="s">
        <v>1198</v>
      </c>
      <c r="C61" s="405" t="s">
        <v>2053</v>
      </c>
      <c r="D61" s="404" t="s">
        <v>1287</v>
      </c>
      <c r="E61" s="2199" t="s">
        <v>2051</v>
      </c>
      <c r="F61" s="2240"/>
      <c r="G61" s="530" t="s">
        <v>2052</v>
      </c>
      <c r="H61" s="404" t="s">
        <v>1287</v>
      </c>
      <c r="I61" s="2199" t="s">
        <v>2051</v>
      </c>
      <c r="J61" s="2240"/>
      <c r="K61" s="2197" t="s">
        <v>327</v>
      </c>
      <c r="L61" s="2239"/>
    </row>
    <row r="62" spans="1:12" s="145" customFormat="1" ht="13.15" x14ac:dyDescent="0.4">
      <c r="A62" s="390" t="s">
        <v>2050</v>
      </c>
      <c r="B62" s="529"/>
      <c r="C62" s="408"/>
      <c r="D62" s="144"/>
      <c r="E62" s="403" t="s">
        <v>1873</v>
      </c>
      <c r="F62" s="429" t="s">
        <v>1872</v>
      </c>
      <c r="G62" s="232"/>
      <c r="H62" s="144"/>
      <c r="I62" s="403" t="s">
        <v>1873</v>
      </c>
      <c r="J62" s="429" t="s">
        <v>1872</v>
      </c>
      <c r="K62" s="527" t="s">
        <v>1873</v>
      </c>
      <c r="L62" s="402" t="s">
        <v>1872</v>
      </c>
    </row>
    <row r="63" spans="1:12" s="145" customFormat="1" x14ac:dyDescent="0.35">
      <c r="A63" s="232" t="s">
        <v>1537</v>
      </c>
      <c r="B63" s="232">
        <v>3.5584031964596159</v>
      </c>
      <c r="C63" s="145">
        <v>28.014031964053189</v>
      </c>
      <c r="D63" s="144">
        <v>4.3550799491951944</v>
      </c>
      <c r="E63" s="145">
        <v>35.927515109707997</v>
      </c>
      <c r="F63" s="146">
        <v>1.7963757554854E-2</v>
      </c>
      <c r="G63" s="232">
        <v>46.222488953407478</v>
      </c>
      <c r="H63" s="144">
        <v>4.3550799491951944</v>
      </c>
      <c r="I63" s="145">
        <v>50.577568902602671</v>
      </c>
      <c r="J63" s="146">
        <v>2.5288784451301335E-2</v>
      </c>
      <c r="K63" s="146">
        <v>38.242223608985356</v>
      </c>
      <c r="L63" s="144">
        <v>1.9121111804492677E-2</v>
      </c>
    </row>
    <row r="64" spans="1:12" s="145" customFormat="1" x14ac:dyDescent="0.35">
      <c r="A64" s="232" t="s">
        <v>1536</v>
      </c>
      <c r="B64" s="232">
        <v>3.1077135516646881</v>
      </c>
      <c r="C64" s="145">
        <v>25.402039382407267</v>
      </c>
      <c r="D64" s="144">
        <v>3.7025261817512649</v>
      </c>
      <c r="E64" s="145">
        <v>32.212279115823222</v>
      </c>
      <c r="F64" s="146">
        <v>1.6106139557911611E-2</v>
      </c>
      <c r="G64" s="232">
        <v>34.957262723287648</v>
      </c>
      <c r="H64" s="144">
        <v>3.7025261817512649</v>
      </c>
      <c r="I64" s="145">
        <v>38.659788905038916</v>
      </c>
      <c r="J64" s="146">
        <v>1.9329894452519456E-2</v>
      </c>
      <c r="K64" s="146">
        <v>33.230985662519302</v>
      </c>
      <c r="L64" s="144">
        <v>1.661549283125965E-2</v>
      </c>
    </row>
    <row r="65" spans="1:12" s="145" customFormat="1" x14ac:dyDescent="0.35">
      <c r="A65" s="232" t="s">
        <v>1535</v>
      </c>
      <c r="B65" s="232">
        <v>1.0879023639262815</v>
      </c>
      <c r="C65" s="145">
        <v>9.5727420236514185</v>
      </c>
      <c r="D65" s="144">
        <v>1.5878334605173874</v>
      </c>
      <c r="E65" s="145">
        <v>12.248477848095087</v>
      </c>
      <c r="F65" s="146">
        <v>6.1242389240475431E-3</v>
      </c>
      <c r="G65" s="232">
        <v>10.556756193044935</v>
      </c>
      <c r="H65" s="144">
        <v>1.5878334605173874</v>
      </c>
      <c r="I65" s="145">
        <v>12.144589653562322</v>
      </c>
      <c r="J65" s="146">
        <v>6.0722948267811615E-3</v>
      </c>
      <c r="K65" s="146">
        <v>12.232063513358909</v>
      </c>
      <c r="L65" s="144">
        <v>6.1160317566794544E-3</v>
      </c>
    </row>
    <row r="66" spans="1:12" s="145" customFormat="1" x14ac:dyDescent="0.35">
      <c r="A66" s="232" t="s">
        <v>1534</v>
      </c>
      <c r="B66" s="232">
        <v>0.89894647053992172</v>
      </c>
      <c r="C66" s="145">
        <v>14.076172129229834</v>
      </c>
      <c r="D66" s="144">
        <v>1.1844095115428028</v>
      </c>
      <c r="E66" s="145">
        <v>16.159528111312557</v>
      </c>
      <c r="F66" s="146">
        <v>8.0797640556562796E-3</v>
      </c>
      <c r="G66" s="232">
        <v>3.8389654474134716</v>
      </c>
      <c r="H66" s="144">
        <v>1.1844095115428028</v>
      </c>
      <c r="I66" s="145">
        <v>5.0233749589562748</v>
      </c>
      <c r="J66" s="146">
        <v>2.5116874794781346E-3</v>
      </c>
      <c r="K66" s="146">
        <v>14.400015913240265</v>
      </c>
      <c r="L66" s="144">
        <v>7.2000079566201343E-3</v>
      </c>
    </row>
    <row r="67" spans="1:12" s="145" customFormat="1" x14ac:dyDescent="0.35">
      <c r="A67" s="232" t="s">
        <v>1533</v>
      </c>
      <c r="B67" s="232">
        <v>1.1208647171984851</v>
      </c>
      <c r="C67" s="145">
        <v>1.7531252295260142</v>
      </c>
      <c r="D67" s="144">
        <v>0.93028320969107503</v>
      </c>
      <c r="E67" s="145">
        <v>3.8042731564155745</v>
      </c>
      <c r="F67" s="146">
        <v>1.9021365782077872E-3</v>
      </c>
      <c r="G67" s="232">
        <v>20.561541082829244</v>
      </c>
      <c r="H67" s="144">
        <v>0.93028320969107503</v>
      </c>
      <c r="I67" s="145">
        <v>21.49182429252032</v>
      </c>
      <c r="J67" s="146">
        <v>1.074591214626016E-2</v>
      </c>
      <c r="K67" s="146">
        <v>6.5989062359201238</v>
      </c>
      <c r="L67" s="144">
        <v>3.2994531179600618E-3</v>
      </c>
    </row>
    <row r="68" spans="1:12" s="145" customFormat="1" x14ac:dyDescent="0.35">
      <c r="A68" s="391" t="s">
        <v>1532</v>
      </c>
      <c r="B68" s="290">
        <v>246.48755065280119</v>
      </c>
      <c r="C68" s="291">
        <v>1373.5456280212559</v>
      </c>
      <c r="D68" s="289">
        <v>342.79481330431082</v>
      </c>
      <c r="E68" s="291">
        <v>1962.8279919783679</v>
      </c>
      <c r="F68" s="528">
        <v>0.981413995989184</v>
      </c>
      <c r="G68" s="290">
        <v>9520.6758359872183</v>
      </c>
      <c r="H68" s="433">
        <v>342.79481330431082</v>
      </c>
      <c r="I68" s="291">
        <v>9863.4706492915284</v>
      </c>
      <c r="J68" s="528">
        <v>4.9317353246457643</v>
      </c>
      <c r="K68" s="383">
        <v>3211.1295318338471</v>
      </c>
      <c r="L68" s="433">
        <v>1.6055647659169234</v>
      </c>
    </row>
    <row r="69" spans="1:12" s="145" customFormat="1" ht="13.15" x14ac:dyDescent="0.4">
      <c r="A69" s="388" t="s">
        <v>1564</v>
      </c>
      <c r="B69" s="232"/>
      <c r="D69" s="144"/>
      <c r="E69" s="403" t="s">
        <v>1873</v>
      </c>
      <c r="F69" s="527" t="s">
        <v>1872</v>
      </c>
      <c r="G69" s="232"/>
      <c r="H69" s="144"/>
      <c r="I69" s="403" t="s">
        <v>1873</v>
      </c>
      <c r="J69" s="527" t="s">
        <v>1872</v>
      </c>
      <c r="K69" s="527" t="s">
        <v>1873</v>
      </c>
      <c r="L69" s="402" t="s">
        <v>1872</v>
      </c>
    </row>
    <row r="70" spans="1:12" s="145" customFormat="1" x14ac:dyDescent="0.35">
      <c r="A70" s="232" t="s">
        <v>1525</v>
      </c>
      <c r="B70" s="232">
        <v>49.475196516112888</v>
      </c>
      <c r="C70" s="145">
        <v>248.89137326385008</v>
      </c>
      <c r="D70" s="144">
        <v>30.230264422737317</v>
      </c>
      <c r="E70" s="145">
        <v>328.59683420270028</v>
      </c>
      <c r="F70" s="146">
        <v>0.16429841710135015</v>
      </c>
      <c r="G70" s="232">
        <v>303.30601374760073</v>
      </c>
      <c r="H70" s="144">
        <v>30.230264422737317</v>
      </c>
      <c r="I70" s="145">
        <v>333.53627817033805</v>
      </c>
      <c r="J70" s="146">
        <v>0.16676813908516902</v>
      </c>
      <c r="K70" s="146">
        <v>329.37726634958699</v>
      </c>
      <c r="L70" s="144">
        <v>0.16468863317479349</v>
      </c>
    </row>
    <row r="71" spans="1:12" s="145" customFormat="1" x14ac:dyDescent="0.35">
      <c r="A71" s="232" t="s">
        <v>1524</v>
      </c>
      <c r="B71" s="232">
        <v>144.7085788514928</v>
      </c>
      <c r="C71" s="145">
        <v>1757.1174588548711</v>
      </c>
      <c r="D71" s="144">
        <v>108.98715949836586</v>
      </c>
      <c r="E71" s="145">
        <v>2010.8131972047297</v>
      </c>
      <c r="F71" s="146">
        <v>1.0054065986023648</v>
      </c>
      <c r="G71" s="232">
        <v>3553.4427408521615</v>
      </c>
      <c r="H71" s="144">
        <v>108.98715949836586</v>
      </c>
      <c r="I71" s="145">
        <v>3662.4299003505275</v>
      </c>
      <c r="J71" s="146">
        <v>1.8312149501752637</v>
      </c>
      <c r="K71" s="146">
        <v>2271.7686363017656</v>
      </c>
      <c r="L71" s="144">
        <v>1.1358843181508829</v>
      </c>
    </row>
    <row r="72" spans="1:12" s="145" customFormat="1" x14ac:dyDescent="0.35">
      <c r="A72" s="232" t="s">
        <v>1563</v>
      </c>
      <c r="B72" s="232">
        <v>340.52386915754062</v>
      </c>
      <c r="C72" s="145">
        <v>4631.6657984819994</v>
      </c>
      <c r="D72" s="144">
        <v>295.31337768532569</v>
      </c>
      <c r="E72" s="145">
        <v>5267.5030453248655</v>
      </c>
      <c r="F72" s="146">
        <v>2.6337515226624326</v>
      </c>
      <c r="G72" s="232">
        <v>10209.322377963084</v>
      </c>
      <c r="H72" s="144">
        <v>295.31337768532569</v>
      </c>
      <c r="I72" s="145">
        <v>10504.635755648411</v>
      </c>
      <c r="J72" s="146">
        <v>5.252317877824205</v>
      </c>
      <c r="K72" s="146">
        <v>6094.9700135559851</v>
      </c>
      <c r="L72" s="144">
        <v>3.0474850067779924</v>
      </c>
    </row>
    <row r="73" spans="1:12" s="145" customFormat="1" x14ac:dyDescent="0.35">
      <c r="A73" s="232" t="s">
        <v>1522</v>
      </c>
      <c r="B73" s="232">
        <v>82.497571041837801</v>
      </c>
      <c r="C73" s="145">
        <v>261.41900503868811</v>
      </c>
      <c r="D73" s="144">
        <v>59.311896698441132</v>
      </c>
      <c r="E73" s="145">
        <v>403.2284727789671</v>
      </c>
      <c r="F73" s="146">
        <v>0.20161423638948356</v>
      </c>
      <c r="G73" s="232">
        <v>1468.6800464497683</v>
      </c>
      <c r="H73" s="144">
        <v>59.311896698441132</v>
      </c>
      <c r="I73" s="145">
        <v>1527.9919431482094</v>
      </c>
      <c r="J73" s="146">
        <v>0.7639959715741047</v>
      </c>
      <c r="K73" s="146">
        <v>580.94110109730741</v>
      </c>
      <c r="L73" s="144">
        <v>0.29047055054865373</v>
      </c>
    </row>
    <row r="74" spans="1:12" s="145" customFormat="1" x14ac:dyDescent="0.35">
      <c r="A74" s="232" t="s">
        <v>1521</v>
      </c>
      <c r="B74" s="232">
        <v>40.582374646453658</v>
      </c>
      <c r="C74" s="145">
        <v>172.35370691160642</v>
      </c>
      <c r="D74" s="144">
        <v>27.163107671558905</v>
      </c>
      <c r="E74" s="145">
        <v>240.09918922961901</v>
      </c>
      <c r="F74" s="146">
        <v>0.1200495946148095</v>
      </c>
      <c r="G74" s="232">
        <v>668.9902446024571</v>
      </c>
      <c r="H74" s="144">
        <v>27.163107671558905</v>
      </c>
      <c r="I74" s="145">
        <v>696.15335227401602</v>
      </c>
      <c r="J74" s="146">
        <v>0.34807667613700799</v>
      </c>
      <c r="K74" s="146">
        <v>312.1557469906337</v>
      </c>
      <c r="L74" s="144">
        <v>0.15607787349531685</v>
      </c>
    </row>
    <row r="75" spans="1:12" s="145" customFormat="1" x14ac:dyDescent="0.35">
      <c r="A75" s="232" t="s">
        <v>1520</v>
      </c>
      <c r="B75" s="232">
        <v>302.63262754490734</v>
      </c>
      <c r="C75" s="145">
        <v>129524.32435010716</v>
      </c>
      <c r="D75" s="144">
        <v>1010.3303296698975</v>
      </c>
      <c r="E75" s="145">
        <v>130837.28730732197</v>
      </c>
      <c r="F75" s="146">
        <v>65.418643653660979</v>
      </c>
      <c r="G75" s="232">
        <v>137676.88189408986</v>
      </c>
      <c r="H75" s="144">
        <v>1010.3303296698975</v>
      </c>
      <c r="I75" s="145">
        <v>138687.21222375977</v>
      </c>
      <c r="J75" s="146">
        <v>69.343606111879879</v>
      </c>
      <c r="K75" s="146">
        <v>132077.57544411914</v>
      </c>
      <c r="L75" s="144">
        <v>66.038787722059567</v>
      </c>
    </row>
    <row r="76" spans="1:12" s="145" customFormat="1" x14ac:dyDescent="0.35">
      <c r="A76" s="232" t="s">
        <v>1519</v>
      </c>
      <c r="B76" s="232">
        <v>1.1652529911289233</v>
      </c>
      <c r="C76" s="145">
        <v>71.567998124446589</v>
      </c>
      <c r="D76" s="144">
        <v>1.9971404042636398</v>
      </c>
      <c r="E76" s="145">
        <v>74.730391519839159</v>
      </c>
      <c r="F76" s="146">
        <v>3.7365195759919582E-2</v>
      </c>
      <c r="G76" s="232">
        <v>134.45587620242407</v>
      </c>
      <c r="H76" s="144">
        <v>1.9971404042636398</v>
      </c>
      <c r="I76" s="145">
        <v>136.4530166066877</v>
      </c>
      <c r="J76" s="146">
        <v>6.8226508303343855E-2</v>
      </c>
      <c r="K76" s="146">
        <v>84.482566283561226</v>
      </c>
      <c r="L76" s="144">
        <v>4.2241283141780613E-2</v>
      </c>
    </row>
    <row r="77" spans="1:12" s="145" customFormat="1" x14ac:dyDescent="0.35">
      <c r="A77" s="232" t="s">
        <v>1518</v>
      </c>
      <c r="B77" s="232">
        <v>2.4352953508171358</v>
      </c>
      <c r="C77" s="145">
        <v>38.418530928253304</v>
      </c>
      <c r="D77" s="144">
        <v>3.1725840562092973</v>
      </c>
      <c r="E77" s="145">
        <v>44.026410335279735</v>
      </c>
      <c r="F77" s="146">
        <v>2.2013205167639868E-2</v>
      </c>
      <c r="G77" s="232">
        <v>113.07499615555577</v>
      </c>
      <c r="H77" s="144">
        <v>3.1725840562092973</v>
      </c>
      <c r="I77" s="145">
        <v>116.24758021176507</v>
      </c>
      <c r="J77" s="146">
        <v>5.8123790105882533E-2</v>
      </c>
      <c r="K77" s="146">
        <v>55.437355175764424</v>
      </c>
      <c r="L77" s="144">
        <v>2.7718677587882212E-2</v>
      </c>
    </row>
    <row r="78" spans="1:12" s="145" customFormat="1" x14ac:dyDescent="0.35">
      <c r="A78" s="232" t="s">
        <v>1531</v>
      </c>
      <c r="B78" s="232">
        <v>434.95936566116688</v>
      </c>
      <c r="C78" s="145">
        <v>4297.4043048607919</v>
      </c>
      <c r="D78" s="144">
        <v>525.5989485384622</v>
      </c>
      <c r="E78" s="145">
        <v>5257.9626190604213</v>
      </c>
      <c r="F78" s="146">
        <v>2.6289813095302108</v>
      </c>
      <c r="G78" s="232">
        <v>4185.7482353563428</v>
      </c>
      <c r="H78" s="144">
        <v>525.5989485384622</v>
      </c>
      <c r="I78" s="145">
        <v>4711.3471838948053</v>
      </c>
      <c r="J78" s="146">
        <v>2.3556735919474026</v>
      </c>
      <c r="K78" s="146">
        <v>5171.5973803042534</v>
      </c>
      <c r="L78" s="144">
        <v>2.5857986901521266</v>
      </c>
    </row>
    <row r="79" spans="1:12" s="145" customFormat="1" x14ac:dyDescent="0.35">
      <c r="A79" s="232" t="s">
        <v>1530</v>
      </c>
      <c r="B79" s="232">
        <v>2.7815618833819813</v>
      </c>
      <c r="C79" s="145">
        <v>36.774381292435024</v>
      </c>
      <c r="D79" s="144">
        <v>5.1148976039149936</v>
      </c>
      <c r="E79" s="145">
        <v>44.670840779732004</v>
      </c>
      <c r="F79" s="146">
        <v>2.2335420389866002E-2</v>
      </c>
      <c r="G79" s="232">
        <v>64.427447790712165</v>
      </c>
      <c r="H79" s="144">
        <v>5.1148976039149936</v>
      </c>
      <c r="I79" s="145">
        <v>69.542345394627162</v>
      </c>
      <c r="J79" s="146">
        <v>3.4771172697313578E-2</v>
      </c>
      <c r="K79" s="146">
        <v>48.600538508885435</v>
      </c>
      <c r="L79" s="144">
        <v>2.4300269254442716E-2</v>
      </c>
    </row>
    <row r="80" spans="1:12" s="48" customFormat="1" x14ac:dyDescent="0.35">
      <c r="A80" s="49" t="s">
        <v>1529</v>
      </c>
      <c r="B80" s="240">
        <v>250850.64801027975</v>
      </c>
      <c r="C80" s="154">
        <v>1931125.1630920414</v>
      </c>
      <c r="D80" s="153">
        <v>308967.8708387615</v>
      </c>
      <c r="E80" s="48">
        <v>2490943.6819410827</v>
      </c>
      <c r="F80" s="239">
        <v>1245.4718409705413</v>
      </c>
      <c r="G80" s="49">
        <v>3024077.8049814352</v>
      </c>
      <c r="H80" s="153">
        <v>308967.8708387615</v>
      </c>
      <c r="I80" s="48">
        <v>3333045.6758201965</v>
      </c>
      <c r="J80" s="239">
        <v>1666.5228379100984</v>
      </c>
      <c r="K80" s="239">
        <v>2623995.7969739828</v>
      </c>
      <c r="L80" s="153">
        <v>1311.9978984869915</v>
      </c>
    </row>
    <row r="81" spans="1:12" s="48" customFormat="1" x14ac:dyDescent="0.35">
      <c r="A81" s="49" t="s">
        <v>1528</v>
      </c>
      <c r="B81" s="240">
        <v>251232.24490142634</v>
      </c>
      <c r="C81" s="154">
        <v>1934662.0591169144</v>
      </c>
      <c r="D81" s="153">
        <v>309233.35403256695</v>
      </c>
      <c r="E81" s="154">
        <v>2495127.6580509078</v>
      </c>
      <c r="F81" s="239">
        <v>1247.5638290254537</v>
      </c>
      <c r="G81" s="240">
        <v>3030607.0901741921</v>
      </c>
      <c r="H81" s="153">
        <v>309233.35403256695</v>
      </c>
      <c r="I81" s="154">
        <v>3339840.4442067593</v>
      </c>
      <c r="J81" s="239">
        <v>1669.9202221033797</v>
      </c>
      <c r="K81" s="239">
        <v>2628592.2782635326</v>
      </c>
      <c r="L81" s="153">
        <v>1314.2961391317663</v>
      </c>
    </row>
    <row r="82" spans="1:12" s="48" customFormat="1" x14ac:dyDescent="0.35">
      <c r="A82" s="45" t="s">
        <v>1527</v>
      </c>
      <c r="B82" s="389">
        <v>265018.13977035758</v>
      </c>
      <c r="C82" s="151">
        <v>2073329.3993052335</v>
      </c>
      <c r="D82" s="150">
        <v>326356.7703537583</v>
      </c>
      <c r="E82" s="151">
        <v>2664704.3094293494</v>
      </c>
      <c r="F82" s="435">
        <v>1332.3521547146745</v>
      </c>
      <c r="G82" s="389">
        <v>3173252.8108994211</v>
      </c>
      <c r="H82" s="150">
        <v>326356.7703537583</v>
      </c>
      <c r="I82" s="151">
        <v>3499609.5812531798</v>
      </c>
      <c r="J82" s="435">
        <v>1749.8047906265899</v>
      </c>
      <c r="K82" s="435">
        <v>2796619.3423775146</v>
      </c>
      <c r="L82" s="150">
        <v>1398.3096711887574</v>
      </c>
    </row>
    <row r="83" spans="1:12" s="145" customFormat="1" ht="13.15" x14ac:dyDescent="0.4">
      <c r="A83" s="388" t="s">
        <v>1562</v>
      </c>
      <c r="B83" s="232"/>
      <c r="D83" s="144"/>
      <c r="E83" s="403" t="s">
        <v>1873</v>
      </c>
      <c r="F83" s="527" t="s">
        <v>1872</v>
      </c>
      <c r="G83" s="232"/>
      <c r="H83" s="144"/>
      <c r="I83" s="403" t="s">
        <v>1873</v>
      </c>
      <c r="J83" s="527" t="s">
        <v>1872</v>
      </c>
      <c r="K83" s="527" t="s">
        <v>1873</v>
      </c>
      <c r="L83" s="402" t="s">
        <v>1872</v>
      </c>
    </row>
    <row r="84" spans="1:12" s="145" customFormat="1" x14ac:dyDescent="0.35">
      <c r="A84" s="232" t="s">
        <v>1525</v>
      </c>
      <c r="B84" s="232">
        <v>4.3310890039545482</v>
      </c>
      <c r="C84" s="145">
        <v>16.609939288337291</v>
      </c>
      <c r="D84" s="144">
        <v>3.1045145770414768</v>
      </c>
      <c r="E84" s="145">
        <v>24.045542869333318</v>
      </c>
      <c r="F84" s="146">
        <v>1.2022771434666658E-2</v>
      </c>
      <c r="G84" s="232">
        <v>41.416885580311678</v>
      </c>
      <c r="H84" s="144">
        <v>3.1045145770414768</v>
      </c>
      <c r="I84" s="145">
        <v>44.521400157353156</v>
      </c>
      <c r="J84" s="146">
        <v>2.2260700078676577E-2</v>
      </c>
      <c r="K84" s="146">
        <v>27.280728320840453</v>
      </c>
      <c r="L84" s="144">
        <v>1.3640364160420226E-2</v>
      </c>
    </row>
    <row r="85" spans="1:12" s="145" customFormat="1" x14ac:dyDescent="0.35">
      <c r="A85" s="232" t="s">
        <v>1524</v>
      </c>
      <c r="B85" s="232">
        <v>11.726360192006391</v>
      </c>
      <c r="C85" s="145">
        <v>83.21485009461486</v>
      </c>
      <c r="D85" s="144">
        <v>14.938129109993493</v>
      </c>
      <c r="E85" s="145">
        <v>109.87933939661475</v>
      </c>
      <c r="F85" s="146">
        <v>5.4939669698307374E-2</v>
      </c>
      <c r="G85" s="232">
        <v>94.187408087327384</v>
      </c>
      <c r="H85" s="144">
        <v>14.938129109993493</v>
      </c>
      <c r="I85" s="145">
        <v>109.12553719732088</v>
      </c>
      <c r="J85" s="146">
        <v>5.4562768598660438E-2</v>
      </c>
      <c r="K85" s="146">
        <v>109.76023864912632</v>
      </c>
      <c r="L85" s="144">
        <v>5.4880119324563159E-2</v>
      </c>
    </row>
    <row r="86" spans="1:12" s="145" customFormat="1" x14ac:dyDescent="0.35">
      <c r="A86" s="232" t="s">
        <v>1523</v>
      </c>
      <c r="B86" s="232">
        <v>28.797609708018943</v>
      </c>
      <c r="C86" s="145">
        <v>181.32860028156594</v>
      </c>
      <c r="D86" s="144">
        <v>38.322847440585292</v>
      </c>
      <c r="E86" s="145">
        <v>248.44905743017017</v>
      </c>
      <c r="F86" s="146">
        <v>0.12422452871508509</v>
      </c>
      <c r="G86" s="232">
        <v>277.64061726892123</v>
      </c>
      <c r="H86" s="144">
        <v>38.322847440585292</v>
      </c>
      <c r="I86" s="145">
        <v>315.96346470950652</v>
      </c>
      <c r="J86" s="146">
        <v>0.15798173235475327</v>
      </c>
      <c r="K86" s="146">
        <v>259.1163337803053</v>
      </c>
      <c r="L86" s="144">
        <v>0.12955816689015265</v>
      </c>
    </row>
    <row r="87" spans="1:12" s="145" customFormat="1" x14ac:dyDescent="0.35">
      <c r="A87" s="232" t="s">
        <v>1522</v>
      </c>
      <c r="B87" s="232">
        <v>3.6559017726080643</v>
      </c>
      <c r="C87" s="145">
        <v>18.763124086076658</v>
      </c>
      <c r="D87" s="144">
        <v>4.797451351024355</v>
      </c>
      <c r="E87" s="145">
        <v>27.216477209709076</v>
      </c>
      <c r="F87" s="146">
        <v>1.3608238604854538E-2</v>
      </c>
      <c r="G87" s="232">
        <v>45.503828330527632</v>
      </c>
      <c r="H87" s="144">
        <v>4.797451351024355</v>
      </c>
      <c r="I87" s="145">
        <v>50.301279681551989</v>
      </c>
      <c r="J87" s="146">
        <v>2.5150639840775993E-2</v>
      </c>
      <c r="K87" s="146">
        <v>30.863876000260255</v>
      </c>
      <c r="L87" s="144">
        <v>1.5431938000130128E-2</v>
      </c>
    </row>
    <row r="88" spans="1:12" s="145" customFormat="1" x14ac:dyDescent="0.35">
      <c r="A88" s="232" t="s">
        <v>1521</v>
      </c>
      <c r="B88" s="232">
        <v>2.7176078954126974</v>
      </c>
      <c r="C88" s="145">
        <v>13.880660896275444</v>
      </c>
      <c r="D88" s="144">
        <v>3.5596557263812802</v>
      </c>
      <c r="E88" s="145">
        <v>20.157924518069422</v>
      </c>
      <c r="F88" s="146">
        <v>1.0078962259034711E-2</v>
      </c>
      <c r="G88" s="232">
        <v>29.783088542780217</v>
      </c>
      <c r="H88" s="144">
        <v>3.5596557263812802</v>
      </c>
      <c r="I88" s="145">
        <v>33.3427442691615</v>
      </c>
      <c r="J88" s="146">
        <v>1.667137213458075E-2</v>
      </c>
      <c r="K88" s="146">
        <v>22.241126038741967</v>
      </c>
      <c r="L88" s="144">
        <v>1.1120563019370984E-2</v>
      </c>
    </row>
    <row r="89" spans="1:12" s="145" customFormat="1" x14ac:dyDescent="0.35">
      <c r="A89" s="232" t="s">
        <v>1520</v>
      </c>
      <c r="B89" s="232">
        <v>106.46417996447823</v>
      </c>
      <c r="C89" s="145">
        <v>602.73965273415024</v>
      </c>
      <c r="D89" s="144">
        <v>150.93849541873072</v>
      </c>
      <c r="E89" s="145">
        <v>860.14232811735928</v>
      </c>
      <c r="F89" s="146">
        <v>0.43007116405867962</v>
      </c>
      <c r="G89" s="232">
        <v>1066.8615202914104</v>
      </c>
      <c r="H89" s="144">
        <v>150.93849541873072</v>
      </c>
      <c r="I89" s="145">
        <v>1217.8000157101412</v>
      </c>
      <c r="J89" s="146">
        <v>0.60890000785507059</v>
      </c>
      <c r="K89" s="146">
        <v>916.65224275701883</v>
      </c>
      <c r="L89" s="144">
        <v>0.45832612137850942</v>
      </c>
    </row>
    <row r="90" spans="1:12" s="145" customFormat="1" x14ac:dyDescent="0.35">
      <c r="A90" s="232" t="s">
        <v>1519</v>
      </c>
      <c r="B90" s="232">
        <v>0.19361965349825408</v>
      </c>
      <c r="C90" s="145">
        <v>0.88785813857210516</v>
      </c>
      <c r="D90" s="144">
        <v>0.22934716251641404</v>
      </c>
      <c r="E90" s="145">
        <v>1.3108249545867734</v>
      </c>
      <c r="F90" s="146">
        <v>6.5541247729338674E-4</v>
      </c>
      <c r="G90" s="232">
        <v>2.1870466271175975</v>
      </c>
      <c r="H90" s="144">
        <v>0.22934716251641404</v>
      </c>
      <c r="I90" s="145">
        <v>2.4163937896340113</v>
      </c>
      <c r="J90" s="146">
        <v>1.2081968948170056E-3</v>
      </c>
      <c r="K90" s="146">
        <v>1.4855048305242369</v>
      </c>
      <c r="L90" s="144">
        <v>7.4275241526211848E-4</v>
      </c>
    </row>
    <row r="91" spans="1:12" s="145" customFormat="1" x14ac:dyDescent="0.35">
      <c r="A91" s="231" t="s">
        <v>1518</v>
      </c>
      <c r="B91" s="231">
        <v>0.42711819947561686</v>
      </c>
      <c r="C91" s="142">
        <v>2.2053951308544066</v>
      </c>
      <c r="D91" s="141">
        <v>0.55217732522872742</v>
      </c>
      <c r="E91" s="142">
        <v>3.1846906555587511</v>
      </c>
      <c r="F91" s="143">
        <v>1.5923453277793755E-3</v>
      </c>
      <c r="G91" s="231">
        <v>4.2050428615082813</v>
      </c>
      <c r="H91" s="141">
        <v>0.55217732522872742</v>
      </c>
      <c r="I91" s="142">
        <v>4.7572201867370083</v>
      </c>
      <c r="J91" s="143">
        <v>2.3786100933685041E-3</v>
      </c>
      <c r="K91" s="143">
        <v>3.4331503214849155</v>
      </c>
      <c r="L91" s="141">
        <v>1.7165751607424577E-3</v>
      </c>
    </row>
  </sheetData>
  <mergeCells count="7">
    <mergeCell ref="K61:L61"/>
    <mergeCell ref="B16:C16"/>
    <mergeCell ref="D16:E16"/>
    <mergeCell ref="F16:G16"/>
    <mergeCell ref="H16:I16"/>
    <mergeCell ref="E61:F61"/>
    <mergeCell ref="I61:J61"/>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99"/>
  <sheetViews>
    <sheetView showGridLines="0" zoomScale="85" zoomScaleNormal="85" workbookViewId="0">
      <selection activeCell="G1" sqref="G1"/>
    </sheetView>
  </sheetViews>
  <sheetFormatPr defaultColWidth="9.1328125" defaultRowHeight="12.75" x14ac:dyDescent="0.35"/>
  <cols>
    <col min="1" max="1" width="37" style="39" customWidth="1"/>
    <col min="2" max="4" width="12.86328125" style="39" bestFit="1" customWidth="1"/>
    <col min="5" max="5" width="10" style="39" customWidth="1"/>
    <col min="6" max="6" width="11.1328125" style="39" customWidth="1"/>
    <col min="7" max="7" width="11.46484375" style="39" bestFit="1" customWidth="1"/>
    <col min="8" max="8" width="12.796875" style="39" bestFit="1" customWidth="1"/>
    <col min="9" max="9" width="9.19921875" style="39" bestFit="1" customWidth="1"/>
    <col min="10" max="10" width="12.796875" style="39" bestFit="1" customWidth="1"/>
    <col min="11" max="11" width="9.19921875" style="39" bestFit="1" customWidth="1"/>
    <col min="12" max="13" width="12" style="39" bestFit="1" customWidth="1"/>
    <col min="14" max="14" width="11.46484375" style="39" bestFit="1" customWidth="1"/>
    <col min="15" max="15" width="11.1328125" style="39" bestFit="1" customWidth="1"/>
    <col min="16" max="16" width="12.796875" style="39" bestFit="1" customWidth="1"/>
    <col min="17" max="17" width="9.19921875" style="39" bestFit="1" customWidth="1"/>
    <col min="18" max="19" width="9.1328125" style="39"/>
    <col min="20" max="20" width="10.86328125" style="39" customWidth="1"/>
    <col min="21" max="16384" width="9.1328125" style="39"/>
  </cols>
  <sheetData>
    <row r="1" spans="1:25" ht="15" x14ac:dyDescent="0.4">
      <c r="A1" s="140" t="s">
        <v>2080</v>
      </c>
      <c r="G1" s="230" t="s">
        <v>1561</v>
      </c>
    </row>
    <row r="2" spans="1:25" ht="13.15" x14ac:dyDescent="0.4">
      <c r="A2" s="41"/>
    </row>
    <row r="3" spans="1:25" ht="13.9" x14ac:dyDescent="0.4">
      <c r="A3" s="72" t="s">
        <v>2079</v>
      </c>
    </row>
    <row r="4" spans="1:25" ht="13.15" x14ac:dyDescent="0.4">
      <c r="A4" s="131"/>
      <c r="B4" s="219" t="s">
        <v>242</v>
      </c>
      <c r="C4" s="218" t="s">
        <v>1388</v>
      </c>
    </row>
    <row r="5" spans="1:25" x14ac:dyDescent="0.35">
      <c r="A5" s="57" t="s">
        <v>2078</v>
      </c>
      <c r="B5" s="194">
        <v>0</v>
      </c>
      <c r="C5" s="193">
        <v>1</v>
      </c>
    </row>
    <row r="6" spans="1:25" ht="13.15" x14ac:dyDescent="0.4">
      <c r="A6" s="41"/>
    </row>
    <row r="7" spans="1:25" ht="13.9" x14ac:dyDescent="0.4">
      <c r="A7" s="72" t="s">
        <v>1734</v>
      </c>
    </row>
    <row r="8" spans="1:25" x14ac:dyDescent="0.35">
      <c r="A8" s="61" t="s">
        <v>1717</v>
      </c>
      <c r="B8" s="417">
        <v>1</v>
      </c>
    </row>
    <row r="9" spans="1:25" x14ac:dyDescent="0.35">
      <c r="A9" s="59" t="s">
        <v>1909</v>
      </c>
      <c r="B9" s="196">
        <v>1</v>
      </c>
    </row>
    <row r="10" spans="1:25" x14ac:dyDescent="0.35">
      <c r="A10" s="59" t="s">
        <v>1946</v>
      </c>
      <c r="B10" s="457">
        <v>0</v>
      </c>
    </row>
    <row r="11" spans="1:25" x14ac:dyDescent="0.35">
      <c r="A11" s="59" t="s">
        <v>1703</v>
      </c>
      <c r="B11" s="196">
        <v>1</v>
      </c>
    </row>
    <row r="12" spans="1:25" x14ac:dyDescent="0.35">
      <c r="A12" s="59" t="s">
        <v>2077</v>
      </c>
      <c r="B12" s="457">
        <v>1</v>
      </c>
    </row>
    <row r="13" spans="1:25" x14ac:dyDescent="0.35">
      <c r="A13" s="57" t="s">
        <v>1942</v>
      </c>
      <c r="B13" s="323">
        <v>0</v>
      </c>
    </row>
    <row r="15" spans="1:25" ht="13.9" x14ac:dyDescent="0.4">
      <c r="A15" s="72" t="s">
        <v>1701</v>
      </c>
    </row>
    <row r="16" spans="1:25" ht="15.75" customHeight="1" x14ac:dyDescent="0.4">
      <c r="A16" s="131"/>
      <c r="B16" s="2243" t="s">
        <v>2076</v>
      </c>
      <c r="C16" s="2243"/>
      <c r="D16" s="2247" t="s">
        <v>242</v>
      </c>
      <c r="E16" s="2247"/>
      <c r="F16" s="2247"/>
      <c r="G16" s="2247"/>
      <c r="H16" s="2247"/>
      <c r="I16" s="2247"/>
      <c r="J16" s="2247"/>
      <c r="K16" s="2247"/>
      <c r="L16" s="2247"/>
      <c r="M16" s="2247"/>
      <c r="N16" s="2247"/>
      <c r="O16" s="2247"/>
      <c r="P16" s="2247" t="s">
        <v>2075</v>
      </c>
      <c r="Q16" s="2247"/>
      <c r="R16" s="2247" t="s">
        <v>2074</v>
      </c>
      <c r="S16" s="2247"/>
      <c r="T16" s="2247"/>
      <c r="U16" s="2247"/>
      <c r="V16" s="2247"/>
      <c r="W16" s="2247"/>
      <c r="X16" s="2247"/>
      <c r="Y16" s="2247"/>
    </row>
    <row r="17" spans="1:25" ht="32.25" customHeight="1" x14ac:dyDescent="0.4">
      <c r="A17" s="59"/>
      <c r="B17" s="2243"/>
      <c r="C17" s="2243"/>
      <c r="D17" s="2243" t="s">
        <v>2062</v>
      </c>
      <c r="E17" s="2243"/>
      <c r="F17" s="2243" t="s">
        <v>2061</v>
      </c>
      <c r="G17" s="2243"/>
      <c r="H17" s="2243" t="s">
        <v>2060</v>
      </c>
      <c r="I17" s="2243"/>
      <c r="J17" s="2243" t="s">
        <v>2066</v>
      </c>
      <c r="K17" s="2243"/>
      <c r="L17" s="2243" t="s">
        <v>2065</v>
      </c>
      <c r="M17" s="2243"/>
      <c r="N17" s="2243" t="s">
        <v>2064</v>
      </c>
      <c r="O17" s="2243"/>
      <c r="P17" s="2247"/>
      <c r="Q17" s="2247"/>
      <c r="R17" s="2242" t="s">
        <v>2062</v>
      </c>
      <c r="S17" s="2242"/>
      <c r="T17" s="2242" t="s">
        <v>2061</v>
      </c>
      <c r="U17" s="2242"/>
      <c r="V17" s="2242" t="s">
        <v>2060</v>
      </c>
      <c r="W17" s="2242"/>
      <c r="X17" s="2242" t="s">
        <v>2059</v>
      </c>
      <c r="Y17" s="2242"/>
    </row>
    <row r="18" spans="1:25" ht="72.75" customHeight="1" x14ac:dyDescent="0.4">
      <c r="A18" s="128"/>
      <c r="B18" s="537" t="s">
        <v>1674</v>
      </c>
      <c r="C18" s="537" t="s">
        <v>1673</v>
      </c>
      <c r="D18" s="537" t="s">
        <v>1674</v>
      </c>
      <c r="E18" s="537" t="s">
        <v>1673</v>
      </c>
      <c r="F18" s="537" t="s">
        <v>1674</v>
      </c>
      <c r="G18" s="537" t="s">
        <v>1673</v>
      </c>
      <c r="H18" s="537" t="s">
        <v>1674</v>
      </c>
      <c r="I18" s="537" t="s">
        <v>1673</v>
      </c>
      <c r="J18" s="537" t="s">
        <v>1674</v>
      </c>
      <c r="K18" s="537" t="s">
        <v>1673</v>
      </c>
      <c r="L18" s="537" t="s">
        <v>1674</v>
      </c>
      <c r="M18" s="537" t="s">
        <v>1673</v>
      </c>
      <c r="N18" s="537" t="s">
        <v>1674</v>
      </c>
      <c r="O18" s="537" t="s">
        <v>1673</v>
      </c>
      <c r="P18" s="537" t="s">
        <v>1674</v>
      </c>
      <c r="Q18" s="537" t="s">
        <v>1673</v>
      </c>
      <c r="R18" s="537" t="s">
        <v>1674</v>
      </c>
      <c r="S18" s="537" t="s">
        <v>1673</v>
      </c>
      <c r="T18" s="537" t="s">
        <v>1674</v>
      </c>
      <c r="U18" s="537" t="s">
        <v>1673</v>
      </c>
      <c r="V18" s="537" t="s">
        <v>1674</v>
      </c>
      <c r="W18" s="537" t="s">
        <v>1673</v>
      </c>
      <c r="X18" s="537" t="s">
        <v>1674</v>
      </c>
      <c r="Y18" s="537" t="s">
        <v>1673</v>
      </c>
    </row>
    <row r="19" spans="1:25" ht="26.25" x14ac:dyDescent="0.4">
      <c r="A19" s="414" t="s">
        <v>1940</v>
      </c>
      <c r="B19" s="61">
        <v>0.157</v>
      </c>
      <c r="C19" s="60"/>
      <c r="D19" s="61">
        <v>0.27</v>
      </c>
      <c r="E19" s="60"/>
      <c r="F19" s="61">
        <v>6.5</v>
      </c>
      <c r="G19" s="60"/>
      <c r="H19" s="61">
        <v>1.5</v>
      </c>
      <c r="I19" s="60"/>
      <c r="J19" s="61">
        <v>0.41</v>
      </c>
      <c r="K19" s="60"/>
      <c r="L19" s="61">
        <v>4.2</v>
      </c>
      <c r="M19" s="60"/>
      <c r="N19" s="61">
        <v>1.64</v>
      </c>
      <c r="O19" s="60"/>
      <c r="P19" s="61">
        <v>11.351000000000001</v>
      </c>
      <c r="Q19" s="60"/>
      <c r="R19" s="61">
        <v>1.1499999999999999</v>
      </c>
      <c r="S19" s="60"/>
      <c r="T19" s="61">
        <v>6.5</v>
      </c>
      <c r="U19" s="60"/>
      <c r="V19" s="61">
        <v>2</v>
      </c>
      <c r="W19" s="60"/>
      <c r="X19" s="61">
        <v>3.28</v>
      </c>
      <c r="Y19" s="60"/>
    </row>
    <row r="20" spans="1:25" ht="14.25" x14ac:dyDescent="0.45">
      <c r="A20" s="128" t="s">
        <v>1671</v>
      </c>
      <c r="B20" s="79">
        <v>0</v>
      </c>
      <c r="C20" s="100"/>
      <c r="D20" s="79">
        <v>0</v>
      </c>
      <c r="E20" s="100"/>
      <c r="F20" s="79">
        <v>0</v>
      </c>
      <c r="G20" s="100"/>
      <c r="H20" s="79">
        <v>0</v>
      </c>
      <c r="I20" s="100"/>
      <c r="J20" s="79">
        <v>0</v>
      </c>
      <c r="K20" s="100"/>
      <c r="L20" s="79">
        <v>0</v>
      </c>
      <c r="M20" s="100"/>
      <c r="N20" s="79">
        <v>0</v>
      </c>
      <c r="O20" s="100"/>
      <c r="P20" s="79">
        <v>0</v>
      </c>
      <c r="Q20" s="100"/>
      <c r="R20" s="79">
        <v>0</v>
      </c>
      <c r="S20" s="100"/>
      <c r="T20" s="79">
        <v>0</v>
      </c>
      <c r="U20" s="100"/>
      <c r="V20" s="79">
        <v>0</v>
      </c>
      <c r="W20" s="100"/>
      <c r="X20" s="79">
        <v>0</v>
      </c>
      <c r="Y20" s="100"/>
    </row>
    <row r="21" spans="1:25" ht="13.15" x14ac:dyDescent="0.4">
      <c r="A21" s="131" t="s">
        <v>1670</v>
      </c>
      <c r="B21" s="61"/>
      <c r="C21" s="60"/>
      <c r="D21" s="61"/>
      <c r="E21" s="60"/>
      <c r="F21" s="61"/>
      <c r="G21" s="60"/>
      <c r="H21" s="61"/>
      <c r="I21" s="60"/>
      <c r="J21" s="61"/>
      <c r="K21" s="60"/>
      <c r="L21" s="61"/>
      <c r="M21" s="60"/>
      <c r="N21" s="61"/>
      <c r="O21" s="60"/>
      <c r="P21" s="61"/>
      <c r="Q21" s="60"/>
      <c r="R21" s="61"/>
      <c r="S21" s="60"/>
      <c r="T21" s="61"/>
      <c r="U21" s="60"/>
      <c r="V21" s="61"/>
      <c r="W21" s="60"/>
      <c r="X21" s="61"/>
      <c r="Y21" s="60"/>
    </row>
    <row r="22" spans="1:25" ht="14.25" x14ac:dyDescent="0.45">
      <c r="A22" s="59" t="s">
        <v>1668</v>
      </c>
      <c r="B22" s="81">
        <v>0</v>
      </c>
      <c r="C22" s="99"/>
      <c r="D22" s="81">
        <v>0</v>
      </c>
      <c r="E22" s="99"/>
      <c r="F22" s="81">
        <v>0</v>
      </c>
      <c r="G22" s="99"/>
      <c r="H22" s="81">
        <v>0</v>
      </c>
      <c r="I22" s="99"/>
      <c r="J22" s="81">
        <v>0</v>
      </c>
      <c r="K22" s="99"/>
      <c r="L22" s="81">
        <v>0</v>
      </c>
      <c r="M22" s="99"/>
      <c r="N22" s="81">
        <v>0</v>
      </c>
      <c r="O22" s="99"/>
      <c r="P22" s="81">
        <v>0.17199999999999999</v>
      </c>
      <c r="Q22" s="99"/>
      <c r="R22" s="81">
        <v>0</v>
      </c>
      <c r="S22" s="99"/>
      <c r="T22" s="81">
        <v>0</v>
      </c>
      <c r="U22" s="99"/>
      <c r="V22" s="81">
        <v>0</v>
      </c>
      <c r="W22" s="99"/>
      <c r="X22" s="81">
        <v>0</v>
      </c>
      <c r="Y22" s="99"/>
    </row>
    <row r="23" spans="1:25" ht="14.25" x14ac:dyDescent="0.45">
      <c r="A23" s="59" t="s">
        <v>1667</v>
      </c>
      <c r="B23" s="81">
        <v>0.94</v>
      </c>
      <c r="C23" s="99"/>
      <c r="D23" s="81">
        <v>0</v>
      </c>
      <c r="E23" s="99"/>
      <c r="F23" s="81">
        <v>0</v>
      </c>
      <c r="G23" s="99"/>
      <c r="H23" s="81">
        <v>0</v>
      </c>
      <c r="I23" s="99"/>
      <c r="J23" s="81">
        <v>0</v>
      </c>
      <c r="K23" s="99"/>
      <c r="L23" s="81">
        <v>0</v>
      </c>
      <c r="M23" s="99"/>
      <c r="N23" s="81">
        <v>0</v>
      </c>
      <c r="O23" s="99"/>
      <c r="P23" s="81">
        <v>1.9E-2</v>
      </c>
      <c r="Q23" s="99"/>
      <c r="R23" s="81">
        <v>0</v>
      </c>
      <c r="S23" s="99"/>
      <c r="T23" s="81">
        <v>0</v>
      </c>
      <c r="U23" s="99"/>
      <c r="V23" s="81">
        <v>0</v>
      </c>
      <c r="W23" s="99"/>
      <c r="X23" s="81">
        <v>0</v>
      </c>
      <c r="Y23" s="99"/>
    </row>
    <row r="24" spans="1:25" ht="14.25" x14ac:dyDescent="0.45">
      <c r="A24" s="59" t="s">
        <v>1534</v>
      </c>
      <c r="B24" s="81">
        <v>0</v>
      </c>
      <c r="C24" s="99"/>
      <c r="D24" s="81">
        <v>0</v>
      </c>
      <c r="E24" s="99"/>
      <c r="F24" s="81">
        <v>0.98</v>
      </c>
      <c r="G24" s="99"/>
      <c r="H24" s="81">
        <v>0</v>
      </c>
      <c r="I24" s="99"/>
      <c r="J24" s="81">
        <v>0.97599999999999998</v>
      </c>
      <c r="K24" s="99"/>
      <c r="L24" s="81">
        <v>0.95499999999999996</v>
      </c>
      <c r="M24" s="99"/>
      <c r="N24" s="81">
        <v>0.91500000000000004</v>
      </c>
      <c r="O24" s="99"/>
      <c r="P24" s="81">
        <v>0.70099999999999996</v>
      </c>
      <c r="Q24" s="99"/>
      <c r="R24" s="81">
        <v>0</v>
      </c>
      <c r="S24" s="99"/>
      <c r="T24" s="81">
        <v>1</v>
      </c>
      <c r="U24" s="99"/>
      <c r="V24" s="81">
        <v>0</v>
      </c>
      <c r="W24" s="99"/>
      <c r="X24" s="81">
        <v>1</v>
      </c>
      <c r="Y24" s="99"/>
    </row>
    <row r="25" spans="1:25" ht="14.25" x14ac:dyDescent="0.45">
      <c r="A25" s="59" t="s">
        <v>1535</v>
      </c>
      <c r="B25" s="81">
        <v>0</v>
      </c>
      <c r="C25" s="99"/>
      <c r="D25" s="81">
        <v>0</v>
      </c>
      <c r="E25" s="99"/>
      <c r="F25" s="81">
        <v>0</v>
      </c>
      <c r="G25" s="99"/>
      <c r="H25" s="81">
        <v>0</v>
      </c>
      <c r="I25" s="99"/>
      <c r="J25" s="81">
        <v>0</v>
      </c>
      <c r="K25" s="99"/>
      <c r="L25" s="81">
        <v>0</v>
      </c>
      <c r="M25" s="99"/>
      <c r="N25" s="81">
        <v>0</v>
      </c>
      <c r="O25" s="99"/>
      <c r="P25" s="81">
        <v>7.2999999999999995E-2</v>
      </c>
      <c r="Q25" s="99"/>
      <c r="R25" s="81">
        <v>0</v>
      </c>
      <c r="S25" s="99"/>
      <c r="T25" s="81">
        <v>0</v>
      </c>
      <c r="U25" s="99"/>
      <c r="V25" s="81">
        <v>0</v>
      </c>
      <c r="W25" s="99"/>
      <c r="X25" s="81">
        <v>0</v>
      </c>
      <c r="Y25" s="99"/>
    </row>
    <row r="26" spans="1:25" ht="14.25" x14ac:dyDescent="0.45">
      <c r="A26" s="57" t="s">
        <v>1664</v>
      </c>
      <c r="B26" s="79">
        <v>6.0000000000000053E-2</v>
      </c>
      <c r="C26" s="100"/>
      <c r="D26" s="79">
        <v>1</v>
      </c>
      <c r="E26" s="100"/>
      <c r="F26" s="79">
        <v>2.0000000000000018E-2</v>
      </c>
      <c r="G26" s="100"/>
      <c r="H26" s="79">
        <v>1</v>
      </c>
      <c r="I26" s="100"/>
      <c r="J26" s="79">
        <v>2.4000000000000021E-2</v>
      </c>
      <c r="K26" s="100"/>
      <c r="L26" s="79">
        <v>4.500000000000004E-2</v>
      </c>
      <c r="M26" s="100"/>
      <c r="N26" s="79">
        <v>8.4999999999999964E-2</v>
      </c>
      <c r="O26" s="100"/>
      <c r="P26" s="79">
        <v>3.5000000000000003E-2</v>
      </c>
      <c r="Q26" s="100"/>
      <c r="R26" s="79">
        <v>1</v>
      </c>
      <c r="S26" s="100"/>
      <c r="T26" s="79">
        <v>0</v>
      </c>
      <c r="U26" s="100"/>
      <c r="V26" s="79">
        <v>1</v>
      </c>
      <c r="W26" s="100"/>
      <c r="X26" s="79">
        <v>0</v>
      </c>
      <c r="Y26" s="100"/>
    </row>
    <row r="27" spans="1:25" ht="13.15" x14ac:dyDescent="0.4">
      <c r="A27" s="131" t="s">
        <v>1669</v>
      </c>
      <c r="B27" s="59"/>
      <c r="C27" s="99"/>
      <c r="D27" s="59"/>
      <c r="E27" s="99"/>
      <c r="F27" s="59"/>
      <c r="G27" s="99"/>
      <c r="H27" s="59"/>
      <c r="I27" s="99"/>
      <c r="J27" s="59"/>
      <c r="K27" s="99"/>
      <c r="L27" s="59"/>
      <c r="M27" s="99"/>
      <c r="N27" s="59"/>
      <c r="O27" s="99"/>
      <c r="P27" s="59"/>
      <c r="Q27" s="99"/>
      <c r="R27" s="59"/>
      <c r="S27" s="99"/>
      <c r="T27" s="59"/>
      <c r="U27" s="99"/>
      <c r="V27" s="59"/>
      <c r="W27" s="99"/>
      <c r="X27" s="59"/>
      <c r="Y27" s="99"/>
    </row>
    <row r="28" spans="1:25" s="145" customFormat="1" x14ac:dyDescent="0.35">
      <c r="A28" s="232" t="s">
        <v>1668</v>
      </c>
      <c r="B28" s="277">
        <v>0</v>
      </c>
      <c r="C28" s="99"/>
      <c r="D28" s="277">
        <v>0</v>
      </c>
      <c r="E28" s="99"/>
      <c r="F28" s="277">
        <v>0</v>
      </c>
      <c r="G28" s="99"/>
      <c r="H28" s="277">
        <v>0</v>
      </c>
      <c r="I28" s="99"/>
      <c r="J28" s="277">
        <v>0</v>
      </c>
      <c r="K28" s="99"/>
      <c r="L28" s="277">
        <v>0</v>
      </c>
      <c r="M28" s="99"/>
      <c r="N28" s="277">
        <v>0</v>
      </c>
      <c r="O28" s="99"/>
      <c r="P28" s="277">
        <v>1.952372</v>
      </c>
      <c r="Q28" s="99"/>
      <c r="R28" s="277">
        <v>0</v>
      </c>
      <c r="S28" s="99"/>
      <c r="T28" s="277">
        <v>0</v>
      </c>
      <c r="U28" s="99"/>
      <c r="V28" s="277">
        <v>0</v>
      </c>
      <c r="W28" s="99"/>
      <c r="X28" s="277">
        <v>0</v>
      </c>
      <c r="Y28" s="99"/>
    </row>
    <row r="29" spans="1:25" s="145" customFormat="1" x14ac:dyDescent="0.35">
      <c r="A29" s="232" t="s">
        <v>1667</v>
      </c>
      <c r="B29" s="277">
        <v>0.14757999999999999</v>
      </c>
      <c r="C29" s="99"/>
      <c r="D29" s="277">
        <v>0</v>
      </c>
      <c r="E29" s="99"/>
      <c r="F29" s="277">
        <v>0</v>
      </c>
      <c r="G29" s="99"/>
      <c r="H29" s="277">
        <v>0</v>
      </c>
      <c r="I29" s="99"/>
      <c r="J29" s="277">
        <v>0</v>
      </c>
      <c r="K29" s="99"/>
      <c r="L29" s="277">
        <v>0</v>
      </c>
      <c r="M29" s="99"/>
      <c r="N29" s="277">
        <v>0</v>
      </c>
      <c r="O29" s="99"/>
      <c r="P29" s="277">
        <v>0.215669</v>
      </c>
      <c r="Q29" s="99"/>
      <c r="R29" s="277">
        <v>0</v>
      </c>
      <c r="S29" s="99"/>
      <c r="T29" s="277">
        <v>0</v>
      </c>
      <c r="U29" s="99"/>
      <c r="V29" s="277">
        <v>0</v>
      </c>
      <c r="W29" s="99"/>
      <c r="X29" s="277">
        <v>0</v>
      </c>
      <c r="Y29" s="99"/>
    </row>
    <row r="30" spans="1:25" s="145" customFormat="1" x14ac:dyDescent="0.35">
      <c r="A30" s="232" t="s">
        <v>1534</v>
      </c>
      <c r="B30" s="277">
        <v>0</v>
      </c>
      <c r="C30" s="99"/>
      <c r="D30" s="277">
        <v>0</v>
      </c>
      <c r="E30" s="99"/>
      <c r="F30" s="277">
        <v>6.37</v>
      </c>
      <c r="G30" s="99"/>
      <c r="H30" s="277">
        <v>0</v>
      </c>
      <c r="I30" s="99"/>
      <c r="J30" s="277">
        <v>0.40015999999999996</v>
      </c>
      <c r="K30" s="99"/>
      <c r="L30" s="277">
        <v>4.0110000000000001</v>
      </c>
      <c r="M30" s="99"/>
      <c r="N30" s="277">
        <v>1.5005999999999999</v>
      </c>
      <c r="O30" s="99"/>
      <c r="P30" s="277">
        <v>7.9570509999999999</v>
      </c>
      <c r="Q30" s="99"/>
      <c r="R30" s="277">
        <v>0</v>
      </c>
      <c r="S30" s="99"/>
      <c r="T30" s="277">
        <v>6.5</v>
      </c>
      <c r="U30" s="99"/>
      <c r="V30" s="277">
        <v>0</v>
      </c>
      <c r="W30" s="99"/>
      <c r="X30" s="277">
        <v>3.28</v>
      </c>
      <c r="Y30" s="99"/>
    </row>
    <row r="31" spans="1:25" s="145" customFormat="1" x14ac:dyDescent="0.35">
      <c r="A31" s="232" t="s">
        <v>1535</v>
      </c>
      <c r="B31" s="277">
        <v>0</v>
      </c>
      <c r="C31" s="99"/>
      <c r="D31" s="277">
        <v>0</v>
      </c>
      <c r="E31" s="99"/>
      <c r="F31" s="277">
        <v>0</v>
      </c>
      <c r="G31" s="99"/>
      <c r="H31" s="277">
        <v>0</v>
      </c>
      <c r="I31" s="99"/>
      <c r="J31" s="277">
        <v>0</v>
      </c>
      <c r="K31" s="99"/>
      <c r="L31" s="277">
        <v>0</v>
      </c>
      <c r="M31" s="99"/>
      <c r="N31" s="277">
        <v>0</v>
      </c>
      <c r="O31" s="99"/>
      <c r="P31" s="277">
        <v>0.828623</v>
      </c>
      <c r="Q31" s="99"/>
      <c r="R31" s="277">
        <v>0</v>
      </c>
      <c r="S31" s="99"/>
      <c r="T31" s="277">
        <v>0</v>
      </c>
      <c r="U31" s="99"/>
      <c r="V31" s="277">
        <v>0</v>
      </c>
      <c r="W31" s="99"/>
      <c r="X31" s="277">
        <v>0</v>
      </c>
      <c r="Y31" s="99"/>
    </row>
    <row r="32" spans="1:25" s="145" customFormat="1" x14ac:dyDescent="0.35">
      <c r="A32" s="231" t="s">
        <v>1664</v>
      </c>
      <c r="B32" s="277">
        <v>9.4200000000000082E-3</v>
      </c>
      <c r="C32" s="99"/>
      <c r="D32" s="277">
        <v>0.27</v>
      </c>
      <c r="E32" s="99"/>
      <c r="F32" s="277">
        <v>0.13000000000000012</v>
      </c>
      <c r="G32" s="99"/>
      <c r="H32" s="277">
        <v>1.5</v>
      </c>
      <c r="I32" s="99"/>
      <c r="J32" s="277">
        <v>9.8400000000000085E-3</v>
      </c>
      <c r="K32" s="99"/>
      <c r="L32" s="277">
        <v>0.18900000000000017</v>
      </c>
      <c r="M32" s="99"/>
      <c r="N32" s="277">
        <v>0.13939999999999994</v>
      </c>
      <c r="O32" s="99"/>
      <c r="P32" s="277">
        <v>0.39728500000000005</v>
      </c>
      <c r="Q32" s="99"/>
      <c r="R32" s="277">
        <v>1.1499999999999999</v>
      </c>
      <c r="S32" s="99"/>
      <c r="T32" s="277">
        <v>0</v>
      </c>
      <c r="U32" s="99"/>
      <c r="V32" s="277">
        <v>2</v>
      </c>
      <c r="W32" s="99"/>
      <c r="X32" s="277">
        <v>0</v>
      </c>
      <c r="Y32" s="99"/>
    </row>
    <row r="33" spans="1:25" x14ac:dyDescent="0.35">
      <c r="A33" s="59" t="s">
        <v>2073</v>
      </c>
      <c r="B33" s="61"/>
      <c r="C33" s="60"/>
      <c r="D33" s="61">
        <v>0.72099999999999997</v>
      </c>
      <c r="E33" s="60"/>
      <c r="F33" s="61"/>
      <c r="G33" s="60"/>
      <c r="H33" s="61"/>
      <c r="I33" s="60"/>
      <c r="J33" s="61"/>
      <c r="K33" s="60"/>
      <c r="L33" s="61"/>
      <c r="M33" s="60"/>
      <c r="N33" s="61"/>
      <c r="O33" s="60"/>
      <c r="P33" s="61"/>
      <c r="Q33" s="60"/>
      <c r="R33" s="61">
        <v>0.39300000000000002</v>
      </c>
      <c r="S33" s="60"/>
      <c r="T33" s="61"/>
      <c r="U33" s="60"/>
      <c r="V33" s="61"/>
      <c r="W33" s="60"/>
      <c r="X33" s="61"/>
      <c r="Y33" s="60"/>
    </row>
    <row r="34" spans="1:25" x14ac:dyDescent="0.35">
      <c r="A34" s="59" t="s">
        <v>2017</v>
      </c>
      <c r="B34" s="59"/>
      <c r="C34" s="99"/>
      <c r="D34" s="59">
        <v>9.9000000000000005E-2</v>
      </c>
      <c r="E34" s="99"/>
      <c r="F34" s="59"/>
      <c r="G34" s="99"/>
      <c r="H34" s="59"/>
      <c r="I34" s="99"/>
      <c r="J34" s="59"/>
      <c r="K34" s="99"/>
      <c r="L34" s="59"/>
      <c r="M34" s="99"/>
      <c r="N34" s="59"/>
      <c r="O34" s="99"/>
      <c r="P34" s="59"/>
      <c r="Q34" s="99"/>
      <c r="R34" s="59">
        <v>0.39500000000000002</v>
      </c>
      <c r="S34" s="99"/>
      <c r="T34" s="59"/>
      <c r="U34" s="99"/>
      <c r="V34" s="59"/>
      <c r="W34" s="99"/>
      <c r="X34" s="59"/>
      <c r="Y34" s="99"/>
    </row>
    <row r="35" spans="1:25" x14ac:dyDescent="0.35">
      <c r="A35" s="59" t="s">
        <v>2072</v>
      </c>
      <c r="B35" s="59"/>
      <c r="C35" s="99"/>
      <c r="D35" s="59">
        <v>0.23200000000000001</v>
      </c>
      <c r="E35" s="99"/>
      <c r="F35" s="59"/>
      <c r="G35" s="99"/>
      <c r="H35" s="59"/>
      <c r="I35" s="99"/>
      <c r="J35" s="59"/>
      <c r="K35" s="99"/>
      <c r="L35" s="59"/>
      <c r="M35" s="99"/>
      <c r="N35" s="59"/>
      <c r="O35" s="99"/>
      <c r="P35" s="59"/>
      <c r="Q35" s="99"/>
      <c r="R35" s="59"/>
      <c r="S35" s="99"/>
      <c r="T35" s="59"/>
      <c r="U35" s="99"/>
      <c r="V35" s="59"/>
      <c r="W35" s="99"/>
      <c r="X35" s="59"/>
      <c r="Y35" s="99"/>
    </row>
    <row r="36" spans="1:25" x14ac:dyDescent="0.35">
      <c r="A36" s="59" t="s">
        <v>2071</v>
      </c>
      <c r="B36" s="59"/>
      <c r="C36" s="99"/>
      <c r="D36" s="59">
        <v>0.183</v>
      </c>
      <c r="E36" s="99"/>
      <c r="F36" s="59"/>
      <c r="G36" s="99"/>
      <c r="H36" s="59"/>
      <c r="I36" s="99"/>
      <c r="J36" s="59"/>
      <c r="K36" s="99"/>
      <c r="L36" s="59"/>
      <c r="M36" s="99"/>
      <c r="N36" s="59"/>
      <c r="O36" s="99"/>
      <c r="P36" s="59"/>
      <c r="Q36" s="99"/>
      <c r="R36" s="59"/>
      <c r="S36" s="99"/>
      <c r="T36" s="59"/>
      <c r="U36" s="99"/>
      <c r="V36" s="59"/>
      <c r="W36" s="99"/>
      <c r="X36" s="59"/>
      <c r="Y36" s="99"/>
    </row>
    <row r="37" spans="1:25" x14ac:dyDescent="0.35">
      <c r="A37" s="59" t="s">
        <v>2070</v>
      </c>
      <c r="B37" s="59"/>
      <c r="C37" s="99"/>
      <c r="D37" s="59"/>
      <c r="E37" s="99"/>
      <c r="F37" s="59"/>
      <c r="G37" s="99"/>
      <c r="H37" s="59"/>
      <c r="I37" s="99"/>
      <c r="J37" s="59"/>
      <c r="K37" s="99"/>
      <c r="L37" s="59"/>
      <c r="M37" s="99"/>
      <c r="N37" s="59"/>
      <c r="O37" s="99"/>
      <c r="P37" s="59"/>
      <c r="Q37" s="99"/>
      <c r="R37" s="59">
        <v>0.32700000000000001</v>
      </c>
      <c r="S37" s="99"/>
      <c r="T37" s="59"/>
      <c r="U37" s="99"/>
      <c r="V37" s="59"/>
      <c r="W37" s="99"/>
      <c r="X37" s="59"/>
      <c r="Y37" s="99"/>
    </row>
    <row r="38" spans="1:25" x14ac:dyDescent="0.35">
      <c r="A38" s="59" t="s">
        <v>2069</v>
      </c>
      <c r="B38" s="57"/>
      <c r="C38" s="100"/>
      <c r="D38" s="57"/>
      <c r="E38" s="100"/>
      <c r="F38" s="57"/>
      <c r="G38" s="100"/>
      <c r="H38" s="57"/>
      <c r="I38" s="100"/>
      <c r="J38" s="57"/>
      <c r="K38" s="100"/>
      <c r="L38" s="57"/>
      <c r="M38" s="100"/>
      <c r="N38" s="57"/>
      <c r="O38" s="100"/>
      <c r="P38" s="57"/>
      <c r="Q38" s="100"/>
      <c r="R38" s="57">
        <v>6.6000000000000003E-2</v>
      </c>
      <c r="S38" s="100"/>
      <c r="T38" s="57"/>
      <c r="U38" s="100"/>
      <c r="V38" s="57"/>
      <c r="W38" s="100"/>
      <c r="X38" s="57"/>
      <c r="Y38" s="100"/>
    </row>
    <row r="39" spans="1:25" s="145" customFormat="1" x14ac:dyDescent="0.35">
      <c r="A39" s="237" t="s">
        <v>1537</v>
      </c>
      <c r="B39" s="237">
        <v>0.19703025012731351</v>
      </c>
      <c r="C39" s="156"/>
      <c r="D39" s="237">
        <v>2.025530236228346</v>
      </c>
      <c r="E39" s="156"/>
      <c r="F39" s="237">
        <v>7.2897796355472364</v>
      </c>
      <c r="G39" s="156"/>
      <c r="H39" s="237">
        <v>3.1088273018292094</v>
      </c>
      <c r="I39" s="156"/>
      <c r="J39" s="237">
        <v>0.4614084173185109</v>
      </c>
      <c r="K39" s="156"/>
      <c r="L39" s="237">
        <v>4.8122170393268853</v>
      </c>
      <c r="M39" s="156"/>
      <c r="N39" s="237">
        <v>1.9427180972360787</v>
      </c>
      <c r="O39" s="156"/>
      <c r="P39" s="237">
        <v>12.93942544140709</v>
      </c>
      <c r="Q39" s="156"/>
      <c r="R39" s="237">
        <v>7.9314460693181958</v>
      </c>
      <c r="S39" s="156"/>
      <c r="T39" s="237">
        <v>7.163620342913644</v>
      </c>
      <c r="U39" s="156"/>
      <c r="V39" s="237">
        <v>4.1451030691056134</v>
      </c>
      <c r="W39" s="156"/>
      <c r="X39" s="237">
        <v>3.6148730345779616</v>
      </c>
      <c r="Y39" s="156"/>
    </row>
    <row r="40" spans="1:25" s="145" customFormat="1" x14ac:dyDescent="0.35">
      <c r="A40" s="232" t="s">
        <v>1536</v>
      </c>
      <c r="B40" s="232">
        <v>0.19239010226290496</v>
      </c>
      <c r="C40" s="144"/>
      <c r="D40" s="232">
        <v>1.8698460750151267</v>
      </c>
      <c r="E40" s="144"/>
      <c r="F40" s="232">
        <v>7.2336041056989488</v>
      </c>
      <c r="G40" s="144"/>
      <c r="H40" s="232">
        <v>2.5125485556717324</v>
      </c>
      <c r="I40" s="144"/>
      <c r="J40" s="232">
        <v>0.45721426436506513</v>
      </c>
      <c r="K40" s="144"/>
      <c r="L40" s="232">
        <v>4.7342536359166596</v>
      </c>
      <c r="M40" s="144"/>
      <c r="N40" s="232">
        <v>1.8862443093398957</v>
      </c>
      <c r="O40" s="144"/>
      <c r="P40" s="232">
        <v>12.763884785788809</v>
      </c>
      <c r="Q40" s="144"/>
      <c r="R40" s="232">
        <v>6.8514022747348502</v>
      </c>
      <c r="S40" s="144"/>
      <c r="T40" s="232">
        <v>7.1590305076946237</v>
      </c>
      <c r="U40" s="144"/>
      <c r="V40" s="232">
        <v>3.3500647408956432</v>
      </c>
      <c r="W40" s="144"/>
      <c r="X40" s="232">
        <v>3.6125569331135945</v>
      </c>
      <c r="Y40" s="144"/>
    </row>
    <row r="41" spans="1:25" s="145" customFormat="1" x14ac:dyDescent="0.35">
      <c r="A41" s="232" t="s">
        <v>1535</v>
      </c>
      <c r="B41" s="232">
        <v>1.115058453579691E-2</v>
      </c>
      <c r="C41" s="144"/>
      <c r="D41" s="232">
        <v>1.3574524621768895</v>
      </c>
      <c r="E41" s="144"/>
      <c r="F41" s="232">
        <v>0.13563812236528844</v>
      </c>
      <c r="G41" s="144"/>
      <c r="H41" s="232">
        <v>1.4398336587761142</v>
      </c>
      <c r="I41" s="144"/>
      <c r="J41" s="232">
        <v>1.0127059484154276E-2</v>
      </c>
      <c r="K41" s="144"/>
      <c r="L41" s="232">
        <v>0.18825256256676681</v>
      </c>
      <c r="M41" s="144"/>
      <c r="N41" s="232">
        <v>0.13636510641527957</v>
      </c>
      <c r="O41" s="144"/>
      <c r="P41" s="232">
        <v>1.2522221181189455</v>
      </c>
      <c r="Q41" s="144"/>
      <c r="R41" s="232">
        <v>2.6727390241640254</v>
      </c>
      <c r="S41" s="144"/>
      <c r="T41" s="232">
        <v>1.1074018984379366E-2</v>
      </c>
      <c r="U41" s="144"/>
      <c r="V41" s="232">
        <v>1.9197782117014857</v>
      </c>
      <c r="W41" s="144"/>
      <c r="X41" s="232">
        <v>5.5881203490406638E-3</v>
      </c>
      <c r="Y41" s="144"/>
    </row>
    <row r="42" spans="1:25" s="145" customFormat="1" x14ac:dyDescent="0.35">
      <c r="A42" s="232" t="s">
        <v>1534</v>
      </c>
      <c r="B42" s="232">
        <v>2.5860803352908579E-2</v>
      </c>
      <c r="C42" s="144"/>
      <c r="D42" s="232">
        <v>0.2876632138534404</v>
      </c>
      <c r="E42" s="144"/>
      <c r="F42" s="232">
        <v>7.0678710764912855</v>
      </c>
      <c r="G42" s="144"/>
      <c r="H42" s="232">
        <v>1.0237876763114251</v>
      </c>
      <c r="I42" s="144"/>
      <c r="J42" s="232">
        <v>0.44514207342570472</v>
      </c>
      <c r="K42" s="144"/>
      <c r="L42" s="232">
        <v>4.5235564019667569</v>
      </c>
      <c r="M42" s="144"/>
      <c r="N42" s="232">
        <v>1.73924159989434</v>
      </c>
      <c r="O42" s="144"/>
      <c r="P42" s="232">
        <v>9.1862619971103889</v>
      </c>
      <c r="Q42" s="144"/>
      <c r="R42" s="232">
        <v>3.5851328227790469</v>
      </c>
      <c r="S42" s="144"/>
      <c r="T42" s="232">
        <v>7.1215742971540426</v>
      </c>
      <c r="U42" s="144"/>
      <c r="V42" s="232">
        <v>1.3650502350819</v>
      </c>
      <c r="W42" s="144"/>
      <c r="X42" s="232">
        <v>3.593655953025424</v>
      </c>
      <c r="Y42" s="144"/>
    </row>
    <row r="43" spans="1:25" s="145" customFormat="1" x14ac:dyDescent="0.35">
      <c r="A43" s="232" t="s">
        <v>1533</v>
      </c>
      <c r="B43" s="231">
        <v>0.15537871437419948</v>
      </c>
      <c r="C43" s="141"/>
      <c r="D43" s="231">
        <v>0.22473039898479677</v>
      </c>
      <c r="E43" s="141"/>
      <c r="F43" s="231">
        <v>3.0094906842374952E-2</v>
      </c>
      <c r="G43" s="141"/>
      <c r="H43" s="231">
        <v>4.892722058419318E-2</v>
      </c>
      <c r="I43" s="141"/>
      <c r="J43" s="231">
        <v>1.9451314552061372E-3</v>
      </c>
      <c r="K43" s="141"/>
      <c r="L43" s="231">
        <v>2.2444671383135613E-2</v>
      </c>
      <c r="M43" s="141"/>
      <c r="N43" s="231">
        <v>1.0637603030276211E-2</v>
      </c>
      <c r="O43" s="141"/>
      <c r="P43" s="231">
        <v>2.3254006705594739</v>
      </c>
      <c r="Q43" s="141"/>
      <c r="R43" s="231">
        <v>0.59353042779177778</v>
      </c>
      <c r="S43" s="141"/>
      <c r="T43" s="231">
        <v>2.638219155620225E-2</v>
      </c>
      <c r="U43" s="141"/>
      <c r="V43" s="231">
        <v>6.5236294112257578E-2</v>
      </c>
      <c r="W43" s="141"/>
      <c r="X43" s="231">
        <v>1.3312859739129752E-2</v>
      </c>
      <c r="Y43" s="141"/>
    </row>
    <row r="44" spans="1:25" s="145" customFormat="1" x14ac:dyDescent="0.35">
      <c r="A44" s="231" t="s">
        <v>1532</v>
      </c>
      <c r="B44" s="290">
        <v>5.2503874893336686</v>
      </c>
      <c r="C44" s="289"/>
      <c r="D44" s="290">
        <v>2054.3642646510839</v>
      </c>
      <c r="E44" s="289">
        <v>8.64</v>
      </c>
      <c r="F44" s="290">
        <v>46.350439150581224</v>
      </c>
      <c r="G44" s="289"/>
      <c r="H44" s="290">
        <v>299.06801763793169</v>
      </c>
      <c r="I44" s="289"/>
      <c r="J44" s="290">
        <v>3.2453639627174491</v>
      </c>
      <c r="K44" s="289">
        <v>360</v>
      </c>
      <c r="L44" s="290">
        <v>50.547497560163315</v>
      </c>
      <c r="M44" s="289"/>
      <c r="N44" s="290">
        <v>32.60642939878241</v>
      </c>
      <c r="O44" s="289"/>
      <c r="P44" s="290">
        <v>153.91320072054606</v>
      </c>
      <c r="Q44" s="289">
        <v>1462</v>
      </c>
      <c r="R44" s="290">
        <v>8652.6826365980869</v>
      </c>
      <c r="S44" s="289">
        <v>4.7</v>
      </c>
      <c r="T44" s="290">
        <v>20.848174444177335</v>
      </c>
      <c r="U44" s="289"/>
      <c r="V44" s="290">
        <v>398.75735685057555</v>
      </c>
      <c r="W44" s="289">
        <v>960</v>
      </c>
      <c r="X44" s="290">
        <v>10.520309565677177</v>
      </c>
      <c r="Y44" s="289"/>
    </row>
    <row r="45" spans="1:25" s="145" customFormat="1" ht="13.15" x14ac:dyDescent="0.4">
      <c r="A45" s="390" t="s">
        <v>1663</v>
      </c>
      <c r="B45" s="232"/>
      <c r="C45" s="144"/>
      <c r="D45" s="232"/>
      <c r="E45" s="144"/>
      <c r="F45" s="232"/>
      <c r="G45" s="144"/>
      <c r="H45" s="232"/>
      <c r="I45" s="144"/>
      <c r="J45" s="232"/>
      <c r="K45" s="144"/>
      <c r="L45" s="232"/>
      <c r="M45" s="144"/>
      <c r="N45" s="232"/>
      <c r="O45" s="144"/>
      <c r="P45" s="232"/>
      <c r="Q45" s="144"/>
      <c r="R45" s="232"/>
      <c r="S45" s="144"/>
      <c r="T45" s="232"/>
      <c r="U45" s="144"/>
      <c r="V45" s="232"/>
      <c r="W45" s="144"/>
      <c r="X45" s="232"/>
      <c r="Y45" s="144"/>
    </row>
    <row r="46" spans="1:25" s="145" customFormat="1" x14ac:dyDescent="0.35">
      <c r="A46" s="232" t="s">
        <v>1525</v>
      </c>
      <c r="B46" s="232">
        <v>1.6258085061953382</v>
      </c>
      <c r="C46" s="144"/>
      <c r="D46" s="232">
        <v>26.433739915657451</v>
      </c>
      <c r="E46" s="144"/>
      <c r="F46" s="232">
        <v>83.885768185347558</v>
      </c>
      <c r="G46" s="144"/>
      <c r="H46" s="232">
        <v>22.582706039318044</v>
      </c>
      <c r="I46" s="144"/>
      <c r="J46" s="232">
        <v>5.2948534947098009</v>
      </c>
      <c r="K46" s="144"/>
      <c r="L46" s="232">
        <v>54.433429739296514</v>
      </c>
      <c r="M46" s="144"/>
      <c r="N46" s="232">
        <v>21.398852184515153</v>
      </c>
      <c r="O46" s="144"/>
      <c r="P46" s="232">
        <v>130.08270793216263</v>
      </c>
      <c r="Q46" s="144"/>
      <c r="R46" s="232">
        <v>89.14832893944849</v>
      </c>
      <c r="S46" s="144"/>
      <c r="T46" s="232">
        <v>83.600612580210878</v>
      </c>
      <c r="U46" s="144"/>
      <c r="V46" s="232">
        <v>30.110274719090725</v>
      </c>
      <c r="W46" s="144"/>
      <c r="X46" s="232">
        <v>42.186155271244871</v>
      </c>
      <c r="Y46" s="144"/>
    </row>
    <row r="47" spans="1:25" s="145" customFormat="1" x14ac:dyDescent="0.35">
      <c r="A47" s="232" t="s">
        <v>1524</v>
      </c>
      <c r="B47" s="232">
        <v>99.369205000049078</v>
      </c>
      <c r="C47" s="144"/>
      <c r="D47" s="232">
        <v>147.36546865705034</v>
      </c>
      <c r="E47" s="144"/>
      <c r="F47" s="232">
        <v>350.70840088189124</v>
      </c>
      <c r="G47" s="144"/>
      <c r="H47" s="232">
        <v>63.060668877665648</v>
      </c>
      <c r="I47" s="144"/>
      <c r="J47" s="232">
        <v>22.101667951395321</v>
      </c>
      <c r="K47" s="144"/>
      <c r="L47" s="232">
        <v>225.33500789271645</v>
      </c>
      <c r="M47" s="144"/>
      <c r="N47" s="232">
        <v>87.190400524372933</v>
      </c>
      <c r="O47" s="144"/>
      <c r="P47" s="232">
        <v>708.16463163466085</v>
      </c>
      <c r="Q47" s="144"/>
      <c r="R47" s="232">
        <v>272.35319892390197</v>
      </c>
      <c r="S47" s="144"/>
      <c r="T47" s="232">
        <v>352.28892133927911</v>
      </c>
      <c r="U47" s="144"/>
      <c r="V47" s="232">
        <v>84.080891836887531</v>
      </c>
      <c r="W47" s="144"/>
      <c r="X47" s="232">
        <v>177.77040953735928</v>
      </c>
      <c r="Y47" s="144"/>
    </row>
    <row r="48" spans="1:25" s="145" customFormat="1" x14ac:dyDescent="0.35">
      <c r="A48" s="232" t="s">
        <v>1523</v>
      </c>
      <c r="B48" s="232">
        <v>311.72203623152581</v>
      </c>
      <c r="C48" s="144"/>
      <c r="D48" s="232">
        <v>177.963788182863</v>
      </c>
      <c r="E48" s="144"/>
      <c r="F48" s="232">
        <v>499.04038585083697</v>
      </c>
      <c r="G48" s="144">
        <v>766</v>
      </c>
      <c r="H48" s="232">
        <v>141.62896999705146</v>
      </c>
      <c r="I48" s="144"/>
      <c r="J48" s="232">
        <v>31.507458505837249</v>
      </c>
      <c r="K48" s="144"/>
      <c r="L48" s="232">
        <v>324.34727927729443</v>
      </c>
      <c r="M48" s="144"/>
      <c r="N48" s="232">
        <v>127.83094901335487</v>
      </c>
      <c r="O48" s="144"/>
      <c r="P48" s="232">
        <v>1536.8410839033554</v>
      </c>
      <c r="Q48" s="144"/>
      <c r="R48" s="232">
        <v>599.52953416199875</v>
      </c>
      <c r="S48" s="144"/>
      <c r="T48" s="232">
        <v>496.69987256914203</v>
      </c>
      <c r="U48" s="144">
        <v>2217</v>
      </c>
      <c r="V48" s="232">
        <v>188.83862666273529</v>
      </c>
      <c r="W48" s="144"/>
      <c r="X48" s="232">
        <v>250.6423972348901</v>
      </c>
      <c r="Y48" s="144"/>
    </row>
    <row r="49" spans="1:25" s="145" customFormat="1" x14ac:dyDescent="0.35">
      <c r="A49" s="232" t="s">
        <v>1522</v>
      </c>
      <c r="B49" s="232">
        <v>8.5195963354339028</v>
      </c>
      <c r="C49" s="144"/>
      <c r="D49" s="232">
        <v>44.844559204527421</v>
      </c>
      <c r="E49" s="144"/>
      <c r="F49" s="232">
        <v>27.575336462573723</v>
      </c>
      <c r="G49" s="144"/>
      <c r="H49" s="232">
        <v>25.579619724753158</v>
      </c>
      <c r="I49" s="144"/>
      <c r="J49" s="232">
        <v>1.7608057252287932</v>
      </c>
      <c r="K49" s="144"/>
      <c r="L49" s="232">
        <v>19.190486895784286</v>
      </c>
      <c r="M49" s="144"/>
      <c r="N49" s="232">
        <v>8.3509621507994396</v>
      </c>
      <c r="O49" s="144"/>
      <c r="P49" s="232">
        <v>133.14976878405676</v>
      </c>
      <c r="Q49" s="144"/>
      <c r="R49" s="232">
        <v>87.963943024994506</v>
      </c>
      <c r="S49" s="144"/>
      <c r="T49" s="232">
        <v>25.875955190233107</v>
      </c>
      <c r="U49" s="144">
        <v>1248</v>
      </c>
      <c r="V49" s="232">
        <v>34.106159633004211</v>
      </c>
      <c r="W49" s="144"/>
      <c r="X49" s="232">
        <v>13.057405080609938</v>
      </c>
      <c r="Y49" s="144"/>
    </row>
    <row r="50" spans="1:25" s="145" customFormat="1" x14ac:dyDescent="0.35">
      <c r="A50" s="232" t="s">
        <v>1521</v>
      </c>
      <c r="B50" s="232">
        <v>8.28906155833835</v>
      </c>
      <c r="C50" s="144"/>
      <c r="D50" s="232">
        <v>27.514889175304532</v>
      </c>
      <c r="E50" s="144"/>
      <c r="F50" s="232">
        <v>25.992310257835815</v>
      </c>
      <c r="G50" s="144"/>
      <c r="H50" s="232">
        <v>11.1326637425437</v>
      </c>
      <c r="I50" s="144"/>
      <c r="J50" s="232">
        <v>1.6452431716021854</v>
      </c>
      <c r="K50" s="144"/>
      <c r="L50" s="232">
        <v>17.161776836269517</v>
      </c>
      <c r="M50" s="144"/>
      <c r="N50" s="232">
        <v>6.9303939159153476</v>
      </c>
      <c r="O50" s="144"/>
      <c r="P50" s="232">
        <v>84.451563908945928</v>
      </c>
      <c r="Q50" s="144"/>
      <c r="R50" s="232">
        <v>51.834997049676623</v>
      </c>
      <c r="S50" s="144"/>
      <c r="T50" s="232">
        <v>25.538244285866011</v>
      </c>
      <c r="U50" s="144">
        <v>624</v>
      </c>
      <c r="V50" s="232">
        <v>14.843551656724934</v>
      </c>
      <c r="W50" s="144"/>
      <c r="X50" s="232">
        <v>12.886990962713925</v>
      </c>
      <c r="Y50" s="144"/>
    </row>
    <row r="51" spans="1:25" s="145" customFormat="1" x14ac:dyDescent="0.35">
      <c r="A51" s="232" t="s">
        <v>1520</v>
      </c>
      <c r="B51" s="232">
        <v>4.6974675909278307</v>
      </c>
      <c r="C51" s="144"/>
      <c r="D51" s="232">
        <v>192.87093577932205</v>
      </c>
      <c r="E51" s="144"/>
      <c r="F51" s="232">
        <v>109.04357987708556</v>
      </c>
      <c r="G51" s="144">
        <v>452</v>
      </c>
      <c r="H51" s="232">
        <v>384.6209829084745</v>
      </c>
      <c r="I51" s="144"/>
      <c r="J51" s="232">
        <v>7.2791604461775172</v>
      </c>
      <c r="K51" s="144"/>
      <c r="L51" s="232">
        <v>96.13443424024274</v>
      </c>
      <c r="M51" s="144"/>
      <c r="N51" s="232">
        <v>53.579285505244755</v>
      </c>
      <c r="O51" s="144"/>
      <c r="P51" s="232">
        <v>2018.878012927308</v>
      </c>
      <c r="Q51" s="144"/>
      <c r="R51" s="232">
        <v>1610.9968371064888</v>
      </c>
      <c r="S51" s="144"/>
      <c r="T51" s="232">
        <v>77.254858528929674</v>
      </c>
      <c r="U51" s="144">
        <v>679</v>
      </c>
      <c r="V51" s="232">
        <v>512.8279772112993</v>
      </c>
      <c r="W51" s="144"/>
      <c r="X51" s="232">
        <v>38.983990149982972</v>
      </c>
      <c r="Y51" s="144"/>
    </row>
    <row r="52" spans="1:25" s="145" customFormat="1" x14ac:dyDescent="0.35">
      <c r="A52" s="232" t="s">
        <v>1519</v>
      </c>
      <c r="B52" s="232">
        <v>6.5300328002587928</v>
      </c>
      <c r="C52" s="144"/>
      <c r="D52" s="232">
        <v>2.51777483938488</v>
      </c>
      <c r="E52" s="144"/>
      <c r="F52" s="232">
        <v>4.5964902232556755</v>
      </c>
      <c r="G52" s="144"/>
      <c r="H52" s="232">
        <v>0.82458788221452628</v>
      </c>
      <c r="I52" s="144"/>
      <c r="J52" s="232">
        <v>0.28966901082484492</v>
      </c>
      <c r="K52" s="144"/>
      <c r="L52" s="232">
        <v>2.953172648647743</v>
      </c>
      <c r="M52" s="144"/>
      <c r="N52" s="232">
        <v>1.142605629211161</v>
      </c>
      <c r="O52" s="144"/>
      <c r="P52" s="232">
        <v>18.12547277461632</v>
      </c>
      <c r="Q52" s="144"/>
      <c r="R52" s="232">
        <v>6.275433941725157</v>
      </c>
      <c r="S52" s="144"/>
      <c r="T52" s="232">
        <v>4.6173734082963431</v>
      </c>
      <c r="U52" s="144"/>
      <c r="V52" s="232">
        <v>1.0994505096193683</v>
      </c>
      <c r="W52" s="144"/>
      <c r="X52" s="232">
        <v>2.3299976583403086</v>
      </c>
      <c r="Y52" s="144"/>
    </row>
    <row r="53" spans="1:25" s="145" customFormat="1" x14ac:dyDescent="0.35">
      <c r="A53" s="232" t="s">
        <v>1518</v>
      </c>
      <c r="B53" s="232">
        <v>1.5284019116379843</v>
      </c>
      <c r="C53" s="144"/>
      <c r="D53" s="232">
        <v>2.8345341363851393</v>
      </c>
      <c r="E53" s="144"/>
      <c r="F53" s="232">
        <v>10.69210756113281</v>
      </c>
      <c r="G53" s="144"/>
      <c r="H53" s="232">
        <v>1.9358148015968422</v>
      </c>
      <c r="I53" s="144"/>
      <c r="J53" s="232">
        <v>0.67383217459752787</v>
      </c>
      <c r="K53" s="144"/>
      <c r="L53" s="232">
        <v>6.8707753787174672</v>
      </c>
      <c r="M53" s="144"/>
      <c r="N53" s="232">
        <v>2.6591513328498473</v>
      </c>
      <c r="O53" s="144"/>
      <c r="P53" s="232">
        <v>18.740430914400395</v>
      </c>
      <c r="Q53" s="144"/>
      <c r="R53" s="232">
        <v>10.319056250242276</v>
      </c>
      <c r="S53" s="144"/>
      <c r="T53" s="232">
        <v>10.739119331626956</v>
      </c>
      <c r="U53" s="144"/>
      <c r="V53" s="232">
        <v>2.5810864021291229</v>
      </c>
      <c r="W53" s="144"/>
      <c r="X53" s="232">
        <v>5.4191248319594481</v>
      </c>
      <c r="Y53" s="144"/>
    </row>
    <row r="54" spans="1:25" s="145" customFormat="1" x14ac:dyDescent="0.35">
      <c r="A54" s="232" t="s">
        <v>1531</v>
      </c>
      <c r="B54" s="232">
        <v>19.90650099549325</v>
      </c>
      <c r="C54" s="144"/>
      <c r="D54" s="232">
        <v>270.23996724134491</v>
      </c>
      <c r="E54" s="144"/>
      <c r="F54" s="232">
        <v>1449.4426367425292</v>
      </c>
      <c r="G54" s="144"/>
      <c r="H54" s="232">
        <v>398.91611757063026</v>
      </c>
      <c r="I54" s="144"/>
      <c r="J54" s="232">
        <v>91.498262071338416</v>
      </c>
      <c r="K54" s="144"/>
      <c r="L54" s="232">
        <v>941.1650313138025</v>
      </c>
      <c r="M54" s="144"/>
      <c r="N54" s="232">
        <v>370.37775080151215</v>
      </c>
      <c r="O54" s="144"/>
      <c r="P54" s="232">
        <v>2231.6575453486844</v>
      </c>
      <c r="Q54" s="144"/>
      <c r="R54" s="232">
        <v>1124.5386631709146</v>
      </c>
      <c r="S54" s="144"/>
      <c r="T54" s="232">
        <v>1443.7448026051782</v>
      </c>
      <c r="U54" s="144"/>
      <c r="V54" s="232">
        <v>531.88815676084039</v>
      </c>
      <c r="W54" s="144"/>
      <c r="X54" s="232">
        <v>728.53583885307444</v>
      </c>
      <c r="Y54" s="144"/>
    </row>
    <row r="55" spans="1:25" s="145" customFormat="1" x14ac:dyDescent="0.35">
      <c r="A55" s="232" t="s">
        <v>1530</v>
      </c>
      <c r="B55" s="232">
        <v>0.14504292622196271</v>
      </c>
      <c r="C55" s="144"/>
      <c r="D55" s="232">
        <v>1.0976944271884803</v>
      </c>
      <c r="E55" s="144"/>
      <c r="F55" s="232">
        <v>14.080792654266471</v>
      </c>
      <c r="G55" s="144"/>
      <c r="H55" s="232">
        <v>3.2301883088858583</v>
      </c>
      <c r="I55" s="144"/>
      <c r="J55" s="232">
        <v>0.88815162639137923</v>
      </c>
      <c r="K55" s="144"/>
      <c r="L55" s="232">
        <v>9.0969850889805155</v>
      </c>
      <c r="M55" s="144"/>
      <c r="N55" s="232">
        <v>3.5512981334082059</v>
      </c>
      <c r="O55" s="144"/>
      <c r="P55" s="232">
        <v>22.719559731979089</v>
      </c>
      <c r="Q55" s="144"/>
      <c r="R55" s="232">
        <v>9.5628135560387264</v>
      </c>
      <c r="S55" s="144"/>
      <c r="T55" s="232">
        <v>14.082492857989486</v>
      </c>
      <c r="U55" s="144"/>
      <c r="V55" s="232">
        <v>4.3069177451811447</v>
      </c>
      <c r="W55" s="144"/>
      <c r="X55" s="232">
        <v>7.1062425498777708</v>
      </c>
      <c r="Y55" s="144"/>
    </row>
    <row r="56" spans="1:25" s="48" customFormat="1" x14ac:dyDescent="0.35">
      <c r="A56" s="45" t="s">
        <v>1529</v>
      </c>
      <c r="B56" s="49">
        <v>14790.550708595467</v>
      </c>
      <c r="C56" s="47"/>
      <c r="D56" s="49">
        <v>200690.45509620226</v>
      </c>
      <c r="E56" s="47"/>
      <c r="F56" s="49">
        <v>435076.01707534253</v>
      </c>
      <c r="G56" s="47">
        <v>205963</v>
      </c>
      <c r="H56" s="49">
        <v>209006.3268701575</v>
      </c>
      <c r="I56" s="47"/>
      <c r="J56" s="49">
        <v>27564.42029657137</v>
      </c>
      <c r="K56" s="47"/>
      <c r="L56" s="49">
        <v>288883.48245135328</v>
      </c>
      <c r="M56" s="47"/>
      <c r="N56" s="49">
        <v>117648.67511493673</v>
      </c>
      <c r="O56" s="47"/>
      <c r="P56" s="49">
        <v>867454.3970084032</v>
      </c>
      <c r="Q56" s="47"/>
      <c r="R56" s="49">
        <v>524495.18287054007</v>
      </c>
      <c r="S56" s="47"/>
      <c r="T56" s="49">
        <v>425471.5667482267</v>
      </c>
      <c r="U56" s="47">
        <v>157671</v>
      </c>
      <c r="V56" s="49">
        <v>278675.10249354335</v>
      </c>
      <c r="W56" s="47"/>
      <c r="X56" s="49">
        <v>214699.49829756669</v>
      </c>
      <c r="Y56" s="47"/>
    </row>
    <row r="57" spans="1:25" s="145" customFormat="1" ht="13.15" x14ac:dyDescent="0.4">
      <c r="A57" s="388" t="s">
        <v>1662</v>
      </c>
      <c r="B57" s="237"/>
      <c r="C57" s="156"/>
      <c r="D57" s="237"/>
      <c r="E57" s="156"/>
      <c r="F57" s="237"/>
      <c r="G57" s="156"/>
      <c r="H57" s="237"/>
      <c r="I57" s="156"/>
      <c r="J57" s="237"/>
      <c r="K57" s="156"/>
      <c r="L57" s="237"/>
      <c r="M57" s="156"/>
      <c r="N57" s="237"/>
      <c r="O57" s="156"/>
      <c r="P57" s="237"/>
      <c r="Q57" s="156"/>
      <c r="R57" s="237"/>
      <c r="S57" s="156"/>
      <c r="T57" s="237"/>
      <c r="U57" s="156"/>
      <c r="V57" s="237"/>
      <c r="W57" s="156"/>
      <c r="X57" s="237"/>
      <c r="Y57" s="156"/>
    </row>
    <row r="58" spans="1:25" s="145" customFormat="1" x14ac:dyDescent="0.35">
      <c r="A58" s="232" t="s">
        <v>1525</v>
      </c>
      <c r="B58" s="232">
        <v>0.4580636009774301</v>
      </c>
      <c r="C58" s="144">
        <v>0</v>
      </c>
      <c r="D58" s="232">
        <v>0.93435453622356712</v>
      </c>
      <c r="E58" s="144">
        <v>0</v>
      </c>
      <c r="F58" s="232">
        <v>3.9590463380798786</v>
      </c>
      <c r="G58" s="144">
        <v>0</v>
      </c>
      <c r="H58" s="232">
        <v>1.6078832730342256</v>
      </c>
      <c r="I58" s="144">
        <v>0</v>
      </c>
      <c r="J58" s="232">
        <v>0.25049900676709691</v>
      </c>
      <c r="K58" s="144">
        <v>0</v>
      </c>
      <c r="L58" s="232">
        <v>2.6077428180955993</v>
      </c>
      <c r="M58" s="144">
        <v>0</v>
      </c>
      <c r="N58" s="232">
        <v>1.049243299033952</v>
      </c>
      <c r="O58" s="144">
        <v>0</v>
      </c>
      <c r="P58" s="232">
        <v>9.0699541368987973</v>
      </c>
      <c r="Q58" s="144">
        <v>0</v>
      </c>
      <c r="R58" s="232">
        <v>5.1596821176636656</v>
      </c>
      <c r="S58" s="144">
        <v>0</v>
      </c>
      <c r="T58" s="232">
        <v>3.897649443282563</v>
      </c>
      <c r="U58" s="144">
        <v>0</v>
      </c>
      <c r="V58" s="232">
        <v>2.1438443640456342</v>
      </c>
      <c r="W58" s="144">
        <v>0</v>
      </c>
      <c r="X58" s="232">
        <v>1.9668138729179703</v>
      </c>
      <c r="Y58" s="144">
        <v>0</v>
      </c>
    </row>
    <row r="59" spans="1:25" s="145" customFormat="1" x14ac:dyDescent="0.35">
      <c r="A59" s="232" t="s">
        <v>1524</v>
      </c>
      <c r="B59" s="232">
        <v>0.41463313004420149</v>
      </c>
      <c r="C59" s="144">
        <v>0</v>
      </c>
      <c r="D59" s="232">
        <v>3.7422796668178271</v>
      </c>
      <c r="E59" s="144">
        <v>0</v>
      </c>
      <c r="F59" s="232">
        <v>19.475611235224488</v>
      </c>
      <c r="G59" s="144">
        <v>0</v>
      </c>
      <c r="H59" s="232">
        <v>12.583704560021818</v>
      </c>
      <c r="I59" s="144">
        <v>0</v>
      </c>
      <c r="J59" s="232">
        <v>1.2374864655615885</v>
      </c>
      <c r="K59" s="144">
        <v>0</v>
      </c>
      <c r="L59" s="232">
        <v>13.162050587016537</v>
      </c>
      <c r="M59" s="144">
        <v>0</v>
      </c>
      <c r="N59" s="232">
        <v>5.5004607241241139</v>
      </c>
      <c r="O59" s="144">
        <v>0</v>
      </c>
      <c r="P59" s="232">
        <v>29.830902972480953</v>
      </c>
      <c r="Q59" s="144">
        <v>0</v>
      </c>
      <c r="R59" s="232">
        <v>28.37354089936111</v>
      </c>
      <c r="S59" s="144">
        <v>0</v>
      </c>
      <c r="T59" s="232">
        <v>18.760228068050267</v>
      </c>
      <c r="U59" s="144">
        <v>0</v>
      </c>
      <c r="V59" s="232">
        <v>16.778272746695759</v>
      </c>
      <c r="W59" s="144">
        <v>0</v>
      </c>
      <c r="X59" s="232">
        <v>9.4666997020315176</v>
      </c>
      <c r="Y59" s="144">
        <v>0</v>
      </c>
    </row>
    <row r="60" spans="1:25" s="145" customFormat="1" x14ac:dyDescent="0.35">
      <c r="A60" s="232" t="s">
        <v>1523</v>
      </c>
      <c r="B60" s="232">
        <v>0.81221294624697782</v>
      </c>
      <c r="C60" s="144">
        <v>0</v>
      </c>
      <c r="D60" s="232">
        <v>9.9237759239820829</v>
      </c>
      <c r="E60" s="144">
        <v>0</v>
      </c>
      <c r="F60" s="232">
        <v>24.850997414303677</v>
      </c>
      <c r="G60" s="144">
        <v>0</v>
      </c>
      <c r="H60" s="232">
        <v>32.956717683596565</v>
      </c>
      <c r="I60" s="144">
        <v>0</v>
      </c>
      <c r="J60" s="232">
        <v>1.5978944320741788</v>
      </c>
      <c r="K60" s="144">
        <v>0</v>
      </c>
      <c r="L60" s="232">
        <v>18.001986997615148</v>
      </c>
      <c r="M60" s="144">
        <v>0</v>
      </c>
      <c r="N60" s="232">
        <v>8.2441464953239336</v>
      </c>
      <c r="O60" s="144">
        <v>0</v>
      </c>
      <c r="P60" s="232">
        <v>43.509126136033089</v>
      </c>
      <c r="Q60" s="144">
        <v>0</v>
      </c>
      <c r="R60" s="232">
        <v>69.134381101416622</v>
      </c>
      <c r="S60" s="144">
        <v>0</v>
      </c>
      <c r="T60" s="232">
        <v>22.443620967746909</v>
      </c>
      <c r="U60" s="144">
        <v>0</v>
      </c>
      <c r="V60" s="232">
        <v>43.942290244795416</v>
      </c>
      <c r="W60" s="144">
        <v>0</v>
      </c>
      <c r="X60" s="232">
        <v>11.325396426801516</v>
      </c>
      <c r="Y60" s="144">
        <v>0</v>
      </c>
    </row>
    <row r="61" spans="1:25" s="145" customFormat="1" x14ac:dyDescent="0.35">
      <c r="A61" s="232" t="s">
        <v>1522</v>
      </c>
      <c r="B61" s="232">
        <v>0.11540511032702427</v>
      </c>
      <c r="C61" s="144">
        <v>0</v>
      </c>
      <c r="D61" s="232">
        <v>1.1809571486386869</v>
      </c>
      <c r="E61" s="144">
        <v>0</v>
      </c>
      <c r="F61" s="232">
        <v>0.45216390472416806</v>
      </c>
      <c r="G61" s="144">
        <v>0</v>
      </c>
      <c r="H61" s="232">
        <v>4.0615269973726953</v>
      </c>
      <c r="I61" s="144">
        <v>0</v>
      </c>
      <c r="J61" s="232">
        <v>3.2935922549830202E-2</v>
      </c>
      <c r="K61" s="144">
        <v>0</v>
      </c>
      <c r="L61" s="232">
        <v>0.57482326619359758</v>
      </c>
      <c r="M61" s="144">
        <v>0</v>
      </c>
      <c r="N61" s="232">
        <v>0.40104738771566389</v>
      </c>
      <c r="O61" s="144">
        <v>0</v>
      </c>
      <c r="P61" s="232">
        <v>2.248015102435021</v>
      </c>
      <c r="Q61" s="144">
        <v>0</v>
      </c>
      <c r="R61" s="232">
        <v>7.7942232807841743</v>
      </c>
      <c r="S61" s="144">
        <v>0</v>
      </c>
      <c r="T61" s="232">
        <v>0.10220907988285802</v>
      </c>
      <c r="U61" s="144">
        <v>0</v>
      </c>
      <c r="V61" s="232">
        <v>5.4153693298302601</v>
      </c>
      <c r="W61" s="144">
        <v>0</v>
      </c>
      <c r="X61" s="232">
        <v>5.1576274156272965E-2</v>
      </c>
      <c r="Y61" s="144">
        <v>0</v>
      </c>
    </row>
    <row r="62" spans="1:25" s="145" customFormat="1" x14ac:dyDescent="0.35">
      <c r="A62" s="232" t="s">
        <v>1521</v>
      </c>
      <c r="B62" s="232">
        <v>8.8748367905836109E-2</v>
      </c>
      <c r="C62" s="144">
        <v>0</v>
      </c>
      <c r="D62" s="232">
        <v>0.87973291477042392</v>
      </c>
      <c r="E62" s="144">
        <v>0</v>
      </c>
      <c r="F62" s="232">
        <v>0.34598592333913714</v>
      </c>
      <c r="G62" s="144">
        <v>0</v>
      </c>
      <c r="H62" s="232">
        <v>2.9895962137299668</v>
      </c>
      <c r="I62" s="144">
        <v>0</v>
      </c>
      <c r="J62" s="232">
        <v>2.5069982863782852E-2</v>
      </c>
      <c r="K62" s="144">
        <v>0</v>
      </c>
      <c r="L62" s="232">
        <v>0.43139965710524575</v>
      </c>
      <c r="M62" s="144">
        <v>0</v>
      </c>
      <c r="N62" s="232">
        <v>0.2983015103440666</v>
      </c>
      <c r="O62" s="144">
        <v>0</v>
      </c>
      <c r="P62" s="232">
        <v>1.746659511985601</v>
      </c>
      <c r="Q62" s="144">
        <v>0</v>
      </c>
      <c r="R62" s="232">
        <v>5.7852993118791396</v>
      </c>
      <c r="S62" s="144">
        <v>0</v>
      </c>
      <c r="T62" s="232">
        <v>8.8660800832523562E-2</v>
      </c>
      <c r="U62" s="144">
        <v>0</v>
      </c>
      <c r="V62" s="232">
        <v>3.9861282849732893</v>
      </c>
      <c r="W62" s="144">
        <v>0</v>
      </c>
      <c r="X62" s="232">
        <v>4.4739604112411888E-2</v>
      </c>
      <c r="Y62" s="144">
        <v>0</v>
      </c>
    </row>
    <row r="63" spans="1:25" s="145" customFormat="1" x14ac:dyDescent="0.35">
      <c r="A63" s="232" t="s">
        <v>1520</v>
      </c>
      <c r="B63" s="232">
        <v>1.5584169138577206</v>
      </c>
      <c r="C63" s="144">
        <v>0</v>
      </c>
      <c r="D63" s="232">
        <v>36.144796346400597</v>
      </c>
      <c r="E63" s="144">
        <v>0</v>
      </c>
      <c r="F63" s="232">
        <v>13.632435970921293</v>
      </c>
      <c r="G63" s="144">
        <v>0</v>
      </c>
      <c r="H63" s="232">
        <v>136.2469336453658</v>
      </c>
      <c r="I63" s="144">
        <v>0</v>
      </c>
      <c r="J63" s="232">
        <v>1.0083857331078385</v>
      </c>
      <c r="K63" s="144">
        <v>0</v>
      </c>
      <c r="L63" s="232">
        <v>18.31586428383152</v>
      </c>
      <c r="M63" s="144">
        <v>0</v>
      </c>
      <c r="N63" s="232">
        <v>13.091653631587715</v>
      </c>
      <c r="O63" s="144">
        <v>0</v>
      </c>
      <c r="P63" s="232">
        <v>46.138559998921174</v>
      </c>
      <c r="Q63" s="144">
        <v>0</v>
      </c>
      <c r="R63" s="232">
        <v>249.53803895127385</v>
      </c>
      <c r="S63" s="144">
        <v>0</v>
      </c>
      <c r="T63" s="232">
        <v>1.8616003962478722</v>
      </c>
      <c r="U63" s="144">
        <v>0</v>
      </c>
      <c r="V63" s="232">
        <v>181.66257819382105</v>
      </c>
      <c r="W63" s="144">
        <v>0</v>
      </c>
      <c r="X63" s="232">
        <v>0.93939219995277246</v>
      </c>
      <c r="Y63" s="144">
        <v>0</v>
      </c>
    </row>
    <row r="64" spans="1:25" s="145" customFormat="1" x14ac:dyDescent="0.35">
      <c r="A64" s="232" t="s">
        <v>1519</v>
      </c>
      <c r="B64" s="232">
        <v>9.822188082424816E-3</v>
      </c>
      <c r="C64" s="144">
        <v>0</v>
      </c>
      <c r="D64" s="232">
        <v>5.814595219301899E-2</v>
      </c>
      <c r="E64" s="144">
        <v>0</v>
      </c>
      <c r="F64" s="232">
        <v>3.1967104413931587E-2</v>
      </c>
      <c r="G64" s="144">
        <v>0</v>
      </c>
      <c r="H64" s="232">
        <v>0.1781091729659956</v>
      </c>
      <c r="I64" s="144">
        <v>0</v>
      </c>
      <c r="J64" s="232">
        <v>2.2068632692031197E-3</v>
      </c>
      <c r="K64" s="144">
        <v>0</v>
      </c>
      <c r="L64" s="232">
        <v>3.2850820958211568E-2</v>
      </c>
      <c r="M64" s="144">
        <v>0</v>
      </c>
      <c r="N64" s="232">
        <v>2.0446530745521389E-2</v>
      </c>
      <c r="O64" s="144">
        <v>0</v>
      </c>
      <c r="P64" s="232">
        <v>0.16581314121515411</v>
      </c>
      <c r="Q64" s="144">
        <v>0</v>
      </c>
      <c r="R64" s="232">
        <v>0.37308427726224058</v>
      </c>
      <c r="S64" s="144">
        <v>0</v>
      </c>
      <c r="T64" s="232">
        <v>1.6868342949195873E-2</v>
      </c>
      <c r="U64" s="144">
        <v>0</v>
      </c>
      <c r="V64" s="232">
        <v>0.23747889728799415</v>
      </c>
      <c r="W64" s="144">
        <v>0</v>
      </c>
      <c r="X64" s="232">
        <v>8.5120253651326857E-3</v>
      </c>
      <c r="Y64" s="144">
        <v>0</v>
      </c>
    </row>
    <row r="65" spans="1:25" s="145" customFormat="1" x14ac:dyDescent="0.35">
      <c r="A65" s="231" t="s">
        <v>1518</v>
      </c>
      <c r="B65" s="231">
        <v>1.5110919551956445E-2</v>
      </c>
      <c r="C65" s="141">
        <v>0</v>
      </c>
      <c r="D65" s="231">
        <v>0.15024244787726435</v>
      </c>
      <c r="E65" s="141">
        <v>0</v>
      </c>
      <c r="F65" s="231">
        <v>6.6265300320389728E-2</v>
      </c>
      <c r="G65" s="141">
        <v>0</v>
      </c>
      <c r="H65" s="231">
        <v>0.4582643687787914</v>
      </c>
      <c r="I65" s="141">
        <v>0</v>
      </c>
      <c r="J65" s="231">
        <v>4.6740117253262839E-3</v>
      </c>
      <c r="K65" s="141">
        <v>0</v>
      </c>
      <c r="L65" s="231">
        <v>7.4458462696928324E-2</v>
      </c>
      <c r="M65" s="141">
        <v>0</v>
      </c>
      <c r="N65" s="231">
        <v>4.8842275836524285E-2</v>
      </c>
      <c r="O65" s="141">
        <v>0</v>
      </c>
      <c r="P65" s="231">
        <v>0.31285534192073716</v>
      </c>
      <c r="Q65" s="141">
        <v>0</v>
      </c>
      <c r="R65" s="231">
        <v>0.94336753753803182</v>
      </c>
      <c r="S65" s="141">
        <v>0</v>
      </c>
      <c r="T65" s="231">
        <v>2.7090872475742621E-2</v>
      </c>
      <c r="U65" s="141">
        <v>0</v>
      </c>
      <c r="V65" s="231">
        <v>0.61101915837172183</v>
      </c>
      <c r="W65" s="141">
        <v>0</v>
      </c>
      <c r="X65" s="231">
        <v>1.3670471033913199E-2</v>
      </c>
      <c r="Y65" s="141">
        <v>0</v>
      </c>
    </row>
    <row r="66" spans="1:25" s="145" customFormat="1" x14ac:dyDescent="0.35"/>
    <row r="67" spans="1:25" s="145" customFormat="1" ht="13.9" x14ac:dyDescent="0.4">
      <c r="A67" s="386" t="s">
        <v>2068</v>
      </c>
    </row>
    <row r="68" spans="1:25" ht="13.15" x14ac:dyDescent="0.4">
      <c r="A68" s="61"/>
      <c r="B68" s="2193" t="s">
        <v>242</v>
      </c>
      <c r="C68" s="2194"/>
      <c r="D68" s="2194"/>
      <c r="E68" s="2194"/>
      <c r="F68" s="2194"/>
      <c r="G68" s="2194"/>
      <c r="H68" s="2244"/>
      <c r="I68" s="2244"/>
      <c r="J68" s="2194"/>
      <c r="K68" s="2195"/>
      <c r="L68" s="2245" t="s">
        <v>2067</v>
      </c>
      <c r="M68" s="2244"/>
      <c r="N68" s="2244"/>
      <c r="O68" s="2244"/>
      <c r="P68" s="2244"/>
      <c r="Q68" s="2246"/>
    </row>
    <row r="69" spans="1:25" s="145" customFormat="1" ht="26.25" x14ac:dyDescent="0.4">
      <c r="A69" s="232"/>
      <c r="B69" s="536" t="s">
        <v>2062</v>
      </c>
      <c r="C69" s="41" t="s">
        <v>2061</v>
      </c>
      <c r="D69" s="41" t="s">
        <v>2060</v>
      </c>
      <c r="E69" s="41" t="s">
        <v>2066</v>
      </c>
      <c r="F69" s="41" t="s">
        <v>2065</v>
      </c>
      <c r="G69" s="41" t="s">
        <v>2064</v>
      </c>
      <c r="H69" s="2241" t="s">
        <v>2063</v>
      </c>
      <c r="I69" s="2241"/>
      <c r="J69" s="2241" t="s">
        <v>328</v>
      </c>
      <c r="K69" s="2241"/>
      <c r="L69" s="535" t="s">
        <v>2062</v>
      </c>
      <c r="M69" s="534" t="s">
        <v>2061</v>
      </c>
      <c r="N69" s="534" t="s">
        <v>2060</v>
      </c>
      <c r="O69" s="405" t="s">
        <v>2059</v>
      </c>
      <c r="P69" s="2205" t="s">
        <v>2058</v>
      </c>
      <c r="Q69" s="2205"/>
    </row>
    <row r="70" spans="1:25" s="145" customFormat="1" ht="13.15" x14ac:dyDescent="0.4">
      <c r="A70" s="390" t="s">
        <v>2050</v>
      </c>
      <c r="B70" s="533"/>
      <c r="C70" s="101"/>
      <c r="D70" s="101"/>
      <c r="E70" s="101"/>
      <c r="F70" s="101"/>
      <c r="G70" s="101"/>
      <c r="H70" s="429" t="s">
        <v>1873</v>
      </c>
      <c r="I70" s="429" t="s">
        <v>1872</v>
      </c>
      <c r="J70" s="429" t="s">
        <v>1873</v>
      </c>
      <c r="K70" s="429" t="s">
        <v>1872</v>
      </c>
      <c r="L70" s="101"/>
      <c r="M70" s="101"/>
      <c r="N70" s="101"/>
      <c r="O70" s="101"/>
      <c r="P70" s="55" t="s">
        <v>1873</v>
      </c>
      <c r="Q70" s="55" t="s">
        <v>1872</v>
      </c>
    </row>
    <row r="71" spans="1:25" s="145" customFormat="1" x14ac:dyDescent="0.35">
      <c r="A71" s="232" t="s">
        <v>1537</v>
      </c>
      <c r="B71" s="232">
        <v>2.025530236228346</v>
      </c>
      <c r="C71" s="145">
        <v>7.2897796355472364</v>
      </c>
      <c r="D71" s="145">
        <v>3.1088273018292094</v>
      </c>
      <c r="E71" s="145">
        <v>0.4614084173185109</v>
      </c>
      <c r="F71" s="145">
        <v>4.8122170393268853</v>
      </c>
      <c r="G71" s="145">
        <v>1.9427180972360787</v>
      </c>
      <c r="H71" s="146">
        <v>12.885545590923302</v>
      </c>
      <c r="I71" s="146">
        <v>6.4427727954616508E-3</v>
      </c>
      <c r="J71" s="146">
        <v>19.640480727486267</v>
      </c>
      <c r="K71" s="146">
        <v>9.8202403637431337E-3</v>
      </c>
      <c r="L71" s="145">
        <v>7.9314460693181958</v>
      </c>
      <c r="M71" s="145">
        <v>7.163620342913644</v>
      </c>
      <c r="N71" s="145">
        <v>4.1451030691056134</v>
      </c>
      <c r="O71" s="145">
        <v>3.6148730345779616</v>
      </c>
      <c r="P71" s="146">
        <v>22.855042515915414</v>
      </c>
      <c r="Q71" s="146">
        <v>1.1427521257957707E-2</v>
      </c>
    </row>
    <row r="72" spans="1:25" s="145" customFormat="1" x14ac:dyDescent="0.35">
      <c r="A72" s="232" t="s">
        <v>1536</v>
      </c>
      <c r="B72" s="232">
        <v>1.8698460750151267</v>
      </c>
      <c r="C72" s="145">
        <v>7.2336041056989488</v>
      </c>
      <c r="D72" s="145">
        <v>2.5125485556717324</v>
      </c>
      <c r="E72" s="145">
        <v>0.45721426436506513</v>
      </c>
      <c r="F72" s="145">
        <v>4.7342536359166596</v>
      </c>
      <c r="G72" s="145">
        <v>1.8862443093398957</v>
      </c>
      <c r="H72" s="146">
        <v>12.073213000750874</v>
      </c>
      <c r="I72" s="146">
        <v>6.0366065003754372E-3</v>
      </c>
      <c r="J72" s="146">
        <v>18.693710946007432</v>
      </c>
      <c r="K72" s="146">
        <v>9.3468554730037155E-3</v>
      </c>
      <c r="L72" s="145">
        <v>6.8514022747348502</v>
      </c>
      <c r="M72" s="145">
        <v>7.1590305076946237</v>
      </c>
      <c r="N72" s="145">
        <v>3.3500647408956432</v>
      </c>
      <c r="O72" s="145">
        <v>3.6125569331135945</v>
      </c>
      <c r="P72" s="146">
        <v>20.97305445643871</v>
      </c>
      <c r="Q72" s="146">
        <v>1.0486527228219356E-2</v>
      </c>
    </row>
    <row r="73" spans="1:25" s="145" customFormat="1" x14ac:dyDescent="0.35">
      <c r="A73" s="232" t="s">
        <v>1535</v>
      </c>
      <c r="B73" s="232">
        <v>1.3574524621768895</v>
      </c>
      <c r="C73" s="145">
        <v>0.13563812236528844</v>
      </c>
      <c r="D73" s="145">
        <v>1.4398336587761142</v>
      </c>
      <c r="E73" s="145">
        <v>1.0127059484154276E-2</v>
      </c>
      <c r="F73" s="145">
        <v>0.18825256256676681</v>
      </c>
      <c r="G73" s="145">
        <v>0.13636510641527957</v>
      </c>
      <c r="H73" s="146">
        <v>2.9430513028024468</v>
      </c>
      <c r="I73" s="146">
        <v>1.4715256514012233E-3</v>
      </c>
      <c r="J73" s="146">
        <v>3.2676689717844933</v>
      </c>
      <c r="K73" s="146">
        <v>1.6338344858922466E-3</v>
      </c>
      <c r="L73" s="145">
        <v>2.6727390241640254</v>
      </c>
      <c r="M73" s="145">
        <v>1.1074018984379366E-2</v>
      </c>
      <c r="N73" s="145">
        <v>1.9197782117014857</v>
      </c>
      <c r="O73" s="145">
        <v>5.5881203490406638E-3</v>
      </c>
      <c r="P73" s="146">
        <v>4.6091793751989307</v>
      </c>
      <c r="Q73" s="146">
        <v>2.3045896875994653E-3</v>
      </c>
    </row>
    <row r="74" spans="1:25" s="145" customFormat="1" x14ac:dyDescent="0.35">
      <c r="A74" s="232" t="s">
        <v>1534</v>
      </c>
      <c r="B74" s="232">
        <v>0.2876632138534404</v>
      </c>
      <c r="C74" s="145">
        <v>7.0678710764912855</v>
      </c>
      <c r="D74" s="145">
        <v>1.0237876763114251</v>
      </c>
      <c r="E74" s="145">
        <v>0.44514207342570472</v>
      </c>
      <c r="F74" s="145">
        <v>4.5235564019667569</v>
      </c>
      <c r="G74" s="145">
        <v>1.73924159989434</v>
      </c>
      <c r="H74" s="146">
        <v>8.824464040081855</v>
      </c>
      <c r="I74" s="146">
        <v>4.4122320200409284E-3</v>
      </c>
      <c r="J74" s="146">
        <v>15.087262041942951</v>
      </c>
      <c r="K74" s="146">
        <v>7.5436310209714775E-3</v>
      </c>
      <c r="L74" s="145">
        <v>3.5851328227790469</v>
      </c>
      <c r="M74" s="145">
        <v>7.1215742971540426</v>
      </c>
      <c r="N74" s="145">
        <v>1.3650502350819</v>
      </c>
      <c r="O74" s="145">
        <v>3.593655953025424</v>
      </c>
      <c r="P74" s="146">
        <v>15.665413308040414</v>
      </c>
      <c r="Q74" s="146">
        <v>7.8327066540202061E-3</v>
      </c>
    </row>
    <row r="75" spans="1:25" s="145" customFormat="1" x14ac:dyDescent="0.35">
      <c r="A75" s="232" t="s">
        <v>1533</v>
      </c>
      <c r="B75" s="232">
        <v>0.22473039898479677</v>
      </c>
      <c r="C75" s="145">
        <v>3.0094906842374952E-2</v>
      </c>
      <c r="D75" s="145">
        <v>4.892722058419318E-2</v>
      </c>
      <c r="E75" s="145">
        <v>1.9451314552061372E-3</v>
      </c>
      <c r="F75" s="145">
        <v>2.2444671383135613E-2</v>
      </c>
      <c r="G75" s="145">
        <v>1.0637603030276211E-2</v>
      </c>
      <c r="H75" s="146">
        <v>0.30569765786657105</v>
      </c>
      <c r="I75" s="146">
        <v>1.5284882893328554E-4</v>
      </c>
      <c r="J75" s="146">
        <v>0.33877993227998288</v>
      </c>
      <c r="K75" s="146">
        <v>1.6938996613999143E-4</v>
      </c>
      <c r="L75" s="145">
        <v>0.59353042779177778</v>
      </c>
      <c r="M75" s="145">
        <v>2.638219155620225E-2</v>
      </c>
      <c r="N75" s="145">
        <v>6.5236294112257578E-2</v>
      </c>
      <c r="O75" s="145">
        <v>1.3312859739129752E-2</v>
      </c>
      <c r="P75" s="146">
        <v>0.69846177319936742</v>
      </c>
      <c r="Q75" s="146">
        <v>3.4923088659968371E-4</v>
      </c>
    </row>
    <row r="76" spans="1:25" s="145" customFormat="1" x14ac:dyDescent="0.35">
      <c r="A76" s="391" t="s">
        <v>1532</v>
      </c>
      <c r="B76" s="290">
        <v>2063.0042646510838</v>
      </c>
      <c r="C76" s="291">
        <v>46.350439150581224</v>
      </c>
      <c r="D76" s="291">
        <v>299.06801763793169</v>
      </c>
      <c r="E76" s="291">
        <v>363.24536396271748</v>
      </c>
      <c r="F76" s="291">
        <v>50.547497560163315</v>
      </c>
      <c r="G76" s="291">
        <v>32.60642939878241</v>
      </c>
      <c r="H76" s="383">
        <v>2771.6680854023143</v>
      </c>
      <c r="I76" s="528">
        <v>1.3858340427011571</v>
      </c>
      <c r="J76" s="383">
        <v>2854.82201236126</v>
      </c>
      <c r="K76" s="528">
        <v>1.42741100618063</v>
      </c>
      <c r="L76" s="291">
        <v>8657.3826365980876</v>
      </c>
      <c r="M76" s="291">
        <v>20.848174444177335</v>
      </c>
      <c r="N76" s="291">
        <v>1358.7573568505754</v>
      </c>
      <c r="O76" s="291">
        <v>10.520309565677177</v>
      </c>
      <c r="P76" s="383">
        <v>10047.508477458519</v>
      </c>
      <c r="Q76" s="528">
        <v>5.0237542387292597</v>
      </c>
    </row>
    <row r="77" spans="1:25" s="145" customFormat="1" ht="13.15" x14ac:dyDescent="0.4">
      <c r="A77" s="388" t="s">
        <v>1564</v>
      </c>
      <c r="B77" s="232"/>
      <c r="H77" s="146" t="s">
        <v>1873</v>
      </c>
      <c r="I77" s="146" t="s">
        <v>1872</v>
      </c>
      <c r="J77" s="146" t="s">
        <v>1873</v>
      </c>
      <c r="K77" s="146" t="s">
        <v>1872</v>
      </c>
      <c r="P77" s="146" t="s">
        <v>1873</v>
      </c>
      <c r="Q77" s="146" t="s">
        <v>1872</v>
      </c>
    </row>
    <row r="78" spans="1:25" s="145" customFormat="1" x14ac:dyDescent="0.35">
      <c r="A78" s="232" t="s">
        <v>1525</v>
      </c>
      <c r="B78" s="232">
        <v>26.433739915657451</v>
      </c>
      <c r="C78" s="145">
        <v>83.885768185347558</v>
      </c>
      <c r="D78" s="145">
        <v>22.582706039318044</v>
      </c>
      <c r="E78" s="145">
        <v>5.2948534947098009</v>
      </c>
      <c r="F78" s="145">
        <v>54.433429739296514</v>
      </c>
      <c r="G78" s="145">
        <v>21.398852184515153</v>
      </c>
      <c r="H78" s="146">
        <v>138.19706763503285</v>
      </c>
      <c r="I78" s="146">
        <v>6.9098533817516419E-2</v>
      </c>
      <c r="J78" s="146">
        <v>214.02934955884453</v>
      </c>
      <c r="K78" s="146">
        <v>0.10701467477942227</v>
      </c>
      <c r="L78" s="145">
        <v>89.14832893944849</v>
      </c>
      <c r="M78" s="145">
        <v>83.600612580210878</v>
      </c>
      <c r="N78" s="145">
        <v>30.110274719090725</v>
      </c>
      <c r="O78" s="145">
        <v>42.186155271244871</v>
      </c>
      <c r="P78" s="146">
        <v>245.04537150999496</v>
      </c>
      <c r="Q78" s="146">
        <v>0.12252268575499749</v>
      </c>
    </row>
    <row r="79" spans="1:25" s="145" customFormat="1" x14ac:dyDescent="0.35">
      <c r="A79" s="232" t="s">
        <v>1524</v>
      </c>
      <c r="B79" s="232">
        <v>147.36546865705034</v>
      </c>
      <c r="C79" s="145">
        <v>350.70840088189124</v>
      </c>
      <c r="D79" s="145">
        <v>63.060668877665648</v>
      </c>
      <c r="E79" s="145">
        <v>22.101667951395321</v>
      </c>
      <c r="F79" s="145">
        <v>225.33500789271645</v>
      </c>
      <c r="G79" s="145">
        <v>87.190400524372933</v>
      </c>
      <c r="H79" s="146">
        <v>583.23620636800263</v>
      </c>
      <c r="I79" s="146">
        <v>0.29161810318400133</v>
      </c>
      <c r="J79" s="146">
        <v>895.76161478509198</v>
      </c>
      <c r="K79" s="146">
        <v>0.44788080739254599</v>
      </c>
      <c r="L79" s="145">
        <v>272.35319892390197</v>
      </c>
      <c r="M79" s="145">
        <v>352.28892133927911</v>
      </c>
      <c r="N79" s="145">
        <v>84.080891836887531</v>
      </c>
      <c r="O79" s="145">
        <v>177.77040953735928</v>
      </c>
      <c r="P79" s="146">
        <v>886.4934216374279</v>
      </c>
      <c r="Q79" s="146">
        <v>0.44324671081871397</v>
      </c>
    </row>
    <row r="80" spans="1:25" s="145" customFormat="1" x14ac:dyDescent="0.35">
      <c r="A80" s="232" t="s">
        <v>1563</v>
      </c>
      <c r="B80" s="232">
        <v>177.963788182863</v>
      </c>
      <c r="C80" s="145">
        <v>1265.0403858508371</v>
      </c>
      <c r="D80" s="145">
        <v>141.62896999705146</v>
      </c>
      <c r="E80" s="145">
        <v>31.507458505837249</v>
      </c>
      <c r="F80" s="145">
        <v>324.34727927729443</v>
      </c>
      <c r="G80" s="145">
        <v>127.83094901335487</v>
      </c>
      <c r="H80" s="146">
        <v>1616.1406025365889</v>
      </c>
      <c r="I80" s="146">
        <v>0.80807030126829438</v>
      </c>
      <c r="J80" s="146">
        <v>2068.3188308272379</v>
      </c>
      <c r="K80" s="146">
        <v>1.0341594154136189</v>
      </c>
      <c r="L80" s="145">
        <v>599.52953416199875</v>
      </c>
      <c r="M80" s="145">
        <v>2713.6998725691419</v>
      </c>
      <c r="N80" s="145">
        <v>188.83862666273529</v>
      </c>
      <c r="O80" s="145">
        <v>250.6423972348901</v>
      </c>
      <c r="P80" s="146">
        <v>3752.7104306287661</v>
      </c>
      <c r="Q80" s="146">
        <v>1.876355215314383</v>
      </c>
    </row>
    <row r="81" spans="1:17" s="145" customFormat="1" x14ac:dyDescent="0.35">
      <c r="A81" s="232" t="s">
        <v>1522</v>
      </c>
      <c r="B81" s="232">
        <v>44.844559204527421</v>
      </c>
      <c r="C81" s="145">
        <v>27.575336462573723</v>
      </c>
      <c r="D81" s="145">
        <v>25.579619724753158</v>
      </c>
      <c r="E81" s="145">
        <v>1.7608057252287932</v>
      </c>
      <c r="F81" s="145">
        <v>19.190486895784286</v>
      </c>
      <c r="G81" s="145">
        <v>8.3509621507994396</v>
      </c>
      <c r="H81" s="146">
        <v>99.760321117083095</v>
      </c>
      <c r="I81" s="146">
        <v>4.9880160558541546E-2</v>
      </c>
      <c r="J81" s="146">
        <v>127.30177016366682</v>
      </c>
      <c r="K81" s="146">
        <v>6.3650885081833405E-2</v>
      </c>
      <c r="L81" s="145">
        <v>87.963943024994506</v>
      </c>
      <c r="M81" s="145">
        <v>1273.8759551902331</v>
      </c>
      <c r="N81" s="145">
        <v>34.106159633004211</v>
      </c>
      <c r="O81" s="145">
        <v>13.057405080609938</v>
      </c>
      <c r="P81" s="146">
        <v>1409.0034629288416</v>
      </c>
      <c r="Q81" s="146">
        <v>0.70450173146442086</v>
      </c>
    </row>
    <row r="82" spans="1:17" s="145" customFormat="1" x14ac:dyDescent="0.35">
      <c r="A82" s="232" t="s">
        <v>1521</v>
      </c>
      <c r="B82" s="232">
        <v>27.514889175304532</v>
      </c>
      <c r="C82" s="145">
        <v>25.992310257835815</v>
      </c>
      <c r="D82" s="145">
        <v>11.1326637425437</v>
      </c>
      <c r="E82" s="145">
        <v>1.6452431716021854</v>
      </c>
      <c r="F82" s="145">
        <v>17.161776836269517</v>
      </c>
      <c r="G82" s="145">
        <v>6.9303939159153476</v>
      </c>
      <c r="H82" s="146">
        <v>66.285106347286231</v>
      </c>
      <c r="I82" s="146">
        <v>3.3142553173643112E-2</v>
      </c>
      <c r="J82" s="146">
        <v>90.377277099471087</v>
      </c>
      <c r="K82" s="146">
        <v>4.5188638549735545E-2</v>
      </c>
      <c r="L82" s="145">
        <v>51.834997049676623</v>
      </c>
      <c r="M82" s="145">
        <v>649.53824428586597</v>
      </c>
      <c r="N82" s="145">
        <v>14.843551656724934</v>
      </c>
      <c r="O82" s="145">
        <v>12.886990962713925</v>
      </c>
      <c r="P82" s="146">
        <v>729.10378395498151</v>
      </c>
      <c r="Q82" s="146">
        <v>0.36455189197749077</v>
      </c>
    </row>
    <row r="83" spans="1:17" s="145" customFormat="1" x14ac:dyDescent="0.35">
      <c r="A83" s="232" t="s">
        <v>1520</v>
      </c>
      <c r="B83" s="232">
        <v>192.87093577932205</v>
      </c>
      <c r="C83" s="145">
        <v>561.04357987708556</v>
      </c>
      <c r="D83" s="145">
        <v>384.6209829084745</v>
      </c>
      <c r="E83" s="145">
        <v>7.2791604461775172</v>
      </c>
      <c r="F83" s="145">
        <v>96.13443424024274</v>
      </c>
      <c r="G83" s="145">
        <v>53.579285505244755</v>
      </c>
      <c r="H83" s="146">
        <v>1145.8146590110596</v>
      </c>
      <c r="I83" s="146">
        <v>0.57290732950552981</v>
      </c>
      <c r="J83" s="146">
        <v>1295.528378756547</v>
      </c>
      <c r="K83" s="146">
        <v>0.64776418937827351</v>
      </c>
      <c r="L83" s="145">
        <v>1610.9968371064888</v>
      </c>
      <c r="M83" s="145">
        <v>756.25485852892962</v>
      </c>
      <c r="N83" s="145">
        <v>512.8279772112993</v>
      </c>
      <c r="O83" s="145">
        <v>38.983990149982972</v>
      </c>
      <c r="P83" s="146">
        <v>2919.0636629967007</v>
      </c>
      <c r="Q83" s="146">
        <v>1.4595318314983503</v>
      </c>
    </row>
    <row r="84" spans="1:17" s="145" customFormat="1" x14ac:dyDescent="0.35">
      <c r="A84" s="232" t="s">
        <v>1519</v>
      </c>
      <c r="B84" s="232">
        <v>2.51777483938488</v>
      </c>
      <c r="C84" s="145">
        <v>4.5964902232556755</v>
      </c>
      <c r="D84" s="145">
        <v>0.82458788221452628</v>
      </c>
      <c r="E84" s="145">
        <v>0.28966901082484492</v>
      </c>
      <c r="F84" s="145">
        <v>2.953172648647743</v>
      </c>
      <c r="G84" s="145">
        <v>1.142605629211161</v>
      </c>
      <c r="H84" s="146">
        <v>8.2285219556799269</v>
      </c>
      <c r="I84" s="146">
        <v>4.1142609778399633E-3</v>
      </c>
      <c r="J84" s="146">
        <v>12.324300233538832</v>
      </c>
      <c r="K84" s="146">
        <v>6.1621501167694161E-3</v>
      </c>
      <c r="L84" s="145">
        <v>6.275433941725157</v>
      </c>
      <c r="M84" s="145">
        <v>4.6173734082963431</v>
      </c>
      <c r="N84" s="145">
        <v>1.0994505096193683</v>
      </c>
      <c r="O84" s="145">
        <v>2.3299976583403086</v>
      </c>
      <c r="P84" s="146">
        <v>14.322255517981176</v>
      </c>
      <c r="Q84" s="146">
        <v>7.161127758990588E-3</v>
      </c>
    </row>
    <row r="85" spans="1:17" s="145" customFormat="1" x14ac:dyDescent="0.35">
      <c r="A85" s="232" t="s">
        <v>1518</v>
      </c>
      <c r="B85" s="232">
        <v>2.8345341363851393</v>
      </c>
      <c r="C85" s="145">
        <v>10.69210756113281</v>
      </c>
      <c r="D85" s="145">
        <v>1.9358148015968422</v>
      </c>
      <c r="E85" s="145">
        <v>0.67383217459752787</v>
      </c>
      <c r="F85" s="145">
        <v>6.8707753787174672</v>
      </c>
      <c r="G85" s="145">
        <v>2.6591513328498473</v>
      </c>
      <c r="H85" s="146">
        <v>16.136288673712318</v>
      </c>
      <c r="I85" s="146">
        <v>8.0681443368561586E-3</v>
      </c>
      <c r="J85" s="146">
        <v>25.666215385279635</v>
      </c>
      <c r="K85" s="146">
        <v>1.2833107692639817E-2</v>
      </c>
      <c r="L85" s="145">
        <v>10.319056250242276</v>
      </c>
      <c r="M85" s="145">
        <v>10.739119331626956</v>
      </c>
      <c r="N85" s="145">
        <v>2.5810864021291229</v>
      </c>
      <c r="O85" s="145">
        <v>5.4191248319594481</v>
      </c>
      <c r="P85" s="146">
        <v>29.058386815957803</v>
      </c>
      <c r="Q85" s="146">
        <v>1.4529193407978902E-2</v>
      </c>
    </row>
    <row r="86" spans="1:17" s="145" customFormat="1" x14ac:dyDescent="0.35">
      <c r="A86" s="232" t="s">
        <v>1531</v>
      </c>
      <c r="B86" s="232">
        <v>270.23996724134491</v>
      </c>
      <c r="C86" s="145">
        <v>1449.4426367425292</v>
      </c>
      <c r="D86" s="145">
        <v>398.91611757063026</v>
      </c>
      <c r="E86" s="145">
        <v>91.498262071338416</v>
      </c>
      <c r="F86" s="145">
        <v>941.1650313138025</v>
      </c>
      <c r="G86" s="145">
        <v>370.37775080151215</v>
      </c>
      <c r="H86" s="146">
        <v>2210.0969836258428</v>
      </c>
      <c r="I86" s="146">
        <v>1.1050484918129213</v>
      </c>
      <c r="J86" s="146">
        <v>3521.6397657411576</v>
      </c>
      <c r="K86" s="146">
        <v>1.7608198828705788</v>
      </c>
      <c r="L86" s="145">
        <v>1124.5386631709146</v>
      </c>
      <c r="M86" s="145">
        <v>1443.7448026051782</v>
      </c>
      <c r="N86" s="145">
        <v>531.88815676084039</v>
      </c>
      <c r="O86" s="145">
        <v>728.53583885307444</v>
      </c>
      <c r="P86" s="146">
        <v>3828.7074613900077</v>
      </c>
      <c r="Q86" s="146">
        <v>1.9143537306950038</v>
      </c>
    </row>
    <row r="87" spans="1:17" s="145" customFormat="1" x14ac:dyDescent="0.35">
      <c r="A87" s="232" t="s">
        <v>1530</v>
      </c>
      <c r="B87" s="411">
        <v>1.0976944271884803</v>
      </c>
      <c r="C87" s="145">
        <v>14.080792654266471</v>
      </c>
      <c r="D87" s="145">
        <v>3.2301883088858583</v>
      </c>
      <c r="E87" s="145">
        <v>0.88815162639137923</v>
      </c>
      <c r="F87" s="145">
        <v>9.0969850889805155</v>
      </c>
      <c r="G87" s="145">
        <v>3.5512981334082059</v>
      </c>
      <c r="H87" s="532">
        <v>19.296827016732191</v>
      </c>
      <c r="I87" s="532">
        <v>9.6484135083660955E-3</v>
      </c>
      <c r="J87" s="532">
        <v>31.945110239120911</v>
      </c>
      <c r="K87" s="532">
        <v>1.5972555119560455E-2</v>
      </c>
      <c r="L87" s="145">
        <v>9.5628135560387264</v>
      </c>
      <c r="M87" s="145">
        <v>14.082492857989486</v>
      </c>
      <c r="N87" s="145">
        <v>4.3069177451811447</v>
      </c>
      <c r="O87" s="145">
        <v>7.1062425498777708</v>
      </c>
      <c r="P87" s="146">
        <v>35.058466709087128</v>
      </c>
      <c r="Q87" s="146">
        <v>1.7529233354543563E-2</v>
      </c>
    </row>
    <row r="88" spans="1:17" s="48" customFormat="1" x14ac:dyDescent="0.35">
      <c r="A88" s="49" t="s">
        <v>1529</v>
      </c>
      <c r="B88" s="240">
        <v>200690.45509620226</v>
      </c>
      <c r="C88" s="48">
        <v>641039.01707534259</v>
      </c>
      <c r="D88" s="48">
        <v>209006.3268701575</v>
      </c>
      <c r="E88" s="48">
        <v>27564.42029657137</v>
      </c>
      <c r="F88" s="48">
        <v>288883.48245135328</v>
      </c>
      <c r="G88" s="48">
        <v>117648.67511493673</v>
      </c>
      <c r="H88" s="239">
        <v>1078300.2193382739</v>
      </c>
      <c r="I88" s="239">
        <v>539.1501096691369</v>
      </c>
      <c r="J88" s="239">
        <v>1484832.3769045637</v>
      </c>
      <c r="K88" s="239">
        <v>742.41618845228186</v>
      </c>
      <c r="L88" s="48">
        <v>524495.18287054007</v>
      </c>
      <c r="M88" s="48">
        <v>583142.56674822676</v>
      </c>
      <c r="N88" s="48">
        <v>278675.10249354335</v>
      </c>
      <c r="O88" s="48">
        <v>214699.49829756669</v>
      </c>
      <c r="P88" s="155">
        <v>1601012.350409877</v>
      </c>
      <c r="Q88" s="155">
        <v>800.50617520493847</v>
      </c>
    </row>
    <row r="89" spans="1:17" s="48" customFormat="1" x14ac:dyDescent="0.35">
      <c r="A89" s="49" t="s">
        <v>1528</v>
      </c>
      <c r="B89" s="240">
        <v>201004.41456016237</v>
      </c>
      <c r="C89" s="48">
        <v>641851.57425423944</v>
      </c>
      <c r="D89" s="48">
        <v>209175.80497412113</v>
      </c>
      <c r="E89" s="48">
        <v>27615.653782458263</v>
      </c>
      <c r="F89" s="48">
        <v>289407.23117691977</v>
      </c>
      <c r="G89" s="48">
        <v>117852.38169078344</v>
      </c>
      <c r="H89" s="239">
        <v>1079647.4475709812</v>
      </c>
      <c r="I89" s="239">
        <v>539.82372378549064</v>
      </c>
      <c r="J89" s="239">
        <v>1486907.0604386844</v>
      </c>
      <c r="K89" s="239">
        <v>743.45353021934216</v>
      </c>
      <c r="L89" s="48">
        <v>525201.01209404366</v>
      </c>
      <c r="M89" s="48">
        <v>583956.71886715875</v>
      </c>
      <c r="N89" s="48">
        <v>278901.07329882821</v>
      </c>
      <c r="O89" s="48">
        <v>215110.33198219698</v>
      </c>
      <c r="P89" s="155">
        <v>1603169.1362422276</v>
      </c>
      <c r="Q89" s="155">
        <v>801.58456812111376</v>
      </c>
    </row>
    <row r="90" spans="1:17" s="48" customFormat="1" x14ac:dyDescent="0.35">
      <c r="A90" s="45" t="s">
        <v>1527</v>
      </c>
      <c r="B90" s="389">
        <v>209402.50260060767</v>
      </c>
      <c r="C90" s="44">
        <v>689066.26340989594</v>
      </c>
      <c r="D90" s="44">
        <v>221999.2884030948</v>
      </c>
      <c r="E90" s="44">
        <v>30595.96182559213</v>
      </c>
      <c r="F90" s="44">
        <v>320052.88316491368</v>
      </c>
      <c r="G90" s="44">
        <v>129904.80822018198</v>
      </c>
      <c r="H90" s="435">
        <v>1151064.0162391907</v>
      </c>
      <c r="I90" s="435">
        <v>575.53200811959528</v>
      </c>
      <c r="J90" s="435">
        <v>1601021.7076242864</v>
      </c>
      <c r="K90" s="435">
        <v>800.51085381214307</v>
      </c>
      <c r="L90" s="44">
        <v>561471.31758152135</v>
      </c>
      <c r="M90" s="44">
        <v>631000.92355268134</v>
      </c>
      <c r="N90" s="44">
        <v>295999.05120412644</v>
      </c>
      <c r="O90" s="44">
        <v>238849.56142350682</v>
      </c>
      <c r="P90" s="152">
        <v>1727320.8537618357</v>
      </c>
      <c r="Q90" s="152">
        <v>863.66042688091795</v>
      </c>
    </row>
    <row r="91" spans="1:17" s="145" customFormat="1" ht="13.15" x14ac:dyDescent="0.4">
      <c r="A91" s="388" t="s">
        <v>1562</v>
      </c>
      <c r="B91" s="232"/>
      <c r="H91" s="146" t="s">
        <v>1873</v>
      </c>
      <c r="I91" s="146" t="s">
        <v>1872</v>
      </c>
      <c r="J91" s="146" t="s">
        <v>1873</v>
      </c>
      <c r="K91" s="146" t="s">
        <v>1872</v>
      </c>
      <c r="P91" s="146" t="s">
        <v>1873</v>
      </c>
      <c r="Q91" s="146" t="s">
        <v>1872</v>
      </c>
    </row>
    <row r="92" spans="1:17" s="145" customFormat="1" x14ac:dyDescent="0.35">
      <c r="A92" s="232" t="s">
        <v>1525</v>
      </c>
      <c r="B92" s="232">
        <v>0.93435453622356712</v>
      </c>
      <c r="C92" s="145">
        <v>3.9590463380798786</v>
      </c>
      <c r="D92" s="145">
        <v>1.6078832730342256</v>
      </c>
      <c r="E92" s="145">
        <v>0.25049900676709691</v>
      </c>
      <c r="F92" s="145">
        <v>2.6077428180955993</v>
      </c>
      <c r="G92" s="145">
        <v>1.049243299033952</v>
      </c>
      <c r="H92" s="146">
        <v>6.7517831541047677</v>
      </c>
      <c r="I92" s="146">
        <v>3.375891577052384E-3</v>
      </c>
      <c r="J92" s="146">
        <v>10.408769271234318</v>
      </c>
      <c r="K92" s="146">
        <v>5.204384635617159E-3</v>
      </c>
      <c r="L92" s="145">
        <v>5.1596821176636656</v>
      </c>
      <c r="M92" s="145">
        <v>3.897649443282563</v>
      </c>
      <c r="N92" s="145">
        <v>2.1438443640456342</v>
      </c>
      <c r="O92" s="145">
        <v>1.9668138729179703</v>
      </c>
      <c r="P92" s="146">
        <v>13.167989797909833</v>
      </c>
      <c r="Q92" s="146">
        <v>6.5839948989549167E-3</v>
      </c>
    </row>
    <row r="93" spans="1:17" s="145" customFormat="1" x14ac:dyDescent="0.35">
      <c r="A93" s="232" t="s">
        <v>1524</v>
      </c>
      <c r="B93" s="232">
        <v>3.7422796668178271</v>
      </c>
      <c r="C93" s="145">
        <v>19.475611235224488</v>
      </c>
      <c r="D93" s="145">
        <v>12.583704560021818</v>
      </c>
      <c r="E93" s="145">
        <v>1.2374864655615885</v>
      </c>
      <c r="F93" s="145">
        <v>13.162050587016537</v>
      </c>
      <c r="G93" s="145">
        <v>5.5004607241241139</v>
      </c>
      <c r="H93" s="146">
        <v>37.039081927625716</v>
      </c>
      <c r="I93" s="146">
        <v>1.8519540963812857E-2</v>
      </c>
      <c r="J93" s="146">
        <v>55.701593238766364</v>
      </c>
      <c r="K93" s="146">
        <v>2.7850796619383181E-2</v>
      </c>
      <c r="L93" s="145">
        <v>28.37354089936111</v>
      </c>
      <c r="M93" s="145">
        <v>18.760228068050267</v>
      </c>
      <c r="N93" s="145">
        <v>16.778272746695759</v>
      </c>
      <c r="O93" s="145">
        <v>9.4666997020315176</v>
      </c>
      <c r="P93" s="146">
        <v>73.378741416138652</v>
      </c>
      <c r="Q93" s="146">
        <v>3.6689370708069324E-2</v>
      </c>
    </row>
    <row r="94" spans="1:17" s="145" customFormat="1" x14ac:dyDescent="0.35">
      <c r="A94" s="232" t="s">
        <v>1523</v>
      </c>
      <c r="B94" s="232">
        <v>9.9237759239820829</v>
      </c>
      <c r="C94" s="145">
        <v>24.850997414303677</v>
      </c>
      <c r="D94" s="145">
        <v>32.956717683596565</v>
      </c>
      <c r="E94" s="145">
        <v>1.5978944320741788</v>
      </c>
      <c r="F94" s="145">
        <v>18.001986997615148</v>
      </c>
      <c r="G94" s="145">
        <v>8.2441464953239336</v>
      </c>
      <c r="H94" s="146">
        <v>69.329385453956519</v>
      </c>
      <c r="I94" s="146">
        <v>3.4664692726978259E-2</v>
      </c>
      <c r="J94" s="146">
        <v>95.575518946895599</v>
      </c>
      <c r="K94" s="146">
        <v>4.7787759473447801E-2</v>
      </c>
      <c r="L94" s="145">
        <v>69.134381101416622</v>
      </c>
      <c r="M94" s="145">
        <v>22.443620967746909</v>
      </c>
      <c r="N94" s="145">
        <v>43.942290244795416</v>
      </c>
      <c r="O94" s="145">
        <v>11.325396426801516</v>
      </c>
      <c r="P94" s="146">
        <v>146.84568874076047</v>
      </c>
      <c r="Q94" s="146">
        <v>7.3422844370380227E-2</v>
      </c>
    </row>
    <row r="95" spans="1:17" s="145" customFormat="1" x14ac:dyDescent="0.35">
      <c r="A95" s="232" t="s">
        <v>1522</v>
      </c>
      <c r="B95" s="232">
        <v>1.1809571486386869</v>
      </c>
      <c r="C95" s="145">
        <v>0.45216390472416806</v>
      </c>
      <c r="D95" s="145">
        <v>4.0615269973726953</v>
      </c>
      <c r="E95" s="145">
        <v>3.2935922549830202E-2</v>
      </c>
      <c r="F95" s="145">
        <v>0.57482326619359758</v>
      </c>
      <c r="G95" s="145">
        <v>0.40104738771566389</v>
      </c>
      <c r="H95" s="146">
        <v>5.7275839732853804</v>
      </c>
      <c r="I95" s="146">
        <v>2.8637919866426904E-3</v>
      </c>
      <c r="J95" s="146">
        <v>6.7034546271946418</v>
      </c>
      <c r="K95" s="146">
        <v>3.3517273135973209E-3</v>
      </c>
      <c r="L95" s="145">
        <v>7.7942232807841743</v>
      </c>
      <c r="M95" s="145">
        <v>0.10220907988285802</v>
      </c>
      <c r="N95" s="145">
        <v>5.4153693298302601</v>
      </c>
      <c r="O95" s="145">
        <v>5.1576274156272965E-2</v>
      </c>
      <c r="P95" s="146">
        <v>13.363377964653566</v>
      </c>
      <c r="Q95" s="146">
        <v>6.6816889823267831E-3</v>
      </c>
    </row>
    <row r="96" spans="1:17" s="145" customFormat="1" x14ac:dyDescent="0.35">
      <c r="A96" s="232" t="s">
        <v>1521</v>
      </c>
      <c r="B96" s="232">
        <v>0.87973291477042392</v>
      </c>
      <c r="C96" s="145">
        <v>0.34598592333913714</v>
      </c>
      <c r="D96" s="145">
        <v>2.9895962137299668</v>
      </c>
      <c r="E96" s="145">
        <v>2.5069982863782852E-2</v>
      </c>
      <c r="F96" s="145">
        <v>0.43139965710524575</v>
      </c>
      <c r="G96" s="145">
        <v>0.2983015103440666</v>
      </c>
      <c r="H96" s="146">
        <v>4.2403850347033103</v>
      </c>
      <c r="I96" s="146">
        <v>2.1201925173516553E-3</v>
      </c>
      <c r="J96" s="146">
        <v>4.9700862021526229</v>
      </c>
      <c r="K96" s="146">
        <v>2.4850431010763115E-3</v>
      </c>
      <c r="L96" s="145">
        <v>5.7852993118791396</v>
      </c>
      <c r="M96" s="145">
        <v>8.8660800832523562E-2</v>
      </c>
      <c r="N96" s="145">
        <v>3.9861282849732893</v>
      </c>
      <c r="O96" s="145">
        <v>4.4739604112411888E-2</v>
      </c>
      <c r="P96" s="146">
        <v>9.9048280017973642</v>
      </c>
      <c r="Q96" s="146">
        <v>4.9524140008986818E-3</v>
      </c>
    </row>
    <row r="97" spans="1:17" s="145" customFormat="1" x14ac:dyDescent="0.35">
      <c r="A97" s="232" t="s">
        <v>1520</v>
      </c>
      <c r="B97" s="232">
        <v>36.144796346400597</v>
      </c>
      <c r="C97" s="145">
        <v>13.632435970921293</v>
      </c>
      <c r="D97" s="145">
        <v>136.2469336453658</v>
      </c>
      <c r="E97" s="145">
        <v>1.0083857331078385</v>
      </c>
      <c r="F97" s="145">
        <v>18.31586428383152</v>
      </c>
      <c r="G97" s="145">
        <v>13.091653631587715</v>
      </c>
      <c r="H97" s="146">
        <v>187.03255169579552</v>
      </c>
      <c r="I97" s="146">
        <v>9.3516275847897762E-2</v>
      </c>
      <c r="J97" s="146">
        <v>218.44006961121477</v>
      </c>
      <c r="K97" s="146">
        <v>0.10922003480560738</v>
      </c>
      <c r="L97" s="145">
        <v>249.53803895127385</v>
      </c>
      <c r="M97" s="145">
        <v>1.8616003962478722</v>
      </c>
      <c r="N97" s="145">
        <v>181.66257819382105</v>
      </c>
      <c r="O97" s="145">
        <v>0.93939219995277246</v>
      </c>
      <c r="P97" s="146">
        <v>434.00160974129551</v>
      </c>
      <c r="Q97" s="146">
        <v>0.21700080487064777</v>
      </c>
    </row>
    <row r="98" spans="1:17" s="145" customFormat="1" x14ac:dyDescent="0.35">
      <c r="A98" s="232" t="s">
        <v>1519</v>
      </c>
      <c r="B98" s="232">
        <v>5.814595219301899E-2</v>
      </c>
      <c r="C98" s="145">
        <v>3.1967104413931587E-2</v>
      </c>
      <c r="D98" s="145">
        <v>0.1781091729659956</v>
      </c>
      <c r="E98" s="145">
        <v>2.2068632692031197E-3</v>
      </c>
      <c r="F98" s="145">
        <v>3.2850820958211568E-2</v>
      </c>
      <c r="G98" s="145">
        <v>2.0446530745521389E-2</v>
      </c>
      <c r="H98" s="146">
        <v>0.27042909284214928</v>
      </c>
      <c r="I98" s="146">
        <v>1.3521454642107463E-4</v>
      </c>
      <c r="J98" s="146">
        <v>0.32372644454588223</v>
      </c>
      <c r="K98" s="146">
        <v>1.6186322227294112E-4</v>
      </c>
      <c r="L98" s="145">
        <v>0.37308427726224058</v>
      </c>
      <c r="M98" s="145">
        <v>1.6868342949195873E-2</v>
      </c>
      <c r="N98" s="145">
        <v>0.23747889728799415</v>
      </c>
      <c r="O98" s="145">
        <v>8.5120253651326857E-3</v>
      </c>
      <c r="P98" s="146">
        <v>0.63594354286456334</v>
      </c>
      <c r="Q98" s="146">
        <v>3.1797177143228167E-4</v>
      </c>
    </row>
    <row r="99" spans="1:17" s="145" customFormat="1" x14ac:dyDescent="0.35">
      <c r="A99" s="231" t="s">
        <v>1518</v>
      </c>
      <c r="B99" s="231">
        <v>0.15024244787726435</v>
      </c>
      <c r="C99" s="142">
        <v>6.6265300320389728E-2</v>
      </c>
      <c r="D99" s="142">
        <v>0.4582643687787914</v>
      </c>
      <c r="E99" s="142">
        <v>4.6740117253262839E-3</v>
      </c>
      <c r="F99" s="142">
        <v>7.4458462696928324E-2</v>
      </c>
      <c r="G99" s="142">
        <v>4.8842275836524285E-2</v>
      </c>
      <c r="H99" s="143">
        <v>0.67944612870177179</v>
      </c>
      <c r="I99" s="143">
        <v>3.3972306435088589E-4</v>
      </c>
      <c r="J99" s="143">
        <v>0.80274686723522448</v>
      </c>
      <c r="K99" s="143">
        <v>4.0137343361761226E-4</v>
      </c>
      <c r="L99" s="142">
        <v>0.94336753753803182</v>
      </c>
      <c r="M99" s="142">
        <v>2.7090872475742621E-2</v>
      </c>
      <c r="N99" s="142">
        <v>0.61101915837172183</v>
      </c>
      <c r="O99" s="142">
        <v>1.3670471033913199E-2</v>
      </c>
      <c r="P99" s="143">
        <v>1.5951480394194095</v>
      </c>
      <c r="Q99" s="143">
        <v>7.9757401970970479E-4</v>
      </c>
    </row>
  </sheetData>
  <mergeCells count="19">
    <mergeCell ref="X17:Y17"/>
    <mergeCell ref="B68:K68"/>
    <mergeCell ref="L68:Q68"/>
    <mergeCell ref="B16:C17"/>
    <mergeCell ref="D16:O16"/>
    <mergeCell ref="P16:Q17"/>
    <mergeCell ref="R16:Y16"/>
    <mergeCell ref="D17:E17"/>
    <mergeCell ref="F17:G17"/>
    <mergeCell ref="H17:I17"/>
    <mergeCell ref="V17:W17"/>
    <mergeCell ref="H69:I69"/>
    <mergeCell ref="J69:K69"/>
    <mergeCell ref="P69:Q69"/>
    <mergeCell ref="R17:S17"/>
    <mergeCell ref="T17:U17"/>
    <mergeCell ref="J17:K17"/>
    <mergeCell ref="L17:M17"/>
    <mergeCell ref="N17:O17"/>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CG126"/>
  <sheetViews>
    <sheetView showGridLines="0" zoomScale="85" zoomScaleNormal="85" workbookViewId="0">
      <selection activeCell="G1" sqref="G1"/>
    </sheetView>
  </sheetViews>
  <sheetFormatPr defaultColWidth="9.1328125" defaultRowHeight="12.75" x14ac:dyDescent="0.35"/>
  <cols>
    <col min="1" max="1" width="49" style="39" customWidth="1"/>
    <col min="2" max="20" width="10.46484375" style="39" customWidth="1"/>
    <col min="21" max="21" width="11.46484375" style="39" bestFit="1" customWidth="1"/>
    <col min="22" max="22" width="12.796875" style="39" bestFit="1" customWidth="1"/>
    <col min="23" max="23" width="10.46484375" style="39" customWidth="1"/>
    <col min="24" max="24" width="12" style="39" customWidth="1"/>
    <col min="25" max="67" width="10.46484375" style="39" customWidth="1"/>
    <col min="68" max="68" width="15.46484375" style="39" customWidth="1"/>
    <col min="69" max="69" width="15" style="39" customWidth="1"/>
    <col min="70" max="70" width="15.46484375" style="39" customWidth="1"/>
    <col min="71" max="71" width="15" style="39" customWidth="1"/>
    <col min="72" max="72" width="10.19921875" style="39" bestFit="1" customWidth="1"/>
    <col min="73" max="73" width="9.1328125" style="39"/>
    <col min="74" max="74" width="10.19921875" style="39" bestFit="1" customWidth="1"/>
    <col min="75" max="75" width="9.1328125" style="39"/>
    <col min="76" max="76" width="10.19921875" style="39" bestFit="1" customWidth="1"/>
    <col min="77" max="77" width="9.1328125" style="39"/>
    <col min="78" max="78" width="10.19921875" style="39" bestFit="1" customWidth="1"/>
    <col min="79" max="16384" width="9.1328125" style="39"/>
  </cols>
  <sheetData>
    <row r="1" spans="1:17" ht="15" x14ac:dyDescent="0.4">
      <c r="A1" s="140" t="s">
        <v>2134</v>
      </c>
      <c r="G1" s="230" t="s">
        <v>1561</v>
      </c>
    </row>
    <row r="2" spans="1:17" ht="13.15" x14ac:dyDescent="0.4">
      <c r="A2" s="41"/>
    </row>
    <row r="3" spans="1:17" ht="13.9" x14ac:dyDescent="0.4">
      <c r="A3" s="72" t="s">
        <v>2133</v>
      </c>
    </row>
    <row r="4" spans="1:17" ht="13.15" x14ac:dyDescent="0.4">
      <c r="A4" s="41" t="s">
        <v>2132</v>
      </c>
    </row>
    <row r="5" spans="1:17" ht="38.25" x14ac:dyDescent="0.35">
      <c r="A5" s="87" t="s">
        <v>1377</v>
      </c>
      <c r="B5" s="103" t="s">
        <v>1376</v>
      </c>
      <c r="C5" s="103" t="s">
        <v>1254</v>
      </c>
      <c r="D5" s="103" t="s">
        <v>1394</v>
      </c>
      <c r="E5" s="103" t="s">
        <v>1393</v>
      </c>
      <c r="F5" s="103" t="s">
        <v>1392</v>
      </c>
      <c r="G5" s="103" t="s">
        <v>1374</v>
      </c>
      <c r="H5" s="103" t="s">
        <v>1373</v>
      </c>
      <c r="I5" s="103" t="s">
        <v>1248</v>
      </c>
      <c r="J5" s="103" t="s">
        <v>1247</v>
      </c>
      <c r="K5" s="103" t="s">
        <v>1372</v>
      </c>
      <c r="L5" s="103" t="s">
        <v>1371</v>
      </c>
      <c r="M5" s="103" t="s">
        <v>1370</v>
      </c>
      <c r="N5" s="103" t="s">
        <v>1391</v>
      </c>
      <c r="O5" s="103" t="s">
        <v>1390</v>
      </c>
      <c r="P5" s="86" t="s">
        <v>1369</v>
      </c>
      <c r="Q5" s="552"/>
    </row>
    <row r="6" spans="1:17" x14ac:dyDescent="0.35">
      <c r="A6" s="500">
        <v>7.5999999999999998E-2</v>
      </c>
      <c r="B6" s="423">
        <v>7.0999999999999994E-2</v>
      </c>
      <c r="C6" s="423">
        <v>0.107</v>
      </c>
      <c r="D6" s="423">
        <v>7.0000000000000001E-3</v>
      </c>
      <c r="E6" s="423">
        <v>7.0000000000000001E-3</v>
      </c>
      <c r="F6" s="423">
        <v>1.4E-2</v>
      </c>
      <c r="G6" s="423">
        <v>1.4E-2</v>
      </c>
      <c r="H6" s="423">
        <v>1.4E-2</v>
      </c>
      <c r="I6" s="423">
        <v>1.0999999999999999E-2</v>
      </c>
      <c r="J6" s="423">
        <v>7.0000000000000007E-2</v>
      </c>
      <c r="K6" s="423">
        <v>3.5000000000000003E-2</v>
      </c>
      <c r="L6" s="423">
        <v>1.7000000000000001E-2</v>
      </c>
      <c r="M6" s="423">
        <v>0.18099999999999999</v>
      </c>
      <c r="N6" s="423">
        <v>0.122</v>
      </c>
      <c r="O6" s="423">
        <v>0.11600000000000001</v>
      </c>
      <c r="P6" s="422">
        <v>0.1379999999999999</v>
      </c>
      <c r="Q6" s="420"/>
    </row>
    <row r="7" spans="1:17" ht="13.15" x14ac:dyDescent="0.4">
      <c r="A7" s="41"/>
    </row>
    <row r="8" spans="1:17" ht="13.15" x14ac:dyDescent="0.4">
      <c r="A8" s="41" t="s">
        <v>2131</v>
      </c>
    </row>
    <row r="9" spans="1:17" ht="13.15" x14ac:dyDescent="0.4">
      <c r="A9" s="131"/>
      <c r="B9" s="550" t="s">
        <v>1254</v>
      </c>
      <c r="C9" s="550" t="s">
        <v>1388</v>
      </c>
      <c r="D9" s="417" t="s">
        <v>1240</v>
      </c>
    </row>
    <row r="10" spans="1:17" x14ac:dyDescent="0.35">
      <c r="A10" s="59" t="s">
        <v>1387</v>
      </c>
      <c r="B10" s="39">
        <v>0.3</v>
      </c>
      <c r="C10" s="39">
        <v>0.3</v>
      </c>
      <c r="D10" s="99">
        <v>0.39999999999999997</v>
      </c>
    </row>
    <row r="11" spans="1:17" x14ac:dyDescent="0.35">
      <c r="A11" s="59" t="s">
        <v>1386</v>
      </c>
      <c r="B11" s="39">
        <v>0.4</v>
      </c>
      <c r="C11" s="39">
        <v>0.6</v>
      </c>
      <c r="D11" s="99">
        <v>0</v>
      </c>
    </row>
    <row r="12" spans="1:17" x14ac:dyDescent="0.35">
      <c r="A12" s="59" t="s">
        <v>1385</v>
      </c>
      <c r="B12" s="39">
        <v>0.5</v>
      </c>
      <c r="C12" s="39">
        <v>0.5</v>
      </c>
      <c r="D12" s="99">
        <v>0</v>
      </c>
    </row>
    <row r="13" spans="1:17" x14ac:dyDescent="0.35">
      <c r="A13" s="551"/>
      <c r="B13" s="550" t="s">
        <v>1254</v>
      </c>
      <c r="C13" s="550" t="s">
        <v>330</v>
      </c>
      <c r="D13" s="60"/>
    </row>
    <row r="14" spans="1:17" x14ac:dyDescent="0.35">
      <c r="A14" s="413" t="s">
        <v>1384</v>
      </c>
      <c r="B14" s="197">
        <v>0.7</v>
      </c>
      <c r="C14" s="197">
        <v>0.30000000000000004</v>
      </c>
      <c r="D14" s="99"/>
    </row>
    <row r="15" spans="1:17" x14ac:dyDescent="0.35">
      <c r="A15" s="412" t="s">
        <v>1383</v>
      </c>
      <c r="B15" s="194">
        <v>0.3</v>
      </c>
      <c r="C15" s="194">
        <v>0.7</v>
      </c>
      <c r="D15" s="100"/>
    </row>
    <row r="16" spans="1:17" ht="13.15" x14ac:dyDescent="0.4">
      <c r="A16" s="41"/>
    </row>
    <row r="17" spans="1:16" ht="13.15" x14ac:dyDescent="0.4">
      <c r="A17" s="549" t="s">
        <v>2130</v>
      </c>
      <c r="B17" s="548"/>
    </row>
    <row r="18" spans="1:16" ht="51" x14ac:dyDescent="0.35">
      <c r="A18" s="91"/>
      <c r="B18" s="103" t="s">
        <v>1368</v>
      </c>
      <c r="C18" s="103" t="s">
        <v>1367</v>
      </c>
      <c r="D18" s="103" t="s">
        <v>1366</v>
      </c>
      <c r="E18" s="103" t="s">
        <v>1234</v>
      </c>
      <c r="F18" s="103" t="s">
        <v>1226</v>
      </c>
      <c r="G18" s="103" t="s">
        <v>1233</v>
      </c>
      <c r="H18" s="103" t="s">
        <v>1232</v>
      </c>
      <c r="I18" s="103" t="s">
        <v>1231</v>
      </c>
      <c r="J18" s="103" t="s">
        <v>1230</v>
      </c>
      <c r="K18" s="103" t="s">
        <v>1225</v>
      </c>
      <c r="L18" s="86" t="s">
        <v>1229</v>
      </c>
      <c r="N18" s="216"/>
    </row>
    <row r="19" spans="1:16" x14ac:dyDescent="0.35">
      <c r="A19" s="57"/>
      <c r="B19" s="546">
        <v>1.1399999999999999</v>
      </c>
      <c r="C19" s="546">
        <v>1.1399999999999999</v>
      </c>
      <c r="D19" s="547">
        <v>1.0003</v>
      </c>
      <c r="E19" s="546">
        <v>1.1554</v>
      </c>
      <c r="F19" s="546">
        <v>1</v>
      </c>
      <c r="G19" s="546">
        <v>0.94589999999999996</v>
      </c>
      <c r="H19" s="546">
        <v>1.0024</v>
      </c>
      <c r="I19" s="546">
        <v>1.0018</v>
      </c>
      <c r="J19" s="546">
        <v>1.0056</v>
      </c>
      <c r="K19" s="546">
        <v>1.0306999999999999</v>
      </c>
      <c r="L19" s="545">
        <v>1.1393</v>
      </c>
      <c r="N19" s="483"/>
      <c r="O19" s="543"/>
    </row>
    <row r="20" spans="1:16" x14ac:dyDescent="0.35">
      <c r="B20" s="483"/>
      <c r="C20" s="543"/>
      <c r="D20" s="543"/>
      <c r="E20" s="543"/>
      <c r="F20" s="543"/>
      <c r="G20" s="543"/>
      <c r="H20" s="543"/>
      <c r="I20" s="543"/>
      <c r="J20" s="543"/>
      <c r="K20" s="543"/>
      <c r="L20" s="543"/>
      <c r="N20" s="483"/>
      <c r="O20" s="543"/>
    </row>
    <row r="21" spans="1:16" ht="13.15" x14ac:dyDescent="0.4">
      <c r="A21" s="41" t="s">
        <v>2129</v>
      </c>
      <c r="B21" s="483"/>
      <c r="C21" s="483"/>
      <c r="D21" s="544"/>
      <c r="E21" s="483"/>
      <c r="F21" s="483"/>
      <c r="G21" s="483"/>
      <c r="H21" s="483"/>
      <c r="I21" s="483"/>
      <c r="J21" s="483"/>
      <c r="K21" s="483"/>
      <c r="L21" s="483"/>
      <c r="N21" s="483"/>
      <c r="O21" s="543"/>
    </row>
    <row r="22" spans="1:16" ht="51" x14ac:dyDescent="0.35">
      <c r="A22" s="104" t="s">
        <v>1380</v>
      </c>
      <c r="B22" s="87" t="s">
        <v>1368</v>
      </c>
      <c r="C22" s="103" t="s">
        <v>1367</v>
      </c>
      <c r="D22" s="103" t="s">
        <v>1366</v>
      </c>
      <c r="E22" s="103" t="s">
        <v>1234</v>
      </c>
      <c r="F22" s="103" t="s">
        <v>1226</v>
      </c>
      <c r="G22" s="103" t="s">
        <v>1233</v>
      </c>
      <c r="H22" s="103" t="s">
        <v>1232</v>
      </c>
      <c r="I22" s="103" t="s">
        <v>1231</v>
      </c>
      <c r="J22" s="103" t="s">
        <v>1230</v>
      </c>
      <c r="K22" s="103" t="s">
        <v>1225</v>
      </c>
      <c r="L22" s="86" t="s">
        <v>1229</v>
      </c>
      <c r="N22" s="483"/>
      <c r="O22" s="543"/>
    </row>
    <row r="23" spans="1:16" x14ac:dyDescent="0.35">
      <c r="A23" s="110" t="s">
        <v>1379</v>
      </c>
      <c r="B23" s="413">
        <v>1</v>
      </c>
      <c r="C23" s="197">
        <v>0</v>
      </c>
      <c r="D23" s="197">
        <v>0</v>
      </c>
      <c r="E23" s="197">
        <v>0</v>
      </c>
      <c r="F23" s="197">
        <v>0</v>
      </c>
      <c r="G23" s="197">
        <v>0</v>
      </c>
      <c r="H23" s="197">
        <v>0</v>
      </c>
      <c r="I23" s="197">
        <v>0</v>
      </c>
      <c r="J23" s="197">
        <v>0</v>
      </c>
      <c r="K23" s="197">
        <v>0</v>
      </c>
      <c r="L23" s="196">
        <v>0</v>
      </c>
      <c r="N23" s="543"/>
      <c r="O23" s="543"/>
      <c r="P23" s="543"/>
    </row>
    <row r="24" spans="1:16" x14ac:dyDescent="0.35">
      <c r="A24" s="110" t="s">
        <v>1378</v>
      </c>
      <c r="B24" s="413">
        <v>0</v>
      </c>
      <c r="C24" s="197">
        <v>1</v>
      </c>
      <c r="D24" s="197">
        <v>0</v>
      </c>
      <c r="E24" s="197">
        <v>0</v>
      </c>
      <c r="F24" s="197">
        <v>0</v>
      </c>
      <c r="G24" s="197">
        <v>0</v>
      </c>
      <c r="H24" s="197">
        <v>0</v>
      </c>
      <c r="I24" s="197">
        <v>0</v>
      </c>
      <c r="J24" s="197">
        <v>0</v>
      </c>
      <c r="K24" s="197">
        <v>0</v>
      </c>
      <c r="L24" s="196">
        <v>0</v>
      </c>
      <c r="N24" s="543"/>
      <c r="O24" s="543"/>
      <c r="P24" s="543"/>
    </row>
    <row r="25" spans="1:16" x14ac:dyDescent="0.35">
      <c r="A25" s="110" t="s">
        <v>1377</v>
      </c>
      <c r="B25" s="413">
        <v>0</v>
      </c>
      <c r="C25" s="197">
        <v>0</v>
      </c>
      <c r="D25" s="197">
        <v>0</v>
      </c>
      <c r="E25" s="197">
        <v>0</v>
      </c>
      <c r="F25" s="197">
        <v>0.23799999999999999</v>
      </c>
      <c r="G25" s="197">
        <v>0.17499999999999999</v>
      </c>
      <c r="H25" s="197">
        <v>0</v>
      </c>
      <c r="I25" s="197">
        <v>0</v>
      </c>
      <c r="J25" s="197">
        <v>0</v>
      </c>
      <c r="K25" s="197">
        <v>0</v>
      </c>
      <c r="L25" s="196">
        <v>0.58699999999999997</v>
      </c>
      <c r="N25" s="543"/>
      <c r="O25" s="543"/>
      <c r="P25" s="543"/>
    </row>
    <row r="26" spans="1:16" x14ac:dyDescent="0.35">
      <c r="A26" s="110" t="s">
        <v>1376</v>
      </c>
      <c r="B26" s="413">
        <v>0</v>
      </c>
      <c r="C26" s="197">
        <v>0</v>
      </c>
      <c r="D26" s="197">
        <v>0</v>
      </c>
      <c r="E26" s="197">
        <v>0</v>
      </c>
      <c r="F26" s="197">
        <v>0.31900000000000001</v>
      </c>
      <c r="G26" s="197">
        <v>0.27500000000000002</v>
      </c>
      <c r="H26" s="197">
        <v>0</v>
      </c>
      <c r="I26" s="197">
        <v>0</v>
      </c>
      <c r="J26" s="197">
        <v>0</v>
      </c>
      <c r="K26" s="197">
        <v>0</v>
      </c>
      <c r="L26" s="196">
        <v>0.40599999999999992</v>
      </c>
      <c r="N26" s="543"/>
      <c r="O26" s="543"/>
      <c r="P26" s="543"/>
    </row>
    <row r="27" spans="1:16" x14ac:dyDescent="0.35">
      <c r="A27" s="110" t="s">
        <v>1375</v>
      </c>
      <c r="B27" s="413">
        <v>0</v>
      </c>
      <c r="C27" s="197">
        <v>0</v>
      </c>
      <c r="D27" s="197">
        <v>0</v>
      </c>
      <c r="E27" s="197">
        <v>0</v>
      </c>
      <c r="F27" s="197">
        <v>0.24249999999999999</v>
      </c>
      <c r="G27" s="197">
        <v>9.2499999999999999E-2</v>
      </c>
      <c r="H27" s="197">
        <v>0</v>
      </c>
      <c r="I27" s="197">
        <v>0</v>
      </c>
      <c r="J27" s="197">
        <v>0.66500000000000004</v>
      </c>
      <c r="K27" s="197">
        <v>0</v>
      </c>
      <c r="L27" s="196">
        <v>0</v>
      </c>
      <c r="N27" s="543"/>
      <c r="O27" s="543"/>
      <c r="P27" s="543"/>
    </row>
    <row r="28" spans="1:16" x14ac:dyDescent="0.35">
      <c r="A28" s="110" t="s">
        <v>1374</v>
      </c>
      <c r="B28" s="413">
        <v>0</v>
      </c>
      <c r="C28" s="197">
        <v>0</v>
      </c>
      <c r="D28" s="197">
        <v>0</v>
      </c>
      <c r="E28" s="197">
        <v>0</v>
      </c>
      <c r="F28" s="197">
        <v>0.24249999999999999</v>
      </c>
      <c r="G28" s="197">
        <v>9.2499999999999999E-2</v>
      </c>
      <c r="H28" s="197">
        <v>0</v>
      </c>
      <c r="I28" s="197">
        <v>0</v>
      </c>
      <c r="J28" s="197">
        <v>0.66500000000000004</v>
      </c>
      <c r="K28" s="197">
        <v>0</v>
      </c>
      <c r="L28" s="196">
        <v>0</v>
      </c>
      <c r="N28" s="543"/>
      <c r="O28" s="543"/>
      <c r="P28" s="543"/>
    </row>
    <row r="29" spans="1:16" x14ac:dyDescent="0.35">
      <c r="A29" s="110" t="s">
        <v>1373</v>
      </c>
      <c r="B29" s="413">
        <v>0</v>
      </c>
      <c r="C29" s="197">
        <v>0</v>
      </c>
      <c r="D29" s="197">
        <v>0</v>
      </c>
      <c r="E29" s="197">
        <v>0</v>
      </c>
      <c r="F29" s="197">
        <v>0.24249999999999999</v>
      </c>
      <c r="G29" s="197">
        <v>9.2499999999999999E-2</v>
      </c>
      <c r="H29" s="197">
        <v>0</v>
      </c>
      <c r="I29" s="197">
        <v>0</v>
      </c>
      <c r="J29" s="197">
        <v>0.66500000000000004</v>
      </c>
      <c r="K29" s="197">
        <v>0</v>
      </c>
      <c r="L29" s="196">
        <v>0</v>
      </c>
      <c r="N29" s="543"/>
      <c r="O29" s="543"/>
      <c r="P29" s="543"/>
    </row>
    <row r="30" spans="1:16" x14ac:dyDescent="0.35">
      <c r="A30" s="110" t="s">
        <v>1248</v>
      </c>
      <c r="B30" s="413">
        <v>0</v>
      </c>
      <c r="C30" s="197">
        <v>0</v>
      </c>
      <c r="D30" s="197">
        <v>0.36399999999999999</v>
      </c>
      <c r="E30" s="197">
        <v>0</v>
      </c>
      <c r="F30" s="197">
        <v>0.45400000000000001</v>
      </c>
      <c r="G30" s="197">
        <v>0</v>
      </c>
      <c r="H30" s="197">
        <v>0</v>
      </c>
      <c r="I30" s="197">
        <v>0</v>
      </c>
      <c r="J30" s="197">
        <v>0</v>
      </c>
      <c r="K30" s="197">
        <v>0</v>
      </c>
      <c r="L30" s="196">
        <v>0.18199999999999994</v>
      </c>
      <c r="N30" s="543"/>
      <c r="O30" s="543"/>
      <c r="P30" s="543"/>
    </row>
    <row r="31" spans="1:16" x14ac:dyDescent="0.35">
      <c r="A31" s="110" t="s">
        <v>1247</v>
      </c>
      <c r="B31" s="413">
        <v>0</v>
      </c>
      <c r="C31" s="197">
        <v>0</v>
      </c>
      <c r="D31" s="197">
        <v>0</v>
      </c>
      <c r="E31" s="197">
        <v>0</v>
      </c>
      <c r="F31" s="197">
        <v>0.34300000000000003</v>
      </c>
      <c r="G31" s="197">
        <v>0.29899999999999999</v>
      </c>
      <c r="H31" s="197">
        <v>0</v>
      </c>
      <c r="I31" s="197">
        <v>0</v>
      </c>
      <c r="J31" s="197">
        <v>0</v>
      </c>
      <c r="K31" s="197">
        <v>0</v>
      </c>
      <c r="L31" s="196">
        <v>0.35799999999999998</v>
      </c>
      <c r="N31" s="543"/>
      <c r="O31" s="543"/>
      <c r="P31" s="543"/>
    </row>
    <row r="32" spans="1:16" x14ac:dyDescent="0.35">
      <c r="A32" s="110" t="s">
        <v>1372</v>
      </c>
      <c r="B32" s="413">
        <v>0</v>
      </c>
      <c r="C32" s="197">
        <v>0</v>
      </c>
      <c r="D32" s="197">
        <v>0</v>
      </c>
      <c r="E32" s="197">
        <v>0</v>
      </c>
      <c r="F32" s="197">
        <v>0.22</v>
      </c>
      <c r="G32" s="197">
        <v>0</v>
      </c>
      <c r="H32" s="197">
        <v>0</v>
      </c>
      <c r="I32" s="197">
        <v>0</v>
      </c>
      <c r="J32" s="197">
        <v>0</v>
      </c>
      <c r="K32" s="197">
        <v>0</v>
      </c>
      <c r="L32" s="196">
        <v>0.78</v>
      </c>
      <c r="N32" s="543"/>
      <c r="O32" s="543"/>
      <c r="P32" s="543"/>
    </row>
    <row r="33" spans="1:85" x14ac:dyDescent="0.35">
      <c r="A33" s="110" t="s">
        <v>1371</v>
      </c>
      <c r="B33" s="413">
        <v>0</v>
      </c>
      <c r="C33" s="197">
        <v>0</v>
      </c>
      <c r="D33" s="197">
        <v>0</v>
      </c>
      <c r="E33" s="197">
        <v>0</v>
      </c>
      <c r="F33" s="197">
        <v>0.5</v>
      </c>
      <c r="G33" s="197">
        <v>0</v>
      </c>
      <c r="H33" s="197">
        <v>0</v>
      </c>
      <c r="I33" s="197">
        <v>0</v>
      </c>
      <c r="J33" s="197">
        <v>0</v>
      </c>
      <c r="K33" s="197">
        <v>0</v>
      </c>
      <c r="L33" s="196">
        <v>0.5</v>
      </c>
      <c r="N33" s="543"/>
      <c r="O33" s="543"/>
      <c r="P33" s="543"/>
    </row>
    <row r="34" spans="1:85" x14ac:dyDescent="0.35">
      <c r="A34" s="110" t="s">
        <v>1370</v>
      </c>
      <c r="B34" s="413">
        <v>0</v>
      </c>
      <c r="C34" s="197">
        <v>0</v>
      </c>
      <c r="D34" s="197">
        <v>9.1999999999999998E-2</v>
      </c>
      <c r="E34" s="197">
        <v>0</v>
      </c>
      <c r="F34" s="197">
        <v>0.15329999999999999</v>
      </c>
      <c r="G34" s="197">
        <v>0</v>
      </c>
      <c r="H34" s="197">
        <v>0</v>
      </c>
      <c r="I34" s="197">
        <v>1.9E-2</v>
      </c>
      <c r="J34" s="197">
        <v>0</v>
      </c>
      <c r="K34" s="197">
        <v>0</v>
      </c>
      <c r="L34" s="196">
        <v>0.73570000000000002</v>
      </c>
      <c r="N34" s="543"/>
      <c r="O34" s="543"/>
      <c r="P34" s="543"/>
    </row>
    <row r="35" spans="1:85" x14ac:dyDescent="0.35">
      <c r="A35" s="108" t="s">
        <v>1369</v>
      </c>
      <c r="B35" s="412">
        <v>0</v>
      </c>
      <c r="C35" s="194">
        <v>0</v>
      </c>
      <c r="D35" s="194">
        <v>0</v>
      </c>
      <c r="E35" s="194">
        <v>0.18099999999999999</v>
      </c>
      <c r="F35" s="194">
        <v>1.4999999999999999E-2</v>
      </c>
      <c r="G35" s="194">
        <v>0</v>
      </c>
      <c r="H35" s="194">
        <v>0.51100000000000001</v>
      </c>
      <c r="I35" s="194">
        <v>0</v>
      </c>
      <c r="J35" s="194">
        <v>0</v>
      </c>
      <c r="K35" s="194">
        <v>0.29299999999999998</v>
      </c>
      <c r="L35" s="193">
        <v>0</v>
      </c>
      <c r="N35" s="543"/>
      <c r="O35" s="543"/>
      <c r="P35" s="543"/>
    </row>
    <row r="36" spans="1:85" x14ac:dyDescent="0.35">
      <c r="O36" s="197"/>
      <c r="P36" s="197"/>
    </row>
    <row r="37" spans="1:85" ht="13.9" x14ac:dyDescent="0.4">
      <c r="A37" s="72" t="s">
        <v>1734</v>
      </c>
      <c r="O37" s="197"/>
      <c r="P37" s="197"/>
    </row>
    <row r="38" spans="1:85" x14ac:dyDescent="0.35">
      <c r="A38" s="61" t="s">
        <v>1717</v>
      </c>
      <c r="B38" s="417">
        <v>1</v>
      </c>
      <c r="O38" s="197"/>
      <c r="P38" s="197"/>
    </row>
    <row r="39" spans="1:85" x14ac:dyDescent="0.35">
      <c r="A39" s="59" t="s">
        <v>1909</v>
      </c>
      <c r="B39" s="196">
        <v>1</v>
      </c>
      <c r="N39" s="197"/>
      <c r="O39" s="197"/>
    </row>
    <row r="40" spans="1:85" x14ac:dyDescent="0.35">
      <c r="A40" s="57" t="s">
        <v>1703</v>
      </c>
      <c r="B40" s="193">
        <v>1</v>
      </c>
    </row>
    <row r="42" spans="1:85" ht="13.9" x14ac:dyDescent="0.4">
      <c r="A42" s="72" t="s">
        <v>1701</v>
      </c>
    </row>
    <row r="43" spans="1:85" ht="40.5" customHeight="1" x14ac:dyDescent="0.4">
      <c r="A43" s="178"/>
      <c r="B43" s="2191" t="s">
        <v>2128</v>
      </c>
      <c r="C43" s="2192"/>
      <c r="D43" s="2191" t="s">
        <v>1255</v>
      </c>
      <c r="E43" s="2192"/>
      <c r="F43" s="2191" t="s">
        <v>1254</v>
      </c>
      <c r="G43" s="2192"/>
      <c r="H43" s="2191" t="s">
        <v>1253</v>
      </c>
      <c r="I43" s="2192"/>
      <c r="J43" s="2191" t="s">
        <v>1252</v>
      </c>
      <c r="K43" s="2192"/>
      <c r="L43" s="2191" t="s">
        <v>1251</v>
      </c>
      <c r="M43" s="2192"/>
      <c r="N43" s="2191" t="s">
        <v>1250</v>
      </c>
      <c r="O43" s="2192"/>
      <c r="P43" s="2191" t="s">
        <v>1249</v>
      </c>
      <c r="Q43" s="2192"/>
      <c r="R43" s="2191" t="s">
        <v>1248</v>
      </c>
      <c r="S43" s="2192"/>
      <c r="T43" s="2191" t="s">
        <v>1247</v>
      </c>
      <c r="U43" s="2192"/>
      <c r="V43" s="2191" t="s">
        <v>1246</v>
      </c>
      <c r="W43" s="2192"/>
      <c r="X43" s="2191" t="s">
        <v>1245</v>
      </c>
      <c r="Y43" s="2192"/>
      <c r="Z43" s="2191" t="s">
        <v>1244</v>
      </c>
      <c r="AA43" s="2192"/>
      <c r="AB43" s="2191" t="s">
        <v>1243</v>
      </c>
      <c r="AC43" s="2192"/>
      <c r="AD43" s="2191" t="s">
        <v>1242</v>
      </c>
      <c r="AE43" s="2192"/>
      <c r="AF43" s="2191" t="s">
        <v>1241</v>
      </c>
      <c r="AG43" s="2192"/>
      <c r="AH43" s="2191" t="s">
        <v>1240</v>
      </c>
      <c r="AI43" s="2192"/>
      <c r="AJ43" s="2191" t="s">
        <v>330</v>
      </c>
      <c r="AK43" s="2192"/>
      <c r="AL43" s="2191" t="s">
        <v>2127</v>
      </c>
      <c r="AM43" s="2192"/>
      <c r="AN43" s="2191" t="s">
        <v>2126</v>
      </c>
      <c r="AO43" s="2192"/>
      <c r="AP43" s="2191" t="s">
        <v>2125</v>
      </c>
      <c r="AQ43" s="2192"/>
      <c r="AR43" s="2191" t="s">
        <v>2124</v>
      </c>
      <c r="AS43" s="2192"/>
      <c r="AT43" s="2191" t="s">
        <v>1235</v>
      </c>
      <c r="AU43" s="2192"/>
      <c r="AV43" s="2191" t="s">
        <v>1234</v>
      </c>
      <c r="AW43" s="2192"/>
      <c r="AX43" s="2191" t="s">
        <v>1226</v>
      </c>
      <c r="AY43" s="2192"/>
      <c r="AZ43" s="2191" t="s">
        <v>1233</v>
      </c>
      <c r="BA43" s="2192"/>
      <c r="BB43" s="2191" t="s">
        <v>1232</v>
      </c>
      <c r="BC43" s="2192"/>
      <c r="BD43" s="2191" t="s">
        <v>1231</v>
      </c>
      <c r="BE43" s="2192"/>
      <c r="BF43" s="2191" t="s">
        <v>1230</v>
      </c>
      <c r="BG43" s="2192"/>
      <c r="BH43" s="2191" t="s">
        <v>1225</v>
      </c>
      <c r="BI43" s="2192"/>
      <c r="BJ43" s="2191" t="s">
        <v>1229</v>
      </c>
      <c r="BK43" s="2192"/>
    </row>
    <row r="44" spans="1:85" ht="73.5" customHeight="1" x14ac:dyDescent="0.4">
      <c r="A44" s="238"/>
      <c r="B44" s="416" t="s">
        <v>1674</v>
      </c>
      <c r="C44" s="415" t="s">
        <v>1673</v>
      </c>
      <c r="D44" s="416" t="s">
        <v>1674</v>
      </c>
      <c r="E44" s="415" t="s">
        <v>1673</v>
      </c>
      <c r="F44" s="416" t="s">
        <v>1674</v>
      </c>
      <c r="G44" s="415" t="s">
        <v>1673</v>
      </c>
      <c r="H44" s="416" t="s">
        <v>1674</v>
      </c>
      <c r="I44" s="415" t="s">
        <v>1673</v>
      </c>
      <c r="J44" s="416" t="s">
        <v>1674</v>
      </c>
      <c r="K44" s="415" t="s">
        <v>1673</v>
      </c>
      <c r="L44" s="416" t="s">
        <v>1674</v>
      </c>
      <c r="M44" s="415" t="s">
        <v>1673</v>
      </c>
      <c r="N44" s="416" t="s">
        <v>1674</v>
      </c>
      <c r="O44" s="415" t="s">
        <v>1673</v>
      </c>
      <c r="P44" s="416" t="s">
        <v>1674</v>
      </c>
      <c r="Q44" s="415" t="s">
        <v>1673</v>
      </c>
      <c r="R44" s="416" t="s">
        <v>1674</v>
      </c>
      <c r="S44" s="415" t="s">
        <v>1673</v>
      </c>
      <c r="T44" s="416" t="s">
        <v>1674</v>
      </c>
      <c r="U44" s="415" t="s">
        <v>1673</v>
      </c>
      <c r="V44" s="416" t="s">
        <v>1674</v>
      </c>
      <c r="W44" s="415" t="s">
        <v>1673</v>
      </c>
      <c r="X44" s="416" t="s">
        <v>1674</v>
      </c>
      <c r="Y44" s="415" t="s">
        <v>1673</v>
      </c>
      <c r="Z44" s="416" t="s">
        <v>1674</v>
      </c>
      <c r="AA44" s="415" t="s">
        <v>1673</v>
      </c>
      <c r="AB44" s="416" t="s">
        <v>1674</v>
      </c>
      <c r="AC44" s="415" t="s">
        <v>1673</v>
      </c>
      <c r="AD44" s="416" t="s">
        <v>1674</v>
      </c>
      <c r="AE44" s="415" t="s">
        <v>1673</v>
      </c>
      <c r="AF44" s="416" t="s">
        <v>1674</v>
      </c>
      <c r="AG44" s="415" t="s">
        <v>1673</v>
      </c>
      <c r="AH44" s="416" t="s">
        <v>1674</v>
      </c>
      <c r="AI44" s="415" t="s">
        <v>1673</v>
      </c>
      <c r="AJ44" s="416" t="s">
        <v>1674</v>
      </c>
      <c r="AK44" s="415" t="s">
        <v>1673</v>
      </c>
      <c r="AL44" s="416" t="s">
        <v>1674</v>
      </c>
      <c r="AM44" s="415" t="s">
        <v>1673</v>
      </c>
      <c r="AN44" s="416" t="s">
        <v>1674</v>
      </c>
      <c r="AO44" s="415" t="s">
        <v>1673</v>
      </c>
      <c r="AP44" s="416" t="s">
        <v>1674</v>
      </c>
      <c r="AQ44" s="415" t="s">
        <v>1673</v>
      </c>
      <c r="AR44" s="416" t="s">
        <v>1674</v>
      </c>
      <c r="AS44" s="415" t="s">
        <v>1673</v>
      </c>
      <c r="AT44" s="416" t="s">
        <v>1674</v>
      </c>
      <c r="AU44" s="415" t="s">
        <v>1673</v>
      </c>
      <c r="AV44" s="416" t="s">
        <v>1674</v>
      </c>
      <c r="AW44" s="415" t="s">
        <v>1673</v>
      </c>
      <c r="AX44" s="416" t="s">
        <v>1674</v>
      </c>
      <c r="AY44" s="415" t="s">
        <v>1673</v>
      </c>
      <c r="AZ44" s="416" t="s">
        <v>1674</v>
      </c>
      <c r="BA44" s="415" t="s">
        <v>1673</v>
      </c>
      <c r="BB44" s="416" t="s">
        <v>1674</v>
      </c>
      <c r="BC44" s="415" t="s">
        <v>1673</v>
      </c>
      <c r="BD44" s="416" t="s">
        <v>1674</v>
      </c>
      <c r="BE44" s="415" t="s">
        <v>1673</v>
      </c>
      <c r="BF44" s="416" t="s">
        <v>1674</v>
      </c>
      <c r="BG44" s="415" t="s">
        <v>1673</v>
      </c>
      <c r="BH44" s="416" t="s">
        <v>1674</v>
      </c>
      <c r="BI44" s="415" t="s">
        <v>1673</v>
      </c>
      <c r="BJ44" s="416" t="s">
        <v>1674</v>
      </c>
      <c r="BK44" s="415" t="s">
        <v>1673</v>
      </c>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row>
    <row r="45" spans="1:85" ht="26.25" x14ac:dyDescent="0.4">
      <c r="A45" s="541" t="s">
        <v>1940</v>
      </c>
      <c r="B45" s="277">
        <v>23.907</v>
      </c>
      <c r="C45" s="99"/>
      <c r="D45" s="277">
        <v>7.3830000000000009</v>
      </c>
      <c r="E45" s="99"/>
      <c r="F45" s="277">
        <v>58.664999999999999</v>
      </c>
      <c r="G45" s="99"/>
      <c r="H45" s="277">
        <v>22.730999999999998</v>
      </c>
      <c r="I45" s="99"/>
      <c r="J45" s="277">
        <v>22.436</v>
      </c>
      <c r="K45" s="99"/>
      <c r="L45" s="277">
        <v>11.152999999999999</v>
      </c>
      <c r="M45" s="99"/>
      <c r="N45" s="277">
        <v>14.551000000000002</v>
      </c>
      <c r="O45" s="99"/>
      <c r="P45" s="277">
        <v>10.785</v>
      </c>
      <c r="Q45" s="99"/>
      <c r="R45" s="277">
        <v>52.226999999999997</v>
      </c>
      <c r="S45" s="99"/>
      <c r="T45" s="277">
        <v>51.176000000000002</v>
      </c>
      <c r="U45" s="99"/>
      <c r="V45" s="277">
        <v>42.561999999999998</v>
      </c>
      <c r="W45" s="99"/>
      <c r="X45" s="277">
        <v>18.170000000000002</v>
      </c>
      <c r="Y45" s="99"/>
      <c r="Z45" s="277">
        <v>9.3180000000000014</v>
      </c>
      <c r="AA45" s="99"/>
      <c r="AB45" s="277">
        <v>27.152999999999999</v>
      </c>
      <c r="AC45" s="99"/>
      <c r="AD45" s="277">
        <v>24.370999999999999</v>
      </c>
      <c r="AE45" s="99"/>
      <c r="AF45" s="277">
        <v>18.348000000000003</v>
      </c>
      <c r="AG45" s="99"/>
      <c r="AH45" s="277">
        <v>0.64100000000000001</v>
      </c>
      <c r="AI45" s="99"/>
      <c r="AJ45" s="277">
        <v>398.512</v>
      </c>
      <c r="AK45" s="99"/>
      <c r="AL45" s="277">
        <v>3.01</v>
      </c>
      <c r="AM45" s="99"/>
      <c r="AN45" s="277">
        <v>3.698</v>
      </c>
      <c r="AO45" s="99"/>
      <c r="AP45" s="277">
        <v>11.007</v>
      </c>
      <c r="AQ45" s="99"/>
      <c r="AR45" s="277">
        <v>7.8860000000000001</v>
      </c>
      <c r="AS45" s="99"/>
      <c r="AT45" s="277">
        <v>5.3140000000000001</v>
      </c>
      <c r="AU45" s="99"/>
      <c r="AV45" s="277">
        <v>1.798</v>
      </c>
      <c r="AW45" s="99"/>
      <c r="AX45" s="277">
        <v>6.274</v>
      </c>
      <c r="AY45" s="99"/>
      <c r="AZ45" s="277">
        <v>1.6950000000000001</v>
      </c>
      <c r="BA45" s="99"/>
      <c r="BB45" s="277">
        <v>1.633</v>
      </c>
      <c r="BC45" s="99"/>
      <c r="BD45" s="277">
        <v>2.1680000000000001</v>
      </c>
      <c r="BE45" s="99"/>
      <c r="BF45" s="277">
        <v>6.1849999999999996</v>
      </c>
      <c r="BG45" s="99"/>
      <c r="BH45" s="277">
        <v>3.8029999999999999</v>
      </c>
      <c r="BI45" s="99"/>
      <c r="BJ45" s="277">
        <v>2.4740000000000002</v>
      </c>
      <c r="BK45" s="99"/>
    </row>
    <row r="46" spans="1:85" ht="13.15" x14ac:dyDescent="0.4">
      <c r="A46" s="238" t="s">
        <v>1671</v>
      </c>
      <c r="B46" s="413">
        <v>0</v>
      </c>
      <c r="C46" s="99"/>
      <c r="D46" s="413">
        <v>0</v>
      </c>
      <c r="E46" s="99"/>
      <c r="F46" s="413">
        <v>0</v>
      </c>
      <c r="G46" s="99"/>
      <c r="H46" s="413">
        <v>0</v>
      </c>
      <c r="I46" s="99"/>
      <c r="J46" s="413">
        <v>0</v>
      </c>
      <c r="K46" s="99"/>
      <c r="L46" s="413">
        <v>0</v>
      </c>
      <c r="M46" s="99"/>
      <c r="N46" s="413">
        <v>0</v>
      </c>
      <c r="O46" s="99"/>
      <c r="P46" s="413">
        <v>0</v>
      </c>
      <c r="Q46" s="99"/>
      <c r="R46" s="413">
        <v>0</v>
      </c>
      <c r="S46" s="99"/>
      <c r="T46" s="413">
        <v>0</v>
      </c>
      <c r="U46" s="99"/>
      <c r="V46" s="413">
        <v>0</v>
      </c>
      <c r="W46" s="99"/>
      <c r="X46" s="413">
        <v>0</v>
      </c>
      <c r="Y46" s="99"/>
      <c r="Z46" s="413">
        <v>0</v>
      </c>
      <c r="AA46" s="99"/>
      <c r="AB46" s="413">
        <v>0</v>
      </c>
      <c r="AC46" s="99"/>
      <c r="AD46" s="413">
        <v>0</v>
      </c>
      <c r="AE46" s="99"/>
      <c r="AF46" s="413">
        <v>0</v>
      </c>
      <c r="AG46" s="99"/>
      <c r="AH46" s="413">
        <v>0</v>
      </c>
      <c r="AI46" s="99"/>
      <c r="AJ46" s="413">
        <v>0</v>
      </c>
      <c r="AK46" s="99"/>
      <c r="AL46" s="413">
        <v>0</v>
      </c>
      <c r="AM46" s="99"/>
      <c r="AN46" s="413">
        <v>0</v>
      </c>
      <c r="AO46" s="99"/>
      <c r="AP46" s="413">
        <v>0</v>
      </c>
      <c r="AQ46" s="99"/>
      <c r="AR46" s="413">
        <v>0</v>
      </c>
      <c r="AS46" s="99"/>
      <c r="AT46" s="413">
        <v>0</v>
      </c>
      <c r="AU46" s="99"/>
      <c r="AV46" s="413">
        <v>0</v>
      </c>
      <c r="AW46" s="99"/>
      <c r="AX46" s="413">
        <v>0</v>
      </c>
      <c r="AY46" s="99"/>
      <c r="AZ46" s="413">
        <v>0</v>
      </c>
      <c r="BA46" s="99"/>
      <c r="BB46" s="413">
        <v>0</v>
      </c>
      <c r="BC46" s="99"/>
      <c r="BD46" s="413">
        <v>0</v>
      </c>
      <c r="BE46" s="99"/>
      <c r="BF46" s="413">
        <v>0</v>
      </c>
      <c r="BG46" s="99"/>
      <c r="BH46" s="413">
        <v>0</v>
      </c>
      <c r="BI46" s="99"/>
      <c r="BJ46" s="413">
        <v>0</v>
      </c>
      <c r="BK46" s="99"/>
    </row>
    <row r="47" spans="1:85" ht="13.15" x14ac:dyDescent="0.4">
      <c r="A47" s="178" t="s">
        <v>1670</v>
      </c>
      <c r="B47" s="61"/>
      <c r="C47" s="60"/>
      <c r="D47" s="61"/>
      <c r="E47" s="60"/>
      <c r="F47" s="61"/>
      <c r="G47" s="60"/>
      <c r="H47" s="61"/>
      <c r="I47" s="60"/>
      <c r="J47" s="61"/>
      <c r="K47" s="60"/>
      <c r="L47" s="61"/>
      <c r="M47" s="60"/>
      <c r="N47" s="61"/>
      <c r="O47" s="60"/>
      <c r="P47" s="61"/>
      <c r="Q47" s="60"/>
      <c r="R47" s="61"/>
      <c r="S47" s="60"/>
      <c r="T47" s="61"/>
      <c r="U47" s="60"/>
      <c r="V47" s="61"/>
      <c r="W47" s="60"/>
      <c r="X47" s="61"/>
      <c r="Y47" s="60"/>
      <c r="Z47" s="61"/>
      <c r="AA47" s="60"/>
      <c r="AB47" s="61"/>
      <c r="AC47" s="60"/>
      <c r="AD47" s="61"/>
      <c r="AE47" s="60"/>
      <c r="AF47" s="61"/>
      <c r="AG47" s="60"/>
      <c r="AH47" s="61"/>
      <c r="AI47" s="60"/>
      <c r="AJ47" s="61"/>
      <c r="AK47" s="60"/>
      <c r="AL47" s="61"/>
      <c r="AM47" s="60"/>
      <c r="AN47" s="61"/>
      <c r="AO47" s="60"/>
      <c r="AP47" s="61"/>
      <c r="AQ47" s="60"/>
      <c r="AR47" s="61"/>
      <c r="AS47" s="60"/>
      <c r="AT47" s="61"/>
      <c r="AU47" s="60"/>
      <c r="AV47" s="61"/>
      <c r="AW47" s="60"/>
      <c r="AX47" s="61"/>
      <c r="AY47" s="60"/>
      <c r="AZ47" s="61"/>
      <c r="BA47" s="60"/>
      <c r="BB47" s="61"/>
      <c r="BC47" s="60"/>
      <c r="BD47" s="61"/>
      <c r="BE47" s="60"/>
      <c r="BF47" s="61"/>
      <c r="BG47" s="60"/>
      <c r="BH47" s="61"/>
      <c r="BI47" s="60"/>
      <c r="BJ47" s="61"/>
      <c r="BK47" s="60"/>
    </row>
    <row r="48" spans="1:85" x14ac:dyDescent="0.35">
      <c r="A48" s="50" t="s">
        <v>1668</v>
      </c>
      <c r="B48" s="413">
        <v>5.0999999999999997E-2</v>
      </c>
      <c r="C48" s="196"/>
      <c r="D48" s="413">
        <v>0.04</v>
      </c>
      <c r="E48" s="196"/>
      <c r="F48" s="413">
        <v>0.16</v>
      </c>
      <c r="G48" s="196"/>
      <c r="H48" s="413">
        <v>6.9000000000000006E-2</v>
      </c>
      <c r="I48" s="196"/>
      <c r="J48" s="413">
        <v>7.1999999999999995E-2</v>
      </c>
      <c r="K48" s="196"/>
      <c r="L48" s="413">
        <v>3.7999999999999999E-2</v>
      </c>
      <c r="M48" s="196"/>
      <c r="N48" s="413">
        <v>1.9E-2</v>
      </c>
      <c r="O48" s="196"/>
      <c r="P48" s="413">
        <v>3.1E-2</v>
      </c>
      <c r="Q48" s="196"/>
      <c r="R48" s="413">
        <v>0.27</v>
      </c>
      <c r="S48" s="196"/>
      <c r="T48" s="413">
        <v>0.22500000000000001</v>
      </c>
      <c r="U48" s="196"/>
      <c r="V48" s="413">
        <v>0.2</v>
      </c>
      <c r="W48" s="196"/>
      <c r="X48" s="413">
        <v>0.14799999999999999</v>
      </c>
      <c r="Y48" s="196"/>
      <c r="Z48" s="413">
        <v>6.0999999999999999E-2</v>
      </c>
      <c r="AA48" s="196"/>
      <c r="AB48" s="413">
        <v>0.11700000000000001</v>
      </c>
      <c r="AC48" s="196"/>
      <c r="AD48" s="413">
        <v>0.14799999999999999</v>
      </c>
      <c r="AE48" s="196"/>
      <c r="AF48" s="413">
        <v>6.0000000000000001E-3</v>
      </c>
      <c r="AG48" s="196"/>
      <c r="AH48" s="413">
        <v>0.85</v>
      </c>
      <c r="AI48" s="196"/>
      <c r="AJ48" s="413">
        <v>9.9199999999999997E-2</v>
      </c>
      <c r="AK48" s="196"/>
      <c r="AL48" s="413">
        <v>0</v>
      </c>
      <c r="AM48" s="196"/>
      <c r="AN48" s="413">
        <v>0</v>
      </c>
      <c r="AO48" s="196"/>
      <c r="AP48" s="413">
        <v>0</v>
      </c>
      <c r="AQ48" s="196"/>
      <c r="AR48" s="413">
        <v>0.44</v>
      </c>
      <c r="AS48" s="196"/>
      <c r="AT48" s="413">
        <v>0</v>
      </c>
      <c r="AU48" s="196"/>
      <c r="AV48" s="413">
        <v>0</v>
      </c>
      <c r="AW48" s="196"/>
      <c r="AX48" s="413">
        <v>0</v>
      </c>
      <c r="AY48" s="196"/>
      <c r="AZ48" s="413">
        <v>0</v>
      </c>
      <c r="BA48" s="196"/>
      <c r="BB48" s="413">
        <v>0</v>
      </c>
      <c r="BC48" s="196"/>
      <c r="BD48" s="413">
        <v>0</v>
      </c>
      <c r="BE48" s="196"/>
      <c r="BF48" s="413">
        <v>0</v>
      </c>
      <c r="BG48" s="196"/>
      <c r="BH48" s="413">
        <v>0</v>
      </c>
      <c r="BI48" s="196"/>
      <c r="BJ48" s="413">
        <v>0</v>
      </c>
      <c r="BK48" s="196"/>
    </row>
    <row r="49" spans="1:63" x14ac:dyDescent="0.35">
      <c r="A49" s="50" t="s">
        <v>1667</v>
      </c>
      <c r="B49" s="413">
        <v>4.0000000000000001E-3</v>
      </c>
      <c r="C49" s="196"/>
      <c r="D49" s="413">
        <v>7.0000000000000001E-3</v>
      </c>
      <c r="E49" s="196"/>
      <c r="F49" s="413">
        <v>0</v>
      </c>
      <c r="G49" s="196"/>
      <c r="H49" s="413">
        <v>6.0000000000000001E-3</v>
      </c>
      <c r="I49" s="196"/>
      <c r="J49" s="413">
        <v>6.0000000000000001E-3</v>
      </c>
      <c r="K49" s="196"/>
      <c r="L49" s="413">
        <v>4.0000000000000001E-3</v>
      </c>
      <c r="M49" s="196"/>
      <c r="N49" s="413">
        <v>4.0000000000000001E-3</v>
      </c>
      <c r="O49" s="196"/>
      <c r="P49" s="413">
        <v>5.0000000000000001E-3</v>
      </c>
      <c r="Q49" s="196"/>
      <c r="R49" s="413">
        <v>0</v>
      </c>
      <c r="S49" s="196"/>
      <c r="T49" s="413">
        <v>0</v>
      </c>
      <c r="U49" s="196"/>
      <c r="V49" s="413">
        <v>0</v>
      </c>
      <c r="W49" s="196"/>
      <c r="X49" s="413">
        <v>2.4E-2</v>
      </c>
      <c r="Y49" s="196"/>
      <c r="Z49" s="413">
        <v>5.0000000000000001E-3</v>
      </c>
      <c r="AA49" s="196"/>
      <c r="AB49" s="413">
        <v>1.9E-2</v>
      </c>
      <c r="AC49" s="196"/>
      <c r="AD49" s="413">
        <v>2.4E-2</v>
      </c>
      <c r="AE49" s="196"/>
      <c r="AF49" s="413">
        <v>0.01</v>
      </c>
      <c r="AG49" s="196"/>
      <c r="AH49" s="413">
        <v>0</v>
      </c>
      <c r="AI49" s="196"/>
      <c r="AJ49" s="413">
        <v>0</v>
      </c>
      <c r="AK49" s="196"/>
      <c r="AL49" s="413">
        <v>0</v>
      </c>
      <c r="AM49" s="196"/>
      <c r="AN49" s="413">
        <v>0</v>
      </c>
      <c r="AO49" s="196"/>
      <c r="AP49" s="413">
        <v>0</v>
      </c>
      <c r="AQ49" s="196"/>
      <c r="AR49" s="413">
        <v>0</v>
      </c>
      <c r="AS49" s="196"/>
      <c r="AT49" s="413">
        <v>1E-3</v>
      </c>
      <c r="AU49" s="196"/>
      <c r="AV49" s="413">
        <v>0</v>
      </c>
      <c r="AW49" s="196"/>
      <c r="AX49" s="413">
        <v>0</v>
      </c>
      <c r="AY49" s="196"/>
      <c r="AZ49" s="413">
        <v>0</v>
      </c>
      <c r="BA49" s="196"/>
      <c r="BB49" s="413">
        <v>0</v>
      </c>
      <c r="BC49" s="196"/>
      <c r="BD49" s="413">
        <v>0</v>
      </c>
      <c r="BE49" s="196"/>
      <c r="BF49" s="413">
        <v>0</v>
      </c>
      <c r="BG49" s="196"/>
      <c r="BH49" s="413">
        <v>0</v>
      </c>
      <c r="BI49" s="196"/>
      <c r="BJ49" s="413">
        <v>0</v>
      </c>
      <c r="BK49" s="196"/>
    </row>
    <row r="50" spans="1:63" x14ac:dyDescent="0.35">
      <c r="A50" s="50" t="s">
        <v>1666</v>
      </c>
      <c r="B50" s="413">
        <v>1E-3</v>
      </c>
      <c r="C50" s="196"/>
      <c r="D50" s="413">
        <v>3.0000000000000001E-3</v>
      </c>
      <c r="E50" s="196"/>
      <c r="F50" s="413">
        <v>0</v>
      </c>
      <c r="G50" s="196"/>
      <c r="H50" s="413">
        <v>1E-3</v>
      </c>
      <c r="I50" s="196"/>
      <c r="J50" s="413">
        <v>1E-3</v>
      </c>
      <c r="K50" s="196"/>
      <c r="L50" s="413">
        <v>2E-3</v>
      </c>
      <c r="M50" s="196"/>
      <c r="N50" s="413">
        <v>2E-3</v>
      </c>
      <c r="O50" s="196"/>
      <c r="P50" s="413">
        <v>3.0000000000000001E-3</v>
      </c>
      <c r="Q50" s="196"/>
      <c r="R50" s="413">
        <v>0</v>
      </c>
      <c r="S50" s="196"/>
      <c r="T50" s="413">
        <v>0</v>
      </c>
      <c r="U50" s="196"/>
      <c r="V50" s="413">
        <v>0</v>
      </c>
      <c r="W50" s="196"/>
      <c r="X50" s="413">
        <v>1E-3</v>
      </c>
      <c r="Y50" s="196"/>
      <c r="Z50" s="413">
        <v>3.0000000000000001E-3</v>
      </c>
      <c r="AA50" s="196"/>
      <c r="AB50" s="413">
        <v>1E-3</v>
      </c>
      <c r="AC50" s="196"/>
      <c r="AD50" s="413">
        <v>1.4999999999999999E-2</v>
      </c>
      <c r="AE50" s="196"/>
      <c r="AF50" s="413">
        <v>1E-3</v>
      </c>
      <c r="AG50" s="196"/>
      <c r="AH50" s="413">
        <v>0</v>
      </c>
      <c r="AI50" s="196"/>
      <c r="AJ50" s="413">
        <v>0</v>
      </c>
      <c r="AK50" s="196"/>
      <c r="AL50" s="413">
        <v>0</v>
      </c>
      <c r="AM50" s="196"/>
      <c r="AN50" s="413">
        <v>0</v>
      </c>
      <c r="AO50" s="196"/>
      <c r="AP50" s="413">
        <v>0</v>
      </c>
      <c r="AQ50" s="196"/>
      <c r="AR50" s="413">
        <v>0</v>
      </c>
      <c r="AS50" s="196"/>
      <c r="AT50" s="413">
        <v>0</v>
      </c>
      <c r="AU50" s="196"/>
      <c r="AV50" s="413">
        <v>0</v>
      </c>
      <c r="AW50" s="196"/>
      <c r="AX50" s="413">
        <v>0</v>
      </c>
      <c r="AY50" s="196"/>
      <c r="AZ50" s="413">
        <v>0</v>
      </c>
      <c r="BA50" s="196"/>
      <c r="BB50" s="413">
        <v>0</v>
      </c>
      <c r="BC50" s="196"/>
      <c r="BD50" s="413">
        <v>0</v>
      </c>
      <c r="BE50" s="196"/>
      <c r="BF50" s="413">
        <v>0</v>
      </c>
      <c r="BG50" s="196"/>
      <c r="BH50" s="413">
        <v>0</v>
      </c>
      <c r="BI50" s="196"/>
      <c r="BJ50" s="413">
        <v>0</v>
      </c>
      <c r="BK50" s="196"/>
    </row>
    <row r="51" spans="1:63" x14ac:dyDescent="0.35">
      <c r="A51" s="50" t="s">
        <v>1534</v>
      </c>
      <c r="B51" s="413">
        <v>0.74299999999999999</v>
      </c>
      <c r="C51" s="196"/>
      <c r="D51" s="413">
        <v>0.86499999999999999</v>
      </c>
      <c r="E51" s="196"/>
      <c r="F51" s="413">
        <v>0.72799999999999998</v>
      </c>
      <c r="G51" s="196"/>
      <c r="H51" s="413">
        <v>0.85399999999999998</v>
      </c>
      <c r="I51" s="196"/>
      <c r="J51" s="413">
        <v>0.84899999999999998</v>
      </c>
      <c r="K51" s="196"/>
      <c r="L51" s="413">
        <v>0.85699999999999998</v>
      </c>
      <c r="M51" s="196"/>
      <c r="N51" s="413">
        <v>0.89700000000000002</v>
      </c>
      <c r="O51" s="196"/>
      <c r="P51" s="413">
        <v>0.874</v>
      </c>
      <c r="Q51" s="196"/>
      <c r="R51" s="413">
        <v>0.65400000000000003</v>
      </c>
      <c r="S51" s="196"/>
      <c r="T51" s="413">
        <v>0.63900000000000001</v>
      </c>
      <c r="U51" s="196"/>
      <c r="V51" s="413">
        <v>0.65600000000000003</v>
      </c>
      <c r="W51" s="196"/>
      <c r="X51" s="413">
        <v>0.63200000000000001</v>
      </c>
      <c r="Y51" s="196"/>
      <c r="Z51" s="413">
        <v>0.8</v>
      </c>
      <c r="AA51" s="196"/>
      <c r="AB51" s="413">
        <v>0.66400000000000003</v>
      </c>
      <c r="AC51" s="196"/>
      <c r="AD51" s="413">
        <v>0.59899999999999998</v>
      </c>
      <c r="AE51" s="196"/>
      <c r="AF51" s="413">
        <v>0.81699999999999995</v>
      </c>
      <c r="AG51" s="196"/>
      <c r="AH51" s="413">
        <v>0</v>
      </c>
      <c r="AI51" s="196"/>
      <c r="AJ51" s="413">
        <v>0.67120000000000002</v>
      </c>
      <c r="AK51" s="196"/>
      <c r="AL51" s="413">
        <v>0</v>
      </c>
      <c r="AM51" s="196"/>
      <c r="AN51" s="413">
        <v>0</v>
      </c>
      <c r="AO51" s="196"/>
      <c r="AP51" s="413">
        <v>0</v>
      </c>
      <c r="AQ51" s="196"/>
      <c r="AR51" s="413">
        <v>0.39</v>
      </c>
      <c r="AS51" s="196"/>
      <c r="AT51" s="413">
        <v>0</v>
      </c>
      <c r="AU51" s="196"/>
      <c r="AV51" s="413">
        <v>0</v>
      </c>
      <c r="AW51" s="196"/>
      <c r="AX51" s="413">
        <v>0.67600000000000005</v>
      </c>
      <c r="AY51" s="196"/>
      <c r="AZ51" s="413">
        <v>0</v>
      </c>
      <c r="BA51" s="196"/>
      <c r="BB51" s="413">
        <v>0</v>
      </c>
      <c r="BC51" s="196"/>
      <c r="BD51" s="413">
        <v>0</v>
      </c>
      <c r="BE51" s="196"/>
      <c r="BF51" s="413">
        <v>0</v>
      </c>
      <c r="BG51" s="196"/>
      <c r="BH51" s="413">
        <v>0</v>
      </c>
      <c r="BI51" s="196"/>
      <c r="BJ51" s="413">
        <v>0</v>
      </c>
      <c r="BK51" s="196"/>
    </row>
    <row r="52" spans="1:63" x14ac:dyDescent="0.35">
      <c r="A52" s="50" t="s">
        <v>1535</v>
      </c>
      <c r="B52" s="413">
        <v>5.6000000000000001E-2</v>
      </c>
      <c r="C52" s="196"/>
      <c r="D52" s="413">
        <v>0</v>
      </c>
      <c r="E52" s="196"/>
      <c r="F52" s="413">
        <v>0</v>
      </c>
      <c r="G52" s="196"/>
      <c r="H52" s="413">
        <v>0</v>
      </c>
      <c r="I52" s="196"/>
      <c r="J52" s="413">
        <v>0</v>
      </c>
      <c r="K52" s="196"/>
      <c r="L52" s="413">
        <v>0</v>
      </c>
      <c r="M52" s="196"/>
      <c r="N52" s="413">
        <v>0</v>
      </c>
      <c r="O52" s="196"/>
      <c r="P52" s="413">
        <v>0</v>
      </c>
      <c r="Q52" s="196"/>
      <c r="R52" s="413">
        <v>0</v>
      </c>
      <c r="S52" s="196"/>
      <c r="T52" s="413">
        <v>0</v>
      </c>
      <c r="U52" s="196"/>
      <c r="V52" s="413">
        <v>8.9999999999999993E-3</v>
      </c>
      <c r="W52" s="196"/>
      <c r="X52" s="413">
        <v>3.9E-2</v>
      </c>
      <c r="Y52" s="196"/>
      <c r="Z52" s="413">
        <v>0</v>
      </c>
      <c r="AA52" s="196"/>
      <c r="AB52" s="413">
        <v>2.9000000000000001E-2</v>
      </c>
      <c r="AC52" s="196"/>
      <c r="AD52" s="413">
        <v>4.4999999999999998E-2</v>
      </c>
      <c r="AE52" s="196"/>
      <c r="AF52" s="413">
        <v>2.4E-2</v>
      </c>
      <c r="AG52" s="196"/>
      <c r="AH52" s="413">
        <v>0</v>
      </c>
      <c r="AI52" s="196"/>
      <c r="AJ52" s="413">
        <v>4.3700000000000003E-2</v>
      </c>
      <c r="AK52" s="196"/>
      <c r="AL52" s="413">
        <v>0</v>
      </c>
      <c r="AM52" s="196"/>
      <c r="AN52" s="413">
        <v>0</v>
      </c>
      <c r="AO52" s="196"/>
      <c r="AP52" s="413">
        <v>0</v>
      </c>
      <c r="AQ52" s="196"/>
      <c r="AR52" s="413">
        <v>0</v>
      </c>
      <c r="AS52" s="196"/>
      <c r="AT52" s="413">
        <v>0</v>
      </c>
      <c r="AU52" s="196"/>
      <c r="AV52" s="413">
        <v>0</v>
      </c>
      <c r="AW52" s="196"/>
      <c r="AX52" s="413">
        <v>0</v>
      </c>
      <c r="AY52" s="196"/>
      <c r="AZ52" s="413">
        <v>0</v>
      </c>
      <c r="BA52" s="196"/>
      <c r="BB52" s="413">
        <v>0</v>
      </c>
      <c r="BC52" s="196"/>
      <c r="BD52" s="413">
        <v>0</v>
      </c>
      <c r="BE52" s="196"/>
      <c r="BF52" s="413">
        <v>0</v>
      </c>
      <c r="BG52" s="196"/>
      <c r="BH52" s="413">
        <v>0</v>
      </c>
      <c r="BI52" s="196"/>
      <c r="BJ52" s="413">
        <v>0</v>
      </c>
      <c r="BK52" s="196"/>
    </row>
    <row r="53" spans="1:63" x14ac:dyDescent="0.35">
      <c r="A53" s="50" t="s">
        <v>1936</v>
      </c>
      <c r="B53" s="413">
        <v>1E-3</v>
      </c>
      <c r="C53" s="196"/>
      <c r="D53" s="413">
        <v>1E-3</v>
      </c>
      <c r="E53" s="196"/>
      <c r="F53" s="413">
        <v>0</v>
      </c>
      <c r="G53" s="196"/>
      <c r="H53" s="413">
        <v>1E-3</v>
      </c>
      <c r="I53" s="196"/>
      <c r="J53" s="413">
        <v>1E-3</v>
      </c>
      <c r="K53" s="196"/>
      <c r="L53" s="413">
        <v>1E-3</v>
      </c>
      <c r="M53" s="196"/>
      <c r="N53" s="413">
        <v>0</v>
      </c>
      <c r="O53" s="196"/>
      <c r="P53" s="413">
        <v>0</v>
      </c>
      <c r="Q53" s="196"/>
      <c r="R53" s="413">
        <v>0</v>
      </c>
      <c r="S53" s="196"/>
      <c r="T53" s="413">
        <v>0</v>
      </c>
      <c r="U53" s="196"/>
      <c r="V53" s="413">
        <v>0</v>
      </c>
      <c r="W53" s="196"/>
      <c r="X53" s="413">
        <v>6.0000000000000001E-3</v>
      </c>
      <c r="Y53" s="196"/>
      <c r="Z53" s="413">
        <v>1E-3</v>
      </c>
      <c r="AA53" s="196"/>
      <c r="AB53" s="413">
        <v>0</v>
      </c>
      <c r="AC53" s="196"/>
      <c r="AD53" s="413">
        <v>0</v>
      </c>
      <c r="AE53" s="196"/>
      <c r="AF53" s="413">
        <v>0</v>
      </c>
      <c r="AG53" s="196"/>
      <c r="AH53" s="413">
        <v>0</v>
      </c>
      <c r="AI53" s="196"/>
      <c r="AJ53" s="413">
        <v>0</v>
      </c>
      <c r="AK53" s="196"/>
      <c r="AL53" s="413">
        <v>0</v>
      </c>
      <c r="AM53" s="196"/>
      <c r="AN53" s="413">
        <v>0</v>
      </c>
      <c r="AO53" s="196"/>
      <c r="AP53" s="413">
        <v>0</v>
      </c>
      <c r="AQ53" s="196"/>
      <c r="AR53" s="413">
        <v>0</v>
      </c>
      <c r="AS53" s="196"/>
      <c r="AT53" s="413">
        <v>4.0000000000000001E-3</v>
      </c>
      <c r="AU53" s="196"/>
      <c r="AV53" s="413">
        <v>0</v>
      </c>
      <c r="AW53" s="196"/>
      <c r="AX53" s="413">
        <v>0</v>
      </c>
      <c r="AY53" s="196"/>
      <c r="AZ53" s="413">
        <v>0</v>
      </c>
      <c r="BA53" s="196"/>
      <c r="BB53" s="413">
        <v>0</v>
      </c>
      <c r="BC53" s="196"/>
      <c r="BD53" s="413">
        <v>0</v>
      </c>
      <c r="BE53" s="196"/>
      <c r="BF53" s="413">
        <v>0</v>
      </c>
      <c r="BG53" s="196"/>
      <c r="BH53" s="413">
        <v>0</v>
      </c>
      <c r="BI53" s="196"/>
      <c r="BJ53" s="413">
        <v>0</v>
      </c>
      <c r="BK53" s="196"/>
    </row>
    <row r="54" spans="1:63" x14ac:dyDescent="0.35">
      <c r="A54" s="46" t="s">
        <v>1664</v>
      </c>
      <c r="B54" s="412">
        <v>0.14400000000000002</v>
      </c>
      <c r="C54" s="193"/>
      <c r="D54" s="412">
        <v>8.3999999999999964E-2</v>
      </c>
      <c r="E54" s="193"/>
      <c r="F54" s="412">
        <v>0.11199999999999999</v>
      </c>
      <c r="G54" s="193"/>
      <c r="H54" s="412">
        <v>6.9000000000000061E-2</v>
      </c>
      <c r="I54" s="193"/>
      <c r="J54" s="412">
        <v>7.1000000000000063E-2</v>
      </c>
      <c r="K54" s="193"/>
      <c r="L54" s="412">
        <v>9.7999999999999976E-2</v>
      </c>
      <c r="M54" s="193"/>
      <c r="N54" s="412">
        <v>7.7999999999999958E-2</v>
      </c>
      <c r="O54" s="193"/>
      <c r="P54" s="412">
        <v>8.6999999999999966E-2</v>
      </c>
      <c r="Q54" s="193"/>
      <c r="R54" s="412">
        <v>7.5999999999999956E-2</v>
      </c>
      <c r="S54" s="193"/>
      <c r="T54" s="412">
        <v>0.13600000000000001</v>
      </c>
      <c r="U54" s="193"/>
      <c r="V54" s="412">
        <v>0.1349999999999999</v>
      </c>
      <c r="W54" s="193"/>
      <c r="X54" s="412">
        <v>0.15000000000000002</v>
      </c>
      <c r="Y54" s="193"/>
      <c r="Z54" s="412">
        <v>0.13</v>
      </c>
      <c r="AA54" s="193"/>
      <c r="AB54" s="412">
        <v>0.16999999999999993</v>
      </c>
      <c r="AC54" s="193"/>
      <c r="AD54" s="412">
        <v>0.16899999999999993</v>
      </c>
      <c r="AE54" s="193"/>
      <c r="AF54" s="412">
        <v>0.14200000000000002</v>
      </c>
      <c r="AG54" s="193"/>
      <c r="AH54" s="412">
        <v>0.15000000000000002</v>
      </c>
      <c r="AI54" s="193"/>
      <c r="AJ54" s="412">
        <v>0.18590000000000007</v>
      </c>
      <c r="AK54" s="193"/>
      <c r="AL54" s="412">
        <v>1</v>
      </c>
      <c r="AM54" s="193"/>
      <c r="AN54" s="412">
        <v>1</v>
      </c>
      <c r="AO54" s="193"/>
      <c r="AP54" s="412">
        <v>1</v>
      </c>
      <c r="AQ54" s="193"/>
      <c r="AR54" s="412">
        <v>0.16999999999999993</v>
      </c>
      <c r="AS54" s="193"/>
      <c r="AT54" s="412">
        <v>0.995</v>
      </c>
      <c r="AU54" s="193"/>
      <c r="AV54" s="412">
        <v>1</v>
      </c>
      <c r="AW54" s="193"/>
      <c r="AX54" s="412">
        <v>0.32399999999999995</v>
      </c>
      <c r="AY54" s="193"/>
      <c r="AZ54" s="412">
        <v>1</v>
      </c>
      <c r="BA54" s="193"/>
      <c r="BB54" s="412">
        <v>1</v>
      </c>
      <c r="BC54" s="193"/>
      <c r="BD54" s="412">
        <v>1</v>
      </c>
      <c r="BE54" s="193"/>
      <c r="BF54" s="412">
        <v>1</v>
      </c>
      <c r="BG54" s="193"/>
      <c r="BH54" s="412">
        <v>1</v>
      </c>
      <c r="BI54" s="193"/>
      <c r="BJ54" s="412">
        <v>1</v>
      </c>
      <c r="BK54" s="193"/>
    </row>
    <row r="55" spans="1:63" ht="13.15" x14ac:dyDescent="0.4">
      <c r="A55" s="178" t="s">
        <v>1669</v>
      </c>
      <c r="B55" s="59"/>
      <c r="C55" s="99"/>
      <c r="D55" s="59"/>
      <c r="E55" s="99"/>
      <c r="F55" s="59"/>
      <c r="G55" s="99"/>
      <c r="H55" s="59"/>
      <c r="I55" s="99"/>
      <c r="J55" s="59"/>
      <c r="K55" s="99"/>
      <c r="L55" s="59"/>
      <c r="M55" s="99"/>
      <c r="N55" s="59"/>
      <c r="O55" s="99"/>
      <c r="P55" s="59"/>
      <c r="Q55" s="99"/>
      <c r="R55" s="59"/>
      <c r="S55" s="99"/>
      <c r="T55" s="59"/>
      <c r="U55" s="99"/>
      <c r="V55" s="59"/>
      <c r="W55" s="99"/>
      <c r="X55" s="59"/>
      <c r="Y55" s="99"/>
      <c r="Z55" s="59"/>
      <c r="AA55" s="99"/>
      <c r="AB55" s="59"/>
      <c r="AC55" s="99"/>
      <c r="AD55" s="59"/>
      <c r="AE55" s="99"/>
      <c r="AF55" s="59"/>
      <c r="AG55" s="99"/>
      <c r="AH55" s="59"/>
      <c r="AI55" s="99"/>
      <c r="AJ55" s="59"/>
      <c r="AK55" s="99"/>
      <c r="AL55" s="59"/>
      <c r="AM55" s="99"/>
      <c r="AN55" s="59"/>
      <c r="AO55" s="99"/>
      <c r="AP55" s="59"/>
      <c r="AQ55" s="99"/>
      <c r="AR55" s="59"/>
      <c r="AS55" s="99"/>
      <c r="AT55" s="59"/>
      <c r="AU55" s="99"/>
      <c r="AV55" s="59"/>
      <c r="AW55" s="99"/>
      <c r="AX55" s="59"/>
      <c r="AY55" s="99"/>
      <c r="AZ55" s="59"/>
      <c r="BA55" s="99"/>
      <c r="BB55" s="59"/>
      <c r="BC55" s="99"/>
      <c r="BD55" s="59"/>
      <c r="BE55" s="99"/>
      <c r="BF55" s="59"/>
      <c r="BG55" s="99"/>
      <c r="BH55" s="59"/>
      <c r="BI55" s="99"/>
      <c r="BJ55" s="59"/>
      <c r="BK55" s="99"/>
    </row>
    <row r="56" spans="1:63" s="145" customFormat="1" x14ac:dyDescent="0.35">
      <c r="A56" s="146" t="s">
        <v>1668</v>
      </c>
      <c r="B56" s="411">
        <v>1.2192569999999998</v>
      </c>
      <c r="C56" s="144"/>
      <c r="D56" s="411">
        <v>0.29532000000000003</v>
      </c>
      <c r="E56" s="144"/>
      <c r="F56" s="411">
        <v>9.3864000000000001</v>
      </c>
      <c r="G56" s="144"/>
      <c r="H56" s="411">
        <v>1.5684389999999999</v>
      </c>
      <c r="I56" s="144"/>
      <c r="J56" s="411">
        <v>1.6153919999999999</v>
      </c>
      <c r="K56" s="144"/>
      <c r="L56" s="411">
        <v>0.42381399999999991</v>
      </c>
      <c r="M56" s="144"/>
      <c r="N56" s="411">
        <v>0.27646900000000002</v>
      </c>
      <c r="O56" s="144"/>
      <c r="P56" s="411">
        <v>0.33433499999999999</v>
      </c>
      <c r="Q56" s="144"/>
      <c r="R56" s="411">
        <v>14.101290000000001</v>
      </c>
      <c r="S56" s="144"/>
      <c r="T56" s="411">
        <v>11.514600000000002</v>
      </c>
      <c r="U56" s="144"/>
      <c r="V56" s="411">
        <v>8.5123999999999995</v>
      </c>
      <c r="W56" s="144"/>
      <c r="X56" s="411">
        <v>2.6891600000000002</v>
      </c>
      <c r="Y56" s="144"/>
      <c r="Z56" s="411">
        <v>0.56839800000000007</v>
      </c>
      <c r="AA56" s="144"/>
      <c r="AB56" s="411">
        <v>3.176901</v>
      </c>
      <c r="AC56" s="144"/>
      <c r="AD56" s="411">
        <v>3.6069079999999998</v>
      </c>
      <c r="AE56" s="144"/>
      <c r="AF56" s="411">
        <v>0.11008800000000002</v>
      </c>
      <c r="AG56" s="144"/>
      <c r="AH56" s="411">
        <v>0.54484999999999995</v>
      </c>
      <c r="AI56" s="144"/>
      <c r="AJ56" s="411">
        <v>39.532390399999997</v>
      </c>
      <c r="AK56" s="144"/>
      <c r="AL56" s="411">
        <v>0</v>
      </c>
      <c r="AM56" s="144"/>
      <c r="AN56" s="411">
        <v>0</v>
      </c>
      <c r="AO56" s="144"/>
      <c r="AP56" s="411">
        <v>0</v>
      </c>
      <c r="AQ56" s="144"/>
      <c r="AR56" s="411">
        <v>3.46984</v>
      </c>
      <c r="AS56" s="144"/>
      <c r="AT56" s="411">
        <v>0</v>
      </c>
      <c r="AU56" s="144"/>
      <c r="AV56" s="411">
        <v>0</v>
      </c>
      <c r="AW56" s="144"/>
      <c r="AX56" s="411">
        <v>0</v>
      </c>
      <c r="AY56" s="144"/>
      <c r="AZ56" s="411">
        <v>0</v>
      </c>
      <c r="BA56" s="144"/>
      <c r="BB56" s="411">
        <v>0</v>
      </c>
      <c r="BC56" s="144"/>
      <c r="BD56" s="411">
        <v>0</v>
      </c>
      <c r="BE56" s="144"/>
      <c r="BF56" s="411">
        <v>0</v>
      </c>
      <c r="BG56" s="144"/>
      <c r="BH56" s="411">
        <v>0</v>
      </c>
      <c r="BI56" s="144"/>
      <c r="BJ56" s="411">
        <v>0</v>
      </c>
      <c r="BK56" s="144"/>
    </row>
    <row r="57" spans="1:63" s="145" customFormat="1" x14ac:dyDescent="0.35">
      <c r="A57" s="146" t="s">
        <v>1667</v>
      </c>
      <c r="B57" s="411">
        <v>9.5628000000000005E-2</v>
      </c>
      <c r="C57" s="144"/>
      <c r="D57" s="411">
        <v>5.1681000000000005E-2</v>
      </c>
      <c r="E57" s="144"/>
      <c r="F57" s="411">
        <v>0</v>
      </c>
      <c r="G57" s="144"/>
      <c r="H57" s="411">
        <v>0.13638599999999998</v>
      </c>
      <c r="I57" s="144"/>
      <c r="J57" s="411">
        <v>0.13461600000000001</v>
      </c>
      <c r="K57" s="144"/>
      <c r="L57" s="411">
        <v>4.4611999999999999E-2</v>
      </c>
      <c r="M57" s="144"/>
      <c r="N57" s="411">
        <v>5.8204000000000006E-2</v>
      </c>
      <c r="O57" s="144"/>
      <c r="P57" s="411">
        <v>5.3925000000000001E-2</v>
      </c>
      <c r="Q57" s="144"/>
      <c r="R57" s="411">
        <v>0</v>
      </c>
      <c r="S57" s="144"/>
      <c r="T57" s="411">
        <v>0</v>
      </c>
      <c r="U57" s="144"/>
      <c r="V57" s="411">
        <v>0</v>
      </c>
      <c r="W57" s="144"/>
      <c r="X57" s="411">
        <v>0.43608000000000002</v>
      </c>
      <c r="Y57" s="144"/>
      <c r="Z57" s="411">
        <v>4.6590000000000006E-2</v>
      </c>
      <c r="AA57" s="144"/>
      <c r="AB57" s="411">
        <v>0.515907</v>
      </c>
      <c r="AC57" s="144"/>
      <c r="AD57" s="411">
        <v>0.58490399999999998</v>
      </c>
      <c r="AE57" s="144"/>
      <c r="AF57" s="411">
        <v>0.18348000000000003</v>
      </c>
      <c r="AG57" s="144"/>
      <c r="AH57" s="411">
        <v>0</v>
      </c>
      <c r="AI57" s="144"/>
      <c r="AJ57" s="411">
        <v>0</v>
      </c>
      <c r="AK57" s="144"/>
      <c r="AL57" s="411">
        <v>0</v>
      </c>
      <c r="AM57" s="144"/>
      <c r="AN57" s="411">
        <v>0</v>
      </c>
      <c r="AO57" s="144"/>
      <c r="AP57" s="411">
        <v>0</v>
      </c>
      <c r="AQ57" s="144"/>
      <c r="AR57" s="411">
        <v>0</v>
      </c>
      <c r="AS57" s="144"/>
      <c r="AT57" s="411">
        <v>5.3140000000000001E-3</v>
      </c>
      <c r="AU57" s="144"/>
      <c r="AV57" s="411">
        <v>0</v>
      </c>
      <c r="AW57" s="144"/>
      <c r="AX57" s="411">
        <v>0</v>
      </c>
      <c r="AY57" s="144"/>
      <c r="AZ57" s="411">
        <v>0</v>
      </c>
      <c r="BA57" s="144"/>
      <c r="BB57" s="411">
        <v>0</v>
      </c>
      <c r="BC57" s="144"/>
      <c r="BD57" s="411">
        <v>0</v>
      </c>
      <c r="BE57" s="144"/>
      <c r="BF57" s="411">
        <v>0</v>
      </c>
      <c r="BG57" s="144"/>
      <c r="BH57" s="411">
        <v>0</v>
      </c>
      <c r="BI57" s="144"/>
      <c r="BJ57" s="411">
        <v>0</v>
      </c>
      <c r="BK57" s="144"/>
    </row>
    <row r="58" spans="1:63" s="145" customFormat="1" x14ac:dyDescent="0.35">
      <c r="A58" s="146" t="s">
        <v>1666</v>
      </c>
      <c r="B58" s="411">
        <v>2.3907000000000001E-2</v>
      </c>
      <c r="C58" s="144"/>
      <c r="D58" s="411">
        <v>2.2149000000000002E-2</v>
      </c>
      <c r="E58" s="144"/>
      <c r="F58" s="411">
        <v>0</v>
      </c>
      <c r="G58" s="144"/>
      <c r="H58" s="411">
        <v>2.2730999999999998E-2</v>
      </c>
      <c r="I58" s="144"/>
      <c r="J58" s="411">
        <v>2.2436000000000001E-2</v>
      </c>
      <c r="K58" s="144"/>
      <c r="L58" s="411">
        <v>2.2305999999999999E-2</v>
      </c>
      <c r="M58" s="144"/>
      <c r="N58" s="411">
        <v>2.9102000000000003E-2</v>
      </c>
      <c r="O58" s="144"/>
      <c r="P58" s="411">
        <v>3.2355000000000002E-2</v>
      </c>
      <c r="Q58" s="144"/>
      <c r="R58" s="411">
        <v>0</v>
      </c>
      <c r="S58" s="144"/>
      <c r="T58" s="411">
        <v>0</v>
      </c>
      <c r="U58" s="144"/>
      <c r="V58" s="411">
        <v>0</v>
      </c>
      <c r="W58" s="144"/>
      <c r="X58" s="411">
        <v>1.8170000000000002E-2</v>
      </c>
      <c r="Y58" s="144"/>
      <c r="Z58" s="411">
        <v>2.7954000000000003E-2</v>
      </c>
      <c r="AA58" s="144"/>
      <c r="AB58" s="411">
        <v>2.7153E-2</v>
      </c>
      <c r="AC58" s="144"/>
      <c r="AD58" s="411">
        <v>0.36556499999999997</v>
      </c>
      <c r="AE58" s="144"/>
      <c r="AF58" s="411">
        <v>1.8348000000000003E-2</v>
      </c>
      <c r="AG58" s="144"/>
      <c r="AH58" s="411">
        <v>0</v>
      </c>
      <c r="AI58" s="144"/>
      <c r="AJ58" s="411">
        <v>0</v>
      </c>
      <c r="AK58" s="144"/>
      <c r="AL58" s="411">
        <v>0</v>
      </c>
      <c r="AM58" s="144"/>
      <c r="AN58" s="411">
        <v>0</v>
      </c>
      <c r="AO58" s="144"/>
      <c r="AP58" s="411">
        <v>0</v>
      </c>
      <c r="AQ58" s="144"/>
      <c r="AR58" s="411">
        <v>0</v>
      </c>
      <c r="AS58" s="144"/>
      <c r="AT58" s="411">
        <v>0</v>
      </c>
      <c r="AU58" s="144"/>
      <c r="AV58" s="411">
        <v>0</v>
      </c>
      <c r="AW58" s="144"/>
      <c r="AX58" s="411">
        <v>0</v>
      </c>
      <c r="AY58" s="144"/>
      <c r="AZ58" s="411">
        <v>0</v>
      </c>
      <c r="BA58" s="144"/>
      <c r="BB58" s="411">
        <v>0</v>
      </c>
      <c r="BC58" s="144"/>
      <c r="BD58" s="411">
        <v>0</v>
      </c>
      <c r="BE58" s="144"/>
      <c r="BF58" s="411">
        <v>0</v>
      </c>
      <c r="BG58" s="144"/>
      <c r="BH58" s="411">
        <v>0</v>
      </c>
      <c r="BI58" s="144"/>
      <c r="BJ58" s="411">
        <v>0</v>
      </c>
      <c r="BK58" s="144"/>
    </row>
    <row r="59" spans="1:63" s="145" customFormat="1" x14ac:dyDescent="0.35">
      <c r="A59" s="146" t="s">
        <v>1534</v>
      </c>
      <c r="B59" s="411">
        <v>17.762900999999999</v>
      </c>
      <c r="C59" s="144"/>
      <c r="D59" s="411">
        <v>6.3862950000000005</v>
      </c>
      <c r="E59" s="144"/>
      <c r="F59" s="411">
        <v>42.708120000000001</v>
      </c>
      <c r="G59" s="144"/>
      <c r="H59" s="411">
        <v>19.412273999999996</v>
      </c>
      <c r="I59" s="144"/>
      <c r="J59" s="411">
        <v>19.048164</v>
      </c>
      <c r="K59" s="144"/>
      <c r="L59" s="411">
        <v>9.5581209999999981</v>
      </c>
      <c r="M59" s="144"/>
      <c r="N59" s="411">
        <v>13.052247000000001</v>
      </c>
      <c r="O59" s="144"/>
      <c r="P59" s="411">
        <v>9.4260900000000003</v>
      </c>
      <c r="Q59" s="144"/>
      <c r="R59" s="411">
        <v>34.156458000000001</v>
      </c>
      <c r="S59" s="144"/>
      <c r="T59" s="411">
        <v>32.701464000000001</v>
      </c>
      <c r="U59" s="144"/>
      <c r="V59" s="411">
        <v>27.920672</v>
      </c>
      <c r="W59" s="144"/>
      <c r="X59" s="411">
        <v>11.483440000000002</v>
      </c>
      <c r="Y59" s="144"/>
      <c r="Z59" s="411">
        <v>7.4544000000000015</v>
      </c>
      <c r="AA59" s="144"/>
      <c r="AB59" s="411">
        <v>18.029592000000001</v>
      </c>
      <c r="AC59" s="144"/>
      <c r="AD59" s="411">
        <v>14.598228999999998</v>
      </c>
      <c r="AE59" s="144"/>
      <c r="AF59" s="411">
        <v>14.990316000000002</v>
      </c>
      <c r="AG59" s="144"/>
      <c r="AH59" s="411">
        <v>0</v>
      </c>
      <c r="AI59" s="144"/>
      <c r="AJ59" s="411">
        <v>267.48125440000001</v>
      </c>
      <c r="AK59" s="144"/>
      <c r="AL59" s="411">
        <v>0</v>
      </c>
      <c r="AM59" s="144"/>
      <c r="AN59" s="411">
        <v>0</v>
      </c>
      <c r="AO59" s="144"/>
      <c r="AP59" s="411">
        <v>0</v>
      </c>
      <c r="AQ59" s="144"/>
      <c r="AR59" s="411">
        <v>3.0755400000000002</v>
      </c>
      <c r="AS59" s="144"/>
      <c r="AT59" s="411">
        <v>0</v>
      </c>
      <c r="AU59" s="144"/>
      <c r="AV59" s="411">
        <v>0</v>
      </c>
      <c r="AW59" s="144"/>
      <c r="AX59" s="411">
        <v>4.2412239999999999</v>
      </c>
      <c r="AY59" s="144"/>
      <c r="AZ59" s="411">
        <v>0</v>
      </c>
      <c r="BA59" s="144"/>
      <c r="BB59" s="411">
        <v>0</v>
      </c>
      <c r="BC59" s="144"/>
      <c r="BD59" s="411">
        <v>0</v>
      </c>
      <c r="BE59" s="144"/>
      <c r="BF59" s="411">
        <v>0</v>
      </c>
      <c r="BG59" s="144"/>
      <c r="BH59" s="411">
        <v>0</v>
      </c>
      <c r="BI59" s="144"/>
      <c r="BJ59" s="411">
        <v>0</v>
      </c>
      <c r="BK59" s="144"/>
    </row>
    <row r="60" spans="1:63" s="145" customFormat="1" x14ac:dyDescent="0.35">
      <c r="A60" s="146" t="s">
        <v>1535</v>
      </c>
      <c r="B60" s="411">
        <v>1.338792</v>
      </c>
      <c r="C60" s="144"/>
      <c r="D60" s="411">
        <v>0</v>
      </c>
      <c r="E60" s="144"/>
      <c r="F60" s="411">
        <v>0</v>
      </c>
      <c r="G60" s="144"/>
      <c r="H60" s="411">
        <v>0</v>
      </c>
      <c r="I60" s="144"/>
      <c r="J60" s="411">
        <v>0</v>
      </c>
      <c r="K60" s="144"/>
      <c r="L60" s="411">
        <v>0</v>
      </c>
      <c r="M60" s="144"/>
      <c r="N60" s="411">
        <v>0</v>
      </c>
      <c r="O60" s="144"/>
      <c r="P60" s="411">
        <v>0</v>
      </c>
      <c r="Q60" s="144"/>
      <c r="R60" s="411">
        <v>0</v>
      </c>
      <c r="S60" s="144"/>
      <c r="T60" s="411">
        <v>0</v>
      </c>
      <c r="U60" s="144"/>
      <c r="V60" s="411">
        <v>0.38305799999999995</v>
      </c>
      <c r="W60" s="144"/>
      <c r="X60" s="411">
        <v>0.70863000000000009</v>
      </c>
      <c r="Y60" s="144"/>
      <c r="Z60" s="411">
        <v>0</v>
      </c>
      <c r="AA60" s="144"/>
      <c r="AB60" s="411">
        <v>0.78743700000000005</v>
      </c>
      <c r="AC60" s="144"/>
      <c r="AD60" s="411">
        <v>1.096695</v>
      </c>
      <c r="AE60" s="144"/>
      <c r="AF60" s="411">
        <v>0.44035200000000008</v>
      </c>
      <c r="AG60" s="144"/>
      <c r="AH60" s="411">
        <v>0</v>
      </c>
      <c r="AI60" s="144"/>
      <c r="AJ60" s="411">
        <v>17.414974400000002</v>
      </c>
      <c r="AK60" s="144"/>
      <c r="AL60" s="411">
        <v>0</v>
      </c>
      <c r="AM60" s="144"/>
      <c r="AN60" s="411">
        <v>0</v>
      </c>
      <c r="AO60" s="144"/>
      <c r="AP60" s="411">
        <v>0</v>
      </c>
      <c r="AQ60" s="144"/>
      <c r="AR60" s="411">
        <v>0</v>
      </c>
      <c r="AS60" s="144"/>
      <c r="AT60" s="411">
        <v>0</v>
      </c>
      <c r="AU60" s="144"/>
      <c r="AV60" s="411">
        <v>0</v>
      </c>
      <c r="AW60" s="144"/>
      <c r="AX60" s="411">
        <v>0</v>
      </c>
      <c r="AY60" s="144"/>
      <c r="AZ60" s="411">
        <v>0</v>
      </c>
      <c r="BA60" s="144"/>
      <c r="BB60" s="411">
        <v>0</v>
      </c>
      <c r="BC60" s="144"/>
      <c r="BD60" s="411">
        <v>0</v>
      </c>
      <c r="BE60" s="144"/>
      <c r="BF60" s="411">
        <v>0</v>
      </c>
      <c r="BG60" s="144"/>
      <c r="BH60" s="411">
        <v>0</v>
      </c>
      <c r="BI60" s="144"/>
      <c r="BJ60" s="411">
        <v>0</v>
      </c>
      <c r="BK60" s="144"/>
    </row>
    <row r="61" spans="1:63" s="145" customFormat="1" x14ac:dyDescent="0.35">
      <c r="A61" s="146" t="s">
        <v>1936</v>
      </c>
      <c r="B61" s="411">
        <v>2.3907000000000001E-2</v>
      </c>
      <c r="C61" s="144"/>
      <c r="D61" s="411">
        <v>7.3830000000000007E-3</v>
      </c>
      <c r="E61" s="144"/>
      <c r="F61" s="411">
        <v>0</v>
      </c>
      <c r="G61" s="144"/>
      <c r="H61" s="411">
        <v>2.2730999999999998E-2</v>
      </c>
      <c r="I61" s="144"/>
      <c r="J61" s="411">
        <v>2.2436000000000001E-2</v>
      </c>
      <c r="K61" s="144"/>
      <c r="L61" s="411">
        <v>1.1153E-2</v>
      </c>
      <c r="M61" s="144"/>
      <c r="N61" s="411">
        <v>0</v>
      </c>
      <c r="O61" s="144"/>
      <c r="P61" s="411">
        <v>0</v>
      </c>
      <c r="Q61" s="144"/>
      <c r="R61" s="411">
        <v>0</v>
      </c>
      <c r="S61" s="144"/>
      <c r="T61" s="411">
        <v>0</v>
      </c>
      <c r="U61" s="144"/>
      <c r="V61" s="411">
        <v>0</v>
      </c>
      <c r="W61" s="144"/>
      <c r="X61" s="411">
        <v>0.10902000000000001</v>
      </c>
      <c r="Y61" s="144"/>
      <c r="Z61" s="411">
        <v>9.3180000000000016E-3</v>
      </c>
      <c r="AA61" s="144"/>
      <c r="AB61" s="411">
        <v>0</v>
      </c>
      <c r="AC61" s="144"/>
      <c r="AD61" s="411">
        <v>0</v>
      </c>
      <c r="AE61" s="144"/>
      <c r="AF61" s="411">
        <v>0</v>
      </c>
      <c r="AG61" s="144"/>
      <c r="AH61" s="411">
        <v>0</v>
      </c>
      <c r="AI61" s="144"/>
      <c r="AJ61" s="411">
        <v>0</v>
      </c>
      <c r="AK61" s="144"/>
      <c r="AL61" s="411">
        <v>0</v>
      </c>
      <c r="AM61" s="144"/>
      <c r="AN61" s="411">
        <v>0</v>
      </c>
      <c r="AO61" s="144"/>
      <c r="AP61" s="411">
        <v>0</v>
      </c>
      <c r="AQ61" s="144"/>
      <c r="AR61" s="411">
        <v>0</v>
      </c>
      <c r="AS61" s="144"/>
      <c r="AT61" s="411">
        <v>2.1256000000000001E-2</v>
      </c>
      <c r="AU61" s="144"/>
      <c r="AV61" s="411">
        <v>0</v>
      </c>
      <c r="AW61" s="144"/>
      <c r="AX61" s="411">
        <v>0</v>
      </c>
      <c r="AY61" s="144"/>
      <c r="AZ61" s="411">
        <v>0</v>
      </c>
      <c r="BA61" s="144"/>
      <c r="BB61" s="411">
        <v>0</v>
      </c>
      <c r="BC61" s="144"/>
      <c r="BD61" s="411">
        <v>0</v>
      </c>
      <c r="BE61" s="144"/>
      <c r="BF61" s="411">
        <v>0</v>
      </c>
      <c r="BG61" s="144"/>
      <c r="BH61" s="411">
        <v>0</v>
      </c>
      <c r="BI61" s="144"/>
      <c r="BJ61" s="411">
        <v>0</v>
      </c>
      <c r="BK61" s="144"/>
    </row>
    <row r="62" spans="1:63" s="145" customFormat="1" x14ac:dyDescent="0.35">
      <c r="A62" s="146" t="s">
        <v>1664</v>
      </c>
      <c r="B62" s="411">
        <v>3.4426080000000003</v>
      </c>
      <c r="C62" s="144"/>
      <c r="D62" s="411">
        <v>0.62017199999999983</v>
      </c>
      <c r="E62" s="144"/>
      <c r="F62" s="411">
        <v>6.570479999999999</v>
      </c>
      <c r="G62" s="144"/>
      <c r="H62" s="411">
        <v>1.5684390000000012</v>
      </c>
      <c r="I62" s="144"/>
      <c r="J62" s="411">
        <v>1.5929560000000014</v>
      </c>
      <c r="K62" s="144"/>
      <c r="L62" s="411">
        <v>1.0929939999999996</v>
      </c>
      <c r="M62" s="144"/>
      <c r="N62" s="411">
        <v>1.1349779999999996</v>
      </c>
      <c r="O62" s="144"/>
      <c r="P62" s="411">
        <v>0.93829499999999966</v>
      </c>
      <c r="Q62" s="144"/>
      <c r="R62" s="411">
        <v>3.9692519999999973</v>
      </c>
      <c r="S62" s="144"/>
      <c r="T62" s="411">
        <v>6.9599360000000008</v>
      </c>
      <c r="U62" s="144"/>
      <c r="V62" s="411">
        <v>5.7458699999999956</v>
      </c>
      <c r="W62" s="144"/>
      <c r="X62" s="411">
        <v>2.7255000000000007</v>
      </c>
      <c r="Y62" s="144"/>
      <c r="Z62" s="411">
        <v>1.2113400000000003</v>
      </c>
      <c r="AA62" s="144"/>
      <c r="AB62" s="411">
        <v>4.6160099999999975</v>
      </c>
      <c r="AC62" s="144"/>
      <c r="AD62" s="411">
        <v>4.1186989999999977</v>
      </c>
      <c r="AE62" s="144"/>
      <c r="AF62" s="411">
        <v>2.6054160000000008</v>
      </c>
      <c r="AG62" s="144"/>
      <c r="AH62" s="411">
        <v>9.6150000000000013E-2</v>
      </c>
      <c r="AI62" s="144"/>
      <c r="AJ62" s="411">
        <v>74.083380800000029</v>
      </c>
      <c r="AK62" s="144"/>
      <c r="AL62" s="411">
        <v>3.01</v>
      </c>
      <c r="AM62" s="144"/>
      <c r="AN62" s="411">
        <v>3.698</v>
      </c>
      <c r="AO62" s="144"/>
      <c r="AP62" s="411">
        <v>11.007</v>
      </c>
      <c r="AQ62" s="144"/>
      <c r="AR62" s="411">
        <v>1.3406199999999995</v>
      </c>
      <c r="AS62" s="144"/>
      <c r="AT62" s="411">
        <v>5.2874299999999996</v>
      </c>
      <c r="AU62" s="144"/>
      <c r="AV62" s="411">
        <v>1.798</v>
      </c>
      <c r="AW62" s="144"/>
      <c r="AX62" s="411">
        <v>2.0327759999999997</v>
      </c>
      <c r="AY62" s="144"/>
      <c r="AZ62" s="411">
        <v>1.6950000000000001</v>
      </c>
      <c r="BA62" s="144"/>
      <c r="BB62" s="411">
        <v>1.633</v>
      </c>
      <c r="BC62" s="144"/>
      <c r="BD62" s="411">
        <v>2.1680000000000001</v>
      </c>
      <c r="BE62" s="144"/>
      <c r="BF62" s="411">
        <v>6.1849999999999996</v>
      </c>
      <c r="BG62" s="144"/>
      <c r="BH62" s="411">
        <v>3.8029999999999999</v>
      </c>
      <c r="BI62" s="144"/>
      <c r="BJ62" s="411">
        <v>2.4740000000000002</v>
      </c>
      <c r="BK62" s="144"/>
    </row>
    <row r="63" spans="1:63" s="145" customFormat="1" x14ac:dyDescent="0.35">
      <c r="A63" s="146" t="s">
        <v>2123</v>
      </c>
      <c r="B63" s="540">
        <v>22.425999999999998</v>
      </c>
      <c r="C63" s="144"/>
      <c r="D63" s="540">
        <v>11.238</v>
      </c>
      <c r="E63" s="144"/>
      <c r="F63" s="540">
        <v>12.497999999999999</v>
      </c>
      <c r="G63" s="144"/>
      <c r="H63" s="540">
        <v>26.132999999999999</v>
      </c>
      <c r="I63" s="144"/>
      <c r="J63" s="540">
        <v>25.95</v>
      </c>
      <c r="K63" s="144"/>
      <c r="L63" s="540">
        <v>7.01</v>
      </c>
      <c r="M63" s="144"/>
      <c r="N63" s="540">
        <v>7.1210000000000004</v>
      </c>
      <c r="O63" s="144"/>
      <c r="P63" s="540">
        <v>7.0469999999999997</v>
      </c>
      <c r="Q63" s="144"/>
      <c r="R63" s="540">
        <v>14.93</v>
      </c>
      <c r="S63" s="144"/>
      <c r="T63" s="540">
        <v>20.181000000000001</v>
      </c>
      <c r="U63" s="144"/>
      <c r="V63" s="540">
        <v>24.581</v>
      </c>
      <c r="W63" s="144"/>
      <c r="X63" s="540">
        <v>21.178000000000001</v>
      </c>
      <c r="Y63" s="144"/>
      <c r="Z63" s="540">
        <v>13.691000000000001</v>
      </c>
      <c r="AA63" s="144"/>
      <c r="AB63" s="540">
        <v>10.157</v>
      </c>
      <c r="AC63" s="144"/>
      <c r="AD63" s="540">
        <v>12.196</v>
      </c>
      <c r="AE63" s="144"/>
      <c r="AF63" s="540">
        <v>3.2010000000000001</v>
      </c>
      <c r="AG63" s="144"/>
      <c r="AH63" s="540">
        <v>0</v>
      </c>
      <c r="AI63" s="144"/>
      <c r="AJ63" s="540">
        <v>0</v>
      </c>
      <c r="AK63" s="144"/>
      <c r="AL63" s="540">
        <v>0</v>
      </c>
      <c r="AM63" s="144"/>
      <c r="AN63" s="540">
        <v>0</v>
      </c>
      <c r="AO63" s="144"/>
      <c r="AP63" s="540">
        <v>0</v>
      </c>
      <c r="AQ63" s="144"/>
      <c r="AR63" s="540">
        <v>0</v>
      </c>
      <c r="AS63" s="144"/>
      <c r="AT63" s="540">
        <v>0</v>
      </c>
      <c r="AU63" s="144"/>
      <c r="AV63" s="540">
        <v>0</v>
      </c>
      <c r="AW63" s="144"/>
      <c r="AX63" s="540">
        <v>0</v>
      </c>
      <c r="AY63" s="144"/>
      <c r="AZ63" s="540">
        <v>0</v>
      </c>
      <c r="BA63" s="144"/>
      <c r="BB63" s="540">
        <v>0</v>
      </c>
      <c r="BC63" s="144"/>
      <c r="BD63" s="540">
        <v>0</v>
      </c>
      <c r="BE63" s="144"/>
      <c r="BF63" s="540">
        <v>0</v>
      </c>
      <c r="BG63" s="144"/>
      <c r="BH63" s="540">
        <v>0</v>
      </c>
      <c r="BI63" s="144"/>
      <c r="BJ63" s="540">
        <v>0</v>
      </c>
      <c r="BK63" s="144"/>
    </row>
    <row r="64" spans="1:63" s="145" customFormat="1" x14ac:dyDescent="0.35">
      <c r="A64" s="146" t="s">
        <v>2122</v>
      </c>
      <c r="B64" s="540">
        <v>21.93</v>
      </c>
      <c r="C64" s="144"/>
      <c r="D64" s="540">
        <v>38.286999999999999</v>
      </c>
      <c r="E64" s="144"/>
      <c r="F64" s="540">
        <v>21.268000000000001</v>
      </c>
      <c r="G64" s="144"/>
      <c r="H64" s="540">
        <v>16.498000000000001</v>
      </c>
      <c r="I64" s="144"/>
      <c r="J64" s="540">
        <v>17.228000000000002</v>
      </c>
      <c r="K64" s="144"/>
      <c r="L64" s="540">
        <v>34.253</v>
      </c>
      <c r="M64" s="144"/>
      <c r="N64" s="540">
        <v>34.902000000000001</v>
      </c>
      <c r="O64" s="144"/>
      <c r="P64" s="540">
        <v>34.576999999999998</v>
      </c>
      <c r="Q64" s="144"/>
      <c r="R64" s="540">
        <v>15.603</v>
      </c>
      <c r="S64" s="144"/>
      <c r="T64" s="540">
        <v>19.896000000000001</v>
      </c>
      <c r="U64" s="144"/>
      <c r="V64" s="540">
        <v>4.657</v>
      </c>
      <c r="W64" s="144"/>
      <c r="X64" s="540">
        <v>8.8770000000000007</v>
      </c>
      <c r="Y64" s="144"/>
      <c r="Z64" s="540">
        <v>26.672999999999998</v>
      </c>
      <c r="AA64" s="144"/>
      <c r="AB64" s="540">
        <v>16.832000000000001</v>
      </c>
      <c r="AC64" s="144"/>
      <c r="AD64" s="540">
        <v>15.459</v>
      </c>
      <c r="AE64" s="144"/>
      <c r="AF64" s="540">
        <v>15.971</v>
      </c>
      <c r="AG64" s="144"/>
      <c r="AH64" s="540">
        <v>0</v>
      </c>
      <c r="AI64" s="144"/>
      <c r="AJ64" s="540">
        <v>0</v>
      </c>
      <c r="AK64" s="144"/>
      <c r="AL64" s="540">
        <v>0</v>
      </c>
      <c r="AM64" s="144"/>
      <c r="AN64" s="540">
        <v>0</v>
      </c>
      <c r="AO64" s="144"/>
      <c r="AP64" s="540">
        <v>0</v>
      </c>
      <c r="AQ64" s="144"/>
      <c r="AR64" s="540">
        <v>0</v>
      </c>
      <c r="AS64" s="144"/>
      <c r="AT64" s="540">
        <v>0</v>
      </c>
      <c r="AU64" s="144"/>
      <c r="AV64" s="540">
        <v>0</v>
      </c>
      <c r="AW64" s="144"/>
      <c r="AX64" s="540">
        <v>0</v>
      </c>
      <c r="AY64" s="144"/>
      <c r="AZ64" s="540">
        <v>0</v>
      </c>
      <c r="BA64" s="144"/>
      <c r="BB64" s="540">
        <v>0</v>
      </c>
      <c r="BC64" s="144"/>
      <c r="BD64" s="540">
        <v>0</v>
      </c>
      <c r="BE64" s="144"/>
      <c r="BF64" s="540">
        <v>0</v>
      </c>
      <c r="BG64" s="144"/>
      <c r="BH64" s="540">
        <v>0</v>
      </c>
      <c r="BI64" s="144"/>
      <c r="BJ64" s="540">
        <v>0</v>
      </c>
      <c r="BK64" s="144"/>
    </row>
    <row r="65" spans="1:63" s="145" customFormat="1" x14ac:dyDescent="0.35">
      <c r="A65" s="241" t="s">
        <v>1537</v>
      </c>
      <c r="B65" s="237">
        <v>78.008937925517444</v>
      </c>
      <c r="C65" s="156"/>
      <c r="D65" s="237">
        <v>63.078163471496246</v>
      </c>
      <c r="E65" s="156"/>
      <c r="F65" s="237">
        <v>108.37768464470679</v>
      </c>
      <c r="G65" s="156"/>
      <c r="H65" s="237">
        <v>73.033177745208803</v>
      </c>
      <c r="I65" s="156"/>
      <c r="J65" s="237">
        <v>73.340894488482704</v>
      </c>
      <c r="K65" s="156"/>
      <c r="L65" s="237">
        <v>58.691152143470362</v>
      </c>
      <c r="M65" s="156"/>
      <c r="N65" s="237">
        <v>63.306671165508106</v>
      </c>
      <c r="O65" s="156"/>
      <c r="P65" s="237">
        <v>58.529975134350593</v>
      </c>
      <c r="Q65" s="156"/>
      <c r="R65" s="237">
        <v>95.352376161614899</v>
      </c>
      <c r="S65" s="156"/>
      <c r="T65" s="237">
        <v>107.37371313283458</v>
      </c>
      <c r="U65" s="156"/>
      <c r="V65" s="237">
        <v>84.48567359517628</v>
      </c>
      <c r="W65" s="156"/>
      <c r="X65" s="237">
        <v>55.415326618552356</v>
      </c>
      <c r="Y65" s="156"/>
      <c r="Z65" s="237">
        <v>55.643365069813676</v>
      </c>
      <c r="AA65" s="156"/>
      <c r="AB65" s="237">
        <v>64.047775336041425</v>
      </c>
      <c r="AC65" s="156"/>
      <c r="AD65" s="237">
        <v>61.235002491288874</v>
      </c>
      <c r="AE65" s="156"/>
      <c r="AF65" s="237">
        <v>43.794571291218446</v>
      </c>
      <c r="AG65" s="156"/>
      <c r="AH65" s="237">
        <v>0.82454835375243851</v>
      </c>
      <c r="AI65" s="156"/>
      <c r="AJ65" s="237">
        <v>511.49284804975179</v>
      </c>
      <c r="AK65" s="156"/>
      <c r="AL65" s="237">
        <v>6.2383801190039465</v>
      </c>
      <c r="AM65" s="156"/>
      <c r="AN65" s="237">
        <v>7.6642955747762791</v>
      </c>
      <c r="AO65" s="156"/>
      <c r="AP65" s="237">
        <v>22.81257474082274</v>
      </c>
      <c r="AQ65" s="156"/>
      <c r="AR65" s="237">
        <v>10.150047987329692</v>
      </c>
      <c r="AS65" s="156"/>
      <c r="AT65" s="237">
        <v>10.9897350123903</v>
      </c>
      <c r="AU65" s="156"/>
      <c r="AV65" s="237">
        <v>3.7264476591259461</v>
      </c>
      <c r="AW65" s="156"/>
      <c r="AX65" s="237">
        <v>8.887266637471896</v>
      </c>
      <c r="AY65" s="156"/>
      <c r="AZ65" s="237">
        <v>3.5129748510670069</v>
      </c>
      <c r="BA65" s="156"/>
      <c r="BB65" s="237">
        <v>3.3844766559247335</v>
      </c>
      <c r="BC65" s="156"/>
      <c r="BD65" s="237">
        <v>4.4932917269104848</v>
      </c>
      <c r="BE65" s="156"/>
      <c r="BF65" s="237">
        <v>12.818731241209109</v>
      </c>
      <c r="BG65" s="156"/>
      <c r="BH65" s="237">
        <v>7.8819134859043229</v>
      </c>
      <c r="BI65" s="156"/>
      <c r="BJ65" s="237">
        <v>5.1274924964836437</v>
      </c>
      <c r="BK65" s="156"/>
    </row>
    <row r="66" spans="1:63" s="145" customFormat="1" x14ac:dyDescent="0.35">
      <c r="A66" s="146" t="s">
        <v>1536</v>
      </c>
      <c r="B66" s="232">
        <v>76.509509707346112</v>
      </c>
      <c r="C66" s="144"/>
      <c r="D66" s="232">
        <v>62.750586913244057</v>
      </c>
      <c r="E66" s="144"/>
      <c r="F66" s="232">
        <v>105.61946202454754</v>
      </c>
      <c r="G66" s="144"/>
      <c r="H66" s="232">
        <v>72.26475786392308</v>
      </c>
      <c r="I66" s="144"/>
      <c r="J66" s="232">
        <v>72.563015600445084</v>
      </c>
      <c r="K66" s="144"/>
      <c r="L66" s="232">
        <v>58.19346361206383</v>
      </c>
      <c r="M66" s="144"/>
      <c r="N66" s="232">
        <v>62.789569036669718</v>
      </c>
      <c r="O66" s="144"/>
      <c r="P66" s="232">
        <v>58.093867384255113</v>
      </c>
      <c r="Q66" s="144"/>
      <c r="R66" s="232">
        <v>93.60367208689631</v>
      </c>
      <c r="S66" s="144"/>
      <c r="T66" s="232">
        <v>104.42527995054135</v>
      </c>
      <c r="U66" s="144"/>
      <c r="V66" s="232">
        <v>82.030565167478514</v>
      </c>
      <c r="W66" s="144"/>
      <c r="X66" s="232">
        <v>54.210469859809933</v>
      </c>
      <c r="Y66" s="144"/>
      <c r="Z66" s="232">
        <v>55.076447113413479</v>
      </c>
      <c r="AA66" s="144"/>
      <c r="AB66" s="232">
        <v>62.125010630131094</v>
      </c>
      <c r="AC66" s="144"/>
      <c r="AD66" s="232">
        <v>59.499586539917814</v>
      </c>
      <c r="AE66" s="144"/>
      <c r="AF66" s="232">
        <v>42.721340496521222</v>
      </c>
      <c r="AG66" s="144"/>
      <c r="AH66" s="232">
        <v>0.78352107886805344</v>
      </c>
      <c r="AI66" s="144"/>
      <c r="AJ66" s="232">
        <v>481.63757218506521</v>
      </c>
      <c r="AK66" s="144"/>
      <c r="AL66" s="232">
        <v>5.0418474350479432</v>
      </c>
      <c r="AM66" s="144"/>
      <c r="AN66" s="232">
        <v>6.1942697059160441</v>
      </c>
      <c r="AO66" s="144"/>
      <c r="AP66" s="232">
        <v>18.437081301519175</v>
      </c>
      <c r="AQ66" s="144"/>
      <c r="AR66" s="232">
        <v>9.597085527304289</v>
      </c>
      <c r="AS66" s="144"/>
      <c r="AT66" s="232">
        <v>8.8877729499580411</v>
      </c>
      <c r="AU66" s="144"/>
      <c r="AV66" s="232">
        <v>3.0117082020651833</v>
      </c>
      <c r="AW66" s="144"/>
      <c r="AX66" s="232">
        <v>8.076204372018152</v>
      </c>
      <c r="AY66" s="144"/>
      <c r="AZ66" s="232">
        <v>2.8391798679090581</v>
      </c>
      <c r="BA66" s="144"/>
      <c r="BB66" s="232">
        <v>2.7353278609412928</v>
      </c>
      <c r="BC66" s="144"/>
      <c r="BD66" s="232">
        <v>3.6314701791308779</v>
      </c>
      <c r="BE66" s="144"/>
      <c r="BF66" s="232">
        <v>10.360075211219776</v>
      </c>
      <c r="BG66" s="144"/>
      <c r="BH66" s="232">
        <v>6.3701481048130653</v>
      </c>
      <c r="BI66" s="144"/>
      <c r="BJ66" s="232">
        <v>4.1440300844879117</v>
      </c>
      <c r="BK66" s="144"/>
    </row>
    <row r="67" spans="1:63" s="145" customFormat="1" x14ac:dyDescent="0.35">
      <c r="A67" s="146" t="s">
        <v>1535</v>
      </c>
      <c r="B67" s="232">
        <v>4.9518377050672004</v>
      </c>
      <c r="C67" s="144"/>
      <c r="D67" s="232">
        <v>0.78683263290874161</v>
      </c>
      <c r="E67" s="144"/>
      <c r="F67" s="232">
        <v>6.6523594288877543</v>
      </c>
      <c r="G67" s="144"/>
      <c r="H67" s="232">
        <v>1.8455926899857746</v>
      </c>
      <c r="I67" s="144"/>
      <c r="J67" s="232">
        <v>1.8684811635585539</v>
      </c>
      <c r="K67" s="144"/>
      <c r="L67" s="232">
        <v>1.1990514204122675</v>
      </c>
      <c r="M67" s="144"/>
      <c r="N67" s="232">
        <v>1.2459318182203951</v>
      </c>
      <c r="O67" s="144"/>
      <c r="P67" s="232">
        <v>1.0503657093133192</v>
      </c>
      <c r="Q67" s="144"/>
      <c r="R67" s="232">
        <v>4.2121215024926411</v>
      </c>
      <c r="S67" s="144"/>
      <c r="T67" s="232">
        <v>7.1081890525352032</v>
      </c>
      <c r="U67" s="144"/>
      <c r="V67" s="232">
        <v>6.2998238968401115</v>
      </c>
      <c r="W67" s="144"/>
      <c r="X67" s="232">
        <v>3.6097784072744115</v>
      </c>
      <c r="Y67" s="144"/>
      <c r="Z67" s="232">
        <v>1.3638186284402747</v>
      </c>
      <c r="AA67" s="144"/>
      <c r="AB67" s="232">
        <v>5.4258405677923607</v>
      </c>
      <c r="AC67" s="144"/>
      <c r="AD67" s="232">
        <v>5.2818812988186963</v>
      </c>
      <c r="AE67" s="144"/>
      <c r="AF67" s="232">
        <v>3.030870988224958</v>
      </c>
      <c r="AG67" s="144"/>
      <c r="AH67" s="232">
        <v>9.8870270207399802E-2</v>
      </c>
      <c r="AI67" s="144"/>
      <c r="AJ67" s="232">
        <v>89.502683774187972</v>
      </c>
      <c r="AK67" s="144"/>
      <c r="AL67" s="232">
        <v>2.8892662086107355</v>
      </c>
      <c r="AM67" s="144"/>
      <c r="AN67" s="232">
        <v>3.549669913436047</v>
      </c>
      <c r="AO67" s="144"/>
      <c r="AP67" s="232">
        <v>10.565499388099125</v>
      </c>
      <c r="AQ67" s="144"/>
      <c r="AR67" s="232">
        <v>1.3339710623336247</v>
      </c>
      <c r="AS67" s="144"/>
      <c r="AT67" s="232">
        <v>5.0756012243516508</v>
      </c>
      <c r="AU67" s="144"/>
      <c r="AV67" s="232">
        <v>1.7258806123196355</v>
      </c>
      <c r="AW67" s="144"/>
      <c r="AX67" s="232">
        <v>1.9584652901260808</v>
      </c>
      <c r="AY67" s="144"/>
      <c r="AZ67" s="232">
        <v>1.6270120344170089</v>
      </c>
      <c r="BA67" s="144"/>
      <c r="BB67" s="232">
        <v>1.5674989098542631</v>
      </c>
      <c r="BC67" s="144"/>
      <c r="BD67" s="232">
        <v>2.0810395814844105</v>
      </c>
      <c r="BE67" s="144"/>
      <c r="BF67" s="232">
        <v>5.9369141196868442</v>
      </c>
      <c r="BG67" s="144"/>
      <c r="BH67" s="232">
        <v>3.6504582695503749</v>
      </c>
      <c r="BI67" s="144"/>
      <c r="BJ67" s="232">
        <v>2.3747656478747374</v>
      </c>
      <c r="BK67" s="144"/>
    </row>
    <row r="68" spans="1:63" s="145" customFormat="1" x14ac:dyDescent="0.35">
      <c r="A68" s="146" t="s">
        <v>1534</v>
      </c>
      <c r="B68" s="232">
        <v>47.106223870982717</v>
      </c>
      <c r="C68" s="144"/>
      <c r="D68" s="232">
        <v>49.973101412898522</v>
      </c>
      <c r="E68" s="144"/>
      <c r="F68" s="232">
        <v>76.003740038391996</v>
      </c>
      <c r="G68" s="144"/>
      <c r="H68" s="232">
        <v>41.898261313102196</v>
      </c>
      <c r="I68" s="144"/>
      <c r="J68" s="232">
        <v>42.310176066661214</v>
      </c>
      <c r="K68" s="144"/>
      <c r="L68" s="232">
        <v>49.152428467257025</v>
      </c>
      <c r="M68" s="144"/>
      <c r="N68" s="232">
        <v>53.70692368093124</v>
      </c>
      <c r="O68" s="144"/>
      <c r="P68" s="232">
        <v>49.244808930725981</v>
      </c>
      <c r="Q68" s="144"/>
      <c r="R68" s="232">
        <v>59.175336495651862</v>
      </c>
      <c r="S68" s="144"/>
      <c r="T68" s="232">
        <v>64.369015791734341</v>
      </c>
      <c r="U68" s="144"/>
      <c r="V68" s="232">
        <v>41.572414272135859</v>
      </c>
      <c r="W68" s="144"/>
      <c r="X68" s="232">
        <v>25.610934690522736</v>
      </c>
      <c r="Y68" s="144"/>
      <c r="Z68" s="232">
        <v>38.970191273349045</v>
      </c>
      <c r="AA68" s="144"/>
      <c r="AB68" s="232">
        <v>42.199617457610906</v>
      </c>
      <c r="AC68" s="144"/>
      <c r="AD68" s="232">
        <v>36.793930405736091</v>
      </c>
      <c r="AE68" s="144"/>
      <c r="AF68" s="232">
        <v>35.898304167901905</v>
      </c>
      <c r="AG68" s="144"/>
      <c r="AH68" s="232">
        <v>0.11199341528878581</v>
      </c>
      <c r="AI68" s="144"/>
      <c r="AJ68" s="232">
        <v>347.04231534960724</v>
      </c>
      <c r="AK68" s="144"/>
      <c r="AL68" s="232">
        <v>2.0544006037982601</v>
      </c>
      <c r="AM68" s="144"/>
      <c r="AN68" s="232">
        <v>2.5239778846664329</v>
      </c>
      <c r="AO68" s="144"/>
      <c r="AP68" s="232">
        <v>7.5125539687732399</v>
      </c>
      <c r="AQ68" s="144"/>
      <c r="AR68" s="232">
        <v>4.5799463393657698</v>
      </c>
      <c r="AS68" s="144"/>
      <c r="AT68" s="232">
        <v>3.627173111336659</v>
      </c>
      <c r="AU68" s="144"/>
      <c r="AV68" s="232">
        <v>1.2271801613386282</v>
      </c>
      <c r="AW68" s="144"/>
      <c r="AX68" s="232">
        <v>6.0342194209302464</v>
      </c>
      <c r="AY68" s="144"/>
      <c r="AZ68" s="232">
        <v>1.156880074231911</v>
      </c>
      <c r="BA68" s="144"/>
      <c r="BB68" s="232">
        <v>1.1145635169443713</v>
      </c>
      <c r="BC68" s="144"/>
      <c r="BD68" s="232">
        <v>1.4797144548287802</v>
      </c>
      <c r="BE68" s="144"/>
      <c r="BF68" s="232">
        <v>4.2214178519907755</v>
      </c>
      <c r="BG68" s="144"/>
      <c r="BH68" s="232">
        <v>2.5956430220082325</v>
      </c>
      <c r="BI68" s="144"/>
      <c r="BJ68" s="232">
        <v>1.6885671407963116</v>
      </c>
      <c r="BK68" s="144"/>
    </row>
    <row r="69" spans="1:63" s="145" customFormat="1" x14ac:dyDescent="0.35">
      <c r="A69" s="143" t="s">
        <v>1533</v>
      </c>
      <c r="B69" s="231">
        <v>24.451448131296193</v>
      </c>
      <c r="C69" s="141"/>
      <c r="D69" s="231">
        <v>11.990652867436793</v>
      </c>
      <c r="E69" s="141"/>
      <c r="F69" s="231">
        <v>22.963362557267796</v>
      </c>
      <c r="G69" s="141"/>
      <c r="H69" s="231">
        <v>28.520903860835105</v>
      </c>
      <c r="I69" s="141"/>
      <c r="J69" s="231">
        <v>28.384358370225311</v>
      </c>
      <c r="K69" s="141"/>
      <c r="L69" s="231">
        <v>7.8419837243945381</v>
      </c>
      <c r="M69" s="141"/>
      <c r="N69" s="231">
        <v>7.8367135375180812</v>
      </c>
      <c r="O69" s="141"/>
      <c r="P69" s="231">
        <v>7.7986927442158098</v>
      </c>
      <c r="Q69" s="141"/>
      <c r="R69" s="231">
        <v>30.216214088751812</v>
      </c>
      <c r="S69" s="141"/>
      <c r="T69" s="231">
        <v>32.948075106271808</v>
      </c>
      <c r="U69" s="141"/>
      <c r="V69" s="231">
        <v>34.158326998502545</v>
      </c>
      <c r="W69" s="141"/>
      <c r="X69" s="231">
        <v>24.989756762012785</v>
      </c>
      <c r="Y69" s="141"/>
      <c r="Z69" s="231">
        <v>14.742437211624161</v>
      </c>
      <c r="AA69" s="141"/>
      <c r="AB69" s="231">
        <v>14.499552604727825</v>
      </c>
      <c r="AC69" s="141"/>
      <c r="AD69" s="231">
        <v>17.423774835363027</v>
      </c>
      <c r="AE69" s="141"/>
      <c r="AF69" s="231">
        <v>3.7921653403943547</v>
      </c>
      <c r="AG69" s="141"/>
      <c r="AH69" s="231">
        <v>0.57265739337186783</v>
      </c>
      <c r="AI69" s="141"/>
      <c r="AJ69" s="231">
        <v>45.092573061270024</v>
      </c>
      <c r="AK69" s="141"/>
      <c r="AL69" s="231">
        <v>9.818062263894764E-2</v>
      </c>
      <c r="AM69" s="141"/>
      <c r="AN69" s="231">
        <v>0.12062190781356424</v>
      </c>
      <c r="AO69" s="141"/>
      <c r="AP69" s="231">
        <v>0.35902794464680954</v>
      </c>
      <c r="AQ69" s="141"/>
      <c r="AR69" s="231">
        <v>3.6831681256048947</v>
      </c>
      <c r="AS69" s="141"/>
      <c r="AT69" s="231">
        <v>0.18499861426973147</v>
      </c>
      <c r="AU69" s="141"/>
      <c r="AV69" s="231">
        <v>5.8647428406919555E-2</v>
      </c>
      <c r="AW69" s="141"/>
      <c r="AX69" s="231">
        <v>8.3519660961824976E-2</v>
      </c>
      <c r="AY69" s="141"/>
      <c r="AZ69" s="231">
        <v>5.5287759260138292E-2</v>
      </c>
      <c r="BA69" s="141"/>
      <c r="BB69" s="231">
        <v>5.3265434142658302E-2</v>
      </c>
      <c r="BC69" s="141"/>
      <c r="BD69" s="231">
        <v>7.0716142817687219E-2</v>
      </c>
      <c r="BE69" s="141"/>
      <c r="BF69" s="231">
        <v>0.20174323954215651</v>
      </c>
      <c r="BG69" s="141"/>
      <c r="BH69" s="231">
        <v>0.12404681325445777</v>
      </c>
      <c r="BI69" s="141"/>
      <c r="BJ69" s="231">
        <v>8.0697295816862621E-2</v>
      </c>
      <c r="BK69" s="141"/>
    </row>
    <row r="70" spans="1:63" s="145" customFormat="1" x14ac:dyDescent="0.35">
      <c r="A70" s="146" t="s">
        <v>1532</v>
      </c>
      <c r="B70" s="49">
        <v>1257.2191971471905</v>
      </c>
      <c r="C70" s="47"/>
      <c r="D70" s="49">
        <v>480.24826641421384</v>
      </c>
      <c r="E70" s="47"/>
      <c r="F70" s="49">
        <v>1940.6845297696957</v>
      </c>
      <c r="G70" s="47"/>
      <c r="H70" s="49">
        <v>942.12048920780398</v>
      </c>
      <c r="I70" s="47"/>
      <c r="J70" s="49">
        <v>945.77477857937401</v>
      </c>
      <c r="K70" s="47"/>
      <c r="L70" s="49">
        <v>497.11107342106243</v>
      </c>
      <c r="M70" s="47"/>
      <c r="N70" s="49">
        <v>518.07713338623694</v>
      </c>
      <c r="O70" s="47"/>
      <c r="P70" s="49">
        <v>466.04268848188019</v>
      </c>
      <c r="Q70" s="47"/>
      <c r="R70" s="49">
        <v>1519.9314904266298</v>
      </c>
      <c r="S70" s="47"/>
      <c r="T70" s="49">
        <v>2166.8783307909403</v>
      </c>
      <c r="U70" s="47"/>
      <c r="V70" s="49">
        <v>1879.3964750058469</v>
      </c>
      <c r="W70" s="47"/>
      <c r="X70" s="49">
        <v>1066.3789447692261</v>
      </c>
      <c r="Y70" s="47"/>
      <c r="Z70" s="49">
        <v>614.88896627105635</v>
      </c>
      <c r="AA70" s="47"/>
      <c r="AB70" s="49">
        <v>1299.9964902854942</v>
      </c>
      <c r="AC70" s="47"/>
      <c r="AD70" s="49">
        <v>1243.5050658412692</v>
      </c>
      <c r="AE70" s="47"/>
      <c r="AF70" s="49">
        <v>685.94984217350657</v>
      </c>
      <c r="AG70" s="47"/>
      <c r="AH70" s="49">
        <v>30.616969891200746</v>
      </c>
      <c r="AI70" s="47"/>
      <c r="AJ70" s="49">
        <v>16527.116015635584</v>
      </c>
      <c r="AK70" s="47"/>
      <c r="AL70" s="49">
        <v>600.12982206011611</v>
      </c>
      <c r="AM70" s="47"/>
      <c r="AN70" s="49">
        <v>737.30235281671423</v>
      </c>
      <c r="AO70" s="47"/>
      <c r="AP70" s="49">
        <v>2194.5611134271426</v>
      </c>
      <c r="AQ70" s="47"/>
      <c r="AR70" s="49">
        <v>350.05315641761661</v>
      </c>
      <c r="AS70" s="47"/>
      <c r="AT70" s="49">
        <v>1054.5447350905345</v>
      </c>
      <c r="AU70" s="47"/>
      <c r="AV70" s="49">
        <v>358.48286380866745</v>
      </c>
      <c r="AW70" s="47"/>
      <c r="AX70" s="49">
        <v>418.89554284677064</v>
      </c>
      <c r="AY70" s="47"/>
      <c r="AZ70" s="49">
        <v>337.94685993086279</v>
      </c>
      <c r="BA70" s="47"/>
      <c r="BB70" s="49">
        <v>325.58538186849495</v>
      </c>
      <c r="BC70" s="47"/>
      <c r="BD70" s="49">
        <v>432.25297482602394</v>
      </c>
      <c r="BE70" s="47"/>
      <c r="BF70" s="49">
        <v>1233.1571260604048</v>
      </c>
      <c r="BG70" s="47"/>
      <c r="BH70" s="49">
        <v>758.23711405136942</v>
      </c>
      <c r="BI70" s="47"/>
      <c r="BJ70" s="49">
        <v>493.26285042416197</v>
      </c>
      <c r="BK70" s="47"/>
    </row>
    <row r="71" spans="1:63" s="145" customFormat="1" ht="13.15" x14ac:dyDescent="0.4">
      <c r="A71" s="158" t="s">
        <v>1663</v>
      </c>
      <c r="B71" s="387"/>
      <c r="C71" s="381"/>
      <c r="D71" s="387"/>
      <c r="E71" s="381"/>
      <c r="F71" s="387"/>
      <c r="G71" s="381"/>
      <c r="H71" s="387"/>
      <c r="I71" s="381"/>
      <c r="J71" s="387"/>
      <c r="K71" s="381"/>
      <c r="L71" s="387"/>
      <c r="M71" s="381"/>
      <c r="N71" s="387"/>
      <c r="O71" s="381"/>
      <c r="P71" s="387"/>
      <c r="Q71" s="381"/>
      <c r="R71" s="387"/>
      <c r="S71" s="381"/>
      <c r="T71" s="387"/>
      <c r="U71" s="381"/>
      <c r="V71" s="387"/>
      <c r="W71" s="381"/>
      <c r="X71" s="387"/>
      <c r="Y71" s="381"/>
      <c r="Z71" s="387"/>
      <c r="AA71" s="381"/>
      <c r="AB71" s="387"/>
      <c r="AC71" s="381"/>
      <c r="AD71" s="387"/>
      <c r="AE71" s="381"/>
      <c r="AF71" s="387"/>
      <c r="AG71" s="381"/>
      <c r="AH71" s="387"/>
      <c r="AI71" s="381"/>
      <c r="AJ71" s="387"/>
      <c r="AK71" s="381"/>
      <c r="AL71" s="387"/>
      <c r="AM71" s="381"/>
      <c r="AN71" s="387"/>
      <c r="AO71" s="381"/>
      <c r="AP71" s="387"/>
      <c r="AQ71" s="381"/>
      <c r="AR71" s="387"/>
      <c r="AS71" s="381"/>
      <c r="AT71" s="387"/>
      <c r="AU71" s="381"/>
      <c r="AV71" s="387"/>
      <c r="AW71" s="381"/>
      <c r="AX71" s="387"/>
      <c r="AY71" s="381"/>
      <c r="AZ71" s="387"/>
      <c r="BA71" s="381"/>
      <c r="BB71" s="387"/>
      <c r="BC71" s="381"/>
      <c r="BD71" s="387"/>
      <c r="BE71" s="381"/>
      <c r="BF71" s="387"/>
      <c r="BG71" s="381"/>
      <c r="BH71" s="387"/>
      <c r="BI71" s="381"/>
      <c r="BJ71" s="387"/>
      <c r="BK71" s="381"/>
    </row>
    <row r="72" spans="1:63" s="145" customFormat="1" x14ac:dyDescent="0.35">
      <c r="A72" s="146" t="s">
        <v>1525</v>
      </c>
      <c r="B72" s="232">
        <v>630.82274398673678</v>
      </c>
      <c r="C72" s="321">
        <v>453.59199999999998</v>
      </c>
      <c r="D72" s="232">
        <v>547.76155268193145</v>
      </c>
      <c r="E72" s="321">
        <v>627.38099999999997</v>
      </c>
      <c r="F72" s="232">
        <v>979.80075609020548</v>
      </c>
      <c r="G72" s="321">
        <v>7.6779999999999999</v>
      </c>
      <c r="H72" s="232">
        <v>573.77669312249543</v>
      </c>
      <c r="I72" s="321">
        <v>344.73</v>
      </c>
      <c r="J72" s="232">
        <v>576.37548865813881</v>
      </c>
      <c r="K72" s="321">
        <v>362.87400000000002</v>
      </c>
      <c r="L72" s="232">
        <v>538.20398558910097</v>
      </c>
      <c r="M72" s="321">
        <v>662.245</v>
      </c>
      <c r="N72" s="232">
        <v>594.12139221567384</v>
      </c>
      <c r="O72" s="321">
        <v>680.38900000000001</v>
      </c>
      <c r="P72" s="232">
        <v>543.25234788523608</v>
      </c>
      <c r="Q72" s="321">
        <v>671.31700000000001</v>
      </c>
      <c r="R72" s="232">
        <v>813.20185680284703</v>
      </c>
      <c r="S72" s="321">
        <v>18.434999999999999</v>
      </c>
      <c r="T72" s="232">
        <v>887.46099974389813</v>
      </c>
      <c r="U72" s="321">
        <v>19.611999999999998</v>
      </c>
      <c r="V72" s="232">
        <v>650.94933208384828</v>
      </c>
      <c r="W72" s="144"/>
      <c r="X72" s="232">
        <v>405.73782657667164</v>
      </c>
      <c r="Y72" s="321">
        <v>163.29300000000001</v>
      </c>
      <c r="Z72" s="232">
        <v>465.69785307514883</v>
      </c>
      <c r="AA72" s="321">
        <v>535.23900000000003</v>
      </c>
      <c r="AB72" s="232">
        <v>565.04011826752333</v>
      </c>
      <c r="AC72" s="321">
        <v>331.15</v>
      </c>
      <c r="AD72" s="232">
        <v>725.2409609692794</v>
      </c>
      <c r="AE72" s="321">
        <v>294.86599999999999</v>
      </c>
      <c r="AF72" s="232">
        <v>427.15345568366052</v>
      </c>
      <c r="AG72" s="321">
        <v>308.44299999999998</v>
      </c>
      <c r="AH72" s="232">
        <v>5.0724676380287033</v>
      </c>
      <c r="AI72" s="144"/>
      <c r="AJ72" s="232">
        <v>4957.3652469177878</v>
      </c>
      <c r="AK72" s="144"/>
      <c r="AL72" s="232">
        <v>45.315963452231536</v>
      </c>
      <c r="AM72" s="144"/>
      <c r="AN72" s="232">
        <v>55.673897955598747</v>
      </c>
      <c r="AO72" s="144"/>
      <c r="AP72" s="232">
        <v>165.7118969165158</v>
      </c>
      <c r="AQ72" s="144"/>
      <c r="AR72" s="232">
        <v>82.824715133606261</v>
      </c>
      <c r="AS72" s="144"/>
      <c r="AT72" s="232">
        <v>80.048210930063789</v>
      </c>
      <c r="AU72" s="144"/>
      <c r="AV72" s="232">
        <v>27.069136972462562</v>
      </c>
      <c r="AW72" s="144"/>
      <c r="AX72" s="232">
        <v>85.152787207324451</v>
      </c>
      <c r="AY72" s="144"/>
      <c r="AZ72" s="232">
        <v>25.51845782442939</v>
      </c>
      <c r="BA72" s="144"/>
      <c r="BB72" s="232">
        <v>24.585039308137578</v>
      </c>
      <c r="BC72" s="144"/>
      <c r="BD72" s="232">
        <v>32.639537795494348</v>
      </c>
      <c r="BE72" s="144"/>
      <c r="BF72" s="232">
        <v>93.116024568788063</v>
      </c>
      <c r="BG72" s="144"/>
      <c r="BH72" s="232">
        <v>57.254687378351015</v>
      </c>
      <c r="BI72" s="144"/>
      <c r="BJ72" s="232">
        <v>37.24640982751523</v>
      </c>
      <c r="BK72" s="144"/>
    </row>
    <row r="73" spans="1:63" s="145" customFormat="1" x14ac:dyDescent="0.35">
      <c r="A73" s="146" t="s">
        <v>1524</v>
      </c>
      <c r="B73" s="232">
        <v>2197.9232510431348</v>
      </c>
      <c r="C73" s="321">
        <v>8327.9560000000001</v>
      </c>
      <c r="D73" s="232">
        <v>1776.7456762546099</v>
      </c>
      <c r="E73" s="321">
        <v>3452.942</v>
      </c>
      <c r="F73" s="232">
        <v>3827.5498825633858</v>
      </c>
      <c r="G73" s="321">
        <v>356.61599999999999</v>
      </c>
      <c r="H73" s="232">
        <v>2072.9262300263863</v>
      </c>
      <c r="I73" s="321">
        <v>9062.7759999999998</v>
      </c>
      <c r="J73" s="232">
        <v>2076.5929242288453</v>
      </c>
      <c r="K73" s="321">
        <v>9017.4159999999993</v>
      </c>
      <c r="L73" s="232">
        <v>1804.8467179694201</v>
      </c>
      <c r="M73" s="321">
        <v>2685.2669999999998</v>
      </c>
      <c r="N73" s="232">
        <v>2029.8504001250362</v>
      </c>
      <c r="O73" s="321">
        <v>2685.2669999999998</v>
      </c>
      <c r="P73" s="232">
        <v>1818.9096077630436</v>
      </c>
      <c r="Q73" s="321">
        <v>2648.9789999999998</v>
      </c>
      <c r="R73" s="232">
        <v>3319.8059384215444</v>
      </c>
      <c r="S73" s="321">
        <v>5050.0559999999996</v>
      </c>
      <c r="T73" s="232">
        <v>3425.5789812033076</v>
      </c>
      <c r="U73" s="321">
        <v>1565.2940000000001</v>
      </c>
      <c r="V73" s="232">
        <v>2532.6286366591548</v>
      </c>
      <c r="W73" s="144"/>
      <c r="X73" s="232">
        <v>1674.7804253539894</v>
      </c>
      <c r="Y73" s="321">
        <v>12065.557000000001</v>
      </c>
      <c r="Z73" s="232">
        <v>1527.7179375397905</v>
      </c>
      <c r="AA73" s="321">
        <v>5252.6</v>
      </c>
      <c r="AB73" s="232">
        <v>2357.8130761926341</v>
      </c>
      <c r="AC73" s="321">
        <v>4041.6770000000001</v>
      </c>
      <c r="AD73" s="232">
        <v>2719.4910231786744</v>
      </c>
      <c r="AE73" s="321">
        <v>4566.5159999999996</v>
      </c>
      <c r="AF73" s="232">
        <v>1628.7474938448845</v>
      </c>
      <c r="AG73" s="321">
        <v>1188.412</v>
      </c>
      <c r="AH73" s="232">
        <v>30.085729211884779</v>
      </c>
      <c r="AI73" s="144"/>
      <c r="AJ73" s="232">
        <v>19968.675723926419</v>
      </c>
      <c r="AK73" s="144"/>
      <c r="AL73" s="232">
        <v>126.54174221451572</v>
      </c>
      <c r="AM73" s="144"/>
      <c r="AN73" s="232">
        <v>155.46556900640505</v>
      </c>
      <c r="AO73" s="144"/>
      <c r="AP73" s="232">
        <v>462.73918822431051</v>
      </c>
      <c r="AQ73" s="144"/>
      <c r="AR73" s="232">
        <v>388.9057959279466</v>
      </c>
      <c r="AS73" s="144"/>
      <c r="AT73" s="232">
        <v>226.54361533680043</v>
      </c>
      <c r="AU73" s="144"/>
      <c r="AV73" s="232">
        <v>75.588721761361896</v>
      </c>
      <c r="AW73" s="144"/>
      <c r="AX73" s="232">
        <v>315.32592151050471</v>
      </c>
      <c r="AY73" s="144"/>
      <c r="AZ73" s="232">
        <v>71.25855583176218</v>
      </c>
      <c r="BA73" s="144"/>
      <c r="BB73" s="232">
        <v>68.652048184818668</v>
      </c>
      <c r="BC73" s="144"/>
      <c r="BD73" s="232">
        <v>91.143686751186095</v>
      </c>
      <c r="BE73" s="144"/>
      <c r="BF73" s="232">
        <v>260.02015800557467</v>
      </c>
      <c r="BG73" s="144"/>
      <c r="BH73" s="232">
        <v>159.87981582784164</v>
      </c>
      <c r="BI73" s="144"/>
      <c r="BJ73" s="232">
        <v>104.00806320222989</v>
      </c>
      <c r="BK73" s="144"/>
    </row>
    <row r="74" spans="1:63" s="145" customFormat="1" x14ac:dyDescent="0.35">
      <c r="A74" s="146" t="s">
        <v>1523</v>
      </c>
      <c r="B74" s="232">
        <v>3612.4610932904375</v>
      </c>
      <c r="C74" s="321">
        <v>816.46600000000001</v>
      </c>
      <c r="D74" s="232">
        <v>2471.5680561980748</v>
      </c>
      <c r="E74" s="321">
        <v>85.652000000000001</v>
      </c>
      <c r="F74" s="232">
        <v>6554.8152966444341</v>
      </c>
      <c r="G74" s="321">
        <v>794.39499999999998</v>
      </c>
      <c r="H74" s="232">
        <v>3383.1734062056962</v>
      </c>
      <c r="I74" s="321">
        <v>390.089</v>
      </c>
      <c r="J74" s="232">
        <v>3387.1287289579418</v>
      </c>
      <c r="K74" s="321">
        <v>381.01799999999997</v>
      </c>
      <c r="L74" s="232">
        <v>2517.1303482670569</v>
      </c>
      <c r="M74" s="321">
        <v>88.903999999999996</v>
      </c>
      <c r="N74" s="232">
        <v>2820.0934284888394</v>
      </c>
      <c r="O74" s="321">
        <v>65.316999999999993</v>
      </c>
      <c r="P74" s="232">
        <v>2510.9482924215608</v>
      </c>
      <c r="Q74" s="321">
        <v>90.718000000000004</v>
      </c>
      <c r="R74" s="232">
        <v>6264.0453229850309</v>
      </c>
      <c r="S74" s="321">
        <v>7470.0879999999997</v>
      </c>
      <c r="T74" s="232">
        <v>6284.4011257888387</v>
      </c>
      <c r="U74" s="321">
        <v>1620.85</v>
      </c>
      <c r="V74" s="232">
        <v>4837.1174441361736</v>
      </c>
      <c r="W74" s="144"/>
      <c r="X74" s="232">
        <v>3402.2607150115996</v>
      </c>
      <c r="Y74" s="321">
        <v>217.72399999999999</v>
      </c>
      <c r="Z74" s="232">
        <v>2230.4479233379147</v>
      </c>
      <c r="AA74" s="321">
        <v>136.078</v>
      </c>
      <c r="AB74" s="232">
        <v>4421.5744447037578</v>
      </c>
      <c r="AC74" s="321">
        <v>257.33</v>
      </c>
      <c r="AD74" s="232">
        <v>4402.3920093228062</v>
      </c>
      <c r="AE74" s="321">
        <v>492.38200000000001</v>
      </c>
      <c r="AF74" s="232">
        <v>2563.1241980448558</v>
      </c>
      <c r="AG74" s="321">
        <v>59.874000000000002</v>
      </c>
      <c r="AH74" s="232">
        <v>99.789009885430005</v>
      </c>
      <c r="AI74" s="144"/>
      <c r="AJ74" s="232">
        <v>36370.142974755974</v>
      </c>
      <c r="AK74" s="144"/>
      <c r="AL74" s="232">
        <v>284.20213312741657</v>
      </c>
      <c r="AM74" s="144"/>
      <c r="AN74" s="232">
        <v>349.16262069939756</v>
      </c>
      <c r="AO74" s="144"/>
      <c r="AP74" s="232">
        <v>1039.2733818383635</v>
      </c>
      <c r="AQ74" s="144"/>
      <c r="AR74" s="232">
        <v>939.28314499276462</v>
      </c>
      <c r="AS74" s="144"/>
      <c r="AT74" s="232">
        <v>512.80007038321776</v>
      </c>
      <c r="AU74" s="144"/>
      <c r="AV74" s="232">
        <v>169.76592536979902</v>
      </c>
      <c r="AW74" s="144"/>
      <c r="AX74" s="232">
        <v>516.02799412835907</v>
      </c>
      <c r="AY74" s="144"/>
      <c r="AZ74" s="232">
        <v>160.04073609666816</v>
      </c>
      <c r="BA74" s="144"/>
      <c r="BB74" s="232">
        <v>154.18673867012336</v>
      </c>
      <c r="BC74" s="144"/>
      <c r="BD74" s="232">
        <v>204.70107130240507</v>
      </c>
      <c r="BE74" s="144"/>
      <c r="BF74" s="232">
        <v>583.98345295450883</v>
      </c>
      <c r="BG74" s="144"/>
      <c r="BH74" s="232">
        <v>359.07664859919117</v>
      </c>
      <c r="BI74" s="144"/>
      <c r="BJ74" s="232">
        <v>233.59338118180358</v>
      </c>
      <c r="BK74" s="144"/>
    </row>
    <row r="75" spans="1:63" s="145" customFormat="1" x14ac:dyDescent="0.35">
      <c r="A75" s="146" t="s">
        <v>1522</v>
      </c>
      <c r="B75" s="232">
        <v>233.08858159688572</v>
      </c>
      <c r="C75" s="321">
        <v>67.132000000000005</v>
      </c>
      <c r="D75" s="232">
        <v>82.146954062234954</v>
      </c>
      <c r="E75" s="321">
        <v>90.718000000000004</v>
      </c>
      <c r="F75" s="232">
        <v>657.25034185901643</v>
      </c>
      <c r="G75" s="321">
        <v>6175.3040000000001</v>
      </c>
      <c r="H75" s="232">
        <v>209.28298411517011</v>
      </c>
      <c r="I75" s="321">
        <v>50.802</v>
      </c>
      <c r="J75" s="232">
        <v>210.02674116410549</v>
      </c>
      <c r="K75" s="321">
        <v>62.595999999999997</v>
      </c>
      <c r="L75" s="232">
        <v>100.54878796659939</v>
      </c>
      <c r="M75" s="321">
        <v>127.006</v>
      </c>
      <c r="N75" s="232">
        <v>111.18836321222874</v>
      </c>
      <c r="O75" s="321">
        <v>117.934</v>
      </c>
      <c r="P75" s="232">
        <v>95.260959119400724</v>
      </c>
      <c r="Q75" s="321">
        <v>99.79</v>
      </c>
      <c r="R75" s="232">
        <v>755.18763350674351</v>
      </c>
      <c r="S75" s="321">
        <v>156.33500000000001</v>
      </c>
      <c r="T75" s="232">
        <v>711.70085366164017</v>
      </c>
      <c r="U75" s="321">
        <v>211.42400000000001</v>
      </c>
      <c r="V75" s="232">
        <v>561.90308770516197</v>
      </c>
      <c r="W75" s="144"/>
      <c r="X75" s="232">
        <v>255.38127577711984</v>
      </c>
      <c r="Y75" s="321">
        <v>18.143999999999998</v>
      </c>
      <c r="Z75" s="232">
        <v>104.01523066979475</v>
      </c>
      <c r="AA75" s="321">
        <v>90.718000000000004</v>
      </c>
      <c r="AB75" s="232">
        <v>328.52293717881918</v>
      </c>
      <c r="AC75" s="321">
        <v>102.21599999999999</v>
      </c>
      <c r="AD75" s="232">
        <v>350.2360874897775</v>
      </c>
      <c r="AE75" s="321">
        <v>91.331999999999994</v>
      </c>
      <c r="AF75" s="232">
        <v>135.87996550410935</v>
      </c>
      <c r="AG75" s="321">
        <v>53.524000000000001</v>
      </c>
      <c r="AH75" s="232">
        <v>22.008081464829601</v>
      </c>
      <c r="AI75" s="144"/>
      <c r="AJ75" s="232">
        <v>4005.6140647919497</v>
      </c>
      <c r="AK75" s="144"/>
      <c r="AL75" s="232">
        <v>51.329770247671334</v>
      </c>
      <c r="AM75" s="144"/>
      <c r="AN75" s="232">
        <v>63.062289161424786</v>
      </c>
      <c r="AO75" s="144"/>
      <c r="AP75" s="232">
        <v>187.70324954023866</v>
      </c>
      <c r="AQ75" s="144"/>
      <c r="AR75" s="232">
        <v>164.82010792077028</v>
      </c>
      <c r="AS75" s="144"/>
      <c r="AT75" s="232">
        <v>90.575173393054158</v>
      </c>
      <c r="AU75" s="144"/>
      <c r="AV75" s="232">
        <v>30.661437510070787</v>
      </c>
      <c r="AW75" s="144"/>
      <c r="AX75" s="232">
        <v>51.549048634876215</v>
      </c>
      <c r="AY75" s="144"/>
      <c r="AZ75" s="232">
        <v>28.904970288971068</v>
      </c>
      <c r="BA75" s="144"/>
      <c r="BB75" s="232">
        <v>27.847679340347938</v>
      </c>
      <c r="BC75" s="144"/>
      <c r="BD75" s="232">
        <v>36.971077042176567</v>
      </c>
      <c r="BE75" s="144"/>
      <c r="BF75" s="232">
        <v>105.47329866506551</v>
      </c>
      <c r="BG75" s="144"/>
      <c r="BH75" s="232">
        <v>64.85286254215751</v>
      </c>
      <c r="BI75" s="144"/>
      <c r="BJ75" s="232">
        <v>42.189319466026213</v>
      </c>
      <c r="BK75" s="144"/>
    </row>
    <row r="76" spans="1:63" s="145" customFormat="1" x14ac:dyDescent="0.35">
      <c r="A76" s="146" t="s">
        <v>1521</v>
      </c>
      <c r="B76" s="232">
        <v>160.10118829580301</v>
      </c>
      <c r="C76" s="321">
        <v>4.8079999999999998</v>
      </c>
      <c r="D76" s="232">
        <v>66.093372952185433</v>
      </c>
      <c r="E76" s="144">
        <v>9.0717999999999996</v>
      </c>
      <c r="F76" s="232">
        <v>405.54379801496418</v>
      </c>
      <c r="G76" s="144">
        <v>617.53039999999999</v>
      </c>
      <c r="H76" s="232">
        <v>157.08011294926163</v>
      </c>
      <c r="I76" s="321">
        <v>7.0759999999999996</v>
      </c>
      <c r="J76" s="232">
        <v>156.68713467953648</v>
      </c>
      <c r="K76" s="321">
        <v>6.6219999999999999</v>
      </c>
      <c r="L76" s="232">
        <v>78.218475743693489</v>
      </c>
      <c r="M76" s="321">
        <v>10.885999999999999</v>
      </c>
      <c r="N76" s="232">
        <v>91.077216510061916</v>
      </c>
      <c r="O76" s="321">
        <v>4.99</v>
      </c>
      <c r="P76" s="232">
        <v>76.13690298371931</v>
      </c>
      <c r="Q76" s="321">
        <v>9.0719999999999992</v>
      </c>
      <c r="R76" s="232">
        <v>436.9598613335537</v>
      </c>
      <c r="S76" s="144">
        <v>15.633500000000002</v>
      </c>
      <c r="T76" s="232">
        <v>414.02802536201443</v>
      </c>
      <c r="U76" s="144">
        <v>105.712</v>
      </c>
      <c r="V76" s="232">
        <v>331.84801487340826</v>
      </c>
      <c r="W76" s="144"/>
      <c r="X76" s="232">
        <v>166.25178139355188</v>
      </c>
      <c r="Y76" s="144">
        <v>1.8143999999999998</v>
      </c>
      <c r="Z76" s="232">
        <v>77.071197060830173</v>
      </c>
      <c r="AA76" s="321">
        <v>8.9999999999999993E-3</v>
      </c>
      <c r="AB76" s="232">
        <v>212.18426579693102</v>
      </c>
      <c r="AC76" s="321">
        <v>6.7530000000000001</v>
      </c>
      <c r="AD76" s="232">
        <v>227.66182627225217</v>
      </c>
      <c r="AE76" s="321">
        <v>9.0719999999999992</v>
      </c>
      <c r="AF76" s="232">
        <v>103.00006461698074</v>
      </c>
      <c r="AG76" s="321">
        <v>0.998</v>
      </c>
      <c r="AH76" s="232">
        <v>10.462966783109167</v>
      </c>
      <c r="AI76" s="144"/>
      <c r="AJ76" s="232">
        <v>2377.3569956102788</v>
      </c>
      <c r="AK76" s="144"/>
      <c r="AL76" s="232">
        <v>22.339545243371024</v>
      </c>
      <c r="AM76" s="144"/>
      <c r="AN76" s="232">
        <v>27.445727013284401</v>
      </c>
      <c r="AO76" s="144"/>
      <c r="AP76" s="232">
        <v>81.691486542785668</v>
      </c>
      <c r="AQ76" s="144"/>
      <c r="AR76" s="232">
        <v>84.121609188148483</v>
      </c>
      <c r="AS76" s="144"/>
      <c r="AT76" s="232">
        <v>39.640809791376277</v>
      </c>
      <c r="AU76" s="144"/>
      <c r="AV76" s="232">
        <v>13.344352939395716</v>
      </c>
      <c r="AW76" s="144"/>
      <c r="AX76" s="232">
        <v>31.750410024825769</v>
      </c>
      <c r="AY76" s="144"/>
      <c r="AZ76" s="232">
        <v>12.579910029074382</v>
      </c>
      <c r="BA76" s="144"/>
      <c r="BB76" s="232">
        <v>12.119759927715908</v>
      </c>
      <c r="BC76" s="144"/>
      <c r="BD76" s="232">
        <v>16.090409995889829</v>
      </c>
      <c r="BE76" s="144"/>
      <c r="BF76" s="232">
        <v>45.903683498421856</v>
      </c>
      <c r="BG76" s="144"/>
      <c r="BH76" s="232">
        <v>28.225013475262461</v>
      </c>
      <c r="BI76" s="144"/>
      <c r="BJ76" s="232">
        <v>18.361473399368744</v>
      </c>
      <c r="BK76" s="144"/>
    </row>
    <row r="77" spans="1:63" s="145" customFormat="1" x14ac:dyDescent="0.35">
      <c r="A77" s="146" t="s">
        <v>1520</v>
      </c>
      <c r="B77" s="232">
        <v>3131.0977856235836</v>
      </c>
      <c r="C77" s="321">
        <v>15422.141</v>
      </c>
      <c r="D77" s="232">
        <v>982.95328407684804</v>
      </c>
      <c r="E77" s="321">
        <v>20126.427</v>
      </c>
      <c r="F77" s="232">
        <v>9095.4627188661125</v>
      </c>
      <c r="G77" s="321">
        <v>596.721</v>
      </c>
      <c r="H77" s="232">
        <v>2144.8092112828913</v>
      </c>
      <c r="I77" s="321">
        <v>12337.712</v>
      </c>
      <c r="J77" s="232">
        <v>2186.4106550330521</v>
      </c>
      <c r="K77" s="321">
        <v>12791.305</v>
      </c>
      <c r="L77" s="232">
        <v>1148.6010287855024</v>
      </c>
      <c r="M77" s="321">
        <v>21137.403999999999</v>
      </c>
      <c r="N77" s="232">
        <v>1106.6647374363397</v>
      </c>
      <c r="O77" s="321">
        <v>21590.996999999999</v>
      </c>
      <c r="P77" s="232">
        <v>1049.0962973214384</v>
      </c>
      <c r="Q77" s="321">
        <v>21409.56</v>
      </c>
      <c r="R77" s="232">
        <v>11571.620332098826</v>
      </c>
      <c r="S77" s="321">
        <v>440.05399999999997</v>
      </c>
      <c r="T77" s="232">
        <v>10610.947863907069</v>
      </c>
      <c r="U77" s="321">
        <v>402.33</v>
      </c>
      <c r="V77" s="232">
        <v>8219.6858082321887</v>
      </c>
      <c r="W77" s="144"/>
      <c r="X77" s="232">
        <v>3395.5130876350877</v>
      </c>
      <c r="Y77" s="321">
        <v>6431.94</v>
      </c>
      <c r="Z77" s="232">
        <v>1223.8434300621891</v>
      </c>
      <c r="AA77" s="321">
        <v>17599.383999999998</v>
      </c>
      <c r="AB77" s="232">
        <v>4339.339773297057</v>
      </c>
      <c r="AC77" s="321">
        <v>11026.148999999999</v>
      </c>
      <c r="AD77" s="232">
        <v>4650.1375202609443</v>
      </c>
      <c r="AE77" s="321">
        <v>9885.8610000000008</v>
      </c>
      <c r="AF77" s="232">
        <v>1381.8063410684904</v>
      </c>
      <c r="AG77" s="321">
        <v>9797.5949999999993</v>
      </c>
      <c r="AH77" s="232">
        <v>404.82815537283335</v>
      </c>
      <c r="AI77" s="144"/>
      <c r="AJ77" s="232">
        <v>59360.004433998067</v>
      </c>
      <c r="AK77" s="144"/>
      <c r="AL77" s="232">
        <v>771.80610570300541</v>
      </c>
      <c r="AM77" s="144"/>
      <c r="AN77" s="232">
        <v>948.21892986369244</v>
      </c>
      <c r="AO77" s="144"/>
      <c r="AP77" s="232">
        <v>2822.3487725823857</v>
      </c>
      <c r="AQ77" s="144"/>
      <c r="AR77" s="232">
        <v>2801.4194591112223</v>
      </c>
      <c r="AS77" s="144"/>
      <c r="AT77" s="232">
        <v>1356.3049261508652</v>
      </c>
      <c r="AU77" s="144"/>
      <c r="AV77" s="232">
        <v>461.03235151295809</v>
      </c>
      <c r="AW77" s="144"/>
      <c r="AX77" s="232">
        <v>571.6406882725305</v>
      </c>
      <c r="AY77" s="144"/>
      <c r="AZ77" s="232">
        <v>434.62171068657619</v>
      </c>
      <c r="BA77" s="144"/>
      <c r="BB77" s="232">
        <v>418.72404339302585</v>
      </c>
      <c r="BC77" s="144"/>
      <c r="BD77" s="232">
        <v>555.90552729704848</v>
      </c>
      <c r="BE77" s="144"/>
      <c r="BF77" s="232">
        <v>1585.9205195259431</v>
      </c>
      <c r="BG77" s="144"/>
      <c r="BH77" s="232">
        <v>975.14239866728565</v>
      </c>
      <c r="BI77" s="144"/>
      <c r="BJ77" s="232">
        <v>634.36820781037727</v>
      </c>
      <c r="BK77" s="144"/>
    </row>
    <row r="78" spans="1:63" s="145" customFormat="1" x14ac:dyDescent="0.35">
      <c r="A78" s="146" t="s">
        <v>1519</v>
      </c>
      <c r="B78" s="232">
        <v>27.759311974448288</v>
      </c>
      <c r="C78" s="144"/>
      <c r="D78" s="232">
        <v>14.785620568450419</v>
      </c>
      <c r="E78" s="144"/>
      <c r="F78" s="232">
        <v>51.335251453162492</v>
      </c>
      <c r="G78" s="144"/>
      <c r="H78" s="232">
        <v>29.853573533037029</v>
      </c>
      <c r="I78" s="144"/>
      <c r="J78" s="232">
        <v>29.652261350800831</v>
      </c>
      <c r="K78" s="144"/>
      <c r="L78" s="232">
        <v>15.850479453463686</v>
      </c>
      <c r="M78" s="144"/>
      <c r="N78" s="232">
        <v>18.898349146916004</v>
      </c>
      <c r="O78" s="144"/>
      <c r="P78" s="232">
        <v>16.062662729656513</v>
      </c>
      <c r="Q78" s="144"/>
      <c r="R78" s="232">
        <v>49.703543877717507</v>
      </c>
      <c r="S78" s="144"/>
      <c r="T78" s="232">
        <v>48.457523769507169</v>
      </c>
      <c r="U78" s="144"/>
      <c r="V78" s="232">
        <v>39.340260293320235</v>
      </c>
      <c r="W78" s="144"/>
      <c r="X78" s="232">
        <v>37.845952020496945</v>
      </c>
      <c r="Y78" s="144"/>
      <c r="Z78" s="232">
        <v>14.956607578105656</v>
      </c>
      <c r="AA78" s="144"/>
      <c r="AB78" s="232">
        <v>46.703007743707765</v>
      </c>
      <c r="AC78" s="144"/>
      <c r="AD78" s="232">
        <v>49.749135406294542</v>
      </c>
      <c r="AE78" s="144"/>
      <c r="AF78" s="232">
        <v>23.217816255008042</v>
      </c>
      <c r="AG78" s="144"/>
      <c r="AH78" s="232">
        <v>0.76614802910879209</v>
      </c>
      <c r="AI78" s="144"/>
      <c r="AJ78" s="232">
        <v>285.92468978525471</v>
      </c>
      <c r="AK78" s="144"/>
      <c r="AL78" s="232">
        <v>1.6546730169771491</v>
      </c>
      <c r="AM78" s="144"/>
      <c r="AN78" s="232">
        <v>2.0328839922862119</v>
      </c>
      <c r="AO78" s="144"/>
      <c r="AP78" s="232">
        <v>6.0508258796901933</v>
      </c>
      <c r="AQ78" s="144"/>
      <c r="AR78" s="232">
        <v>7.464280096958583</v>
      </c>
      <c r="AS78" s="144"/>
      <c r="AT78" s="232">
        <v>3.1590203011749471</v>
      </c>
      <c r="AU78" s="144"/>
      <c r="AV78" s="232">
        <v>0.9884060081478121</v>
      </c>
      <c r="AW78" s="144"/>
      <c r="AX78" s="232">
        <v>4.1302859839907411</v>
      </c>
      <c r="AY78" s="144"/>
      <c r="AZ78" s="232">
        <v>0.93178430690241465</v>
      </c>
      <c r="BA78" s="144"/>
      <c r="BB78" s="232">
        <v>0.89770134110421418</v>
      </c>
      <c r="BC78" s="144"/>
      <c r="BD78" s="232">
        <v>1.1918043524273954</v>
      </c>
      <c r="BE78" s="144"/>
      <c r="BF78" s="232">
        <v>3.4000507009978964</v>
      </c>
      <c r="BG78" s="144"/>
      <c r="BH78" s="232">
        <v>2.0906051440412288</v>
      </c>
      <c r="BI78" s="144"/>
      <c r="BJ78" s="232">
        <v>1.3600202803991588</v>
      </c>
      <c r="BK78" s="144"/>
    </row>
    <row r="79" spans="1:63" s="145" customFormat="1" x14ac:dyDescent="0.35">
      <c r="A79" s="146" t="s">
        <v>1518</v>
      </c>
      <c r="B79" s="232">
        <v>48.746458123528143</v>
      </c>
      <c r="C79" s="144"/>
      <c r="D79" s="232">
        <v>22.461175825220369</v>
      </c>
      <c r="E79" s="144"/>
      <c r="F79" s="232">
        <v>98.608584637810523</v>
      </c>
      <c r="G79" s="144"/>
      <c r="H79" s="232">
        <v>49.759271091462836</v>
      </c>
      <c r="I79" s="144"/>
      <c r="J79" s="232">
        <v>49.269841444374308</v>
      </c>
      <c r="K79" s="144"/>
      <c r="L79" s="232">
        <v>26.290785019687185</v>
      </c>
      <c r="M79" s="144"/>
      <c r="N79" s="232">
        <v>32.304820304632671</v>
      </c>
      <c r="O79" s="144"/>
      <c r="P79" s="232">
        <v>26.07019280905633</v>
      </c>
      <c r="Q79" s="144"/>
      <c r="R79" s="232">
        <v>87.105720322931674</v>
      </c>
      <c r="S79" s="144"/>
      <c r="T79" s="232">
        <v>87.812219581358491</v>
      </c>
      <c r="U79" s="144"/>
      <c r="V79" s="232">
        <v>73.996283084279511</v>
      </c>
      <c r="W79" s="144"/>
      <c r="X79" s="232">
        <v>40.154722078909458</v>
      </c>
      <c r="Y79" s="144"/>
      <c r="Z79" s="232">
        <v>24.508034952004515</v>
      </c>
      <c r="AA79" s="144"/>
      <c r="AB79" s="232">
        <v>52.089183780590183</v>
      </c>
      <c r="AC79" s="144"/>
      <c r="AD79" s="232">
        <v>53.578843796957145</v>
      </c>
      <c r="AE79" s="144"/>
      <c r="AF79" s="232">
        <v>34.239976298931111</v>
      </c>
      <c r="AG79" s="144"/>
      <c r="AH79" s="232">
        <v>0.81397574170330456</v>
      </c>
      <c r="AI79" s="144"/>
      <c r="AJ79" s="232">
        <v>595.85702173788002</v>
      </c>
      <c r="AK79" s="144"/>
      <c r="AL79" s="232">
        <v>3.8845350352043297</v>
      </c>
      <c r="AM79" s="144"/>
      <c r="AN79" s="232">
        <v>4.7724287575367486</v>
      </c>
      <c r="AO79" s="144"/>
      <c r="AP79" s="232">
        <v>14.205009014117627</v>
      </c>
      <c r="AQ79" s="144"/>
      <c r="AR79" s="232">
        <v>11.204967142091412</v>
      </c>
      <c r="AS79" s="144"/>
      <c r="AT79" s="232">
        <v>6.9201422847805443</v>
      </c>
      <c r="AU79" s="144"/>
      <c r="AV79" s="232">
        <v>2.3203966755140817</v>
      </c>
      <c r="AW79" s="144"/>
      <c r="AX79" s="232">
        <v>9.6306176534964756</v>
      </c>
      <c r="AY79" s="144"/>
      <c r="AZ79" s="232">
        <v>2.1874707258044319</v>
      </c>
      <c r="BA79" s="144"/>
      <c r="BB79" s="232">
        <v>2.1074570473384289</v>
      </c>
      <c r="BC79" s="144"/>
      <c r="BD79" s="232">
        <v>2.7978976599079695</v>
      </c>
      <c r="BE79" s="144"/>
      <c r="BF79" s="232">
        <v>7.9820096985843119</v>
      </c>
      <c r="BG79" s="144"/>
      <c r="BH79" s="232">
        <v>4.9079357936485275</v>
      </c>
      <c r="BI79" s="144"/>
      <c r="BJ79" s="232">
        <v>3.1928038794337255</v>
      </c>
      <c r="BK79" s="144"/>
    </row>
    <row r="80" spans="1:63" s="145" customFormat="1" x14ac:dyDescent="0.35">
      <c r="A80" s="146" t="s">
        <v>1531</v>
      </c>
      <c r="B80" s="232">
        <v>12173.692666085863</v>
      </c>
      <c r="C80" s="321">
        <v>10160.468999999999</v>
      </c>
      <c r="D80" s="232">
        <v>11149.030090885706</v>
      </c>
      <c r="E80" s="321">
        <v>12299.587</v>
      </c>
      <c r="F80" s="232">
        <v>18121.742812411328</v>
      </c>
      <c r="G80" s="321">
        <v>1593.4059999999999</v>
      </c>
      <c r="H80" s="232">
        <v>11032.845361868403</v>
      </c>
      <c r="I80" s="321">
        <v>8545.68</v>
      </c>
      <c r="J80" s="232">
        <v>11107.336485371592</v>
      </c>
      <c r="K80" s="321">
        <v>8817.8359999999993</v>
      </c>
      <c r="L80" s="232">
        <v>10702.435616415947</v>
      </c>
      <c r="M80" s="321">
        <v>12791.305</v>
      </c>
      <c r="N80" s="232">
        <v>11628.020243003486</v>
      </c>
      <c r="O80" s="321">
        <v>12972.742</v>
      </c>
      <c r="P80" s="232">
        <v>10697.571555666475</v>
      </c>
      <c r="Q80" s="321">
        <v>12882.022999999999</v>
      </c>
      <c r="R80" s="232">
        <v>15013.931490313818</v>
      </c>
      <c r="S80" s="321">
        <v>2246.8270000000002</v>
      </c>
      <c r="T80" s="232">
        <v>16652.697085299471</v>
      </c>
      <c r="U80" s="321">
        <v>2024.299</v>
      </c>
      <c r="V80" s="232">
        <v>12049.110305051796</v>
      </c>
      <c r="W80" s="144"/>
      <c r="X80" s="232">
        <v>7705.3178863564135</v>
      </c>
      <c r="Y80" s="321">
        <v>5787.8389999999999</v>
      </c>
      <c r="Z80" s="232">
        <v>9237.3756581937505</v>
      </c>
      <c r="AA80" s="321">
        <v>11158.371999999999</v>
      </c>
      <c r="AB80" s="232">
        <v>10433.849687432788</v>
      </c>
      <c r="AC80" s="321">
        <v>7700.4660000000003</v>
      </c>
      <c r="AD80" s="232">
        <v>9569.7798701752563</v>
      </c>
      <c r="AE80" s="321">
        <v>6446.79</v>
      </c>
      <c r="AF80" s="232">
        <v>7956.2331723339748</v>
      </c>
      <c r="AG80" s="321">
        <v>5923.9160000000002</v>
      </c>
      <c r="AH80" s="232">
        <v>84.074966759477761</v>
      </c>
      <c r="AI80" s="144"/>
      <c r="AJ80" s="232">
        <v>85955.125550216064</v>
      </c>
      <c r="AK80" s="144"/>
      <c r="AL80" s="232">
        <v>800.49167592506478</v>
      </c>
      <c r="AM80" s="144"/>
      <c r="AN80" s="232">
        <v>983.46120185079383</v>
      </c>
      <c r="AO80" s="144"/>
      <c r="AP80" s="232">
        <v>2927.2464707332852</v>
      </c>
      <c r="AQ80" s="144"/>
      <c r="AR80" s="232">
        <v>1412.2337932587322</v>
      </c>
      <c r="AS80" s="144"/>
      <c r="AT80" s="232">
        <v>1411.0160347268068</v>
      </c>
      <c r="AU80" s="144"/>
      <c r="AV80" s="232">
        <v>478.1674529279955</v>
      </c>
      <c r="AW80" s="144"/>
      <c r="AX80" s="232">
        <v>1482.6424485945054</v>
      </c>
      <c r="AY80" s="144"/>
      <c r="AZ80" s="232">
        <v>450.77521285481225</v>
      </c>
      <c r="BA80" s="144"/>
      <c r="BB80" s="232">
        <v>434.28667999522617</v>
      </c>
      <c r="BC80" s="144"/>
      <c r="BD80" s="232">
        <v>576.56676192875102</v>
      </c>
      <c r="BE80" s="144"/>
      <c r="BF80" s="232">
        <v>1644.8641247828989</v>
      </c>
      <c r="BG80" s="144"/>
      <c r="BH80" s="232">
        <v>1011.385330080738</v>
      </c>
      <c r="BI80" s="144"/>
      <c r="BJ80" s="232">
        <v>657.94564991315963</v>
      </c>
      <c r="BK80" s="144"/>
    </row>
    <row r="81" spans="1:79" s="145" customFormat="1" x14ac:dyDescent="0.35">
      <c r="A81" s="146" t="s">
        <v>1530</v>
      </c>
      <c r="B81" s="232">
        <v>83.033792826760916</v>
      </c>
      <c r="C81" s="144"/>
      <c r="D81" s="232">
        <v>71.238769612268527</v>
      </c>
      <c r="E81" s="144"/>
      <c r="F81" s="232">
        <v>155.91525848683804</v>
      </c>
      <c r="G81" s="144">
        <v>3.0000000000000001E-3</v>
      </c>
      <c r="H81" s="232">
        <v>74.759420637289679</v>
      </c>
      <c r="I81" s="144"/>
      <c r="J81" s="232">
        <v>75.124085138330642</v>
      </c>
      <c r="K81" s="144"/>
      <c r="L81" s="232">
        <v>73.23679429511283</v>
      </c>
      <c r="M81" s="144"/>
      <c r="N81" s="232">
        <v>81.500378848668234</v>
      </c>
      <c r="O81" s="144">
        <v>0.90700000000000003</v>
      </c>
      <c r="P81" s="232">
        <v>72.861745325518768</v>
      </c>
      <c r="Q81" s="144">
        <v>15.422000000000001</v>
      </c>
      <c r="R81" s="232">
        <v>132.96232594322487</v>
      </c>
      <c r="S81" s="144">
        <v>7809.8329999999996</v>
      </c>
      <c r="T81" s="232">
        <v>137.96599186872302</v>
      </c>
      <c r="U81" s="144">
        <v>662.08299999999997</v>
      </c>
      <c r="V81" s="232">
        <v>98.505442577866546</v>
      </c>
      <c r="W81" s="144"/>
      <c r="X81" s="232">
        <v>52.279771218022475</v>
      </c>
      <c r="Y81" s="144"/>
      <c r="Z81" s="232">
        <v>59.159069212588768</v>
      </c>
      <c r="AA81" s="144">
        <v>4.0819999999999999</v>
      </c>
      <c r="AB81" s="232">
        <v>81.088372179832618</v>
      </c>
      <c r="AC81" s="144">
        <v>6.4500000000000002E-2</v>
      </c>
      <c r="AD81" s="232">
        <v>72.305775691992906</v>
      </c>
      <c r="AE81" s="144"/>
      <c r="AF81" s="232">
        <v>61.815144205485502</v>
      </c>
      <c r="AG81" s="144"/>
      <c r="AH81" s="232">
        <v>1.2411871048957752</v>
      </c>
      <c r="AI81" s="144"/>
      <c r="AJ81" s="232">
        <v>829.56242896235517</v>
      </c>
      <c r="AK81" s="144"/>
      <c r="AL81" s="232">
        <v>6.4819112064976219</v>
      </c>
      <c r="AM81" s="144"/>
      <c r="AN81" s="232">
        <v>7.9634909108399361</v>
      </c>
      <c r="AO81" s="144"/>
      <c r="AP81" s="232">
        <v>23.703121810604429</v>
      </c>
      <c r="AQ81" s="144"/>
      <c r="AR81" s="232">
        <v>16.136041561363879</v>
      </c>
      <c r="AS81" s="144"/>
      <c r="AT81" s="232">
        <v>11.516160457846645</v>
      </c>
      <c r="AU81" s="144"/>
      <c r="AV81" s="232">
        <v>3.8719190529178493</v>
      </c>
      <c r="AW81" s="144"/>
      <c r="AX81" s="232">
        <v>13.566269773055879</v>
      </c>
      <c r="AY81" s="144"/>
      <c r="AZ81" s="232">
        <v>3.6501127890410201</v>
      </c>
      <c r="BA81" s="144"/>
      <c r="BB81" s="232">
        <v>3.5165983389404047</v>
      </c>
      <c r="BC81" s="144"/>
      <c r="BD81" s="232">
        <v>4.668698835776361</v>
      </c>
      <c r="BE81" s="144"/>
      <c r="BF81" s="232">
        <v>13.319143126972689</v>
      </c>
      <c r="BG81" s="144"/>
      <c r="BH81" s="232">
        <v>8.1896040924619466</v>
      </c>
      <c r="BI81" s="144"/>
      <c r="BJ81" s="232">
        <v>5.327657250789076</v>
      </c>
      <c r="BK81" s="144"/>
    </row>
    <row r="82" spans="1:79" s="48" customFormat="1" x14ac:dyDescent="0.35">
      <c r="A82" s="152" t="s">
        <v>1529</v>
      </c>
      <c r="B82" s="389">
        <v>2185891.1667295443</v>
      </c>
      <c r="C82" s="539">
        <v>235868.03200000001</v>
      </c>
      <c r="D82" s="389">
        <v>845456.19979419722</v>
      </c>
      <c r="E82" s="539">
        <v>65708.429999999993</v>
      </c>
      <c r="F82" s="389">
        <v>4821488.8227239698</v>
      </c>
      <c r="G82" s="539">
        <v>293928.196</v>
      </c>
      <c r="H82" s="389">
        <v>1924382.5731752205</v>
      </c>
      <c r="I82" s="539">
        <v>303906.88799999998</v>
      </c>
      <c r="J82" s="389">
        <v>1911528.5822313996</v>
      </c>
      <c r="K82" s="539">
        <v>288484.74699999997</v>
      </c>
      <c r="L82" s="389">
        <v>1079225.4111910285</v>
      </c>
      <c r="M82" s="539">
        <v>69762.506999999998</v>
      </c>
      <c r="N82" s="389">
        <v>1305284.6823406287</v>
      </c>
      <c r="O82" s="539">
        <v>80104.413</v>
      </c>
      <c r="P82" s="389">
        <v>1043521.6956241044</v>
      </c>
      <c r="Q82" s="539">
        <v>116119.647</v>
      </c>
      <c r="R82" s="389">
        <v>4332779.1085737962</v>
      </c>
      <c r="S82" s="539">
        <v>1043225.845</v>
      </c>
      <c r="T82" s="389">
        <v>4465944.8747405102</v>
      </c>
      <c r="U82" s="539">
        <v>835981.451</v>
      </c>
      <c r="V82" s="389">
        <v>3670183.1101445775</v>
      </c>
      <c r="W82" s="150"/>
      <c r="X82" s="389">
        <v>1701761.6136653544</v>
      </c>
      <c r="Y82" s="539">
        <v>268526.68300000002</v>
      </c>
      <c r="Z82" s="389">
        <v>969184.61270142091</v>
      </c>
      <c r="AA82" s="539">
        <v>73754.119000000006</v>
      </c>
      <c r="AB82" s="389">
        <v>2425537.4104405581</v>
      </c>
      <c r="AC82" s="539">
        <v>156840.32000000001</v>
      </c>
      <c r="AD82" s="389">
        <v>2245918.7567292145</v>
      </c>
      <c r="AE82" s="539">
        <v>201689.71100000001</v>
      </c>
      <c r="AF82" s="389">
        <v>1535823.7679989117</v>
      </c>
      <c r="AG82" s="539">
        <v>83098.122000000003</v>
      </c>
      <c r="AH82" s="389">
        <v>65674.550065190968</v>
      </c>
      <c r="AI82" s="150"/>
      <c r="AJ82" s="389">
        <v>33394439.572631307</v>
      </c>
      <c r="AK82" s="150"/>
      <c r="AL82" s="389">
        <v>419406.0292527827</v>
      </c>
      <c r="AM82" s="150"/>
      <c r="AN82" s="389">
        <v>515270.26451056165</v>
      </c>
      <c r="AO82" s="150"/>
      <c r="AP82" s="389">
        <v>1533688.4265732158</v>
      </c>
      <c r="AQ82" s="150"/>
      <c r="AR82" s="389">
        <v>721038.89449218416</v>
      </c>
      <c r="AS82" s="150"/>
      <c r="AT82" s="389">
        <v>738917.65458871028</v>
      </c>
      <c r="AU82" s="150"/>
      <c r="AV82" s="389">
        <v>250528.91714169548</v>
      </c>
      <c r="AW82" s="150"/>
      <c r="AX82" s="389">
        <v>560860.52549015847</v>
      </c>
      <c r="AY82" s="150"/>
      <c r="AZ82" s="389">
        <v>236177.149363278</v>
      </c>
      <c r="BA82" s="150"/>
      <c r="BB82" s="389">
        <v>227538.22118597815</v>
      </c>
      <c r="BC82" s="150"/>
      <c r="BD82" s="389">
        <v>302083.811103001</v>
      </c>
      <c r="BE82" s="150"/>
      <c r="BF82" s="389">
        <v>861802.75446128275</v>
      </c>
      <c r="BG82" s="150"/>
      <c r="BH82" s="389">
        <v>529900.70739147265</v>
      </c>
      <c r="BI82" s="150"/>
      <c r="BJ82" s="389">
        <v>344721.10178451316</v>
      </c>
      <c r="BK82" s="150"/>
    </row>
    <row r="83" spans="1:79" s="145" customFormat="1" ht="13.15" x14ac:dyDescent="0.4">
      <c r="A83" s="149" t="s">
        <v>1662</v>
      </c>
      <c r="B83" s="411"/>
      <c r="C83" s="147"/>
      <c r="D83" s="411"/>
      <c r="E83" s="147"/>
      <c r="F83" s="411"/>
      <c r="G83" s="147"/>
      <c r="H83" s="411"/>
      <c r="I83" s="147"/>
      <c r="J83" s="411"/>
      <c r="K83" s="147"/>
      <c r="L83" s="411"/>
      <c r="M83" s="147"/>
      <c r="N83" s="411"/>
      <c r="O83" s="147"/>
      <c r="P83" s="411"/>
      <c r="Q83" s="147"/>
      <c r="R83" s="411"/>
      <c r="S83" s="147"/>
      <c r="T83" s="411"/>
      <c r="U83" s="147"/>
      <c r="V83" s="411"/>
      <c r="W83" s="147"/>
      <c r="X83" s="411"/>
      <c r="Y83" s="147"/>
      <c r="Z83" s="411"/>
      <c r="AA83" s="147"/>
      <c r="AB83" s="411"/>
      <c r="AC83" s="147"/>
      <c r="AD83" s="411"/>
      <c r="AE83" s="147"/>
      <c r="AF83" s="411"/>
      <c r="AG83" s="147"/>
      <c r="AH83" s="411"/>
      <c r="AI83" s="147"/>
      <c r="AJ83" s="411"/>
      <c r="AK83" s="147"/>
      <c r="AL83" s="411"/>
      <c r="AM83" s="147"/>
      <c r="AN83" s="411"/>
      <c r="AO83" s="147"/>
      <c r="AP83" s="411"/>
      <c r="AQ83" s="147"/>
      <c r="AR83" s="411"/>
      <c r="AS83" s="147"/>
      <c r="AT83" s="411"/>
      <c r="AU83" s="147"/>
      <c r="AV83" s="411"/>
      <c r="AW83" s="147"/>
      <c r="AX83" s="411"/>
      <c r="AY83" s="147"/>
      <c r="AZ83" s="411"/>
      <c r="BA83" s="147"/>
      <c r="BB83" s="411"/>
      <c r="BC83" s="147"/>
      <c r="BD83" s="411"/>
      <c r="BE83" s="147"/>
      <c r="BF83" s="411"/>
      <c r="BG83" s="147"/>
      <c r="BH83" s="411"/>
      <c r="BI83" s="147"/>
      <c r="BJ83" s="411"/>
      <c r="BK83" s="147"/>
    </row>
    <row r="84" spans="1:79" s="145" customFormat="1" x14ac:dyDescent="0.35">
      <c r="A84" s="146" t="s">
        <v>1525</v>
      </c>
      <c r="B84" s="232">
        <v>45.539898955072537</v>
      </c>
      <c r="C84" s="147">
        <v>0</v>
      </c>
      <c r="D84" s="232">
        <v>36.103190324145601</v>
      </c>
      <c r="E84" s="147">
        <v>0</v>
      </c>
      <c r="F84" s="232">
        <v>69.073820228636023</v>
      </c>
      <c r="G84" s="147">
        <v>0</v>
      </c>
      <c r="H84" s="232">
        <v>44.348607605499957</v>
      </c>
      <c r="I84" s="147">
        <v>0</v>
      </c>
      <c r="J84" s="232">
        <v>44.534984360067199</v>
      </c>
      <c r="K84" s="147">
        <v>0</v>
      </c>
      <c r="L84" s="232">
        <v>33.4130887122557</v>
      </c>
      <c r="M84" s="147">
        <v>0</v>
      </c>
      <c r="N84" s="232">
        <v>35.910369041146964</v>
      </c>
      <c r="O84" s="147">
        <v>0</v>
      </c>
      <c r="P84" s="232">
        <v>33.413185984938366</v>
      </c>
      <c r="Q84" s="147">
        <v>0</v>
      </c>
      <c r="R84" s="232">
        <v>67.033638249675136</v>
      </c>
      <c r="S84" s="147">
        <v>0</v>
      </c>
      <c r="T84" s="232">
        <v>71.332875255944174</v>
      </c>
      <c r="U84" s="147">
        <v>0</v>
      </c>
      <c r="V84" s="232">
        <v>56.197525975194424</v>
      </c>
      <c r="W84" s="147">
        <v>0</v>
      </c>
      <c r="X84" s="232">
        <v>35.757028404144428</v>
      </c>
      <c r="Y84" s="147">
        <v>0</v>
      </c>
      <c r="Z84" s="232">
        <v>32.605125245079989</v>
      </c>
      <c r="AA84" s="147">
        <v>0</v>
      </c>
      <c r="AB84" s="232">
        <v>39.960540496240213</v>
      </c>
      <c r="AC84" s="147">
        <v>0</v>
      </c>
      <c r="AD84" s="232">
        <v>44.346403013489777</v>
      </c>
      <c r="AE84" s="147">
        <v>0</v>
      </c>
      <c r="AF84" s="232">
        <v>24.601425528543462</v>
      </c>
      <c r="AG84" s="147">
        <v>0</v>
      </c>
      <c r="AH84" s="232">
        <v>0.98349324685255479</v>
      </c>
      <c r="AI84" s="147">
        <v>0</v>
      </c>
      <c r="AJ84" s="232">
        <v>305.01354574358436</v>
      </c>
      <c r="AK84" s="147">
        <v>0</v>
      </c>
      <c r="AL84" s="232">
        <v>3.2264857678886791</v>
      </c>
      <c r="AM84" s="147">
        <v>0</v>
      </c>
      <c r="AN84" s="232">
        <v>3.9639682291203777</v>
      </c>
      <c r="AO84" s="147">
        <v>0</v>
      </c>
      <c r="AP84" s="232">
        <v>11.798647457525147</v>
      </c>
      <c r="AQ84" s="147">
        <v>0</v>
      </c>
      <c r="AR84" s="232">
        <v>8.8881972402022846</v>
      </c>
      <c r="AS84" s="147">
        <v>0</v>
      </c>
      <c r="AT84" s="232">
        <v>5.7236978369359326</v>
      </c>
      <c r="AU84" s="147">
        <v>0</v>
      </c>
      <c r="AV84" s="232">
        <v>1.9273160832770251</v>
      </c>
      <c r="AW84" s="147">
        <v>0</v>
      </c>
      <c r="AX84" s="232">
        <v>4.7221783566277127</v>
      </c>
      <c r="AY84" s="147">
        <v>0</v>
      </c>
      <c r="AZ84" s="232">
        <v>1.816908098528675</v>
      </c>
      <c r="BA84" s="147">
        <v>0</v>
      </c>
      <c r="BB84" s="232">
        <v>1.7504489232432603</v>
      </c>
      <c r="BC84" s="147">
        <v>0</v>
      </c>
      <c r="BD84" s="232">
        <v>2.3239272906254675</v>
      </c>
      <c r="BE84" s="147">
        <v>0</v>
      </c>
      <c r="BF84" s="232">
        <v>6.6298386958111228</v>
      </c>
      <c r="BG84" s="147">
        <v>0</v>
      </c>
      <c r="BH84" s="232">
        <v>4.0765200582327736</v>
      </c>
      <c r="BI84" s="147">
        <v>0</v>
      </c>
      <c r="BJ84" s="232">
        <v>2.6519354783244498</v>
      </c>
      <c r="BK84" s="147">
        <v>0</v>
      </c>
    </row>
    <row r="85" spans="1:79" s="145" customFormat="1" x14ac:dyDescent="0.35">
      <c r="A85" s="146" t="s">
        <v>1524</v>
      </c>
      <c r="B85" s="232">
        <v>153.06526142394682</v>
      </c>
      <c r="C85" s="147">
        <v>0</v>
      </c>
      <c r="D85" s="232">
        <v>138.42125794321336</v>
      </c>
      <c r="E85" s="147">
        <v>0</v>
      </c>
      <c r="F85" s="232">
        <v>257.85992093722655</v>
      </c>
      <c r="G85" s="147">
        <v>0</v>
      </c>
      <c r="H85" s="232">
        <v>128.03943013966759</v>
      </c>
      <c r="I85" s="147">
        <v>0</v>
      </c>
      <c r="J85" s="232">
        <v>129.30650330943541</v>
      </c>
      <c r="K85" s="147">
        <v>0</v>
      </c>
      <c r="L85" s="232">
        <v>138.72262803369438</v>
      </c>
      <c r="M85" s="147">
        <v>0</v>
      </c>
      <c r="N85" s="232">
        <v>150.86842672495635</v>
      </c>
      <c r="O85" s="147">
        <v>0</v>
      </c>
      <c r="P85" s="232">
        <v>137.87850763096719</v>
      </c>
      <c r="Q85" s="147">
        <v>0</v>
      </c>
      <c r="R85" s="232">
        <v>202.85227844637981</v>
      </c>
      <c r="S85" s="147">
        <v>0</v>
      </c>
      <c r="T85" s="232">
        <v>233.95361127677455</v>
      </c>
      <c r="U85" s="147">
        <v>0</v>
      </c>
      <c r="V85" s="232">
        <v>162.9663593107741</v>
      </c>
      <c r="W85" s="147">
        <v>0</v>
      </c>
      <c r="X85" s="232">
        <v>93.967441765054033</v>
      </c>
      <c r="Y85" s="147">
        <v>0</v>
      </c>
      <c r="Z85" s="232">
        <v>114.15746869314795</v>
      </c>
      <c r="AA85" s="147">
        <v>0</v>
      </c>
      <c r="AB85" s="232">
        <v>148.7538402982897</v>
      </c>
      <c r="AC85" s="147">
        <v>0</v>
      </c>
      <c r="AD85" s="232">
        <v>133.34445865278838</v>
      </c>
      <c r="AE85" s="147">
        <v>0</v>
      </c>
      <c r="AF85" s="232">
        <v>112.95657794579847</v>
      </c>
      <c r="AG85" s="147">
        <v>0</v>
      </c>
      <c r="AH85" s="232">
        <v>1.6226180833912403</v>
      </c>
      <c r="AI85" s="147">
        <v>0</v>
      </c>
      <c r="AJ85" s="232">
        <v>1455.1838331190957</v>
      </c>
      <c r="AK85" s="147">
        <v>0</v>
      </c>
      <c r="AL85" s="232">
        <v>25.251300483777115</v>
      </c>
      <c r="AM85" s="147">
        <v>0</v>
      </c>
      <c r="AN85" s="232">
        <v>31.023026308640457</v>
      </c>
      <c r="AO85" s="147">
        <v>0</v>
      </c>
      <c r="AP85" s="232">
        <v>92.339224061440106</v>
      </c>
      <c r="AQ85" s="147">
        <v>0</v>
      </c>
      <c r="AR85" s="232">
        <v>25.319890459383334</v>
      </c>
      <c r="AS85" s="147">
        <v>0</v>
      </c>
      <c r="AT85" s="232">
        <v>44.431815664725036</v>
      </c>
      <c r="AU85" s="147">
        <v>0</v>
      </c>
      <c r="AV85" s="232">
        <v>15.083667199279487</v>
      </c>
      <c r="AW85" s="147">
        <v>0</v>
      </c>
      <c r="AX85" s="232">
        <v>29.294208853959134</v>
      </c>
      <c r="AY85" s="147">
        <v>0</v>
      </c>
      <c r="AZ85" s="232">
        <v>14.219586152824656</v>
      </c>
      <c r="BA85" s="147">
        <v>0</v>
      </c>
      <c r="BB85" s="232">
        <v>13.699459697677087</v>
      </c>
      <c r="BC85" s="147">
        <v>0</v>
      </c>
      <c r="BD85" s="232">
        <v>18.187647657418204</v>
      </c>
      <c r="BE85" s="147">
        <v>0</v>
      </c>
      <c r="BF85" s="232">
        <v>51.886808469156634</v>
      </c>
      <c r="BG85" s="147">
        <v>0</v>
      </c>
      <c r="BH85" s="232">
        <v>31.903885627841984</v>
      </c>
      <c r="BI85" s="147">
        <v>0</v>
      </c>
      <c r="BJ85" s="232">
        <v>20.754723387662654</v>
      </c>
      <c r="BK85" s="147">
        <v>0</v>
      </c>
    </row>
    <row r="86" spans="1:79" s="145" customFormat="1" x14ac:dyDescent="0.35">
      <c r="A86" s="146" t="s">
        <v>1523</v>
      </c>
      <c r="B86" s="232">
        <v>239.82162934905941</v>
      </c>
      <c r="C86" s="147">
        <v>0</v>
      </c>
      <c r="D86" s="232">
        <v>180.07492701463059</v>
      </c>
      <c r="E86" s="147">
        <v>0</v>
      </c>
      <c r="F86" s="232">
        <v>405.25326505991472</v>
      </c>
      <c r="G86" s="147">
        <v>0</v>
      </c>
      <c r="H86" s="232">
        <v>189.35742993038355</v>
      </c>
      <c r="I86" s="147">
        <v>0</v>
      </c>
      <c r="J86" s="232">
        <v>191.11001603949452</v>
      </c>
      <c r="K86" s="147">
        <v>0</v>
      </c>
      <c r="L86" s="232">
        <v>183.73409283602439</v>
      </c>
      <c r="M86" s="147">
        <v>0</v>
      </c>
      <c r="N86" s="232">
        <v>198.68109902444334</v>
      </c>
      <c r="O86" s="147">
        <v>0</v>
      </c>
      <c r="P86" s="232">
        <v>180.8173033219594</v>
      </c>
      <c r="Q86" s="147">
        <v>0</v>
      </c>
      <c r="R86" s="232">
        <v>315.35274612957994</v>
      </c>
      <c r="S86" s="147">
        <v>0</v>
      </c>
      <c r="T86" s="232">
        <v>388.31490882388334</v>
      </c>
      <c r="U86" s="147">
        <v>0</v>
      </c>
      <c r="V86" s="232">
        <v>288.20284967860215</v>
      </c>
      <c r="W86" s="147">
        <v>0</v>
      </c>
      <c r="X86" s="232">
        <v>161.69245725044374</v>
      </c>
      <c r="Y86" s="147">
        <v>0</v>
      </c>
      <c r="Z86" s="232">
        <v>159.87046742308971</v>
      </c>
      <c r="AA86" s="147">
        <v>0</v>
      </c>
      <c r="AB86" s="232">
        <v>243.97971894842425</v>
      </c>
      <c r="AC86" s="147">
        <v>0</v>
      </c>
      <c r="AD86" s="232">
        <v>222.18084747850594</v>
      </c>
      <c r="AE86" s="147">
        <v>0</v>
      </c>
      <c r="AF86" s="232">
        <v>168.79103146284771</v>
      </c>
      <c r="AG86" s="147">
        <v>0</v>
      </c>
      <c r="AH86" s="232">
        <v>3.7268045012277478</v>
      </c>
      <c r="AI86" s="147">
        <v>0</v>
      </c>
      <c r="AJ86" s="232">
        <v>2681.7817687301172</v>
      </c>
      <c r="AK86" s="147">
        <v>0</v>
      </c>
      <c r="AL86" s="232">
        <v>66.133146818417103</v>
      </c>
      <c r="AM86" s="147">
        <v>0</v>
      </c>
      <c r="AN86" s="232">
        <v>81.249294662626724</v>
      </c>
      <c r="AO86" s="147">
        <v>0</v>
      </c>
      <c r="AP86" s="232">
        <v>241.83639436223157</v>
      </c>
      <c r="AQ86" s="147">
        <v>0</v>
      </c>
      <c r="AR86" s="232">
        <v>50.354805141102275</v>
      </c>
      <c r="AS86" s="147">
        <v>0</v>
      </c>
      <c r="AT86" s="232">
        <v>116.28285089323431</v>
      </c>
      <c r="AU86" s="147">
        <v>0</v>
      </c>
      <c r="AV86" s="232">
        <v>39.50411893007108</v>
      </c>
      <c r="AW86" s="147">
        <v>0</v>
      </c>
      <c r="AX86" s="232">
        <v>59.306789404298101</v>
      </c>
      <c r="AY86" s="147">
        <v>0</v>
      </c>
      <c r="AZ86" s="232">
        <v>37.241090982464115</v>
      </c>
      <c r="BA86" s="147">
        <v>0</v>
      </c>
      <c r="BB86" s="232">
        <v>35.878879984875454</v>
      </c>
      <c r="BC86" s="147">
        <v>0</v>
      </c>
      <c r="BD86" s="232">
        <v>47.633442625358235</v>
      </c>
      <c r="BE86" s="147">
        <v>0</v>
      </c>
      <c r="BF86" s="232">
        <v>135.89153258202981</v>
      </c>
      <c r="BG86" s="147">
        <v>0</v>
      </c>
      <c r="BH86" s="232">
        <v>83.556264900478482</v>
      </c>
      <c r="BI86" s="147">
        <v>0</v>
      </c>
      <c r="BJ86" s="232">
        <v>54.356613032811936</v>
      </c>
      <c r="BK86" s="147">
        <v>0</v>
      </c>
    </row>
    <row r="87" spans="1:79" s="145" customFormat="1" x14ac:dyDescent="0.35">
      <c r="A87" s="146" t="s">
        <v>1522</v>
      </c>
      <c r="B87" s="232">
        <v>12.269337909464772</v>
      </c>
      <c r="C87" s="147">
        <v>0</v>
      </c>
      <c r="D87" s="232">
        <v>3.3912756585528956</v>
      </c>
      <c r="E87" s="147">
        <v>0</v>
      </c>
      <c r="F87" s="232">
        <v>23.978836518541918</v>
      </c>
      <c r="G87" s="147">
        <v>0</v>
      </c>
      <c r="H87" s="232">
        <v>7.5432787272993203</v>
      </c>
      <c r="I87" s="147">
        <v>0</v>
      </c>
      <c r="J87" s="232">
        <v>7.6219752888127879</v>
      </c>
      <c r="K87" s="147">
        <v>0</v>
      </c>
      <c r="L87" s="232">
        <v>4.4050524427215079</v>
      </c>
      <c r="M87" s="147">
        <v>0</v>
      </c>
      <c r="N87" s="232">
        <v>4.5366889445684304</v>
      </c>
      <c r="O87" s="147">
        <v>0</v>
      </c>
      <c r="P87" s="232">
        <v>3.9635595733404561</v>
      </c>
      <c r="Q87" s="147">
        <v>0</v>
      </c>
      <c r="R87" s="232">
        <v>19.034513674405389</v>
      </c>
      <c r="S87" s="147">
        <v>0</v>
      </c>
      <c r="T87" s="232">
        <v>26.383025897326416</v>
      </c>
      <c r="U87" s="147">
        <v>0</v>
      </c>
      <c r="V87" s="232">
        <v>21.748582295727811</v>
      </c>
      <c r="W87" s="147">
        <v>0</v>
      </c>
      <c r="X87" s="232">
        <v>10.807187344456118</v>
      </c>
      <c r="Y87" s="147">
        <v>0</v>
      </c>
      <c r="Z87" s="232">
        <v>5.1325141950918081</v>
      </c>
      <c r="AA87" s="147">
        <v>0</v>
      </c>
      <c r="AB87" s="232">
        <v>15.600410408995499</v>
      </c>
      <c r="AC87" s="147">
        <v>0</v>
      </c>
      <c r="AD87" s="232">
        <v>14.911118995291815</v>
      </c>
      <c r="AE87" s="147">
        <v>0</v>
      </c>
      <c r="AF87" s="232">
        <v>7.9696387544533343</v>
      </c>
      <c r="AG87" s="147">
        <v>0</v>
      </c>
      <c r="AH87" s="232">
        <v>0.50823866261997375</v>
      </c>
      <c r="AI87" s="147">
        <v>0</v>
      </c>
      <c r="AJ87" s="232">
        <v>223.3649867044644</v>
      </c>
      <c r="AK87" s="147">
        <v>0</v>
      </c>
      <c r="AL87" s="232">
        <v>8.1501308413945406</v>
      </c>
      <c r="AM87" s="147">
        <v>0</v>
      </c>
      <c r="AN87" s="232">
        <v>10.013017890856151</v>
      </c>
      <c r="AO87" s="147">
        <v>0</v>
      </c>
      <c r="AP87" s="232">
        <v>29.803485106720835</v>
      </c>
      <c r="AQ87" s="147">
        <v>0</v>
      </c>
      <c r="AR87" s="232">
        <v>5.2570384468884335</v>
      </c>
      <c r="AS87" s="147">
        <v>0</v>
      </c>
      <c r="AT87" s="232">
        <v>14.32617820601526</v>
      </c>
      <c r="AU87" s="147">
        <v>0</v>
      </c>
      <c r="AV87" s="232">
        <v>4.8684170275174043</v>
      </c>
      <c r="AW87" s="147">
        <v>0</v>
      </c>
      <c r="AX87" s="232">
        <v>5.5708074181947627</v>
      </c>
      <c r="AY87" s="147">
        <v>0</v>
      </c>
      <c r="AZ87" s="232">
        <v>4.589525507031146</v>
      </c>
      <c r="BA87" s="147">
        <v>0</v>
      </c>
      <c r="BB87" s="232">
        <v>4.4216490578064072</v>
      </c>
      <c r="BC87" s="147">
        <v>0</v>
      </c>
      <c r="BD87" s="232">
        <v>5.8702603535360023</v>
      </c>
      <c r="BE87" s="147">
        <v>0</v>
      </c>
      <c r="BF87" s="232">
        <v>16.747029652500078</v>
      </c>
      <c r="BG87" s="147">
        <v>0</v>
      </c>
      <c r="BH87" s="232">
        <v>10.297324780672239</v>
      </c>
      <c r="BI87" s="147">
        <v>0</v>
      </c>
      <c r="BJ87" s="232">
        <v>6.6988118610000322</v>
      </c>
      <c r="BK87" s="147">
        <v>0</v>
      </c>
    </row>
    <row r="88" spans="1:79" s="145" customFormat="1" x14ac:dyDescent="0.35">
      <c r="A88" s="146" t="s">
        <v>1521</v>
      </c>
      <c r="B88" s="232">
        <v>9.333654335243315</v>
      </c>
      <c r="C88" s="147">
        <v>0</v>
      </c>
      <c r="D88" s="232">
        <v>2.6857232085608018</v>
      </c>
      <c r="E88" s="147">
        <v>0</v>
      </c>
      <c r="F88" s="232">
        <v>18.192816387733217</v>
      </c>
      <c r="G88" s="147">
        <v>0</v>
      </c>
      <c r="H88" s="232">
        <v>5.8810183014709807</v>
      </c>
      <c r="I88" s="147">
        <v>0</v>
      </c>
      <c r="J88" s="232">
        <v>5.939841039983782</v>
      </c>
      <c r="K88" s="147">
        <v>0</v>
      </c>
      <c r="L88" s="232">
        <v>3.4026903664006509</v>
      </c>
      <c r="M88" s="147">
        <v>0</v>
      </c>
      <c r="N88" s="232">
        <v>3.5045743955502826</v>
      </c>
      <c r="O88" s="147">
        <v>0</v>
      </c>
      <c r="P88" s="232">
        <v>3.0760476576797369</v>
      </c>
      <c r="Q88" s="147">
        <v>0</v>
      </c>
      <c r="R88" s="232">
        <v>14.7013472128003</v>
      </c>
      <c r="S88" s="147">
        <v>0</v>
      </c>
      <c r="T88" s="232">
        <v>20.068399812383969</v>
      </c>
      <c r="U88" s="147">
        <v>0</v>
      </c>
      <c r="V88" s="232">
        <v>16.549349107530279</v>
      </c>
      <c r="W88" s="147">
        <v>0</v>
      </c>
      <c r="X88" s="232">
        <v>8.2647340224516235</v>
      </c>
      <c r="Y88" s="147">
        <v>0</v>
      </c>
      <c r="Z88" s="232">
        <v>3.973528062870149</v>
      </c>
      <c r="AA88" s="147">
        <v>0</v>
      </c>
      <c r="AB88" s="232">
        <v>11.757445053721201</v>
      </c>
      <c r="AC88" s="147">
        <v>0</v>
      </c>
      <c r="AD88" s="232">
        <v>11.295676810430651</v>
      </c>
      <c r="AE88" s="147">
        <v>0</v>
      </c>
      <c r="AF88" s="232">
        <v>5.9660617629638883</v>
      </c>
      <c r="AG88" s="147">
        <v>0</v>
      </c>
      <c r="AH88" s="232">
        <v>0.39248357499660141</v>
      </c>
      <c r="AI88" s="147">
        <v>0</v>
      </c>
      <c r="AJ88" s="232">
        <v>166.38597323836427</v>
      </c>
      <c r="AK88" s="147">
        <v>0</v>
      </c>
      <c r="AL88" s="232">
        <v>5.9991230688848001</v>
      </c>
      <c r="AM88" s="147">
        <v>0</v>
      </c>
      <c r="AN88" s="232">
        <v>7.3703511989156114</v>
      </c>
      <c r="AO88" s="147">
        <v>0</v>
      </c>
      <c r="AP88" s="232">
        <v>21.937657016350496</v>
      </c>
      <c r="AQ88" s="147">
        <v>0</v>
      </c>
      <c r="AR88" s="232">
        <v>3.9929948126467165</v>
      </c>
      <c r="AS88" s="147">
        <v>0</v>
      </c>
      <c r="AT88" s="232">
        <v>10.545746382549535</v>
      </c>
      <c r="AU88" s="147">
        <v>0</v>
      </c>
      <c r="AV88" s="232">
        <v>3.5835293281909872</v>
      </c>
      <c r="AW88" s="147">
        <v>0</v>
      </c>
      <c r="AX88" s="232">
        <v>4.1093037732074489</v>
      </c>
      <c r="AY88" s="147">
        <v>0</v>
      </c>
      <c r="AZ88" s="232">
        <v>3.3782437215148629</v>
      </c>
      <c r="BA88" s="147">
        <v>0</v>
      </c>
      <c r="BB88" s="232">
        <v>3.2546737446806908</v>
      </c>
      <c r="BC88" s="147">
        <v>0</v>
      </c>
      <c r="BD88" s="232">
        <v>4.3209630609110459</v>
      </c>
      <c r="BE88" s="147">
        <v>0</v>
      </c>
      <c r="BF88" s="232">
        <v>12.327101721279897</v>
      </c>
      <c r="BG88" s="147">
        <v>0</v>
      </c>
      <c r="BH88" s="232">
        <v>7.5796229338767098</v>
      </c>
      <c r="BI88" s="147">
        <v>0</v>
      </c>
      <c r="BJ88" s="232">
        <v>4.9308406885119593</v>
      </c>
      <c r="BK88" s="147">
        <v>0</v>
      </c>
    </row>
    <row r="89" spans="1:79" s="145" customFormat="1" x14ac:dyDescent="0.35">
      <c r="A89" s="146" t="s">
        <v>1520</v>
      </c>
      <c r="B89" s="232">
        <v>356.37816860094767</v>
      </c>
      <c r="C89" s="147">
        <v>0</v>
      </c>
      <c r="D89" s="232">
        <v>84.179530306637147</v>
      </c>
      <c r="E89" s="147">
        <v>0</v>
      </c>
      <c r="F89" s="232">
        <v>661.86613549142339</v>
      </c>
      <c r="G89" s="147">
        <v>0</v>
      </c>
      <c r="H89" s="232">
        <v>190.62634474886559</v>
      </c>
      <c r="I89" s="147">
        <v>0</v>
      </c>
      <c r="J89" s="232">
        <v>192.88248550311494</v>
      </c>
      <c r="K89" s="147">
        <v>0</v>
      </c>
      <c r="L89" s="232">
        <v>122.14776001432141</v>
      </c>
      <c r="M89" s="147">
        <v>0</v>
      </c>
      <c r="N89" s="232">
        <v>126.87089222845488</v>
      </c>
      <c r="O89" s="147">
        <v>0</v>
      </c>
      <c r="P89" s="232">
        <v>107.97894534737794</v>
      </c>
      <c r="Q89" s="147">
        <v>0</v>
      </c>
      <c r="R89" s="232">
        <v>440.32395179974583</v>
      </c>
      <c r="S89" s="147">
        <v>0</v>
      </c>
      <c r="T89" s="232">
        <v>710.47355566375973</v>
      </c>
      <c r="U89" s="147">
        <v>0</v>
      </c>
      <c r="V89" s="232">
        <v>589.80846222473303</v>
      </c>
      <c r="W89" s="147">
        <v>0</v>
      </c>
      <c r="X89" s="232">
        <v>290.75739875341907</v>
      </c>
      <c r="Y89" s="147">
        <v>0</v>
      </c>
      <c r="Z89" s="232">
        <v>138.77168091031987</v>
      </c>
      <c r="AA89" s="147">
        <v>0</v>
      </c>
      <c r="AB89" s="232">
        <v>455.08928742554275</v>
      </c>
      <c r="AC89" s="147">
        <v>0</v>
      </c>
      <c r="AD89" s="232">
        <v>414.99366666443518</v>
      </c>
      <c r="AE89" s="147">
        <v>0</v>
      </c>
      <c r="AF89" s="232">
        <v>250.86906474672949</v>
      </c>
      <c r="AG89" s="147">
        <v>0</v>
      </c>
      <c r="AH89" s="232">
        <v>10.564608440027621</v>
      </c>
      <c r="AI89" s="147">
        <v>0</v>
      </c>
      <c r="AJ89" s="232">
        <v>6942.4480229928622</v>
      </c>
      <c r="AK89" s="147">
        <v>0</v>
      </c>
      <c r="AL89" s="232">
        <v>273.40218018170066</v>
      </c>
      <c r="AM89" s="147">
        <v>0</v>
      </c>
      <c r="AN89" s="232">
        <v>335.89410708037514</v>
      </c>
      <c r="AO89" s="147">
        <v>0</v>
      </c>
      <c r="AP89" s="232">
        <v>999.77999908969412</v>
      </c>
      <c r="AQ89" s="147">
        <v>0</v>
      </c>
      <c r="AR89" s="232">
        <v>134.31282231123268</v>
      </c>
      <c r="AS89" s="147">
        <v>0</v>
      </c>
      <c r="AT89" s="232">
        <v>480.33540180231165</v>
      </c>
      <c r="AU89" s="147">
        <v>0</v>
      </c>
      <c r="AV89" s="232">
        <v>163.31465779624511</v>
      </c>
      <c r="AW89" s="147">
        <v>0</v>
      </c>
      <c r="AX89" s="232">
        <v>185.85435133741152</v>
      </c>
      <c r="AY89" s="147">
        <v>0</v>
      </c>
      <c r="AZ89" s="232">
        <v>153.95903501926335</v>
      </c>
      <c r="BA89" s="147">
        <v>0</v>
      </c>
      <c r="BB89" s="232">
        <v>148.32749509525487</v>
      </c>
      <c r="BC89" s="147">
        <v>0</v>
      </c>
      <c r="BD89" s="232">
        <v>196.92223476210202</v>
      </c>
      <c r="BE89" s="147">
        <v>0</v>
      </c>
      <c r="BF89" s="232">
        <v>561.79152306439153</v>
      </c>
      <c r="BG89" s="147">
        <v>0</v>
      </c>
      <c r="BH89" s="232">
        <v>345.43139243555072</v>
      </c>
      <c r="BI89" s="147">
        <v>0</v>
      </c>
      <c r="BJ89" s="232">
        <v>224.71660922575666</v>
      </c>
      <c r="BK89" s="147">
        <v>0</v>
      </c>
    </row>
    <row r="90" spans="1:79" s="145" customFormat="1" x14ac:dyDescent="0.35">
      <c r="A90" s="146" t="s">
        <v>1519</v>
      </c>
      <c r="B90" s="232">
        <v>0.75628382293946284</v>
      </c>
      <c r="C90" s="147">
        <v>0</v>
      </c>
      <c r="D90" s="232">
        <v>0.29793526807748716</v>
      </c>
      <c r="E90" s="147">
        <v>0</v>
      </c>
      <c r="F90" s="232">
        <v>1.4461812928883138</v>
      </c>
      <c r="G90" s="147">
        <v>0</v>
      </c>
      <c r="H90" s="232">
        <v>0.56733307992790782</v>
      </c>
      <c r="I90" s="147">
        <v>0</v>
      </c>
      <c r="J90" s="232">
        <v>0.57157848673814138</v>
      </c>
      <c r="K90" s="147">
        <v>0</v>
      </c>
      <c r="L90" s="232">
        <v>0.32293609139890228</v>
      </c>
      <c r="M90" s="147">
        <v>0</v>
      </c>
      <c r="N90" s="232">
        <v>0.33447442889234225</v>
      </c>
      <c r="O90" s="147">
        <v>0</v>
      </c>
      <c r="P90" s="232">
        <v>0.30278260805809321</v>
      </c>
      <c r="Q90" s="147">
        <v>0</v>
      </c>
      <c r="R90" s="232">
        <v>1.3205862145126441</v>
      </c>
      <c r="S90" s="147">
        <v>0</v>
      </c>
      <c r="T90" s="232">
        <v>1.6153177844830144</v>
      </c>
      <c r="U90" s="147">
        <v>0</v>
      </c>
      <c r="V90" s="232">
        <v>1.3279532777089378</v>
      </c>
      <c r="W90" s="147">
        <v>0</v>
      </c>
      <c r="X90" s="232">
        <v>0.6932777368672377</v>
      </c>
      <c r="Y90" s="147">
        <v>0</v>
      </c>
      <c r="Z90" s="232">
        <v>0.37242261514702901</v>
      </c>
      <c r="AA90" s="147">
        <v>0</v>
      </c>
      <c r="AB90" s="232">
        <v>0.89059226849062434</v>
      </c>
      <c r="AC90" s="147">
        <v>0</v>
      </c>
      <c r="AD90" s="232">
        <v>0.89017518574514864</v>
      </c>
      <c r="AE90" s="147">
        <v>0</v>
      </c>
      <c r="AF90" s="232">
        <v>0.43388591738370796</v>
      </c>
      <c r="AG90" s="147">
        <v>0</v>
      </c>
      <c r="AH90" s="232">
        <v>3.4595484933858341E-2</v>
      </c>
      <c r="AI90" s="147">
        <v>0</v>
      </c>
      <c r="AJ90" s="232">
        <v>11.219067917754426</v>
      </c>
      <c r="AK90" s="147">
        <v>0</v>
      </c>
      <c r="AL90" s="232">
        <v>0.35740574041843115</v>
      </c>
      <c r="AM90" s="147">
        <v>0</v>
      </c>
      <c r="AN90" s="232">
        <v>0.4390984810855012</v>
      </c>
      <c r="AO90" s="147">
        <v>0</v>
      </c>
      <c r="AP90" s="232">
        <v>1.3069651112244758</v>
      </c>
      <c r="AQ90" s="147">
        <v>0</v>
      </c>
      <c r="AR90" s="232">
        <v>0.31477778900729059</v>
      </c>
      <c r="AS90" s="147">
        <v>0</v>
      </c>
      <c r="AT90" s="232">
        <v>0.62863268011863105</v>
      </c>
      <c r="AU90" s="147">
        <v>0</v>
      </c>
      <c r="AV90" s="232">
        <v>0.21349352866190674</v>
      </c>
      <c r="AW90" s="147">
        <v>0</v>
      </c>
      <c r="AX90" s="232">
        <v>0.25237722775772831</v>
      </c>
      <c r="AY90" s="147">
        <v>0</v>
      </c>
      <c r="AZ90" s="232">
        <v>0.20126336545157505</v>
      </c>
      <c r="BA90" s="147">
        <v>0</v>
      </c>
      <c r="BB90" s="232">
        <v>0.19390151963564722</v>
      </c>
      <c r="BC90" s="147">
        <v>0</v>
      </c>
      <c r="BD90" s="232">
        <v>0.25742712466018569</v>
      </c>
      <c r="BE90" s="147">
        <v>0</v>
      </c>
      <c r="BF90" s="232">
        <v>0.73440348986312187</v>
      </c>
      <c r="BG90" s="147">
        <v>0</v>
      </c>
      <c r="BH90" s="232">
        <v>0.45156612319312089</v>
      </c>
      <c r="BI90" s="147">
        <v>0</v>
      </c>
      <c r="BJ90" s="232">
        <v>0.2937613959452488</v>
      </c>
      <c r="BK90" s="147">
        <v>0</v>
      </c>
    </row>
    <row r="91" spans="1:79" s="145" customFormat="1" x14ac:dyDescent="0.35">
      <c r="A91" s="143" t="s">
        <v>1518</v>
      </c>
      <c r="B91" s="231">
        <v>1.7414546704342961</v>
      </c>
      <c r="C91" s="443">
        <v>0</v>
      </c>
      <c r="D91" s="231">
        <v>0.60714055667977496</v>
      </c>
      <c r="E91" s="443">
        <v>0</v>
      </c>
      <c r="F91" s="231">
        <v>3.1037713576665391</v>
      </c>
      <c r="G91" s="443">
        <v>0</v>
      </c>
      <c r="H91" s="231">
        <v>1.2216246371992803</v>
      </c>
      <c r="I91" s="443">
        <v>0</v>
      </c>
      <c r="J91" s="231">
        <v>1.230112049869589</v>
      </c>
      <c r="K91" s="443">
        <v>0</v>
      </c>
      <c r="L91" s="231">
        <v>0.67858791580408273</v>
      </c>
      <c r="M91" s="443">
        <v>0</v>
      </c>
      <c r="N91" s="231">
        <v>0.70281522918452755</v>
      </c>
      <c r="O91" s="443">
        <v>0</v>
      </c>
      <c r="P91" s="231">
        <v>0.62866373793961206</v>
      </c>
      <c r="Q91" s="443">
        <v>0</v>
      </c>
      <c r="R91" s="231">
        <v>2.5963872094137708</v>
      </c>
      <c r="S91" s="443">
        <v>0</v>
      </c>
      <c r="T91" s="231">
        <v>3.452037024973559</v>
      </c>
      <c r="U91" s="443">
        <v>0</v>
      </c>
      <c r="V91" s="231">
        <v>2.8927417559382533</v>
      </c>
      <c r="W91" s="443">
        <v>0</v>
      </c>
      <c r="X91" s="231">
        <v>1.5322612393364945</v>
      </c>
      <c r="Y91" s="443">
        <v>0</v>
      </c>
      <c r="Z91" s="231">
        <v>0.80646599905323069</v>
      </c>
      <c r="AA91" s="443">
        <v>0</v>
      </c>
      <c r="AB91" s="231">
        <v>2.0053183248613835</v>
      </c>
      <c r="AC91" s="443">
        <v>0</v>
      </c>
      <c r="AD91" s="231">
        <v>1.9514925696939298</v>
      </c>
      <c r="AE91" s="443">
        <v>0</v>
      </c>
      <c r="AF91" s="231">
        <v>1.0161632547367623</v>
      </c>
      <c r="AG91" s="443">
        <v>0</v>
      </c>
      <c r="AH91" s="231">
        <v>6.4291043821090604E-2</v>
      </c>
      <c r="AI91" s="443">
        <v>0</v>
      </c>
      <c r="AJ91" s="231">
        <v>26.603464492385335</v>
      </c>
      <c r="AK91" s="443">
        <v>0</v>
      </c>
      <c r="AL91" s="231">
        <v>0.91958383334944127</v>
      </c>
      <c r="AM91" s="443">
        <v>0</v>
      </c>
      <c r="AN91" s="231">
        <v>1.1297744238293137</v>
      </c>
      <c r="AO91" s="443">
        <v>0</v>
      </c>
      <c r="AP91" s="231">
        <v>3.3627439380987711</v>
      </c>
      <c r="AQ91" s="443">
        <v>0</v>
      </c>
      <c r="AR91" s="231">
        <v>0.64475262615998696</v>
      </c>
      <c r="AS91" s="443">
        <v>0</v>
      </c>
      <c r="AT91" s="231">
        <v>1.6166011821265505</v>
      </c>
      <c r="AU91" s="443">
        <v>0</v>
      </c>
      <c r="AV91" s="231">
        <v>0.54930622337617796</v>
      </c>
      <c r="AW91" s="443">
        <v>0</v>
      </c>
      <c r="AX91" s="231">
        <v>0.63870922626604965</v>
      </c>
      <c r="AY91" s="443">
        <v>0</v>
      </c>
      <c r="AZ91" s="231">
        <v>0.51783873672003422</v>
      </c>
      <c r="BA91" s="443">
        <v>0</v>
      </c>
      <c r="BB91" s="231">
        <v>0.4988971428105109</v>
      </c>
      <c r="BC91" s="443">
        <v>0</v>
      </c>
      <c r="BD91" s="231">
        <v>0.66234476767494654</v>
      </c>
      <c r="BE91" s="443">
        <v>0</v>
      </c>
      <c r="BF91" s="231">
        <v>1.8895767472645497</v>
      </c>
      <c r="BG91" s="443">
        <v>0</v>
      </c>
      <c r="BH91" s="231">
        <v>1.1618529296438291</v>
      </c>
      <c r="BI91" s="443">
        <v>0</v>
      </c>
      <c r="BJ91" s="231">
        <v>0.75583069890582</v>
      </c>
      <c r="BK91" s="443">
        <v>0</v>
      </c>
    </row>
    <row r="92" spans="1:79" s="145" customFormat="1" x14ac:dyDescent="0.35"/>
    <row r="93" spans="1:79" s="145" customFormat="1" ht="13.9" x14ac:dyDescent="0.4">
      <c r="A93" s="386" t="s">
        <v>1927</v>
      </c>
    </row>
    <row r="94" spans="1:79" s="145" customFormat="1" ht="13.15" x14ac:dyDescent="0.4">
      <c r="A94" s="400" t="s">
        <v>2121</v>
      </c>
    </row>
    <row r="95" spans="1:79" s="400" customFormat="1" ht="38.25" customHeight="1" x14ac:dyDescent="0.4">
      <c r="A95" s="158"/>
      <c r="B95" s="385" t="s">
        <v>2120</v>
      </c>
      <c r="C95" s="385" t="s">
        <v>2119</v>
      </c>
      <c r="D95" s="385" t="s">
        <v>2118</v>
      </c>
      <c r="E95" s="385" t="s">
        <v>2117</v>
      </c>
      <c r="F95" s="385" t="s">
        <v>2116</v>
      </c>
      <c r="G95" s="385" t="s">
        <v>2115</v>
      </c>
      <c r="H95" s="385" t="s">
        <v>2114</v>
      </c>
      <c r="I95" s="385" t="s">
        <v>2113</v>
      </c>
      <c r="J95" s="385" t="s">
        <v>2112</v>
      </c>
      <c r="K95" s="385" t="s">
        <v>2111</v>
      </c>
      <c r="L95" s="385" t="s">
        <v>2110</v>
      </c>
      <c r="M95" s="385" t="s">
        <v>2109</v>
      </c>
      <c r="N95" s="385" t="s">
        <v>2108</v>
      </c>
      <c r="O95" s="385" t="s">
        <v>1391</v>
      </c>
      <c r="P95" s="385" t="s">
        <v>1390</v>
      </c>
      <c r="Q95" s="385" t="s">
        <v>2107</v>
      </c>
      <c r="R95" s="385" t="s">
        <v>1240</v>
      </c>
      <c r="S95" s="385" t="s">
        <v>1388</v>
      </c>
      <c r="T95" s="385" t="s">
        <v>330</v>
      </c>
      <c r="U95" s="385" t="s">
        <v>2106</v>
      </c>
      <c r="V95" s="385" t="s">
        <v>2105</v>
      </c>
      <c r="W95" s="385" t="s">
        <v>2104</v>
      </c>
      <c r="X95" s="385" t="s">
        <v>1886</v>
      </c>
      <c r="Y95" s="385" t="s">
        <v>1235</v>
      </c>
      <c r="Z95" s="385" t="s">
        <v>1234</v>
      </c>
      <c r="AA95" s="385" t="s">
        <v>1226</v>
      </c>
      <c r="AB95" s="385" t="s">
        <v>1233</v>
      </c>
      <c r="AC95" s="385" t="s">
        <v>1232</v>
      </c>
      <c r="AD95" s="385" t="s">
        <v>1231</v>
      </c>
      <c r="AE95" s="385" t="s">
        <v>1230</v>
      </c>
      <c r="AF95" s="385" t="s">
        <v>1225</v>
      </c>
      <c r="AG95" s="385" t="s">
        <v>1229</v>
      </c>
      <c r="AH95" s="2205" t="s">
        <v>2103</v>
      </c>
      <c r="AI95" s="2205"/>
      <c r="AJ95" s="2205" t="s">
        <v>2102</v>
      </c>
      <c r="AK95" s="2205"/>
      <c r="AL95" s="2205" t="s">
        <v>2101</v>
      </c>
      <c r="AM95" s="2205"/>
      <c r="AN95" s="2205" t="s">
        <v>2100</v>
      </c>
      <c r="AO95" s="2205"/>
      <c r="AP95" s="2205" t="s">
        <v>2099</v>
      </c>
      <c r="AQ95" s="2205"/>
      <c r="AR95" s="2205" t="s">
        <v>2098</v>
      </c>
      <c r="AS95" s="2205"/>
      <c r="AT95" s="2205" t="s">
        <v>2097</v>
      </c>
      <c r="AU95" s="2205"/>
      <c r="AV95" s="2205" t="s">
        <v>2096</v>
      </c>
      <c r="AW95" s="2205"/>
      <c r="AX95" s="2205" t="s">
        <v>2095</v>
      </c>
      <c r="AY95" s="2205"/>
      <c r="AZ95" s="2205" t="s">
        <v>2094</v>
      </c>
      <c r="BA95" s="2205"/>
      <c r="BB95" s="2205" t="s">
        <v>2093</v>
      </c>
      <c r="BC95" s="2205"/>
      <c r="BD95" s="2205" t="s">
        <v>2092</v>
      </c>
      <c r="BE95" s="2205"/>
      <c r="BF95" s="2205" t="s">
        <v>2091</v>
      </c>
      <c r="BG95" s="2205"/>
      <c r="BH95" s="2205" t="s">
        <v>2090</v>
      </c>
      <c r="BI95" s="2205"/>
      <c r="BJ95" s="2205" t="s">
        <v>2089</v>
      </c>
      <c r="BK95" s="2205"/>
      <c r="BL95" s="2205" t="s">
        <v>2088</v>
      </c>
      <c r="BM95" s="2205"/>
      <c r="BN95" s="2205" t="s">
        <v>2087</v>
      </c>
      <c r="BO95" s="2205"/>
      <c r="BP95" s="2205" t="s">
        <v>2086</v>
      </c>
      <c r="BQ95" s="2205"/>
      <c r="BR95" s="2205" t="s">
        <v>2085</v>
      </c>
      <c r="BS95" s="2205"/>
      <c r="BT95" s="2205" t="s">
        <v>2084</v>
      </c>
      <c r="BU95" s="2205"/>
      <c r="BV95" s="2205" t="s">
        <v>2083</v>
      </c>
      <c r="BW95" s="2205"/>
      <c r="BX95" s="2205" t="s">
        <v>2082</v>
      </c>
      <c r="BY95" s="2205"/>
      <c r="BZ95" s="2205" t="s">
        <v>2081</v>
      </c>
      <c r="CA95" s="2205"/>
    </row>
    <row r="96" spans="1:79" s="145" customFormat="1" ht="13.15" x14ac:dyDescent="0.4">
      <c r="A96" s="158" t="s">
        <v>1632</v>
      </c>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5" t="s">
        <v>1873</v>
      </c>
      <c r="AI96" s="55" t="s">
        <v>1872</v>
      </c>
      <c r="AJ96" s="55" t="s">
        <v>1873</v>
      </c>
      <c r="AK96" s="55" t="s">
        <v>1872</v>
      </c>
      <c r="AL96" s="55" t="s">
        <v>1873</v>
      </c>
      <c r="AM96" s="55" t="s">
        <v>1872</v>
      </c>
      <c r="AN96" s="55" t="s">
        <v>1873</v>
      </c>
      <c r="AO96" s="55" t="s">
        <v>1872</v>
      </c>
      <c r="AP96" s="55" t="s">
        <v>1873</v>
      </c>
      <c r="AQ96" s="55" t="s">
        <v>1872</v>
      </c>
      <c r="AR96" s="55" t="s">
        <v>1873</v>
      </c>
      <c r="AS96" s="55" t="s">
        <v>1872</v>
      </c>
      <c r="AT96" s="55" t="s">
        <v>1873</v>
      </c>
      <c r="AU96" s="55" t="s">
        <v>1872</v>
      </c>
      <c r="AV96" s="55" t="s">
        <v>1873</v>
      </c>
      <c r="AW96" s="55" t="s">
        <v>1872</v>
      </c>
      <c r="AX96" s="55" t="s">
        <v>1873</v>
      </c>
      <c r="AY96" s="55" t="s">
        <v>1872</v>
      </c>
      <c r="AZ96" s="55" t="s">
        <v>1873</v>
      </c>
      <c r="BA96" s="55" t="s">
        <v>1872</v>
      </c>
      <c r="BB96" s="55" t="s">
        <v>1873</v>
      </c>
      <c r="BC96" s="55" t="s">
        <v>1872</v>
      </c>
      <c r="BD96" s="55" t="s">
        <v>1873</v>
      </c>
      <c r="BE96" s="55" t="s">
        <v>1872</v>
      </c>
      <c r="BF96" s="55" t="s">
        <v>1873</v>
      </c>
      <c r="BG96" s="55" t="s">
        <v>1872</v>
      </c>
      <c r="BH96" s="55" t="s">
        <v>1873</v>
      </c>
      <c r="BI96" s="55" t="s">
        <v>1872</v>
      </c>
      <c r="BJ96" s="55" t="s">
        <v>1873</v>
      </c>
      <c r="BK96" s="55" t="s">
        <v>1872</v>
      </c>
      <c r="BL96" s="55" t="s">
        <v>1873</v>
      </c>
      <c r="BM96" s="55" t="s">
        <v>1872</v>
      </c>
      <c r="BN96" s="55" t="s">
        <v>1873</v>
      </c>
      <c r="BO96" s="55" t="s">
        <v>1872</v>
      </c>
      <c r="BP96" s="55" t="s">
        <v>1873</v>
      </c>
      <c r="BQ96" s="55" t="s">
        <v>1872</v>
      </c>
      <c r="BR96" s="55" t="s">
        <v>1873</v>
      </c>
      <c r="BS96" s="55" t="s">
        <v>1872</v>
      </c>
      <c r="BT96" s="55" t="s">
        <v>1873</v>
      </c>
      <c r="BU96" s="55" t="s">
        <v>1872</v>
      </c>
      <c r="BV96" s="55" t="s">
        <v>1873</v>
      </c>
      <c r="BW96" s="55" t="s">
        <v>1872</v>
      </c>
      <c r="BX96" s="55" t="s">
        <v>1873</v>
      </c>
      <c r="BY96" s="55" t="s">
        <v>1872</v>
      </c>
      <c r="BZ96" s="55" t="s">
        <v>1873</v>
      </c>
      <c r="CA96" s="55" t="s">
        <v>1872</v>
      </c>
    </row>
    <row r="97" spans="1:79" s="145" customFormat="1" x14ac:dyDescent="0.35">
      <c r="A97" s="146" t="s">
        <v>1537</v>
      </c>
      <c r="B97" s="145">
        <v>78.008937925517444</v>
      </c>
      <c r="C97" s="145">
        <v>63.078163471496246</v>
      </c>
      <c r="D97" s="145">
        <v>108.37768464470679</v>
      </c>
      <c r="E97" s="145">
        <v>73.033177745208803</v>
      </c>
      <c r="F97" s="145">
        <v>73.340894488482704</v>
      </c>
      <c r="G97" s="145">
        <v>58.691152143470362</v>
      </c>
      <c r="H97" s="145">
        <v>63.306671165508106</v>
      </c>
      <c r="I97" s="145">
        <v>58.529975134350593</v>
      </c>
      <c r="J97" s="145">
        <v>95.352376161614899</v>
      </c>
      <c r="K97" s="145">
        <v>107.37371313283458</v>
      </c>
      <c r="L97" s="145">
        <v>84.48567359517628</v>
      </c>
      <c r="M97" s="145">
        <v>55.415326618552356</v>
      </c>
      <c r="N97" s="145">
        <v>55.643365069813676</v>
      </c>
      <c r="O97" s="145">
        <v>64.047775336041425</v>
      </c>
      <c r="P97" s="145">
        <v>61.235002491288874</v>
      </c>
      <c r="Q97" s="145">
        <v>43.794571291218446</v>
      </c>
      <c r="R97" s="145">
        <v>0.82454835375243851</v>
      </c>
      <c r="S97" s="145">
        <v>22.855042515915414</v>
      </c>
      <c r="T97" s="145">
        <v>511.49284804975179</v>
      </c>
      <c r="U97" s="145">
        <v>6.2383801190039465</v>
      </c>
      <c r="V97" s="145">
        <v>7.6642955747762791</v>
      </c>
      <c r="W97" s="145">
        <v>22.81257474082274</v>
      </c>
      <c r="X97" s="145">
        <v>10.150047987329692</v>
      </c>
      <c r="Y97" s="145">
        <v>10.9897350123903</v>
      </c>
      <c r="Z97" s="145">
        <v>3.7264476591259461</v>
      </c>
      <c r="AA97" s="145">
        <v>8.887266637471896</v>
      </c>
      <c r="AB97" s="145">
        <v>3.5129748510670069</v>
      </c>
      <c r="AC97" s="145">
        <v>3.3844766559247335</v>
      </c>
      <c r="AD97" s="145">
        <v>4.4932917269104848</v>
      </c>
      <c r="AE97" s="145">
        <v>12.818731241209109</v>
      </c>
      <c r="AF97" s="145">
        <v>7.8819134859043229</v>
      </c>
      <c r="AG97" s="145">
        <v>5.1274924964836437</v>
      </c>
      <c r="AH97" s="146">
        <v>89.38888710592397</v>
      </c>
      <c r="AI97" s="146">
        <v>4.4694443552961982E-2</v>
      </c>
      <c r="AJ97" s="146">
        <v>71.590022187079626</v>
      </c>
      <c r="AK97" s="146">
        <v>3.5795011093539816E-2</v>
      </c>
      <c r="AL97" s="146">
        <v>108.37768464470679</v>
      </c>
      <c r="AM97" s="146">
        <v>5.4188842322353395E-2</v>
      </c>
      <c r="AN97" s="146">
        <v>73.033177745208803</v>
      </c>
      <c r="AO97" s="146">
        <v>3.6516588872604401E-2</v>
      </c>
      <c r="AP97" s="146">
        <v>73.340894488482704</v>
      </c>
      <c r="AQ97" s="146">
        <v>3.6670447244241351E-2</v>
      </c>
      <c r="AR97" s="146">
        <v>69.620581404653379</v>
      </c>
      <c r="AS97" s="146">
        <v>3.4810290702326691E-2</v>
      </c>
      <c r="AT97" s="146">
        <v>74.230191408463156</v>
      </c>
      <c r="AU97" s="146">
        <v>3.7115095704231577E-2</v>
      </c>
      <c r="AV97" s="146">
        <v>69.459610742399533</v>
      </c>
      <c r="AW97" s="146">
        <v>3.4729805371199768E-2</v>
      </c>
      <c r="AX97" s="146">
        <v>106.74850552524904</v>
      </c>
      <c r="AY97" s="146">
        <v>5.3374252762624523E-2</v>
      </c>
      <c r="AZ97" s="146">
        <v>116.92586358713879</v>
      </c>
      <c r="BA97" s="146">
        <v>5.8462931793569393E-2</v>
      </c>
      <c r="BB97" s="146">
        <v>99.62002278148762</v>
      </c>
      <c r="BC97" s="146">
        <v>4.9810011390743807E-2</v>
      </c>
      <c r="BD97" s="146">
        <v>66.282383684512297</v>
      </c>
      <c r="BE97" s="146">
        <v>3.3141191842256147E-2</v>
      </c>
      <c r="BF97" s="146">
        <v>67.580445737797021</v>
      </c>
      <c r="BG97" s="146">
        <v>3.379022286889851E-2</v>
      </c>
      <c r="BH97" s="146">
        <v>64.047775336041425</v>
      </c>
      <c r="BI97" s="146">
        <v>3.2023887668020716E-2</v>
      </c>
      <c r="BJ97" s="146">
        <v>61.235002491288874</v>
      </c>
      <c r="BK97" s="146">
        <v>3.0617501245644437E-2</v>
      </c>
      <c r="BL97" s="146">
        <v>50.32070917461963</v>
      </c>
      <c r="BM97" s="146">
        <v>2.5160354587309815E-2</v>
      </c>
      <c r="BN97" s="146">
        <v>75.54977588422112</v>
      </c>
      <c r="BO97" s="146">
        <v>3.7774887942110563E-2</v>
      </c>
      <c r="BP97" s="146">
        <v>51.495966857247844</v>
      </c>
      <c r="BQ97" s="146">
        <v>2.5747983428623923E-2</v>
      </c>
      <c r="BR97" s="146">
        <v>72.717368853648708</v>
      </c>
      <c r="BS97" s="146">
        <v>3.6358684426824356E-2</v>
      </c>
      <c r="BT97" s="146">
        <v>97.615229222377394</v>
      </c>
      <c r="BU97" s="146">
        <v>4.8807614611188696E-2</v>
      </c>
      <c r="BV97" s="146">
        <v>73.942854977757989</v>
      </c>
      <c r="BW97" s="146">
        <v>3.6971427488878994E-2</v>
      </c>
      <c r="BX97" s="146">
        <v>271.5659943668208</v>
      </c>
      <c r="BY97" s="146">
        <v>0.13578299718341041</v>
      </c>
      <c r="BZ97" s="146">
        <v>455.38650887952133</v>
      </c>
      <c r="CA97" s="146">
        <v>0.22769325443976066</v>
      </c>
    </row>
    <row r="98" spans="1:79" s="145" customFormat="1" x14ac:dyDescent="0.35">
      <c r="A98" s="146" t="s">
        <v>1536</v>
      </c>
      <c r="B98" s="145">
        <v>76.509509707346112</v>
      </c>
      <c r="C98" s="145">
        <v>62.750586913244057</v>
      </c>
      <c r="D98" s="145">
        <v>105.61946202454754</v>
      </c>
      <c r="E98" s="145">
        <v>72.26475786392308</v>
      </c>
      <c r="F98" s="145">
        <v>72.563015600445084</v>
      </c>
      <c r="G98" s="145">
        <v>58.19346361206383</v>
      </c>
      <c r="H98" s="145">
        <v>62.789569036669718</v>
      </c>
      <c r="I98" s="145">
        <v>58.093867384255113</v>
      </c>
      <c r="J98" s="145">
        <v>93.60367208689631</v>
      </c>
      <c r="K98" s="145">
        <v>104.42527995054135</v>
      </c>
      <c r="L98" s="145">
        <v>82.030565167478514</v>
      </c>
      <c r="M98" s="145">
        <v>54.210469859809933</v>
      </c>
      <c r="N98" s="145">
        <v>55.076447113413479</v>
      </c>
      <c r="O98" s="145">
        <v>62.125010630131094</v>
      </c>
      <c r="P98" s="145">
        <v>59.499586539917814</v>
      </c>
      <c r="Q98" s="145">
        <v>42.721340496521222</v>
      </c>
      <c r="R98" s="145">
        <v>0.78352107886805344</v>
      </c>
      <c r="S98" s="145">
        <v>20.97305445643871</v>
      </c>
      <c r="T98" s="145">
        <v>481.63757218506521</v>
      </c>
      <c r="U98" s="145">
        <v>5.0418474350479432</v>
      </c>
      <c r="V98" s="145">
        <v>6.1942697059160441</v>
      </c>
      <c r="W98" s="145">
        <v>18.437081301519175</v>
      </c>
      <c r="X98" s="145">
        <v>9.597085527304289</v>
      </c>
      <c r="Y98" s="145">
        <v>8.8877729499580411</v>
      </c>
      <c r="Z98" s="145">
        <v>3.0117082020651833</v>
      </c>
      <c r="AA98" s="145">
        <v>8.076204372018152</v>
      </c>
      <c r="AB98" s="145">
        <v>2.8391798679090581</v>
      </c>
      <c r="AC98" s="145">
        <v>2.7353278609412928</v>
      </c>
      <c r="AD98" s="145">
        <v>3.6314701791308779</v>
      </c>
      <c r="AE98" s="145">
        <v>10.360075211219776</v>
      </c>
      <c r="AF98" s="145">
        <v>6.3701481048130653</v>
      </c>
      <c r="AG98" s="145">
        <v>4.1440300844879117</v>
      </c>
      <c r="AH98" s="146">
        <v>86.892808451421558</v>
      </c>
      <c r="AI98" s="146">
        <v>4.3446404225710777E-2</v>
      </c>
      <c r="AJ98" s="146">
        <v>70.405484572441182</v>
      </c>
      <c r="AK98" s="146">
        <v>3.5202742286220591E-2</v>
      </c>
      <c r="AL98" s="146">
        <v>105.61946202454754</v>
      </c>
      <c r="AM98" s="146">
        <v>5.2809731012273771E-2</v>
      </c>
      <c r="AN98" s="146">
        <v>72.26475786392308</v>
      </c>
      <c r="AO98" s="146">
        <v>3.6132378931961542E-2</v>
      </c>
      <c r="AP98" s="146">
        <v>72.563015600445084</v>
      </c>
      <c r="AQ98" s="146">
        <v>3.6281507800222539E-2</v>
      </c>
      <c r="AR98" s="146">
        <v>67.229515143731632</v>
      </c>
      <c r="AS98" s="146">
        <v>3.3614757571865814E-2</v>
      </c>
      <c r="AT98" s="146">
        <v>71.81973640436766</v>
      </c>
      <c r="AU98" s="146">
        <v>3.590986820218383E-2</v>
      </c>
      <c r="AV98" s="146">
        <v>67.130046423993562</v>
      </c>
      <c r="AW98" s="146">
        <v>3.3565023211996781E-2</v>
      </c>
      <c r="AX98" s="146">
        <v>103.64294967889622</v>
      </c>
      <c r="AY98" s="146">
        <v>5.1821474839448108E-2</v>
      </c>
      <c r="AZ98" s="146">
        <v>113.04634877090864</v>
      </c>
      <c r="BA98" s="146">
        <v>5.6523174385454317E-2</v>
      </c>
      <c r="BB98" s="146">
        <v>95.952622622930292</v>
      </c>
      <c r="BC98" s="146">
        <v>4.7976311311465146E-2</v>
      </c>
      <c r="BD98" s="146">
        <v>64.096346313798733</v>
      </c>
      <c r="BE98" s="146">
        <v>3.2048173156899368E-2</v>
      </c>
      <c r="BF98" s="146">
        <v>65.897769026321271</v>
      </c>
      <c r="BG98" s="146">
        <v>3.2948884513160637E-2</v>
      </c>
      <c r="BH98" s="146">
        <v>62.125010630131094</v>
      </c>
      <c r="BI98" s="146">
        <v>3.1062505315065547E-2</v>
      </c>
      <c r="BJ98" s="146">
        <v>59.499586539917814</v>
      </c>
      <c r="BK98" s="146">
        <v>2.9749793269958906E-2</v>
      </c>
      <c r="BL98" s="146">
        <v>48.290125092893561</v>
      </c>
      <c r="BM98" s="146">
        <v>2.4145062546446782E-2</v>
      </c>
      <c r="BN98" s="146">
        <v>73.378263201096345</v>
      </c>
      <c r="BO98" s="146">
        <v>3.6689131600548174E-2</v>
      </c>
      <c r="BP98" s="146">
        <v>48.693773683509065</v>
      </c>
      <c r="BQ98" s="146">
        <v>2.4346886841754532E-2</v>
      </c>
      <c r="BR98" s="146">
        <v>68.702313637313807</v>
      </c>
      <c r="BS98" s="146">
        <v>3.4351156818656907E-2</v>
      </c>
      <c r="BT98" s="146">
        <v>90.594815695681334</v>
      </c>
      <c r="BU98" s="146">
        <v>4.5297407847840664E-2</v>
      </c>
      <c r="BV98" s="146">
        <v>69.330301005501397</v>
      </c>
      <c r="BW98" s="146">
        <v>3.4665150502750701E-2</v>
      </c>
      <c r="BX98" s="146">
        <v>258.60146591018554</v>
      </c>
      <c r="BY98" s="146">
        <v>0.12930073295509276</v>
      </c>
      <c r="BZ98" s="146">
        <v>430.06572414338149</v>
      </c>
      <c r="CA98" s="146">
        <v>0.21503286207169076</v>
      </c>
    </row>
    <row r="99" spans="1:79" s="145" customFormat="1" x14ac:dyDescent="0.35">
      <c r="A99" s="146" t="s">
        <v>1535</v>
      </c>
      <c r="B99" s="145">
        <v>4.9518377050672004</v>
      </c>
      <c r="C99" s="145">
        <v>0.78683263290874161</v>
      </c>
      <c r="D99" s="145">
        <v>6.6523594288877543</v>
      </c>
      <c r="E99" s="145">
        <v>1.8455926899857746</v>
      </c>
      <c r="F99" s="145">
        <v>1.8684811635585539</v>
      </c>
      <c r="G99" s="145">
        <v>1.1990514204122675</v>
      </c>
      <c r="H99" s="145">
        <v>1.2459318182203951</v>
      </c>
      <c r="I99" s="145">
        <v>1.0503657093133192</v>
      </c>
      <c r="J99" s="145">
        <v>4.2121215024926411</v>
      </c>
      <c r="K99" s="145">
        <v>7.1081890525352032</v>
      </c>
      <c r="L99" s="145">
        <v>6.2998238968401115</v>
      </c>
      <c r="M99" s="145">
        <v>3.6097784072744115</v>
      </c>
      <c r="N99" s="145">
        <v>1.3638186284402747</v>
      </c>
      <c r="O99" s="145">
        <v>5.4258405677923607</v>
      </c>
      <c r="P99" s="145">
        <v>5.2818812988186963</v>
      </c>
      <c r="Q99" s="145">
        <v>3.030870988224958</v>
      </c>
      <c r="R99" s="145">
        <v>9.8870270207399802E-2</v>
      </c>
      <c r="S99" s="145">
        <v>4.6091793751989307</v>
      </c>
      <c r="T99" s="145">
        <v>89.502683774187972</v>
      </c>
      <c r="U99" s="145">
        <v>2.8892662086107355</v>
      </c>
      <c r="V99" s="145">
        <v>3.549669913436047</v>
      </c>
      <c r="W99" s="145">
        <v>10.565499388099125</v>
      </c>
      <c r="X99" s="145">
        <v>1.3339710623336247</v>
      </c>
      <c r="Y99" s="145">
        <v>5.0756012243516508</v>
      </c>
      <c r="Z99" s="145">
        <v>1.7258806123196355</v>
      </c>
      <c r="AA99" s="145">
        <v>1.9584652901260808</v>
      </c>
      <c r="AB99" s="145">
        <v>1.6270120344170089</v>
      </c>
      <c r="AC99" s="145">
        <v>1.5674989098542631</v>
      </c>
      <c r="AD99" s="145">
        <v>2.0810395814844105</v>
      </c>
      <c r="AE99" s="145">
        <v>5.9369141196868442</v>
      </c>
      <c r="AF99" s="145">
        <v>3.6504582695503749</v>
      </c>
      <c r="AG99" s="145">
        <v>2.3747656478747374</v>
      </c>
      <c r="AH99" s="146">
        <v>7.4546927744593408</v>
      </c>
      <c r="AI99" s="146">
        <v>3.7273463872296705E-3</v>
      </c>
      <c r="AJ99" s="146">
        <v>2.8559600694849423</v>
      </c>
      <c r="AK99" s="146">
        <v>1.4279800347424712E-3</v>
      </c>
      <c r="AL99" s="146">
        <v>6.6523594288877543</v>
      </c>
      <c r="AM99" s="146">
        <v>3.3261797144438772E-3</v>
      </c>
      <c r="AN99" s="146">
        <v>1.8455926899857746</v>
      </c>
      <c r="AO99" s="146">
        <v>9.2279634499288737E-4</v>
      </c>
      <c r="AP99" s="146">
        <v>1.8684811635585539</v>
      </c>
      <c r="AQ99" s="146">
        <v>9.3424058177927691E-4</v>
      </c>
      <c r="AR99" s="146">
        <v>5.7709906704621847</v>
      </c>
      <c r="AS99" s="146">
        <v>2.8854953352310925E-3</v>
      </c>
      <c r="AT99" s="146">
        <v>5.8178110496410183</v>
      </c>
      <c r="AU99" s="146">
        <v>2.9089055248205089E-3</v>
      </c>
      <c r="AV99" s="146">
        <v>5.6224953142448708</v>
      </c>
      <c r="AW99" s="146">
        <v>2.8112476571224352E-3</v>
      </c>
      <c r="AX99" s="146">
        <v>7.4882391330592517</v>
      </c>
      <c r="AY99" s="146">
        <v>3.7441195665296259E-3</v>
      </c>
      <c r="AZ99" s="146">
        <v>9.3560851151198854</v>
      </c>
      <c r="BA99" s="146">
        <v>4.678042557559943E-3</v>
      </c>
      <c r="BB99" s="146">
        <v>9.2675045316974103</v>
      </c>
      <c r="BC99" s="146">
        <v>4.6337522658487056E-3</v>
      </c>
      <c r="BD99" s="146">
        <v>6.0278149423414842</v>
      </c>
      <c r="BE99" s="146">
        <v>3.0139074711707419E-3</v>
      </c>
      <c r="BF99" s="146">
        <v>4.0575140313744713</v>
      </c>
      <c r="BG99" s="146">
        <v>2.0287570156872358E-3</v>
      </c>
      <c r="BH99" s="146">
        <v>5.4258405677923607</v>
      </c>
      <c r="BI99" s="146">
        <v>2.7129202838961802E-3</v>
      </c>
      <c r="BJ99" s="146">
        <v>5.2818812988186963</v>
      </c>
      <c r="BK99" s="146">
        <v>2.640940649409348E-3</v>
      </c>
      <c r="BL99" s="146">
        <v>5.3594391427608317</v>
      </c>
      <c r="BM99" s="146">
        <v>2.6797195713804157E-3</v>
      </c>
      <c r="BN99" s="146">
        <v>5.6608844726036827</v>
      </c>
      <c r="BO99" s="146">
        <v>2.8304422363018412E-3</v>
      </c>
      <c r="BP99" s="146">
        <v>6.7857973228229556</v>
      </c>
      <c r="BQ99" s="146">
        <v>3.3928986614114778E-3</v>
      </c>
      <c r="BR99" s="146">
        <v>9.7358245056449313</v>
      </c>
      <c r="BS99" s="146">
        <v>4.8679122528224655E-3</v>
      </c>
      <c r="BT99" s="146">
        <v>16.984576506428535</v>
      </c>
      <c r="BU99" s="146">
        <v>8.4922882532142679E-3</v>
      </c>
      <c r="BV99" s="146">
        <v>11.168732778298809</v>
      </c>
      <c r="BW99" s="146">
        <v>5.584366389149404E-3</v>
      </c>
      <c r="BX99" s="146">
        <v>37.252471737358341</v>
      </c>
      <c r="BY99" s="146">
        <v>1.8626235868679172E-2</v>
      </c>
      <c r="BZ99" s="146">
        <v>75.032219638815235</v>
      </c>
      <c r="CA99" s="146">
        <v>3.7516109819407617E-2</v>
      </c>
    </row>
    <row r="100" spans="1:79" s="145" customFormat="1" x14ac:dyDescent="0.35">
      <c r="A100" s="146" t="s">
        <v>1534</v>
      </c>
      <c r="B100" s="145">
        <v>47.106223870982717</v>
      </c>
      <c r="C100" s="145">
        <v>49.973101412898522</v>
      </c>
      <c r="D100" s="145">
        <v>76.003740038391996</v>
      </c>
      <c r="E100" s="145">
        <v>41.898261313102196</v>
      </c>
      <c r="F100" s="145">
        <v>42.310176066661214</v>
      </c>
      <c r="G100" s="145">
        <v>49.152428467257025</v>
      </c>
      <c r="H100" s="145">
        <v>53.70692368093124</v>
      </c>
      <c r="I100" s="145">
        <v>49.244808930725981</v>
      </c>
      <c r="J100" s="145">
        <v>59.175336495651862</v>
      </c>
      <c r="K100" s="145">
        <v>64.369015791734341</v>
      </c>
      <c r="L100" s="145">
        <v>41.572414272135859</v>
      </c>
      <c r="M100" s="145">
        <v>25.610934690522736</v>
      </c>
      <c r="N100" s="145">
        <v>38.970191273349045</v>
      </c>
      <c r="O100" s="145">
        <v>42.199617457610906</v>
      </c>
      <c r="P100" s="145">
        <v>36.793930405736091</v>
      </c>
      <c r="Q100" s="145">
        <v>35.898304167901905</v>
      </c>
      <c r="R100" s="145">
        <v>0.11199341528878581</v>
      </c>
      <c r="S100" s="145">
        <v>15.665413308040414</v>
      </c>
      <c r="T100" s="145">
        <v>347.04231534960724</v>
      </c>
      <c r="U100" s="145">
        <v>2.0544006037982601</v>
      </c>
      <c r="V100" s="145">
        <v>2.5239778846664329</v>
      </c>
      <c r="W100" s="145">
        <v>7.5125539687732399</v>
      </c>
      <c r="X100" s="145">
        <v>4.5799463393657698</v>
      </c>
      <c r="Y100" s="145">
        <v>3.627173111336659</v>
      </c>
      <c r="Z100" s="145">
        <v>1.2271801613386282</v>
      </c>
      <c r="AA100" s="145">
        <v>6.0342194209302464</v>
      </c>
      <c r="AB100" s="145">
        <v>1.156880074231911</v>
      </c>
      <c r="AC100" s="145">
        <v>1.1145635169443713</v>
      </c>
      <c r="AD100" s="145">
        <v>1.4797144548287802</v>
      </c>
      <c r="AE100" s="145">
        <v>4.2214178519907755</v>
      </c>
      <c r="AF100" s="145">
        <v>2.5956430220082325</v>
      </c>
      <c r="AG100" s="145">
        <v>1.6885671407963116</v>
      </c>
      <c r="AH100" s="146">
        <v>53.141866373632375</v>
      </c>
      <c r="AI100" s="146">
        <v>2.6570933186816189E-2</v>
      </c>
      <c r="AJ100" s="146">
        <v>54.984511600369544</v>
      </c>
      <c r="AK100" s="146">
        <v>2.7492255800184773E-2</v>
      </c>
      <c r="AL100" s="146">
        <v>76.003740038391996</v>
      </c>
      <c r="AM100" s="146">
        <v>3.8001870019195999E-2</v>
      </c>
      <c r="AN100" s="146">
        <v>41.898261313102196</v>
      </c>
      <c r="AO100" s="146">
        <v>2.0949130656551098E-2</v>
      </c>
      <c r="AP100" s="146">
        <v>42.310176066661214</v>
      </c>
      <c r="AQ100" s="146">
        <v>2.1155088033330608E-2</v>
      </c>
      <c r="AR100" s="146">
        <v>53.46705355872772</v>
      </c>
      <c r="AS100" s="146">
        <v>2.6733526779363859E-2</v>
      </c>
      <c r="AT100" s="146">
        <v>58.015717879904628</v>
      </c>
      <c r="AU100" s="146">
        <v>2.9007858939952315E-2</v>
      </c>
      <c r="AV100" s="146">
        <v>53.559315752108319</v>
      </c>
      <c r="AW100" s="146">
        <v>2.6779657876054158E-2</v>
      </c>
      <c r="AX100" s="146">
        <v>65.049192927690655</v>
      </c>
      <c r="AY100" s="146">
        <v>3.2524596463845326E-2</v>
      </c>
      <c r="AZ100" s="146">
        <v>69.557984665292651</v>
      </c>
      <c r="BA100" s="146">
        <v>3.4778992332646322E-2</v>
      </c>
      <c r="BB100" s="146">
        <v>48.734034014886284</v>
      </c>
      <c r="BC100" s="146">
        <v>2.4367017007443141E-2</v>
      </c>
      <c r="BD100" s="146">
        <v>31.256129572580925</v>
      </c>
      <c r="BE100" s="146">
        <v>1.5628064786290464E-2</v>
      </c>
      <c r="BF100" s="146">
        <v>45.495521316735449</v>
      </c>
      <c r="BG100" s="146">
        <v>2.2747760658367724E-2</v>
      </c>
      <c r="BH100" s="146">
        <v>42.199617457610906</v>
      </c>
      <c r="BI100" s="146">
        <v>2.1099808728805451E-2</v>
      </c>
      <c r="BJ100" s="146">
        <v>36.793930405736091</v>
      </c>
      <c r="BK100" s="146">
        <v>1.8396965202868047E-2</v>
      </c>
      <c r="BL100" s="146">
        <v>38.917662907729586</v>
      </c>
      <c r="BM100" s="146">
        <v>1.9458831453864792E-2</v>
      </c>
      <c r="BN100" s="146">
        <v>49.818552172978649</v>
      </c>
      <c r="BO100" s="146">
        <v>2.4909276086489324E-2</v>
      </c>
      <c r="BP100" s="146">
        <v>33.456320045649825</v>
      </c>
      <c r="BQ100" s="146">
        <v>1.6728160022824911E-2</v>
      </c>
      <c r="BR100" s="146">
        <v>47.896826044872824</v>
      </c>
      <c r="BS100" s="146">
        <v>2.3948413022436412E-2</v>
      </c>
      <c r="BT100" s="146">
        <v>59.763971376239709</v>
      </c>
      <c r="BU100" s="146">
        <v>2.9881985688119856E-2</v>
      </c>
      <c r="BV100" s="146">
        <v>47.039039155587453</v>
      </c>
      <c r="BW100" s="146">
        <v>2.3519519577793725E-2</v>
      </c>
      <c r="BX100" s="146">
        <v>183.91940273956823</v>
      </c>
      <c r="BY100" s="146">
        <v>9.1959701369784111E-2</v>
      </c>
      <c r="BZ100" s="146">
        <v>307.51299308148236</v>
      </c>
      <c r="CA100" s="146">
        <v>0.15375649654074119</v>
      </c>
    </row>
    <row r="101" spans="1:79" s="145" customFormat="1" x14ac:dyDescent="0.35">
      <c r="A101" s="146" t="s">
        <v>1533</v>
      </c>
      <c r="B101" s="145">
        <v>24.451448131296193</v>
      </c>
      <c r="C101" s="145">
        <v>11.990652867436793</v>
      </c>
      <c r="D101" s="145">
        <v>22.963362557267796</v>
      </c>
      <c r="E101" s="145">
        <v>28.520903860835105</v>
      </c>
      <c r="F101" s="145">
        <v>28.384358370225311</v>
      </c>
      <c r="G101" s="145">
        <v>7.8419837243945381</v>
      </c>
      <c r="H101" s="145">
        <v>7.8367135375180812</v>
      </c>
      <c r="I101" s="145">
        <v>7.7986927442158098</v>
      </c>
      <c r="J101" s="145">
        <v>30.216214088751812</v>
      </c>
      <c r="K101" s="145">
        <v>32.948075106271808</v>
      </c>
      <c r="L101" s="145">
        <v>34.158326998502545</v>
      </c>
      <c r="M101" s="145">
        <v>24.989756762012785</v>
      </c>
      <c r="N101" s="145">
        <v>14.742437211624161</v>
      </c>
      <c r="O101" s="145">
        <v>14.499552604727825</v>
      </c>
      <c r="P101" s="145">
        <v>17.423774835363027</v>
      </c>
      <c r="Q101" s="145">
        <v>3.7921653403943547</v>
      </c>
      <c r="R101" s="145">
        <v>0.57265739337186783</v>
      </c>
      <c r="S101" s="145">
        <v>0.69846177319936742</v>
      </c>
      <c r="T101" s="145">
        <v>45.092573061270024</v>
      </c>
      <c r="U101" s="145">
        <v>9.818062263894764E-2</v>
      </c>
      <c r="V101" s="145">
        <v>0.12062190781356424</v>
      </c>
      <c r="W101" s="145">
        <v>0.35902794464680954</v>
      </c>
      <c r="X101" s="145">
        <v>3.6831681256048947</v>
      </c>
      <c r="Y101" s="145">
        <v>0.18499861426973147</v>
      </c>
      <c r="Z101" s="145">
        <v>5.8647428406919555E-2</v>
      </c>
      <c r="AA101" s="145">
        <v>8.3519660961824976E-2</v>
      </c>
      <c r="AB101" s="145">
        <v>5.5287759260138292E-2</v>
      </c>
      <c r="AC101" s="145">
        <v>5.3265434142658302E-2</v>
      </c>
      <c r="AD101" s="145">
        <v>7.0716142817687219E-2</v>
      </c>
      <c r="AE101" s="145">
        <v>0.20174323954215651</v>
      </c>
      <c r="AF101" s="145">
        <v>0.12404681325445777</v>
      </c>
      <c r="AG101" s="145">
        <v>8.0697295816862621E-2</v>
      </c>
      <c r="AH101" s="146">
        <v>26.296249303329851</v>
      </c>
      <c r="AI101" s="146">
        <v>1.3148124651664926E-2</v>
      </c>
      <c r="AJ101" s="146">
        <v>12.565012902586689</v>
      </c>
      <c r="AK101" s="146">
        <v>6.2825064512933449E-3</v>
      </c>
      <c r="AL101" s="146">
        <v>22.963362557267796</v>
      </c>
      <c r="AM101" s="146">
        <v>1.1481681278633898E-2</v>
      </c>
      <c r="AN101" s="146">
        <v>28.520903860835105</v>
      </c>
      <c r="AO101" s="146">
        <v>1.4260451930417552E-2</v>
      </c>
      <c r="AP101" s="146">
        <v>28.384358370225311</v>
      </c>
      <c r="AQ101" s="146">
        <v>1.4192179185112655E-2</v>
      </c>
      <c r="AR101" s="146">
        <v>7.991470914541722</v>
      </c>
      <c r="AS101" s="146">
        <v>3.9957354572708612E-3</v>
      </c>
      <c r="AT101" s="146">
        <v>7.9862074748220131</v>
      </c>
      <c r="AU101" s="146">
        <v>3.9931037374110068E-3</v>
      </c>
      <c r="AV101" s="146">
        <v>7.9482353576403675</v>
      </c>
      <c r="AW101" s="146">
        <v>3.9741176788201833E-3</v>
      </c>
      <c r="AX101" s="146">
        <v>31.105517618146312</v>
      </c>
      <c r="AY101" s="146">
        <v>1.5552758809073156E-2</v>
      </c>
      <c r="AZ101" s="146">
        <v>34.132278990496104</v>
      </c>
      <c r="BA101" s="146">
        <v>1.7066139495248052E-2</v>
      </c>
      <c r="BB101" s="146">
        <v>37.951084076346596</v>
      </c>
      <c r="BC101" s="146">
        <v>1.8975542038173299E-2</v>
      </c>
      <c r="BD101" s="146">
        <v>26.812401798876319</v>
      </c>
      <c r="BE101" s="146">
        <v>1.3406200899438159E-2</v>
      </c>
      <c r="BF101" s="146">
        <v>16.344733678211355</v>
      </c>
      <c r="BG101" s="146">
        <v>8.1723668391056777E-3</v>
      </c>
      <c r="BH101" s="146">
        <v>14.499552604727825</v>
      </c>
      <c r="BI101" s="146">
        <v>7.249776302363912E-3</v>
      </c>
      <c r="BJ101" s="146">
        <v>17.423774835363027</v>
      </c>
      <c r="BK101" s="146">
        <v>8.7118874176815141E-3</v>
      </c>
      <c r="BL101" s="146">
        <v>4.0130230424031375</v>
      </c>
      <c r="BM101" s="146">
        <v>2.0065115212015688E-3</v>
      </c>
      <c r="BN101" s="146">
        <v>17.898826555514017</v>
      </c>
      <c r="BO101" s="146">
        <v>8.9494132777570082E-3</v>
      </c>
      <c r="BP101" s="146">
        <v>8.4516563150362884</v>
      </c>
      <c r="BQ101" s="146">
        <v>4.2258281575181444E-3</v>
      </c>
      <c r="BR101" s="146">
        <v>11.069663086796048</v>
      </c>
      <c r="BS101" s="146">
        <v>5.5348315433980241E-3</v>
      </c>
      <c r="BT101" s="146">
        <v>13.846267813013091</v>
      </c>
      <c r="BU101" s="146">
        <v>6.9231339065065458E-3</v>
      </c>
      <c r="BV101" s="146">
        <v>11.122529071615142</v>
      </c>
      <c r="BW101" s="146">
        <v>5.5612645358075708E-3</v>
      </c>
      <c r="BX101" s="146">
        <v>37.429591433258942</v>
      </c>
      <c r="BY101" s="146">
        <v>1.871479571662947E-2</v>
      </c>
      <c r="BZ101" s="146">
        <v>47.520511423083953</v>
      </c>
      <c r="CA101" s="146">
        <v>2.3760255711541976E-2</v>
      </c>
    </row>
    <row r="102" spans="1:79" s="145" customFormat="1" x14ac:dyDescent="0.35">
      <c r="A102" s="146" t="s">
        <v>1532</v>
      </c>
      <c r="B102" s="48">
        <v>1257.2191971471905</v>
      </c>
      <c r="C102" s="48">
        <v>480.24826641421384</v>
      </c>
      <c r="D102" s="48">
        <v>1940.6845297696957</v>
      </c>
      <c r="E102" s="48">
        <v>942.12048920780398</v>
      </c>
      <c r="F102" s="48">
        <v>945.77477857937401</v>
      </c>
      <c r="G102" s="48">
        <v>497.11107342106243</v>
      </c>
      <c r="H102" s="48">
        <v>518.07713338623694</v>
      </c>
      <c r="I102" s="48">
        <v>466.04268848188019</v>
      </c>
      <c r="J102" s="48">
        <v>1519.9314904266298</v>
      </c>
      <c r="K102" s="48">
        <v>2166.8783307909403</v>
      </c>
      <c r="L102" s="48">
        <v>1879.3964750058469</v>
      </c>
      <c r="M102" s="48">
        <v>1066.3789447692261</v>
      </c>
      <c r="N102" s="48">
        <v>614.88896627105635</v>
      </c>
      <c r="O102" s="48">
        <v>1299.9964902854942</v>
      </c>
      <c r="P102" s="48">
        <v>1243.5050658412692</v>
      </c>
      <c r="Q102" s="48">
        <v>685.94984217350657</v>
      </c>
      <c r="R102" s="48">
        <v>30.616969891200746</v>
      </c>
      <c r="S102" s="48">
        <v>10047.508477458519</v>
      </c>
      <c r="T102" s="48">
        <v>16527.116015635584</v>
      </c>
      <c r="U102" s="48">
        <v>600.12982206011611</v>
      </c>
      <c r="V102" s="48">
        <v>737.30235281671423</v>
      </c>
      <c r="W102" s="48">
        <v>2194.5611134271426</v>
      </c>
      <c r="X102" s="48">
        <v>350.05315641761661</v>
      </c>
      <c r="Y102" s="48">
        <v>1054.5447350905345</v>
      </c>
      <c r="Z102" s="48">
        <v>358.48286380866745</v>
      </c>
      <c r="AA102" s="48">
        <v>418.89554284677064</v>
      </c>
      <c r="AB102" s="48">
        <v>337.94685993086279</v>
      </c>
      <c r="AC102" s="48">
        <v>325.58538186849495</v>
      </c>
      <c r="AD102" s="48">
        <v>432.25297482602394</v>
      </c>
      <c r="AE102" s="48">
        <v>1233.1571260604048</v>
      </c>
      <c r="AF102" s="48">
        <v>758.23711405136942</v>
      </c>
      <c r="AG102" s="48">
        <v>493.26285042416197</v>
      </c>
      <c r="AH102" s="383">
        <v>1796.501289536063</v>
      </c>
      <c r="AI102" s="528">
        <v>0.89825064476803151</v>
      </c>
      <c r="AJ102" s="383">
        <v>927.09197965762212</v>
      </c>
      <c r="AK102" s="528">
        <v>0.46354598982881107</v>
      </c>
      <c r="AL102" s="383">
        <v>1940.6845297696957</v>
      </c>
      <c r="AM102" s="528">
        <v>0.97034226488484787</v>
      </c>
      <c r="AN102" s="383">
        <v>942.12048920780398</v>
      </c>
      <c r="AO102" s="528">
        <v>0.471060244603902</v>
      </c>
      <c r="AP102" s="383">
        <v>945.77477857937401</v>
      </c>
      <c r="AQ102" s="528">
        <v>0.47288738928968699</v>
      </c>
      <c r="AR102" s="383">
        <v>1449.3663894834312</v>
      </c>
      <c r="AS102" s="528">
        <v>0.72468319474171561</v>
      </c>
      <c r="AT102" s="383">
        <v>1470.3056076503353</v>
      </c>
      <c r="AU102" s="528">
        <v>0.73515280382516768</v>
      </c>
      <c r="AV102" s="383">
        <v>1418.3377798440672</v>
      </c>
      <c r="AW102" s="528">
        <v>0.70916888992203364</v>
      </c>
      <c r="AX102" s="383">
        <v>2222.4383808521607</v>
      </c>
      <c r="AY102" s="528">
        <v>1.1112191904260804</v>
      </c>
      <c r="AZ102" s="383">
        <v>2661.2034285970649</v>
      </c>
      <c r="BA102" s="528">
        <v>1.3306017142985325</v>
      </c>
      <c r="BB102" s="383">
        <v>2560.5024623582681</v>
      </c>
      <c r="BC102" s="528">
        <v>1.2802512311791341</v>
      </c>
      <c r="BD102" s="383">
        <v>1596.731434907869</v>
      </c>
      <c r="BE102" s="528">
        <v>0.79836571745393448</v>
      </c>
      <c r="BF102" s="383">
        <v>1210.2837264139077</v>
      </c>
      <c r="BG102" s="528">
        <v>0.60514186320695385</v>
      </c>
      <c r="BH102" s="383">
        <v>1299.9964902854942</v>
      </c>
      <c r="BI102" s="528">
        <v>0.64999824514274718</v>
      </c>
      <c r="BJ102" s="383">
        <v>1243.5050658412692</v>
      </c>
      <c r="BK102" s="528">
        <v>0.62175253292063459</v>
      </c>
      <c r="BL102" s="383">
        <v>1171.9617001199567</v>
      </c>
      <c r="BM102" s="528">
        <v>0.58598085005997835</v>
      </c>
      <c r="BN102" s="383">
        <v>1495.0895883150197</v>
      </c>
      <c r="BO102" s="528">
        <v>0.74754479415750985</v>
      </c>
      <c r="BP102" s="383">
        <v>4714.053168802553</v>
      </c>
      <c r="BQ102" s="528">
        <v>2.3570265844012765</v>
      </c>
      <c r="BR102" s="383">
        <v>8494.7502969733214</v>
      </c>
      <c r="BS102" s="528">
        <v>4.2473751484866611</v>
      </c>
      <c r="BT102" s="383">
        <v>9027.8311275472242</v>
      </c>
      <c r="BU102" s="528">
        <v>4.5139155637736117</v>
      </c>
      <c r="BV102" s="383">
        <v>7412.2115311076996</v>
      </c>
      <c r="BW102" s="528">
        <v>3.7061057655538496</v>
      </c>
      <c r="BX102" s="383">
        <v>7550.9930885212034</v>
      </c>
      <c r="BY102" s="528">
        <v>3.7754965442606019</v>
      </c>
      <c r="BZ102" s="383">
        <v>14202.405846076046</v>
      </c>
      <c r="CA102" s="528">
        <v>7.1012029230380227</v>
      </c>
    </row>
    <row r="103" spans="1:79" s="145" customFormat="1" ht="13.15" x14ac:dyDescent="0.4">
      <c r="A103" s="158" t="s">
        <v>1663</v>
      </c>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46" t="s">
        <v>1873</v>
      </c>
      <c r="AI103" s="146" t="s">
        <v>1872</v>
      </c>
      <c r="AJ103" s="146" t="s">
        <v>1873</v>
      </c>
      <c r="AK103" s="146" t="s">
        <v>1872</v>
      </c>
      <c r="AL103" s="146" t="s">
        <v>1873</v>
      </c>
      <c r="AM103" s="146" t="s">
        <v>1872</v>
      </c>
      <c r="AN103" s="146" t="s">
        <v>1873</v>
      </c>
      <c r="AO103" s="146" t="s">
        <v>1872</v>
      </c>
      <c r="AP103" s="146" t="s">
        <v>1873</v>
      </c>
      <c r="AQ103" s="146" t="s">
        <v>1872</v>
      </c>
      <c r="AR103" s="146" t="s">
        <v>1873</v>
      </c>
      <c r="AS103" s="146" t="s">
        <v>1872</v>
      </c>
      <c r="AT103" s="146" t="s">
        <v>1873</v>
      </c>
      <c r="AU103" s="146" t="s">
        <v>1872</v>
      </c>
      <c r="AV103" s="146" t="s">
        <v>1873</v>
      </c>
      <c r="AW103" s="146" t="s">
        <v>1872</v>
      </c>
      <c r="AX103" s="146" t="s">
        <v>1873</v>
      </c>
      <c r="AY103" s="146" t="s">
        <v>1872</v>
      </c>
      <c r="AZ103" s="146" t="s">
        <v>1873</v>
      </c>
      <c r="BA103" s="146" t="s">
        <v>1872</v>
      </c>
      <c r="BB103" s="146" t="s">
        <v>1873</v>
      </c>
      <c r="BC103" s="146" t="s">
        <v>1872</v>
      </c>
      <c r="BD103" s="146" t="s">
        <v>1873</v>
      </c>
      <c r="BE103" s="146" t="s">
        <v>1872</v>
      </c>
      <c r="BF103" s="146" t="s">
        <v>1873</v>
      </c>
      <c r="BG103" s="146" t="s">
        <v>1872</v>
      </c>
      <c r="BH103" s="146" t="s">
        <v>1873</v>
      </c>
      <c r="BI103" s="146" t="s">
        <v>1872</v>
      </c>
      <c r="BJ103" s="146" t="s">
        <v>1873</v>
      </c>
      <c r="BK103" s="146" t="s">
        <v>1872</v>
      </c>
      <c r="BL103" s="146" t="s">
        <v>1873</v>
      </c>
      <c r="BM103" s="146" t="s">
        <v>1872</v>
      </c>
      <c r="BN103" s="146" t="s">
        <v>1873</v>
      </c>
      <c r="BO103" s="146" t="s">
        <v>1872</v>
      </c>
      <c r="BP103" s="146" t="s">
        <v>1873</v>
      </c>
      <c r="BQ103" s="146" t="s">
        <v>1872</v>
      </c>
      <c r="BR103" s="146" t="s">
        <v>1873</v>
      </c>
      <c r="BS103" s="146" t="s">
        <v>1872</v>
      </c>
      <c r="BT103" s="146" t="s">
        <v>1873</v>
      </c>
      <c r="BU103" s="146" t="s">
        <v>1872</v>
      </c>
      <c r="BV103" s="146" t="s">
        <v>1873</v>
      </c>
      <c r="BW103" s="146" t="s">
        <v>1872</v>
      </c>
      <c r="BX103" s="146" t="s">
        <v>1873</v>
      </c>
      <c r="BY103" s="146" t="s">
        <v>1872</v>
      </c>
      <c r="BZ103" s="146" t="s">
        <v>1873</v>
      </c>
      <c r="CA103" s="146" t="s">
        <v>1872</v>
      </c>
    </row>
    <row r="104" spans="1:79" s="145" customFormat="1" x14ac:dyDescent="0.35">
      <c r="A104" s="146" t="s">
        <v>1525</v>
      </c>
      <c r="B104" s="145">
        <v>1084.4147439867368</v>
      </c>
      <c r="C104" s="145">
        <v>1175.1425526819314</v>
      </c>
      <c r="D104" s="145">
        <v>987.47875609020548</v>
      </c>
      <c r="E104" s="145">
        <v>918.50669312249545</v>
      </c>
      <c r="F104" s="145">
        <v>939.24948865813883</v>
      </c>
      <c r="G104" s="145">
        <v>1200.4489855891011</v>
      </c>
      <c r="H104" s="145">
        <v>1274.5103922156738</v>
      </c>
      <c r="I104" s="145">
        <v>1214.5693478852361</v>
      </c>
      <c r="J104" s="145">
        <v>831.63685680284698</v>
      </c>
      <c r="K104" s="145">
        <v>907.07299974389809</v>
      </c>
      <c r="L104" s="145">
        <v>650.94933208384828</v>
      </c>
      <c r="M104" s="145">
        <v>569.03082657667164</v>
      </c>
      <c r="N104" s="145">
        <v>1000.9368530751489</v>
      </c>
      <c r="O104" s="145">
        <v>896.1901182675233</v>
      </c>
      <c r="P104" s="145">
        <v>1020.1069609692794</v>
      </c>
      <c r="Q104" s="145">
        <v>735.59645568366045</v>
      </c>
      <c r="R104" s="145">
        <v>5.0724676380287033</v>
      </c>
      <c r="S104" s="145">
        <v>245.04537150999496</v>
      </c>
      <c r="T104" s="145">
        <v>4957.3652469177878</v>
      </c>
      <c r="U104" s="145">
        <v>45.315963452231536</v>
      </c>
      <c r="V104" s="145">
        <v>55.673897955598747</v>
      </c>
      <c r="W104" s="145">
        <v>165.7118969165158</v>
      </c>
      <c r="X104" s="145">
        <v>82.824715133606261</v>
      </c>
      <c r="Y104" s="145">
        <v>80.048210930063789</v>
      </c>
      <c r="Z104" s="145">
        <v>27.069136972462562</v>
      </c>
      <c r="AA104" s="145">
        <v>85.152787207324451</v>
      </c>
      <c r="AB104" s="145">
        <v>25.51845782442939</v>
      </c>
      <c r="AC104" s="145">
        <v>24.585039308137578</v>
      </c>
      <c r="AD104" s="145">
        <v>32.639537795494348</v>
      </c>
      <c r="AE104" s="145">
        <v>93.116024568788063</v>
      </c>
      <c r="AF104" s="145">
        <v>57.254687378351015</v>
      </c>
      <c r="AG104" s="145">
        <v>37.24640982751523</v>
      </c>
      <c r="AH104" s="146">
        <v>1209.4154010839377</v>
      </c>
      <c r="AI104" s="146">
        <v>0.60470770054196887</v>
      </c>
      <c r="AJ104" s="146">
        <v>1273.4238539462003</v>
      </c>
      <c r="AK104" s="146">
        <v>0.6367119269731002</v>
      </c>
      <c r="AL104" s="146">
        <v>987.47875609020548</v>
      </c>
      <c r="AM104" s="146">
        <v>0.49373937804510276</v>
      </c>
      <c r="AN104" s="146">
        <v>918.50669312249545</v>
      </c>
      <c r="AO104" s="146">
        <v>0.45925334656124772</v>
      </c>
      <c r="AP104" s="146">
        <v>939.24948865813883</v>
      </c>
      <c r="AQ104" s="146">
        <v>0.46962474432906942</v>
      </c>
      <c r="AR104" s="146">
        <v>1283.8442753600805</v>
      </c>
      <c r="AS104" s="146">
        <v>0.64192213768004025</v>
      </c>
      <c r="AT104" s="146">
        <v>1357.8108648708196</v>
      </c>
      <c r="AU104" s="146">
        <v>0.67890543243540979</v>
      </c>
      <c r="AV104" s="146">
        <v>1297.946560062386</v>
      </c>
      <c r="AW104" s="146">
        <v>0.64897328003119303</v>
      </c>
      <c r="AX104" s="146">
        <v>927.38758888266591</v>
      </c>
      <c r="AY104" s="146">
        <v>0.46369379444133296</v>
      </c>
      <c r="AZ104" s="146">
        <v>987.80710348063633</v>
      </c>
      <c r="BA104" s="146">
        <v>0.49390355174031819</v>
      </c>
      <c r="BB104" s="146">
        <v>769.46339366315999</v>
      </c>
      <c r="BC104" s="146">
        <v>0.38473169683157998</v>
      </c>
      <c r="BD104" s="146">
        <v>669.86342216515663</v>
      </c>
      <c r="BE104" s="146">
        <v>0.3349317110825783</v>
      </c>
      <c r="BF104" s="146">
        <v>1152.0184251084038</v>
      </c>
      <c r="BG104" s="146">
        <v>0.5760092125542019</v>
      </c>
      <c r="BH104" s="146">
        <v>896.1901182675233</v>
      </c>
      <c r="BI104" s="146">
        <v>0.44809505913376163</v>
      </c>
      <c r="BJ104" s="146">
        <v>1020.1069609692794</v>
      </c>
      <c r="BK104" s="146">
        <v>0.51005348048463972</v>
      </c>
      <c r="BL104" s="146">
        <v>799.32115469146834</v>
      </c>
      <c r="BM104" s="146">
        <v>0.39966057734573418</v>
      </c>
      <c r="BN104" s="146">
        <v>1020.303521960272</v>
      </c>
      <c r="BO104" s="146">
        <v>0.51015176098013593</v>
      </c>
      <c r="BP104" s="146">
        <v>469.15226033444111</v>
      </c>
      <c r="BQ104" s="146">
        <v>0.23457613016722056</v>
      </c>
      <c r="BR104" s="146">
        <v>673.57524484556893</v>
      </c>
      <c r="BS104" s="146">
        <v>0.33678762242278448</v>
      </c>
      <c r="BT104" s="146">
        <v>868.25064964862997</v>
      </c>
      <c r="BU104" s="146">
        <v>0.43412532482431498</v>
      </c>
      <c r="BV104" s="146">
        <v>670.32605160954665</v>
      </c>
      <c r="BW104" s="146">
        <v>0.33516302580477331</v>
      </c>
      <c r="BX104" s="146">
        <v>2566.2516769394738</v>
      </c>
      <c r="BY104" s="146">
        <v>1.2831258384697368</v>
      </c>
      <c r="BZ104" s="146">
        <v>4376.5199167568508</v>
      </c>
      <c r="CA104" s="146">
        <v>2.1882599583784255</v>
      </c>
    </row>
    <row r="105" spans="1:79" s="145" customFormat="1" x14ac:dyDescent="0.35">
      <c r="A105" s="146" t="s">
        <v>1524</v>
      </c>
      <c r="B105" s="145">
        <v>10525.879251043134</v>
      </c>
      <c r="C105" s="145">
        <v>5229.6876762546099</v>
      </c>
      <c r="D105" s="145">
        <v>4184.1658825633858</v>
      </c>
      <c r="E105" s="145">
        <v>11135.702230026385</v>
      </c>
      <c r="F105" s="145">
        <v>11094.008924228845</v>
      </c>
      <c r="G105" s="145">
        <v>4490.1137179694197</v>
      </c>
      <c r="H105" s="145">
        <v>4715.1174001250365</v>
      </c>
      <c r="I105" s="145">
        <v>4467.8886077630432</v>
      </c>
      <c r="J105" s="145">
        <v>8369.8619384215435</v>
      </c>
      <c r="K105" s="145">
        <v>4990.872981203308</v>
      </c>
      <c r="L105" s="145">
        <v>2532.6286366591548</v>
      </c>
      <c r="M105" s="145">
        <v>13740.33742535399</v>
      </c>
      <c r="N105" s="145">
        <v>6780.3179375397904</v>
      </c>
      <c r="O105" s="145">
        <v>6399.4900761926347</v>
      </c>
      <c r="P105" s="145">
        <v>7286.007023178674</v>
      </c>
      <c r="Q105" s="145">
        <v>2817.1594938448843</v>
      </c>
      <c r="R105" s="145">
        <v>30.085729211884779</v>
      </c>
      <c r="S105" s="145">
        <v>886.4934216374279</v>
      </c>
      <c r="T105" s="145">
        <v>19968.675723926419</v>
      </c>
      <c r="U105" s="145">
        <v>126.54174221451572</v>
      </c>
      <c r="V105" s="145">
        <v>155.46556900640505</v>
      </c>
      <c r="W105" s="145">
        <v>462.73918822431051</v>
      </c>
      <c r="X105" s="145">
        <v>388.9057959279466</v>
      </c>
      <c r="Y105" s="145">
        <v>226.54361533680043</v>
      </c>
      <c r="Z105" s="145">
        <v>75.588721761361896</v>
      </c>
      <c r="AA105" s="145">
        <v>315.32592151050471</v>
      </c>
      <c r="AB105" s="145">
        <v>71.25855583176218</v>
      </c>
      <c r="AC105" s="145">
        <v>68.652048184818668</v>
      </c>
      <c r="AD105" s="145">
        <v>91.143686751186095</v>
      </c>
      <c r="AE105" s="145">
        <v>260.02015800557467</v>
      </c>
      <c r="AF105" s="145">
        <v>159.87981582784164</v>
      </c>
      <c r="AG105" s="145">
        <v>104.00806320222989</v>
      </c>
      <c r="AH105" s="146">
        <v>11435.487711990121</v>
      </c>
      <c r="AI105" s="146">
        <v>5.7177438559950602</v>
      </c>
      <c r="AJ105" s="146">
        <v>5610.0645136075427</v>
      </c>
      <c r="AK105" s="146">
        <v>2.8050322568037713</v>
      </c>
      <c r="AL105" s="146">
        <v>4184.1658825633858</v>
      </c>
      <c r="AM105" s="146">
        <v>2.092082941281693</v>
      </c>
      <c r="AN105" s="146">
        <v>11135.702230026385</v>
      </c>
      <c r="AO105" s="146">
        <v>5.5678511150131929</v>
      </c>
      <c r="AP105" s="146">
        <v>11094.008924228845</v>
      </c>
      <c r="AQ105" s="146">
        <v>5.5470044621144226</v>
      </c>
      <c r="AR105" s="146">
        <v>4740.3366073364323</v>
      </c>
      <c r="AS105" s="146">
        <v>2.370168303668216</v>
      </c>
      <c r="AT105" s="146">
        <v>4965.0522285279694</v>
      </c>
      <c r="AU105" s="146">
        <v>2.4825261142639845</v>
      </c>
      <c r="AV105" s="146">
        <v>4718.1399508273971</v>
      </c>
      <c r="AW105" s="146">
        <v>2.3590699754136986</v>
      </c>
      <c r="AX105" s="146">
        <v>8827.5230009764146</v>
      </c>
      <c r="AY105" s="146">
        <v>4.4137615004882074</v>
      </c>
      <c r="AZ105" s="146">
        <v>5325.7309458936807</v>
      </c>
      <c r="BA105" s="146">
        <v>2.6628654729468404</v>
      </c>
      <c r="BB105" s="146">
        <v>2958.3068605767689</v>
      </c>
      <c r="BC105" s="146">
        <v>1.4791534302883844</v>
      </c>
      <c r="BD105" s="146">
        <v>14907.018919386262</v>
      </c>
      <c r="BE105" s="146">
        <v>7.4535094596931311</v>
      </c>
      <c r="BF105" s="146">
        <v>7623.0362907090985</v>
      </c>
      <c r="BG105" s="146">
        <v>3.8115181453545492</v>
      </c>
      <c r="BH105" s="146">
        <v>6399.4900761926347</v>
      </c>
      <c r="BI105" s="146">
        <v>3.1997450380963173</v>
      </c>
      <c r="BJ105" s="146">
        <v>7286.007023178674</v>
      </c>
      <c r="BK105" s="146">
        <v>3.6430035115893369</v>
      </c>
      <c r="BL105" s="146">
        <v>3025.531891679856</v>
      </c>
      <c r="BM105" s="146">
        <v>1.5127659458399281</v>
      </c>
      <c r="BN105" s="146">
        <v>6322.7263317325851</v>
      </c>
      <c r="BO105" s="146">
        <v>3.1613631658662924</v>
      </c>
      <c r="BP105" s="146">
        <v>1874.4263167718134</v>
      </c>
      <c r="BQ105" s="146">
        <v>0.93721315838590669</v>
      </c>
      <c r="BR105" s="146">
        <v>2669.8067118553095</v>
      </c>
      <c r="BS105" s="146">
        <v>1.3349033559276546</v>
      </c>
      <c r="BT105" s="146">
        <v>3353.0149916187738</v>
      </c>
      <c r="BU105" s="146">
        <v>1.6765074958093868</v>
      </c>
      <c r="BV105" s="146">
        <v>2632.4160067486323</v>
      </c>
      <c r="BW105" s="146">
        <v>1.3162080033743162</v>
      </c>
      <c r="BX105" s="146">
        <v>10557.157267796363</v>
      </c>
      <c r="BY105" s="146">
        <v>5.2785786338981815</v>
      </c>
      <c r="BZ105" s="146">
        <v>17754.893755457902</v>
      </c>
      <c r="CA105" s="146">
        <v>8.8774468777289517</v>
      </c>
    </row>
    <row r="106" spans="1:79" s="145" customFormat="1" x14ac:dyDescent="0.35">
      <c r="A106" s="146" t="s">
        <v>1563</v>
      </c>
      <c r="B106" s="145">
        <v>4428.9270932904374</v>
      </c>
      <c r="C106" s="145">
        <v>2557.2200561980749</v>
      </c>
      <c r="D106" s="145">
        <v>7349.2102966444345</v>
      </c>
      <c r="E106" s="145">
        <v>3773.2624062056962</v>
      </c>
      <c r="F106" s="145">
        <v>3768.1467289579418</v>
      </c>
      <c r="G106" s="145">
        <v>2606.0343482670569</v>
      </c>
      <c r="H106" s="145">
        <v>2885.4104284888394</v>
      </c>
      <c r="I106" s="145">
        <v>2601.6662924215607</v>
      </c>
      <c r="J106" s="145">
        <v>13734.133322985032</v>
      </c>
      <c r="K106" s="145">
        <v>7905.2511257888382</v>
      </c>
      <c r="L106" s="145">
        <v>4837.1174441361736</v>
      </c>
      <c r="M106" s="145">
        <v>3619.9847150115997</v>
      </c>
      <c r="N106" s="145">
        <v>2366.5259233379147</v>
      </c>
      <c r="O106" s="145">
        <v>4678.9044447037577</v>
      </c>
      <c r="P106" s="145">
        <v>4894.7740093228058</v>
      </c>
      <c r="Q106" s="145">
        <v>2622.9981980448556</v>
      </c>
      <c r="R106" s="145">
        <v>99.789009885430005</v>
      </c>
      <c r="S106" s="145">
        <v>3752.7104306287661</v>
      </c>
      <c r="T106" s="145">
        <v>36370.142974755974</v>
      </c>
      <c r="U106" s="145">
        <v>284.20213312741657</v>
      </c>
      <c r="V106" s="145">
        <v>349.16262069939756</v>
      </c>
      <c r="W106" s="145">
        <v>1039.2733818383635</v>
      </c>
      <c r="X106" s="145">
        <v>939.28314499276462</v>
      </c>
      <c r="Y106" s="145">
        <v>512.80007038321776</v>
      </c>
      <c r="Z106" s="145">
        <v>169.76592536979902</v>
      </c>
      <c r="AA106" s="145">
        <v>516.02799412835907</v>
      </c>
      <c r="AB106" s="145">
        <v>160.04073609666816</v>
      </c>
      <c r="AC106" s="145">
        <v>154.18673867012336</v>
      </c>
      <c r="AD106" s="145">
        <v>204.70107130240507</v>
      </c>
      <c r="AE106" s="145">
        <v>583.98345295450883</v>
      </c>
      <c r="AF106" s="145">
        <v>359.07664859919117</v>
      </c>
      <c r="AG106" s="145">
        <v>233.59338118180358</v>
      </c>
      <c r="AH106" s="146">
        <v>5037.0867145918701</v>
      </c>
      <c r="AI106" s="146">
        <v>2.5185433572959353</v>
      </c>
      <c r="AJ106" s="146">
        <v>2967.2636861796573</v>
      </c>
      <c r="AK106" s="146">
        <v>1.4836318430898285</v>
      </c>
      <c r="AL106" s="146">
        <v>7349.2102966444345</v>
      </c>
      <c r="AM106" s="146">
        <v>3.6746051483222173</v>
      </c>
      <c r="AN106" s="146">
        <v>3773.2624062056962</v>
      </c>
      <c r="AO106" s="146">
        <v>1.886631203102848</v>
      </c>
      <c r="AP106" s="146">
        <v>3768.1467289579418</v>
      </c>
      <c r="AQ106" s="146">
        <v>1.8840733644789709</v>
      </c>
      <c r="AR106" s="146">
        <v>3130.9875256725054</v>
      </c>
      <c r="AS106" s="146">
        <v>1.5654937628362526</v>
      </c>
      <c r="AT106" s="146">
        <v>3410.0059346675839</v>
      </c>
      <c r="AU106" s="146">
        <v>1.7050029673337919</v>
      </c>
      <c r="AV106" s="146">
        <v>3126.625062030505</v>
      </c>
      <c r="AW106" s="146">
        <v>1.5633125310152525</v>
      </c>
      <c r="AX106" s="146">
        <v>14547.279009157066</v>
      </c>
      <c r="AY106" s="146">
        <v>7.2736395045785329</v>
      </c>
      <c r="AZ106" s="146">
        <v>8480.0829171376226</v>
      </c>
      <c r="BA106" s="146">
        <v>4.2400414585688111</v>
      </c>
      <c r="BB106" s="146">
        <v>5658.4185989413918</v>
      </c>
      <c r="BC106" s="146">
        <v>2.8292092994706959</v>
      </c>
      <c r="BD106" s="146">
        <v>4246.9273380672385</v>
      </c>
      <c r="BE106" s="146">
        <v>2.1234636690336193</v>
      </c>
      <c r="BF106" s="146">
        <v>2911.2295433720074</v>
      </c>
      <c r="BG106" s="146">
        <v>1.4556147716860037</v>
      </c>
      <c r="BH106" s="146">
        <v>4678.9044447037577</v>
      </c>
      <c r="BI106" s="146">
        <v>2.3394522223518788</v>
      </c>
      <c r="BJ106" s="146">
        <v>4894.7740093228058</v>
      </c>
      <c r="BK106" s="146">
        <v>2.4473870046614028</v>
      </c>
      <c r="BL106" s="146">
        <v>2946.0542275457128</v>
      </c>
      <c r="BM106" s="146">
        <v>1.4730271137728563</v>
      </c>
      <c r="BN106" s="146">
        <v>4663.9727841254244</v>
      </c>
      <c r="BO106" s="146">
        <v>2.3319863920627122</v>
      </c>
      <c r="BP106" s="146">
        <v>4126.5628103626068</v>
      </c>
      <c r="BQ106" s="146">
        <v>2.0632814051813035</v>
      </c>
      <c r="BR106" s="146">
        <v>6267.2564505193359</v>
      </c>
      <c r="BS106" s="146">
        <v>3.1336282252596681</v>
      </c>
      <c r="BT106" s="146">
        <v>7367.3681963840863</v>
      </c>
      <c r="BU106" s="146">
        <v>3.6836840981920433</v>
      </c>
      <c r="BV106" s="146">
        <v>5920.3958190886769</v>
      </c>
      <c r="BW106" s="146">
        <v>2.9601979095443385</v>
      </c>
      <c r="BX106" s="146">
        <v>19242.541859081568</v>
      </c>
      <c r="BY106" s="146">
        <v>9.6212709295407848</v>
      </c>
      <c r="BZ106" s="146">
        <v>32476.087160300427</v>
      </c>
      <c r="CA106" s="146">
        <v>16.238043580150215</v>
      </c>
    </row>
    <row r="107" spans="1:79" s="145" customFormat="1" x14ac:dyDescent="0.35">
      <c r="A107" s="146" t="s">
        <v>1522</v>
      </c>
      <c r="B107" s="145">
        <v>300.22058159688572</v>
      </c>
      <c r="C107" s="145">
        <v>172.86495406223497</v>
      </c>
      <c r="D107" s="145">
        <v>6832.5543418590169</v>
      </c>
      <c r="E107" s="145">
        <v>260.08498411517013</v>
      </c>
      <c r="F107" s="145">
        <v>272.62274116410549</v>
      </c>
      <c r="G107" s="145">
        <v>227.55478796659941</v>
      </c>
      <c r="H107" s="145">
        <v>229.12236321222872</v>
      </c>
      <c r="I107" s="145">
        <v>195.05095911940072</v>
      </c>
      <c r="J107" s="145">
        <v>911.52263350674355</v>
      </c>
      <c r="K107" s="145">
        <v>923.12485366164015</v>
      </c>
      <c r="L107" s="145">
        <v>561.90308770516197</v>
      </c>
      <c r="M107" s="145">
        <v>273.52527577711982</v>
      </c>
      <c r="N107" s="145">
        <v>194.73323066979475</v>
      </c>
      <c r="O107" s="145">
        <v>430.73893717881919</v>
      </c>
      <c r="P107" s="145">
        <v>441.5680874897775</v>
      </c>
      <c r="Q107" s="145">
        <v>189.40396550410935</v>
      </c>
      <c r="R107" s="145">
        <v>22.008081464829601</v>
      </c>
      <c r="S107" s="145">
        <v>1409.0034629288416</v>
      </c>
      <c r="T107" s="145">
        <v>4005.6140647919497</v>
      </c>
      <c r="U107" s="145">
        <v>51.329770247671334</v>
      </c>
      <c r="V107" s="145">
        <v>63.062289161424786</v>
      </c>
      <c r="W107" s="145">
        <v>187.70324954023866</v>
      </c>
      <c r="X107" s="145">
        <v>164.82010792077028</v>
      </c>
      <c r="Y107" s="145">
        <v>90.575173393054158</v>
      </c>
      <c r="Z107" s="145">
        <v>30.661437510070787</v>
      </c>
      <c r="AA107" s="145">
        <v>51.549048634876215</v>
      </c>
      <c r="AB107" s="145">
        <v>28.904970288971068</v>
      </c>
      <c r="AC107" s="145">
        <v>27.847679340347938</v>
      </c>
      <c r="AD107" s="145">
        <v>36.971077042176567</v>
      </c>
      <c r="AE107" s="145">
        <v>105.47329866506551</v>
      </c>
      <c r="AF107" s="145">
        <v>64.85286254215751</v>
      </c>
      <c r="AG107" s="145">
        <v>42.189319466026213</v>
      </c>
      <c r="AH107" s="146">
        <v>364.01918390149893</v>
      </c>
      <c r="AI107" s="146">
        <v>0.18200959195074948</v>
      </c>
      <c r="AJ107" s="146">
        <v>221.59154852432619</v>
      </c>
      <c r="AK107" s="146">
        <v>0.1107957742621631</v>
      </c>
      <c r="AL107" s="146">
        <v>6832.5543418590169</v>
      </c>
      <c r="AM107" s="146">
        <v>3.4162771709295083</v>
      </c>
      <c r="AN107" s="146">
        <v>260.08498411517013</v>
      </c>
      <c r="AO107" s="146">
        <v>0.13004249205758506</v>
      </c>
      <c r="AP107" s="146">
        <v>272.62274116410549</v>
      </c>
      <c r="AQ107" s="146">
        <v>0.13631137058205275</v>
      </c>
      <c r="AR107" s="146">
        <v>312.57755860726104</v>
      </c>
      <c r="AS107" s="146">
        <v>0.15628877930363053</v>
      </c>
      <c r="AT107" s="146">
        <v>314.14312696468215</v>
      </c>
      <c r="AU107" s="146">
        <v>0.15707156348234108</v>
      </c>
      <c r="AV107" s="146">
        <v>280.11534278694398</v>
      </c>
      <c r="AW107" s="146">
        <v>0.140057671393472</v>
      </c>
      <c r="AX107" s="146">
        <v>998.78272783468788</v>
      </c>
      <c r="AY107" s="146">
        <v>0.49939136391734396</v>
      </c>
      <c r="AZ107" s="146">
        <v>995.65584708549102</v>
      </c>
      <c r="BA107" s="146">
        <v>0.49782792354274552</v>
      </c>
      <c r="BB107" s="146">
        <v>667.20456567985184</v>
      </c>
      <c r="BC107" s="146">
        <v>0.33360228283992593</v>
      </c>
      <c r="BD107" s="146">
        <v>339.44549528544741</v>
      </c>
      <c r="BE107" s="146">
        <v>0.16972274764272371</v>
      </c>
      <c r="BF107" s="146">
        <v>262.67863071235934</v>
      </c>
      <c r="BG107" s="146">
        <v>0.13133931535617968</v>
      </c>
      <c r="BH107" s="146">
        <v>430.73893717881919</v>
      </c>
      <c r="BI107" s="146">
        <v>0.21536946858940959</v>
      </c>
      <c r="BJ107" s="146">
        <v>441.5680874897775</v>
      </c>
      <c r="BK107" s="146">
        <v>0.22078404374488875</v>
      </c>
      <c r="BL107" s="146">
        <v>236.22240802344578</v>
      </c>
      <c r="BM107" s="146">
        <v>0.11811120401172288</v>
      </c>
      <c r="BN107" s="146">
        <v>1084.6272564462513</v>
      </c>
      <c r="BO107" s="146">
        <v>0.54231362822312568</v>
      </c>
      <c r="BP107" s="146">
        <v>2879.9782246330806</v>
      </c>
      <c r="BQ107" s="146">
        <v>1.4399891123165403</v>
      </c>
      <c r="BR107" s="146">
        <v>4142.4654376924645</v>
      </c>
      <c r="BS107" s="146">
        <v>2.0712327188462321</v>
      </c>
      <c r="BT107" s="146">
        <v>4885.391198269318</v>
      </c>
      <c r="BU107" s="146">
        <v>2.4426955991346588</v>
      </c>
      <c r="BV107" s="146">
        <v>3969.2782868649542</v>
      </c>
      <c r="BW107" s="146">
        <v>1.984639143432477</v>
      </c>
      <c r="BX107" s="146">
        <v>6987.118482883111</v>
      </c>
      <c r="BY107" s="146">
        <v>3.4935592414415555</v>
      </c>
      <c r="BZ107" s="146">
        <v>5698.0337165405281</v>
      </c>
      <c r="CA107" s="146">
        <v>2.849016858270264</v>
      </c>
    </row>
    <row r="108" spans="1:79" s="145" customFormat="1" x14ac:dyDescent="0.35">
      <c r="A108" s="146" t="s">
        <v>1521</v>
      </c>
      <c r="B108" s="145">
        <v>164.90918829580301</v>
      </c>
      <c r="C108" s="145">
        <v>75.165172952185429</v>
      </c>
      <c r="D108" s="145">
        <v>1023.0741980149642</v>
      </c>
      <c r="E108" s="145">
        <v>164.15611294926163</v>
      </c>
      <c r="F108" s="145">
        <v>163.3091346795365</v>
      </c>
      <c r="G108" s="145">
        <v>89.104475743693484</v>
      </c>
      <c r="H108" s="145">
        <v>96.067216510061911</v>
      </c>
      <c r="I108" s="145">
        <v>85.208902983719312</v>
      </c>
      <c r="J108" s="145">
        <v>452.59336133355373</v>
      </c>
      <c r="K108" s="145">
        <v>519.74002536201442</v>
      </c>
      <c r="L108" s="145">
        <v>331.84801487340826</v>
      </c>
      <c r="M108" s="145">
        <v>168.06618139355189</v>
      </c>
      <c r="N108" s="145">
        <v>77.080197060830173</v>
      </c>
      <c r="O108" s="145">
        <v>218.937265796931</v>
      </c>
      <c r="P108" s="145">
        <v>236.73382627225217</v>
      </c>
      <c r="Q108" s="145">
        <v>103.99806461698074</v>
      </c>
      <c r="R108" s="145">
        <v>10.462966783109167</v>
      </c>
      <c r="S108" s="145">
        <v>729.10378395498151</v>
      </c>
      <c r="T108" s="145">
        <v>2377.3569956102788</v>
      </c>
      <c r="U108" s="145">
        <v>22.339545243371024</v>
      </c>
      <c r="V108" s="145">
        <v>27.445727013284401</v>
      </c>
      <c r="W108" s="145">
        <v>81.691486542785668</v>
      </c>
      <c r="X108" s="145">
        <v>84.121609188148483</v>
      </c>
      <c r="Y108" s="145">
        <v>39.640809791376277</v>
      </c>
      <c r="Z108" s="145">
        <v>13.344352939395716</v>
      </c>
      <c r="AA108" s="145">
        <v>31.750410024825769</v>
      </c>
      <c r="AB108" s="145">
        <v>12.579910029074382</v>
      </c>
      <c r="AC108" s="145">
        <v>12.119759927715908</v>
      </c>
      <c r="AD108" s="145">
        <v>16.090409995889829</v>
      </c>
      <c r="AE108" s="145">
        <v>45.903683498421856</v>
      </c>
      <c r="AF108" s="145">
        <v>28.225013475262461</v>
      </c>
      <c r="AG108" s="145">
        <v>18.361473399368744</v>
      </c>
      <c r="AH108" s="146">
        <v>197.3686531907168</v>
      </c>
      <c r="AI108" s="146">
        <v>9.8684326595358404E-2</v>
      </c>
      <c r="AJ108" s="146">
        <v>99.340543836097069</v>
      </c>
      <c r="AK108" s="146">
        <v>4.9670271918048535E-2</v>
      </c>
      <c r="AL108" s="146">
        <v>1023.0741980149642</v>
      </c>
      <c r="AM108" s="146">
        <v>0.51153709900748212</v>
      </c>
      <c r="AN108" s="146">
        <v>164.15611294926163</v>
      </c>
      <c r="AO108" s="146">
        <v>8.2078056474630817E-2</v>
      </c>
      <c r="AP108" s="146">
        <v>163.3091346795365</v>
      </c>
      <c r="AQ108" s="146">
        <v>8.1654567339768253E-2</v>
      </c>
      <c r="AR108" s="146">
        <v>128.37946537378281</v>
      </c>
      <c r="AS108" s="146">
        <v>6.4189732686891404E-2</v>
      </c>
      <c r="AT108" s="146">
        <v>135.33329209128507</v>
      </c>
      <c r="AU108" s="146">
        <v>6.7666646045642542E-2</v>
      </c>
      <c r="AV108" s="146">
        <v>124.48887992083458</v>
      </c>
      <c r="AW108" s="146">
        <v>6.2244439960417286E-2</v>
      </c>
      <c r="AX108" s="146">
        <v>496.30293205517341</v>
      </c>
      <c r="AY108" s="146">
        <v>0.2481514660275867</v>
      </c>
      <c r="AZ108" s="146">
        <v>558.47707712073191</v>
      </c>
      <c r="BA108" s="146">
        <v>0.27923853856036596</v>
      </c>
      <c r="BB108" s="146">
        <v>389.21166853843283</v>
      </c>
      <c r="BC108" s="146">
        <v>0.1946058342692164</v>
      </c>
      <c r="BD108" s="146">
        <v>204.82793263971001</v>
      </c>
      <c r="BE108" s="146">
        <v>0.10241396631985501</v>
      </c>
      <c r="BF108" s="146">
        <v>107.31291735064545</v>
      </c>
      <c r="BG108" s="146">
        <v>5.3656458675322725E-2</v>
      </c>
      <c r="BH108" s="146">
        <v>218.937265796931</v>
      </c>
      <c r="BI108" s="146">
        <v>0.10946863289846551</v>
      </c>
      <c r="BJ108" s="146">
        <v>236.73382627225217</v>
      </c>
      <c r="BK108" s="146">
        <v>0.11836691313612609</v>
      </c>
      <c r="BL108" s="146">
        <v>125.3409863008886</v>
      </c>
      <c r="BM108" s="146">
        <v>6.2670493150444304E-2</v>
      </c>
      <c r="BN108" s="146">
        <v>291.79859042883737</v>
      </c>
      <c r="BO108" s="146">
        <v>0.14589929521441869</v>
      </c>
      <c r="BP108" s="146">
        <v>626.35552793019019</v>
      </c>
      <c r="BQ108" s="146">
        <v>0.31317776396509511</v>
      </c>
      <c r="BR108" s="146">
        <v>992.67454953331537</v>
      </c>
      <c r="BS108" s="146">
        <v>0.49633727476665768</v>
      </c>
      <c r="BT108" s="146">
        <v>1080.4329362656547</v>
      </c>
      <c r="BU108" s="146">
        <v>0.54021646813282731</v>
      </c>
      <c r="BV108" s="146">
        <v>899.82100457638683</v>
      </c>
      <c r="BW108" s="146">
        <v>0.4499105022881934</v>
      </c>
      <c r="BX108" s="146">
        <v>1713.5909117028054</v>
      </c>
      <c r="BY108" s="146">
        <v>0.85679545585140271</v>
      </c>
      <c r="BZ108" s="146">
        <v>2331.1438674062683</v>
      </c>
      <c r="CA108" s="146">
        <v>1.1655719337031341</v>
      </c>
    </row>
    <row r="109" spans="1:79" s="145" customFormat="1" x14ac:dyDescent="0.35">
      <c r="A109" s="146" t="s">
        <v>1520</v>
      </c>
      <c r="B109" s="145">
        <v>18553.238785623584</v>
      </c>
      <c r="C109" s="145">
        <v>21109.380284076848</v>
      </c>
      <c r="D109" s="145">
        <v>9692.183718866112</v>
      </c>
      <c r="E109" s="145">
        <v>14482.52121128289</v>
      </c>
      <c r="F109" s="145">
        <v>14977.715655033053</v>
      </c>
      <c r="G109" s="145">
        <v>22286.005028785501</v>
      </c>
      <c r="H109" s="145">
        <v>22697.661737436338</v>
      </c>
      <c r="I109" s="145">
        <v>22458.656297321439</v>
      </c>
      <c r="J109" s="145">
        <v>12011.674332098826</v>
      </c>
      <c r="K109" s="145">
        <v>11013.277863907069</v>
      </c>
      <c r="L109" s="145">
        <v>8219.6858082321887</v>
      </c>
      <c r="M109" s="145">
        <v>9827.4530876350873</v>
      </c>
      <c r="N109" s="145">
        <v>18823.227430062187</v>
      </c>
      <c r="O109" s="145">
        <v>15365.488773297056</v>
      </c>
      <c r="P109" s="145">
        <v>14535.998520260946</v>
      </c>
      <c r="Q109" s="145">
        <v>11179.401341068489</v>
      </c>
      <c r="R109" s="145">
        <v>404.82815537283335</v>
      </c>
      <c r="S109" s="145">
        <v>2919.0636629967007</v>
      </c>
      <c r="T109" s="145">
        <v>59360.004433998067</v>
      </c>
      <c r="U109" s="145">
        <v>771.80610570300541</v>
      </c>
      <c r="V109" s="145">
        <v>948.21892986369244</v>
      </c>
      <c r="W109" s="145">
        <v>2822.3487725823857</v>
      </c>
      <c r="X109" s="145">
        <v>2801.4194591112223</v>
      </c>
      <c r="Y109" s="145">
        <v>1356.3049261508652</v>
      </c>
      <c r="Z109" s="145">
        <v>461.03235151295809</v>
      </c>
      <c r="AA109" s="145">
        <v>571.6406882725305</v>
      </c>
      <c r="AB109" s="145">
        <v>434.62171068657619</v>
      </c>
      <c r="AC109" s="145">
        <v>418.72404339302585</v>
      </c>
      <c r="AD109" s="145">
        <v>555.90552729704848</v>
      </c>
      <c r="AE109" s="145">
        <v>1585.9205195259431</v>
      </c>
      <c r="AF109" s="145">
        <v>975.14239866728565</v>
      </c>
      <c r="AG109" s="145">
        <v>634.36820781037727</v>
      </c>
      <c r="AH109" s="146">
        <v>20479.151056169929</v>
      </c>
      <c r="AI109" s="146">
        <v>10.239575528084965</v>
      </c>
      <c r="AJ109" s="146">
        <v>22548.61121073944</v>
      </c>
      <c r="AK109" s="146">
        <v>11.274305605369721</v>
      </c>
      <c r="AL109" s="146">
        <v>9692.183718866112</v>
      </c>
      <c r="AM109" s="146">
        <v>4.8460918594330558</v>
      </c>
      <c r="AN109" s="146">
        <v>14482.52121128289</v>
      </c>
      <c r="AO109" s="146">
        <v>7.241260605641445</v>
      </c>
      <c r="AP109" s="146">
        <v>14977.715655033053</v>
      </c>
      <c r="AQ109" s="146">
        <v>7.4888578275165267</v>
      </c>
      <c r="AR109" s="146">
        <v>23490.935891476747</v>
      </c>
      <c r="AS109" s="146">
        <v>11.745467945738374</v>
      </c>
      <c r="AT109" s="146">
        <v>23902.065576626333</v>
      </c>
      <c r="AU109" s="146">
        <v>11.951032788313167</v>
      </c>
      <c r="AV109" s="146">
        <v>23663.366123226144</v>
      </c>
      <c r="AW109" s="146">
        <v>11.831683061613072</v>
      </c>
      <c r="AX109" s="146">
        <v>13186.188061023991</v>
      </c>
      <c r="AY109" s="146">
        <v>6.5930940305119954</v>
      </c>
      <c r="AZ109" s="146">
        <v>11937.482207583502</v>
      </c>
      <c r="BA109" s="146">
        <v>5.9687411037917508</v>
      </c>
      <c r="BB109" s="146">
        <v>9733.3557035519007</v>
      </c>
      <c r="BC109" s="146">
        <v>4.8666778517759504</v>
      </c>
      <c r="BD109" s="146">
        <v>11114.939643230326</v>
      </c>
      <c r="BE109" s="146">
        <v>5.5574698216151628</v>
      </c>
      <c r="BF109" s="146">
        <v>21443.131176687501</v>
      </c>
      <c r="BG109" s="146">
        <v>10.721565588343751</v>
      </c>
      <c r="BH109" s="146">
        <v>15365.488773297056</v>
      </c>
      <c r="BI109" s="146">
        <v>7.6827443866485279</v>
      </c>
      <c r="BJ109" s="146">
        <v>14535.998520260946</v>
      </c>
      <c r="BK109" s="146">
        <v>7.2679992601304733</v>
      </c>
      <c r="BL109" s="146">
        <v>12199.825260088273</v>
      </c>
      <c r="BM109" s="146">
        <v>6.0999126300441366</v>
      </c>
      <c r="BN109" s="146">
        <v>16031.28267281938</v>
      </c>
      <c r="BO109" s="146">
        <v>8.0156413364096899</v>
      </c>
      <c r="BP109" s="146">
        <v>5269.454349150099</v>
      </c>
      <c r="BQ109" s="146">
        <v>2.6347271745750493</v>
      </c>
      <c r="BR109" s="146">
        <v>7364.4942511563822</v>
      </c>
      <c r="BS109" s="146">
        <v>3.6822471255781912</v>
      </c>
      <c r="BT109" s="146">
        <v>10010.759780244189</v>
      </c>
      <c r="BU109" s="146">
        <v>5.0053798901220947</v>
      </c>
      <c r="BV109" s="146">
        <v>7548.2361268502236</v>
      </c>
      <c r="BW109" s="146">
        <v>3.7741180634251119</v>
      </c>
      <c r="BX109" s="146">
        <v>30836.903583193714</v>
      </c>
      <c r="BY109" s="146">
        <v>15.418451791596857</v>
      </c>
      <c r="BZ109" s="146">
        <v>53485.429829293884</v>
      </c>
      <c r="CA109" s="146">
        <v>26.742714914646943</v>
      </c>
    </row>
    <row r="110" spans="1:79" s="145" customFormat="1" x14ac:dyDescent="0.35">
      <c r="A110" s="146" t="s">
        <v>1519</v>
      </c>
      <c r="B110" s="145">
        <v>27.759311974448288</v>
      </c>
      <c r="C110" s="145">
        <v>14.785620568450419</v>
      </c>
      <c r="D110" s="145">
        <v>51.335251453162492</v>
      </c>
      <c r="E110" s="145">
        <v>29.853573533037029</v>
      </c>
      <c r="F110" s="145">
        <v>29.652261350800831</v>
      </c>
      <c r="G110" s="145">
        <v>15.850479453463686</v>
      </c>
      <c r="H110" s="145">
        <v>18.898349146916004</v>
      </c>
      <c r="I110" s="145">
        <v>16.062662729656513</v>
      </c>
      <c r="J110" s="145">
        <v>49.703543877717507</v>
      </c>
      <c r="K110" s="145">
        <v>48.457523769507169</v>
      </c>
      <c r="L110" s="145">
        <v>39.340260293320235</v>
      </c>
      <c r="M110" s="145">
        <v>37.845952020496945</v>
      </c>
      <c r="N110" s="145">
        <v>14.956607578105656</v>
      </c>
      <c r="O110" s="145">
        <v>46.703007743707765</v>
      </c>
      <c r="P110" s="145">
        <v>49.749135406294542</v>
      </c>
      <c r="Q110" s="145">
        <v>23.217816255008042</v>
      </c>
      <c r="R110" s="145">
        <v>0.76614802910879209</v>
      </c>
      <c r="S110" s="145">
        <v>14.322255517981176</v>
      </c>
      <c r="T110" s="145">
        <v>285.92468978525471</v>
      </c>
      <c r="U110" s="145">
        <v>1.6546730169771491</v>
      </c>
      <c r="V110" s="145">
        <v>2.0328839922862119</v>
      </c>
      <c r="W110" s="145">
        <v>6.0508258796901933</v>
      </c>
      <c r="X110" s="145">
        <v>7.464280096958583</v>
      </c>
      <c r="Y110" s="145">
        <v>3.1590203011749471</v>
      </c>
      <c r="Z110" s="145">
        <v>0.9884060081478121</v>
      </c>
      <c r="AA110" s="145">
        <v>4.1302859839907411</v>
      </c>
      <c r="AB110" s="145">
        <v>0.93178430690241465</v>
      </c>
      <c r="AC110" s="145">
        <v>0.89770134110421418</v>
      </c>
      <c r="AD110" s="145">
        <v>1.1918043524273954</v>
      </c>
      <c r="AE110" s="145">
        <v>3.4000507009978964</v>
      </c>
      <c r="AF110" s="145">
        <v>2.0906051440412288</v>
      </c>
      <c r="AG110" s="145">
        <v>1.3600202803991588</v>
      </c>
      <c r="AH110" s="146">
        <v>31.710756867592082</v>
      </c>
      <c r="AI110" s="146">
        <v>1.5855378433796041E-2</v>
      </c>
      <c r="AJ110" s="146">
        <v>17.527830245321731</v>
      </c>
      <c r="AK110" s="146">
        <v>8.7639151226608647E-3</v>
      </c>
      <c r="AL110" s="146">
        <v>51.335251453162492</v>
      </c>
      <c r="AM110" s="146">
        <v>2.5667625726581246E-2</v>
      </c>
      <c r="AN110" s="146">
        <v>29.853573533037029</v>
      </c>
      <c r="AO110" s="146">
        <v>1.4926786766518515E-2</v>
      </c>
      <c r="AP110" s="146">
        <v>29.652261350800831</v>
      </c>
      <c r="AQ110" s="146">
        <v>1.4826130675400416E-2</v>
      </c>
      <c r="AR110" s="146">
        <v>19.179004992813219</v>
      </c>
      <c r="AS110" s="146">
        <v>9.58950249640661E-3</v>
      </c>
      <c r="AT110" s="146">
        <v>22.222972651090494</v>
      </c>
      <c r="AU110" s="146">
        <v>1.1111486325545247E-2</v>
      </c>
      <c r="AV110" s="146">
        <v>19.390916621366699</v>
      </c>
      <c r="AW110" s="146">
        <v>9.6954583106833494E-3</v>
      </c>
      <c r="AX110" s="146">
        <v>54.241642488615298</v>
      </c>
      <c r="AY110" s="146">
        <v>2.712082124430765E-2</v>
      </c>
      <c r="AZ110" s="146">
        <v>52.272406207290608</v>
      </c>
      <c r="BA110" s="146">
        <v>2.6136203103645304E-2</v>
      </c>
      <c r="BB110" s="146">
        <v>45.584215670419958</v>
      </c>
      <c r="BC110" s="146">
        <v>2.279210783520998E-2</v>
      </c>
      <c r="BD110" s="146">
        <v>43.227075710919507</v>
      </c>
      <c r="BE110" s="146">
        <v>2.1613537855459754E-2</v>
      </c>
      <c r="BF110" s="146">
        <v>18.437343972486719</v>
      </c>
      <c r="BG110" s="146">
        <v>9.218671986243359E-3</v>
      </c>
      <c r="BH110" s="146">
        <v>46.703007743707765</v>
      </c>
      <c r="BI110" s="146">
        <v>2.3351503871853883E-2</v>
      </c>
      <c r="BJ110" s="146">
        <v>49.749135406294542</v>
      </c>
      <c r="BK110" s="146">
        <v>2.487456770314727E-2</v>
      </c>
      <c r="BL110" s="146">
        <v>25.420322438532665</v>
      </c>
      <c r="BM110" s="146">
        <v>1.2710161219266332E-2</v>
      </c>
      <c r="BN110" s="146">
        <v>35.314871483579431</v>
      </c>
      <c r="BO110" s="146">
        <v>1.7657435741789716E-2</v>
      </c>
      <c r="BP110" s="146">
        <v>24.458903902381891</v>
      </c>
      <c r="BQ110" s="146">
        <v>1.2229451951190946E-2</v>
      </c>
      <c r="BR110" s="146">
        <v>35.238181429227424</v>
      </c>
      <c r="BS110" s="146">
        <v>1.7619090714613712E-2</v>
      </c>
      <c r="BT110" s="146">
        <v>43.475604853242089</v>
      </c>
      <c r="BU110" s="146">
        <v>2.1737802426621045E-2</v>
      </c>
      <c r="BV110" s="146">
        <v>34.390896728283799</v>
      </c>
      <c r="BW110" s="146">
        <v>1.7195448364141899E-2</v>
      </c>
      <c r="BX110" s="146">
        <v>146.21605466313935</v>
      </c>
      <c r="BY110" s="146">
        <v>7.3108027331569667E-2</v>
      </c>
      <c r="BZ110" s="146">
        <v>253.18883854257339</v>
      </c>
      <c r="CA110" s="146">
        <v>0.1265944192712867</v>
      </c>
    </row>
    <row r="111" spans="1:79" s="145" customFormat="1" x14ac:dyDescent="0.35">
      <c r="A111" s="146" t="s">
        <v>1518</v>
      </c>
      <c r="B111" s="145">
        <v>48.746458123528143</v>
      </c>
      <c r="C111" s="145">
        <v>22.461175825220369</v>
      </c>
      <c r="D111" s="145">
        <v>98.608584637810523</v>
      </c>
      <c r="E111" s="145">
        <v>49.759271091462836</v>
      </c>
      <c r="F111" s="145">
        <v>49.269841444374308</v>
      </c>
      <c r="G111" s="145">
        <v>26.290785019687185</v>
      </c>
      <c r="H111" s="145">
        <v>32.304820304632671</v>
      </c>
      <c r="I111" s="145">
        <v>26.07019280905633</v>
      </c>
      <c r="J111" s="145">
        <v>87.105720322931674</v>
      </c>
      <c r="K111" s="145">
        <v>87.812219581358491</v>
      </c>
      <c r="L111" s="145">
        <v>73.996283084279511</v>
      </c>
      <c r="M111" s="145">
        <v>40.154722078909458</v>
      </c>
      <c r="N111" s="145">
        <v>24.508034952004515</v>
      </c>
      <c r="O111" s="145">
        <v>52.089183780590183</v>
      </c>
      <c r="P111" s="145">
        <v>53.578843796957145</v>
      </c>
      <c r="Q111" s="145">
        <v>34.239976298931111</v>
      </c>
      <c r="R111" s="145">
        <v>0.81397574170330456</v>
      </c>
      <c r="S111" s="145">
        <v>29.058386815957803</v>
      </c>
      <c r="T111" s="145">
        <v>595.85702173788002</v>
      </c>
      <c r="U111" s="145">
        <v>3.8845350352043297</v>
      </c>
      <c r="V111" s="145">
        <v>4.7724287575367486</v>
      </c>
      <c r="W111" s="145">
        <v>14.205009014117627</v>
      </c>
      <c r="X111" s="145">
        <v>11.204967142091412</v>
      </c>
      <c r="Y111" s="145">
        <v>6.9201422847805443</v>
      </c>
      <c r="Z111" s="145">
        <v>2.3203966755140817</v>
      </c>
      <c r="AA111" s="145">
        <v>9.6306176534964756</v>
      </c>
      <c r="AB111" s="145">
        <v>2.1874707258044319</v>
      </c>
      <c r="AC111" s="145">
        <v>2.1074570473384289</v>
      </c>
      <c r="AD111" s="145">
        <v>2.7978976599079695</v>
      </c>
      <c r="AE111" s="145">
        <v>7.9820096985843119</v>
      </c>
      <c r="AF111" s="145">
        <v>4.9079357936485275</v>
      </c>
      <c r="AG111" s="145">
        <v>3.1928038794337255</v>
      </c>
      <c r="AH111" s="146">
        <v>56.819975295967751</v>
      </c>
      <c r="AI111" s="146">
        <v>2.8409987647983876E-2</v>
      </c>
      <c r="AJ111" s="146">
        <v>28.367319305728337</v>
      </c>
      <c r="AK111" s="146">
        <v>1.4183659652864168E-2</v>
      </c>
      <c r="AL111" s="146">
        <v>98.608584637810523</v>
      </c>
      <c r="AM111" s="146">
        <v>4.9304292318905263E-2</v>
      </c>
      <c r="AN111" s="146">
        <v>49.759271091462836</v>
      </c>
      <c r="AO111" s="146">
        <v>2.4879635545731419E-2</v>
      </c>
      <c r="AP111" s="146">
        <v>49.269841444374308</v>
      </c>
      <c r="AQ111" s="146">
        <v>2.4634920722187155E-2</v>
      </c>
      <c r="AR111" s="146">
        <v>34.102928514834105</v>
      </c>
      <c r="AS111" s="146">
        <v>1.7051464257417052E-2</v>
      </c>
      <c r="AT111" s="146">
        <v>40.10926433110604</v>
      </c>
      <c r="AU111" s="146">
        <v>2.0054632165553019E-2</v>
      </c>
      <c r="AV111" s="146">
        <v>33.882618717380907</v>
      </c>
      <c r="AW111" s="146">
        <v>1.6941309358690454E-2</v>
      </c>
      <c r="AX111" s="146">
        <v>96.795911265054556</v>
      </c>
      <c r="AY111" s="146">
        <v>4.839795563252728E-2</v>
      </c>
      <c r="AZ111" s="146">
        <v>95.871299992825087</v>
      </c>
      <c r="BA111" s="146">
        <v>4.7935649996412547E-2</v>
      </c>
      <c r="BB111" s="146">
        <v>86.645398136246357</v>
      </c>
      <c r="BC111" s="146">
        <v>4.332269906812318E-2</v>
      </c>
      <c r="BD111" s="146">
        <v>49.363209238170597</v>
      </c>
      <c r="BE111" s="146">
        <v>2.46816046190853E-2</v>
      </c>
      <c r="BF111" s="146">
        <v>31.536339385749638</v>
      </c>
      <c r="BG111" s="146">
        <v>1.5768169692874819E-2</v>
      </c>
      <c r="BH111" s="146">
        <v>52.089183780590183</v>
      </c>
      <c r="BI111" s="146">
        <v>2.604459189029509E-2</v>
      </c>
      <c r="BJ111" s="146">
        <v>53.578843796957145</v>
      </c>
      <c r="BK111" s="146">
        <v>2.6789421898478574E-2</v>
      </c>
      <c r="BL111" s="146">
        <v>38.632428527820636</v>
      </c>
      <c r="BM111" s="146">
        <v>1.9316214263910319E-2</v>
      </c>
      <c r="BN111" s="146">
        <v>54.346935881653188</v>
      </c>
      <c r="BO111" s="146">
        <v>2.7173467940826593E-2</v>
      </c>
      <c r="BP111" s="146">
        <v>47.917812210609803</v>
      </c>
      <c r="BQ111" s="146">
        <v>2.3958906105304902E-2</v>
      </c>
      <c r="BR111" s="146">
        <v>69.613879934493468</v>
      </c>
      <c r="BS111" s="146">
        <v>3.4806939967246736E-2</v>
      </c>
      <c r="BT111" s="146">
        <v>86.975182742765554</v>
      </c>
      <c r="BU111" s="146">
        <v>4.3487591371382778E-2</v>
      </c>
      <c r="BV111" s="146">
        <v>68.168958295956273</v>
      </c>
      <c r="BW111" s="146">
        <v>3.4084479147978138E-2</v>
      </c>
      <c r="BX111" s="146">
        <v>293.67771911741914</v>
      </c>
      <c r="BY111" s="146">
        <v>0.14683885955870957</v>
      </c>
      <c r="BZ111" s="146">
        <v>520.42300643505075</v>
      </c>
      <c r="CA111" s="146">
        <v>0.2602115032175254</v>
      </c>
    </row>
    <row r="112" spans="1:79" s="145" customFormat="1" x14ac:dyDescent="0.35">
      <c r="A112" s="146" t="s">
        <v>1531</v>
      </c>
      <c r="B112" s="145">
        <v>22334.161666085864</v>
      </c>
      <c r="C112" s="145">
        <v>23448.617090885706</v>
      </c>
      <c r="D112" s="145">
        <v>19715.148812411328</v>
      </c>
      <c r="E112" s="145">
        <v>19578.525361868404</v>
      </c>
      <c r="F112" s="145">
        <v>19925.172485371593</v>
      </c>
      <c r="G112" s="145">
        <v>23493.740616415947</v>
      </c>
      <c r="H112" s="145">
        <v>24600.762243003486</v>
      </c>
      <c r="I112" s="145">
        <v>23579.594555666474</v>
      </c>
      <c r="J112" s="145">
        <v>17260.758490313819</v>
      </c>
      <c r="K112" s="145">
        <v>18676.99608529947</v>
      </c>
      <c r="L112" s="145">
        <v>12049.110305051796</v>
      </c>
      <c r="M112" s="145">
        <v>13493.156886356413</v>
      </c>
      <c r="N112" s="145">
        <v>20395.747658193752</v>
      </c>
      <c r="O112" s="145">
        <v>18134.315687432791</v>
      </c>
      <c r="P112" s="145">
        <v>16016.569870175255</v>
      </c>
      <c r="Q112" s="145">
        <v>13880.149172333975</v>
      </c>
      <c r="R112" s="145">
        <v>84.074966759477761</v>
      </c>
      <c r="S112" s="145">
        <v>3828.7074613900077</v>
      </c>
      <c r="T112" s="145">
        <v>85955.125550216064</v>
      </c>
      <c r="U112" s="145">
        <v>800.49167592506478</v>
      </c>
      <c r="V112" s="145">
        <v>983.46120185079383</v>
      </c>
      <c r="W112" s="145">
        <v>2927.2464707332852</v>
      </c>
      <c r="X112" s="145">
        <v>1412.2337932587322</v>
      </c>
      <c r="Y112" s="145">
        <v>1411.0160347268068</v>
      </c>
      <c r="Z112" s="145">
        <v>478.1674529279955</v>
      </c>
      <c r="AA112" s="145">
        <v>1482.6424485945054</v>
      </c>
      <c r="AB112" s="145">
        <v>450.77521285481225</v>
      </c>
      <c r="AC112" s="145">
        <v>434.28667999522617</v>
      </c>
      <c r="AD112" s="145">
        <v>576.56676192875102</v>
      </c>
      <c r="AE112" s="145">
        <v>1644.8641247828989</v>
      </c>
      <c r="AF112" s="145">
        <v>1011.385330080738</v>
      </c>
      <c r="AG112" s="145">
        <v>657.94564991315963</v>
      </c>
      <c r="AH112" s="146">
        <v>24766.925950716643</v>
      </c>
      <c r="AI112" s="146">
        <v>12.383462975358322</v>
      </c>
      <c r="AJ112" s="146">
        <v>25289.967647086229</v>
      </c>
      <c r="AK112" s="146">
        <v>12.644983823543114</v>
      </c>
      <c r="AL112" s="146">
        <v>19715.148812411328</v>
      </c>
      <c r="AM112" s="146">
        <v>9.8575744062056643</v>
      </c>
      <c r="AN112" s="146">
        <v>19578.525361868404</v>
      </c>
      <c r="AO112" s="146">
        <v>9.7892626809342023</v>
      </c>
      <c r="AP112" s="146">
        <v>19925.172485371593</v>
      </c>
      <c r="AQ112" s="146">
        <v>9.9625862426857967</v>
      </c>
      <c r="AR112" s="146">
        <v>24958.734898945648</v>
      </c>
      <c r="AS112" s="146">
        <v>12.479367449472823</v>
      </c>
      <c r="AT112" s="146">
        <v>26064.339261095745</v>
      </c>
      <c r="AU112" s="146">
        <v>13.032169630547873</v>
      </c>
      <c r="AV112" s="146">
        <v>25044.478923690447</v>
      </c>
      <c r="AW112" s="146">
        <v>12.522239461845224</v>
      </c>
      <c r="AX112" s="146">
        <v>19006.724087429153</v>
      </c>
      <c r="AY112" s="146">
        <v>9.503362043714576</v>
      </c>
      <c r="AZ112" s="146">
        <v>20185.162144079924</v>
      </c>
      <c r="BA112" s="146">
        <v>10.092581072039962</v>
      </c>
      <c r="BB112" s="146">
        <v>14197.67328175995</v>
      </c>
      <c r="BC112" s="146">
        <v>7.0988366408799743</v>
      </c>
      <c r="BD112" s="146">
        <v>15503.249312744971</v>
      </c>
      <c r="BE112" s="146">
        <v>7.7516246563724858</v>
      </c>
      <c r="BF112" s="146">
        <v>23339.333672293335</v>
      </c>
      <c r="BG112" s="146">
        <v>11.669666836146668</v>
      </c>
      <c r="BH112" s="146">
        <v>18134.315687432791</v>
      </c>
      <c r="BI112" s="146">
        <v>9.0671578437163944</v>
      </c>
      <c r="BJ112" s="146">
        <v>16016.569870175255</v>
      </c>
      <c r="BK112" s="146">
        <v>8.0082849350876284</v>
      </c>
      <c r="BL112" s="146">
        <v>15039.481965828994</v>
      </c>
      <c r="BM112" s="146">
        <v>7.519740982914497</v>
      </c>
      <c r="BN112" s="146">
        <v>19881.552269230728</v>
      </c>
      <c r="BO112" s="146">
        <v>9.9407761346153638</v>
      </c>
      <c r="BP112" s="146">
        <v>8890.828706407443</v>
      </c>
      <c r="BQ112" s="146">
        <v>4.4454143532037218</v>
      </c>
      <c r="BR112" s="146">
        <v>12592.404963901125</v>
      </c>
      <c r="BS112" s="146">
        <v>6.2962024819505622</v>
      </c>
      <c r="BT112" s="146">
        <v>16347.244546800046</v>
      </c>
      <c r="BU112" s="146">
        <v>8.1736222734000226</v>
      </c>
      <c r="BV112" s="146">
        <v>12610.159405702871</v>
      </c>
      <c r="BW112" s="146">
        <v>6.3050797028514349</v>
      </c>
      <c r="BX112" s="146">
        <v>46541.575483736866</v>
      </c>
      <c r="BY112" s="146">
        <v>23.270787741868432</v>
      </c>
      <c r="BZ112" s="146">
        <v>76747.004876175793</v>
      </c>
      <c r="CA112" s="146">
        <v>38.373502438087897</v>
      </c>
    </row>
    <row r="113" spans="1:79" s="145" customFormat="1" x14ac:dyDescent="0.35">
      <c r="A113" s="146" t="s">
        <v>1530</v>
      </c>
      <c r="B113" s="145">
        <v>83.033792826760916</v>
      </c>
      <c r="C113" s="145">
        <v>71.238769612268527</v>
      </c>
      <c r="D113" s="145">
        <v>155.91825848683803</v>
      </c>
      <c r="E113" s="145">
        <v>74.759420637289679</v>
      </c>
      <c r="F113" s="145">
        <v>75.124085138330642</v>
      </c>
      <c r="G113" s="145">
        <v>73.23679429511283</v>
      </c>
      <c r="H113" s="145">
        <v>82.40737884866823</v>
      </c>
      <c r="I113" s="145">
        <v>88.283745325518765</v>
      </c>
      <c r="J113" s="145">
        <v>7942.7953259432243</v>
      </c>
      <c r="K113" s="145">
        <v>800.04899186872296</v>
      </c>
      <c r="L113" s="145">
        <v>98.505442577866546</v>
      </c>
      <c r="M113" s="145">
        <v>52.279771218022475</v>
      </c>
      <c r="N113" s="145">
        <v>63.241069212588769</v>
      </c>
      <c r="O113" s="145">
        <v>81.152872179832613</v>
      </c>
      <c r="P113" s="145">
        <v>72.305775691992906</v>
      </c>
      <c r="Q113" s="145">
        <v>61.815144205485502</v>
      </c>
      <c r="R113" s="145">
        <v>1.2411871048957752</v>
      </c>
      <c r="S113" s="145">
        <v>35.058466709087128</v>
      </c>
      <c r="T113" s="145">
        <v>829.56242896235517</v>
      </c>
      <c r="U113" s="145">
        <v>6.4819112064976219</v>
      </c>
      <c r="V113" s="145">
        <v>7.9634909108399361</v>
      </c>
      <c r="W113" s="145">
        <v>23.703121810604429</v>
      </c>
      <c r="X113" s="145">
        <v>16.136041561363879</v>
      </c>
      <c r="Y113" s="145">
        <v>11.516160457846645</v>
      </c>
      <c r="Z113" s="145">
        <v>3.8719190529178493</v>
      </c>
      <c r="AA113" s="145">
        <v>13.566269773055879</v>
      </c>
      <c r="AB113" s="145">
        <v>3.6501127890410201</v>
      </c>
      <c r="AC113" s="145">
        <v>3.5165983389404047</v>
      </c>
      <c r="AD113" s="145">
        <v>4.668698835776361</v>
      </c>
      <c r="AE113" s="145">
        <v>13.319143126972689</v>
      </c>
      <c r="AF113" s="145">
        <v>8.1896040924619466</v>
      </c>
      <c r="AG113" s="145">
        <v>5.327657250789076</v>
      </c>
      <c r="AH113" s="146">
        <v>96.032145652486918</v>
      </c>
      <c r="AI113" s="146">
        <v>4.8016072826243456E-2</v>
      </c>
      <c r="AJ113" s="146">
        <v>81.702330342210999</v>
      </c>
      <c r="AK113" s="146">
        <v>4.08511651711055E-2</v>
      </c>
      <c r="AL113" s="146">
        <v>155.91825848683803</v>
      </c>
      <c r="AM113" s="146">
        <v>7.7959129243419009E-2</v>
      </c>
      <c r="AN113" s="146">
        <v>74.759420637289679</v>
      </c>
      <c r="AO113" s="146">
        <v>3.7379710318644836E-2</v>
      </c>
      <c r="AP113" s="146">
        <v>75.124085138330642</v>
      </c>
      <c r="AQ113" s="146">
        <v>3.7562042569165323E-2</v>
      </c>
      <c r="AR113" s="146">
        <v>85.627718921605691</v>
      </c>
      <c r="AS113" s="146">
        <v>4.2813859460802843E-2</v>
      </c>
      <c r="AT113" s="146">
        <v>94.7865628342864</v>
      </c>
      <c r="AU113" s="146">
        <v>4.7393281417143197E-2</v>
      </c>
      <c r="AV113" s="146">
        <v>100.65540609295495</v>
      </c>
      <c r="AW113" s="146">
        <v>5.0327703046477476E-2</v>
      </c>
      <c r="AX113" s="146">
        <v>8156.3537944765922</v>
      </c>
      <c r="AY113" s="146">
        <v>4.0781768972382961</v>
      </c>
      <c r="AZ113" s="146">
        <v>834.65735812811567</v>
      </c>
      <c r="BA113" s="146">
        <v>0.41732867906405785</v>
      </c>
      <c r="BB113" s="146">
        <v>116.34860494140983</v>
      </c>
      <c r="BC113" s="146">
        <v>5.8174302470704917E-2</v>
      </c>
      <c r="BD113" s="146">
        <v>65.368020795280216</v>
      </c>
      <c r="BE113" s="146">
        <v>3.2684010397640108E-2</v>
      </c>
      <c r="BF113" s="146">
        <v>76.873571274807162</v>
      </c>
      <c r="BG113" s="146">
        <v>3.8436785637403582E-2</v>
      </c>
      <c r="BH113" s="146">
        <v>81.152872179832613</v>
      </c>
      <c r="BI113" s="146">
        <v>4.0576436089916304E-2</v>
      </c>
      <c r="BJ113" s="146">
        <v>72.305775691992906</v>
      </c>
      <c r="BK113" s="146">
        <v>3.6152887845996455E-2</v>
      </c>
      <c r="BL113" s="146">
        <v>69.286534134571099</v>
      </c>
      <c r="BM113" s="146">
        <v>3.4643267067285551E-2</v>
      </c>
      <c r="BN113" s="146">
        <v>229.85986518449221</v>
      </c>
      <c r="BO113" s="146">
        <v>0.1149299325922461</v>
      </c>
      <c r="BP113" s="146">
        <v>72.361932543336493</v>
      </c>
      <c r="BQ113" s="146">
        <v>3.6180966271668245E-2</v>
      </c>
      <c r="BR113" s="146">
        <v>103.04220800985367</v>
      </c>
      <c r="BS113" s="146">
        <v>5.1521104004926835E-2</v>
      </c>
      <c r="BT113" s="146">
        <v>132.55985517228174</v>
      </c>
      <c r="BU113" s="146">
        <v>6.6279927586140874E-2</v>
      </c>
      <c r="BV113" s="146">
        <v>102.65466524182398</v>
      </c>
      <c r="BW113" s="146">
        <v>5.1327332620911992E-2</v>
      </c>
      <c r="BX113" s="146">
        <v>424.26916253898611</v>
      </c>
      <c r="BY113" s="146">
        <v>0.21213458126949306</v>
      </c>
      <c r="BZ113" s="146">
        <v>731.45090427582181</v>
      </c>
      <c r="CA113" s="146">
        <v>0.36572545213791091</v>
      </c>
    </row>
    <row r="114" spans="1:79" s="48" customFormat="1" x14ac:dyDescent="0.35">
      <c r="A114" s="155" t="s">
        <v>1529</v>
      </c>
      <c r="B114" s="154">
        <v>2421759.1987295444</v>
      </c>
      <c r="C114" s="154">
        <v>911164.62979419716</v>
      </c>
      <c r="D114" s="154">
        <v>5115417.0187239703</v>
      </c>
      <c r="E114" s="154">
        <v>2228289.4611752206</v>
      </c>
      <c r="F114" s="154">
        <v>2200013.3292313996</v>
      </c>
      <c r="G114" s="154">
        <v>1148987.9181910285</v>
      </c>
      <c r="H114" s="154">
        <v>1385389.0953406286</v>
      </c>
      <c r="I114" s="154">
        <v>1159641.3426241043</v>
      </c>
      <c r="J114" s="154">
        <v>5376004.953573796</v>
      </c>
      <c r="K114" s="154">
        <v>5301926.3257405106</v>
      </c>
      <c r="L114" s="154">
        <v>3670183.1101445775</v>
      </c>
      <c r="M114" s="154">
        <v>1970288.2966653544</v>
      </c>
      <c r="N114" s="154">
        <v>1042938.7317014209</v>
      </c>
      <c r="O114" s="154">
        <v>2582377.7304405579</v>
      </c>
      <c r="P114" s="154">
        <v>2447608.4677292146</v>
      </c>
      <c r="Q114" s="154">
        <v>1618921.8899989116</v>
      </c>
      <c r="R114" s="154">
        <v>65674.550065190968</v>
      </c>
      <c r="S114" s="154">
        <v>1601012.350409877</v>
      </c>
      <c r="T114" s="154">
        <v>33394439.572631307</v>
      </c>
      <c r="U114" s="154">
        <v>419406.0292527827</v>
      </c>
      <c r="V114" s="154">
        <v>515270.26451056165</v>
      </c>
      <c r="W114" s="154">
        <v>1533688.4265732158</v>
      </c>
      <c r="X114" s="154">
        <v>721038.89449218416</v>
      </c>
      <c r="Y114" s="154">
        <v>738917.65458871028</v>
      </c>
      <c r="Z114" s="154">
        <v>250528.91714169548</v>
      </c>
      <c r="AA114" s="154">
        <v>560860.52549015847</v>
      </c>
      <c r="AB114" s="154">
        <v>236177.149363278</v>
      </c>
      <c r="AC114" s="154">
        <v>227538.22118597815</v>
      </c>
      <c r="AD114" s="154">
        <v>302083.811103001</v>
      </c>
      <c r="AE114" s="154">
        <v>861802.75446128275</v>
      </c>
      <c r="AF114" s="154">
        <v>529900.70739147265</v>
      </c>
      <c r="AG114" s="154">
        <v>344721.10178451316</v>
      </c>
      <c r="AH114" s="155">
        <v>2974023.3565651486</v>
      </c>
      <c r="AI114" s="155">
        <v>1487.0116782825744</v>
      </c>
      <c r="AJ114" s="155">
        <v>1332960.4136149227</v>
      </c>
      <c r="AK114" s="155">
        <v>666.48020680746129</v>
      </c>
      <c r="AL114" s="155">
        <v>5115417.0187239703</v>
      </c>
      <c r="AM114" s="155">
        <v>2557.7085093619853</v>
      </c>
      <c r="AN114" s="155">
        <v>2228289.4611752206</v>
      </c>
      <c r="AO114" s="155">
        <v>1114.1447305876102</v>
      </c>
      <c r="AP114" s="155">
        <v>2200013.3292313996</v>
      </c>
      <c r="AQ114" s="155">
        <v>1100.0066646156997</v>
      </c>
      <c r="AR114" s="155">
        <v>1878470.8218729841</v>
      </c>
      <c r="AS114" s="155">
        <v>939.23541093649203</v>
      </c>
      <c r="AT114" s="155">
        <v>2114569.3464155383</v>
      </c>
      <c r="AU114" s="155">
        <v>1057.2846732077692</v>
      </c>
      <c r="AV114" s="155">
        <v>1889110.6072594295</v>
      </c>
      <c r="AW114" s="155">
        <v>944.55530362971479</v>
      </c>
      <c r="AX114" s="155">
        <v>6099223.6618683049</v>
      </c>
      <c r="AY114" s="155">
        <v>3049.6118309341523</v>
      </c>
      <c r="AZ114" s="155">
        <v>5866969.0627384493</v>
      </c>
      <c r="BA114" s="155">
        <v>2933.4845313692244</v>
      </c>
      <c r="BB114" s="155">
        <v>4461234.9607939813</v>
      </c>
      <c r="BC114" s="155">
        <v>2230.6174803969907</v>
      </c>
      <c r="BD114" s="155">
        <v>2560309.6901654322</v>
      </c>
      <c r="BE114" s="155">
        <v>1280.1548450827161</v>
      </c>
      <c r="BF114" s="155">
        <v>1563197.9355590099</v>
      </c>
      <c r="BG114" s="155">
        <v>781.59896777950496</v>
      </c>
      <c r="BH114" s="155">
        <v>2582377.7304405579</v>
      </c>
      <c r="BI114" s="155">
        <v>1291.188865220279</v>
      </c>
      <c r="BJ114" s="155">
        <v>2447608.4677292146</v>
      </c>
      <c r="BK114" s="155">
        <v>1223.8042338646073</v>
      </c>
      <c r="BL114" s="155">
        <v>2006297.3438430263</v>
      </c>
      <c r="BM114" s="155">
        <v>1003.1486719215131</v>
      </c>
      <c r="BN114" s="155">
        <v>2817592.1240492933</v>
      </c>
      <c r="BO114" s="155">
        <v>1408.7960620246467</v>
      </c>
      <c r="BP114" s="155">
        <v>2746372.4683262855</v>
      </c>
      <c r="BQ114" s="155">
        <v>1373.1862341631427</v>
      </c>
      <c r="BR114" s="155">
        <v>3942992.8727290472</v>
      </c>
      <c r="BS114" s="155">
        <v>1971.4964363645236</v>
      </c>
      <c r="BT114" s="155">
        <v>5362053.1669795085</v>
      </c>
      <c r="BU114" s="155">
        <v>2681.0265834897541</v>
      </c>
      <c r="BV114" s="155">
        <v>4017139.5026782802</v>
      </c>
      <c r="BW114" s="155">
        <v>2008.5697513391401</v>
      </c>
      <c r="BX114" s="155">
        <v>16224040.00927382</v>
      </c>
      <c r="BY114" s="155">
        <v>8112.02000463691</v>
      </c>
      <c r="BZ114" s="155">
        <v>29119274.293855563</v>
      </c>
      <c r="CA114" s="155">
        <v>14559.637146927782</v>
      </c>
    </row>
    <row r="115" spans="1:79" s="48" customFormat="1" x14ac:dyDescent="0.35">
      <c r="A115" s="155" t="s">
        <v>1528</v>
      </c>
      <c r="B115" s="154">
        <v>2441679.6254094662</v>
      </c>
      <c r="C115" s="154">
        <v>923045.23805083684</v>
      </c>
      <c r="D115" s="154">
        <v>5125069.7786625745</v>
      </c>
      <c r="E115" s="154">
        <v>2248651.1010159701</v>
      </c>
      <c r="F115" s="154">
        <v>2220374.0993996011</v>
      </c>
      <c r="G115" s="154">
        <v>1159785.2105148283</v>
      </c>
      <c r="H115" s="154">
        <v>1396770.7895965639</v>
      </c>
      <c r="I115" s="154">
        <v>1170447.7182372124</v>
      </c>
      <c r="J115" s="154">
        <v>5391749.528633113</v>
      </c>
      <c r="K115" s="154">
        <v>5312596.1703220792</v>
      </c>
      <c r="L115" s="154">
        <v>3676191.7472300366</v>
      </c>
      <c r="M115" s="154">
        <v>1993653.7348861222</v>
      </c>
      <c r="N115" s="154">
        <v>1056713.1035572581</v>
      </c>
      <c r="O115" s="154">
        <v>2595227.1978574609</v>
      </c>
      <c r="P115" s="154">
        <v>2462237.2406987543</v>
      </c>
      <c r="Q115" s="154">
        <v>1625641.4638713582</v>
      </c>
      <c r="R115" s="154">
        <v>65737.63683047198</v>
      </c>
      <c r="S115" s="154">
        <v>1603169.1362422276</v>
      </c>
      <c r="T115" s="154">
        <v>33441269.375217035</v>
      </c>
      <c r="U115" s="154">
        <v>419746.11531473638</v>
      </c>
      <c r="V115" s="154">
        <v>515688.08452953334</v>
      </c>
      <c r="W115" s="154">
        <v>1534932.0569001008</v>
      </c>
      <c r="X115" s="154">
        <v>721908.16920033249</v>
      </c>
      <c r="Y115" s="154">
        <v>739523.13528925728</v>
      </c>
      <c r="Z115" s="154">
        <v>250732.06489564656</v>
      </c>
      <c r="AA115" s="154">
        <v>561621.43050599494</v>
      </c>
      <c r="AB115" s="154">
        <v>236368.65962075692</v>
      </c>
      <c r="AC115" s="154">
        <v>227722.72634849325</v>
      </c>
      <c r="AD115" s="154">
        <v>302328.76345592976</v>
      </c>
      <c r="AE115" s="154">
        <v>862501.56917662616</v>
      </c>
      <c r="AF115" s="154">
        <v>530330.39087772183</v>
      </c>
      <c r="AG115" s="154">
        <v>345000.62767065055</v>
      </c>
      <c r="AH115" s="155">
        <v>2995762.7533507021</v>
      </c>
      <c r="AI115" s="155">
        <v>1497.881376675351</v>
      </c>
      <c r="AJ115" s="155">
        <v>1345745.0669572956</v>
      </c>
      <c r="AK115" s="155">
        <v>672.87253347864782</v>
      </c>
      <c r="AL115" s="155">
        <v>5125069.7786625745</v>
      </c>
      <c r="AM115" s="155">
        <v>2562.5348893312871</v>
      </c>
      <c r="AN115" s="155">
        <v>2248651.1010159701</v>
      </c>
      <c r="AO115" s="155">
        <v>1124.3255505079851</v>
      </c>
      <c r="AP115" s="155">
        <v>2220374.0993996011</v>
      </c>
      <c r="AQ115" s="155">
        <v>1110.1870496998006</v>
      </c>
      <c r="AR115" s="155">
        <v>1889921.2369141469</v>
      </c>
      <c r="AS115" s="155">
        <v>944.96061845707345</v>
      </c>
      <c r="AT115" s="155">
        <v>2126603.4152082633</v>
      </c>
      <c r="AU115" s="155">
        <v>1063.3017076041317</v>
      </c>
      <c r="AV115" s="155">
        <v>1900570.0939610195</v>
      </c>
      <c r="AW115" s="155">
        <v>950.28504698050972</v>
      </c>
      <c r="AX115" s="155">
        <v>6115985.8417123333</v>
      </c>
      <c r="AY115" s="155">
        <v>3057.9929208561666</v>
      </c>
      <c r="AZ115" s="155">
        <v>5878416.7339830818</v>
      </c>
      <c r="BA115" s="155">
        <v>2939.208366991541</v>
      </c>
      <c r="BB115" s="155">
        <v>4468281.889627995</v>
      </c>
      <c r="BC115" s="155">
        <v>2234.1409448139975</v>
      </c>
      <c r="BD115" s="155">
        <v>2585822.7466092631</v>
      </c>
      <c r="BE115" s="155">
        <v>1292.9113733046315</v>
      </c>
      <c r="BF115" s="155">
        <v>1578767.4500121884</v>
      </c>
      <c r="BG115" s="155">
        <v>789.38372500609421</v>
      </c>
      <c r="BH115" s="155">
        <v>2595227.1978574609</v>
      </c>
      <c r="BI115" s="155">
        <v>1297.6135989287304</v>
      </c>
      <c r="BJ115" s="155">
        <v>2462237.2406987543</v>
      </c>
      <c r="BK115" s="155">
        <v>1231.1186203493771</v>
      </c>
      <c r="BL115" s="155">
        <v>2013542.9687001689</v>
      </c>
      <c r="BM115" s="155">
        <v>1006.7714843500844</v>
      </c>
      <c r="BN115" s="155">
        <v>2830707.7828330775</v>
      </c>
      <c r="BO115" s="155">
        <v>1415.3538914165388</v>
      </c>
      <c r="BP115" s="155">
        <v>2750780.1866068742</v>
      </c>
      <c r="BQ115" s="155">
        <v>1375.3900933034372</v>
      </c>
      <c r="BR115" s="155">
        <v>3949287.5927893501</v>
      </c>
      <c r="BS115" s="155">
        <v>1974.6437963946751</v>
      </c>
      <c r="BT115" s="155">
        <v>5370028.2383958381</v>
      </c>
      <c r="BU115" s="155">
        <v>2685.0141191979192</v>
      </c>
      <c r="BV115" s="155">
        <v>4023365.3392640208</v>
      </c>
      <c r="BW115" s="155">
        <v>2011.6826696320104</v>
      </c>
      <c r="BX115" s="155">
        <v>16248627.978897294</v>
      </c>
      <c r="BY115" s="155">
        <v>8124.3139894486467</v>
      </c>
      <c r="BZ115" s="155">
        <v>29160814.994926121</v>
      </c>
      <c r="CA115" s="155">
        <v>14580.40749746306</v>
      </c>
    </row>
    <row r="116" spans="1:79" s="48" customFormat="1" x14ac:dyDescent="0.35">
      <c r="A116" s="152" t="s">
        <v>1527</v>
      </c>
      <c r="B116" s="151">
        <v>3133708.4304911336</v>
      </c>
      <c r="C116" s="151">
        <v>1645382.024724659</v>
      </c>
      <c r="D116" s="151">
        <v>5757842.5815339265</v>
      </c>
      <c r="E116" s="151">
        <v>2855818.1083409041</v>
      </c>
      <c r="F116" s="151">
        <v>2838037.1565224063</v>
      </c>
      <c r="G116" s="151">
        <v>1884005.1794955116</v>
      </c>
      <c r="H116" s="151">
        <v>2156631.6122815656</v>
      </c>
      <c r="I116" s="151">
        <v>1901230.7474184691</v>
      </c>
      <c r="J116" s="151">
        <v>8014413.0447174823</v>
      </c>
      <c r="K116" s="151">
        <v>6084919.0357262753</v>
      </c>
      <c r="L116" s="151">
        <v>4063768.9986647251</v>
      </c>
      <c r="M116" s="151">
        <v>2412302.5808495907</v>
      </c>
      <c r="N116" s="151">
        <v>1685344.4166444067</v>
      </c>
      <c r="O116" s="151">
        <v>3160762.1796081001</v>
      </c>
      <c r="P116" s="151">
        <v>2961895.3673623903</v>
      </c>
      <c r="Q116" s="151">
        <v>2058426.9522558311</v>
      </c>
      <c r="R116" s="151">
        <v>68588.800416053695</v>
      </c>
      <c r="S116" s="151">
        <v>1727320.853761836</v>
      </c>
      <c r="T116" s="151">
        <v>36239757.185398541</v>
      </c>
      <c r="U116" s="151">
        <v>445478.57206221018</v>
      </c>
      <c r="V116" s="151">
        <v>547302.24567642971</v>
      </c>
      <c r="W116" s="151">
        <v>1629030.7783019096</v>
      </c>
      <c r="X116" s="151">
        <v>768551.23401185591</v>
      </c>
      <c r="Y116" s="151">
        <v>784905.39885239082</v>
      </c>
      <c r="Z116" s="151">
        <v>266103.14703250967</v>
      </c>
      <c r="AA116" s="151">
        <v>609695.76545368996</v>
      </c>
      <c r="AB116" s="151">
        <v>250859.19589549716</v>
      </c>
      <c r="AC116" s="151">
        <v>241683.22530816923</v>
      </c>
      <c r="AD116" s="151">
        <v>320862.97150527302</v>
      </c>
      <c r="AE116" s="151">
        <v>915377.06584876089</v>
      </c>
      <c r="AF116" s="151">
        <v>562842.19586464635</v>
      </c>
      <c r="AG116" s="151">
        <v>366150.82633950445</v>
      </c>
      <c r="AH116" s="152">
        <v>3764219.0504701105</v>
      </c>
      <c r="AI116" s="152">
        <v>1882.1095252350551</v>
      </c>
      <c r="AJ116" s="152">
        <v>2126095.2139105685</v>
      </c>
      <c r="AK116" s="152">
        <v>1063.0476069552842</v>
      </c>
      <c r="AL116" s="152">
        <v>5757842.5815339265</v>
      </c>
      <c r="AM116" s="152">
        <v>2878.921290766963</v>
      </c>
      <c r="AN116" s="152">
        <v>2855818.1083409041</v>
      </c>
      <c r="AO116" s="152">
        <v>1427.909054170452</v>
      </c>
      <c r="AP116" s="152">
        <v>2838037.1565224063</v>
      </c>
      <c r="AQ116" s="152">
        <v>1419.0185782612034</v>
      </c>
      <c r="AR116" s="152">
        <v>2661374.6293967417</v>
      </c>
      <c r="AS116" s="152">
        <v>1330.687314698371</v>
      </c>
      <c r="AT116" s="152">
        <v>2933652.0321922218</v>
      </c>
      <c r="AU116" s="152">
        <v>1466.8260160961108</v>
      </c>
      <c r="AV116" s="152">
        <v>2678578.1442863662</v>
      </c>
      <c r="AW116" s="152">
        <v>1339.2890721431829</v>
      </c>
      <c r="AX116" s="152">
        <v>8847621.3198715039</v>
      </c>
      <c r="AY116" s="152">
        <v>4423.8106599357525</v>
      </c>
      <c r="AZ116" s="152">
        <v>6705155.7982094306</v>
      </c>
      <c r="BA116" s="152">
        <v>3352.577899104715</v>
      </c>
      <c r="BB116" s="152">
        <v>4925044.4683902673</v>
      </c>
      <c r="BC116" s="152">
        <v>2462.5222341951335</v>
      </c>
      <c r="BD116" s="152">
        <v>3068242.7515023616</v>
      </c>
      <c r="BE116" s="152">
        <v>1534.1213757511807</v>
      </c>
      <c r="BF116" s="152">
        <v>2299318.9565688125</v>
      </c>
      <c r="BG116" s="152">
        <v>1149.6594782844063</v>
      </c>
      <c r="BH116" s="152">
        <v>3160762.1796081001</v>
      </c>
      <c r="BI116" s="152">
        <v>1580.3810898040501</v>
      </c>
      <c r="BJ116" s="152">
        <v>2961895.3673623903</v>
      </c>
      <c r="BK116" s="152">
        <v>1480.947683681195</v>
      </c>
      <c r="BL116" s="152">
        <v>2483088.3592206999</v>
      </c>
      <c r="BM116" s="152">
        <v>1241.5441796103501</v>
      </c>
      <c r="BN116" s="152">
        <v>3488067.21518389</v>
      </c>
      <c r="BO116" s="152">
        <v>1744.0336075919449</v>
      </c>
      <c r="BP116" s="152">
        <v>3036680.9599230816</v>
      </c>
      <c r="BQ116" s="152">
        <v>1518.3404799615407</v>
      </c>
      <c r="BR116" s="152">
        <v>4354365.9268289953</v>
      </c>
      <c r="BS116" s="152">
        <v>2177.1829634144979</v>
      </c>
      <c r="BT116" s="152">
        <v>5895573.9364204938</v>
      </c>
      <c r="BU116" s="152">
        <v>2947.7869682102469</v>
      </c>
      <c r="BV116" s="152">
        <v>4428873.6077241898</v>
      </c>
      <c r="BW116" s="152">
        <v>2214.4368038620951</v>
      </c>
      <c r="BX116" s="152">
        <v>17757306.57148223</v>
      </c>
      <c r="BY116" s="152">
        <v>8878.6532857411148</v>
      </c>
      <c r="BZ116" s="152">
        <v>31657059.630844489</v>
      </c>
      <c r="CA116" s="152">
        <v>15828.529815422244</v>
      </c>
    </row>
    <row r="117" spans="1:79" s="145" customFormat="1" ht="13.15" x14ac:dyDescent="0.4">
      <c r="A117" s="158" t="s">
        <v>1662</v>
      </c>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46" t="s">
        <v>1873</v>
      </c>
      <c r="AI117" s="146" t="s">
        <v>1872</v>
      </c>
      <c r="AJ117" s="146" t="s">
        <v>1873</v>
      </c>
      <c r="AK117" s="146" t="s">
        <v>1872</v>
      </c>
      <c r="AL117" s="146" t="s">
        <v>1873</v>
      </c>
      <c r="AM117" s="146" t="s">
        <v>1872</v>
      </c>
      <c r="AN117" s="146" t="s">
        <v>1873</v>
      </c>
      <c r="AO117" s="146" t="s">
        <v>1872</v>
      </c>
      <c r="AP117" s="146" t="s">
        <v>1873</v>
      </c>
      <c r="AQ117" s="146" t="s">
        <v>1872</v>
      </c>
      <c r="AR117" s="146" t="s">
        <v>1873</v>
      </c>
      <c r="AS117" s="146" t="s">
        <v>1872</v>
      </c>
      <c r="AT117" s="146" t="s">
        <v>1873</v>
      </c>
      <c r="AU117" s="146" t="s">
        <v>1872</v>
      </c>
      <c r="AV117" s="146" t="s">
        <v>1873</v>
      </c>
      <c r="AW117" s="146" t="s">
        <v>1872</v>
      </c>
      <c r="AX117" s="146" t="s">
        <v>1873</v>
      </c>
      <c r="AY117" s="146" t="s">
        <v>1872</v>
      </c>
      <c r="AZ117" s="146" t="s">
        <v>1873</v>
      </c>
      <c r="BA117" s="146" t="s">
        <v>1872</v>
      </c>
      <c r="BB117" s="146" t="s">
        <v>1873</v>
      </c>
      <c r="BC117" s="146" t="s">
        <v>1872</v>
      </c>
      <c r="BD117" s="146" t="s">
        <v>1873</v>
      </c>
      <c r="BE117" s="146" t="s">
        <v>1872</v>
      </c>
      <c r="BF117" s="146" t="s">
        <v>1873</v>
      </c>
      <c r="BG117" s="146" t="s">
        <v>1872</v>
      </c>
      <c r="BH117" s="146" t="s">
        <v>1873</v>
      </c>
      <c r="BI117" s="146" t="s">
        <v>1872</v>
      </c>
      <c r="BJ117" s="146" t="s">
        <v>1873</v>
      </c>
      <c r="BK117" s="146" t="s">
        <v>1872</v>
      </c>
      <c r="BL117" s="146" t="s">
        <v>1873</v>
      </c>
      <c r="BM117" s="146" t="s">
        <v>1872</v>
      </c>
      <c r="BN117" s="146" t="s">
        <v>1873</v>
      </c>
      <c r="BO117" s="146" t="s">
        <v>1872</v>
      </c>
      <c r="BP117" s="146" t="s">
        <v>1873</v>
      </c>
      <c r="BQ117" s="146" t="s">
        <v>1872</v>
      </c>
      <c r="BR117" s="146" t="s">
        <v>1873</v>
      </c>
      <c r="BS117" s="146" t="s">
        <v>1872</v>
      </c>
      <c r="BT117" s="146" t="s">
        <v>1873</v>
      </c>
      <c r="BU117" s="146" t="s">
        <v>1872</v>
      </c>
      <c r="BV117" s="146" t="s">
        <v>1873</v>
      </c>
      <c r="BW117" s="146" t="s">
        <v>1872</v>
      </c>
      <c r="BX117" s="146" t="s">
        <v>1873</v>
      </c>
      <c r="BY117" s="146" t="s">
        <v>1872</v>
      </c>
      <c r="BZ117" s="146" t="s">
        <v>1873</v>
      </c>
      <c r="CA117" s="146" t="s">
        <v>1872</v>
      </c>
    </row>
    <row r="118" spans="1:79" s="145" customFormat="1" x14ac:dyDescent="0.35">
      <c r="A118" s="146" t="s">
        <v>1525</v>
      </c>
      <c r="B118" s="145">
        <v>45.539898955072537</v>
      </c>
      <c r="C118" s="145">
        <v>36.103190324145601</v>
      </c>
      <c r="D118" s="145">
        <v>69.073820228636023</v>
      </c>
      <c r="E118" s="145">
        <v>44.348607605499957</v>
      </c>
      <c r="F118" s="145">
        <v>44.534984360067199</v>
      </c>
      <c r="G118" s="145">
        <v>33.4130887122557</v>
      </c>
      <c r="H118" s="145">
        <v>35.910369041146964</v>
      </c>
      <c r="I118" s="145">
        <v>33.413185984938366</v>
      </c>
      <c r="J118" s="145">
        <v>67.033638249675136</v>
      </c>
      <c r="K118" s="145">
        <v>71.332875255944174</v>
      </c>
      <c r="L118" s="145">
        <v>56.197525975194424</v>
      </c>
      <c r="M118" s="145">
        <v>35.757028404144428</v>
      </c>
      <c r="N118" s="145">
        <v>32.605125245079989</v>
      </c>
      <c r="O118" s="145">
        <v>39.960540496240213</v>
      </c>
      <c r="P118" s="145">
        <v>44.346403013489777</v>
      </c>
      <c r="Q118" s="145">
        <v>24.601425528543462</v>
      </c>
      <c r="R118" s="145">
        <v>0.98349324685255479</v>
      </c>
      <c r="S118" s="145">
        <v>13.167989797909833</v>
      </c>
      <c r="T118" s="145">
        <v>305.01354574358436</v>
      </c>
      <c r="U118" s="145">
        <v>3.2264857678886791</v>
      </c>
      <c r="V118" s="145">
        <v>3.9639682291203777</v>
      </c>
      <c r="W118" s="145">
        <v>11.798647457525147</v>
      </c>
      <c r="X118" s="145">
        <v>8.8881972402022846</v>
      </c>
      <c r="Y118" s="145">
        <v>5.7236978369359326</v>
      </c>
      <c r="Z118" s="145">
        <v>1.9273160832770251</v>
      </c>
      <c r="AA118" s="145">
        <v>4.7221783566277127</v>
      </c>
      <c r="AB118" s="145">
        <v>1.816908098528675</v>
      </c>
      <c r="AC118" s="145">
        <v>1.7504489232432603</v>
      </c>
      <c r="AD118" s="145">
        <v>2.3239272906254675</v>
      </c>
      <c r="AE118" s="145">
        <v>6.6298386958111228</v>
      </c>
      <c r="AF118" s="145">
        <v>4.0765200582327736</v>
      </c>
      <c r="AG118" s="145">
        <v>2.6519354783244498</v>
      </c>
      <c r="AH118" s="146">
        <v>51.831030005258967</v>
      </c>
      <c r="AI118" s="146">
        <v>2.5915515002629484E-2</v>
      </c>
      <c r="AJ118" s="146">
        <v>40.690620348491784</v>
      </c>
      <c r="AK118" s="146">
        <v>2.034531017424589E-2</v>
      </c>
      <c r="AL118" s="146">
        <v>69.073820228636023</v>
      </c>
      <c r="AM118" s="146">
        <v>3.453691011431801E-2</v>
      </c>
      <c r="AN118" s="146">
        <v>44.348607605499957</v>
      </c>
      <c r="AO118" s="146">
        <v>2.2174303802749977E-2</v>
      </c>
      <c r="AP118" s="146">
        <v>44.534984360067199</v>
      </c>
      <c r="AQ118" s="146">
        <v>2.2267492180033599E-2</v>
      </c>
      <c r="AR118" s="146">
        <v>39.092346588742359</v>
      </c>
      <c r="AS118" s="146">
        <v>1.954617329437118E-2</v>
      </c>
      <c r="AT118" s="146">
        <v>41.586429774492558</v>
      </c>
      <c r="AU118" s="146">
        <v>2.0793214887246277E-2</v>
      </c>
      <c r="AV118" s="146">
        <v>39.092443736891674</v>
      </c>
      <c r="AW118" s="146">
        <v>1.9546221868445839E-2</v>
      </c>
      <c r="AX118" s="146">
        <v>73.450382583669423</v>
      </c>
      <c r="AY118" s="146">
        <v>3.6725191291834713E-2</v>
      </c>
      <c r="AZ118" s="146">
        <v>76.848685087403865</v>
      </c>
      <c r="BA118" s="146">
        <v>3.8424342543701931E-2</v>
      </c>
      <c r="BB118" s="146">
        <v>65.411000874054366</v>
      </c>
      <c r="BC118" s="146">
        <v>3.2705500437027184E-2</v>
      </c>
      <c r="BD118" s="146">
        <v>41.93456234996917</v>
      </c>
      <c r="BE118" s="146">
        <v>2.0967281174984583E-2</v>
      </c>
      <c r="BF118" s="146">
        <v>39.194285311357234</v>
      </c>
      <c r="BG118" s="146">
        <v>1.9597142655678617E-2</v>
      </c>
      <c r="BH118" s="146">
        <v>39.960540496240213</v>
      </c>
      <c r="BI118" s="146">
        <v>1.9980270248120106E-2</v>
      </c>
      <c r="BJ118" s="146">
        <v>44.346403013489777</v>
      </c>
      <c r="BK118" s="146">
        <v>2.2173201506744889E-2</v>
      </c>
      <c r="BL118" s="146">
        <v>28.053439799257085</v>
      </c>
      <c r="BM118" s="146">
        <v>1.4026719899628542E-2</v>
      </c>
      <c r="BN118" s="146">
        <v>46.692617093606657</v>
      </c>
      <c r="BO118" s="146">
        <v>2.3346308546803328E-2</v>
      </c>
      <c r="BP118" s="146">
        <v>31.801657717532123</v>
      </c>
      <c r="BQ118" s="146">
        <v>1.5900828858766061E-2</v>
      </c>
      <c r="BR118" s="146">
        <v>44.468535275148724</v>
      </c>
      <c r="BS118" s="146">
        <v>2.2234267637574363E-2</v>
      </c>
      <c r="BT118" s="146">
        <v>58.676479172656286</v>
      </c>
      <c r="BU118" s="146">
        <v>2.9338239586328144E-2</v>
      </c>
      <c r="BV118" s="146">
        <v>44.982224055112376</v>
      </c>
      <c r="BW118" s="146">
        <v>2.2491112027556187E-2</v>
      </c>
      <c r="BX118" s="146">
        <v>168.32373842695966</v>
      </c>
      <c r="BY118" s="146">
        <v>8.4161869213479831E-2</v>
      </c>
      <c r="BZ118" s="146">
        <v>275.91225326177607</v>
      </c>
      <c r="CA118" s="146">
        <v>0.13795612663088805</v>
      </c>
    </row>
    <row r="119" spans="1:79" s="145" customFormat="1" x14ac:dyDescent="0.35">
      <c r="A119" s="146" t="s">
        <v>1524</v>
      </c>
      <c r="B119" s="145">
        <v>153.06526142394682</v>
      </c>
      <c r="C119" s="145">
        <v>138.42125794321336</v>
      </c>
      <c r="D119" s="145">
        <v>257.85992093722655</v>
      </c>
      <c r="E119" s="145">
        <v>128.03943013966759</v>
      </c>
      <c r="F119" s="145">
        <v>129.30650330943541</v>
      </c>
      <c r="G119" s="145">
        <v>138.72262803369438</v>
      </c>
      <c r="H119" s="145">
        <v>150.86842672495635</v>
      </c>
      <c r="I119" s="145">
        <v>137.87850763096719</v>
      </c>
      <c r="J119" s="145">
        <v>202.85227844637981</v>
      </c>
      <c r="K119" s="145">
        <v>233.95361127677455</v>
      </c>
      <c r="L119" s="145">
        <v>162.9663593107741</v>
      </c>
      <c r="M119" s="145">
        <v>93.967441765054033</v>
      </c>
      <c r="N119" s="145">
        <v>114.15746869314795</v>
      </c>
      <c r="O119" s="145">
        <v>148.7538402982897</v>
      </c>
      <c r="P119" s="145">
        <v>133.34445865278838</v>
      </c>
      <c r="Q119" s="145">
        <v>112.95657794579847</v>
      </c>
      <c r="R119" s="145">
        <v>1.6226180833912403</v>
      </c>
      <c r="S119" s="145">
        <v>73.378741416138652</v>
      </c>
      <c r="T119" s="145">
        <v>1455.1838331190957</v>
      </c>
      <c r="U119" s="145">
        <v>25.251300483777115</v>
      </c>
      <c r="V119" s="145">
        <v>31.023026308640457</v>
      </c>
      <c r="W119" s="145">
        <v>92.339224061440106</v>
      </c>
      <c r="X119" s="145">
        <v>25.319890459383334</v>
      </c>
      <c r="Y119" s="145">
        <v>44.431815664725036</v>
      </c>
      <c r="Z119" s="145">
        <v>15.083667199279487</v>
      </c>
      <c r="AA119" s="145">
        <v>29.294208853959134</v>
      </c>
      <c r="AB119" s="145">
        <v>14.219586152824656</v>
      </c>
      <c r="AC119" s="145">
        <v>13.699459697677087</v>
      </c>
      <c r="AD119" s="145">
        <v>18.187647657418204</v>
      </c>
      <c r="AE119" s="145">
        <v>51.886808469156634</v>
      </c>
      <c r="AF119" s="145">
        <v>31.903885627841984</v>
      </c>
      <c r="AG119" s="145">
        <v>20.754723387662654</v>
      </c>
      <c r="AH119" s="146">
        <v>185.775596641861</v>
      </c>
      <c r="AI119" s="146">
        <v>9.2887798320930498E-2</v>
      </c>
      <c r="AJ119" s="146">
        <v>165.87207716997875</v>
      </c>
      <c r="AK119" s="146">
        <v>8.293603858498938E-2</v>
      </c>
      <c r="AL119" s="146">
        <v>257.85992093722655</v>
      </c>
      <c r="AM119" s="146">
        <v>0.12892996046861327</v>
      </c>
      <c r="AN119" s="146">
        <v>128.03943013966759</v>
      </c>
      <c r="AO119" s="146">
        <v>6.4019715069833796E-2</v>
      </c>
      <c r="AP119" s="146">
        <v>129.30650330943541</v>
      </c>
      <c r="AQ119" s="146">
        <v>6.4653251654717706E-2</v>
      </c>
      <c r="AR119" s="146">
        <v>181.46891338736478</v>
      </c>
      <c r="AS119" s="146">
        <v>9.0734456693682394E-2</v>
      </c>
      <c r="AT119" s="146">
        <v>193.59916241985226</v>
      </c>
      <c r="AU119" s="146">
        <v>9.6799581209926128E-2</v>
      </c>
      <c r="AV119" s="146">
        <v>180.62587366978318</v>
      </c>
      <c r="AW119" s="146">
        <v>9.0312936834891583E-2</v>
      </c>
      <c r="AX119" s="146">
        <v>241.2673739679378</v>
      </c>
      <c r="AY119" s="146">
        <v>0.1206336869839689</v>
      </c>
      <c r="AZ119" s="146">
        <v>263.56608814771437</v>
      </c>
      <c r="BA119" s="146">
        <v>0.13178304407385719</v>
      </c>
      <c r="BB119" s="146">
        <v>203.30671630557481</v>
      </c>
      <c r="BC119" s="146">
        <v>0.10165335815278741</v>
      </c>
      <c r="BD119" s="146">
        <v>125.53674020480094</v>
      </c>
      <c r="BE119" s="146">
        <v>6.2768370102400467E-2</v>
      </c>
      <c r="BF119" s="146">
        <v>150.05706919062874</v>
      </c>
      <c r="BG119" s="146">
        <v>7.5028534595314375E-2</v>
      </c>
      <c r="BH119" s="146">
        <v>148.7538402982897</v>
      </c>
      <c r="BI119" s="146">
        <v>7.4376920149144848E-2</v>
      </c>
      <c r="BJ119" s="146">
        <v>133.34445865278838</v>
      </c>
      <c r="BK119" s="146">
        <v>6.6672229326394189E-2</v>
      </c>
      <c r="BL119" s="146">
        <v>136.80615774813376</v>
      </c>
      <c r="BM119" s="146">
        <v>6.840307887406688E-2</v>
      </c>
      <c r="BN119" s="146">
        <v>173.07694314198002</v>
      </c>
      <c r="BO119" s="146">
        <v>8.6538471570990011E-2</v>
      </c>
      <c r="BP119" s="146">
        <v>139.27483685465441</v>
      </c>
      <c r="BQ119" s="146">
        <v>6.9637418427327208E-2</v>
      </c>
      <c r="BR119" s="146">
        <v>198.7982093846546</v>
      </c>
      <c r="BS119" s="146">
        <v>9.9399104692327295E-2</v>
      </c>
      <c r="BT119" s="146">
        <v>281.14526160285828</v>
      </c>
      <c r="BU119" s="146">
        <v>0.14057263080142915</v>
      </c>
      <c r="BV119" s="146">
        <v>206.40610261405575</v>
      </c>
      <c r="BW119" s="146">
        <v>0.10320305130702788</v>
      </c>
      <c r="BX119" s="146">
        <v>728.76497829402081</v>
      </c>
      <c r="BY119" s="146">
        <v>0.36438248914701038</v>
      </c>
      <c r="BZ119" s="146">
        <v>1274.7446822489528</v>
      </c>
      <c r="CA119" s="146">
        <v>0.63737234112447638</v>
      </c>
    </row>
    <row r="120" spans="1:79" s="145" customFormat="1" x14ac:dyDescent="0.35">
      <c r="A120" s="146" t="s">
        <v>1523</v>
      </c>
      <c r="B120" s="145">
        <v>239.82162934905941</v>
      </c>
      <c r="C120" s="145">
        <v>180.07492701463059</v>
      </c>
      <c r="D120" s="145">
        <v>405.25326505991472</v>
      </c>
      <c r="E120" s="145">
        <v>189.35742993038355</v>
      </c>
      <c r="F120" s="145">
        <v>191.11001603949452</v>
      </c>
      <c r="G120" s="145">
        <v>183.73409283602439</v>
      </c>
      <c r="H120" s="145">
        <v>198.68109902444334</v>
      </c>
      <c r="I120" s="145">
        <v>180.8173033219594</v>
      </c>
      <c r="J120" s="145">
        <v>315.35274612957994</v>
      </c>
      <c r="K120" s="145">
        <v>388.31490882388334</v>
      </c>
      <c r="L120" s="145">
        <v>288.20284967860215</v>
      </c>
      <c r="M120" s="145">
        <v>161.69245725044374</v>
      </c>
      <c r="N120" s="145">
        <v>159.87046742308971</v>
      </c>
      <c r="O120" s="145">
        <v>243.97971894842425</v>
      </c>
      <c r="P120" s="145">
        <v>222.18084747850594</v>
      </c>
      <c r="Q120" s="145">
        <v>168.79103146284771</v>
      </c>
      <c r="R120" s="145">
        <v>3.7268045012277478</v>
      </c>
      <c r="S120" s="145">
        <v>146.84568874076047</v>
      </c>
      <c r="T120" s="145">
        <v>2681.7817687301172</v>
      </c>
      <c r="U120" s="145">
        <v>66.133146818417103</v>
      </c>
      <c r="V120" s="145">
        <v>81.249294662626724</v>
      </c>
      <c r="W120" s="145">
        <v>241.83639436223157</v>
      </c>
      <c r="X120" s="145">
        <v>50.354805141102275</v>
      </c>
      <c r="Y120" s="145">
        <v>116.28285089323431</v>
      </c>
      <c r="Z120" s="145">
        <v>39.50411893007108</v>
      </c>
      <c r="AA120" s="145">
        <v>59.306789404298101</v>
      </c>
      <c r="AB120" s="145">
        <v>37.241090982464115</v>
      </c>
      <c r="AC120" s="145">
        <v>35.878879984875454</v>
      </c>
      <c r="AD120" s="145">
        <v>47.633442625358235</v>
      </c>
      <c r="AE120" s="145">
        <v>135.89153258202981</v>
      </c>
      <c r="AF120" s="145">
        <v>83.556264900478482</v>
      </c>
      <c r="AG120" s="145">
        <v>54.356613032811936</v>
      </c>
      <c r="AH120" s="146">
        <v>309.70065551601812</v>
      </c>
      <c r="AI120" s="146">
        <v>0.15485032775800905</v>
      </c>
      <c r="AJ120" s="146">
        <v>238.8090945766948</v>
      </c>
      <c r="AK120" s="146">
        <v>0.1194045472883474</v>
      </c>
      <c r="AL120" s="146">
        <v>405.25326505991472</v>
      </c>
      <c r="AM120" s="146">
        <v>0.20262663252995736</v>
      </c>
      <c r="AN120" s="146">
        <v>189.35742993038355</v>
      </c>
      <c r="AO120" s="146">
        <v>9.4678714965191771E-2</v>
      </c>
      <c r="AP120" s="146">
        <v>191.11001603949452</v>
      </c>
      <c r="AQ120" s="146">
        <v>9.5555008019747256E-2</v>
      </c>
      <c r="AR120" s="146">
        <v>291.69343377714108</v>
      </c>
      <c r="AS120" s="146">
        <v>0.14584671688857054</v>
      </c>
      <c r="AT120" s="146">
        <v>306.62130406088738</v>
      </c>
      <c r="AU120" s="146">
        <v>0.15331065203044369</v>
      </c>
      <c r="AV120" s="146">
        <v>288.78037848285152</v>
      </c>
      <c r="AW120" s="146">
        <v>0.14439018924142577</v>
      </c>
      <c r="AX120" s="146">
        <v>402.52733836764247</v>
      </c>
      <c r="AY120" s="146">
        <v>0.20126366918382124</v>
      </c>
      <c r="AZ120" s="146">
        <v>452.33557963951858</v>
      </c>
      <c r="BA120" s="146">
        <v>0.2261677898197593</v>
      </c>
      <c r="BB120" s="146">
        <v>374.96289394211988</v>
      </c>
      <c r="BC120" s="146">
        <v>0.18748144697105995</v>
      </c>
      <c r="BD120" s="146">
        <v>229.78603811649216</v>
      </c>
      <c r="BE120" s="146">
        <v>0.11489301905824609</v>
      </c>
      <c r="BF120" s="146">
        <v>236.94930284557964</v>
      </c>
      <c r="BG120" s="146">
        <v>0.11847465142278982</v>
      </c>
      <c r="BH120" s="146">
        <v>243.97971894842425</v>
      </c>
      <c r="BI120" s="146">
        <v>0.12198985947421212</v>
      </c>
      <c r="BJ120" s="146">
        <v>222.18084747850594</v>
      </c>
      <c r="BK120" s="146">
        <v>0.11109042373925297</v>
      </c>
      <c r="BL120" s="146">
        <v>226.11992250483218</v>
      </c>
      <c r="BM120" s="146">
        <v>0.11305996125241609</v>
      </c>
      <c r="BN120" s="146">
        <v>281.68963101855115</v>
      </c>
      <c r="BO120" s="146">
        <v>0.14084481550927558</v>
      </c>
      <c r="BP120" s="146">
        <v>256.65041187080789</v>
      </c>
      <c r="BQ120" s="146">
        <v>0.12832520593540395</v>
      </c>
      <c r="BR120" s="146">
        <v>366.48723462862796</v>
      </c>
      <c r="BS120" s="146">
        <v>0.18324361731431399</v>
      </c>
      <c r="BT120" s="146">
        <v>556.53279802861641</v>
      </c>
      <c r="BU120" s="146">
        <v>0.27826639901430822</v>
      </c>
      <c r="BV120" s="146">
        <v>393.22348150935073</v>
      </c>
      <c r="BW120" s="146">
        <v>0.19661174075467536</v>
      </c>
      <c r="BX120" s="146">
        <v>1290.9162755646144</v>
      </c>
      <c r="BY120" s="146">
        <v>0.64545813778230721</v>
      </c>
      <c r="BZ120" s="146">
        <v>2329.0132732382262</v>
      </c>
      <c r="CA120" s="146">
        <v>1.164506636619113</v>
      </c>
    </row>
    <row r="121" spans="1:79" s="145" customFormat="1" x14ac:dyDescent="0.35">
      <c r="A121" s="146" t="s">
        <v>1522</v>
      </c>
      <c r="B121" s="145">
        <v>12.269337909464772</v>
      </c>
      <c r="C121" s="145">
        <v>3.3912756585528956</v>
      </c>
      <c r="D121" s="145">
        <v>23.978836518541918</v>
      </c>
      <c r="E121" s="145">
        <v>7.5432787272993203</v>
      </c>
      <c r="F121" s="145">
        <v>7.6219752888127879</v>
      </c>
      <c r="G121" s="145">
        <v>4.4050524427215079</v>
      </c>
      <c r="H121" s="145">
        <v>4.5366889445684304</v>
      </c>
      <c r="I121" s="145">
        <v>3.9635595733404561</v>
      </c>
      <c r="J121" s="145">
        <v>19.034513674405389</v>
      </c>
      <c r="K121" s="145">
        <v>26.383025897326416</v>
      </c>
      <c r="L121" s="145">
        <v>21.748582295727811</v>
      </c>
      <c r="M121" s="145">
        <v>10.807187344456118</v>
      </c>
      <c r="N121" s="145">
        <v>5.1325141950918081</v>
      </c>
      <c r="O121" s="145">
        <v>15.600410408995499</v>
      </c>
      <c r="P121" s="145">
        <v>14.911118995291815</v>
      </c>
      <c r="Q121" s="145">
        <v>7.9696387544533343</v>
      </c>
      <c r="R121" s="145">
        <v>0.50823866261997375</v>
      </c>
      <c r="S121" s="145">
        <v>13.363377964653566</v>
      </c>
      <c r="T121" s="145">
        <v>223.3649867044644</v>
      </c>
      <c r="U121" s="145">
        <v>8.1501308413945406</v>
      </c>
      <c r="V121" s="145">
        <v>10.013017890856151</v>
      </c>
      <c r="W121" s="145">
        <v>29.803485106720835</v>
      </c>
      <c r="X121" s="145">
        <v>5.2570384468884335</v>
      </c>
      <c r="Y121" s="145">
        <v>14.32617820601526</v>
      </c>
      <c r="Z121" s="145">
        <v>4.8684170275174043</v>
      </c>
      <c r="AA121" s="145">
        <v>5.5708074181947627</v>
      </c>
      <c r="AB121" s="145">
        <v>4.589525507031146</v>
      </c>
      <c r="AC121" s="145">
        <v>4.4216490578064072</v>
      </c>
      <c r="AD121" s="145">
        <v>5.8702603535360023</v>
      </c>
      <c r="AE121" s="145">
        <v>16.747029652500078</v>
      </c>
      <c r="AF121" s="145">
        <v>10.297324780672239</v>
      </c>
      <c r="AG121" s="145">
        <v>6.6988118610000322</v>
      </c>
      <c r="AH121" s="146">
        <v>19.217652362927552</v>
      </c>
      <c r="AI121" s="146">
        <v>9.6088261814637754E-3</v>
      </c>
      <c r="AJ121" s="146">
        <v>9.291542959236466</v>
      </c>
      <c r="AK121" s="146">
        <v>4.6457714796182331E-3</v>
      </c>
      <c r="AL121" s="146">
        <v>23.978836518541918</v>
      </c>
      <c r="AM121" s="146">
        <v>1.1989418259270959E-2</v>
      </c>
      <c r="AN121" s="146">
        <v>7.5432787272993203</v>
      </c>
      <c r="AO121" s="146">
        <v>3.7716393636496601E-3</v>
      </c>
      <c r="AP121" s="146">
        <v>7.6219752888127879</v>
      </c>
      <c r="AQ121" s="146">
        <v>3.8109876444063938E-3</v>
      </c>
      <c r="AR121" s="146">
        <v>17.311639501556879</v>
      </c>
      <c r="AS121" s="146">
        <v>8.6558197507784398E-3</v>
      </c>
      <c r="AT121" s="146">
        <v>17.443107475772312</v>
      </c>
      <c r="AU121" s="146">
        <v>8.7215537378861566E-3</v>
      </c>
      <c r="AV121" s="146">
        <v>16.870711853421852</v>
      </c>
      <c r="AW121" s="146">
        <v>8.4353559267109253E-3</v>
      </c>
      <c r="AX121" s="146">
        <v>28.482225848232346</v>
      </c>
      <c r="AY121" s="146">
        <v>1.4241112924116173E-2</v>
      </c>
      <c r="AZ121" s="146">
        <v>32.953192097679114</v>
      </c>
      <c r="BA121" s="146">
        <v>1.6476596048839557E-2</v>
      </c>
      <c r="BB121" s="146">
        <v>30.562303640070695</v>
      </c>
      <c r="BC121" s="146">
        <v>1.5281151820035348E-2</v>
      </c>
      <c r="BD121" s="146">
        <v>17.694717582594883</v>
      </c>
      <c r="BE121" s="146">
        <v>8.8473587912974421E-3</v>
      </c>
      <c r="BF121" s="146">
        <v>12.870690893067369</v>
      </c>
      <c r="BG121" s="146">
        <v>6.4353454465336845E-3</v>
      </c>
      <c r="BH121" s="146">
        <v>15.600410408995499</v>
      </c>
      <c r="BI121" s="146">
        <v>7.8002052044977496E-3</v>
      </c>
      <c r="BJ121" s="146">
        <v>14.911118995291815</v>
      </c>
      <c r="BK121" s="146">
        <v>7.4555594976459076E-3</v>
      </c>
      <c r="BL121" s="146">
        <v>14.516590056613602</v>
      </c>
      <c r="BM121" s="146">
        <v>7.258295028306801E-3</v>
      </c>
      <c r="BN121" s="146">
        <v>17.471232949199422</v>
      </c>
      <c r="BO121" s="146">
        <v>8.7356164745997101E-3</v>
      </c>
      <c r="BP121" s="146">
        <v>21.152925024802101</v>
      </c>
      <c r="BQ121" s="146">
        <v>1.057646251240105E-2</v>
      </c>
      <c r="BR121" s="146">
        <v>30.087917871134302</v>
      </c>
      <c r="BS121" s="146">
        <v>1.5043958935567151E-2</v>
      </c>
      <c r="BT121" s="146">
        <v>51.088547362142258</v>
      </c>
      <c r="BU121" s="146">
        <v>2.5544273681071129E-2</v>
      </c>
      <c r="BV121" s="146">
        <v>34.109796752692887</v>
      </c>
      <c r="BW121" s="146">
        <v>1.7054898376346442E-2</v>
      </c>
      <c r="BX121" s="146">
        <v>100.78297544161171</v>
      </c>
      <c r="BY121" s="146">
        <v>5.0391487720805858E-2</v>
      </c>
      <c r="BZ121" s="146">
        <v>191.70305992639234</v>
      </c>
      <c r="CA121" s="146">
        <v>9.5851529963196166E-2</v>
      </c>
    </row>
    <row r="122" spans="1:79" s="145" customFormat="1" x14ac:dyDescent="0.35">
      <c r="A122" s="146" t="s">
        <v>1521</v>
      </c>
      <c r="B122" s="145">
        <v>9.333654335243315</v>
      </c>
      <c r="C122" s="145">
        <v>2.6857232085608018</v>
      </c>
      <c r="D122" s="145">
        <v>18.192816387733217</v>
      </c>
      <c r="E122" s="145">
        <v>5.8810183014709807</v>
      </c>
      <c r="F122" s="145">
        <v>5.939841039983782</v>
      </c>
      <c r="G122" s="145">
        <v>3.4026903664006509</v>
      </c>
      <c r="H122" s="145">
        <v>3.5045743955502826</v>
      </c>
      <c r="I122" s="145">
        <v>3.0760476576797369</v>
      </c>
      <c r="J122" s="145">
        <v>14.7013472128003</v>
      </c>
      <c r="K122" s="145">
        <v>20.068399812383969</v>
      </c>
      <c r="L122" s="145">
        <v>16.549349107530279</v>
      </c>
      <c r="M122" s="145">
        <v>8.2647340224516235</v>
      </c>
      <c r="N122" s="145">
        <v>3.973528062870149</v>
      </c>
      <c r="O122" s="145">
        <v>11.757445053721201</v>
      </c>
      <c r="P122" s="145">
        <v>11.295676810430651</v>
      </c>
      <c r="Q122" s="145">
        <v>5.9660617629638883</v>
      </c>
      <c r="R122" s="145">
        <v>0.39248357499660141</v>
      </c>
      <c r="S122" s="145">
        <v>9.9048280017973642</v>
      </c>
      <c r="T122" s="145">
        <v>166.38597323836427</v>
      </c>
      <c r="U122" s="145">
        <v>5.9991230688848001</v>
      </c>
      <c r="V122" s="145">
        <v>7.3703511989156114</v>
      </c>
      <c r="W122" s="145">
        <v>21.937657016350496</v>
      </c>
      <c r="X122" s="145">
        <v>3.9929948126467165</v>
      </c>
      <c r="Y122" s="145">
        <v>10.545746382549535</v>
      </c>
      <c r="Z122" s="145">
        <v>3.5835293281909872</v>
      </c>
      <c r="AA122" s="145">
        <v>4.1093037732074489</v>
      </c>
      <c r="AB122" s="145">
        <v>3.3782437215148629</v>
      </c>
      <c r="AC122" s="145">
        <v>3.2546737446806908</v>
      </c>
      <c r="AD122" s="145">
        <v>4.3209630609110459</v>
      </c>
      <c r="AE122" s="145">
        <v>12.327101721279897</v>
      </c>
      <c r="AF122" s="145">
        <v>7.5796229338767098</v>
      </c>
      <c r="AG122" s="145">
        <v>4.9308406885119593</v>
      </c>
      <c r="AH122" s="146">
        <v>14.472102910973337</v>
      </c>
      <c r="AI122" s="146">
        <v>7.2360514554866686E-3</v>
      </c>
      <c r="AJ122" s="146">
        <v>7.0394658327697792</v>
      </c>
      <c r="AK122" s="146">
        <v>3.5197329163848897E-3</v>
      </c>
      <c r="AL122" s="146">
        <v>18.192816387733217</v>
      </c>
      <c r="AM122" s="146">
        <v>9.0964081938666088E-3</v>
      </c>
      <c r="AN122" s="146">
        <v>5.8810183014709807</v>
      </c>
      <c r="AO122" s="146">
        <v>2.9405091507354905E-3</v>
      </c>
      <c r="AP122" s="146">
        <v>5.939841039983782</v>
      </c>
      <c r="AQ122" s="146">
        <v>2.9699205199918912E-3</v>
      </c>
      <c r="AR122" s="146">
        <v>12.90485042595313</v>
      </c>
      <c r="AS122" s="146">
        <v>6.4524252129765656E-3</v>
      </c>
      <c r="AT122" s="146">
        <v>13.006604018074443</v>
      </c>
      <c r="AU122" s="146">
        <v>6.5033020090372214E-3</v>
      </c>
      <c r="AV122" s="146">
        <v>12.578625901560056</v>
      </c>
      <c r="AW122" s="146">
        <v>6.2893129507800277E-3</v>
      </c>
      <c r="AX122" s="146">
        <v>21.677358576856566</v>
      </c>
      <c r="AY122" s="146">
        <v>1.0838679288428283E-2</v>
      </c>
      <c r="AZ122" s="146">
        <v>24.929401474892909</v>
      </c>
      <c r="BA122" s="146">
        <v>1.2464700737446455E-2</v>
      </c>
      <c r="BB122" s="146">
        <v>23.097604652604844</v>
      </c>
      <c r="BC122" s="146">
        <v>1.1548802326302421E-2</v>
      </c>
      <c r="BD122" s="146">
        <v>13.360444977975083</v>
      </c>
      <c r="BE122" s="146">
        <v>6.6802224889875418E-3</v>
      </c>
      <c r="BF122" s="146">
        <v>9.6908754714296546</v>
      </c>
      <c r="BG122" s="146">
        <v>4.8454377357148269E-3</v>
      </c>
      <c r="BH122" s="146">
        <v>11.757445053721201</v>
      </c>
      <c r="BI122" s="146">
        <v>5.8787225268606006E-3</v>
      </c>
      <c r="BJ122" s="146">
        <v>11.295676810430651</v>
      </c>
      <c r="BK122" s="146">
        <v>5.6478384052153253E-3</v>
      </c>
      <c r="BL122" s="146">
        <v>10.789079837064003</v>
      </c>
      <c r="BM122" s="146">
        <v>5.3945399185320016E-3</v>
      </c>
      <c r="BN122" s="146">
        <v>13.174621448538705</v>
      </c>
      <c r="BO122" s="146">
        <v>6.5873107242693527E-3</v>
      </c>
      <c r="BP122" s="146">
        <v>15.787489960302707</v>
      </c>
      <c r="BQ122" s="146">
        <v>7.8937449801513536E-3</v>
      </c>
      <c r="BR122" s="146">
        <v>22.441177824951353</v>
      </c>
      <c r="BS122" s="146">
        <v>1.1220588912475677E-2</v>
      </c>
      <c r="BT122" s="146">
        <v>37.953314318382922</v>
      </c>
      <c r="BU122" s="146">
        <v>1.897665715919146E-2</v>
      </c>
      <c r="BV122" s="146">
        <v>25.39399403454566</v>
      </c>
      <c r="BW122" s="146">
        <v>1.2696997017272831E-2</v>
      </c>
      <c r="BX122" s="146">
        <v>75.414865137578403</v>
      </c>
      <c r="BY122" s="146">
        <v>3.7707432568789202E-2</v>
      </c>
      <c r="BZ122" s="146">
        <v>142.99094466146616</v>
      </c>
      <c r="CA122" s="146">
        <v>7.1495472330733084E-2</v>
      </c>
    </row>
    <row r="123" spans="1:79" s="145" customFormat="1" x14ac:dyDescent="0.35">
      <c r="A123" s="146" t="s">
        <v>1520</v>
      </c>
      <c r="B123" s="145">
        <v>356.37816860094767</v>
      </c>
      <c r="C123" s="145">
        <v>84.179530306637147</v>
      </c>
      <c r="D123" s="145">
        <v>661.86613549142339</v>
      </c>
      <c r="E123" s="145">
        <v>190.62634474886559</v>
      </c>
      <c r="F123" s="145">
        <v>192.88248550311494</v>
      </c>
      <c r="G123" s="145">
        <v>122.14776001432141</v>
      </c>
      <c r="H123" s="145">
        <v>126.87089222845488</v>
      </c>
      <c r="I123" s="145">
        <v>107.97894534737794</v>
      </c>
      <c r="J123" s="145">
        <v>440.32395179974583</v>
      </c>
      <c r="K123" s="145">
        <v>710.47355566375973</v>
      </c>
      <c r="L123" s="145">
        <v>589.80846222473303</v>
      </c>
      <c r="M123" s="145">
        <v>290.75739875341907</v>
      </c>
      <c r="N123" s="145">
        <v>138.77168091031987</v>
      </c>
      <c r="O123" s="145">
        <v>455.08928742554275</v>
      </c>
      <c r="P123" s="145">
        <v>414.99366666443518</v>
      </c>
      <c r="Q123" s="145">
        <v>250.86906474672949</v>
      </c>
      <c r="R123" s="145">
        <v>10.564608440027621</v>
      </c>
      <c r="S123" s="145">
        <v>434.00160974129551</v>
      </c>
      <c r="T123" s="145">
        <v>6942.4480229928622</v>
      </c>
      <c r="U123" s="145">
        <v>273.40218018170066</v>
      </c>
      <c r="V123" s="145">
        <v>335.89410708037514</v>
      </c>
      <c r="W123" s="145">
        <v>999.77999908969412</v>
      </c>
      <c r="X123" s="145">
        <v>134.31282231123268</v>
      </c>
      <c r="Y123" s="145">
        <v>480.33540180231165</v>
      </c>
      <c r="Z123" s="145">
        <v>163.31465779624511</v>
      </c>
      <c r="AA123" s="145">
        <v>185.85435133741152</v>
      </c>
      <c r="AB123" s="145">
        <v>153.95903501926335</v>
      </c>
      <c r="AC123" s="145">
        <v>148.32749509525487</v>
      </c>
      <c r="AD123" s="145">
        <v>196.92223476210202</v>
      </c>
      <c r="AE123" s="145">
        <v>561.79152306439153</v>
      </c>
      <c r="AF123" s="145">
        <v>345.43139243555072</v>
      </c>
      <c r="AG123" s="145">
        <v>224.71660922575666</v>
      </c>
      <c r="AH123" s="146">
        <v>585.22969675806007</v>
      </c>
      <c r="AI123" s="146">
        <v>0.29261484837903001</v>
      </c>
      <c r="AJ123" s="146">
        <v>280.5492060772051</v>
      </c>
      <c r="AK123" s="146">
        <v>0.14027460303860256</v>
      </c>
      <c r="AL123" s="146">
        <v>661.86613549142339</v>
      </c>
      <c r="AM123" s="146">
        <v>0.33093306774571168</v>
      </c>
      <c r="AN123" s="146">
        <v>190.62634474886559</v>
      </c>
      <c r="AO123" s="146">
        <v>9.5313172374432792E-2</v>
      </c>
      <c r="AP123" s="146">
        <v>192.88248550311494</v>
      </c>
      <c r="AQ123" s="146">
        <v>9.6441242751557466E-2</v>
      </c>
      <c r="AR123" s="146">
        <v>554.8936341209876</v>
      </c>
      <c r="AS123" s="146">
        <v>0.27744681706049379</v>
      </c>
      <c r="AT123" s="146">
        <v>559.61071954510396</v>
      </c>
      <c r="AU123" s="146">
        <v>0.279805359772552</v>
      </c>
      <c r="AV123" s="146">
        <v>540.74295907902149</v>
      </c>
      <c r="AW123" s="146">
        <v>0.27037147953951074</v>
      </c>
      <c r="AX123" s="146">
        <v>751.65377683799454</v>
      </c>
      <c r="AY123" s="146">
        <v>0.37582688841899725</v>
      </c>
      <c r="AZ123" s="146">
        <v>924.64223649382939</v>
      </c>
      <c r="BA123" s="146">
        <v>0.46232111824691469</v>
      </c>
      <c r="BB123" s="146">
        <v>870.06042336961991</v>
      </c>
      <c r="BC123" s="146">
        <v>0.43503021168480993</v>
      </c>
      <c r="BD123" s="146">
        <v>516.29413185817884</v>
      </c>
      <c r="BE123" s="146">
        <v>0.25814706592908943</v>
      </c>
      <c r="BF123" s="146">
        <v>394.74985745635627</v>
      </c>
      <c r="BG123" s="146">
        <v>0.19737492872817813</v>
      </c>
      <c r="BH123" s="146">
        <v>455.08928742554275</v>
      </c>
      <c r="BI123" s="146">
        <v>0.22754464371277139</v>
      </c>
      <c r="BJ123" s="146">
        <v>414.99366666443518</v>
      </c>
      <c r="BK123" s="146">
        <v>0.20749683333221758</v>
      </c>
      <c r="BL123" s="146">
        <v>469.84413373226846</v>
      </c>
      <c r="BM123" s="146">
        <v>0.23492206686613423</v>
      </c>
      <c r="BN123" s="146">
        <v>513.24478748582783</v>
      </c>
      <c r="BO123" s="146">
        <v>0.2566223937429139</v>
      </c>
      <c r="BP123" s="146">
        <v>653.00641049994306</v>
      </c>
      <c r="BQ123" s="146">
        <v>0.32650320524997151</v>
      </c>
      <c r="BR123" s="146">
        <v>934.56216592751025</v>
      </c>
      <c r="BS123" s="146">
        <v>0.46728108296375515</v>
      </c>
      <c r="BT123" s="146">
        <v>1624.4246138723438</v>
      </c>
      <c r="BU123" s="146">
        <v>0.81221230693617186</v>
      </c>
      <c r="BV123" s="146">
        <v>1070.6643967665989</v>
      </c>
      <c r="BW123" s="146">
        <v>0.53533219838329948</v>
      </c>
      <c r="BX123" s="146">
        <v>3036.7992222969478</v>
      </c>
      <c r="BY123" s="146">
        <v>1.5183996111484739</v>
      </c>
      <c r="BZ123" s="146">
        <v>5900.7445629976028</v>
      </c>
      <c r="CA123" s="146">
        <v>2.9503722814988014</v>
      </c>
    </row>
    <row r="124" spans="1:79" s="145" customFormat="1" x14ac:dyDescent="0.35">
      <c r="A124" s="146" t="s">
        <v>1519</v>
      </c>
      <c r="B124" s="145">
        <v>0.75628382293946284</v>
      </c>
      <c r="C124" s="145">
        <v>0.29793526807748716</v>
      </c>
      <c r="D124" s="145">
        <v>1.4461812928883138</v>
      </c>
      <c r="E124" s="145">
        <v>0.56733307992790782</v>
      </c>
      <c r="F124" s="145">
        <v>0.57157848673814138</v>
      </c>
      <c r="G124" s="145">
        <v>0.32293609139890228</v>
      </c>
      <c r="H124" s="145">
        <v>0.33447442889234225</v>
      </c>
      <c r="I124" s="145">
        <v>0.30278260805809321</v>
      </c>
      <c r="J124" s="145">
        <v>1.3205862145126441</v>
      </c>
      <c r="K124" s="145">
        <v>1.6153177844830144</v>
      </c>
      <c r="L124" s="145">
        <v>1.3279532777089378</v>
      </c>
      <c r="M124" s="145">
        <v>0.6932777368672377</v>
      </c>
      <c r="N124" s="145">
        <v>0.37242261514702901</v>
      </c>
      <c r="O124" s="145">
        <v>0.89059226849062434</v>
      </c>
      <c r="P124" s="145">
        <v>0.89017518574514864</v>
      </c>
      <c r="Q124" s="145">
        <v>0.43388591738370796</v>
      </c>
      <c r="R124" s="145">
        <v>3.4595484933858341E-2</v>
      </c>
      <c r="S124" s="145">
        <v>0.63594354286456334</v>
      </c>
      <c r="T124" s="145">
        <v>11.219067917754426</v>
      </c>
      <c r="U124" s="145">
        <v>0.35740574041843115</v>
      </c>
      <c r="V124" s="145">
        <v>0.4390984810855012</v>
      </c>
      <c r="W124" s="145">
        <v>1.3069651112244758</v>
      </c>
      <c r="X124" s="145">
        <v>0.31477778900729059</v>
      </c>
      <c r="Y124" s="145">
        <v>0.62863268011863105</v>
      </c>
      <c r="Z124" s="145">
        <v>0.21349352866190674</v>
      </c>
      <c r="AA124" s="145">
        <v>0.25237722775772831</v>
      </c>
      <c r="AB124" s="145">
        <v>0.20126336545157505</v>
      </c>
      <c r="AC124" s="145">
        <v>0.19390151963564722</v>
      </c>
      <c r="AD124" s="145">
        <v>0.25742712466018569</v>
      </c>
      <c r="AE124" s="145">
        <v>0.73440348986312187</v>
      </c>
      <c r="AF124" s="145">
        <v>0.45156612319312089</v>
      </c>
      <c r="AG124" s="145">
        <v>0.2937613959452488</v>
      </c>
      <c r="AH124" s="146">
        <v>1.0786891619723287</v>
      </c>
      <c r="AI124" s="146">
        <v>5.3934458098616432E-4</v>
      </c>
      <c r="AJ124" s="146">
        <v>0.56547559146867044</v>
      </c>
      <c r="AK124" s="146">
        <v>2.8273779573433522E-4</v>
      </c>
      <c r="AL124" s="146">
        <v>1.4461812928883138</v>
      </c>
      <c r="AM124" s="146">
        <v>7.230906464441569E-4</v>
      </c>
      <c r="AN124" s="146">
        <v>0.56733307992790782</v>
      </c>
      <c r="AO124" s="146">
        <v>2.8366653996395394E-4</v>
      </c>
      <c r="AP124" s="146">
        <v>0.57157848673814138</v>
      </c>
      <c r="AQ124" s="146">
        <v>2.8578924336907072E-4</v>
      </c>
      <c r="AR124" s="146">
        <v>0.89071931226238465</v>
      </c>
      <c r="AS124" s="146">
        <v>4.4535965613119234E-4</v>
      </c>
      <c r="AT124" s="146">
        <v>0.90224287779924861</v>
      </c>
      <c r="AU124" s="146">
        <v>4.5112143889962429E-4</v>
      </c>
      <c r="AV124" s="146">
        <v>0.87059163041862275</v>
      </c>
      <c r="AW124" s="146">
        <v>4.3529581520931139E-4</v>
      </c>
      <c r="AX124" s="146">
        <v>1.7510768476165479</v>
      </c>
      <c r="AY124" s="146">
        <v>8.7553842380827399E-4</v>
      </c>
      <c r="AZ124" s="146">
        <v>1.9216532093938137</v>
      </c>
      <c r="BA124" s="146">
        <v>9.6082660469690682E-4</v>
      </c>
      <c r="BB124" s="146">
        <v>1.756897592089119</v>
      </c>
      <c r="BC124" s="146">
        <v>8.7844879604455947E-4</v>
      </c>
      <c r="BD124" s="146">
        <v>1.0146338430915294</v>
      </c>
      <c r="BE124" s="146">
        <v>5.0731692154576467E-4</v>
      </c>
      <c r="BF124" s="146">
        <v>0.72814763140862104</v>
      </c>
      <c r="BG124" s="146">
        <v>3.6407381570431054E-4</v>
      </c>
      <c r="BH124" s="146">
        <v>0.89059226849062434</v>
      </c>
      <c r="BI124" s="146">
        <v>4.4529613424531216E-4</v>
      </c>
      <c r="BJ124" s="146">
        <v>0.89017518574514864</v>
      </c>
      <c r="BK124" s="146">
        <v>4.4508759287257432E-4</v>
      </c>
      <c r="BL124" s="146">
        <v>0.72434550277443521</v>
      </c>
      <c r="BM124" s="146">
        <v>3.621727513872176E-4</v>
      </c>
      <c r="BN124" s="146">
        <v>0.99831741610375802</v>
      </c>
      <c r="BO124" s="146">
        <v>4.9915870805187904E-4</v>
      </c>
      <c r="BP124" s="146">
        <v>1.0852679753757544</v>
      </c>
      <c r="BQ124" s="146">
        <v>5.4263398768787717E-4</v>
      </c>
      <c r="BR124" s="146">
        <v>1.5335425339619335</v>
      </c>
      <c r="BS124" s="146">
        <v>7.6677126698096671E-4</v>
      </c>
      <c r="BT124" s="146">
        <v>2.4937762676036153</v>
      </c>
      <c r="BU124" s="146">
        <v>1.2468881338018076E-3</v>
      </c>
      <c r="BV124" s="146">
        <v>1.7041955923137675</v>
      </c>
      <c r="BW124" s="146">
        <v>8.520977961568837E-4</v>
      </c>
      <c r="BX124" s="146">
        <v>5.3057516886041789</v>
      </c>
      <c r="BY124" s="146">
        <v>2.6528758443020895E-3</v>
      </c>
      <c r="BZ124" s="146">
        <v>9.7621879895431238</v>
      </c>
      <c r="CA124" s="146">
        <v>4.8810939947715615E-3</v>
      </c>
    </row>
    <row r="125" spans="1:79" s="145" customFormat="1" x14ac:dyDescent="0.35">
      <c r="A125" s="143" t="s">
        <v>1518</v>
      </c>
      <c r="B125" s="142">
        <v>1.7414546704342961</v>
      </c>
      <c r="C125" s="142">
        <v>0.60714055667977496</v>
      </c>
      <c r="D125" s="142">
        <v>3.1037713576665391</v>
      </c>
      <c r="E125" s="142">
        <v>1.2216246371992803</v>
      </c>
      <c r="F125" s="142">
        <v>1.230112049869589</v>
      </c>
      <c r="G125" s="142">
        <v>0.67858791580408273</v>
      </c>
      <c r="H125" s="142">
        <v>0.70281522918452755</v>
      </c>
      <c r="I125" s="142">
        <v>0.62866373793961206</v>
      </c>
      <c r="J125" s="142">
        <v>2.5963872094137708</v>
      </c>
      <c r="K125" s="142">
        <v>3.452037024973559</v>
      </c>
      <c r="L125" s="142">
        <v>2.8927417559382533</v>
      </c>
      <c r="M125" s="142">
        <v>1.5322612393364945</v>
      </c>
      <c r="N125" s="142">
        <v>0.80646599905323069</v>
      </c>
      <c r="O125" s="142">
        <v>2.0053183248613835</v>
      </c>
      <c r="P125" s="142">
        <v>1.9514925696939298</v>
      </c>
      <c r="Q125" s="142">
        <v>1.0161632547367623</v>
      </c>
      <c r="R125" s="142">
        <v>6.4291043821090604E-2</v>
      </c>
      <c r="S125" s="142">
        <v>1.5951480394194095</v>
      </c>
      <c r="T125" s="142">
        <v>26.603464492385335</v>
      </c>
      <c r="U125" s="142">
        <v>0.91958383334944127</v>
      </c>
      <c r="V125" s="142">
        <v>1.1297744238293137</v>
      </c>
      <c r="W125" s="142">
        <v>3.3627439380987711</v>
      </c>
      <c r="X125" s="142">
        <v>0.64475262615998696</v>
      </c>
      <c r="Y125" s="142">
        <v>1.6166011821265505</v>
      </c>
      <c r="Z125" s="142">
        <v>0.54930622337617796</v>
      </c>
      <c r="AA125" s="142">
        <v>0.63870922626604965</v>
      </c>
      <c r="AB125" s="142">
        <v>0.51783873672003422</v>
      </c>
      <c r="AC125" s="142">
        <v>0.4988971428105109</v>
      </c>
      <c r="AD125" s="142">
        <v>0.66234476767494654</v>
      </c>
      <c r="AE125" s="142">
        <v>1.8895767472645497</v>
      </c>
      <c r="AF125" s="142">
        <v>1.1618529296438291</v>
      </c>
      <c r="AG125" s="142">
        <v>0.75583069890582</v>
      </c>
      <c r="AH125" s="143">
        <v>2.5536718244692103</v>
      </c>
      <c r="AI125" s="143">
        <v>1.2768359122346052E-3</v>
      </c>
      <c r="AJ125" s="143">
        <v>1.2854663024758834</v>
      </c>
      <c r="AK125" s="143">
        <v>6.427331512379417E-4</v>
      </c>
      <c r="AL125" s="143">
        <v>3.1037713576665391</v>
      </c>
      <c r="AM125" s="143">
        <v>1.5518856788332696E-3</v>
      </c>
      <c r="AN125" s="143">
        <v>1.2216246371992803</v>
      </c>
      <c r="AO125" s="143">
        <v>6.1081231859964012E-4</v>
      </c>
      <c r="AP125" s="143">
        <v>1.230112049869589</v>
      </c>
      <c r="AQ125" s="143">
        <v>6.1505602493479446E-4</v>
      </c>
      <c r="AR125" s="143">
        <v>2.1370747610719203</v>
      </c>
      <c r="AS125" s="143">
        <v>1.0685373805359602E-3</v>
      </c>
      <c r="AT125" s="143">
        <v>2.1612710574344098</v>
      </c>
      <c r="AU125" s="143">
        <v>1.0806355287172049E-3</v>
      </c>
      <c r="AV125" s="143">
        <v>2.0872144986361607</v>
      </c>
      <c r="AW125" s="143">
        <v>1.0436072493180803E-3</v>
      </c>
      <c r="AX125" s="143">
        <v>3.6784739074821324</v>
      </c>
      <c r="AY125" s="143">
        <v>1.8392369537410661E-3</v>
      </c>
      <c r="AZ125" s="143">
        <v>4.2128466715713344</v>
      </c>
      <c r="BA125" s="143">
        <v>2.1064233357856671E-3</v>
      </c>
      <c r="BB125" s="143">
        <v>3.9371136936130391</v>
      </c>
      <c r="BC125" s="143">
        <v>1.9685568468065196E-3</v>
      </c>
      <c r="BD125" s="143">
        <v>2.3362531972422165</v>
      </c>
      <c r="BE125" s="143">
        <v>1.1681265986211082E-3</v>
      </c>
      <c r="BF125" s="143">
        <v>1.7044555306106681</v>
      </c>
      <c r="BG125" s="143">
        <v>8.5222776530533408E-4</v>
      </c>
      <c r="BH125" s="143">
        <v>2.0053183248613835</v>
      </c>
      <c r="BI125" s="143">
        <v>1.0026591624306917E-3</v>
      </c>
      <c r="BJ125" s="143">
        <v>1.9514925696939298</v>
      </c>
      <c r="BK125" s="143">
        <v>9.7574628484696491E-4</v>
      </c>
      <c r="BL125" s="143">
        <v>1.7594964109632287</v>
      </c>
      <c r="BM125" s="143">
        <v>8.7974820548161433E-4</v>
      </c>
      <c r="BN125" s="143">
        <v>2.2592273957481561</v>
      </c>
      <c r="BO125" s="143">
        <v>1.129613697874078E-3</v>
      </c>
      <c r="BP125" s="143">
        <v>2.5559309831352532</v>
      </c>
      <c r="BQ125" s="143">
        <v>1.2779654915676267E-3</v>
      </c>
      <c r="BR125" s="143">
        <v>3.6361754218881317</v>
      </c>
      <c r="BS125" s="143">
        <v>1.8180877109440659E-3</v>
      </c>
      <c r="BT125" s="143">
        <v>6.0411279944377618</v>
      </c>
      <c r="BU125" s="143">
        <v>3.0205639972188808E-3</v>
      </c>
      <c r="BV125" s="143">
        <v>4.0777447998203824</v>
      </c>
      <c r="BW125" s="143">
        <v>2.0388723999101911E-3</v>
      </c>
      <c r="BX125" s="143">
        <v>12.219947025973671</v>
      </c>
      <c r="BY125" s="143">
        <v>6.1099735129868356E-3</v>
      </c>
      <c r="BZ125" s="143">
        <v>22.93580709540544</v>
      </c>
      <c r="CA125" s="143">
        <v>1.146790354770272E-2</v>
      </c>
    </row>
    <row r="126" spans="1:79" ht="12.75" customHeight="1" x14ac:dyDescent="0.35"/>
  </sheetData>
  <mergeCells count="5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X95:BY95"/>
    <mergeCell ref="BZ95:CA95"/>
    <mergeCell ref="BL95:BM95"/>
    <mergeCell ref="BN95:BO95"/>
    <mergeCell ref="BP95:BQ95"/>
    <mergeCell ref="BR95:BS95"/>
    <mergeCell ref="BT95:BU95"/>
    <mergeCell ref="BV95:BW95"/>
  </mergeCells>
  <pageMargins left="0.75" right="0.75" top="1" bottom="1" header="0.5" footer="0.5"/>
  <pageSetup orientation="landscape" r:id="rId1"/>
  <headerFooter alignWithMargins="0">
    <oddHeader>&amp;A</oddHeader>
    <oddFooter>Page &amp;P</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93"/>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2.796875" style="39" bestFit="1" customWidth="1"/>
    <col min="3" max="3" width="11.1328125" style="39" customWidth="1"/>
    <col min="4" max="4" width="11.19921875" style="39" bestFit="1" customWidth="1"/>
    <col min="5" max="5" width="12.796875" style="39" bestFit="1" customWidth="1"/>
    <col min="6" max="6" width="11.19921875" style="39" bestFit="1" customWidth="1"/>
    <col min="7" max="7" width="12.796875" style="39" bestFit="1" customWidth="1"/>
    <col min="8" max="8" width="9.46484375" style="39" bestFit="1" customWidth="1"/>
    <col min="9" max="9" width="12.796875" style="39" bestFit="1" customWidth="1"/>
    <col min="10" max="10" width="9.46484375" style="39" bestFit="1" customWidth="1"/>
    <col min="11" max="16384" width="9.1328125" style="39"/>
  </cols>
  <sheetData>
    <row r="1" spans="1:7" ht="15" x14ac:dyDescent="0.4">
      <c r="A1" s="140" t="s">
        <v>239</v>
      </c>
      <c r="G1" s="230" t="s">
        <v>1561</v>
      </c>
    </row>
    <row r="2" spans="1:7" ht="13.15" x14ac:dyDescent="0.4">
      <c r="A2" s="41"/>
    </row>
    <row r="3" spans="1:7" ht="13.9" x14ac:dyDescent="0.4">
      <c r="A3" s="72" t="s">
        <v>2140</v>
      </c>
    </row>
    <row r="4" spans="1:7" ht="13.15" x14ac:dyDescent="0.4">
      <c r="A4" s="559" t="s">
        <v>2139</v>
      </c>
      <c r="B4" s="197"/>
    </row>
    <row r="5" spans="1:7" ht="25.5" x14ac:dyDescent="0.35">
      <c r="A5" s="87" t="s">
        <v>1226</v>
      </c>
      <c r="B5" s="86" t="s">
        <v>1225</v>
      </c>
    </row>
    <row r="6" spans="1:7" x14ac:dyDescent="0.35">
      <c r="A6" s="558">
        <v>1</v>
      </c>
      <c r="B6" s="557">
        <v>1.0306999999999999</v>
      </c>
    </row>
    <row r="7" spans="1:7" ht="13.15" x14ac:dyDescent="0.4">
      <c r="A7" s="41"/>
      <c r="B7" s="197"/>
    </row>
    <row r="8" spans="1:7" ht="13.15" x14ac:dyDescent="0.4">
      <c r="A8" s="41" t="s">
        <v>2138</v>
      </c>
    </row>
    <row r="9" spans="1:7" ht="25.5" x14ac:dyDescent="0.35">
      <c r="A9" s="87" t="s">
        <v>1226</v>
      </c>
      <c r="B9" s="86" t="s">
        <v>1225</v>
      </c>
    </row>
    <row r="10" spans="1:7" x14ac:dyDescent="0.35">
      <c r="A10" s="412">
        <v>0.89</v>
      </c>
      <c r="B10" s="193">
        <v>0.10999999999999999</v>
      </c>
    </row>
    <row r="11" spans="1:7" ht="13.15" x14ac:dyDescent="0.4">
      <c r="A11" s="41"/>
    </row>
    <row r="12" spans="1:7" ht="13.9" x14ac:dyDescent="0.4">
      <c r="A12" s="72" t="s">
        <v>1734</v>
      </c>
    </row>
    <row r="13" spans="1:7" x14ac:dyDescent="0.35">
      <c r="A13" s="61" t="s">
        <v>1717</v>
      </c>
      <c r="B13" s="417">
        <v>1</v>
      </c>
    </row>
    <row r="14" spans="1:7" x14ac:dyDescent="0.35">
      <c r="A14" s="59" t="s">
        <v>1909</v>
      </c>
      <c r="B14" s="196">
        <v>1</v>
      </c>
    </row>
    <row r="15" spans="1:7" x14ac:dyDescent="0.35">
      <c r="A15" s="57" t="s">
        <v>1703</v>
      </c>
      <c r="B15" s="193">
        <v>1</v>
      </c>
    </row>
    <row r="17" spans="1:7" ht="13.9" x14ac:dyDescent="0.4">
      <c r="A17" s="72" t="s">
        <v>1701</v>
      </c>
    </row>
    <row r="18" spans="1:7" ht="24" customHeight="1" x14ac:dyDescent="0.4">
      <c r="A18" s="131"/>
      <c r="B18" s="2191" t="s">
        <v>1227</v>
      </c>
      <c r="C18" s="2192"/>
      <c r="D18" s="2196" t="s">
        <v>1226</v>
      </c>
      <c r="E18" s="2196"/>
      <c r="F18" s="2191" t="s">
        <v>1225</v>
      </c>
      <c r="G18" s="2192"/>
    </row>
    <row r="19" spans="1:7" ht="70.5" customHeight="1" x14ac:dyDescent="0.4">
      <c r="A19" s="128"/>
      <c r="B19" s="416" t="s">
        <v>1674</v>
      </c>
      <c r="C19" s="415" t="s">
        <v>1673</v>
      </c>
      <c r="D19" s="478" t="s">
        <v>1674</v>
      </c>
      <c r="E19" s="478" t="s">
        <v>1673</v>
      </c>
      <c r="F19" s="416" t="s">
        <v>1674</v>
      </c>
      <c r="G19" s="415" t="s">
        <v>1673</v>
      </c>
    </row>
    <row r="20" spans="1:7" ht="26.25" x14ac:dyDescent="0.4">
      <c r="A20" s="414" t="s">
        <v>1940</v>
      </c>
      <c r="B20" s="277">
        <v>33.854999999999997</v>
      </c>
      <c r="C20" s="99"/>
      <c r="D20" s="120">
        <v>6.274</v>
      </c>
      <c r="F20" s="277">
        <v>3.8029999999999999</v>
      </c>
      <c r="G20" s="99"/>
    </row>
    <row r="21" spans="1:7" ht="13.15" x14ac:dyDescent="0.4">
      <c r="A21" s="128" t="s">
        <v>1671</v>
      </c>
      <c r="B21" s="413">
        <v>0</v>
      </c>
      <c r="C21" s="99"/>
      <c r="D21" s="197">
        <v>0</v>
      </c>
      <c r="F21" s="413">
        <v>0</v>
      </c>
      <c r="G21" s="99"/>
    </row>
    <row r="22" spans="1:7" ht="13.15" x14ac:dyDescent="0.4">
      <c r="A22" s="131" t="s">
        <v>1670</v>
      </c>
      <c r="B22" s="61"/>
      <c r="C22" s="60"/>
      <c r="D22" s="101"/>
      <c r="E22" s="101"/>
      <c r="F22" s="61"/>
      <c r="G22" s="60"/>
    </row>
    <row r="23" spans="1:7" x14ac:dyDescent="0.35">
      <c r="A23" s="59" t="s">
        <v>1668</v>
      </c>
      <c r="B23" s="477">
        <v>0.495</v>
      </c>
      <c r="C23" s="99"/>
      <c r="D23" s="254">
        <v>0</v>
      </c>
      <c r="F23" s="477">
        <v>0</v>
      </c>
      <c r="G23" s="99"/>
    </row>
    <row r="24" spans="1:7" x14ac:dyDescent="0.35">
      <c r="A24" s="59" t="s">
        <v>1667</v>
      </c>
      <c r="B24" s="477">
        <v>0</v>
      </c>
      <c r="C24" s="99"/>
      <c r="D24" s="254">
        <v>0</v>
      </c>
      <c r="F24" s="477">
        <v>0</v>
      </c>
      <c r="G24" s="99"/>
    </row>
    <row r="25" spans="1:7" x14ac:dyDescent="0.35">
      <c r="A25" s="59" t="s">
        <v>1534</v>
      </c>
      <c r="B25" s="477">
        <v>0.495</v>
      </c>
      <c r="C25" s="99"/>
      <c r="D25" s="254">
        <v>0.67600000000000005</v>
      </c>
      <c r="F25" s="477">
        <v>0</v>
      </c>
      <c r="G25" s="99"/>
    </row>
    <row r="26" spans="1:7" x14ac:dyDescent="0.35">
      <c r="A26" s="59" t="s">
        <v>1535</v>
      </c>
      <c r="B26" s="477">
        <v>0</v>
      </c>
      <c r="C26" s="99"/>
      <c r="D26" s="254">
        <v>0</v>
      </c>
      <c r="F26" s="477">
        <v>0</v>
      </c>
      <c r="G26" s="99"/>
    </row>
    <row r="27" spans="1:7" x14ac:dyDescent="0.35">
      <c r="A27" s="57" t="s">
        <v>1664</v>
      </c>
      <c r="B27" s="556">
        <v>1.0000000000000009E-2</v>
      </c>
      <c r="C27" s="100"/>
      <c r="D27" s="252">
        <v>0.32399999999999995</v>
      </c>
      <c r="E27" s="77"/>
      <c r="F27" s="556">
        <v>1</v>
      </c>
      <c r="G27" s="100"/>
    </row>
    <row r="28" spans="1:7" ht="13.15" x14ac:dyDescent="0.4">
      <c r="A28" s="131" t="s">
        <v>1669</v>
      </c>
      <c r="B28" s="61"/>
      <c r="C28" s="60"/>
      <c r="D28" s="101"/>
      <c r="E28" s="101"/>
      <c r="F28" s="61"/>
      <c r="G28" s="60"/>
    </row>
    <row r="29" spans="1:7" s="145" customFormat="1" x14ac:dyDescent="0.35">
      <c r="A29" s="232" t="s">
        <v>1668</v>
      </c>
      <c r="B29" s="494">
        <v>16.758224999999999</v>
      </c>
      <c r="C29" s="144"/>
      <c r="D29" s="493">
        <v>0</v>
      </c>
      <c r="F29" s="494">
        <v>0</v>
      </c>
      <c r="G29" s="144"/>
    </row>
    <row r="30" spans="1:7" s="145" customFormat="1" x14ac:dyDescent="0.35">
      <c r="A30" s="232" t="s">
        <v>1667</v>
      </c>
      <c r="B30" s="494">
        <v>0</v>
      </c>
      <c r="C30" s="144"/>
      <c r="D30" s="493">
        <v>0</v>
      </c>
      <c r="F30" s="494">
        <v>0</v>
      </c>
      <c r="G30" s="144"/>
    </row>
    <row r="31" spans="1:7" s="145" customFormat="1" x14ac:dyDescent="0.35">
      <c r="A31" s="232" t="s">
        <v>1534</v>
      </c>
      <c r="B31" s="494">
        <v>16.758224999999999</v>
      </c>
      <c r="C31" s="144"/>
      <c r="D31" s="493">
        <v>4.2412239999999999</v>
      </c>
      <c r="F31" s="494">
        <v>0</v>
      </c>
      <c r="G31" s="144"/>
    </row>
    <row r="32" spans="1:7" s="145" customFormat="1" x14ac:dyDescent="0.35">
      <c r="A32" s="232" t="s">
        <v>1535</v>
      </c>
      <c r="B32" s="494">
        <v>0</v>
      </c>
      <c r="C32" s="144"/>
      <c r="D32" s="493">
        <v>0</v>
      </c>
      <c r="F32" s="494">
        <v>0</v>
      </c>
      <c r="G32" s="144"/>
    </row>
    <row r="33" spans="1:7" s="145" customFormat="1" x14ac:dyDescent="0.35">
      <c r="A33" s="231" t="s">
        <v>1664</v>
      </c>
      <c r="B33" s="554">
        <v>0.3385500000000003</v>
      </c>
      <c r="C33" s="141"/>
      <c r="D33" s="555">
        <v>2.0327759999999997</v>
      </c>
      <c r="E33" s="142"/>
      <c r="F33" s="554">
        <v>3.8029999999999999</v>
      </c>
      <c r="G33" s="141"/>
    </row>
    <row r="34" spans="1:7" s="145" customFormat="1" x14ac:dyDescent="0.35">
      <c r="A34" s="237" t="s">
        <v>1537</v>
      </c>
      <c r="B34" s="237">
        <v>38.402646571882769</v>
      </c>
      <c r="C34" s="156"/>
      <c r="D34" s="157">
        <v>8.887266637471896</v>
      </c>
      <c r="E34" s="157"/>
      <c r="F34" s="237">
        <v>7.8819134859043229</v>
      </c>
      <c r="G34" s="156"/>
    </row>
    <row r="35" spans="1:7" s="145" customFormat="1" x14ac:dyDescent="0.35">
      <c r="A35" s="232" t="s">
        <v>1536</v>
      </c>
      <c r="B35" s="232">
        <v>38.169933376212683</v>
      </c>
      <c r="C35" s="144"/>
      <c r="D35" s="145">
        <v>8.076204372018152</v>
      </c>
      <c r="F35" s="232">
        <v>6.3701481048130653</v>
      </c>
      <c r="G35" s="144"/>
    </row>
    <row r="36" spans="1:7" s="145" customFormat="1" x14ac:dyDescent="0.35">
      <c r="A36" s="232" t="s">
        <v>1535</v>
      </c>
      <c r="B36" s="232">
        <v>0.55581138523464202</v>
      </c>
      <c r="C36" s="144"/>
      <c r="D36" s="145">
        <v>1.9584652901260808</v>
      </c>
      <c r="F36" s="232">
        <v>3.6504582695503749</v>
      </c>
      <c r="G36" s="144"/>
    </row>
    <row r="37" spans="1:7" s="145" customFormat="1" x14ac:dyDescent="0.35">
      <c r="A37" s="232" t="s">
        <v>1534</v>
      </c>
      <c r="B37" s="232">
        <v>20.018012645930227</v>
      </c>
      <c r="C37" s="144"/>
      <c r="D37" s="145">
        <v>6.0342194209302464</v>
      </c>
      <c r="F37" s="232">
        <v>2.5956430220082325</v>
      </c>
      <c r="G37" s="144"/>
    </row>
    <row r="38" spans="1:7" s="145" customFormat="1" x14ac:dyDescent="0.35">
      <c r="A38" s="232" t="s">
        <v>1533</v>
      </c>
      <c r="B38" s="232">
        <v>17.596109345047815</v>
      </c>
      <c r="C38" s="144"/>
      <c r="D38" s="145">
        <v>8.3519660961824976E-2</v>
      </c>
      <c r="F38" s="232">
        <v>0.12404681325445777</v>
      </c>
      <c r="G38" s="144"/>
    </row>
    <row r="39" spans="1:7" s="48" customFormat="1" x14ac:dyDescent="0.35">
      <c r="A39" s="59" t="s">
        <v>1532</v>
      </c>
      <c r="B39" s="49">
        <v>473.3223796254764</v>
      </c>
      <c r="C39" s="43"/>
      <c r="D39" s="48">
        <v>418.89554284677064</v>
      </c>
      <c r="E39" s="44"/>
      <c r="F39" s="49">
        <v>758.23711405136942</v>
      </c>
      <c r="G39" s="43"/>
    </row>
    <row r="40" spans="1:7" s="145" customFormat="1" ht="13.15" x14ac:dyDescent="0.4">
      <c r="A40" s="390" t="s">
        <v>1663</v>
      </c>
      <c r="B40" s="387"/>
      <c r="C40" s="381"/>
      <c r="D40" s="382"/>
      <c r="E40" s="382"/>
      <c r="F40" s="387"/>
      <c r="G40" s="381"/>
    </row>
    <row r="41" spans="1:7" s="145" customFormat="1" x14ac:dyDescent="0.35">
      <c r="A41" s="232" t="s">
        <v>1525</v>
      </c>
      <c r="B41" s="232">
        <v>332.12841840389672</v>
      </c>
      <c r="C41" s="321">
        <v>5266.4</v>
      </c>
      <c r="D41" s="145">
        <v>85.152787207324451</v>
      </c>
      <c r="F41" s="232">
        <v>57.254687378351015</v>
      </c>
      <c r="G41" s="144"/>
    </row>
    <row r="42" spans="1:7" s="145" customFormat="1" x14ac:dyDescent="0.35">
      <c r="A42" s="232" t="s">
        <v>1524</v>
      </c>
      <c r="B42" s="232">
        <v>1723.5342707747895</v>
      </c>
      <c r="C42" s="144"/>
      <c r="D42" s="145">
        <v>315.32592151050471</v>
      </c>
      <c r="F42" s="232">
        <v>159.87981582784164</v>
      </c>
      <c r="G42" s="144"/>
    </row>
    <row r="43" spans="1:7" s="145" customFormat="1" x14ac:dyDescent="0.35">
      <c r="A43" s="232" t="s">
        <v>1523</v>
      </c>
      <c r="B43" s="232">
        <v>4102.582787518756</v>
      </c>
      <c r="C43" s="144"/>
      <c r="D43" s="145">
        <v>516.02799412835907</v>
      </c>
      <c r="F43" s="232">
        <v>359.07664859919117</v>
      </c>
      <c r="G43" s="144"/>
    </row>
    <row r="44" spans="1:7" s="145" customFormat="1" x14ac:dyDescent="0.35">
      <c r="A44" s="232" t="s">
        <v>1522</v>
      </c>
      <c r="B44" s="232">
        <v>698.9683706344631</v>
      </c>
      <c r="C44" s="144"/>
      <c r="D44" s="145">
        <v>51.549048634876215</v>
      </c>
      <c r="F44" s="232">
        <v>64.85286254215751</v>
      </c>
      <c r="G44" s="144"/>
    </row>
    <row r="45" spans="1:7" s="145" customFormat="1" x14ac:dyDescent="0.35">
      <c r="A45" s="232" t="s">
        <v>1521</v>
      </c>
      <c r="B45" s="232">
        <v>368.2211026998865</v>
      </c>
      <c r="C45" s="144"/>
      <c r="D45" s="145">
        <v>31.750410024825769</v>
      </c>
      <c r="F45" s="232">
        <v>28.225013475262461</v>
      </c>
      <c r="G45" s="144"/>
    </row>
    <row r="46" spans="1:7" s="145" customFormat="1" x14ac:dyDescent="0.35">
      <c r="A46" s="232" t="s">
        <v>1520</v>
      </c>
      <c r="B46" s="232">
        <v>11979.187604134375</v>
      </c>
      <c r="C46" s="144"/>
      <c r="D46" s="145">
        <v>571.6406882725305</v>
      </c>
      <c r="F46" s="232">
        <v>975.14239866728565</v>
      </c>
      <c r="G46" s="144"/>
    </row>
    <row r="47" spans="1:7" s="145" customFormat="1" x14ac:dyDescent="0.35">
      <c r="A47" s="232" t="s">
        <v>1519</v>
      </c>
      <c r="B47" s="232">
        <v>34.029646826450261</v>
      </c>
      <c r="C47" s="144"/>
      <c r="D47" s="145">
        <v>4.1302859839907411</v>
      </c>
      <c r="F47" s="232">
        <v>2.0906051440412288</v>
      </c>
      <c r="G47" s="144"/>
    </row>
    <row r="48" spans="1:7" s="145" customFormat="1" x14ac:dyDescent="0.35">
      <c r="A48" s="232" t="s">
        <v>1518</v>
      </c>
      <c r="B48" s="232">
        <v>49.343680445498634</v>
      </c>
      <c r="C48" s="144"/>
      <c r="D48" s="145">
        <v>9.6306176534964756</v>
      </c>
      <c r="F48" s="232">
        <v>4.9079357936485275</v>
      </c>
      <c r="G48" s="144"/>
    </row>
    <row r="49" spans="1:10" s="145" customFormat="1" x14ac:dyDescent="0.35">
      <c r="A49" s="232" t="s">
        <v>1531</v>
      </c>
      <c r="B49" s="232">
        <v>5611.732104758371</v>
      </c>
      <c r="C49" s="144"/>
      <c r="D49" s="145">
        <v>1482.6424485945054</v>
      </c>
      <c r="F49" s="232">
        <v>1011.385330080738</v>
      </c>
      <c r="G49" s="144"/>
    </row>
    <row r="50" spans="1:10" s="145" customFormat="1" x14ac:dyDescent="0.35">
      <c r="A50" s="232" t="s">
        <v>1530</v>
      </c>
      <c r="B50" s="232">
        <v>68.843692277610842</v>
      </c>
      <c r="C50" s="144"/>
      <c r="D50" s="145">
        <v>13.566269773055879</v>
      </c>
      <c r="F50" s="232">
        <v>8.1896040924619466</v>
      </c>
      <c r="G50" s="144"/>
    </row>
    <row r="51" spans="1:10" s="48" customFormat="1" x14ac:dyDescent="0.35">
      <c r="A51" s="45" t="s">
        <v>1529</v>
      </c>
      <c r="B51" s="389">
        <v>2752036.0681218887</v>
      </c>
      <c r="C51" s="43"/>
      <c r="D51" s="151">
        <v>560860.52549015847</v>
      </c>
      <c r="E51" s="44"/>
      <c r="F51" s="389">
        <v>529900.70739147265</v>
      </c>
      <c r="G51" s="43"/>
    </row>
    <row r="52" spans="1:10" s="145" customFormat="1" ht="13.15" x14ac:dyDescent="0.4">
      <c r="A52" s="388" t="s">
        <v>1662</v>
      </c>
      <c r="B52" s="411"/>
      <c r="C52" s="144"/>
      <c r="D52" s="148"/>
      <c r="F52" s="411"/>
      <c r="G52" s="144"/>
    </row>
    <row r="53" spans="1:10" s="145" customFormat="1" x14ac:dyDescent="0.35">
      <c r="A53" s="232" t="s">
        <v>1525</v>
      </c>
      <c r="B53" s="232">
        <v>37.491537922202191</v>
      </c>
      <c r="C53" s="144">
        <v>0</v>
      </c>
      <c r="D53" s="145">
        <v>4.7221783566277127</v>
      </c>
      <c r="E53" s="145">
        <v>0</v>
      </c>
      <c r="F53" s="232">
        <v>4.0765200582327736</v>
      </c>
      <c r="G53" s="144">
        <v>0</v>
      </c>
    </row>
    <row r="54" spans="1:10" s="145" customFormat="1" x14ac:dyDescent="0.35">
      <c r="A54" s="232" t="s">
        <v>1524</v>
      </c>
      <c r="B54" s="232">
        <v>76.305747963240748</v>
      </c>
      <c r="C54" s="144">
        <v>0</v>
      </c>
      <c r="D54" s="145">
        <v>29.294208853959134</v>
      </c>
      <c r="E54" s="145">
        <v>0</v>
      </c>
      <c r="F54" s="232">
        <v>31.903885627841984</v>
      </c>
      <c r="G54" s="144">
        <v>0</v>
      </c>
    </row>
    <row r="55" spans="1:10" s="145" customFormat="1" x14ac:dyDescent="0.35">
      <c r="A55" s="232" t="s">
        <v>1523</v>
      </c>
      <c r="B55" s="232">
        <v>114.95340232481092</v>
      </c>
      <c r="C55" s="144">
        <v>0</v>
      </c>
      <c r="D55" s="145">
        <v>59.306789404298101</v>
      </c>
      <c r="E55" s="145">
        <v>0</v>
      </c>
      <c r="F55" s="232">
        <v>83.556264900478482</v>
      </c>
      <c r="G55" s="144">
        <v>0</v>
      </c>
    </row>
    <row r="56" spans="1:10" s="145" customFormat="1" x14ac:dyDescent="0.35">
      <c r="A56" s="232" t="s">
        <v>1522</v>
      </c>
      <c r="B56" s="232">
        <v>8.8048251856592259</v>
      </c>
      <c r="C56" s="144">
        <v>0</v>
      </c>
      <c r="D56" s="145">
        <v>5.5708074181947627</v>
      </c>
      <c r="E56" s="145">
        <v>0</v>
      </c>
      <c r="F56" s="232">
        <v>10.297324780672239</v>
      </c>
      <c r="G56" s="144">
        <v>0</v>
      </c>
    </row>
    <row r="57" spans="1:10" s="145" customFormat="1" x14ac:dyDescent="0.35">
      <c r="A57" s="232" t="s">
        <v>1521</v>
      </c>
      <c r="B57" s="232">
        <v>7.0809944864501588</v>
      </c>
      <c r="C57" s="144">
        <v>0</v>
      </c>
      <c r="D57" s="145">
        <v>4.1093037732074489</v>
      </c>
      <c r="E57" s="145">
        <v>0</v>
      </c>
      <c r="F57" s="232">
        <v>7.5796229338767098</v>
      </c>
      <c r="G57" s="144">
        <v>0</v>
      </c>
    </row>
    <row r="58" spans="1:10" s="145" customFormat="1" x14ac:dyDescent="0.35">
      <c r="A58" s="232" t="s">
        <v>1520</v>
      </c>
      <c r="B58" s="232">
        <v>91.873012012120256</v>
      </c>
      <c r="C58" s="144">
        <v>0</v>
      </c>
      <c r="D58" s="145">
        <v>185.85435133741152</v>
      </c>
      <c r="E58" s="145">
        <v>0</v>
      </c>
      <c r="F58" s="232">
        <v>345.43139243555072</v>
      </c>
      <c r="G58" s="144">
        <v>0</v>
      </c>
    </row>
    <row r="59" spans="1:10" s="145" customFormat="1" x14ac:dyDescent="0.35">
      <c r="A59" s="232" t="s">
        <v>1519</v>
      </c>
      <c r="B59" s="232">
        <v>0.79660751911869598</v>
      </c>
      <c r="C59" s="144">
        <v>0</v>
      </c>
      <c r="D59" s="145">
        <v>0.25237722775772831</v>
      </c>
      <c r="E59" s="145">
        <v>0</v>
      </c>
      <c r="F59" s="232">
        <v>0.45156612319312089</v>
      </c>
      <c r="G59" s="144">
        <v>0</v>
      </c>
    </row>
    <row r="60" spans="1:10" s="145" customFormat="1" x14ac:dyDescent="0.35">
      <c r="A60" s="231" t="s">
        <v>1518</v>
      </c>
      <c r="B60" s="231">
        <v>1.2472137439993594</v>
      </c>
      <c r="C60" s="141">
        <v>0</v>
      </c>
      <c r="D60" s="142">
        <v>0.63870922626604965</v>
      </c>
      <c r="E60" s="142">
        <v>0</v>
      </c>
      <c r="F60" s="231">
        <v>1.1618529296438291</v>
      </c>
      <c r="G60" s="141">
        <v>0</v>
      </c>
    </row>
    <row r="61" spans="1:10" s="145" customFormat="1" x14ac:dyDescent="0.35"/>
    <row r="62" spans="1:10" s="145" customFormat="1" ht="13.9" x14ac:dyDescent="0.4">
      <c r="A62" s="386" t="s">
        <v>2137</v>
      </c>
    </row>
    <row r="63" spans="1:10" s="145" customFormat="1" ht="39.4" x14ac:dyDescent="0.4">
      <c r="A63" s="237"/>
      <c r="B63" s="398" t="s">
        <v>1227</v>
      </c>
      <c r="C63" s="398" t="s">
        <v>1226</v>
      </c>
      <c r="D63" s="384" t="s">
        <v>1225</v>
      </c>
      <c r="E63" s="2248" t="s">
        <v>2136</v>
      </c>
      <c r="F63" s="2248"/>
      <c r="G63" s="2250" t="s">
        <v>2135</v>
      </c>
      <c r="H63" s="2249"/>
      <c r="I63" s="2248" t="s">
        <v>331</v>
      </c>
      <c r="J63" s="2249"/>
    </row>
    <row r="64" spans="1:10" s="145" customFormat="1" ht="13.15" x14ac:dyDescent="0.4">
      <c r="A64" s="390" t="s">
        <v>2050</v>
      </c>
      <c r="B64" s="533"/>
      <c r="C64" s="237"/>
      <c r="D64" s="156"/>
      <c r="E64" s="461" t="s">
        <v>1873</v>
      </c>
      <c r="F64" s="382" t="s">
        <v>1872</v>
      </c>
      <c r="G64" s="407" t="s">
        <v>1873</v>
      </c>
      <c r="H64" s="381" t="s">
        <v>1872</v>
      </c>
      <c r="I64" s="461" t="s">
        <v>1873</v>
      </c>
      <c r="J64" s="381" t="s">
        <v>1872</v>
      </c>
    </row>
    <row r="65" spans="1:10" s="145" customFormat="1" x14ac:dyDescent="0.35">
      <c r="A65" s="232" t="s">
        <v>1537</v>
      </c>
      <c r="B65" s="232">
        <v>38.402646571882769</v>
      </c>
      <c r="C65" s="232">
        <v>8.887266637471896</v>
      </c>
      <c r="D65" s="144">
        <v>7.8819134859043229</v>
      </c>
      <c r="E65" s="144">
        <v>47.289913209354665</v>
      </c>
      <c r="F65" s="145">
        <v>2.3644956604677334E-2</v>
      </c>
      <c r="G65" s="146">
        <v>47.705496051561148</v>
      </c>
      <c r="H65" s="144">
        <v>2.3852748025780576E-2</v>
      </c>
      <c r="I65" s="144">
        <v>47.335627321997379</v>
      </c>
      <c r="J65" s="144">
        <v>2.3667813660998689E-2</v>
      </c>
    </row>
    <row r="66" spans="1:10" s="145" customFormat="1" x14ac:dyDescent="0.35">
      <c r="A66" s="232" t="s">
        <v>1536</v>
      </c>
      <c r="B66" s="232">
        <v>38.169933376212683</v>
      </c>
      <c r="C66" s="232">
        <v>8.076204372018152</v>
      </c>
      <c r="D66" s="144">
        <v>6.3701481048130653</v>
      </c>
      <c r="E66" s="144">
        <v>46.246137748230836</v>
      </c>
      <c r="F66" s="145">
        <v>2.3123068874115419E-2</v>
      </c>
      <c r="G66" s="146">
        <v>45.907461982493238</v>
      </c>
      <c r="H66" s="144">
        <v>2.2953730991246618E-2</v>
      </c>
      <c r="I66" s="144">
        <v>46.2088834139997</v>
      </c>
      <c r="J66" s="144">
        <v>2.3104441706999851E-2</v>
      </c>
    </row>
    <row r="67" spans="1:10" s="145" customFormat="1" x14ac:dyDescent="0.35">
      <c r="A67" s="232" t="s">
        <v>1535</v>
      </c>
      <c r="B67" s="232">
        <v>0.55581138523464202</v>
      </c>
      <c r="C67" s="232">
        <v>1.9584652901260808</v>
      </c>
      <c r="D67" s="144">
        <v>3.6504582695503749</v>
      </c>
      <c r="E67" s="144">
        <v>2.5142766753607226</v>
      </c>
      <c r="F67" s="145">
        <v>1.2571383376803614E-3</v>
      </c>
      <c r="G67" s="146">
        <v>4.3354021331869168</v>
      </c>
      <c r="H67" s="144">
        <v>2.1677010665934584E-3</v>
      </c>
      <c r="I67" s="144">
        <v>2.7146004757216042</v>
      </c>
      <c r="J67" s="144">
        <v>1.3573002378608021E-3</v>
      </c>
    </row>
    <row r="68" spans="1:10" s="145" customFormat="1" x14ac:dyDescent="0.35">
      <c r="A68" s="232" t="s">
        <v>1534</v>
      </c>
      <c r="B68" s="232">
        <v>20.018012645930227</v>
      </c>
      <c r="C68" s="232">
        <v>6.0342194209302464</v>
      </c>
      <c r="D68" s="144">
        <v>2.5956430220082325</v>
      </c>
      <c r="E68" s="144">
        <v>26.052232066860473</v>
      </c>
      <c r="F68" s="145">
        <v>1.3026116033430239E-2</v>
      </c>
      <c r="G68" s="146">
        <v>23.30789489694417</v>
      </c>
      <c r="H68" s="144">
        <v>1.1653947448472085E-2</v>
      </c>
      <c r="I68" s="144">
        <v>25.750354978169682</v>
      </c>
      <c r="J68" s="144">
        <v>1.2875177489084838E-2</v>
      </c>
    </row>
    <row r="69" spans="1:10" s="145" customFormat="1" x14ac:dyDescent="0.35">
      <c r="A69" s="232" t="s">
        <v>1533</v>
      </c>
      <c r="B69" s="232">
        <v>17.596109345047815</v>
      </c>
      <c r="C69" s="232">
        <v>8.3519660961824976E-2</v>
      </c>
      <c r="D69" s="144">
        <v>0.12404681325445777</v>
      </c>
      <c r="E69" s="144">
        <v>17.679629006009641</v>
      </c>
      <c r="F69" s="145">
        <v>8.8398145030048197E-3</v>
      </c>
      <c r="G69" s="146">
        <v>18.264164952362151</v>
      </c>
      <c r="H69" s="144">
        <v>9.1320824761810752E-3</v>
      </c>
      <c r="I69" s="144">
        <v>17.743927960108419</v>
      </c>
      <c r="J69" s="144">
        <v>8.8719639800542097E-3</v>
      </c>
    </row>
    <row r="70" spans="1:10" s="145" customFormat="1" x14ac:dyDescent="0.35">
      <c r="A70" s="231" t="s">
        <v>1532</v>
      </c>
      <c r="B70" s="49">
        <v>473.3223796254764</v>
      </c>
      <c r="C70" s="49">
        <v>418.89554284677064</v>
      </c>
      <c r="D70" s="47">
        <v>758.23711405136942</v>
      </c>
      <c r="E70" s="47">
        <v>892.21792247224698</v>
      </c>
      <c r="F70" s="48">
        <v>0.44610896123612348</v>
      </c>
      <c r="G70" s="155">
        <v>1269.368370132725</v>
      </c>
      <c r="H70" s="144">
        <v>0.63468418506636248</v>
      </c>
      <c r="I70" s="47">
        <v>933.70447171489957</v>
      </c>
      <c r="J70" s="144">
        <v>0.46685223585744978</v>
      </c>
    </row>
    <row r="71" spans="1:10" s="145" customFormat="1" ht="13.15" x14ac:dyDescent="0.4">
      <c r="A71" s="390" t="s">
        <v>1564</v>
      </c>
      <c r="B71" s="390"/>
      <c r="C71" s="390"/>
      <c r="D71" s="553"/>
      <c r="E71" s="381" t="s">
        <v>1873</v>
      </c>
      <c r="F71" s="382" t="s">
        <v>1872</v>
      </c>
      <c r="G71" s="429" t="s">
        <v>1873</v>
      </c>
      <c r="H71" s="381" t="s">
        <v>1872</v>
      </c>
      <c r="I71" s="381" t="s">
        <v>1873</v>
      </c>
      <c r="J71" s="381" t="s">
        <v>1872</v>
      </c>
    </row>
    <row r="72" spans="1:10" s="145" customFormat="1" x14ac:dyDescent="0.35">
      <c r="A72" s="232" t="s">
        <v>1525</v>
      </c>
      <c r="B72" s="232">
        <v>5598.5284184038965</v>
      </c>
      <c r="C72" s="232">
        <v>85.152787207324451</v>
      </c>
      <c r="D72" s="144">
        <v>57.254687378351015</v>
      </c>
      <c r="E72" s="144">
        <v>5683.6812056112212</v>
      </c>
      <c r="F72" s="145">
        <v>2.8418406028056107</v>
      </c>
      <c r="G72" s="146">
        <v>5829.415647129762</v>
      </c>
      <c r="H72" s="144">
        <v>2.9147078235648811</v>
      </c>
      <c r="I72" s="144">
        <v>5699.7119941782603</v>
      </c>
      <c r="J72" s="144">
        <v>2.8498559970891302</v>
      </c>
    </row>
    <row r="73" spans="1:10" s="145" customFormat="1" x14ac:dyDescent="0.35">
      <c r="A73" s="232" t="s">
        <v>1524</v>
      </c>
      <c r="B73" s="232">
        <v>1723.5342707747895</v>
      </c>
      <c r="C73" s="232">
        <v>315.32592151050471</v>
      </c>
      <c r="D73" s="144">
        <v>159.87981582784164</v>
      </c>
      <c r="E73" s="144">
        <v>2038.8601922852943</v>
      </c>
      <c r="F73" s="145">
        <v>1.0194300961426472</v>
      </c>
      <c r="G73" s="146">
        <v>1941.2348990613318</v>
      </c>
      <c r="H73" s="144">
        <v>0.97061744953066587</v>
      </c>
      <c r="I73" s="144">
        <v>2028.1214100306586</v>
      </c>
      <c r="J73" s="144">
        <v>1.0140607050153292</v>
      </c>
    </row>
    <row r="74" spans="1:10" s="145" customFormat="1" x14ac:dyDescent="0.35">
      <c r="A74" s="232" t="s">
        <v>1563</v>
      </c>
      <c r="B74" s="232">
        <v>4102.582787518756</v>
      </c>
      <c r="C74" s="232">
        <v>516.02799412835907</v>
      </c>
      <c r="D74" s="144">
        <v>359.07664859919117</v>
      </c>
      <c r="E74" s="144">
        <v>4618.6107816471149</v>
      </c>
      <c r="F74" s="145">
        <v>2.3093053908235572</v>
      </c>
      <c r="G74" s="146">
        <v>4598.6323808067682</v>
      </c>
      <c r="H74" s="144">
        <v>2.2993161904033843</v>
      </c>
      <c r="I74" s="144">
        <v>4616.4131575546771</v>
      </c>
      <c r="J74" s="144">
        <v>2.3082065787773387</v>
      </c>
    </row>
    <row r="75" spans="1:10" s="145" customFormat="1" x14ac:dyDescent="0.35">
      <c r="A75" s="232" t="s">
        <v>1522</v>
      </c>
      <c r="B75" s="232">
        <v>698.9683706344631</v>
      </c>
      <c r="C75" s="232">
        <v>51.549048634876215</v>
      </c>
      <c r="D75" s="144">
        <v>64.85286254215751</v>
      </c>
      <c r="E75" s="144">
        <v>750.51741926933937</v>
      </c>
      <c r="F75" s="145">
        <v>0.37525870963466967</v>
      </c>
      <c r="G75" s="146">
        <v>787.27054503514285</v>
      </c>
      <c r="H75" s="144">
        <v>0.39363527251757141</v>
      </c>
      <c r="I75" s="144">
        <v>754.56026310357777</v>
      </c>
      <c r="J75" s="144">
        <v>0.37728013155178891</v>
      </c>
    </row>
    <row r="76" spans="1:10" s="145" customFormat="1" x14ac:dyDescent="0.35">
      <c r="A76" s="232" t="s">
        <v>1521</v>
      </c>
      <c r="B76" s="232">
        <v>368.2211026998865</v>
      </c>
      <c r="C76" s="232">
        <v>31.750410024825769</v>
      </c>
      <c r="D76" s="144">
        <v>28.225013475262461</v>
      </c>
      <c r="E76" s="144">
        <v>399.97151272471228</v>
      </c>
      <c r="F76" s="145">
        <v>0.19998575636235613</v>
      </c>
      <c r="G76" s="146">
        <v>408.61701194172605</v>
      </c>
      <c r="H76" s="144">
        <v>0.20430850597086303</v>
      </c>
      <c r="I76" s="144">
        <v>400.92251763858383</v>
      </c>
      <c r="J76" s="144">
        <v>0.20046125881929192</v>
      </c>
    </row>
    <row r="77" spans="1:10" s="145" customFormat="1" x14ac:dyDescent="0.35">
      <c r="A77" s="232" t="s">
        <v>1520</v>
      </c>
      <c r="B77" s="232">
        <v>11979.187604134375</v>
      </c>
      <c r="C77" s="232">
        <v>571.6406882725305</v>
      </c>
      <c r="D77" s="144">
        <v>975.14239866728565</v>
      </c>
      <c r="E77" s="144">
        <v>12550.828292406906</v>
      </c>
      <c r="F77" s="145">
        <v>6.2754141462034534</v>
      </c>
      <c r="G77" s="146">
        <v>13352.02793388767</v>
      </c>
      <c r="H77" s="144">
        <v>6.6760139669438345</v>
      </c>
      <c r="I77" s="144">
        <v>12638.960252969791</v>
      </c>
      <c r="J77" s="144">
        <v>6.3194801264848959</v>
      </c>
    </row>
    <row r="78" spans="1:10" s="145" customFormat="1" x14ac:dyDescent="0.35">
      <c r="A78" s="232" t="s">
        <v>1519</v>
      </c>
      <c r="B78" s="232">
        <v>34.029646826450261</v>
      </c>
      <c r="C78" s="232">
        <v>4.1302859839907411</v>
      </c>
      <c r="D78" s="144">
        <v>2.0906051440412288</v>
      </c>
      <c r="E78" s="144">
        <v>38.159932810440999</v>
      </c>
      <c r="F78" s="145">
        <v>1.90799664052205E-2</v>
      </c>
      <c r="G78" s="146">
        <v>37.229143705985578</v>
      </c>
      <c r="H78" s="144">
        <v>1.8614571852992787E-2</v>
      </c>
      <c r="I78" s="144">
        <v>38.057546008950908</v>
      </c>
      <c r="J78" s="144">
        <v>1.9028773004475454E-2</v>
      </c>
    </row>
    <row r="79" spans="1:10" s="145" customFormat="1" x14ac:dyDescent="0.35">
      <c r="A79" s="232" t="s">
        <v>1518</v>
      </c>
      <c r="B79" s="232">
        <v>49.343680445498634</v>
      </c>
      <c r="C79" s="232">
        <v>9.6306176534964756</v>
      </c>
      <c r="D79" s="144">
        <v>4.9079357936485275</v>
      </c>
      <c r="E79" s="144">
        <v>58.974298098995106</v>
      </c>
      <c r="F79" s="145">
        <v>2.9487149049497553E-2</v>
      </c>
      <c r="G79" s="146">
        <v>55.917140857688977</v>
      </c>
      <c r="H79" s="144">
        <v>2.795857042884449E-2</v>
      </c>
      <c r="I79" s="144">
        <v>58.638010802451433</v>
      </c>
      <c r="J79" s="144">
        <v>2.9319005401225718E-2</v>
      </c>
    </row>
    <row r="80" spans="1:10" s="145" customFormat="1" x14ac:dyDescent="0.35">
      <c r="A80" s="232" t="s">
        <v>1531</v>
      </c>
      <c r="B80" s="232">
        <v>5611.732104758371</v>
      </c>
      <c r="C80" s="232">
        <v>1482.6424485945054</v>
      </c>
      <c r="D80" s="144">
        <v>1011.385330080738</v>
      </c>
      <c r="E80" s="144">
        <v>7094.3745533528763</v>
      </c>
      <c r="F80" s="145">
        <v>3.5471872766764383</v>
      </c>
      <c r="G80" s="146">
        <v>6826.4471400886687</v>
      </c>
      <c r="H80" s="144">
        <v>3.4132235700443343</v>
      </c>
      <c r="I80" s="144">
        <v>7064.9025378938131</v>
      </c>
      <c r="J80" s="144">
        <v>3.5324512689469065</v>
      </c>
    </row>
    <row r="81" spans="1:10" s="145" customFormat="1" x14ac:dyDescent="0.35">
      <c r="A81" s="232" t="s">
        <v>1530</v>
      </c>
      <c r="B81" s="411">
        <v>68.843692277610842</v>
      </c>
      <c r="C81" s="411">
        <v>13.566269773055879</v>
      </c>
      <c r="D81" s="147">
        <v>8.1896040924619466</v>
      </c>
      <c r="E81" s="144">
        <v>82.409962050666721</v>
      </c>
      <c r="F81" s="145">
        <v>4.1204981025333362E-2</v>
      </c>
      <c r="G81" s="146">
        <v>79.398218568634022</v>
      </c>
      <c r="H81" s="144">
        <v>3.9699109284317011E-2</v>
      </c>
      <c r="I81" s="144">
        <v>82.078670267643119</v>
      </c>
      <c r="J81" s="144">
        <v>4.1039335133821561E-2</v>
      </c>
    </row>
    <row r="82" spans="1:10" s="48" customFormat="1" x14ac:dyDescent="0.35">
      <c r="A82" s="49" t="s">
        <v>1529</v>
      </c>
      <c r="B82" s="240">
        <v>2752036.0681218887</v>
      </c>
      <c r="C82" s="240">
        <v>560860.52549015847</v>
      </c>
      <c r="D82" s="153">
        <v>529900.70739147265</v>
      </c>
      <c r="E82" s="153">
        <v>3312896.5936120469</v>
      </c>
      <c r="F82" s="154">
        <v>1656.4482968060236</v>
      </c>
      <c r="G82" s="239">
        <v>3382692.2345216209</v>
      </c>
      <c r="H82" s="153">
        <v>1691.3461172608104</v>
      </c>
      <c r="I82" s="153">
        <v>3320574.1141121001</v>
      </c>
      <c r="J82" s="153">
        <v>1660.2870570560501</v>
      </c>
    </row>
    <row r="83" spans="1:10" s="48" customFormat="1" x14ac:dyDescent="0.35">
      <c r="A83" s="49" t="s">
        <v>1528</v>
      </c>
      <c r="B83" s="240">
        <v>2772193.2260228456</v>
      </c>
      <c r="C83" s="240">
        <v>561621.43050599494</v>
      </c>
      <c r="D83" s="153">
        <v>530330.39087772183</v>
      </c>
      <c r="E83" s="153">
        <v>3333814.6565288408</v>
      </c>
      <c r="F83" s="154">
        <v>1666.9073282644204</v>
      </c>
      <c r="G83" s="239">
        <v>3403911.0919394149</v>
      </c>
      <c r="H83" s="153">
        <v>1701.9555459697074</v>
      </c>
      <c r="I83" s="153">
        <v>3341525.2644240041</v>
      </c>
      <c r="J83" s="153">
        <v>1670.762632212002</v>
      </c>
    </row>
    <row r="84" spans="1:10" s="48" customFormat="1" x14ac:dyDescent="0.35">
      <c r="A84" s="45" t="s">
        <v>1527</v>
      </c>
      <c r="B84" s="240">
        <v>2958788.7676191637</v>
      </c>
      <c r="C84" s="240">
        <v>609695.76545368996</v>
      </c>
      <c r="D84" s="153">
        <v>562842.19586464635</v>
      </c>
      <c r="E84" s="150">
        <v>3568484.5330728539</v>
      </c>
      <c r="F84" s="151">
        <v>1784.2422665364268</v>
      </c>
      <c r="G84" s="435">
        <v>3629745.0340627627</v>
      </c>
      <c r="H84" s="150">
        <v>1814.8725170313814</v>
      </c>
      <c r="I84" s="150">
        <v>3575223.188181744</v>
      </c>
      <c r="J84" s="150">
        <v>1787.6115940908719</v>
      </c>
    </row>
    <row r="85" spans="1:10" s="145" customFormat="1" ht="13.15" x14ac:dyDescent="0.4">
      <c r="A85" s="388" t="s">
        <v>1562</v>
      </c>
      <c r="B85" s="237"/>
      <c r="C85" s="237"/>
      <c r="D85" s="156"/>
      <c r="E85" s="381" t="s">
        <v>1873</v>
      </c>
      <c r="F85" s="403" t="s">
        <v>1872</v>
      </c>
      <c r="G85" s="429" t="s">
        <v>1873</v>
      </c>
      <c r="H85" s="402" t="s">
        <v>1872</v>
      </c>
      <c r="I85" s="381" t="s">
        <v>1873</v>
      </c>
      <c r="J85" s="402" t="s">
        <v>1872</v>
      </c>
    </row>
    <row r="86" spans="1:10" s="145" customFormat="1" x14ac:dyDescent="0.35">
      <c r="A86" s="232" t="s">
        <v>1525</v>
      </c>
      <c r="B86" s="232">
        <v>37.491537922202191</v>
      </c>
      <c r="C86" s="232">
        <v>4.7221783566277127</v>
      </c>
      <c r="D86" s="144">
        <v>4.0765200582327736</v>
      </c>
      <c r="E86" s="144">
        <v>42.213716278829907</v>
      </c>
      <c r="F86" s="145">
        <v>2.1106858139414954E-2</v>
      </c>
      <c r="G86" s="146">
        <v>42.844197360434315</v>
      </c>
      <c r="H86" s="144">
        <v>2.1422098680217157E-2</v>
      </c>
      <c r="I86" s="144">
        <v>42.283069197806391</v>
      </c>
      <c r="J86" s="144">
        <v>2.1141534598903194E-2</v>
      </c>
    </row>
    <row r="87" spans="1:10" s="145" customFormat="1" x14ac:dyDescent="0.35">
      <c r="A87" s="232" t="s">
        <v>1524</v>
      </c>
      <c r="B87" s="232">
        <v>76.305747963240748</v>
      </c>
      <c r="C87" s="232">
        <v>29.294208853959134</v>
      </c>
      <c r="D87" s="144">
        <v>31.903885627841984</v>
      </c>
      <c r="E87" s="144">
        <v>105.59995681719988</v>
      </c>
      <c r="F87" s="145">
        <v>5.2799978408599943E-2</v>
      </c>
      <c r="G87" s="146">
        <v>111.53166934232897</v>
      </c>
      <c r="H87" s="144">
        <v>5.5765834671164485E-2</v>
      </c>
      <c r="I87" s="144">
        <v>106.25244519496408</v>
      </c>
      <c r="J87" s="144">
        <v>5.3126222597482044E-2</v>
      </c>
    </row>
    <row r="88" spans="1:10" s="145" customFormat="1" x14ac:dyDescent="0.35">
      <c r="A88" s="232" t="s">
        <v>1523</v>
      </c>
      <c r="B88" s="232">
        <v>114.95340232481092</v>
      </c>
      <c r="C88" s="232">
        <v>59.306789404298101</v>
      </c>
      <c r="D88" s="144">
        <v>83.556264900478482</v>
      </c>
      <c r="E88" s="144">
        <v>174.26019172910901</v>
      </c>
      <c r="F88" s="145">
        <v>8.7130095864554502E-2</v>
      </c>
      <c r="G88" s="146">
        <v>204.60391400910578</v>
      </c>
      <c r="H88" s="144">
        <v>0.10230195700455288</v>
      </c>
      <c r="I88" s="144">
        <v>177.59800117990866</v>
      </c>
      <c r="J88" s="144">
        <v>8.8799000589954338E-2</v>
      </c>
    </row>
    <row r="89" spans="1:10" s="145" customFormat="1" x14ac:dyDescent="0.35">
      <c r="A89" s="232" t="s">
        <v>1522</v>
      </c>
      <c r="B89" s="232">
        <v>8.8048251856592259</v>
      </c>
      <c r="C89" s="232">
        <v>5.5708074181947627</v>
      </c>
      <c r="D89" s="144">
        <v>10.297324780672239</v>
      </c>
      <c r="E89" s="144">
        <v>14.375632603853989</v>
      </c>
      <c r="F89" s="145">
        <v>7.1878163019269943E-3</v>
      </c>
      <c r="G89" s="146">
        <v>19.68858597029784</v>
      </c>
      <c r="H89" s="144">
        <v>9.8442929851489201E-3</v>
      </c>
      <c r="I89" s="144">
        <v>14.960057474162811</v>
      </c>
      <c r="J89" s="144">
        <v>7.480028737081406E-3</v>
      </c>
    </row>
    <row r="90" spans="1:10" s="145" customFormat="1" x14ac:dyDescent="0.35">
      <c r="A90" s="232" t="s">
        <v>1521</v>
      </c>
      <c r="B90" s="232">
        <v>7.0809944864501588</v>
      </c>
      <c r="C90" s="232">
        <v>4.1093037732074489</v>
      </c>
      <c r="D90" s="144">
        <v>7.5796229338767098</v>
      </c>
      <c r="E90" s="144">
        <v>11.190298259657608</v>
      </c>
      <c r="F90" s="145">
        <v>5.5951491298288037E-3</v>
      </c>
      <c r="G90" s="146">
        <v>15.110698375130902</v>
      </c>
      <c r="H90" s="144">
        <v>7.5553491875654504E-3</v>
      </c>
      <c r="I90" s="144">
        <v>11.621542272359671</v>
      </c>
      <c r="J90" s="144">
        <v>5.8107711361798349E-3</v>
      </c>
    </row>
    <row r="91" spans="1:10" s="145" customFormat="1" x14ac:dyDescent="0.35">
      <c r="A91" s="232" t="s">
        <v>1520</v>
      </c>
      <c r="B91" s="232">
        <v>91.873012012120256</v>
      </c>
      <c r="C91" s="232">
        <v>185.85435133741152</v>
      </c>
      <c r="D91" s="144">
        <v>345.43139243555072</v>
      </c>
      <c r="E91" s="144">
        <v>277.72736334953174</v>
      </c>
      <c r="F91" s="145">
        <v>0.13886368167476587</v>
      </c>
      <c r="G91" s="146">
        <v>450.72964966421449</v>
      </c>
      <c r="H91" s="144">
        <v>0.22536482483210724</v>
      </c>
      <c r="I91" s="144">
        <v>296.75761484414687</v>
      </c>
      <c r="J91" s="144">
        <v>0.14837880742207343</v>
      </c>
    </row>
    <row r="92" spans="1:10" s="145" customFormat="1" x14ac:dyDescent="0.35">
      <c r="A92" s="232" t="s">
        <v>1519</v>
      </c>
      <c r="B92" s="232">
        <v>0.79660751911869598</v>
      </c>
      <c r="C92" s="232">
        <v>0.25237722775772831</v>
      </c>
      <c r="D92" s="144">
        <v>0.45156612319312089</v>
      </c>
      <c r="E92" s="144">
        <v>1.0489847468764242</v>
      </c>
      <c r="F92" s="145">
        <v>5.2449237343821209E-4</v>
      </c>
      <c r="G92" s="146">
        <v>1.2864925731307895</v>
      </c>
      <c r="H92" s="144">
        <v>6.4324628656539477E-4</v>
      </c>
      <c r="I92" s="144">
        <v>1.0751106077644044</v>
      </c>
      <c r="J92" s="144">
        <v>5.3755530388220217E-4</v>
      </c>
    </row>
    <row r="93" spans="1:10" s="145" customFormat="1" x14ac:dyDescent="0.35">
      <c r="A93" s="231" t="s">
        <v>1518</v>
      </c>
      <c r="B93" s="231">
        <v>1.2472137439993594</v>
      </c>
      <c r="C93" s="231">
        <v>0.63870922626604965</v>
      </c>
      <c r="D93" s="141">
        <v>1.1618529296438291</v>
      </c>
      <c r="E93" s="141">
        <v>1.885922970265409</v>
      </c>
      <c r="F93" s="142">
        <v>9.4296148513270449E-4</v>
      </c>
      <c r="G93" s="143">
        <v>2.4830250205240345</v>
      </c>
      <c r="H93" s="141">
        <v>1.2415125102620173E-3</v>
      </c>
      <c r="I93" s="141">
        <v>1.9516041957938577</v>
      </c>
      <c r="J93" s="141">
        <v>9.7580209789692885E-4</v>
      </c>
    </row>
  </sheetData>
  <mergeCells count="6">
    <mergeCell ref="I63:J63"/>
    <mergeCell ref="B18:C18"/>
    <mergeCell ref="D18:E18"/>
    <mergeCell ref="F18:G18"/>
    <mergeCell ref="E63:F63"/>
    <mergeCell ref="G63:H63"/>
  </mergeCells>
  <pageMargins left="0.75" right="0.75" top="1" bottom="1" header="0.5" footer="0.5"/>
  <pageSetup orientation="landscape" r:id="rId1"/>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91"/>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2.796875" style="39" bestFit="1" customWidth="1"/>
    <col min="3" max="3" width="11.1328125" style="39" customWidth="1"/>
    <col min="4" max="4" width="11.19921875" style="39" bestFit="1" customWidth="1"/>
    <col min="5" max="5" width="9.19921875" style="39" bestFit="1" customWidth="1"/>
    <col min="6" max="16384" width="9.1328125" style="39"/>
  </cols>
  <sheetData>
    <row r="1" spans="1:7" ht="15" x14ac:dyDescent="0.4">
      <c r="A1" s="140" t="s">
        <v>2331</v>
      </c>
      <c r="G1" s="230" t="s">
        <v>1561</v>
      </c>
    </row>
    <row r="2" spans="1:7" ht="13.15" x14ac:dyDescent="0.4">
      <c r="A2" s="41"/>
    </row>
    <row r="3" spans="1:7" ht="13.9" x14ac:dyDescent="0.4">
      <c r="A3" s="72" t="s">
        <v>1775</v>
      </c>
    </row>
    <row r="4" spans="1:7" x14ac:dyDescent="0.35">
      <c r="A4" s="723"/>
      <c r="B4" s="722" t="s">
        <v>2326</v>
      </c>
      <c r="C4" s="722" t="s">
        <v>2330</v>
      </c>
      <c r="D4" s="722" t="s">
        <v>2329</v>
      </c>
      <c r="E4" s="721" t="s">
        <v>2328</v>
      </c>
    </row>
    <row r="5" spans="1:7" x14ac:dyDescent="0.35">
      <c r="A5" s="556" t="s">
        <v>2327</v>
      </c>
      <c r="B5" s="720">
        <v>0.21</v>
      </c>
      <c r="C5" s="720">
        <v>0.41</v>
      </c>
      <c r="D5" s="720">
        <v>0.28999999999999998</v>
      </c>
      <c r="E5" s="193">
        <v>9.000000000000008E-2</v>
      </c>
    </row>
    <row r="6" spans="1:7" x14ac:dyDescent="0.35">
      <c r="A6" s="254"/>
      <c r="B6" s="197"/>
      <c r="C6" s="197"/>
      <c r="D6" s="197"/>
      <c r="E6" s="197"/>
    </row>
    <row r="7" spans="1:7" ht="13.9" x14ac:dyDescent="0.4">
      <c r="A7" s="72" t="s">
        <v>2150</v>
      </c>
    </row>
    <row r="8" spans="1:7" ht="13.15" x14ac:dyDescent="0.4">
      <c r="A8" s="131"/>
      <c r="B8" s="2191" t="s">
        <v>2326</v>
      </c>
      <c r="C8" s="2192"/>
    </row>
    <row r="9" spans="1:7" ht="65.25" customHeight="1" x14ac:dyDescent="0.4">
      <c r="A9" s="128"/>
      <c r="B9" s="416" t="s">
        <v>1674</v>
      </c>
      <c r="C9" s="415" t="s">
        <v>1673</v>
      </c>
    </row>
    <row r="10" spans="1:7" ht="26.25" x14ac:dyDescent="0.4">
      <c r="A10" s="414" t="s">
        <v>1940</v>
      </c>
      <c r="B10" s="719">
        <v>4.1224279207163725</v>
      </c>
      <c r="C10" s="99"/>
    </row>
    <row r="11" spans="1:7" ht="13.15" x14ac:dyDescent="0.4">
      <c r="A11" s="128" t="s">
        <v>1671</v>
      </c>
      <c r="B11" s="718">
        <v>0</v>
      </c>
      <c r="C11" s="99"/>
    </row>
    <row r="12" spans="1:7" ht="13.15" x14ac:dyDescent="0.4">
      <c r="A12" s="131" t="s">
        <v>1670</v>
      </c>
      <c r="B12" s="61"/>
      <c r="C12" s="60"/>
    </row>
    <row r="13" spans="1:7" x14ac:dyDescent="0.35">
      <c r="A13" s="59" t="s">
        <v>1668</v>
      </c>
      <c r="B13" s="295">
        <v>3.8453570356314105E-4</v>
      </c>
      <c r="C13" s="99"/>
    </row>
    <row r="14" spans="1:7" x14ac:dyDescent="0.35">
      <c r="A14" s="59" t="s">
        <v>1667</v>
      </c>
      <c r="B14" s="295">
        <v>8.591610433031107E-3</v>
      </c>
      <c r="C14" s="99"/>
    </row>
    <row r="15" spans="1:7" x14ac:dyDescent="0.35">
      <c r="A15" s="59" t="s">
        <v>1666</v>
      </c>
      <c r="B15" s="295">
        <v>9.6621351194467269E-4</v>
      </c>
      <c r="C15" s="99"/>
    </row>
    <row r="16" spans="1:7" x14ac:dyDescent="0.35">
      <c r="A16" s="59" t="s">
        <v>1665</v>
      </c>
      <c r="B16" s="295">
        <v>7.9370230073226578E-5</v>
      </c>
      <c r="C16" s="99"/>
    </row>
    <row r="17" spans="1:3" x14ac:dyDescent="0.35">
      <c r="A17" s="59" t="s">
        <v>2325</v>
      </c>
      <c r="B17" s="295">
        <v>0.16323131855836828</v>
      </c>
      <c r="C17" s="99"/>
    </row>
    <row r="18" spans="1:3" x14ac:dyDescent="0.35">
      <c r="A18" s="59" t="s">
        <v>1534</v>
      </c>
      <c r="B18" s="295">
        <v>4.4147991847729565E-2</v>
      </c>
      <c r="C18" s="99"/>
    </row>
    <row r="19" spans="1:3" x14ac:dyDescent="0.35">
      <c r="A19" s="59" t="s">
        <v>1535</v>
      </c>
      <c r="B19" s="295">
        <v>0.58834933561499503</v>
      </c>
      <c r="C19" s="99"/>
    </row>
    <row r="20" spans="1:3" x14ac:dyDescent="0.35">
      <c r="A20" s="59" t="s">
        <v>2324</v>
      </c>
      <c r="B20" s="295">
        <v>8.5817662664653335E-2</v>
      </c>
      <c r="C20" s="99"/>
    </row>
    <row r="21" spans="1:3" x14ac:dyDescent="0.35">
      <c r="A21" s="57" t="s">
        <v>1664</v>
      </c>
      <c r="B21" s="295">
        <v>0.10843196143564171</v>
      </c>
      <c r="C21" s="100"/>
    </row>
    <row r="22" spans="1:3" ht="13.15" x14ac:dyDescent="0.4">
      <c r="A22" s="131" t="s">
        <v>1669</v>
      </c>
      <c r="B22" s="61"/>
      <c r="C22" s="60"/>
    </row>
    <row r="23" spans="1:3" s="145" customFormat="1" x14ac:dyDescent="0.35">
      <c r="A23" s="232" t="s">
        <v>1668</v>
      </c>
      <c r="B23" s="494">
        <v>1.585220720881007E-3</v>
      </c>
      <c r="C23" s="144"/>
    </row>
    <row r="24" spans="1:3" s="145" customFormat="1" x14ac:dyDescent="0.35">
      <c r="A24" s="232" t="s">
        <v>1667</v>
      </c>
      <c r="B24" s="494">
        <v>3.5418294733045523E-2</v>
      </c>
      <c r="C24" s="144"/>
    </row>
    <row r="25" spans="1:3" s="145" customFormat="1" x14ac:dyDescent="0.35">
      <c r="A25" s="232" t="s">
        <v>1666</v>
      </c>
      <c r="B25" s="494">
        <v>3.983145559014141E-3</v>
      </c>
      <c r="C25" s="144"/>
    </row>
    <row r="26" spans="1:3" s="145" customFormat="1" x14ac:dyDescent="0.35">
      <c r="A26" s="232" t="s">
        <v>1665</v>
      </c>
      <c r="B26" s="494">
        <v>3.2719805252755154E-4</v>
      </c>
      <c r="C26" s="144"/>
    </row>
    <row r="27" spans="1:3" s="145" customFormat="1" x14ac:dyDescent="0.35">
      <c r="A27" s="232" t="s">
        <v>2325</v>
      </c>
      <c r="B27" s="494">
        <v>0.67290934516036605</v>
      </c>
      <c r="C27" s="144"/>
    </row>
    <row r="28" spans="1:3" s="145" customFormat="1" x14ac:dyDescent="0.35">
      <c r="A28" s="232" t="s">
        <v>1534</v>
      </c>
      <c r="B28" s="494">
        <v>0.18199691423663916</v>
      </c>
      <c r="C28" s="144"/>
    </row>
    <row r="29" spans="1:3" s="145" customFormat="1" x14ac:dyDescent="0.35">
      <c r="A29" s="232" t="s">
        <v>1535</v>
      </c>
      <c r="B29" s="494">
        <v>2.4254277282741832</v>
      </c>
      <c r="C29" s="144"/>
    </row>
    <row r="30" spans="1:3" s="145" customFormat="1" x14ac:dyDescent="0.35">
      <c r="A30" s="232" t="s">
        <v>2324</v>
      </c>
      <c r="B30" s="494">
        <v>0.35377712865938593</v>
      </c>
      <c r="C30" s="144"/>
    </row>
    <row r="31" spans="1:3" s="145" customFormat="1" x14ac:dyDescent="0.35">
      <c r="A31" s="231" t="s">
        <v>1664</v>
      </c>
      <c r="B31" s="554">
        <v>0.44700294532033036</v>
      </c>
      <c r="C31" s="141"/>
    </row>
    <row r="32" spans="1:3" s="145" customFormat="1" x14ac:dyDescent="0.35">
      <c r="A32" s="232" t="s">
        <v>1537</v>
      </c>
      <c r="B32" s="237">
        <v>4.796056215080819</v>
      </c>
      <c r="C32" s="156"/>
    </row>
    <row r="33" spans="1:3" s="145" customFormat="1" x14ac:dyDescent="0.35">
      <c r="A33" s="232" t="s">
        <v>1536</v>
      </c>
      <c r="B33" s="232">
        <v>4.2587468410202156</v>
      </c>
      <c r="C33" s="144"/>
    </row>
    <row r="34" spans="1:3" s="145" customFormat="1" x14ac:dyDescent="0.35">
      <c r="A34" s="232" t="s">
        <v>1535</v>
      </c>
      <c r="B34" s="232">
        <v>2.8698666891826123</v>
      </c>
      <c r="C34" s="144"/>
    </row>
    <row r="35" spans="1:3" s="145" customFormat="1" x14ac:dyDescent="0.35">
      <c r="A35" s="232" t="s">
        <v>1534</v>
      </c>
      <c r="B35" s="232">
        <v>0.58142745774668914</v>
      </c>
      <c r="C35" s="144"/>
    </row>
    <row r="36" spans="1:3" s="145" customFormat="1" x14ac:dyDescent="0.35">
      <c r="A36" s="232" t="s">
        <v>1533</v>
      </c>
      <c r="B36" s="232">
        <v>0.80745269409091414</v>
      </c>
      <c r="C36" s="144"/>
    </row>
    <row r="37" spans="1:3" s="48" customFormat="1" x14ac:dyDescent="0.35">
      <c r="A37" s="59" t="s">
        <v>1532</v>
      </c>
      <c r="B37" s="509">
        <v>114.61304058321595</v>
      </c>
      <c r="C37" s="99"/>
    </row>
    <row r="38" spans="1:3" s="145" customFormat="1" ht="13.15" x14ac:dyDescent="0.4">
      <c r="A38" s="390" t="s">
        <v>1663</v>
      </c>
      <c r="B38" s="387"/>
      <c r="C38" s="381"/>
    </row>
    <row r="39" spans="1:3" s="145" customFormat="1" x14ac:dyDescent="0.35">
      <c r="A39" s="232" t="s">
        <v>1525</v>
      </c>
      <c r="B39" s="232">
        <v>35.746157981352766</v>
      </c>
      <c r="C39" s="144">
        <v>41.117110937406196</v>
      </c>
    </row>
    <row r="40" spans="1:3" s="145" customFormat="1" x14ac:dyDescent="0.35">
      <c r="A40" s="232" t="s">
        <v>1524</v>
      </c>
      <c r="B40" s="232">
        <v>148.05359626057415</v>
      </c>
      <c r="C40" s="144">
        <v>894.3332285605519</v>
      </c>
    </row>
    <row r="41" spans="1:3" s="145" customFormat="1" x14ac:dyDescent="0.35">
      <c r="A41" s="232" t="s">
        <v>1523</v>
      </c>
      <c r="B41" s="232">
        <v>558.86178164034663</v>
      </c>
      <c r="C41" s="144">
        <v>1813.3648580608758</v>
      </c>
    </row>
    <row r="42" spans="1:3" s="145" customFormat="1" x14ac:dyDescent="0.35">
      <c r="A42" s="232" t="s">
        <v>1522</v>
      </c>
      <c r="B42" s="232">
        <v>41.434502902435874</v>
      </c>
      <c r="C42" s="144">
        <v>257.67798385103572</v>
      </c>
    </row>
    <row r="43" spans="1:3" s="145" customFormat="1" x14ac:dyDescent="0.35">
      <c r="A43" s="232" t="s">
        <v>1521</v>
      </c>
      <c r="B43" s="232">
        <v>18.58204183117342</v>
      </c>
      <c r="C43" s="144">
        <v>0</v>
      </c>
    </row>
    <row r="44" spans="1:3" s="145" customFormat="1" x14ac:dyDescent="0.35">
      <c r="A44" s="232" t="s">
        <v>1520</v>
      </c>
      <c r="B44" s="232">
        <v>1830.8444194181657</v>
      </c>
      <c r="C44" s="144">
        <v>0</v>
      </c>
    </row>
    <row r="45" spans="1:3" s="145" customFormat="1" x14ac:dyDescent="0.35">
      <c r="A45" s="232" t="s">
        <v>1519</v>
      </c>
      <c r="B45" s="232">
        <v>2.6936098445431735</v>
      </c>
      <c r="C45" s="144"/>
    </row>
    <row r="46" spans="1:3" s="145" customFormat="1" x14ac:dyDescent="0.35">
      <c r="A46" s="232" t="s">
        <v>1518</v>
      </c>
      <c r="B46" s="232">
        <v>2.9114304066863235</v>
      </c>
      <c r="C46" s="144"/>
    </row>
    <row r="47" spans="1:3" s="145" customFormat="1" x14ac:dyDescent="0.35">
      <c r="A47" s="232" t="s">
        <v>1531</v>
      </c>
      <c r="B47" s="232">
        <v>598.91942449486828</v>
      </c>
      <c r="C47" s="144">
        <v>31.65353699294629</v>
      </c>
    </row>
    <row r="48" spans="1:3" s="145" customFormat="1" x14ac:dyDescent="0.35">
      <c r="A48" s="232" t="s">
        <v>1530</v>
      </c>
      <c r="B48" s="232">
        <v>4.2683046017134867</v>
      </c>
      <c r="C48" s="144">
        <v>0</v>
      </c>
    </row>
    <row r="49" spans="1:5" s="48" customFormat="1" x14ac:dyDescent="0.35">
      <c r="A49" s="45" t="s">
        <v>1529</v>
      </c>
      <c r="B49" s="389">
        <v>404158.21054457873</v>
      </c>
      <c r="C49" s="43">
        <v>1305782.2503173344</v>
      </c>
    </row>
    <row r="50" spans="1:5" s="145" customFormat="1" ht="13.15" x14ac:dyDescent="0.4">
      <c r="A50" s="388" t="s">
        <v>1662</v>
      </c>
      <c r="B50" s="411"/>
      <c r="C50" s="144"/>
    </row>
    <row r="51" spans="1:5" s="145" customFormat="1" x14ac:dyDescent="0.35">
      <c r="A51" s="232" t="s">
        <v>1525</v>
      </c>
      <c r="B51" s="232">
        <v>2.2745081872085136</v>
      </c>
      <c r="C51" s="144">
        <v>0</v>
      </c>
    </row>
    <row r="52" spans="1:5" s="145" customFormat="1" x14ac:dyDescent="0.35">
      <c r="A52" s="232" t="s">
        <v>1524</v>
      </c>
      <c r="B52" s="232">
        <v>6.0024675790182531</v>
      </c>
      <c r="C52" s="144">
        <v>0</v>
      </c>
    </row>
    <row r="53" spans="1:5" s="145" customFormat="1" x14ac:dyDescent="0.35">
      <c r="A53" s="232" t="s">
        <v>1523</v>
      </c>
      <c r="B53" s="232">
        <v>14.810203164484333</v>
      </c>
      <c r="C53" s="144">
        <v>0</v>
      </c>
    </row>
    <row r="54" spans="1:5" s="145" customFormat="1" x14ac:dyDescent="0.35">
      <c r="A54" s="232" t="s">
        <v>1522</v>
      </c>
      <c r="B54" s="232">
        <v>1.659940088079584</v>
      </c>
      <c r="C54" s="144">
        <v>0</v>
      </c>
    </row>
    <row r="55" spans="1:5" s="145" customFormat="1" x14ac:dyDescent="0.35">
      <c r="A55" s="232" t="s">
        <v>1521</v>
      </c>
      <c r="B55" s="232">
        <v>1.2539610258404126</v>
      </c>
      <c r="C55" s="144">
        <v>0</v>
      </c>
    </row>
    <row r="56" spans="1:5" s="145" customFormat="1" x14ac:dyDescent="0.35">
      <c r="A56" s="232" t="s">
        <v>1520</v>
      </c>
      <c r="B56" s="232">
        <v>44.07408774118344</v>
      </c>
      <c r="C56" s="144">
        <v>0</v>
      </c>
    </row>
    <row r="57" spans="1:5" s="145" customFormat="1" x14ac:dyDescent="0.35">
      <c r="A57" s="232" t="s">
        <v>1519</v>
      </c>
      <c r="B57" s="232">
        <v>0.10166990588743643</v>
      </c>
      <c r="C57" s="144">
        <v>0</v>
      </c>
    </row>
    <row r="58" spans="1:5" s="145" customFormat="1" x14ac:dyDescent="0.35">
      <c r="A58" s="231" t="s">
        <v>1518</v>
      </c>
      <c r="B58" s="231">
        <v>0.23907248431215677</v>
      </c>
      <c r="C58" s="141">
        <v>0</v>
      </c>
    </row>
    <row r="59" spans="1:5" s="145" customFormat="1" x14ac:dyDescent="0.35"/>
    <row r="60" spans="1:5" s="145" customFormat="1" ht="13.9" x14ac:dyDescent="0.4">
      <c r="A60" s="386" t="s">
        <v>2323</v>
      </c>
    </row>
    <row r="61" spans="1:5" s="145" customFormat="1" ht="24" customHeight="1" x14ac:dyDescent="0.4">
      <c r="A61" s="237"/>
      <c r="B61" s="2250" t="s">
        <v>2322</v>
      </c>
      <c r="C61" s="2248"/>
      <c r="D61" s="2250" t="s">
        <v>2321</v>
      </c>
      <c r="E61" s="2249"/>
    </row>
    <row r="62" spans="1:5" s="145" customFormat="1" ht="13.15" x14ac:dyDescent="0.4">
      <c r="A62" s="390" t="s">
        <v>2050</v>
      </c>
      <c r="B62" s="429" t="s">
        <v>1873</v>
      </c>
      <c r="C62" s="382" t="s">
        <v>1872</v>
      </c>
      <c r="D62" s="407" t="s">
        <v>1873</v>
      </c>
      <c r="E62" s="381" t="s">
        <v>1872</v>
      </c>
    </row>
    <row r="63" spans="1:5" s="145" customFormat="1" x14ac:dyDescent="0.35">
      <c r="A63" s="232" t="s">
        <v>1537</v>
      </c>
      <c r="B63" s="146">
        <v>4.796056215080819</v>
      </c>
      <c r="C63" s="145">
        <v>2.3980281075404097E-3</v>
      </c>
      <c r="D63" s="146">
        <v>1.007171805166972</v>
      </c>
      <c r="E63" s="144">
        <v>5.03585902583486E-4</v>
      </c>
    </row>
    <row r="64" spans="1:5" s="145" customFormat="1" x14ac:dyDescent="0.35">
      <c r="A64" s="232" t="s">
        <v>1536</v>
      </c>
      <c r="B64" s="146">
        <v>4.2587468410202156</v>
      </c>
      <c r="C64" s="145">
        <v>2.129373420510108E-3</v>
      </c>
      <c r="D64" s="146">
        <v>0.89433683661424523</v>
      </c>
      <c r="E64" s="144">
        <v>4.4716841830712268E-4</v>
      </c>
    </row>
    <row r="65" spans="1:5" s="145" customFormat="1" x14ac:dyDescent="0.35">
      <c r="A65" s="232" t="s">
        <v>1535</v>
      </c>
      <c r="B65" s="146">
        <v>2.8698666891826123</v>
      </c>
      <c r="C65" s="145">
        <v>1.4349333445913062E-3</v>
      </c>
      <c r="D65" s="146">
        <v>0.60267200472834859</v>
      </c>
      <c r="E65" s="144">
        <v>3.0133600236417432E-4</v>
      </c>
    </row>
    <row r="66" spans="1:5" s="145" customFormat="1" x14ac:dyDescent="0.35">
      <c r="A66" s="232" t="s">
        <v>1534</v>
      </c>
      <c r="B66" s="146">
        <v>0.58142745774668914</v>
      </c>
      <c r="C66" s="145">
        <v>2.9071372887334472E-4</v>
      </c>
      <c r="D66" s="146">
        <v>0.12209976612680472</v>
      </c>
      <c r="E66" s="144">
        <v>6.1049883063402395E-5</v>
      </c>
    </row>
    <row r="67" spans="1:5" s="145" customFormat="1" x14ac:dyDescent="0.35">
      <c r="A67" s="232" t="s">
        <v>1533</v>
      </c>
      <c r="B67" s="146">
        <v>0.80745269409091414</v>
      </c>
      <c r="C67" s="145">
        <v>4.0372634704545707E-4</v>
      </c>
      <c r="D67" s="143">
        <v>0.16956506575909197</v>
      </c>
      <c r="E67" s="141">
        <v>8.4782532879545979E-5</v>
      </c>
    </row>
    <row r="68" spans="1:5" s="145" customFormat="1" x14ac:dyDescent="0.35">
      <c r="A68" s="391" t="s">
        <v>1532</v>
      </c>
      <c r="B68" s="383">
        <v>114.61304058321595</v>
      </c>
      <c r="C68" s="434">
        <v>5.7306520291607974E-2</v>
      </c>
      <c r="D68" s="143">
        <v>45.641125866674798</v>
      </c>
      <c r="E68" s="141">
        <v>2.2820562933337396E-2</v>
      </c>
    </row>
    <row r="69" spans="1:5" s="145" customFormat="1" ht="13.15" x14ac:dyDescent="0.4">
      <c r="A69" s="390" t="s">
        <v>1564</v>
      </c>
      <c r="B69" s="429" t="s">
        <v>1873</v>
      </c>
      <c r="C69" s="382" t="s">
        <v>1872</v>
      </c>
      <c r="D69" s="460" t="s">
        <v>1873</v>
      </c>
      <c r="E69" s="402" t="s">
        <v>1872</v>
      </c>
    </row>
    <row r="70" spans="1:5" s="145" customFormat="1" x14ac:dyDescent="0.35">
      <c r="A70" s="232" t="s">
        <v>1525</v>
      </c>
      <c r="B70" s="146">
        <v>76.863268918758962</v>
      </c>
      <c r="C70" s="145">
        <v>3.8431634459379478E-2</v>
      </c>
      <c r="D70" s="146">
        <v>16.141286472939381</v>
      </c>
      <c r="E70" s="144">
        <v>8.0706432364696899E-3</v>
      </c>
    </row>
    <row r="71" spans="1:5" s="145" customFormat="1" x14ac:dyDescent="0.35">
      <c r="A71" s="232" t="s">
        <v>1524</v>
      </c>
      <c r="B71" s="146">
        <v>1042.3868248211261</v>
      </c>
      <c r="C71" s="145">
        <v>0.52119341241056305</v>
      </c>
      <c r="D71" s="146">
        <v>218.90123321243647</v>
      </c>
      <c r="E71" s="144">
        <v>0.10945061660621824</v>
      </c>
    </row>
    <row r="72" spans="1:5" s="145" customFormat="1" x14ac:dyDescent="0.35">
      <c r="A72" s="232" t="s">
        <v>1563</v>
      </c>
      <c r="B72" s="146">
        <v>2372.2266397012227</v>
      </c>
      <c r="C72" s="145">
        <v>1.1861133198506113</v>
      </c>
      <c r="D72" s="146">
        <v>498.16759433725673</v>
      </c>
      <c r="E72" s="144">
        <v>0.24908379716862836</v>
      </c>
    </row>
    <row r="73" spans="1:5" s="145" customFormat="1" x14ac:dyDescent="0.35">
      <c r="A73" s="232" t="s">
        <v>1522</v>
      </c>
      <c r="B73" s="146">
        <v>299.11248675347161</v>
      </c>
      <c r="C73" s="145">
        <v>0.14955624337673581</v>
      </c>
      <c r="D73" s="146">
        <v>62.813622218229035</v>
      </c>
      <c r="E73" s="144">
        <v>3.1406811109114523E-2</v>
      </c>
    </row>
    <row r="74" spans="1:5" s="145" customFormat="1" x14ac:dyDescent="0.35">
      <c r="A74" s="232" t="s">
        <v>1521</v>
      </c>
      <c r="B74" s="146">
        <v>18.58204183117342</v>
      </c>
      <c r="C74" s="145">
        <v>9.2910209155867094E-3</v>
      </c>
      <c r="D74" s="146">
        <v>3.9022287845464181</v>
      </c>
      <c r="E74" s="144">
        <v>1.9511143922732088E-3</v>
      </c>
    </row>
    <row r="75" spans="1:5" s="145" customFormat="1" x14ac:dyDescent="0.35">
      <c r="A75" s="232" t="s">
        <v>1520</v>
      </c>
      <c r="B75" s="146">
        <v>1830.8444194181657</v>
      </c>
      <c r="C75" s="145">
        <v>0.91542220970908283</v>
      </c>
      <c r="D75" s="146">
        <v>384.47732807781478</v>
      </c>
      <c r="E75" s="144">
        <v>0.19223866403890738</v>
      </c>
    </row>
    <row r="76" spans="1:5" s="145" customFormat="1" x14ac:dyDescent="0.35">
      <c r="A76" s="232" t="s">
        <v>1519</v>
      </c>
      <c r="B76" s="146">
        <v>2.6936098445431735</v>
      </c>
      <c r="C76" s="145">
        <v>1.3468049222715868E-3</v>
      </c>
      <c r="D76" s="146">
        <v>0.56565806735406643</v>
      </c>
      <c r="E76" s="144">
        <v>2.8282903367703323E-4</v>
      </c>
    </row>
    <row r="77" spans="1:5" s="145" customFormat="1" x14ac:dyDescent="0.35">
      <c r="A77" s="232" t="s">
        <v>1518</v>
      </c>
      <c r="B77" s="146">
        <v>2.9114304066863235</v>
      </c>
      <c r="C77" s="145">
        <v>1.4557152033431618E-3</v>
      </c>
      <c r="D77" s="146">
        <v>0.61140038540412789</v>
      </c>
      <c r="E77" s="144">
        <v>3.0570019270206395E-4</v>
      </c>
    </row>
    <row r="78" spans="1:5" s="145" customFormat="1" x14ac:dyDescent="0.35">
      <c r="A78" s="232" t="s">
        <v>1531</v>
      </c>
      <c r="B78" s="146">
        <v>630.57296148781461</v>
      </c>
      <c r="C78" s="145">
        <v>0.3152864807439073</v>
      </c>
      <c r="D78" s="146">
        <v>132.42032191244107</v>
      </c>
      <c r="E78" s="144">
        <v>6.6210160956220537E-2</v>
      </c>
    </row>
    <row r="79" spans="1:5" s="145" customFormat="1" x14ac:dyDescent="0.35">
      <c r="A79" s="232" t="s">
        <v>1530</v>
      </c>
      <c r="B79" s="146">
        <v>4.2683046017134867</v>
      </c>
      <c r="C79" s="145">
        <v>2.1341523008567434E-3</v>
      </c>
      <c r="D79" s="146">
        <v>0.89634396635983216</v>
      </c>
      <c r="E79" s="144">
        <v>4.4817198317991609E-4</v>
      </c>
    </row>
    <row r="80" spans="1:5" s="48" customFormat="1" x14ac:dyDescent="0.35">
      <c r="A80" s="49" t="s">
        <v>1529</v>
      </c>
      <c r="B80" s="155">
        <v>1709940.4608619132</v>
      </c>
      <c r="C80" s="48">
        <v>854.97023043095658</v>
      </c>
      <c r="D80" s="239">
        <v>359087.49678100174</v>
      </c>
      <c r="E80" s="153">
        <v>179.54374839050087</v>
      </c>
    </row>
    <row r="81" spans="1:5" s="48" customFormat="1" x14ac:dyDescent="0.35">
      <c r="A81" s="49" t="s">
        <v>1528</v>
      </c>
      <c r="B81" s="155">
        <v>1711818.054489048</v>
      </c>
      <c r="C81" s="48">
        <v>855.90902724452394</v>
      </c>
      <c r="D81" s="239">
        <v>359481.79144270008</v>
      </c>
      <c r="E81" s="153">
        <v>179.74089572135003</v>
      </c>
    </row>
    <row r="82" spans="1:5" s="48" customFormat="1" x14ac:dyDescent="0.35">
      <c r="A82" s="45" t="s">
        <v>1527</v>
      </c>
      <c r="B82" s="152">
        <v>1731866.3440531364</v>
      </c>
      <c r="C82" s="44">
        <v>865.93317202656817</v>
      </c>
      <c r="D82" s="435">
        <v>363691.93225115869</v>
      </c>
      <c r="E82" s="150">
        <v>181.84596612557931</v>
      </c>
    </row>
    <row r="83" spans="1:5" s="145" customFormat="1" ht="13.15" x14ac:dyDescent="0.4">
      <c r="A83" s="388" t="s">
        <v>1562</v>
      </c>
      <c r="B83" s="527" t="s">
        <v>1873</v>
      </c>
      <c r="C83" s="403" t="s">
        <v>1872</v>
      </c>
      <c r="D83" s="460" t="s">
        <v>1873</v>
      </c>
      <c r="E83" s="402" t="s">
        <v>1872</v>
      </c>
    </row>
    <row r="84" spans="1:5" s="145" customFormat="1" x14ac:dyDescent="0.35">
      <c r="A84" s="232" t="s">
        <v>1525</v>
      </c>
      <c r="B84" s="146">
        <v>2.2745081872085136</v>
      </c>
      <c r="C84" s="145">
        <v>1.1372540936042568E-3</v>
      </c>
      <c r="D84" s="146">
        <v>0.47764671931378783</v>
      </c>
      <c r="E84" s="144">
        <v>2.3882335965689393E-4</v>
      </c>
    </row>
    <row r="85" spans="1:5" s="145" customFormat="1" x14ac:dyDescent="0.35">
      <c r="A85" s="232" t="s">
        <v>1524</v>
      </c>
      <c r="B85" s="146">
        <v>6.0024675790182531</v>
      </c>
      <c r="C85" s="145">
        <v>3.0012337895091268E-3</v>
      </c>
      <c r="D85" s="146">
        <v>1.260518191593833</v>
      </c>
      <c r="E85" s="144">
        <v>6.3025909579691661E-4</v>
      </c>
    </row>
    <row r="86" spans="1:5" s="145" customFormat="1" x14ac:dyDescent="0.35">
      <c r="A86" s="232" t="s">
        <v>1523</v>
      </c>
      <c r="B86" s="146">
        <v>14.810203164484333</v>
      </c>
      <c r="C86" s="145">
        <v>7.4051015822421667E-3</v>
      </c>
      <c r="D86" s="146">
        <v>3.1101426645417098</v>
      </c>
      <c r="E86" s="144">
        <v>1.555071332270855E-3</v>
      </c>
    </row>
    <row r="87" spans="1:5" s="145" customFormat="1" x14ac:dyDescent="0.35">
      <c r="A87" s="232" t="s">
        <v>1522</v>
      </c>
      <c r="B87" s="146">
        <v>1.659940088079584</v>
      </c>
      <c r="C87" s="145">
        <v>8.2997004403979207E-4</v>
      </c>
      <c r="D87" s="146">
        <v>0.34858741849671265</v>
      </c>
      <c r="E87" s="144">
        <v>1.7429370924835634E-4</v>
      </c>
    </row>
    <row r="88" spans="1:5" s="145" customFormat="1" x14ac:dyDescent="0.35">
      <c r="A88" s="232" t="s">
        <v>1521</v>
      </c>
      <c r="B88" s="146">
        <v>1.2539610258404126</v>
      </c>
      <c r="C88" s="145">
        <v>6.2698051292020627E-4</v>
      </c>
      <c r="D88" s="146">
        <v>0.26333181542648665</v>
      </c>
      <c r="E88" s="144">
        <v>1.3166590771324332E-4</v>
      </c>
    </row>
    <row r="89" spans="1:5" s="145" customFormat="1" x14ac:dyDescent="0.35">
      <c r="A89" s="232" t="s">
        <v>1520</v>
      </c>
      <c r="B89" s="146">
        <v>44.07408774118344</v>
      </c>
      <c r="C89" s="145">
        <v>2.2037043870591719E-2</v>
      </c>
      <c r="D89" s="146">
        <v>9.2555584256485215</v>
      </c>
      <c r="E89" s="144">
        <v>4.6277792128242611E-3</v>
      </c>
    </row>
    <row r="90" spans="1:5" s="145" customFormat="1" x14ac:dyDescent="0.35">
      <c r="A90" s="232" t="s">
        <v>1519</v>
      </c>
      <c r="B90" s="146">
        <v>0.10166990588743643</v>
      </c>
      <c r="C90" s="145">
        <v>5.083495294371822E-5</v>
      </c>
      <c r="D90" s="146">
        <v>2.1350680236361649E-2</v>
      </c>
      <c r="E90" s="144">
        <v>1.0675340118180826E-5</v>
      </c>
    </row>
    <row r="91" spans="1:5" s="145" customFormat="1" x14ac:dyDescent="0.35">
      <c r="A91" s="231" t="s">
        <v>1518</v>
      </c>
      <c r="B91" s="143">
        <v>0.23907248431215677</v>
      </c>
      <c r="C91" s="142">
        <v>1.1953624215607838E-4</v>
      </c>
      <c r="D91" s="143">
        <v>5.0205221705552923E-2</v>
      </c>
      <c r="E91" s="141">
        <v>2.5102610852776461E-5</v>
      </c>
    </row>
  </sheetData>
  <mergeCells count="3">
    <mergeCell ref="B8:C8"/>
    <mergeCell ref="B61:C61"/>
    <mergeCell ref="D61:E61"/>
  </mergeCells>
  <pageMargins left="0.75" right="0.75" top="1" bottom="1" header="0.5" footer="0.5"/>
  <pageSetup orientation="landscape" r:id="rId1"/>
  <headerFooter alignWithMargins="0">
    <oddHeader>&amp;A</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
  <sheetViews>
    <sheetView showGridLines="0" workbookViewId="0">
      <selection sqref="A1:AB1"/>
    </sheetView>
  </sheetViews>
  <sheetFormatPr defaultRowHeight="14.25" x14ac:dyDescent="0.4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84"/>
  <sheetViews>
    <sheetView showGridLines="0" zoomScale="85" zoomScaleNormal="85" workbookViewId="0">
      <selection activeCell="G1" sqref="G1"/>
    </sheetView>
  </sheetViews>
  <sheetFormatPr defaultColWidth="9.1328125" defaultRowHeight="12.75" x14ac:dyDescent="0.35"/>
  <cols>
    <col min="1" max="1" width="35" style="39" customWidth="1"/>
    <col min="2" max="2" width="11.19921875" style="39" bestFit="1" customWidth="1"/>
    <col min="3" max="3" width="9.19921875" style="39" bestFit="1" customWidth="1"/>
    <col min="4" max="4" width="11.19921875" style="39" bestFit="1" customWidth="1"/>
    <col min="5" max="5" width="9.19921875" style="39" bestFit="1" customWidth="1"/>
    <col min="6" max="6" width="11.46484375" style="39" customWidth="1"/>
    <col min="7" max="16384" width="9.1328125" style="39"/>
  </cols>
  <sheetData>
    <row r="1" spans="1:7" ht="15" x14ac:dyDescent="0.4">
      <c r="A1" s="140" t="s">
        <v>2152</v>
      </c>
      <c r="G1" s="230" t="s">
        <v>1626</v>
      </c>
    </row>
    <row r="2" spans="1:7" ht="13.15" x14ac:dyDescent="0.4">
      <c r="A2" s="561"/>
    </row>
    <row r="3" spans="1:7" ht="13.9" x14ac:dyDescent="0.4">
      <c r="A3" s="72" t="s">
        <v>2151</v>
      </c>
    </row>
    <row r="4" spans="1:7" x14ac:dyDescent="0.35">
      <c r="A4" s="61" t="s">
        <v>1717</v>
      </c>
      <c r="B4" s="417">
        <v>1</v>
      </c>
    </row>
    <row r="5" spans="1:7" x14ac:dyDescent="0.35">
      <c r="A5" s="59" t="s">
        <v>1909</v>
      </c>
      <c r="B5" s="196">
        <v>1</v>
      </c>
    </row>
    <row r="6" spans="1:7" x14ac:dyDescent="0.35">
      <c r="A6" s="57" t="s">
        <v>1703</v>
      </c>
      <c r="B6" s="193">
        <v>1</v>
      </c>
    </row>
    <row r="8" spans="1:7" ht="13.9" x14ac:dyDescent="0.4">
      <c r="A8" s="72" t="s">
        <v>2150</v>
      </c>
    </row>
    <row r="9" spans="1:7" ht="36.75" customHeight="1" x14ac:dyDescent="0.4">
      <c r="A9" s="131"/>
      <c r="B9" s="2191" t="s">
        <v>2144</v>
      </c>
      <c r="C9" s="2192"/>
      <c r="D9" s="2202" t="s">
        <v>2143</v>
      </c>
      <c r="E9" s="2202"/>
      <c r="F9" s="2203" t="s">
        <v>2149</v>
      </c>
      <c r="G9" s="2204"/>
    </row>
    <row r="10" spans="1:7" ht="77.25" customHeight="1" x14ac:dyDescent="0.4">
      <c r="A10" s="128"/>
      <c r="B10" s="416" t="s">
        <v>1674</v>
      </c>
      <c r="C10" s="415" t="s">
        <v>1673</v>
      </c>
      <c r="D10" s="478" t="s">
        <v>1674</v>
      </c>
      <c r="E10" s="478" t="s">
        <v>1673</v>
      </c>
      <c r="F10" s="416" t="s">
        <v>1674</v>
      </c>
      <c r="G10" s="415" t="s">
        <v>1673</v>
      </c>
    </row>
    <row r="11" spans="1:7" ht="26.25" x14ac:dyDescent="0.4">
      <c r="A11" s="414" t="s">
        <v>1940</v>
      </c>
      <c r="B11" s="277">
        <v>2.2999999999999998</v>
      </c>
      <c r="C11" s="99"/>
      <c r="D11" s="120">
        <v>2.2999999999999998</v>
      </c>
      <c r="F11" s="277">
        <v>0.161</v>
      </c>
      <c r="G11" s="99"/>
    </row>
    <row r="12" spans="1:7" ht="13.15" x14ac:dyDescent="0.4">
      <c r="A12" s="128" t="s">
        <v>1671</v>
      </c>
      <c r="B12" s="413">
        <v>0</v>
      </c>
      <c r="C12" s="99"/>
      <c r="D12" s="197">
        <v>0</v>
      </c>
      <c r="F12" s="413">
        <v>0</v>
      </c>
      <c r="G12" s="99"/>
    </row>
    <row r="13" spans="1:7" ht="13.15" x14ac:dyDescent="0.4">
      <c r="A13" s="131" t="s">
        <v>1670</v>
      </c>
      <c r="B13" s="61"/>
      <c r="C13" s="60"/>
      <c r="D13" s="101"/>
      <c r="E13" s="101"/>
      <c r="F13" s="61"/>
      <c r="G13" s="60"/>
    </row>
    <row r="14" spans="1:7" x14ac:dyDescent="0.35">
      <c r="A14" s="59" t="s">
        <v>1668</v>
      </c>
      <c r="B14" s="413">
        <v>0</v>
      </c>
      <c r="C14" s="196"/>
      <c r="D14" s="197">
        <v>0</v>
      </c>
      <c r="E14" s="197"/>
      <c r="F14" s="413">
        <v>0</v>
      </c>
      <c r="G14" s="99"/>
    </row>
    <row r="15" spans="1:7" x14ac:dyDescent="0.35">
      <c r="A15" s="59" t="s">
        <v>1667</v>
      </c>
      <c r="B15" s="413">
        <v>0</v>
      </c>
      <c r="C15" s="99"/>
      <c r="D15" s="197">
        <v>0</v>
      </c>
      <c r="E15" s="197"/>
      <c r="F15" s="413">
        <v>0</v>
      </c>
      <c r="G15" s="99"/>
    </row>
    <row r="16" spans="1:7" x14ac:dyDescent="0.35">
      <c r="A16" s="59" t="s">
        <v>1534</v>
      </c>
      <c r="B16" s="413">
        <v>0.62</v>
      </c>
      <c r="C16" s="196"/>
      <c r="D16" s="197">
        <v>0.62</v>
      </c>
      <c r="E16" s="197"/>
      <c r="F16" s="413">
        <v>0.82399999999999995</v>
      </c>
      <c r="G16" s="99"/>
    </row>
    <row r="17" spans="1:7" x14ac:dyDescent="0.35">
      <c r="A17" s="59" t="s">
        <v>1535</v>
      </c>
      <c r="B17" s="413">
        <v>0</v>
      </c>
      <c r="C17" s="196"/>
      <c r="D17" s="197">
        <v>0</v>
      </c>
      <c r="E17" s="197"/>
      <c r="F17" s="413">
        <v>0</v>
      </c>
      <c r="G17" s="99"/>
    </row>
    <row r="18" spans="1:7" x14ac:dyDescent="0.35">
      <c r="A18" s="57" t="s">
        <v>1664</v>
      </c>
      <c r="B18" s="412">
        <v>0.38</v>
      </c>
      <c r="C18" s="193"/>
      <c r="D18" s="194">
        <v>0.38</v>
      </c>
      <c r="E18" s="194"/>
      <c r="F18" s="412">
        <v>0.17600000000000005</v>
      </c>
      <c r="G18" s="100"/>
    </row>
    <row r="19" spans="1:7" ht="13.15" x14ac:dyDescent="0.4">
      <c r="A19" s="128" t="s">
        <v>2148</v>
      </c>
      <c r="B19" s="59"/>
      <c r="C19" s="99"/>
      <c r="F19" s="59" t="s">
        <v>2141</v>
      </c>
      <c r="G19" s="99"/>
    </row>
    <row r="20" spans="1:7" s="145" customFormat="1" x14ac:dyDescent="0.35">
      <c r="A20" s="232" t="s">
        <v>1668</v>
      </c>
      <c r="B20" s="411">
        <v>0</v>
      </c>
      <c r="C20" s="144"/>
      <c r="D20" s="148">
        <v>0</v>
      </c>
      <c r="F20" s="411">
        <v>0</v>
      </c>
      <c r="G20" s="144"/>
    </row>
    <row r="21" spans="1:7" s="145" customFormat="1" x14ac:dyDescent="0.35">
      <c r="A21" s="232" t="s">
        <v>1667</v>
      </c>
      <c r="B21" s="411">
        <v>0</v>
      </c>
      <c r="C21" s="144"/>
      <c r="D21" s="148">
        <v>0</v>
      </c>
      <c r="F21" s="411">
        <v>0</v>
      </c>
      <c r="G21" s="144"/>
    </row>
    <row r="22" spans="1:7" s="145" customFormat="1" x14ac:dyDescent="0.35">
      <c r="A22" s="232" t="s">
        <v>1534</v>
      </c>
      <c r="B22" s="411">
        <v>1.4259999999999999</v>
      </c>
      <c r="C22" s="144"/>
      <c r="D22" s="148">
        <v>1.4259999999999999</v>
      </c>
      <c r="F22" s="411">
        <v>0.132664</v>
      </c>
      <c r="G22" s="144"/>
    </row>
    <row r="23" spans="1:7" s="145" customFormat="1" x14ac:dyDescent="0.35">
      <c r="A23" s="232" t="s">
        <v>1535</v>
      </c>
      <c r="B23" s="411">
        <v>0</v>
      </c>
      <c r="C23" s="144"/>
      <c r="D23" s="148">
        <v>0</v>
      </c>
      <c r="F23" s="411">
        <v>0</v>
      </c>
      <c r="G23" s="144"/>
    </row>
    <row r="24" spans="1:7" s="145" customFormat="1" x14ac:dyDescent="0.35">
      <c r="A24" s="232" t="s">
        <v>1664</v>
      </c>
      <c r="B24" s="411">
        <v>0.87399999999999989</v>
      </c>
      <c r="C24" s="144"/>
      <c r="D24" s="148">
        <v>0.87399999999999989</v>
      </c>
      <c r="F24" s="411">
        <v>2.8336000000000007E-2</v>
      </c>
      <c r="G24" s="144"/>
    </row>
    <row r="25" spans="1:7" s="145" customFormat="1" x14ac:dyDescent="0.35">
      <c r="A25" s="237" t="s">
        <v>1537</v>
      </c>
      <c r="B25" s="237">
        <v>3.382998134890669</v>
      </c>
      <c r="C25" s="156"/>
      <c r="D25" s="157">
        <v>3.382998134890669</v>
      </c>
      <c r="E25" s="157"/>
      <c r="F25" s="237">
        <v>0.20493620938651846</v>
      </c>
      <c r="G25" s="156"/>
    </row>
    <row r="26" spans="1:7" s="145" customFormat="1" x14ac:dyDescent="0.35">
      <c r="A26" s="232" t="s">
        <v>1536</v>
      </c>
      <c r="B26" s="232">
        <v>3.0345594462287089</v>
      </c>
      <c r="C26" s="144"/>
      <c r="D26" s="145">
        <v>3.0345594462287089</v>
      </c>
      <c r="F26" s="232">
        <v>0.19357842852174789</v>
      </c>
      <c r="G26" s="144"/>
    </row>
    <row r="27" spans="1:7" s="145" customFormat="1" x14ac:dyDescent="0.35">
      <c r="A27" s="232" t="s">
        <v>1535</v>
      </c>
      <c r="B27" s="232">
        <v>0.84137254790919913</v>
      </c>
      <c r="C27" s="144"/>
      <c r="D27" s="145">
        <v>0.84137254790919913</v>
      </c>
      <c r="F27" s="232">
        <v>2.7425436727162609E-2</v>
      </c>
      <c r="G27" s="144"/>
    </row>
    <row r="28" spans="1:7" s="145" customFormat="1" x14ac:dyDescent="0.35">
      <c r="A28" s="232" t="s">
        <v>1534</v>
      </c>
      <c r="B28" s="232">
        <v>2.1588907908448927</v>
      </c>
      <c r="C28" s="144"/>
      <c r="D28" s="145">
        <v>2.1588907908448927</v>
      </c>
      <c r="F28" s="232">
        <v>0.16469026750873944</v>
      </c>
      <c r="G28" s="144"/>
    </row>
    <row r="29" spans="1:7" s="145" customFormat="1" x14ac:dyDescent="0.35">
      <c r="A29" s="232" t="s">
        <v>1533</v>
      </c>
      <c r="B29" s="232">
        <v>3.4296107474617234E-2</v>
      </c>
      <c r="C29" s="144"/>
      <c r="D29" s="145">
        <v>3.4296107474617234E-2</v>
      </c>
      <c r="F29" s="232">
        <v>1.4627242858458525E-3</v>
      </c>
      <c r="G29" s="144"/>
    </row>
    <row r="30" spans="1:7" s="48" customFormat="1" x14ac:dyDescent="0.35">
      <c r="A30" s="59" t="s">
        <v>1532</v>
      </c>
      <c r="B30" s="49">
        <v>178.83073367560871</v>
      </c>
      <c r="C30" s="43"/>
      <c r="D30" s="48">
        <v>178.83073367560871</v>
      </c>
      <c r="E30" s="44"/>
      <c r="F30" s="45">
        <v>6.0751022648531618</v>
      </c>
      <c r="G30" s="43">
        <v>8.6</v>
      </c>
    </row>
    <row r="31" spans="1:7" s="145" customFormat="1" ht="13.15" x14ac:dyDescent="0.4">
      <c r="A31" s="390" t="s">
        <v>2147</v>
      </c>
      <c r="B31" s="237"/>
      <c r="C31" s="156"/>
      <c r="D31" s="157"/>
      <c r="E31" s="157"/>
      <c r="F31" s="59" t="s">
        <v>2141</v>
      </c>
      <c r="G31" s="156"/>
    </row>
    <row r="32" spans="1:7" s="145" customFormat="1" x14ac:dyDescent="0.35">
      <c r="A32" s="232" t="s">
        <v>1525</v>
      </c>
      <c r="B32" s="232">
        <v>31.498878289070447</v>
      </c>
      <c r="C32" s="144"/>
      <c r="D32" s="145">
        <v>31.498878289070447</v>
      </c>
      <c r="F32" s="232">
        <v>2.1328780133494769</v>
      </c>
      <c r="G32" s="144"/>
    </row>
    <row r="33" spans="1:7" s="145" customFormat="1" x14ac:dyDescent="0.35">
      <c r="A33" s="232" t="s">
        <v>1524</v>
      </c>
      <c r="B33" s="232">
        <v>114.03011924499862</v>
      </c>
      <c r="C33" s="144"/>
      <c r="D33" s="145">
        <v>114.03011924499862</v>
      </c>
      <c r="F33" s="232">
        <v>8.3814207617841188</v>
      </c>
      <c r="G33" s="144"/>
    </row>
    <row r="34" spans="1:7" s="145" customFormat="1" x14ac:dyDescent="0.35">
      <c r="A34" s="232" t="s">
        <v>1523</v>
      </c>
      <c r="B34" s="232">
        <v>191.490790356784</v>
      </c>
      <c r="C34" s="144"/>
      <c r="D34" s="145">
        <v>191.490790356784</v>
      </c>
      <c r="F34" s="232">
        <v>12.813033646328812</v>
      </c>
      <c r="G34" s="144"/>
    </row>
    <row r="35" spans="1:7" s="145" customFormat="1" x14ac:dyDescent="0.35">
      <c r="A35" s="232" t="s">
        <v>1522</v>
      </c>
      <c r="B35" s="232">
        <v>20.581178236741671</v>
      </c>
      <c r="C35" s="144"/>
      <c r="D35" s="145">
        <v>20.581178236741671</v>
      </c>
      <c r="F35" s="232">
        <v>1.0113403341968783</v>
      </c>
      <c r="G35" s="144"/>
    </row>
    <row r="36" spans="1:7" s="145" customFormat="1" x14ac:dyDescent="0.35">
      <c r="A36" s="232" t="s">
        <v>1521</v>
      </c>
      <c r="B36" s="232">
        <v>12.08932997424186</v>
      </c>
      <c r="C36" s="144"/>
      <c r="D36" s="145">
        <v>12.08932997424186</v>
      </c>
      <c r="F36" s="232">
        <v>0.73153507678634488</v>
      </c>
      <c r="G36" s="144"/>
    </row>
    <row r="37" spans="1:7" s="145" customFormat="1" x14ac:dyDescent="0.35">
      <c r="A37" s="232" t="s">
        <v>1520</v>
      </c>
      <c r="B37" s="232">
        <v>241.05435346629986</v>
      </c>
      <c r="C37" s="144"/>
      <c r="D37" s="145">
        <v>241.05435346629986</v>
      </c>
      <c r="F37" s="232">
        <v>8.8425065583422935</v>
      </c>
      <c r="G37" s="144"/>
    </row>
    <row r="38" spans="1:7" s="145" customFormat="1" x14ac:dyDescent="0.35">
      <c r="A38" s="232" t="s">
        <v>1519</v>
      </c>
      <c r="B38" s="232">
        <v>1.4934405619699076</v>
      </c>
      <c r="C38" s="144"/>
      <c r="D38" s="145">
        <v>1.4934405619699076</v>
      </c>
      <c r="F38" s="232">
        <v>0.10981689571847585</v>
      </c>
      <c r="G38" s="144"/>
    </row>
    <row r="39" spans="1:7" s="145" customFormat="1" x14ac:dyDescent="0.35">
      <c r="A39" s="232" t="s">
        <v>1518</v>
      </c>
      <c r="B39" s="232">
        <v>3.483932321868894</v>
      </c>
      <c r="C39" s="144"/>
      <c r="D39" s="145">
        <v>3.483932321868894</v>
      </c>
      <c r="F39" s="232">
        <v>0.25575260553166673</v>
      </c>
      <c r="G39" s="144"/>
    </row>
    <row r="40" spans="1:7" s="145" customFormat="1" x14ac:dyDescent="0.35">
      <c r="A40" s="232" t="s">
        <v>1531</v>
      </c>
      <c r="B40" s="232">
        <v>549.17052273756167</v>
      </c>
      <c r="C40" s="144"/>
      <c r="D40" s="145">
        <v>549.17052273756167</v>
      </c>
      <c r="F40" s="232">
        <v>37.002400711574261</v>
      </c>
      <c r="G40" s="144"/>
    </row>
    <row r="41" spans="1:7" s="145" customFormat="1" x14ac:dyDescent="0.35">
      <c r="A41" s="232" t="s">
        <v>1530</v>
      </c>
      <c r="B41" s="232">
        <v>4.9716053339507766</v>
      </c>
      <c r="C41" s="144"/>
      <c r="D41" s="145">
        <v>4.9716053339507766</v>
      </c>
      <c r="F41" s="232">
        <v>0.34844192330792911</v>
      </c>
      <c r="G41" s="144"/>
    </row>
    <row r="42" spans="1:7" s="48" customFormat="1" x14ac:dyDescent="0.35">
      <c r="A42" s="45" t="s">
        <v>1529</v>
      </c>
      <c r="B42" s="389">
        <v>215122.93581782785</v>
      </c>
      <c r="C42" s="43"/>
      <c r="D42" s="44">
        <v>215122.93581782785</v>
      </c>
      <c r="E42" s="44"/>
      <c r="F42" s="45">
        <v>12632.078072295715</v>
      </c>
      <c r="G42" s="43"/>
    </row>
    <row r="43" spans="1:7" s="145" customFormat="1" ht="13.15" x14ac:dyDescent="0.4">
      <c r="A43" s="388" t="s">
        <v>2146</v>
      </c>
      <c r="B43" s="232"/>
      <c r="C43" s="144"/>
      <c r="D43" s="148"/>
      <c r="F43" s="59" t="s">
        <v>2141</v>
      </c>
      <c r="G43" s="144"/>
    </row>
    <row r="44" spans="1:7" s="145" customFormat="1" x14ac:dyDescent="0.35">
      <c r="A44" s="232" t="s">
        <v>1525</v>
      </c>
      <c r="B44" s="232">
        <v>1.7919443111065474</v>
      </c>
      <c r="C44" s="144"/>
      <c r="D44" s="145">
        <v>1.7919443111065474</v>
      </c>
      <c r="F44" s="232">
        <v>0.10992441244881977</v>
      </c>
      <c r="G44" s="144"/>
    </row>
    <row r="45" spans="1:7" s="145" customFormat="1" x14ac:dyDescent="0.35">
      <c r="A45" s="232" t="s">
        <v>1524</v>
      </c>
      <c r="B45" s="232">
        <v>11.44781060954292</v>
      </c>
      <c r="C45" s="144"/>
      <c r="D45" s="145">
        <v>11.44781060954292</v>
      </c>
      <c r="F45" s="232">
        <v>0.62060793695515792</v>
      </c>
      <c r="G45" s="144"/>
    </row>
    <row r="46" spans="1:7" s="145" customFormat="1" x14ac:dyDescent="0.35">
      <c r="A46" s="232" t="s">
        <v>1523</v>
      </c>
      <c r="B46" s="232">
        <v>24.12656599082284</v>
      </c>
      <c r="C46" s="144"/>
      <c r="D46" s="145">
        <v>24.12656599082284</v>
      </c>
      <c r="F46" s="232">
        <v>1.0806452192752118</v>
      </c>
      <c r="G46" s="144"/>
    </row>
    <row r="47" spans="1:7" s="145" customFormat="1" x14ac:dyDescent="0.35">
      <c r="A47" s="232" t="s">
        <v>1522</v>
      </c>
      <c r="B47" s="232">
        <v>2.3889394968147393</v>
      </c>
      <c r="C47" s="144"/>
      <c r="D47" s="145">
        <v>2.3889394968147393</v>
      </c>
      <c r="F47" s="232">
        <v>7.8811024260970447E-2</v>
      </c>
      <c r="G47" s="144"/>
    </row>
    <row r="48" spans="1:7" s="145" customFormat="1" x14ac:dyDescent="0.35">
      <c r="A48" s="232" t="s">
        <v>1521</v>
      </c>
      <c r="B48" s="232">
        <v>1.7613888762236625</v>
      </c>
      <c r="C48" s="144"/>
      <c r="D48" s="145">
        <v>1.7613888762236625</v>
      </c>
      <c r="F48" s="232">
        <v>5.8285018846370176E-2</v>
      </c>
      <c r="G48" s="144"/>
    </row>
    <row r="49" spans="1:7" s="145" customFormat="1" x14ac:dyDescent="0.35">
      <c r="A49" s="232" t="s">
        <v>1520</v>
      </c>
      <c r="B49" s="232">
        <v>79.794953157630474</v>
      </c>
      <c r="C49" s="144"/>
      <c r="D49" s="145">
        <v>79.794953157630474</v>
      </c>
      <c r="F49" s="232">
        <v>2.6117903855374154</v>
      </c>
      <c r="G49" s="144"/>
    </row>
    <row r="50" spans="1:7" s="145" customFormat="1" x14ac:dyDescent="0.35">
      <c r="A50" s="232" t="s">
        <v>1519</v>
      </c>
      <c r="B50" s="232">
        <v>0.10747893304493857</v>
      </c>
      <c r="C50" s="144"/>
      <c r="D50" s="145">
        <v>0.10747893304493857</v>
      </c>
      <c r="F50" s="232">
        <v>3.7088813012397049E-3</v>
      </c>
      <c r="G50" s="144"/>
    </row>
    <row r="51" spans="1:7" s="145" customFormat="1" x14ac:dyDescent="0.35">
      <c r="A51" s="231" t="s">
        <v>1518</v>
      </c>
      <c r="B51" s="231">
        <v>0.27295869284696689</v>
      </c>
      <c r="C51" s="141"/>
      <c r="D51" s="142">
        <v>0.27295869284696689</v>
      </c>
      <c r="E51" s="142"/>
      <c r="F51" s="231">
        <v>9.2098399752139296E-3</v>
      </c>
      <c r="G51" s="141"/>
    </row>
    <row r="52" spans="1:7" s="145" customFormat="1" x14ac:dyDescent="0.35"/>
    <row r="53" spans="1:7" s="145" customFormat="1" ht="13.9" x14ac:dyDescent="0.4">
      <c r="A53" s="386" t="s">
        <v>2145</v>
      </c>
    </row>
    <row r="54" spans="1:7" s="145" customFormat="1" ht="40.5" customHeight="1" x14ac:dyDescent="0.4">
      <c r="A54" s="237"/>
      <c r="B54" s="2197" t="s">
        <v>2144</v>
      </c>
      <c r="C54" s="2199"/>
      <c r="D54" s="2205" t="s">
        <v>2143</v>
      </c>
      <c r="E54" s="2205"/>
      <c r="F54" s="560" t="s">
        <v>2142</v>
      </c>
      <c r="G54" s="39"/>
    </row>
    <row r="55" spans="1:7" s="145" customFormat="1" ht="13.15" x14ac:dyDescent="0.4">
      <c r="A55" s="390" t="s">
        <v>2050</v>
      </c>
      <c r="B55" s="429" t="s">
        <v>1873</v>
      </c>
      <c r="C55" s="381" t="s">
        <v>1872</v>
      </c>
      <c r="D55" s="429" t="s">
        <v>1873</v>
      </c>
      <c r="E55" s="381" t="s">
        <v>1872</v>
      </c>
      <c r="F55" s="429" t="s">
        <v>2141</v>
      </c>
      <c r="G55" s="39"/>
    </row>
    <row r="56" spans="1:7" s="145" customFormat="1" x14ac:dyDescent="0.35">
      <c r="A56" s="232" t="s">
        <v>1537</v>
      </c>
      <c r="B56" s="146">
        <v>3.382998134890669</v>
      </c>
      <c r="C56" s="144">
        <v>1.6914990674453344E-3</v>
      </c>
      <c r="D56" s="146">
        <v>3.382998134890669</v>
      </c>
      <c r="E56" s="144">
        <v>1.6914990674453344E-3</v>
      </c>
      <c r="F56" s="146">
        <v>0.20493620938651846</v>
      </c>
      <c r="G56" s="39"/>
    </row>
    <row r="57" spans="1:7" s="145" customFormat="1" x14ac:dyDescent="0.35">
      <c r="A57" s="232" t="s">
        <v>1536</v>
      </c>
      <c r="B57" s="146">
        <v>3.0345594462287089</v>
      </c>
      <c r="C57" s="144">
        <v>1.5172797231143545E-3</v>
      </c>
      <c r="D57" s="146">
        <v>3.0345594462287089</v>
      </c>
      <c r="E57" s="144">
        <v>1.5172797231143545E-3</v>
      </c>
      <c r="F57" s="146">
        <v>0.19357842852174789</v>
      </c>
      <c r="G57" s="39"/>
    </row>
    <row r="58" spans="1:7" s="145" customFormat="1" x14ac:dyDescent="0.35">
      <c r="A58" s="232" t="s">
        <v>1535</v>
      </c>
      <c r="B58" s="146">
        <v>0.84137254790919913</v>
      </c>
      <c r="C58" s="144">
        <v>4.2068627395459954E-4</v>
      </c>
      <c r="D58" s="146">
        <v>0.84137254790919913</v>
      </c>
      <c r="E58" s="144">
        <v>4.2068627395459954E-4</v>
      </c>
      <c r="F58" s="146">
        <v>2.7425436727162609E-2</v>
      </c>
      <c r="G58" s="39"/>
    </row>
    <row r="59" spans="1:7" s="145" customFormat="1" x14ac:dyDescent="0.35">
      <c r="A59" s="232" t="s">
        <v>1534</v>
      </c>
      <c r="B59" s="146">
        <v>2.1588907908448927</v>
      </c>
      <c r="C59" s="144">
        <v>1.0794453954224461E-3</v>
      </c>
      <c r="D59" s="146">
        <v>2.1588907908448927</v>
      </c>
      <c r="E59" s="144">
        <v>1.0794453954224461E-3</v>
      </c>
      <c r="F59" s="146">
        <v>0.16469026750873944</v>
      </c>
      <c r="G59" s="39"/>
    </row>
    <row r="60" spans="1:7" s="145" customFormat="1" x14ac:dyDescent="0.35">
      <c r="A60" s="232" t="s">
        <v>1533</v>
      </c>
      <c r="B60" s="146">
        <v>3.4296107474617234E-2</v>
      </c>
      <c r="C60" s="144">
        <v>1.7148053737308615E-5</v>
      </c>
      <c r="D60" s="146">
        <v>3.4296107474617234E-2</v>
      </c>
      <c r="E60" s="144">
        <v>1.7148053737308615E-5</v>
      </c>
      <c r="F60" s="146">
        <v>1.4627242858458525E-3</v>
      </c>
      <c r="G60" s="39"/>
    </row>
    <row r="61" spans="1:7" s="145" customFormat="1" x14ac:dyDescent="0.35">
      <c r="A61" s="391" t="s">
        <v>1532</v>
      </c>
      <c r="B61" s="383">
        <v>178.83073367560871</v>
      </c>
      <c r="C61" s="433">
        <v>8.941536683780435E-2</v>
      </c>
      <c r="D61" s="383">
        <v>178.83073367560871</v>
      </c>
      <c r="E61" s="433">
        <v>8.941536683780435E-2</v>
      </c>
      <c r="F61" s="383">
        <v>14.675102264853162</v>
      </c>
      <c r="G61" s="39"/>
    </row>
    <row r="62" spans="1:7" s="145" customFormat="1" ht="13.15" x14ac:dyDescent="0.4">
      <c r="A62" s="390" t="s">
        <v>1564</v>
      </c>
      <c r="B62" s="429" t="s">
        <v>1873</v>
      </c>
      <c r="C62" s="381" t="s">
        <v>1872</v>
      </c>
      <c r="D62" s="429" t="s">
        <v>1873</v>
      </c>
      <c r="E62" s="381" t="s">
        <v>1872</v>
      </c>
      <c r="F62" s="429" t="s">
        <v>2141</v>
      </c>
      <c r="G62" s="39"/>
    </row>
    <row r="63" spans="1:7" s="145" customFormat="1" x14ac:dyDescent="0.35">
      <c r="A63" s="232" t="s">
        <v>1525</v>
      </c>
      <c r="B63" s="146">
        <v>31.498878289070447</v>
      </c>
      <c r="C63" s="144">
        <v>1.5749439144535225E-2</v>
      </c>
      <c r="D63" s="146">
        <v>31.498878289070447</v>
      </c>
      <c r="E63" s="144">
        <v>1.5749439144535225E-2</v>
      </c>
      <c r="F63" s="146">
        <v>2.1328780133494769</v>
      </c>
      <c r="G63" s="39"/>
    </row>
    <row r="64" spans="1:7" s="145" customFormat="1" x14ac:dyDescent="0.35">
      <c r="A64" s="232" t="s">
        <v>1524</v>
      </c>
      <c r="B64" s="146">
        <v>114.03011924499862</v>
      </c>
      <c r="C64" s="144">
        <v>5.7015059622499309E-2</v>
      </c>
      <c r="D64" s="146">
        <v>114.03011924499862</v>
      </c>
      <c r="E64" s="144">
        <v>5.7015059622499309E-2</v>
      </c>
      <c r="F64" s="146">
        <v>8.3814207617841188</v>
      </c>
      <c r="G64" s="39"/>
    </row>
    <row r="65" spans="1:7" s="145" customFormat="1" x14ac:dyDescent="0.35">
      <c r="A65" s="232" t="s">
        <v>1563</v>
      </c>
      <c r="B65" s="146">
        <v>191.490790356784</v>
      </c>
      <c r="C65" s="144">
        <v>9.5745395178392007E-2</v>
      </c>
      <c r="D65" s="146">
        <v>191.490790356784</v>
      </c>
      <c r="E65" s="144">
        <v>9.5745395178392007E-2</v>
      </c>
      <c r="F65" s="146">
        <v>12.813033646328812</v>
      </c>
      <c r="G65" s="39"/>
    </row>
    <row r="66" spans="1:7" s="145" customFormat="1" x14ac:dyDescent="0.35">
      <c r="A66" s="232" t="s">
        <v>1522</v>
      </c>
      <c r="B66" s="146">
        <v>20.581178236741671</v>
      </c>
      <c r="C66" s="144">
        <v>1.0290589118370835E-2</v>
      </c>
      <c r="D66" s="146">
        <v>20.581178236741671</v>
      </c>
      <c r="E66" s="144">
        <v>1.0290589118370835E-2</v>
      </c>
      <c r="F66" s="146">
        <v>1.0113403341968783</v>
      </c>
      <c r="G66" s="39"/>
    </row>
    <row r="67" spans="1:7" s="145" customFormat="1" x14ac:dyDescent="0.35">
      <c r="A67" s="232" t="s">
        <v>1521</v>
      </c>
      <c r="B67" s="146">
        <v>12.08932997424186</v>
      </c>
      <c r="C67" s="144">
        <v>6.0446649871209301E-3</v>
      </c>
      <c r="D67" s="146">
        <v>12.08932997424186</v>
      </c>
      <c r="E67" s="144">
        <v>6.0446649871209301E-3</v>
      </c>
      <c r="F67" s="146">
        <v>0.73153507678634488</v>
      </c>
      <c r="G67" s="39"/>
    </row>
    <row r="68" spans="1:7" s="145" customFormat="1" x14ac:dyDescent="0.35">
      <c r="A68" s="232" t="s">
        <v>1520</v>
      </c>
      <c r="B68" s="146">
        <v>241.05435346629986</v>
      </c>
      <c r="C68" s="144">
        <v>0.12052717673314993</v>
      </c>
      <c r="D68" s="146">
        <v>241.05435346629986</v>
      </c>
      <c r="E68" s="144">
        <v>0.12052717673314993</v>
      </c>
      <c r="F68" s="146">
        <v>8.8425065583422935</v>
      </c>
      <c r="G68" s="39"/>
    </row>
    <row r="69" spans="1:7" s="145" customFormat="1" x14ac:dyDescent="0.35">
      <c r="A69" s="232" t="s">
        <v>1519</v>
      </c>
      <c r="B69" s="146">
        <v>1.4934405619699076</v>
      </c>
      <c r="C69" s="144">
        <v>7.4672028098495382E-4</v>
      </c>
      <c r="D69" s="146">
        <v>1.4934405619699076</v>
      </c>
      <c r="E69" s="144">
        <v>7.4672028098495382E-4</v>
      </c>
      <c r="F69" s="146">
        <v>0.10981689571847585</v>
      </c>
      <c r="G69" s="39"/>
    </row>
    <row r="70" spans="1:7" s="145" customFormat="1" x14ac:dyDescent="0.35">
      <c r="A70" s="232" t="s">
        <v>1518</v>
      </c>
      <c r="B70" s="146">
        <v>3.483932321868894</v>
      </c>
      <c r="C70" s="144">
        <v>1.7419661609344469E-3</v>
      </c>
      <c r="D70" s="146">
        <v>3.483932321868894</v>
      </c>
      <c r="E70" s="144">
        <v>1.7419661609344469E-3</v>
      </c>
      <c r="F70" s="146">
        <v>0.25575260553166673</v>
      </c>
      <c r="G70" s="39"/>
    </row>
    <row r="71" spans="1:7" s="145" customFormat="1" x14ac:dyDescent="0.35">
      <c r="A71" s="232" t="s">
        <v>1531</v>
      </c>
      <c r="B71" s="146">
        <v>549.17052273756167</v>
      </c>
      <c r="C71" s="144">
        <v>0.27458526136878081</v>
      </c>
      <c r="D71" s="146">
        <v>549.17052273756167</v>
      </c>
      <c r="E71" s="144">
        <v>0.27458526136878081</v>
      </c>
      <c r="F71" s="146">
        <v>37.002400711574261</v>
      </c>
      <c r="G71" s="39"/>
    </row>
    <row r="72" spans="1:7" s="145" customFormat="1" x14ac:dyDescent="0.35">
      <c r="A72" s="232" t="s">
        <v>1530</v>
      </c>
      <c r="B72" s="146">
        <v>4.9716053339507766</v>
      </c>
      <c r="C72" s="144">
        <v>2.4858026669753882E-3</v>
      </c>
      <c r="D72" s="146">
        <v>4.9716053339507766</v>
      </c>
      <c r="E72" s="144">
        <v>2.4858026669753882E-3</v>
      </c>
      <c r="F72" s="146">
        <v>0.34844192330792911</v>
      </c>
      <c r="G72" s="39"/>
    </row>
    <row r="73" spans="1:7" s="48" customFormat="1" x14ac:dyDescent="0.35">
      <c r="A73" s="49" t="s">
        <v>1529</v>
      </c>
      <c r="B73" s="155">
        <v>215122.93581782785</v>
      </c>
      <c r="C73" s="47">
        <v>107.56146790891393</v>
      </c>
      <c r="D73" s="155">
        <v>215122.93581782785</v>
      </c>
      <c r="E73" s="47">
        <v>107.56146790891393</v>
      </c>
      <c r="F73" s="155">
        <v>12632.078072295715</v>
      </c>
      <c r="G73" s="39"/>
    </row>
    <row r="74" spans="1:7" s="48" customFormat="1" x14ac:dyDescent="0.35">
      <c r="A74" s="49" t="s">
        <v>1528</v>
      </c>
      <c r="B74" s="155">
        <v>215400.29750921376</v>
      </c>
      <c r="C74" s="47">
        <v>107.70014875460689</v>
      </c>
      <c r="D74" s="155">
        <v>215400.29750921376</v>
      </c>
      <c r="E74" s="47">
        <v>107.70014875460689</v>
      </c>
      <c r="F74" s="155">
        <v>12651.896346158221</v>
      </c>
      <c r="G74" s="39"/>
    </row>
    <row r="75" spans="1:7" s="48" customFormat="1" x14ac:dyDescent="0.35">
      <c r="A75" s="45" t="s">
        <v>1527</v>
      </c>
      <c r="B75" s="152">
        <v>233192.88860483756</v>
      </c>
      <c r="C75" s="43">
        <v>116.59644430241879</v>
      </c>
      <c r="D75" s="152">
        <v>233192.88860483756</v>
      </c>
      <c r="E75" s="43">
        <v>116.59644430241879</v>
      </c>
      <c r="F75" s="152">
        <v>13854.30547718205</v>
      </c>
      <c r="G75" s="39"/>
    </row>
    <row r="76" spans="1:7" s="145" customFormat="1" ht="13.15" x14ac:dyDescent="0.4">
      <c r="A76" s="388" t="s">
        <v>1562</v>
      </c>
      <c r="B76" s="527" t="s">
        <v>1873</v>
      </c>
      <c r="C76" s="402" t="s">
        <v>1872</v>
      </c>
      <c r="D76" s="527" t="s">
        <v>1873</v>
      </c>
      <c r="E76" s="402" t="s">
        <v>1872</v>
      </c>
      <c r="F76" s="429" t="s">
        <v>2141</v>
      </c>
      <c r="G76" s="39"/>
    </row>
    <row r="77" spans="1:7" s="145" customFormat="1" x14ac:dyDescent="0.35">
      <c r="A77" s="232" t="s">
        <v>1525</v>
      </c>
      <c r="B77" s="146">
        <v>1.7919443111065474</v>
      </c>
      <c r="C77" s="144">
        <v>8.9597215555327369E-4</v>
      </c>
      <c r="D77" s="146">
        <v>1.7919443111065474</v>
      </c>
      <c r="E77" s="144">
        <v>8.9597215555327369E-4</v>
      </c>
      <c r="F77" s="146">
        <v>0.10992441244881977</v>
      </c>
      <c r="G77" s="39"/>
    </row>
    <row r="78" spans="1:7" s="145" customFormat="1" x14ac:dyDescent="0.35">
      <c r="A78" s="232" t="s">
        <v>1524</v>
      </c>
      <c r="B78" s="146">
        <v>11.44781060954292</v>
      </c>
      <c r="C78" s="144">
        <v>5.7239053047714603E-3</v>
      </c>
      <c r="D78" s="146">
        <v>11.44781060954292</v>
      </c>
      <c r="E78" s="144">
        <v>5.7239053047714603E-3</v>
      </c>
      <c r="F78" s="146">
        <v>0.62060793695515792</v>
      </c>
      <c r="G78" s="39"/>
    </row>
    <row r="79" spans="1:7" s="145" customFormat="1" x14ac:dyDescent="0.35">
      <c r="A79" s="232" t="s">
        <v>1523</v>
      </c>
      <c r="B79" s="146">
        <v>24.12656599082284</v>
      </c>
      <c r="C79" s="144">
        <v>1.206328299541142E-2</v>
      </c>
      <c r="D79" s="146">
        <v>24.12656599082284</v>
      </c>
      <c r="E79" s="144">
        <v>1.206328299541142E-2</v>
      </c>
      <c r="F79" s="146">
        <v>1.0806452192752118</v>
      </c>
      <c r="G79" s="39"/>
    </row>
    <row r="80" spans="1:7" s="145" customFormat="1" x14ac:dyDescent="0.35">
      <c r="A80" s="232" t="s">
        <v>1522</v>
      </c>
      <c r="B80" s="146">
        <v>2.3889394968147393</v>
      </c>
      <c r="C80" s="144">
        <v>1.1944697484073696E-3</v>
      </c>
      <c r="D80" s="146">
        <v>2.3889394968147393</v>
      </c>
      <c r="E80" s="144">
        <v>1.1944697484073696E-3</v>
      </c>
      <c r="F80" s="146">
        <v>7.8811024260970447E-2</v>
      </c>
      <c r="G80" s="39"/>
    </row>
    <row r="81" spans="1:7" s="145" customFormat="1" x14ac:dyDescent="0.35">
      <c r="A81" s="232" t="s">
        <v>1521</v>
      </c>
      <c r="B81" s="146">
        <v>1.7613888762236625</v>
      </c>
      <c r="C81" s="144">
        <v>8.8069443811183122E-4</v>
      </c>
      <c r="D81" s="146">
        <v>1.7613888762236625</v>
      </c>
      <c r="E81" s="144">
        <v>8.8069443811183122E-4</v>
      </c>
      <c r="F81" s="146">
        <v>5.8285018846370176E-2</v>
      </c>
      <c r="G81" s="39"/>
    </row>
    <row r="82" spans="1:7" s="145" customFormat="1" x14ac:dyDescent="0.35">
      <c r="A82" s="232" t="s">
        <v>1520</v>
      </c>
      <c r="B82" s="146">
        <v>79.794953157630474</v>
      </c>
      <c r="C82" s="144">
        <v>3.989747657881524E-2</v>
      </c>
      <c r="D82" s="146">
        <v>79.794953157630474</v>
      </c>
      <c r="E82" s="144">
        <v>3.989747657881524E-2</v>
      </c>
      <c r="F82" s="146">
        <v>2.6117903855374154</v>
      </c>
      <c r="G82" s="39"/>
    </row>
    <row r="83" spans="1:7" s="145" customFormat="1" x14ac:dyDescent="0.35">
      <c r="A83" s="232" t="s">
        <v>1519</v>
      </c>
      <c r="B83" s="146">
        <v>0.10747893304493857</v>
      </c>
      <c r="C83" s="144">
        <v>5.3739466522469285E-5</v>
      </c>
      <c r="D83" s="146">
        <v>0.10747893304493857</v>
      </c>
      <c r="E83" s="144">
        <v>5.3739466522469285E-5</v>
      </c>
      <c r="F83" s="146">
        <v>3.7088813012397049E-3</v>
      </c>
      <c r="G83" s="39"/>
    </row>
    <row r="84" spans="1:7" s="145" customFormat="1" x14ac:dyDescent="0.35">
      <c r="A84" s="231" t="s">
        <v>1518</v>
      </c>
      <c r="B84" s="143">
        <v>0.27295869284696689</v>
      </c>
      <c r="C84" s="141">
        <v>1.3647934642348344E-4</v>
      </c>
      <c r="D84" s="143">
        <v>0.27295869284696689</v>
      </c>
      <c r="E84" s="141">
        <v>1.3647934642348344E-4</v>
      </c>
      <c r="F84" s="143">
        <v>9.2098399752139296E-3</v>
      </c>
      <c r="G84" s="39"/>
    </row>
  </sheetData>
  <mergeCells count="5">
    <mergeCell ref="B9:C9"/>
    <mergeCell ref="D9:E9"/>
    <mergeCell ref="F9:G9"/>
    <mergeCell ref="B54:C54"/>
    <mergeCell ref="D54:E54"/>
  </mergeCells>
  <pageMargins left="0.75" right="0.75" top="1" bottom="1" header="0.5" footer="0.5"/>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S181"/>
  <sheetViews>
    <sheetView showGridLines="0" zoomScale="85" zoomScaleNormal="85" workbookViewId="0">
      <selection activeCell="G1" sqref="G1"/>
    </sheetView>
  </sheetViews>
  <sheetFormatPr defaultColWidth="9.1328125" defaultRowHeight="12.75" x14ac:dyDescent="0.35"/>
  <cols>
    <col min="1" max="1" width="39.46484375" style="39" customWidth="1"/>
    <col min="2" max="2" width="13.1328125" style="39" bestFit="1" customWidth="1"/>
    <col min="3" max="3" width="10.46484375" style="39" customWidth="1"/>
    <col min="4" max="4" width="11.46484375" style="39" customWidth="1"/>
    <col min="5" max="25" width="10.46484375" style="39" customWidth="1"/>
    <col min="26" max="16384" width="9.1328125" style="39"/>
  </cols>
  <sheetData>
    <row r="1" spans="1:10" ht="15" x14ac:dyDescent="0.4">
      <c r="A1" s="140" t="s">
        <v>1971</v>
      </c>
      <c r="G1" s="230" t="s">
        <v>1626</v>
      </c>
    </row>
    <row r="2" spans="1:10" ht="13.15" x14ac:dyDescent="0.4">
      <c r="A2" s="41"/>
    </row>
    <row r="3" spans="1:10" ht="13.9" x14ac:dyDescent="0.4">
      <c r="A3" s="72" t="s">
        <v>1775</v>
      </c>
    </row>
    <row r="4" spans="1:10" ht="13.15" x14ac:dyDescent="0.4">
      <c r="A4" s="41" t="s">
        <v>1970</v>
      </c>
    </row>
    <row r="5" spans="1:10" ht="28.5" customHeight="1" x14ac:dyDescent="0.35">
      <c r="A5" s="91"/>
      <c r="B5" s="103" t="s">
        <v>1318</v>
      </c>
      <c r="C5" s="103" t="s">
        <v>1403</v>
      </c>
      <c r="D5" s="103" t="s">
        <v>1316</v>
      </c>
      <c r="E5" s="103" t="s">
        <v>1402</v>
      </c>
      <c r="F5" s="103" t="s">
        <v>1314</v>
      </c>
      <c r="G5" s="103" t="s">
        <v>1401</v>
      </c>
      <c r="H5" s="103" t="s">
        <v>1400</v>
      </c>
      <c r="I5" s="103" t="s">
        <v>1311</v>
      </c>
      <c r="J5" s="86" t="s">
        <v>1310</v>
      </c>
    </row>
    <row r="6" spans="1:10" x14ac:dyDescent="0.35">
      <c r="A6" s="277" t="s">
        <v>1399</v>
      </c>
      <c r="B6" s="120">
        <v>1</v>
      </c>
      <c r="C6" s="120">
        <v>1</v>
      </c>
      <c r="D6" s="120">
        <v>1</v>
      </c>
      <c r="E6" s="120">
        <v>1</v>
      </c>
      <c r="F6" s="120">
        <v>1.02</v>
      </c>
      <c r="G6" s="120">
        <v>0</v>
      </c>
      <c r="H6" s="120">
        <v>0</v>
      </c>
      <c r="I6" s="120">
        <v>1.107</v>
      </c>
      <c r="J6" s="121">
        <v>1</v>
      </c>
    </row>
    <row r="7" spans="1:10" x14ac:dyDescent="0.35">
      <c r="A7" s="273" t="s">
        <v>1398</v>
      </c>
      <c r="B7" s="119">
        <v>0</v>
      </c>
      <c r="C7" s="119">
        <v>0</v>
      </c>
      <c r="D7" s="119">
        <v>0</v>
      </c>
      <c r="E7" s="119">
        <v>0</v>
      </c>
      <c r="F7" s="119">
        <v>0</v>
      </c>
      <c r="G7" s="119">
        <v>0.96799999999999997</v>
      </c>
      <c r="H7" s="119">
        <v>1</v>
      </c>
      <c r="I7" s="119">
        <v>1.107</v>
      </c>
      <c r="J7" s="466">
        <v>1</v>
      </c>
    </row>
    <row r="8" spans="1:10" x14ac:dyDescent="0.35">
      <c r="A8" s="120"/>
      <c r="B8" s="120"/>
      <c r="C8" s="120"/>
      <c r="D8" s="120"/>
      <c r="E8" s="120"/>
      <c r="F8" s="120"/>
      <c r="G8" s="120"/>
      <c r="H8" s="120"/>
      <c r="I8" s="120"/>
    </row>
    <row r="9" spans="1:10" ht="13.15" x14ac:dyDescent="0.4">
      <c r="A9" s="41" t="s">
        <v>1969</v>
      </c>
      <c r="B9" s="197"/>
    </row>
    <row r="10" spans="1:10" x14ac:dyDescent="0.35">
      <c r="A10" s="61"/>
      <c r="B10" s="60" t="s">
        <v>1347</v>
      </c>
    </row>
    <row r="11" spans="1:10" x14ac:dyDescent="0.35">
      <c r="A11" s="110" t="s">
        <v>112</v>
      </c>
      <c r="B11" s="465">
        <v>0</v>
      </c>
    </row>
    <row r="12" spans="1:10" x14ac:dyDescent="0.35">
      <c r="A12" s="110" t="s">
        <v>113</v>
      </c>
      <c r="B12" s="465">
        <v>0</v>
      </c>
    </row>
    <row r="13" spans="1:10" x14ac:dyDescent="0.35">
      <c r="A13" s="110" t="s">
        <v>114</v>
      </c>
      <c r="B13" s="465">
        <v>0.90080971659919029</v>
      </c>
    </row>
    <row r="14" spans="1:10" x14ac:dyDescent="0.35">
      <c r="A14" s="110" t="s">
        <v>273</v>
      </c>
      <c r="B14" s="465">
        <v>0</v>
      </c>
    </row>
    <row r="15" spans="1:10" x14ac:dyDescent="0.35">
      <c r="A15" s="110" t="s">
        <v>116</v>
      </c>
      <c r="B15" s="465">
        <v>0</v>
      </c>
    </row>
    <row r="16" spans="1:10" x14ac:dyDescent="0.35">
      <c r="A16" s="108" t="s">
        <v>292</v>
      </c>
      <c r="B16" s="464">
        <v>9.9190283400809709E-2</v>
      </c>
    </row>
    <row r="17" spans="1:2" x14ac:dyDescent="0.35">
      <c r="A17" s="55" t="s">
        <v>1968</v>
      </c>
      <c r="B17" s="463">
        <v>2790643.8718784591</v>
      </c>
    </row>
    <row r="18" spans="1:2" x14ac:dyDescent="0.35">
      <c r="A18" s="50" t="s">
        <v>1967</v>
      </c>
      <c r="B18" s="462">
        <v>2684341.4688642728</v>
      </c>
    </row>
    <row r="19" spans="1:2" x14ac:dyDescent="0.35">
      <c r="A19" s="50" t="s">
        <v>114</v>
      </c>
      <c r="B19" s="462">
        <v>2635640.6709843469</v>
      </c>
    </row>
    <row r="20" spans="1:2" x14ac:dyDescent="0.35">
      <c r="A20" s="50" t="s">
        <v>113</v>
      </c>
      <c r="B20" s="462">
        <v>8238.2922003948624</v>
      </c>
    </row>
    <row r="21" spans="1:2" x14ac:dyDescent="0.35">
      <c r="A21" s="50" t="s">
        <v>1966</v>
      </c>
      <c r="B21" s="462">
        <v>40462.505679530826</v>
      </c>
    </row>
    <row r="22" spans="1:2" x14ac:dyDescent="0.35">
      <c r="A22" s="50" t="s">
        <v>1532</v>
      </c>
      <c r="B22" s="462">
        <v>256.57927749765281</v>
      </c>
    </row>
    <row r="23" spans="1:2" x14ac:dyDescent="0.35">
      <c r="A23" s="50" t="s">
        <v>1965</v>
      </c>
      <c r="B23" s="430">
        <v>22.076929493052695</v>
      </c>
    </row>
    <row r="24" spans="1:2" x14ac:dyDescent="0.35">
      <c r="A24" s="50" t="s">
        <v>1964</v>
      </c>
      <c r="B24" s="430">
        <v>23.033601100186946</v>
      </c>
    </row>
    <row r="25" spans="1:2" x14ac:dyDescent="0.35">
      <c r="A25" s="50" t="s">
        <v>1963</v>
      </c>
      <c r="B25" s="430">
        <v>135.70011240106638</v>
      </c>
    </row>
    <row r="26" spans="1:2" x14ac:dyDescent="0.35">
      <c r="A26" s="50" t="s">
        <v>1962</v>
      </c>
      <c r="B26" s="430">
        <v>40.08193582575511</v>
      </c>
    </row>
    <row r="27" spans="1:2" x14ac:dyDescent="0.35">
      <c r="A27" s="50" t="s">
        <v>1961</v>
      </c>
      <c r="B27" s="430">
        <v>15.718021336752905</v>
      </c>
    </row>
    <row r="28" spans="1:2" x14ac:dyDescent="0.35">
      <c r="A28" s="50" t="s">
        <v>1960</v>
      </c>
      <c r="B28" s="430">
        <v>667.8611086763093</v>
      </c>
    </row>
    <row r="29" spans="1:2" x14ac:dyDescent="0.35">
      <c r="A29" s="50" t="s">
        <v>1959</v>
      </c>
      <c r="B29" s="430">
        <v>0.74520778019188305</v>
      </c>
    </row>
    <row r="30" spans="1:2" x14ac:dyDescent="0.35">
      <c r="A30" s="50" t="s">
        <v>1958</v>
      </c>
      <c r="B30" s="430">
        <v>1.6748917602438931</v>
      </c>
    </row>
    <row r="31" spans="1:2" x14ac:dyDescent="0.35">
      <c r="A31" s="50" t="s">
        <v>1957</v>
      </c>
      <c r="B31" s="430">
        <v>391.52712641805448</v>
      </c>
    </row>
    <row r="32" spans="1:2" x14ac:dyDescent="0.35">
      <c r="A32" s="50" t="s">
        <v>1956</v>
      </c>
      <c r="B32" s="430">
        <v>4.2446163558986063</v>
      </c>
    </row>
    <row r="33" spans="1:6" x14ac:dyDescent="0.35">
      <c r="A33" s="50" t="s">
        <v>1955</v>
      </c>
      <c r="B33" s="462">
        <v>267325.09036787058</v>
      </c>
    </row>
    <row r="34" spans="1:6" x14ac:dyDescent="0.35">
      <c r="A34" s="55" t="s">
        <v>1954</v>
      </c>
      <c r="B34" s="461">
        <v>1.0997514805620461</v>
      </c>
    </row>
    <row r="35" spans="1:6" x14ac:dyDescent="0.35">
      <c r="A35" s="50" t="s">
        <v>1953</v>
      </c>
      <c r="B35" s="430">
        <v>6.2387549061198353</v>
      </c>
    </row>
    <row r="36" spans="1:6" x14ac:dyDescent="0.35">
      <c r="A36" s="50" t="s">
        <v>1952</v>
      </c>
      <c r="B36" s="430">
        <v>40.063076083605381</v>
      </c>
    </row>
    <row r="37" spans="1:6" x14ac:dyDescent="0.35">
      <c r="A37" s="50" t="s">
        <v>1951</v>
      </c>
      <c r="B37" s="430">
        <v>6.5295301493000331</v>
      </c>
    </row>
    <row r="38" spans="1:6" x14ac:dyDescent="0.35">
      <c r="A38" s="50" t="s">
        <v>1950</v>
      </c>
      <c r="B38" s="430">
        <v>4.597529083141862</v>
      </c>
    </row>
    <row r="39" spans="1:6" x14ac:dyDescent="0.35">
      <c r="A39" s="50" t="s">
        <v>1949</v>
      </c>
      <c r="B39" s="460">
        <v>247.4859900943099</v>
      </c>
    </row>
    <row r="40" spans="1:6" x14ac:dyDescent="0.35">
      <c r="A40" s="50" t="s">
        <v>1948</v>
      </c>
      <c r="B40" s="460">
        <v>0.2013983639404702</v>
      </c>
    </row>
    <row r="41" spans="1:6" x14ac:dyDescent="0.35">
      <c r="A41" s="46" t="s">
        <v>1947</v>
      </c>
      <c r="B41" s="459">
        <v>0.41476626056704829</v>
      </c>
    </row>
    <row r="42" spans="1:6" x14ac:dyDescent="0.35">
      <c r="A42" s="216"/>
      <c r="B42" s="458"/>
    </row>
    <row r="43" spans="1:6" ht="13.9" x14ac:dyDescent="0.4">
      <c r="A43" s="72" t="s">
        <v>1734</v>
      </c>
    </row>
    <row r="44" spans="1:6" x14ac:dyDescent="0.35">
      <c r="A44" s="61" t="s">
        <v>1717</v>
      </c>
      <c r="B44" s="417">
        <v>1</v>
      </c>
    </row>
    <row r="45" spans="1:6" x14ac:dyDescent="0.35">
      <c r="A45" s="59" t="s">
        <v>1909</v>
      </c>
      <c r="B45" s="196">
        <v>1</v>
      </c>
    </row>
    <row r="46" spans="1:6" x14ac:dyDescent="0.35">
      <c r="A46" s="59" t="s">
        <v>1946</v>
      </c>
      <c r="B46" s="457">
        <v>0</v>
      </c>
    </row>
    <row r="47" spans="1:6" x14ac:dyDescent="0.35">
      <c r="A47" s="59" t="s">
        <v>1703</v>
      </c>
      <c r="B47" s="196">
        <v>1</v>
      </c>
    </row>
    <row r="48" spans="1:6" x14ac:dyDescent="0.35">
      <c r="A48" s="59" t="s">
        <v>1945</v>
      </c>
      <c r="B48" s="457">
        <v>1</v>
      </c>
      <c r="F48" s="297"/>
    </row>
    <row r="49" spans="1:19" x14ac:dyDescent="0.35">
      <c r="A49" s="59" t="s">
        <v>1944</v>
      </c>
      <c r="B49" s="457">
        <v>0</v>
      </c>
      <c r="F49" s="297"/>
    </row>
    <row r="50" spans="1:19" x14ac:dyDescent="0.35">
      <c r="A50" s="59" t="s">
        <v>1943</v>
      </c>
      <c r="B50" s="457">
        <v>0</v>
      </c>
      <c r="F50" s="297"/>
    </row>
    <row r="51" spans="1:19" x14ac:dyDescent="0.35">
      <c r="A51" s="57" t="s">
        <v>1942</v>
      </c>
      <c r="B51" s="323">
        <v>1</v>
      </c>
      <c r="F51" s="297"/>
    </row>
    <row r="52" spans="1:19" x14ac:dyDescent="0.35">
      <c r="F52" s="297"/>
    </row>
    <row r="53" spans="1:19" ht="13.9" x14ac:dyDescent="0.4">
      <c r="A53" s="72" t="s">
        <v>1701</v>
      </c>
    </row>
    <row r="54" spans="1:19" ht="36.75" customHeight="1" x14ac:dyDescent="0.4">
      <c r="A54" s="61"/>
      <c r="B54" s="2191" t="s">
        <v>1318</v>
      </c>
      <c r="C54" s="2192"/>
      <c r="D54" s="2196" t="s">
        <v>1317</v>
      </c>
      <c r="E54" s="2196"/>
      <c r="F54" s="2191" t="s">
        <v>1316</v>
      </c>
      <c r="G54" s="2192"/>
      <c r="H54" s="2196" t="s">
        <v>1315</v>
      </c>
      <c r="I54" s="2196"/>
      <c r="J54" s="2191" t="s">
        <v>1314</v>
      </c>
      <c r="K54" s="2192"/>
      <c r="L54" s="2196" t="s">
        <v>1941</v>
      </c>
      <c r="M54" s="2196"/>
      <c r="N54" s="2191" t="s">
        <v>1312</v>
      </c>
      <c r="O54" s="2192"/>
      <c r="P54" s="2191" t="s">
        <v>1311</v>
      </c>
      <c r="Q54" s="2192"/>
      <c r="R54" s="2196" t="s">
        <v>1310</v>
      </c>
      <c r="S54" s="2192"/>
    </row>
    <row r="55" spans="1:19" ht="68.099999999999994" customHeight="1" x14ac:dyDescent="0.35">
      <c r="A55" s="59"/>
      <c r="B55" s="248" t="s">
        <v>1674</v>
      </c>
      <c r="C55" s="246" t="s">
        <v>1673</v>
      </c>
      <c r="D55" s="247" t="s">
        <v>1674</v>
      </c>
      <c r="E55" s="247" t="s">
        <v>1673</v>
      </c>
      <c r="F55" s="248" t="s">
        <v>1674</v>
      </c>
      <c r="G55" s="246" t="s">
        <v>1673</v>
      </c>
      <c r="H55" s="247" t="s">
        <v>1674</v>
      </c>
      <c r="I55" s="247" t="s">
        <v>1673</v>
      </c>
      <c r="J55" s="248" t="s">
        <v>1674</v>
      </c>
      <c r="K55" s="246" t="s">
        <v>1673</v>
      </c>
      <c r="L55" s="247" t="s">
        <v>1674</v>
      </c>
      <c r="M55" s="247" t="s">
        <v>1673</v>
      </c>
      <c r="N55" s="248" t="s">
        <v>1674</v>
      </c>
      <c r="O55" s="246" t="s">
        <v>1673</v>
      </c>
      <c r="P55" s="248" t="s">
        <v>1674</v>
      </c>
      <c r="Q55" s="246" t="s">
        <v>1673</v>
      </c>
      <c r="R55" s="247" t="s">
        <v>1674</v>
      </c>
      <c r="S55" s="246" t="s">
        <v>1673</v>
      </c>
    </row>
    <row r="56" spans="1:19" ht="26.25" x14ac:dyDescent="0.4">
      <c r="A56" s="414" t="s">
        <v>1940</v>
      </c>
      <c r="B56" s="456">
        <v>0.57699999999999996</v>
      </c>
      <c r="C56" s="60"/>
      <c r="D56" s="455">
        <v>17.835000000000001</v>
      </c>
      <c r="E56" s="101"/>
      <c r="F56" s="456">
        <v>1.486</v>
      </c>
      <c r="G56" s="60"/>
      <c r="H56" s="455">
        <v>46.777999999999999</v>
      </c>
      <c r="I56" s="101"/>
      <c r="J56" s="456">
        <v>1.006</v>
      </c>
      <c r="K56" s="60"/>
      <c r="L56" s="455">
        <v>1.0920000000000001</v>
      </c>
      <c r="M56" s="101"/>
      <c r="N56" s="456">
        <v>4.46</v>
      </c>
      <c r="O56" s="60"/>
      <c r="P56" s="456">
        <v>7.569</v>
      </c>
      <c r="Q56" s="60"/>
      <c r="R56" s="455">
        <v>0.54</v>
      </c>
      <c r="S56" s="60"/>
    </row>
    <row r="57" spans="1:19" ht="13.15" x14ac:dyDescent="0.4">
      <c r="A57" s="454" t="s">
        <v>1671</v>
      </c>
      <c r="B57" s="412">
        <v>0</v>
      </c>
      <c r="C57" s="100"/>
      <c r="D57" s="194">
        <v>0</v>
      </c>
      <c r="E57" s="77"/>
      <c r="F57" s="412">
        <v>0</v>
      </c>
      <c r="G57" s="100"/>
      <c r="H57" s="194">
        <v>0</v>
      </c>
      <c r="I57" s="77"/>
      <c r="J57" s="412">
        <v>0</v>
      </c>
      <c r="K57" s="100"/>
      <c r="L57" s="194">
        <v>0</v>
      </c>
      <c r="M57" s="77"/>
      <c r="N57" s="412">
        <v>0</v>
      </c>
      <c r="O57" s="100"/>
      <c r="P57" s="412">
        <v>0</v>
      </c>
      <c r="Q57" s="100"/>
      <c r="R57" s="194">
        <v>0</v>
      </c>
      <c r="S57" s="100"/>
    </row>
    <row r="58" spans="1:19" ht="13.15" x14ac:dyDescent="0.4">
      <c r="A58" s="131" t="s">
        <v>1670</v>
      </c>
      <c r="B58" s="59"/>
      <c r="C58" s="99"/>
      <c r="F58" s="59"/>
      <c r="G58" s="99"/>
      <c r="J58" s="59"/>
      <c r="K58" s="99"/>
      <c r="N58" s="59"/>
      <c r="O58" s="99"/>
      <c r="P58" s="59"/>
      <c r="Q58" s="99"/>
      <c r="S58" s="99"/>
    </row>
    <row r="59" spans="1:19" x14ac:dyDescent="0.35">
      <c r="A59" s="59" t="s">
        <v>1668</v>
      </c>
      <c r="B59" s="59">
        <v>0.37</v>
      </c>
      <c r="C59" s="99"/>
      <c r="D59" s="39">
        <v>0.16500000000000001</v>
      </c>
      <c r="F59" s="59">
        <v>0.35099999999999998</v>
      </c>
      <c r="G59" s="99"/>
      <c r="H59" s="39">
        <v>0</v>
      </c>
      <c r="J59" s="59">
        <v>0.105</v>
      </c>
      <c r="K59" s="99"/>
      <c r="L59" s="39">
        <v>0</v>
      </c>
      <c r="N59" s="59">
        <v>0</v>
      </c>
      <c r="O59" s="99"/>
      <c r="P59" s="59">
        <v>0</v>
      </c>
      <c r="Q59" s="99"/>
      <c r="R59" s="39">
        <v>0</v>
      </c>
      <c r="S59" s="99"/>
    </row>
    <row r="60" spans="1:19" x14ac:dyDescent="0.35">
      <c r="A60" s="59" t="s">
        <v>1667</v>
      </c>
      <c r="B60" s="59">
        <v>0.60299999999999998</v>
      </c>
      <c r="C60" s="99" t="s">
        <v>1939</v>
      </c>
      <c r="D60" s="39">
        <v>0</v>
      </c>
      <c r="F60" s="59">
        <v>6.4000000000000001E-2</v>
      </c>
      <c r="G60" s="99"/>
      <c r="H60" s="39">
        <v>0</v>
      </c>
      <c r="J60" s="59">
        <v>2.9000000000000001E-2</v>
      </c>
      <c r="K60" s="99"/>
      <c r="L60" s="39">
        <v>0</v>
      </c>
      <c r="M60" s="39" t="s">
        <v>1939</v>
      </c>
      <c r="N60" s="59">
        <v>0</v>
      </c>
      <c r="O60" s="99"/>
      <c r="P60" s="59">
        <v>0</v>
      </c>
      <c r="Q60" s="99"/>
      <c r="R60" s="39">
        <v>0</v>
      </c>
      <c r="S60" s="99"/>
    </row>
    <row r="61" spans="1:19" x14ac:dyDescent="0.35">
      <c r="A61" s="59" t="s">
        <v>1666</v>
      </c>
      <c r="B61" s="59">
        <v>0</v>
      </c>
      <c r="C61" s="99"/>
      <c r="D61" s="39">
        <v>0</v>
      </c>
      <c r="F61" s="59">
        <v>0</v>
      </c>
      <c r="G61" s="99"/>
      <c r="H61" s="39">
        <v>0</v>
      </c>
      <c r="J61" s="59">
        <v>0</v>
      </c>
      <c r="K61" s="99"/>
      <c r="L61" s="39">
        <v>0</v>
      </c>
      <c r="N61" s="59">
        <v>0</v>
      </c>
      <c r="O61" s="99"/>
      <c r="P61" s="59">
        <v>0</v>
      </c>
      <c r="Q61" s="99"/>
      <c r="R61" s="39">
        <v>0</v>
      </c>
      <c r="S61" s="99"/>
    </row>
    <row r="62" spans="1:19" x14ac:dyDescent="0.35">
      <c r="A62" s="59" t="s">
        <v>1534</v>
      </c>
      <c r="B62" s="59">
        <v>0</v>
      </c>
      <c r="C62" s="99"/>
      <c r="D62" s="39">
        <v>0.72399999999999998</v>
      </c>
      <c r="F62" s="59">
        <v>0.47499999999999998</v>
      </c>
      <c r="G62" s="99"/>
      <c r="H62" s="39">
        <v>0</v>
      </c>
      <c r="J62" s="59">
        <v>0.65500000000000003</v>
      </c>
      <c r="K62" s="99"/>
      <c r="L62" s="39">
        <v>0.68400000000000005</v>
      </c>
      <c r="N62" s="59">
        <v>0.92300000000000004</v>
      </c>
      <c r="O62" s="99"/>
      <c r="P62" s="59">
        <v>1</v>
      </c>
      <c r="Q62" s="99"/>
      <c r="R62" s="39">
        <v>0</v>
      </c>
      <c r="S62" s="99"/>
    </row>
    <row r="63" spans="1:19" x14ac:dyDescent="0.35">
      <c r="A63" s="59" t="s">
        <v>1535</v>
      </c>
      <c r="B63" s="59">
        <v>0</v>
      </c>
      <c r="C63" s="99"/>
      <c r="D63" s="39">
        <v>7.4999999999999997E-2</v>
      </c>
      <c r="F63" s="59">
        <v>0</v>
      </c>
      <c r="G63" s="99"/>
      <c r="H63" s="39">
        <v>0</v>
      </c>
      <c r="J63" s="59">
        <v>0</v>
      </c>
      <c r="K63" s="99"/>
      <c r="L63" s="39">
        <v>0</v>
      </c>
      <c r="N63" s="59">
        <v>0</v>
      </c>
      <c r="O63" s="99"/>
      <c r="P63" s="59">
        <v>0</v>
      </c>
      <c r="Q63" s="99"/>
      <c r="R63" s="39">
        <v>0</v>
      </c>
      <c r="S63" s="99"/>
    </row>
    <row r="64" spans="1:19" x14ac:dyDescent="0.35">
      <c r="A64" s="59" t="s">
        <v>1936</v>
      </c>
      <c r="B64" s="59">
        <v>0</v>
      </c>
      <c r="C64" s="99"/>
      <c r="D64" s="39">
        <v>0</v>
      </c>
      <c r="F64" s="59">
        <v>0</v>
      </c>
      <c r="G64" s="99"/>
      <c r="H64" s="39">
        <v>0</v>
      </c>
      <c r="J64" s="59">
        <v>3.0000000000000001E-3</v>
      </c>
      <c r="K64" s="99"/>
      <c r="L64" s="39">
        <v>0</v>
      </c>
      <c r="N64" s="59">
        <v>0</v>
      </c>
      <c r="O64" s="99"/>
      <c r="P64" s="59">
        <v>0</v>
      </c>
      <c r="Q64" s="99"/>
      <c r="R64" s="39">
        <v>0</v>
      </c>
      <c r="S64" s="99"/>
    </row>
    <row r="65" spans="1:19" x14ac:dyDescent="0.35">
      <c r="A65" s="59" t="s">
        <v>1664</v>
      </c>
      <c r="B65" s="413">
        <v>2.7000000000000024E-2</v>
      </c>
      <c r="C65" s="99"/>
      <c r="D65" s="197">
        <v>3.6000000000000032E-2</v>
      </c>
      <c r="F65" s="413">
        <v>0.1100000000000001</v>
      </c>
      <c r="G65" s="99"/>
      <c r="H65" s="197">
        <v>1</v>
      </c>
      <c r="J65" s="413">
        <v>0.20799999999999996</v>
      </c>
      <c r="K65" s="99"/>
      <c r="L65" s="197">
        <v>0.31599999999999995</v>
      </c>
      <c r="N65" s="413">
        <v>7.6999999999999957E-2</v>
      </c>
      <c r="O65" s="99"/>
      <c r="P65" s="413">
        <v>0</v>
      </c>
      <c r="Q65" s="196"/>
      <c r="R65" s="197">
        <v>1</v>
      </c>
      <c r="S65" s="196"/>
    </row>
    <row r="66" spans="1:19" ht="26.25" x14ac:dyDescent="0.4">
      <c r="A66" s="414" t="s">
        <v>1938</v>
      </c>
      <c r="B66" s="61"/>
      <c r="C66" s="60"/>
      <c r="D66" s="101"/>
      <c r="E66" s="101"/>
      <c r="F66" s="61"/>
      <c r="G66" s="60"/>
      <c r="H66" s="101"/>
      <c r="I66" s="101"/>
      <c r="J66" s="61"/>
      <c r="K66" s="60"/>
      <c r="L66" s="101"/>
      <c r="M66" s="101"/>
      <c r="N66" s="61"/>
      <c r="O66" s="60"/>
      <c r="P66" s="61"/>
      <c r="Q66" s="60"/>
      <c r="R66" s="101"/>
      <c r="S66" s="60"/>
    </row>
    <row r="67" spans="1:19" x14ac:dyDescent="0.35">
      <c r="A67" s="59" t="s">
        <v>1668</v>
      </c>
      <c r="B67" s="452">
        <v>0.21348999999999999</v>
      </c>
      <c r="C67" s="99"/>
      <c r="D67" s="453">
        <v>2.9427750000000001</v>
      </c>
      <c r="F67" s="452">
        <v>0.52158599999999999</v>
      </c>
      <c r="G67" s="99"/>
      <c r="H67" s="453">
        <v>0</v>
      </c>
      <c r="J67" s="452">
        <v>0.10563</v>
      </c>
      <c r="K67" s="99"/>
      <c r="L67" s="453">
        <v>0</v>
      </c>
      <c r="N67" s="452">
        <v>0</v>
      </c>
      <c r="O67" s="99"/>
      <c r="P67" s="452">
        <v>0</v>
      </c>
      <c r="Q67" s="99"/>
      <c r="R67" s="453">
        <v>0</v>
      </c>
      <c r="S67" s="99"/>
    </row>
    <row r="68" spans="1:19" x14ac:dyDescent="0.35">
      <c r="A68" s="59" t="s">
        <v>1667</v>
      </c>
      <c r="B68" s="452">
        <v>0.34793099999999999</v>
      </c>
      <c r="C68" s="99"/>
      <c r="D68" s="453">
        <v>0</v>
      </c>
      <c r="F68" s="452">
        <v>9.5104000000000008E-2</v>
      </c>
      <c r="G68" s="99"/>
      <c r="H68" s="453">
        <v>0</v>
      </c>
      <c r="J68" s="452">
        <v>2.9174000000000002E-2</v>
      </c>
      <c r="K68" s="99"/>
      <c r="L68" s="453">
        <v>0</v>
      </c>
      <c r="N68" s="452">
        <v>0</v>
      </c>
      <c r="O68" s="99"/>
      <c r="P68" s="452">
        <v>0</v>
      </c>
      <c r="Q68" s="99"/>
      <c r="R68" s="453">
        <v>0</v>
      </c>
      <c r="S68" s="99"/>
    </row>
    <row r="69" spans="1:19" x14ac:dyDescent="0.35">
      <c r="A69" s="59" t="s">
        <v>1666</v>
      </c>
      <c r="B69" s="452">
        <v>0</v>
      </c>
      <c r="C69" s="99"/>
      <c r="D69" s="453">
        <v>0</v>
      </c>
      <c r="F69" s="452">
        <v>0</v>
      </c>
      <c r="G69" s="99"/>
      <c r="H69" s="453">
        <v>0</v>
      </c>
      <c r="J69" s="452">
        <v>0</v>
      </c>
      <c r="K69" s="99"/>
      <c r="L69" s="453">
        <v>0</v>
      </c>
      <c r="N69" s="452">
        <v>0</v>
      </c>
      <c r="O69" s="99"/>
      <c r="P69" s="452">
        <v>0</v>
      </c>
      <c r="Q69" s="99"/>
      <c r="R69" s="453">
        <v>0</v>
      </c>
      <c r="S69" s="99"/>
    </row>
    <row r="70" spans="1:19" x14ac:dyDescent="0.35">
      <c r="A70" s="59" t="s">
        <v>1937</v>
      </c>
      <c r="B70" s="452">
        <v>0</v>
      </c>
      <c r="C70" s="99"/>
      <c r="D70" s="453">
        <v>12.91254</v>
      </c>
      <c r="F70" s="452">
        <v>0.70584999999999998</v>
      </c>
      <c r="G70" s="99"/>
      <c r="H70" s="453">
        <v>0</v>
      </c>
      <c r="J70" s="452">
        <v>0.65893000000000002</v>
      </c>
      <c r="K70" s="99"/>
      <c r="L70" s="453">
        <v>0.74692800000000015</v>
      </c>
      <c r="N70" s="452">
        <v>4.1165799999999999</v>
      </c>
      <c r="O70" s="99"/>
      <c r="P70" s="452">
        <v>7.569</v>
      </c>
      <c r="Q70" s="99"/>
      <c r="R70" s="453">
        <v>0</v>
      </c>
      <c r="S70" s="99"/>
    </row>
    <row r="71" spans="1:19" x14ac:dyDescent="0.35">
      <c r="A71" s="59" t="s">
        <v>1535</v>
      </c>
      <c r="B71" s="452">
        <v>0</v>
      </c>
      <c r="C71" s="99"/>
      <c r="D71" s="453">
        <v>1.3376250000000001</v>
      </c>
      <c r="F71" s="452">
        <v>0</v>
      </c>
      <c r="G71" s="99"/>
      <c r="H71" s="453">
        <v>0</v>
      </c>
      <c r="J71" s="452">
        <v>0</v>
      </c>
      <c r="K71" s="99"/>
      <c r="L71" s="453">
        <v>0</v>
      </c>
      <c r="N71" s="452">
        <v>0</v>
      </c>
      <c r="O71" s="99"/>
      <c r="P71" s="452">
        <v>0</v>
      </c>
      <c r="Q71" s="99"/>
      <c r="R71" s="453">
        <v>0</v>
      </c>
      <c r="S71" s="99"/>
    </row>
    <row r="72" spans="1:19" x14ac:dyDescent="0.35">
      <c r="A72" s="59" t="s">
        <v>1936</v>
      </c>
      <c r="B72" s="452">
        <v>0</v>
      </c>
      <c r="C72" s="99"/>
      <c r="D72" s="453">
        <v>0</v>
      </c>
      <c r="F72" s="452">
        <v>0</v>
      </c>
      <c r="G72" s="99"/>
      <c r="H72" s="453">
        <v>0</v>
      </c>
      <c r="J72" s="452">
        <v>3.0180000000000003E-3</v>
      </c>
      <c r="K72" s="99"/>
      <c r="L72" s="453">
        <v>0</v>
      </c>
      <c r="N72" s="452">
        <v>0</v>
      </c>
      <c r="O72" s="99"/>
      <c r="P72" s="452">
        <v>0</v>
      </c>
      <c r="Q72" s="99"/>
      <c r="R72" s="453">
        <v>0</v>
      </c>
      <c r="S72" s="99"/>
    </row>
    <row r="73" spans="1:19" x14ac:dyDescent="0.35">
      <c r="A73" s="59" t="s">
        <v>1664</v>
      </c>
      <c r="B73" s="452">
        <v>1.5579000000000013E-2</v>
      </c>
      <c r="C73" s="99"/>
      <c r="D73" s="453">
        <v>0.64206000000000063</v>
      </c>
      <c r="F73" s="452">
        <v>0.16346000000000013</v>
      </c>
      <c r="G73" s="99"/>
      <c r="H73" s="453">
        <v>46.777999999999999</v>
      </c>
      <c r="J73" s="452">
        <v>0.20924799999999996</v>
      </c>
      <c r="K73" s="99"/>
      <c r="L73" s="453">
        <v>0.34507199999999999</v>
      </c>
      <c r="N73" s="452">
        <v>0.34341999999999978</v>
      </c>
      <c r="O73" s="99"/>
      <c r="P73" s="452">
        <v>0</v>
      </c>
      <c r="Q73" s="99"/>
      <c r="R73" s="453">
        <v>0.54</v>
      </c>
      <c r="S73" s="99"/>
    </row>
    <row r="74" spans="1:19" x14ac:dyDescent="0.35">
      <c r="A74" s="59" t="s">
        <v>1935</v>
      </c>
      <c r="B74" s="452"/>
      <c r="C74" s="99"/>
      <c r="D74" s="39">
        <v>0.30599999999999999</v>
      </c>
      <c r="F74" s="59"/>
      <c r="G74" s="99"/>
      <c r="J74" s="59"/>
      <c r="K74" s="99"/>
      <c r="N74" s="59">
        <v>3.836E-4</v>
      </c>
      <c r="O74" s="99"/>
      <c r="P74" s="59"/>
      <c r="Q74" s="99"/>
      <c r="S74" s="99"/>
    </row>
    <row r="75" spans="1:19" x14ac:dyDescent="0.35">
      <c r="A75" s="59" t="s">
        <v>1934</v>
      </c>
      <c r="B75" s="452"/>
      <c r="C75" s="99"/>
      <c r="D75" s="39">
        <v>7.8E-2</v>
      </c>
      <c r="F75" s="59"/>
      <c r="G75" s="99"/>
      <c r="J75" s="59"/>
      <c r="K75" s="99"/>
      <c r="L75" s="39">
        <v>8.9599999999999999E-4</v>
      </c>
      <c r="N75" s="59">
        <v>3.9871999999999998E-3</v>
      </c>
      <c r="O75" s="99"/>
      <c r="P75" s="59"/>
      <c r="Q75" s="99"/>
      <c r="S75" s="99"/>
    </row>
    <row r="76" spans="1:19" x14ac:dyDescent="0.35">
      <c r="A76" s="59" t="s">
        <v>1933</v>
      </c>
      <c r="B76" s="59"/>
      <c r="C76" s="99"/>
      <c r="F76" s="59">
        <v>0.28599999999999998</v>
      </c>
      <c r="G76" s="99"/>
      <c r="J76" s="59"/>
      <c r="K76" s="99"/>
      <c r="N76" s="59"/>
      <c r="O76" s="99"/>
      <c r="P76" s="59"/>
      <c r="Q76" s="99"/>
      <c r="S76" s="99"/>
    </row>
    <row r="77" spans="1:19" x14ac:dyDescent="0.35">
      <c r="A77" s="59" t="s">
        <v>1932</v>
      </c>
      <c r="B77" s="451"/>
      <c r="C77" s="99"/>
      <c r="F77" s="59">
        <v>6.3E-2</v>
      </c>
      <c r="G77" s="99"/>
      <c r="H77" s="39">
        <v>6.0000000000000001E-3</v>
      </c>
      <c r="J77" s="59"/>
      <c r="K77" s="99"/>
      <c r="N77" s="59"/>
      <c r="O77" s="99"/>
      <c r="P77" s="59"/>
      <c r="Q77" s="99"/>
      <c r="S77" s="99"/>
    </row>
    <row r="78" spans="1:19" x14ac:dyDescent="0.35">
      <c r="A78" s="59" t="s">
        <v>1931</v>
      </c>
      <c r="B78" s="451"/>
      <c r="C78" s="99"/>
      <c r="F78" s="59">
        <v>3.0000000000000001E-3</v>
      </c>
      <c r="G78" s="99"/>
      <c r="H78" s="39">
        <v>4.0000000000000001E-3</v>
      </c>
      <c r="J78" s="59"/>
      <c r="K78" s="99"/>
      <c r="N78" s="59">
        <v>9.1299999999999997E-5</v>
      </c>
      <c r="O78" s="99"/>
      <c r="P78" s="59"/>
      <c r="Q78" s="99"/>
      <c r="S78" s="99"/>
    </row>
    <row r="79" spans="1:19" x14ac:dyDescent="0.35">
      <c r="A79" s="59" t="s">
        <v>1930</v>
      </c>
      <c r="B79" s="59"/>
      <c r="C79" s="99"/>
      <c r="F79" s="59"/>
      <c r="G79" s="99"/>
      <c r="J79" s="59"/>
      <c r="K79" s="99"/>
      <c r="N79" s="59">
        <v>7.9923300000000003E-2</v>
      </c>
      <c r="O79" s="99"/>
      <c r="P79" s="59"/>
      <c r="Q79" s="99"/>
      <c r="S79" s="99"/>
    </row>
    <row r="80" spans="1:19" x14ac:dyDescent="0.35">
      <c r="A80" s="61" t="s">
        <v>1537</v>
      </c>
      <c r="B80" s="237">
        <v>0.69578218556264471</v>
      </c>
      <c r="C80" s="156"/>
      <c r="D80" s="157">
        <v>24.90561337275226</v>
      </c>
      <c r="E80" s="157"/>
      <c r="F80" s="237">
        <v>12.78947536426803</v>
      </c>
      <c r="G80" s="156"/>
      <c r="H80" s="157">
        <v>130.81082625268311</v>
      </c>
      <c r="I80" s="157"/>
      <c r="J80" s="237">
        <v>1.3197239743574714</v>
      </c>
      <c r="K80" s="156"/>
      <c r="L80" s="157">
        <v>1.5422071152040491</v>
      </c>
      <c r="M80" s="157"/>
      <c r="N80" s="237">
        <v>19.172253235422783</v>
      </c>
      <c r="O80" s="156"/>
      <c r="P80" s="237">
        <v>8.3417603654635961</v>
      </c>
      <c r="Q80" s="156"/>
      <c r="R80" s="157">
        <v>1.1191778286585157</v>
      </c>
      <c r="S80" s="156"/>
    </row>
    <row r="81" spans="1:19" x14ac:dyDescent="0.35">
      <c r="A81" s="59" t="s">
        <v>1536</v>
      </c>
      <c r="B81" s="232">
        <v>0.6863782306550007</v>
      </c>
      <c r="C81" s="144"/>
      <c r="D81" s="145">
        <v>24.191540149571509</v>
      </c>
      <c r="E81" s="145"/>
      <c r="F81" s="232">
        <v>12.66658646095415</v>
      </c>
      <c r="G81" s="144"/>
      <c r="H81" s="145">
        <v>125.83152553941042</v>
      </c>
      <c r="I81" s="145"/>
      <c r="J81" s="232">
        <v>1.2353469476313939</v>
      </c>
      <c r="K81" s="144"/>
      <c r="L81" s="145">
        <v>1.4044342406087105</v>
      </c>
      <c r="M81" s="145"/>
      <c r="N81" s="232">
        <v>18.550174395174949</v>
      </c>
      <c r="O81" s="144"/>
      <c r="P81" s="232">
        <v>8.3364156788831707</v>
      </c>
      <c r="Q81" s="144"/>
      <c r="R81" s="145">
        <v>0.90451748004182386</v>
      </c>
      <c r="S81" s="144"/>
    </row>
    <row r="82" spans="1:19" x14ac:dyDescent="0.35">
      <c r="A82" s="59" t="s">
        <v>1535</v>
      </c>
      <c r="B82" s="232">
        <v>2.2502787392071861E-2</v>
      </c>
      <c r="C82" s="144"/>
      <c r="D82" s="145">
        <v>3.4131832751350699</v>
      </c>
      <c r="E82" s="145"/>
      <c r="F82" s="232">
        <v>2.13827879072196</v>
      </c>
      <c r="G82" s="144"/>
      <c r="H82" s="145">
        <v>123.53479105468408</v>
      </c>
      <c r="I82" s="145"/>
      <c r="J82" s="232">
        <v>0.20369475413410845</v>
      </c>
      <c r="K82" s="144"/>
      <c r="L82" s="145">
        <v>0.33571516825618758</v>
      </c>
      <c r="M82" s="145"/>
      <c r="N82" s="232">
        <v>10.895434009365276</v>
      </c>
      <c r="O82" s="144"/>
      <c r="P82" s="232">
        <v>1.2895269183502679E-2</v>
      </c>
      <c r="Q82" s="144"/>
      <c r="R82" s="145">
        <v>0.51834011715940109</v>
      </c>
      <c r="S82" s="144"/>
    </row>
    <row r="83" spans="1:19" x14ac:dyDescent="0.35">
      <c r="A83" s="59" t="s">
        <v>1534</v>
      </c>
      <c r="B83" s="232">
        <v>7.4613856082037633E-2</v>
      </c>
      <c r="C83" s="144"/>
      <c r="D83" s="145">
        <v>17.430183470668545</v>
      </c>
      <c r="E83" s="145"/>
      <c r="F83" s="232">
        <v>1.7029057887189509</v>
      </c>
      <c r="G83" s="144"/>
      <c r="H83" s="145">
        <v>0.40246425785982165</v>
      </c>
      <c r="I83" s="145"/>
      <c r="J83" s="232">
        <v>0.8800979234403381</v>
      </c>
      <c r="K83" s="144"/>
      <c r="L83" s="145">
        <v>1.054230760125509</v>
      </c>
      <c r="M83" s="145"/>
      <c r="N83" s="232">
        <v>6.4187692119035251</v>
      </c>
      <c r="O83" s="144"/>
      <c r="P83" s="232">
        <v>8.2927993623321452</v>
      </c>
      <c r="Q83" s="144"/>
      <c r="R83" s="145">
        <v>0.36856356347211322</v>
      </c>
      <c r="S83" s="144"/>
    </row>
    <row r="84" spans="1:19" x14ac:dyDescent="0.35">
      <c r="A84" s="57" t="s">
        <v>1533</v>
      </c>
      <c r="B84" s="231">
        <v>0.58926158718089117</v>
      </c>
      <c r="C84" s="141"/>
      <c r="D84" s="142">
        <v>3.3481734037678947</v>
      </c>
      <c r="E84" s="142"/>
      <c r="F84" s="231">
        <v>8.8254018815132387</v>
      </c>
      <c r="G84" s="141"/>
      <c r="H84" s="142">
        <v>1.8942702268665217</v>
      </c>
      <c r="I84" s="142"/>
      <c r="J84" s="231">
        <v>0.15155427005694724</v>
      </c>
      <c r="K84" s="141"/>
      <c r="L84" s="142">
        <v>1.4488312227013845E-2</v>
      </c>
      <c r="M84" s="142"/>
      <c r="N84" s="231">
        <v>1.2359711739061479</v>
      </c>
      <c r="O84" s="141"/>
      <c r="P84" s="231">
        <v>3.0721047367522281E-2</v>
      </c>
      <c r="Q84" s="141"/>
      <c r="R84" s="142">
        <v>1.7613799410309543E-2</v>
      </c>
      <c r="S84" s="141"/>
    </row>
    <row r="85" spans="1:19" x14ac:dyDescent="0.35">
      <c r="A85" s="91" t="s">
        <v>1532</v>
      </c>
      <c r="B85" s="290">
        <v>15.54187122742867</v>
      </c>
      <c r="C85" s="289">
        <v>1486</v>
      </c>
      <c r="D85" s="291">
        <v>3757.1161600328728</v>
      </c>
      <c r="E85" s="291">
        <v>824</v>
      </c>
      <c r="F85" s="290">
        <v>236.89752140180491</v>
      </c>
      <c r="G85" s="289">
        <v>11.3</v>
      </c>
      <c r="H85" s="291">
        <v>12020.775945096015</v>
      </c>
      <c r="I85" s="291">
        <v>57.5</v>
      </c>
      <c r="J85" s="290">
        <v>46.750446579834552</v>
      </c>
      <c r="K85" s="289">
        <v>55.1</v>
      </c>
      <c r="L85" s="291">
        <v>105.57597578023987</v>
      </c>
      <c r="M85" s="291">
        <v>0.105</v>
      </c>
      <c r="N85" s="290">
        <v>1744.6140135243138</v>
      </c>
      <c r="O85" s="289">
        <v>73.099999999999994</v>
      </c>
      <c r="P85" s="290">
        <v>24.276897287381267</v>
      </c>
      <c r="Q85" s="289"/>
      <c r="R85" s="291">
        <v>107.66448634965541</v>
      </c>
      <c r="S85" s="289"/>
    </row>
    <row r="86" spans="1:19" ht="13.15" x14ac:dyDescent="0.4">
      <c r="A86" s="128" t="s">
        <v>1929</v>
      </c>
      <c r="B86" s="450"/>
      <c r="C86" s="99"/>
      <c r="D86" s="403"/>
      <c r="F86" s="450"/>
      <c r="G86" s="99"/>
      <c r="H86" s="403"/>
      <c r="J86" s="450"/>
      <c r="K86" s="99"/>
      <c r="L86" s="403"/>
      <c r="M86" s="403"/>
      <c r="N86" s="450"/>
      <c r="O86" s="144"/>
      <c r="P86" s="450"/>
      <c r="Q86" s="402"/>
      <c r="R86" s="403"/>
      <c r="S86" s="402"/>
    </row>
    <row r="87" spans="1:19" x14ac:dyDescent="0.35">
      <c r="A87" s="59" t="s">
        <v>1525</v>
      </c>
      <c r="B87" s="232">
        <v>17.39555116112922</v>
      </c>
      <c r="C87" s="99"/>
      <c r="D87" s="145">
        <v>252.31020925280336</v>
      </c>
      <c r="E87" s="145"/>
      <c r="F87" s="232">
        <v>240.76707186293075</v>
      </c>
      <c r="G87" s="99"/>
      <c r="H87" s="145">
        <v>1060.6748017796831</v>
      </c>
      <c r="J87" s="232">
        <v>12.676921755513046</v>
      </c>
      <c r="K87" s="99"/>
      <c r="L87" s="145">
        <v>14.883836709293696</v>
      </c>
      <c r="M87" s="145"/>
      <c r="N87" s="232">
        <v>187.89892589866798</v>
      </c>
      <c r="O87" s="144">
        <v>69.5541840445877</v>
      </c>
      <c r="P87" s="232">
        <v>97.349697941479405</v>
      </c>
      <c r="Q87" s="144"/>
      <c r="R87" s="145">
        <v>8.1297741741544964</v>
      </c>
      <c r="S87" s="144"/>
    </row>
    <row r="88" spans="1:19" x14ac:dyDescent="0.35">
      <c r="A88" s="59" t="s">
        <v>1524</v>
      </c>
      <c r="B88" s="232">
        <v>71.537633242355597</v>
      </c>
      <c r="C88" s="99"/>
      <c r="D88" s="145">
        <v>1082.9097124169582</v>
      </c>
      <c r="E88" s="145"/>
      <c r="F88" s="232">
        <v>334.13503528751454</v>
      </c>
      <c r="G88" s="144"/>
      <c r="H88" s="145">
        <v>1166.2641525591423</v>
      </c>
      <c r="I88" s="145"/>
      <c r="J88" s="232">
        <v>69.222621982845311</v>
      </c>
      <c r="K88" s="144"/>
      <c r="L88" s="145">
        <v>55.379423401128193</v>
      </c>
      <c r="M88" s="145"/>
      <c r="N88" s="232">
        <v>463.36239194926998</v>
      </c>
      <c r="O88" s="144"/>
      <c r="P88" s="232">
        <v>410.22689932569284</v>
      </c>
      <c r="Q88" s="144"/>
      <c r="R88" s="145">
        <v>22.701840795959637</v>
      </c>
      <c r="S88" s="144"/>
    </row>
    <row r="89" spans="1:19" x14ac:dyDescent="0.35">
      <c r="A89" s="59" t="s">
        <v>1523</v>
      </c>
      <c r="B89" s="232">
        <v>203.31158579939336</v>
      </c>
      <c r="C89" s="144"/>
      <c r="D89" s="145">
        <v>2012.692049663699</v>
      </c>
      <c r="E89" s="145">
        <v>19.7257467877353</v>
      </c>
      <c r="F89" s="232">
        <v>631.83819869260253</v>
      </c>
      <c r="G89" s="144">
        <v>120.63789155888099</v>
      </c>
      <c r="H89" s="145">
        <v>6362.6797515485114</v>
      </c>
      <c r="I89" s="145">
        <v>235.87200000000001</v>
      </c>
      <c r="J89" s="232">
        <v>149.47849883499558</v>
      </c>
      <c r="K89" s="144">
        <v>26.6437206463393</v>
      </c>
      <c r="L89" s="145">
        <v>90.01995704909163</v>
      </c>
      <c r="M89" s="145"/>
      <c r="N89" s="232">
        <v>1144.7355770235281</v>
      </c>
      <c r="O89" s="144">
        <v>42.750584953933597</v>
      </c>
      <c r="P89" s="232">
        <v>578.38789776551323</v>
      </c>
      <c r="Q89" s="144"/>
      <c r="R89" s="145">
        <v>50.986429198938531</v>
      </c>
      <c r="S89" s="144"/>
    </row>
    <row r="90" spans="1:19" x14ac:dyDescent="0.35">
      <c r="A90" s="59" t="s">
        <v>1522</v>
      </c>
      <c r="B90" s="232">
        <v>15.454046779799508</v>
      </c>
      <c r="C90" s="144">
        <v>852.21807889424099</v>
      </c>
      <c r="D90" s="145">
        <v>227.63766349879936</v>
      </c>
      <c r="E90" s="145">
        <v>790.78538038236002</v>
      </c>
      <c r="F90" s="232">
        <v>133.64409581811108</v>
      </c>
      <c r="G90" s="144">
        <v>72.040998192995104</v>
      </c>
      <c r="H90" s="145">
        <v>1889.0590111724043</v>
      </c>
      <c r="I90" s="145">
        <v>1759.9680000000001</v>
      </c>
      <c r="J90" s="232">
        <v>11.807936487577422</v>
      </c>
      <c r="K90" s="144">
        <v>27.5105641596057</v>
      </c>
      <c r="L90" s="145">
        <v>8.9748632111711739</v>
      </c>
      <c r="M90" s="145"/>
      <c r="N90" s="232">
        <v>494.08243641273259</v>
      </c>
      <c r="O90" s="144">
        <v>242.20348557652301</v>
      </c>
      <c r="P90" s="232">
        <v>30.131554589980677</v>
      </c>
      <c r="Q90" s="144"/>
      <c r="R90" s="145">
        <v>9.2086631009111368</v>
      </c>
      <c r="S90" s="144"/>
    </row>
    <row r="91" spans="1:19" x14ac:dyDescent="0.35">
      <c r="A91" s="59" t="s">
        <v>1521</v>
      </c>
      <c r="B91" s="232">
        <v>10.814181555146488</v>
      </c>
      <c r="C91" s="144">
        <v>429.87896532000002</v>
      </c>
      <c r="D91" s="145">
        <v>137.87320534867823</v>
      </c>
      <c r="E91" s="145">
        <v>365.75929967151899</v>
      </c>
      <c r="F91" s="232">
        <v>69.887391684019406</v>
      </c>
      <c r="G91" s="144">
        <v>35.564012085509098</v>
      </c>
      <c r="H91" s="145">
        <v>741.70873912577792</v>
      </c>
      <c r="I91" s="145">
        <v>879.98400000000004</v>
      </c>
      <c r="J91" s="232">
        <v>7.6713793820201523</v>
      </c>
      <c r="K91" s="144">
        <v>12.752846743325099</v>
      </c>
      <c r="L91" s="145">
        <v>5.584263416255288</v>
      </c>
      <c r="M91" s="145"/>
      <c r="N91" s="232">
        <v>238.61814666496136</v>
      </c>
      <c r="O91" s="144">
        <v>113.880045576523</v>
      </c>
      <c r="P91" s="232">
        <v>29.738303230726128</v>
      </c>
      <c r="Q91" s="144"/>
      <c r="R91" s="145">
        <v>4.0077589473157325</v>
      </c>
      <c r="S91" s="144"/>
    </row>
    <row r="92" spans="1:19" x14ac:dyDescent="0.35">
      <c r="A92" s="59" t="s">
        <v>1520</v>
      </c>
      <c r="B92" s="232">
        <v>158.3024913329138</v>
      </c>
      <c r="C92" s="144"/>
      <c r="D92" s="145">
        <v>3536.3623351422198</v>
      </c>
      <c r="E92" s="145">
        <v>1465.61586624962</v>
      </c>
      <c r="F92" s="232">
        <v>783.36685969650216</v>
      </c>
      <c r="G92" s="144">
        <v>829.74927334021504</v>
      </c>
      <c r="H92" s="145">
        <v>31300.643528551765</v>
      </c>
      <c r="I92" s="145">
        <v>13862.016</v>
      </c>
      <c r="J92" s="232">
        <v>135.70527237498848</v>
      </c>
      <c r="K92" s="144">
        <v>27.423201466832602</v>
      </c>
      <c r="L92" s="145">
        <v>97.518516381246926</v>
      </c>
      <c r="M92" s="145"/>
      <c r="N92" s="232">
        <v>4386.0089808456032</v>
      </c>
      <c r="O92" s="144">
        <v>20.458070685852899</v>
      </c>
      <c r="P92" s="232">
        <v>89.960311416225949</v>
      </c>
      <c r="Q92" s="144"/>
      <c r="R92" s="145">
        <v>138.46355384705083</v>
      </c>
      <c r="S92" s="144"/>
    </row>
    <row r="93" spans="1:19" x14ac:dyDescent="0.35">
      <c r="A93" s="59" t="s">
        <v>1519</v>
      </c>
      <c r="B93" s="232">
        <v>5.2462422392490584</v>
      </c>
      <c r="C93" s="144"/>
      <c r="D93" s="145">
        <v>16.347726164904138</v>
      </c>
      <c r="E93" s="145"/>
      <c r="F93" s="232">
        <v>7.7528540019330743</v>
      </c>
      <c r="G93" s="144"/>
      <c r="H93" s="145">
        <v>34.918262097065956</v>
      </c>
      <c r="I93" s="145"/>
      <c r="J93" s="232">
        <v>2.0137224005540699</v>
      </c>
      <c r="K93" s="144"/>
      <c r="L93" s="145">
        <v>0.72926684084866666</v>
      </c>
      <c r="M93" s="145"/>
      <c r="N93" s="232">
        <v>8.5562432923424545</v>
      </c>
      <c r="O93" s="144"/>
      <c r="P93" s="232">
        <v>5.3767537426761569</v>
      </c>
      <c r="Q93" s="144"/>
      <c r="R93" s="145">
        <v>0.29685163759722943</v>
      </c>
      <c r="S93" s="144"/>
    </row>
    <row r="94" spans="1:19" x14ac:dyDescent="0.35">
      <c r="A94" s="59" t="s">
        <v>1518</v>
      </c>
      <c r="B94" s="232">
        <v>1.7903048967636037</v>
      </c>
      <c r="C94" s="144"/>
      <c r="D94" s="145">
        <v>32.065684816412066</v>
      </c>
      <c r="E94" s="145"/>
      <c r="F94" s="232">
        <v>7.2567181536344201</v>
      </c>
      <c r="G94" s="144"/>
      <c r="H94" s="145">
        <v>78.489463447773545</v>
      </c>
      <c r="I94" s="145"/>
      <c r="J94" s="232">
        <v>1.7981411371324645</v>
      </c>
      <c r="K94" s="144"/>
      <c r="L94" s="145">
        <v>1.6936036602888893</v>
      </c>
      <c r="M94" s="145"/>
      <c r="N94" s="232">
        <v>17.208897701356911</v>
      </c>
      <c r="O94" s="144"/>
      <c r="P94" s="232">
        <v>12.505291418628374</v>
      </c>
      <c r="Q94" s="144"/>
      <c r="R94" s="145">
        <v>0.69689332857486319</v>
      </c>
      <c r="S94" s="144"/>
    </row>
    <row r="95" spans="1:19" x14ac:dyDescent="0.35">
      <c r="A95" s="59" t="s">
        <v>1531</v>
      </c>
      <c r="B95" s="232">
        <v>67.575560403884509</v>
      </c>
      <c r="C95" s="144"/>
      <c r="D95" s="145">
        <v>4281.1373311172356</v>
      </c>
      <c r="E95" s="145"/>
      <c r="F95" s="232">
        <v>1351.619582454332</v>
      </c>
      <c r="G95" s="144"/>
      <c r="H95" s="145">
        <v>18352.770534764655</v>
      </c>
      <c r="I95" s="145"/>
      <c r="J95" s="232">
        <v>217.38882852714548</v>
      </c>
      <c r="K95" s="144"/>
      <c r="L95" s="145">
        <v>258.22813946248056</v>
      </c>
      <c r="M95" s="145"/>
      <c r="N95" s="232">
        <v>2987.5593811774434</v>
      </c>
      <c r="O95" s="144">
        <v>0.35380800000000001</v>
      </c>
      <c r="P95" s="232">
        <v>1681.1852939874759</v>
      </c>
      <c r="Q95" s="144"/>
      <c r="R95" s="145">
        <v>143.60980232542693</v>
      </c>
      <c r="S95" s="144"/>
    </row>
    <row r="96" spans="1:19" x14ac:dyDescent="0.35">
      <c r="A96" s="59" t="s">
        <v>1530</v>
      </c>
      <c r="B96" s="232">
        <v>1.2269494524225155</v>
      </c>
      <c r="C96" s="144"/>
      <c r="D96" s="145">
        <v>42.056685994894003</v>
      </c>
      <c r="E96" s="145"/>
      <c r="F96" s="232">
        <v>4.7774866396906086</v>
      </c>
      <c r="G96" s="144"/>
      <c r="H96" s="145">
        <v>198.63822880733107</v>
      </c>
      <c r="I96" s="145"/>
      <c r="J96" s="232">
        <v>2.1211582915400387</v>
      </c>
      <c r="K96" s="144"/>
      <c r="L96" s="145">
        <v>2.3622688183068399</v>
      </c>
      <c r="M96" s="145"/>
      <c r="N96" s="232">
        <v>29.952121570552649</v>
      </c>
      <c r="O96" s="144">
        <v>0.33566400000000002</v>
      </c>
      <c r="P96" s="232">
        <v>16.398521298788065</v>
      </c>
      <c r="Q96" s="144"/>
      <c r="R96" s="145">
        <v>1.1628677911989092</v>
      </c>
      <c r="S96" s="144"/>
    </row>
    <row r="97" spans="1:19" x14ac:dyDescent="0.35">
      <c r="A97" s="59" t="s">
        <v>1921</v>
      </c>
      <c r="B97" s="232">
        <v>0</v>
      </c>
      <c r="C97" s="147"/>
      <c r="D97" s="145">
        <v>0</v>
      </c>
      <c r="E97" s="148"/>
      <c r="F97" s="232">
        <v>0</v>
      </c>
      <c r="G97" s="144"/>
      <c r="H97" s="145">
        <v>0</v>
      </c>
      <c r="I97" s="145">
        <v>69.763679999999994</v>
      </c>
      <c r="J97" s="232">
        <v>0</v>
      </c>
      <c r="K97" s="147"/>
      <c r="L97" s="145">
        <v>0</v>
      </c>
      <c r="M97" s="148"/>
      <c r="N97" s="59">
        <v>5.687258396258879</v>
      </c>
      <c r="O97" s="144"/>
      <c r="P97" s="232">
        <v>0</v>
      </c>
      <c r="Q97" s="147"/>
      <c r="R97" s="145">
        <v>0</v>
      </c>
      <c r="S97" s="147"/>
    </row>
    <row r="98" spans="1:19" x14ac:dyDescent="0.35">
      <c r="A98" s="59" t="s">
        <v>1920</v>
      </c>
      <c r="B98" s="232">
        <v>0</v>
      </c>
      <c r="C98" s="147"/>
      <c r="D98" s="145">
        <v>0</v>
      </c>
      <c r="E98" s="148"/>
      <c r="F98" s="232">
        <v>0</v>
      </c>
      <c r="G98" s="144"/>
      <c r="H98" s="145">
        <v>0</v>
      </c>
      <c r="I98" s="145">
        <v>9.61632</v>
      </c>
      <c r="J98" s="232">
        <v>0</v>
      </c>
      <c r="K98" s="147"/>
      <c r="L98" s="145">
        <v>0</v>
      </c>
      <c r="M98" s="148"/>
      <c r="N98" s="59">
        <v>0.78393938882112013</v>
      </c>
      <c r="O98" s="99"/>
      <c r="P98" s="232">
        <v>0</v>
      </c>
      <c r="Q98" s="147"/>
      <c r="R98" s="145">
        <v>0</v>
      </c>
      <c r="S98" s="147"/>
    </row>
    <row r="99" spans="1:19" x14ac:dyDescent="0.35">
      <c r="A99" s="59" t="s">
        <v>1529</v>
      </c>
      <c r="B99" s="49">
        <v>54665.091610594958</v>
      </c>
      <c r="C99" s="153"/>
      <c r="D99" s="48">
        <v>1719894.5074309767</v>
      </c>
      <c r="E99" s="154"/>
      <c r="F99" s="49">
        <v>244870.71359417879</v>
      </c>
      <c r="G99" s="47">
        <v>41915.434176000097</v>
      </c>
      <c r="H99" s="48">
        <v>12515677.836671544</v>
      </c>
      <c r="I99" s="48">
        <v>1391644.8</v>
      </c>
      <c r="J99" s="49">
        <v>85327.773242306328</v>
      </c>
      <c r="K99" s="448"/>
      <c r="L99" s="48">
        <v>98001.723812409138</v>
      </c>
      <c r="M99" s="449"/>
      <c r="N99" s="49">
        <v>1631044.9157668022</v>
      </c>
      <c r="O99" s="47">
        <v>6.6134880000000003</v>
      </c>
      <c r="P99" s="49">
        <v>495445.27518728125</v>
      </c>
      <c r="Q99" s="448"/>
      <c r="R99" s="48">
        <v>75242.277673256714</v>
      </c>
      <c r="S99" s="448"/>
    </row>
    <row r="100" spans="1:19" ht="13.15" x14ac:dyDescent="0.4">
      <c r="A100" s="131" t="s">
        <v>1928</v>
      </c>
      <c r="B100" s="447"/>
      <c r="C100" s="445"/>
      <c r="D100" s="446"/>
      <c r="E100" s="446"/>
      <c r="F100" s="447"/>
      <c r="G100" s="445"/>
      <c r="H100" s="446"/>
      <c r="I100" s="235"/>
      <c r="J100" s="447"/>
      <c r="K100" s="445"/>
      <c r="L100" s="446"/>
      <c r="M100" s="446"/>
      <c r="N100" s="447"/>
      <c r="O100" s="445"/>
      <c r="P100" s="447"/>
      <c r="Q100" s="445"/>
      <c r="R100" s="446"/>
      <c r="S100" s="445"/>
    </row>
    <row r="101" spans="1:19" x14ac:dyDescent="0.35">
      <c r="A101" s="59" t="s">
        <v>1525</v>
      </c>
      <c r="B101" s="232">
        <v>1.417839239244697</v>
      </c>
      <c r="C101" s="147">
        <v>0</v>
      </c>
      <c r="D101" s="145">
        <v>15.718773675428286</v>
      </c>
      <c r="E101" s="148">
        <v>0</v>
      </c>
      <c r="F101" s="232">
        <v>17.070764163423945</v>
      </c>
      <c r="G101" s="147">
        <v>0</v>
      </c>
      <c r="H101" s="145">
        <v>51.475925359084599</v>
      </c>
      <c r="I101" s="148">
        <v>0</v>
      </c>
      <c r="J101" s="232">
        <v>0.88431947601313643</v>
      </c>
      <c r="K101" s="147">
        <v>0</v>
      </c>
      <c r="L101" s="145">
        <v>0.81874936062844828</v>
      </c>
      <c r="M101" s="148">
        <v>0</v>
      </c>
      <c r="N101" s="232">
        <v>9.899991251455317</v>
      </c>
      <c r="O101" s="147">
        <v>0</v>
      </c>
      <c r="P101" s="232">
        <v>4.538662867108572</v>
      </c>
      <c r="Q101" s="147">
        <v>0</v>
      </c>
      <c r="R101" s="145">
        <v>0.57883797829232131</v>
      </c>
      <c r="S101" s="147">
        <v>0</v>
      </c>
    </row>
    <row r="102" spans="1:19" x14ac:dyDescent="0.35">
      <c r="A102" s="59" t="s">
        <v>1524</v>
      </c>
      <c r="B102" s="232">
        <v>1.2418071804671207</v>
      </c>
      <c r="C102" s="147">
        <v>0</v>
      </c>
      <c r="D102" s="145">
        <v>61.448100929252661</v>
      </c>
      <c r="E102" s="148">
        <v>0</v>
      </c>
      <c r="F102" s="232">
        <v>19.608516640866405</v>
      </c>
      <c r="G102" s="147">
        <v>0</v>
      </c>
      <c r="H102" s="145">
        <v>292.0139277936392</v>
      </c>
      <c r="I102" s="148">
        <v>0</v>
      </c>
      <c r="J102" s="232">
        <v>3.8906594350893426</v>
      </c>
      <c r="K102" s="147">
        <v>0</v>
      </c>
      <c r="L102" s="145">
        <v>5.0533827250588237</v>
      </c>
      <c r="M102" s="148">
        <v>0</v>
      </c>
      <c r="N102" s="232">
        <v>45.620742945338186</v>
      </c>
      <c r="O102" s="147">
        <v>0</v>
      </c>
      <c r="P102" s="232">
        <v>21.845564038011148</v>
      </c>
      <c r="Q102" s="147">
        <v>0</v>
      </c>
      <c r="R102" s="145">
        <v>4.530133641607855</v>
      </c>
      <c r="S102" s="147">
        <v>0</v>
      </c>
    </row>
    <row r="103" spans="1:19" x14ac:dyDescent="0.35">
      <c r="A103" s="59" t="s">
        <v>1523</v>
      </c>
      <c r="B103" s="232">
        <v>2.402232679512927</v>
      </c>
      <c r="C103" s="147">
        <v>0</v>
      </c>
      <c r="D103" s="145">
        <v>98.73583759382214</v>
      </c>
      <c r="E103" s="148">
        <v>0</v>
      </c>
      <c r="F103" s="232">
        <v>36.495979195469403</v>
      </c>
      <c r="G103" s="147">
        <v>0</v>
      </c>
      <c r="H103" s="145">
        <v>1874.6081085990031</v>
      </c>
      <c r="I103" s="148">
        <v>0</v>
      </c>
      <c r="J103" s="232">
        <v>7.318022789968099</v>
      </c>
      <c r="K103" s="147">
        <v>0</v>
      </c>
      <c r="L103" s="145">
        <v>10.168049033946687</v>
      </c>
      <c r="M103" s="148">
        <v>0</v>
      </c>
      <c r="N103" s="232">
        <v>186.46445604821361</v>
      </c>
      <c r="O103" s="147">
        <v>0</v>
      </c>
      <c r="P103" s="232">
        <v>26.134733400750211</v>
      </c>
      <c r="Q103" s="147">
        <v>0</v>
      </c>
      <c r="R103" s="145">
        <v>11.864418366094762</v>
      </c>
      <c r="S103" s="147">
        <v>0</v>
      </c>
    </row>
    <row r="104" spans="1:19" x14ac:dyDescent="0.35">
      <c r="A104" s="59" t="s">
        <v>1522</v>
      </c>
      <c r="B104" s="232">
        <v>0.35128121155139858</v>
      </c>
      <c r="C104" s="147">
        <v>0</v>
      </c>
      <c r="D104" s="145">
        <v>6.361635396985946</v>
      </c>
      <c r="E104" s="148">
        <v>0</v>
      </c>
      <c r="F104" s="232">
        <v>4.7725423128348714</v>
      </c>
      <c r="G104" s="147">
        <v>0</v>
      </c>
      <c r="H104" s="145">
        <v>305.48889111878486</v>
      </c>
      <c r="I104" s="148">
        <v>0</v>
      </c>
      <c r="J104" s="232">
        <v>0.64365679059672809</v>
      </c>
      <c r="K104" s="147">
        <v>0</v>
      </c>
      <c r="L104" s="145">
        <v>0.94675070746143342</v>
      </c>
      <c r="M104" s="148">
        <v>0</v>
      </c>
      <c r="N104" s="232">
        <v>26.893956510684102</v>
      </c>
      <c r="O104" s="147">
        <v>0</v>
      </c>
      <c r="P104" s="232">
        <v>0.11901854240513113</v>
      </c>
      <c r="Q104" s="147">
        <v>0</v>
      </c>
      <c r="R104" s="145">
        <v>1.4621497190541703</v>
      </c>
      <c r="S104" s="147">
        <v>0</v>
      </c>
    </row>
    <row r="105" spans="1:19" x14ac:dyDescent="0.35">
      <c r="A105" s="59" t="s">
        <v>1521</v>
      </c>
      <c r="B105" s="232">
        <v>0.27473446794064094</v>
      </c>
      <c r="C105" s="147">
        <v>0</v>
      </c>
      <c r="D105" s="145">
        <v>4.8244695507095354</v>
      </c>
      <c r="E105" s="148">
        <v>0</v>
      </c>
      <c r="F105" s="232">
        <v>3.7548140079258436</v>
      </c>
      <c r="G105" s="147">
        <v>0</v>
      </c>
      <c r="H105" s="145">
        <v>215.10147379420877</v>
      </c>
      <c r="I105" s="148">
        <v>0</v>
      </c>
      <c r="J105" s="232">
        <v>0.47951955741650781</v>
      </c>
      <c r="K105" s="147">
        <v>0</v>
      </c>
      <c r="L105" s="145">
        <v>0.69844367594910794</v>
      </c>
      <c r="M105" s="148">
        <v>0</v>
      </c>
      <c r="N105" s="232">
        <v>19.0418779576015</v>
      </c>
      <c r="O105" s="147">
        <v>0</v>
      </c>
      <c r="P105" s="232">
        <v>0.10324209253867245</v>
      </c>
      <c r="Q105" s="147">
        <v>0</v>
      </c>
      <c r="R105" s="145">
        <v>1.0762546369427881</v>
      </c>
      <c r="S105" s="147">
        <v>0</v>
      </c>
    </row>
    <row r="106" spans="1:19" x14ac:dyDescent="0.35">
      <c r="A106" s="59" t="s">
        <v>1520</v>
      </c>
      <c r="B106" s="232">
        <v>3.789563950445209</v>
      </c>
      <c r="C106" s="147">
        <v>0</v>
      </c>
      <c r="D106" s="145">
        <v>171.79491684121055</v>
      </c>
      <c r="E106" s="148">
        <v>0</v>
      </c>
      <c r="F106" s="232">
        <v>50.918367853962138</v>
      </c>
      <c r="G106" s="147">
        <v>0</v>
      </c>
      <c r="H106" s="145">
        <v>11578.430462766644</v>
      </c>
      <c r="I106" s="148">
        <v>0</v>
      </c>
      <c r="J106" s="232">
        <v>19.695455531811245</v>
      </c>
      <c r="K106" s="147">
        <v>0</v>
      </c>
      <c r="L106" s="145">
        <v>31.574488708676594</v>
      </c>
      <c r="M106" s="148">
        <v>0</v>
      </c>
      <c r="N106" s="232">
        <v>996.53568413271012</v>
      </c>
      <c r="O106" s="147">
        <v>0</v>
      </c>
      <c r="P106" s="232">
        <v>2.1677620614154072</v>
      </c>
      <c r="Q106" s="147">
        <v>0</v>
      </c>
      <c r="R106" s="145">
        <v>49.048896112331683</v>
      </c>
      <c r="S106" s="147">
        <v>0</v>
      </c>
    </row>
    <row r="107" spans="1:19" x14ac:dyDescent="0.35">
      <c r="A107" s="59" t="s">
        <v>1519</v>
      </c>
      <c r="B107" s="232">
        <v>3.1453513784580743E-2</v>
      </c>
      <c r="C107" s="147">
        <v>0</v>
      </c>
      <c r="D107" s="145">
        <v>0.37832539245029539</v>
      </c>
      <c r="E107" s="148">
        <v>0</v>
      </c>
      <c r="F107" s="232">
        <v>0.50456125948372144</v>
      </c>
      <c r="G107" s="147">
        <v>0</v>
      </c>
      <c r="H107" s="145">
        <v>9.4233645844132212</v>
      </c>
      <c r="I107" s="148">
        <v>0</v>
      </c>
      <c r="J107" s="232">
        <v>3.2840176430620149E-2</v>
      </c>
      <c r="K107" s="147">
        <v>0</v>
      </c>
      <c r="L107" s="145">
        <v>4.2949331180151054E-2</v>
      </c>
      <c r="M107" s="148">
        <v>0</v>
      </c>
      <c r="N107" s="232">
        <v>0.89720999314484773</v>
      </c>
      <c r="O107" s="147">
        <v>0</v>
      </c>
      <c r="P107" s="232">
        <v>1.9642536581917471E-2</v>
      </c>
      <c r="Q107" s="147">
        <v>0</v>
      </c>
      <c r="R107" s="145">
        <v>6.411930226775843E-2</v>
      </c>
      <c r="S107" s="147">
        <v>0</v>
      </c>
    </row>
    <row r="108" spans="1:19" x14ac:dyDescent="0.35">
      <c r="A108" s="57" t="s">
        <v>1518</v>
      </c>
      <c r="B108" s="231">
        <v>4.7286276204430766E-2</v>
      </c>
      <c r="C108" s="443">
        <v>0</v>
      </c>
      <c r="D108" s="142">
        <v>0.81675094221689548</v>
      </c>
      <c r="E108" s="444">
        <v>0</v>
      </c>
      <c r="F108" s="231">
        <v>0.74474574563054918</v>
      </c>
      <c r="G108" s="443">
        <v>0</v>
      </c>
      <c r="H108" s="142">
        <v>19.410804828699796</v>
      </c>
      <c r="I108" s="444">
        <v>0</v>
      </c>
      <c r="J108" s="231">
        <v>7.5974660988460063E-2</v>
      </c>
      <c r="K108" s="443">
        <v>0</v>
      </c>
      <c r="L108" s="142">
        <v>0.10865742648750785</v>
      </c>
      <c r="M108" s="444">
        <v>0</v>
      </c>
      <c r="N108" s="231">
        <v>1.8427972571929747</v>
      </c>
      <c r="O108" s="443">
        <v>0</v>
      </c>
      <c r="P108" s="231">
        <v>3.15462790413686E-2</v>
      </c>
      <c r="Q108" s="443">
        <v>0</v>
      </c>
      <c r="R108" s="142">
        <v>0.16497517276036491</v>
      </c>
      <c r="S108" s="443">
        <v>0</v>
      </c>
    </row>
    <row r="109" spans="1:19" x14ac:dyDescent="0.35">
      <c r="D109" s="120"/>
      <c r="F109" s="120"/>
      <c r="H109" s="120"/>
      <c r="J109" s="120"/>
      <c r="L109" s="120"/>
    </row>
    <row r="110" spans="1:19" ht="13.9" x14ac:dyDescent="0.4">
      <c r="A110" s="72" t="s">
        <v>1927</v>
      </c>
    </row>
    <row r="111" spans="1:19" ht="13.15" x14ac:dyDescent="0.4">
      <c r="A111" s="41" t="s">
        <v>1926</v>
      </c>
      <c r="H111" s="120"/>
    </row>
    <row r="112" spans="1:19" ht="41.45" customHeight="1" x14ac:dyDescent="0.4">
      <c r="A112" s="61"/>
      <c r="B112" s="442" t="s">
        <v>1318</v>
      </c>
      <c r="C112" s="442" t="s">
        <v>1403</v>
      </c>
      <c r="D112" s="442" t="s">
        <v>1316</v>
      </c>
      <c r="E112" s="442" t="s">
        <v>1402</v>
      </c>
      <c r="F112" s="442" t="s">
        <v>1314</v>
      </c>
      <c r="G112" s="441" t="s">
        <v>1311</v>
      </c>
      <c r="H112" s="179" t="s">
        <v>1310</v>
      </c>
      <c r="I112" s="2203" t="s">
        <v>326</v>
      </c>
      <c r="J112" s="2204"/>
    </row>
    <row r="113" spans="1:10" x14ac:dyDescent="0.35">
      <c r="A113" s="91" t="s">
        <v>1924</v>
      </c>
      <c r="B113" s="440">
        <v>1</v>
      </c>
      <c r="C113" s="440">
        <v>1</v>
      </c>
      <c r="D113" s="440">
        <v>1</v>
      </c>
      <c r="E113" s="440">
        <v>1</v>
      </c>
      <c r="F113" s="440">
        <v>1.02</v>
      </c>
      <c r="G113" s="439">
        <v>1.107</v>
      </c>
      <c r="H113" s="437">
        <v>1</v>
      </c>
      <c r="I113" s="438"/>
      <c r="J113" s="437"/>
    </row>
    <row r="114" spans="1:10" ht="13.15" x14ac:dyDescent="0.4">
      <c r="A114" s="131" t="s">
        <v>1923</v>
      </c>
      <c r="B114" s="120"/>
      <c r="C114" s="120"/>
      <c r="D114" s="120"/>
      <c r="E114" s="120"/>
      <c r="F114" s="120"/>
      <c r="G114" s="436"/>
      <c r="H114" s="436"/>
      <c r="I114" s="428" t="s">
        <v>1873</v>
      </c>
      <c r="J114" s="428" t="s">
        <v>1872</v>
      </c>
    </row>
    <row r="115" spans="1:10" x14ac:dyDescent="0.35">
      <c r="A115" s="59" t="s">
        <v>1537</v>
      </c>
      <c r="B115" s="145">
        <v>0.69578218556264471</v>
      </c>
      <c r="C115" s="145">
        <v>24.90561337275226</v>
      </c>
      <c r="D115" s="145">
        <v>12.78947536426803</v>
      </c>
      <c r="E115" s="145">
        <v>130.81082625268311</v>
      </c>
      <c r="F115" s="145">
        <v>1.3197239743574714</v>
      </c>
      <c r="G115" s="146">
        <v>8.3417603654635961</v>
      </c>
      <c r="H115" s="146">
        <v>1.1191778286585157</v>
      </c>
      <c r="I115" s="50">
        <v>201.97427698221571</v>
      </c>
      <c r="J115" s="146">
        <v>0.10098713849110785</v>
      </c>
    </row>
    <row r="116" spans="1:10" x14ac:dyDescent="0.35">
      <c r="A116" s="59" t="s">
        <v>1536</v>
      </c>
      <c r="B116" s="145">
        <v>0.6863782306550007</v>
      </c>
      <c r="C116" s="145">
        <v>24.191540149571509</v>
      </c>
      <c r="D116" s="145">
        <v>12.66658646095415</v>
      </c>
      <c r="E116" s="145">
        <v>125.83152553941042</v>
      </c>
      <c r="F116" s="145">
        <v>1.2353469476313939</v>
      </c>
      <c r="G116" s="146">
        <v>8.3364156788831707</v>
      </c>
      <c r="H116" s="146">
        <v>0.90451748004182386</v>
      </c>
      <c r="I116" s="146">
        <v>195.08287317389357</v>
      </c>
      <c r="J116" s="146">
        <v>9.7541436586946792E-2</v>
      </c>
    </row>
    <row r="117" spans="1:10" x14ac:dyDescent="0.35">
      <c r="A117" s="59" t="s">
        <v>1535</v>
      </c>
      <c r="B117" s="145">
        <v>2.2502787392071861E-2</v>
      </c>
      <c r="C117" s="145">
        <v>3.4131832751350699</v>
      </c>
      <c r="D117" s="145">
        <v>2.13827879072196</v>
      </c>
      <c r="E117" s="145">
        <v>123.53479105468408</v>
      </c>
      <c r="F117" s="145">
        <v>0.20369475413410845</v>
      </c>
      <c r="G117" s="146">
        <v>1.2895269183502679E-2</v>
      </c>
      <c r="H117" s="146">
        <v>0.51834011715940109</v>
      </c>
      <c r="I117" s="146">
        <v>146.53858612505303</v>
      </c>
      <c r="J117" s="146">
        <v>7.3269293062526511E-2</v>
      </c>
    </row>
    <row r="118" spans="1:10" x14ac:dyDescent="0.35">
      <c r="A118" s="59" t="s">
        <v>1534</v>
      </c>
      <c r="B118" s="145">
        <v>7.4613856082037633E-2</v>
      </c>
      <c r="C118" s="145">
        <v>17.430183470668545</v>
      </c>
      <c r="D118" s="145">
        <v>1.7029057887189509</v>
      </c>
      <c r="E118" s="145">
        <v>0.40246425785982165</v>
      </c>
      <c r="F118" s="145">
        <v>0.8800979234403381</v>
      </c>
      <c r="G118" s="146">
        <v>8.2927993623321452</v>
      </c>
      <c r="H118" s="146">
        <v>0.36856356347211322</v>
      </c>
      <c r="I118" s="146">
        <v>31.77825571497382</v>
      </c>
      <c r="J118" s="146">
        <v>1.5889127857486932E-2</v>
      </c>
    </row>
    <row r="119" spans="1:10" x14ac:dyDescent="0.35">
      <c r="A119" s="59" t="s">
        <v>1533</v>
      </c>
      <c r="B119" s="145">
        <v>0.58926158718089117</v>
      </c>
      <c r="C119" s="145">
        <v>3.3481734037678947</v>
      </c>
      <c r="D119" s="145">
        <v>8.8254018815132387</v>
      </c>
      <c r="E119" s="145">
        <v>1.8942702268665217</v>
      </c>
      <c r="F119" s="145">
        <v>0.15155427005694724</v>
      </c>
      <c r="G119" s="146">
        <v>3.0721047367522281E-2</v>
      </c>
      <c r="H119" s="146">
        <v>1.7613799410309543E-2</v>
      </c>
      <c r="I119" s="146">
        <v>16.766031333866703</v>
      </c>
      <c r="J119" s="146">
        <v>8.3830156669333512E-3</v>
      </c>
    </row>
    <row r="120" spans="1:10" x14ac:dyDescent="0.35">
      <c r="A120" s="59" t="s">
        <v>1532</v>
      </c>
      <c r="B120" s="48">
        <v>1501.5418712274286</v>
      </c>
      <c r="C120" s="48">
        <v>4581.1161600328724</v>
      </c>
      <c r="D120" s="48">
        <v>248.19752140180492</v>
      </c>
      <c r="E120" s="48">
        <v>12078.275945096015</v>
      </c>
      <c r="F120" s="48">
        <v>101.85044657983455</v>
      </c>
      <c r="G120" s="152">
        <v>24.276897287381267</v>
      </c>
      <c r="H120" s="152">
        <v>107.66448634965541</v>
      </c>
      <c r="I120" s="152">
        <v>21031.176567379516</v>
      </c>
      <c r="J120" s="143">
        <v>10.515588283689759</v>
      </c>
    </row>
    <row r="121" spans="1:10" ht="13.15" x14ac:dyDescent="0.4">
      <c r="A121" s="131" t="s">
        <v>1922</v>
      </c>
      <c r="B121" s="157"/>
      <c r="C121" s="157"/>
      <c r="D121" s="157"/>
      <c r="E121" s="157"/>
      <c r="F121" s="157"/>
      <c r="G121" s="241"/>
      <c r="H121" s="156"/>
      <c r="I121" s="429" t="s">
        <v>1873</v>
      </c>
      <c r="J121" s="381" t="s">
        <v>1872</v>
      </c>
    </row>
    <row r="122" spans="1:10" x14ac:dyDescent="0.35">
      <c r="A122" s="59" t="s">
        <v>1525</v>
      </c>
      <c r="B122" s="145">
        <v>17.39555116112922</v>
      </c>
      <c r="C122" s="145">
        <v>252.31020925280336</v>
      </c>
      <c r="D122" s="145">
        <v>240.76707186293075</v>
      </c>
      <c r="E122" s="145">
        <v>1060.6748017796831</v>
      </c>
      <c r="F122" s="145">
        <v>12.676921755513046</v>
      </c>
      <c r="G122" s="146">
        <v>97.349697941479405</v>
      </c>
      <c r="H122" s="144">
        <v>8.1297741741544964</v>
      </c>
      <c r="I122" s="146">
        <v>1893.558464017596</v>
      </c>
      <c r="J122" s="144">
        <v>0.94677923200879799</v>
      </c>
    </row>
    <row r="123" spans="1:10" x14ac:dyDescent="0.35">
      <c r="A123" s="59" t="s">
        <v>1524</v>
      </c>
      <c r="B123" s="145">
        <v>71.537633242355597</v>
      </c>
      <c r="C123" s="145">
        <v>1082.9097124169582</v>
      </c>
      <c r="D123" s="145">
        <v>334.13503528751454</v>
      </c>
      <c r="E123" s="145">
        <v>1166.2641525591423</v>
      </c>
      <c r="F123" s="145">
        <v>69.222621982845311</v>
      </c>
      <c r="G123" s="146">
        <v>410.22689932569284</v>
      </c>
      <c r="H123" s="144">
        <v>22.701840795959637</v>
      </c>
      <c r="I123" s="146">
        <v>3507.2515974995945</v>
      </c>
      <c r="J123" s="144">
        <v>1.7536257987497972</v>
      </c>
    </row>
    <row r="124" spans="1:10" x14ac:dyDescent="0.35">
      <c r="A124" s="59" t="s">
        <v>1563</v>
      </c>
      <c r="B124" s="145">
        <v>203.31158579939336</v>
      </c>
      <c r="C124" s="145">
        <v>2032.4177964514342</v>
      </c>
      <c r="D124" s="145">
        <v>752.47609025148358</v>
      </c>
      <c r="E124" s="145">
        <v>6598.5517515485117</v>
      </c>
      <c r="F124" s="145">
        <v>176.12221948133487</v>
      </c>
      <c r="G124" s="146">
        <v>578.38789776551323</v>
      </c>
      <c r="H124" s="144">
        <v>50.986429198938531</v>
      </c>
      <c r="I124" s="146">
        <v>11649.132675895036</v>
      </c>
      <c r="J124" s="144">
        <v>5.8245663379475179</v>
      </c>
    </row>
    <row r="125" spans="1:10" x14ac:dyDescent="0.35">
      <c r="A125" s="59" t="s">
        <v>1522</v>
      </c>
      <c r="B125" s="145">
        <v>867.67212567404044</v>
      </c>
      <c r="C125" s="145">
        <v>1018.4230438811594</v>
      </c>
      <c r="D125" s="145">
        <v>205.68509401110617</v>
      </c>
      <c r="E125" s="145">
        <v>3649.0270111724044</v>
      </c>
      <c r="F125" s="145">
        <v>39.318500647183122</v>
      </c>
      <c r="G125" s="146">
        <v>30.131554589980677</v>
      </c>
      <c r="H125" s="144">
        <v>9.2086631009111368</v>
      </c>
      <c r="I125" s="146">
        <v>6565.0409241057914</v>
      </c>
      <c r="J125" s="144">
        <v>3.2825204620528958</v>
      </c>
    </row>
    <row r="126" spans="1:10" x14ac:dyDescent="0.35">
      <c r="A126" s="59" t="s">
        <v>1521</v>
      </c>
      <c r="B126" s="145">
        <v>440.69314687514651</v>
      </c>
      <c r="C126" s="145">
        <v>503.63250502019719</v>
      </c>
      <c r="D126" s="145">
        <v>105.4514037695285</v>
      </c>
      <c r="E126" s="145">
        <v>1621.692739125778</v>
      </c>
      <c r="F126" s="145">
        <v>20.42422612534525</v>
      </c>
      <c r="G126" s="146">
        <v>29.738303230726128</v>
      </c>
      <c r="H126" s="144">
        <v>4.0077589473157325</v>
      </c>
      <c r="I126" s="146">
        <v>3072.8190845887138</v>
      </c>
      <c r="J126" s="144">
        <v>1.5364095422943569</v>
      </c>
    </row>
    <row r="127" spans="1:10" x14ac:dyDescent="0.35">
      <c r="A127" s="59" t="s">
        <v>1520</v>
      </c>
      <c r="B127" s="145">
        <v>158.3024913329138</v>
      </c>
      <c r="C127" s="145">
        <v>5001.9782013918393</v>
      </c>
      <c r="D127" s="145">
        <v>1613.1161330367172</v>
      </c>
      <c r="E127" s="145">
        <v>45162.659528551769</v>
      </c>
      <c r="F127" s="145">
        <v>163.12847384182109</v>
      </c>
      <c r="G127" s="146">
        <v>89.960311416225949</v>
      </c>
      <c r="H127" s="144">
        <v>138.46355384705083</v>
      </c>
      <c r="I127" s="146">
        <v>59052.085757715424</v>
      </c>
      <c r="J127" s="144">
        <v>29.526042878857712</v>
      </c>
    </row>
    <row r="128" spans="1:10" x14ac:dyDescent="0.35">
      <c r="A128" s="59" t="s">
        <v>1519</v>
      </c>
      <c r="B128" s="145">
        <v>5.2462422392490584</v>
      </c>
      <c r="C128" s="145">
        <v>16.347726164904138</v>
      </c>
      <c r="D128" s="145">
        <v>7.7528540019330743</v>
      </c>
      <c r="E128" s="145">
        <v>34.918262097065956</v>
      </c>
      <c r="F128" s="145">
        <v>2.0137224005540699</v>
      </c>
      <c r="G128" s="146">
        <v>5.3767537426761569</v>
      </c>
      <c r="H128" s="144">
        <v>0.29685163759722943</v>
      </c>
      <c r="I128" s="146">
        <v>80.467073593576046</v>
      </c>
      <c r="J128" s="144">
        <v>4.0233536796788025E-2</v>
      </c>
    </row>
    <row r="129" spans="1:10" x14ac:dyDescent="0.35">
      <c r="A129" s="59" t="s">
        <v>1518</v>
      </c>
      <c r="B129" s="145">
        <v>1.7903048967636037</v>
      </c>
      <c r="C129" s="145">
        <v>32.065684816412066</v>
      </c>
      <c r="D129" s="145">
        <v>7.2567181536344201</v>
      </c>
      <c r="E129" s="145">
        <v>78.489463447773545</v>
      </c>
      <c r="F129" s="145">
        <v>1.7981411371324645</v>
      </c>
      <c r="G129" s="146">
        <v>12.505291418628374</v>
      </c>
      <c r="H129" s="144">
        <v>0.69689332857486319</v>
      </c>
      <c r="I129" s="146">
        <v>150.24032270415782</v>
      </c>
      <c r="J129" s="144">
        <v>7.5120161352078912E-2</v>
      </c>
    </row>
    <row r="130" spans="1:10" x14ac:dyDescent="0.35">
      <c r="A130" s="59" t="s">
        <v>1531</v>
      </c>
      <c r="B130" s="145">
        <v>67.575560403884509</v>
      </c>
      <c r="C130" s="145">
        <v>4281.1373311172356</v>
      </c>
      <c r="D130" s="145">
        <v>1351.619582454332</v>
      </c>
      <c r="E130" s="145">
        <v>18352.770534764655</v>
      </c>
      <c r="F130" s="145">
        <v>217.38882852714548</v>
      </c>
      <c r="G130" s="146">
        <v>1681.1852939874759</v>
      </c>
      <c r="H130" s="144">
        <v>143.60980232542693</v>
      </c>
      <c r="I130" s="146">
        <v>29224.76526078126</v>
      </c>
      <c r="J130" s="144">
        <v>14.612382630390631</v>
      </c>
    </row>
    <row r="131" spans="1:10" x14ac:dyDescent="0.35">
      <c r="A131" s="59" t="s">
        <v>1530</v>
      </c>
      <c r="B131" s="145">
        <v>1.2269494524225155</v>
      </c>
      <c r="C131" s="145">
        <v>42.056685994894003</v>
      </c>
      <c r="D131" s="145">
        <v>4.7774866396906086</v>
      </c>
      <c r="E131" s="145">
        <v>198.63822880733107</v>
      </c>
      <c r="F131" s="145">
        <v>2.1211582915400387</v>
      </c>
      <c r="G131" s="146">
        <v>16.398521298788065</v>
      </c>
      <c r="H131" s="144">
        <v>1.1628677911989092</v>
      </c>
      <c r="I131" s="146">
        <v>298.46761638755487</v>
      </c>
      <c r="J131" s="144">
        <v>0.14923380819377743</v>
      </c>
    </row>
    <row r="132" spans="1:10" x14ac:dyDescent="0.35">
      <c r="A132" s="59" t="s">
        <v>1921</v>
      </c>
      <c r="B132" s="148">
        <v>0</v>
      </c>
      <c r="C132" s="148">
        <v>0</v>
      </c>
      <c r="D132" s="148">
        <v>0</v>
      </c>
      <c r="E132" s="148">
        <v>69.763679999999994</v>
      </c>
      <c r="F132" s="145">
        <v>0</v>
      </c>
      <c r="G132" s="146">
        <v>0</v>
      </c>
      <c r="H132" s="144">
        <v>0</v>
      </c>
      <c r="I132" s="146">
        <v>78.772961635199991</v>
      </c>
      <c r="J132" s="144">
        <v>3.9386480817599996E-2</v>
      </c>
    </row>
    <row r="133" spans="1:10" x14ac:dyDescent="0.35">
      <c r="A133" s="59" t="s">
        <v>1920</v>
      </c>
      <c r="B133" s="148">
        <v>0</v>
      </c>
      <c r="C133" s="148">
        <v>0</v>
      </c>
      <c r="D133" s="148">
        <v>0</v>
      </c>
      <c r="E133" s="148">
        <v>9.61632</v>
      </c>
      <c r="F133" s="145">
        <v>0</v>
      </c>
      <c r="G133" s="146">
        <v>0</v>
      </c>
      <c r="H133" s="144">
        <v>0</v>
      </c>
      <c r="I133" s="146">
        <v>10.858171564800001</v>
      </c>
      <c r="J133" s="144">
        <v>5.4290857824000009E-3</v>
      </c>
    </row>
    <row r="134" spans="1:10" x14ac:dyDescent="0.35">
      <c r="A134" s="59" t="s">
        <v>1529</v>
      </c>
      <c r="B134" s="154">
        <v>54665.091610594958</v>
      </c>
      <c r="C134" s="154">
        <v>1719894.5074309767</v>
      </c>
      <c r="D134" s="154">
        <v>286786.14777017885</v>
      </c>
      <c r="E134" s="154">
        <v>13907322.636671545</v>
      </c>
      <c r="F134" s="154">
        <v>85327.773242306328</v>
      </c>
      <c r="G134" s="239">
        <v>495445.27518728125</v>
      </c>
      <c r="H134" s="153">
        <v>75242.277673256714</v>
      </c>
      <c r="I134" s="155">
        <v>18696007.616366096</v>
      </c>
      <c r="J134" s="153">
        <v>9348.003808183048</v>
      </c>
    </row>
    <row r="135" spans="1:10" x14ac:dyDescent="0.35">
      <c r="A135" s="59" t="s">
        <v>1528</v>
      </c>
      <c r="B135" s="154">
        <v>54831.724025856565</v>
      </c>
      <c r="C135" s="154">
        <v>1722382.589512184</v>
      </c>
      <c r="D135" s="154">
        <v>288061.60781865113</v>
      </c>
      <c r="E135" s="154">
        <v>13912461.10728159</v>
      </c>
      <c r="F135" s="154">
        <v>85476.061387750728</v>
      </c>
      <c r="G135" s="239">
        <v>496393.32401623449</v>
      </c>
      <c r="H135" s="153">
        <v>75303.28979068363</v>
      </c>
      <c r="I135" s="155">
        <v>18707420.602279786</v>
      </c>
      <c r="J135" s="153">
        <v>9353.7103011398922</v>
      </c>
    </row>
    <row r="136" spans="1:10" x14ac:dyDescent="0.35">
      <c r="A136" s="57" t="s">
        <v>1527</v>
      </c>
      <c r="B136" s="151">
        <v>57184.13244286507</v>
      </c>
      <c r="C136" s="151">
        <v>1861961.7312343479</v>
      </c>
      <c r="D136" s="151">
        <v>329876.22925179912</v>
      </c>
      <c r="E136" s="151">
        <v>15084957.704358473</v>
      </c>
      <c r="F136" s="151">
        <v>92559.833190823207</v>
      </c>
      <c r="G136" s="435">
        <v>551174.4909800376</v>
      </c>
      <c r="H136" s="150">
        <v>79919.743825114143</v>
      </c>
      <c r="I136" s="155">
        <v>20306047.918456588</v>
      </c>
      <c r="J136" s="150">
        <v>10153.023959228291</v>
      </c>
    </row>
    <row r="137" spans="1:10" ht="13.15" x14ac:dyDescent="0.4">
      <c r="A137" s="128" t="s">
        <v>1919</v>
      </c>
      <c r="G137" s="50"/>
      <c r="H137" s="99"/>
      <c r="I137" s="428" t="s">
        <v>1873</v>
      </c>
      <c r="J137" s="427" t="s">
        <v>1872</v>
      </c>
    </row>
    <row r="138" spans="1:10" x14ac:dyDescent="0.35">
      <c r="A138" s="59" t="s">
        <v>1525</v>
      </c>
      <c r="B138" s="145">
        <v>1.417839239244697</v>
      </c>
      <c r="C138" s="145">
        <v>15.718773675428286</v>
      </c>
      <c r="D138" s="145">
        <v>17.070764163423945</v>
      </c>
      <c r="E138" s="145">
        <v>51.475925359084599</v>
      </c>
      <c r="F138" s="145">
        <v>0.88431947601313643</v>
      </c>
      <c r="G138" s="146">
        <v>4.538662867108572</v>
      </c>
      <c r="H138" s="144">
        <v>0.57883797829232131</v>
      </c>
      <c r="I138" s="146">
        <v>102.84488661926659</v>
      </c>
      <c r="J138" s="144">
        <v>5.1422443309633296E-2</v>
      </c>
    </row>
    <row r="139" spans="1:10" x14ac:dyDescent="0.35">
      <c r="A139" s="59" t="s">
        <v>1524</v>
      </c>
      <c r="B139" s="145">
        <v>1.2418071804671207</v>
      </c>
      <c r="C139" s="145">
        <v>61.448100929252661</v>
      </c>
      <c r="D139" s="145">
        <v>19.608516640866405</v>
      </c>
      <c r="E139" s="145">
        <v>292.0139277936392</v>
      </c>
      <c r="F139" s="145">
        <v>3.8906594350893426</v>
      </c>
      <c r="G139" s="146">
        <v>21.845564038011148</v>
      </c>
      <c r="H139" s="144">
        <v>4.530133641607855</v>
      </c>
      <c r="I139" s="146">
        <v>453.33370742604956</v>
      </c>
      <c r="J139" s="144">
        <v>0.22666685371302478</v>
      </c>
    </row>
    <row r="140" spans="1:10" x14ac:dyDescent="0.35">
      <c r="A140" s="59" t="s">
        <v>1523</v>
      </c>
      <c r="B140" s="145">
        <v>2.402232679512927</v>
      </c>
      <c r="C140" s="145">
        <v>98.73583759382214</v>
      </c>
      <c r="D140" s="145">
        <v>36.495979195469403</v>
      </c>
      <c r="E140" s="145">
        <v>1874.6081085990031</v>
      </c>
      <c r="F140" s="145">
        <v>7.318022789968099</v>
      </c>
      <c r="G140" s="146">
        <v>26.134733400750211</v>
      </c>
      <c r="H140" s="144">
        <v>11.864418366094762</v>
      </c>
      <c r="I140" s="146">
        <v>2318.203313356024</v>
      </c>
      <c r="J140" s="144">
        <v>1.1591016566780119</v>
      </c>
    </row>
    <row r="141" spans="1:10" x14ac:dyDescent="0.35">
      <c r="A141" s="59" t="s">
        <v>1522</v>
      </c>
      <c r="B141" s="145">
        <v>0.35128121155139858</v>
      </c>
      <c r="C141" s="145">
        <v>6.361635396985946</v>
      </c>
      <c r="D141" s="145">
        <v>4.7725423128348714</v>
      </c>
      <c r="E141" s="145">
        <v>305.48889111878486</v>
      </c>
      <c r="F141" s="145">
        <v>0.64365679059672809</v>
      </c>
      <c r="G141" s="146">
        <v>0.11901854240513113</v>
      </c>
      <c r="H141" s="144">
        <v>1.4621497190541703</v>
      </c>
      <c r="I141" s="146">
        <v>360.20211393299286</v>
      </c>
      <c r="J141" s="144">
        <v>0.18010105696649642</v>
      </c>
    </row>
    <row r="142" spans="1:10" x14ac:dyDescent="0.35">
      <c r="A142" s="59" t="s">
        <v>1521</v>
      </c>
      <c r="B142" s="145">
        <v>0.27473446794064094</v>
      </c>
      <c r="C142" s="145">
        <v>4.8244695507095354</v>
      </c>
      <c r="D142" s="145">
        <v>3.7548140079258436</v>
      </c>
      <c r="E142" s="145">
        <v>215.10147379420877</v>
      </c>
      <c r="F142" s="145">
        <v>0.47951955741650781</v>
      </c>
      <c r="G142" s="146">
        <v>0.10324209253867245</v>
      </c>
      <c r="H142" s="144">
        <v>1.0762546369427881</v>
      </c>
      <c r="I142" s="146">
        <v>254.58742891406246</v>
      </c>
      <c r="J142" s="144">
        <v>0.12729371445703122</v>
      </c>
    </row>
    <row r="143" spans="1:10" x14ac:dyDescent="0.35">
      <c r="A143" s="59" t="s">
        <v>1520</v>
      </c>
      <c r="B143" s="145">
        <v>3.789563950445209</v>
      </c>
      <c r="C143" s="145">
        <v>171.79491684121055</v>
      </c>
      <c r="D143" s="145">
        <v>50.918367853962138</v>
      </c>
      <c r="E143" s="145">
        <v>11578.430462766644</v>
      </c>
      <c r="F143" s="145">
        <v>19.695455531811245</v>
      </c>
      <c r="G143" s="146">
        <v>2.1677620614154072</v>
      </c>
      <c r="H143" s="144">
        <v>49.048896112331683</v>
      </c>
      <c r="I143" s="146">
        <v>13402.441926695503</v>
      </c>
      <c r="J143" s="144">
        <v>6.7012209633477511</v>
      </c>
    </row>
    <row r="144" spans="1:10" x14ac:dyDescent="0.35">
      <c r="A144" s="59" t="s">
        <v>1519</v>
      </c>
      <c r="B144" s="145">
        <v>3.1453513784580743E-2</v>
      </c>
      <c r="C144" s="145">
        <v>0.37832539245029539</v>
      </c>
      <c r="D144" s="145">
        <v>0.50456125948372144</v>
      </c>
      <c r="E144" s="145">
        <v>9.4233645844132212</v>
      </c>
      <c r="F144" s="145">
        <v>3.2840176430620149E-2</v>
      </c>
      <c r="G144" s="146">
        <v>1.9642536581917471E-2</v>
      </c>
      <c r="H144" s="144">
        <v>6.411930226775843E-2</v>
      </c>
      <c r="I144" s="146">
        <v>11.792831855722214</v>
      </c>
      <c r="J144" s="144">
        <v>5.8964159278611069E-3</v>
      </c>
    </row>
    <row r="145" spans="1:10" x14ac:dyDescent="0.35">
      <c r="A145" s="57" t="s">
        <v>1518</v>
      </c>
      <c r="B145" s="142">
        <v>4.7286276204430766E-2</v>
      </c>
      <c r="C145" s="142">
        <v>0.81675094221689548</v>
      </c>
      <c r="D145" s="142">
        <v>0.74474574563054918</v>
      </c>
      <c r="E145" s="142">
        <v>19.410804828699796</v>
      </c>
      <c r="F145" s="142">
        <v>7.5974660988460063E-2</v>
      </c>
      <c r="G145" s="143">
        <v>3.15462790413686E-2</v>
      </c>
      <c r="H145" s="141">
        <v>0.16497517276036491</v>
      </c>
      <c r="I145" s="143">
        <v>24.014682761823579</v>
      </c>
      <c r="J145" s="141">
        <v>1.2007341380911789E-2</v>
      </c>
    </row>
    <row r="147" spans="1:10" ht="13.15" x14ac:dyDescent="0.4">
      <c r="A147" s="41" t="s">
        <v>1925</v>
      </c>
    </row>
    <row r="148" spans="1:10" ht="42.75" customHeight="1" x14ac:dyDescent="0.4">
      <c r="A148" s="61"/>
      <c r="B148" s="180" t="s">
        <v>1401</v>
      </c>
      <c r="C148" s="180" t="s">
        <v>1400</v>
      </c>
      <c r="D148" s="180" t="s">
        <v>1311</v>
      </c>
      <c r="E148" s="179" t="s">
        <v>1310</v>
      </c>
      <c r="F148" s="2203" t="s">
        <v>326</v>
      </c>
      <c r="G148" s="2238"/>
    </row>
    <row r="149" spans="1:10" x14ac:dyDescent="0.35">
      <c r="A149" s="91" t="s">
        <v>1924</v>
      </c>
      <c r="B149" s="434">
        <v>0.96799999999999997</v>
      </c>
      <c r="C149" s="434">
        <v>1</v>
      </c>
      <c r="D149" s="434">
        <v>1.107</v>
      </c>
      <c r="E149" s="433">
        <v>1</v>
      </c>
      <c r="F149" s="432"/>
      <c r="G149" s="431"/>
    </row>
    <row r="150" spans="1:10" ht="13.15" x14ac:dyDescent="0.4">
      <c r="A150" s="131" t="s">
        <v>1923</v>
      </c>
      <c r="B150" s="408"/>
      <c r="C150" s="408"/>
      <c r="D150" s="408"/>
      <c r="E150" s="430"/>
      <c r="F150" s="429" t="s">
        <v>1873</v>
      </c>
      <c r="G150" s="381" t="s">
        <v>1872</v>
      </c>
    </row>
    <row r="151" spans="1:10" x14ac:dyDescent="0.35">
      <c r="A151" s="59" t="s">
        <v>1537</v>
      </c>
      <c r="B151" s="145">
        <v>1.5422071152040491</v>
      </c>
      <c r="C151" s="145">
        <v>19.172253235422783</v>
      </c>
      <c r="D151" s="145">
        <v>8.3417603654635961</v>
      </c>
      <c r="E151" s="144">
        <v>1.1191778286585157</v>
      </c>
      <c r="F151" s="146">
        <v>32.337214657417029</v>
      </c>
      <c r="G151" s="144">
        <v>1.6168607328708513E-2</v>
      </c>
    </row>
    <row r="152" spans="1:10" x14ac:dyDescent="0.35">
      <c r="A152" s="59" t="s">
        <v>1536</v>
      </c>
      <c r="B152" s="145">
        <v>1.4044342406087105</v>
      </c>
      <c r="C152" s="145">
        <v>18.550174395174949</v>
      </c>
      <c r="D152" s="145">
        <v>8.3364156788831707</v>
      </c>
      <c r="E152" s="144">
        <v>0.90451748004182386</v>
      </c>
      <c r="F152" s="146">
        <v>31.280934240198182</v>
      </c>
      <c r="G152" s="144">
        <v>1.5640467120099092E-2</v>
      </c>
    </row>
    <row r="153" spans="1:10" x14ac:dyDescent="0.35">
      <c r="A153" s="59" t="s">
        <v>1535</v>
      </c>
      <c r="B153" s="145">
        <v>0.33571516825618758</v>
      </c>
      <c r="C153" s="145">
        <v>10.895434009365276</v>
      </c>
      <c r="D153" s="145">
        <v>1.2895269183502679E-2</v>
      </c>
      <c r="E153" s="144">
        <v>0.51834011715940109</v>
      </c>
      <c r="F153" s="146">
        <v>12.952225151849557</v>
      </c>
      <c r="G153" s="144">
        <v>6.4761125759247784E-3</v>
      </c>
    </row>
    <row r="154" spans="1:10" x14ac:dyDescent="0.35">
      <c r="A154" s="59" t="s">
        <v>1534</v>
      </c>
      <c r="B154" s="145">
        <v>1.054230760125509</v>
      </c>
      <c r="C154" s="145">
        <v>6.4187692119035251</v>
      </c>
      <c r="D154" s="145">
        <v>8.2927993623321452</v>
      </c>
      <c r="E154" s="144">
        <v>0.36856356347211322</v>
      </c>
      <c r="F154" s="146">
        <v>16.896628824393712</v>
      </c>
      <c r="G154" s="144">
        <v>8.4483144121968567E-3</v>
      </c>
    </row>
    <row r="155" spans="1:10" x14ac:dyDescent="0.35">
      <c r="A155" s="59" t="s">
        <v>1533</v>
      </c>
      <c r="B155" s="145">
        <v>1.4488312227013845E-2</v>
      </c>
      <c r="C155" s="145">
        <v>1.2359711739061479</v>
      </c>
      <c r="D155" s="145">
        <v>3.0721047367522281E-2</v>
      </c>
      <c r="E155" s="144">
        <v>1.7613799410309543E-2</v>
      </c>
      <c r="F155" s="146">
        <v>1.4320802639549122</v>
      </c>
      <c r="G155" s="146">
        <v>7.1604013197745613E-4</v>
      </c>
    </row>
    <row r="156" spans="1:10" x14ac:dyDescent="0.35">
      <c r="A156" s="59" t="s">
        <v>1532</v>
      </c>
      <c r="B156" s="48">
        <v>105.68097578023988</v>
      </c>
      <c r="C156" s="48">
        <v>1817.7140135243137</v>
      </c>
      <c r="D156" s="48">
        <v>24.276897287381267</v>
      </c>
      <c r="E156" s="47">
        <v>107.66448634965541</v>
      </c>
      <c r="F156" s="155">
        <v>2257.3959939111382</v>
      </c>
      <c r="G156" s="146">
        <v>1.128697996955569</v>
      </c>
    </row>
    <row r="157" spans="1:10" ht="13.15" x14ac:dyDescent="0.4">
      <c r="A157" s="131" t="s">
        <v>1922</v>
      </c>
      <c r="B157" s="157"/>
      <c r="C157" s="157"/>
      <c r="D157" s="157"/>
      <c r="E157" s="156"/>
      <c r="F157" s="429" t="s">
        <v>1873</v>
      </c>
      <c r="G157" s="429" t="s">
        <v>1872</v>
      </c>
    </row>
    <row r="158" spans="1:10" x14ac:dyDescent="0.35">
      <c r="A158" s="59" t="s">
        <v>1525</v>
      </c>
      <c r="B158" s="145">
        <v>14.883836709293696</v>
      </c>
      <c r="C158" s="145">
        <v>257.4531099432557</v>
      </c>
      <c r="D158" s="145">
        <v>97.349697941479405</v>
      </c>
      <c r="E158" s="144">
        <v>8.1297741741544964</v>
      </c>
      <c r="F158" s="146">
        <v>406.42922702841605</v>
      </c>
      <c r="G158" s="144">
        <v>0.20321461351420803</v>
      </c>
    </row>
    <row r="159" spans="1:10" x14ac:dyDescent="0.35">
      <c r="A159" s="59" t="s">
        <v>1524</v>
      </c>
      <c r="B159" s="145">
        <v>55.379423401128193</v>
      </c>
      <c r="C159" s="145">
        <v>463.36239194926998</v>
      </c>
      <c r="D159" s="145">
        <v>410.22689932569284</v>
      </c>
      <c r="E159" s="144">
        <v>22.701840795959637</v>
      </c>
      <c r="F159" s="146">
        <v>1005.2141690199816</v>
      </c>
      <c r="G159" s="144">
        <v>0.50260708450999081</v>
      </c>
    </row>
    <row r="160" spans="1:10" x14ac:dyDescent="0.35">
      <c r="A160" s="59" t="s">
        <v>1563</v>
      </c>
      <c r="B160" s="145">
        <v>90.01995704909163</v>
      </c>
      <c r="C160" s="145">
        <v>1187.4861619774617</v>
      </c>
      <c r="D160" s="145">
        <v>578.38789776551323</v>
      </c>
      <c r="E160" s="144">
        <v>50.986429198938531</v>
      </c>
      <c r="F160" s="146">
        <v>2040.3847337683394</v>
      </c>
      <c r="G160" s="144">
        <v>1.0201923668841697</v>
      </c>
    </row>
    <row r="161" spans="1:7" x14ac:dyDescent="0.35">
      <c r="A161" s="59" t="s">
        <v>1522</v>
      </c>
      <c r="B161" s="145">
        <v>8.9748632111711739</v>
      </c>
      <c r="C161" s="145">
        <v>736.2859219892556</v>
      </c>
      <c r="D161" s="145">
        <v>30.131554589980677</v>
      </c>
      <c r="E161" s="144">
        <v>9.2086631009111368</v>
      </c>
      <c r="F161" s="146">
        <v>864.02598135337166</v>
      </c>
      <c r="G161" s="144">
        <v>0.4320129906766858</v>
      </c>
    </row>
    <row r="162" spans="1:7" x14ac:dyDescent="0.35">
      <c r="A162" s="59" t="s">
        <v>1521</v>
      </c>
      <c r="B162" s="145">
        <v>5.584263416255288</v>
      </c>
      <c r="C162" s="145">
        <v>352.49819224148439</v>
      </c>
      <c r="D162" s="145">
        <v>29.738303230726128</v>
      </c>
      <c r="E162" s="144">
        <v>4.0077589473157325</v>
      </c>
      <c r="F162" s="146">
        <v>429.94552364390222</v>
      </c>
      <c r="G162" s="144">
        <v>0.2149727618219511</v>
      </c>
    </row>
    <row r="163" spans="1:7" x14ac:dyDescent="0.35">
      <c r="A163" s="59" t="s">
        <v>1520</v>
      </c>
      <c r="B163" s="145">
        <v>97.518516381246926</v>
      </c>
      <c r="C163" s="145">
        <v>4406.4670515314565</v>
      </c>
      <c r="D163" s="145">
        <v>89.960311416225949</v>
      </c>
      <c r="E163" s="144">
        <v>138.46355384705083</v>
      </c>
      <c r="F163" s="146">
        <v>5210.8813930183505</v>
      </c>
      <c r="G163" s="144">
        <v>2.6054406965091754</v>
      </c>
    </row>
    <row r="164" spans="1:7" x14ac:dyDescent="0.35">
      <c r="A164" s="59" t="s">
        <v>1519</v>
      </c>
      <c r="B164" s="145">
        <v>0.72926684084866666</v>
      </c>
      <c r="C164" s="145">
        <v>8.5562432923424545</v>
      </c>
      <c r="D164" s="145">
        <v>5.3767537426761569</v>
      </c>
      <c r="E164" s="144">
        <v>0.29685163759722943</v>
      </c>
      <c r="F164" s="146">
        <v>15.926831549145732</v>
      </c>
      <c r="G164" s="144">
        <v>7.9634157745728656E-3</v>
      </c>
    </row>
    <row r="165" spans="1:7" x14ac:dyDescent="0.35">
      <c r="A165" s="59" t="s">
        <v>1518</v>
      </c>
      <c r="B165" s="145">
        <v>1.6936036602888893</v>
      </c>
      <c r="C165" s="145">
        <v>17.208897701356911</v>
      </c>
      <c r="D165" s="145">
        <v>12.505291418628374</v>
      </c>
      <c r="E165" s="144">
        <v>0.69689332857486319</v>
      </c>
      <c r="F165" s="146">
        <v>34.067259538483064</v>
      </c>
      <c r="G165" s="144">
        <v>1.7033629769241533E-2</v>
      </c>
    </row>
    <row r="166" spans="1:7" x14ac:dyDescent="0.35">
      <c r="A166" s="59" t="s">
        <v>1531</v>
      </c>
      <c r="B166" s="145">
        <v>258.22813946248056</v>
      </c>
      <c r="C166" s="145">
        <v>2987.9131891774432</v>
      </c>
      <c r="D166" s="145">
        <v>1681.1852939874759</v>
      </c>
      <c r="E166" s="144">
        <v>143.60980232542693</v>
      </c>
      <c r="F166" s="146">
        <v>5409.1260735049791</v>
      </c>
      <c r="G166" s="144">
        <v>2.7045630367524898</v>
      </c>
    </row>
    <row r="167" spans="1:7" x14ac:dyDescent="0.35">
      <c r="A167" s="59" t="s">
        <v>1530</v>
      </c>
      <c r="B167" s="145">
        <v>2.3622688183068399</v>
      </c>
      <c r="C167" s="145">
        <v>30.28778557055265</v>
      </c>
      <c r="D167" s="145">
        <v>16.398521298788065</v>
      </c>
      <c r="E167" s="144">
        <v>1.1628677911989092</v>
      </c>
      <c r="F167" s="146">
        <v>53.621318287834725</v>
      </c>
      <c r="G167" s="144">
        <v>2.6810659143917361E-2</v>
      </c>
    </row>
    <row r="168" spans="1:7" x14ac:dyDescent="0.35">
      <c r="A168" s="59" t="s">
        <v>1921</v>
      </c>
      <c r="B168" s="148">
        <v>0</v>
      </c>
      <c r="C168" s="148">
        <v>5.687258396258879</v>
      </c>
      <c r="D168" s="148">
        <v>0</v>
      </c>
      <c r="E168" s="147">
        <v>0</v>
      </c>
      <c r="F168" s="146">
        <v>6.2957950446585791</v>
      </c>
      <c r="G168" s="144">
        <v>3.1478975223292894E-3</v>
      </c>
    </row>
    <row r="169" spans="1:7" x14ac:dyDescent="0.35">
      <c r="A169" s="59" t="s">
        <v>1920</v>
      </c>
      <c r="B169" s="148">
        <v>0</v>
      </c>
      <c r="C169" s="148">
        <v>0.78393938882112013</v>
      </c>
      <c r="D169" s="148">
        <v>0</v>
      </c>
      <c r="E169" s="147">
        <v>0</v>
      </c>
      <c r="F169" s="146">
        <v>0.86782090342497997</v>
      </c>
      <c r="G169" s="144">
        <v>4.3391045171248997E-4</v>
      </c>
    </row>
    <row r="170" spans="1:7" x14ac:dyDescent="0.35">
      <c r="A170" s="59" t="s">
        <v>1529</v>
      </c>
      <c r="B170" s="154">
        <v>98001.723812409138</v>
      </c>
      <c r="C170" s="154">
        <v>1631051.529254802</v>
      </c>
      <c r="D170" s="154">
        <v>495445.27518728125</v>
      </c>
      <c r="E170" s="153">
        <v>75242.277673256714</v>
      </c>
      <c r="F170" s="155">
        <v>2481277.8909416096</v>
      </c>
      <c r="G170" s="153">
        <v>1240.6389454708049</v>
      </c>
    </row>
    <row r="171" spans="1:7" x14ac:dyDescent="0.35">
      <c r="A171" s="59" t="s">
        <v>1528</v>
      </c>
      <c r="B171" s="154">
        <v>98135.136578354883</v>
      </c>
      <c r="C171" s="154">
        <v>1632582.0656824263</v>
      </c>
      <c r="D171" s="154">
        <v>496393.32401623449</v>
      </c>
      <c r="E171" s="153">
        <v>75303.28979068363</v>
      </c>
      <c r="F171" s="155">
        <v>2484124.2176314513</v>
      </c>
      <c r="G171" s="153">
        <v>1242.0621088157257</v>
      </c>
    </row>
    <row r="172" spans="1:7" x14ac:dyDescent="0.35">
      <c r="A172" s="57" t="s">
        <v>1527</v>
      </c>
      <c r="B172" s="151">
        <v>106507.98199908061</v>
      </c>
      <c r="C172" s="151">
        <v>1776653.9749170567</v>
      </c>
      <c r="D172" s="151">
        <v>551174.4909800376</v>
      </c>
      <c r="E172" s="150">
        <v>79919.743825114143</v>
      </c>
      <c r="F172" s="155">
        <v>2711981.5823569805</v>
      </c>
      <c r="G172" s="150">
        <v>1355.9907911784901</v>
      </c>
    </row>
    <row r="173" spans="1:7" ht="13.15" x14ac:dyDescent="0.4">
      <c r="A173" s="128" t="s">
        <v>1919</v>
      </c>
      <c r="B173" s="120"/>
      <c r="C173" s="120"/>
      <c r="D173" s="120"/>
      <c r="E173" s="121"/>
      <c r="F173" s="428" t="s">
        <v>1873</v>
      </c>
      <c r="G173" s="427" t="s">
        <v>1872</v>
      </c>
    </row>
    <row r="174" spans="1:7" x14ac:dyDescent="0.35">
      <c r="A174" s="59" t="s">
        <v>1525</v>
      </c>
      <c r="B174" s="145">
        <v>0.81874936062844828</v>
      </c>
      <c r="C174" s="145">
        <v>9.899991251455317</v>
      </c>
      <c r="D174" s="145">
        <v>4.538662867108572</v>
      </c>
      <c r="E174" s="144">
        <v>0.57883797829232131</v>
      </c>
      <c r="F174" s="146">
        <v>16.954143325626717</v>
      </c>
      <c r="G174" s="144">
        <v>8.477071662813359E-3</v>
      </c>
    </row>
    <row r="175" spans="1:7" x14ac:dyDescent="0.35">
      <c r="A175" s="59" t="s">
        <v>1524</v>
      </c>
      <c r="B175" s="145">
        <v>5.0533827250588237</v>
      </c>
      <c r="C175" s="145">
        <v>45.620742945338186</v>
      </c>
      <c r="D175" s="145">
        <v>21.845564038011148</v>
      </c>
      <c r="E175" s="144">
        <v>4.530133641607855</v>
      </c>
      <c r="F175" s="146">
        <v>82.29294376709602</v>
      </c>
      <c r="G175" s="144">
        <v>4.1146471883548009E-2</v>
      </c>
    </row>
    <row r="176" spans="1:7" x14ac:dyDescent="0.35">
      <c r="A176" s="59" t="s">
        <v>1523</v>
      </c>
      <c r="B176" s="145">
        <v>10.168049033946687</v>
      </c>
      <c r="C176" s="145">
        <v>186.46445604821361</v>
      </c>
      <c r="D176" s="145">
        <v>26.134733400750211</v>
      </c>
      <c r="E176" s="144">
        <v>11.864418366094762</v>
      </c>
      <c r="F176" s="146">
        <v>255.31114192381787</v>
      </c>
      <c r="G176" s="144">
        <v>0.12765557096190894</v>
      </c>
    </row>
    <row r="177" spans="1:7" x14ac:dyDescent="0.35">
      <c r="A177" s="59" t="s">
        <v>1522</v>
      </c>
      <c r="B177" s="145">
        <v>0.94675070746143342</v>
      </c>
      <c r="C177" s="145">
        <v>26.893956510684102</v>
      </c>
      <c r="D177" s="145">
        <v>0.11901854240513113</v>
      </c>
      <c r="E177" s="144">
        <v>1.4621497190541703</v>
      </c>
      <c r="F177" s="146">
        <v>32.367293454885299</v>
      </c>
      <c r="G177" s="144">
        <v>1.6183646727442651E-2</v>
      </c>
    </row>
    <row r="178" spans="1:7" x14ac:dyDescent="0.35">
      <c r="A178" s="59" t="s">
        <v>1521</v>
      </c>
      <c r="B178" s="145">
        <v>0.69844367594910794</v>
      </c>
      <c r="C178" s="145">
        <v>19.0418779576015</v>
      </c>
      <c r="D178" s="145">
        <v>0.10324209253867245</v>
      </c>
      <c r="E178" s="144">
        <v>1.0762546369427881</v>
      </c>
      <c r="F178" s="146">
        <v>23.007291109045163</v>
      </c>
      <c r="G178" s="144">
        <v>1.150364555452258E-2</v>
      </c>
    </row>
    <row r="179" spans="1:7" x14ac:dyDescent="0.35">
      <c r="A179" s="59" t="s">
        <v>1520</v>
      </c>
      <c r="B179" s="145">
        <v>31.574488708676594</v>
      </c>
      <c r="C179" s="145">
        <v>996.53568413271012</v>
      </c>
      <c r="D179" s="145">
        <v>2.1677620614154072</v>
      </c>
      <c r="E179" s="144">
        <v>49.048896112331683</v>
      </c>
      <c r="F179" s="146">
        <v>1188.216124821146</v>
      </c>
      <c r="G179" s="144">
        <v>0.59410806241057301</v>
      </c>
    </row>
    <row r="180" spans="1:7" x14ac:dyDescent="0.35">
      <c r="A180" s="59" t="s">
        <v>1519</v>
      </c>
      <c r="B180" s="145">
        <v>4.2949331180151054E-2</v>
      </c>
      <c r="C180" s="145">
        <v>0.89720999314484773</v>
      </c>
      <c r="D180" s="145">
        <v>1.9642536581917471E-2</v>
      </c>
      <c r="E180" s="144">
        <v>6.411930226775843E-2</v>
      </c>
      <c r="F180" s="146">
        <v>1.122996773769724</v>
      </c>
      <c r="G180" s="144">
        <v>5.6149838688486194E-4</v>
      </c>
    </row>
    <row r="181" spans="1:7" x14ac:dyDescent="0.35">
      <c r="A181" s="57" t="s">
        <v>1518</v>
      </c>
      <c r="B181" s="142">
        <v>0.10865742648750785</v>
      </c>
      <c r="C181" s="142">
        <v>1.8427972571929747</v>
      </c>
      <c r="D181" s="142">
        <v>3.15462790413686E-2</v>
      </c>
      <c r="E181" s="141">
        <v>0.16497517276036491</v>
      </c>
      <c r="F181" s="143">
        <v>2.3529327059601344</v>
      </c>
      <c r="G181" s="141">
        <v>1.1764663529800672E-3</v>
      </c>
    </row>
  </sheetData>
  <mergeCells count="11">
    <mergeCell ref="L54:M54"/>
    <mergeCell ref="N54:O54"/>
    <mergeCell ref="P54:Q54"/>
    <mergeCell ref="R54:S54"/>
    <mergeCell ref="I112:J112"/>
    <mergeCell ref="J54:K54"/>
    <mergeCell ref="F148:G148"/>
    <mergeCell ref="B54:C54"/>
    <mergeCell ref="D54:E54"/>
    <mergeCell ref="F54:G54"/>
    <mergeCell ref="H54:I54"/>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K90"/>
  <sheetViews>
    <sheetView showGridLines="0" zoomScale="85" zoomScaleNormal="85" workbookViewId="0">
      <selection activeCell="G1" sqref="G1"/>
    </sheetView>
  </sheetViews>
  <sheetFormatPr defaultColWidth="9.1328125" defaultRowHeight="12.75" x14ac:dyDescent="0.35"/>
  <cols>
    <col min="1" max="1" width="38.1328125" style="39" customWidth="1"/>
    <col min="2" max="2" width="12" style="39" customWidth="1"/>
    <col min="3" max="3" width="9.86328125" style="39" customWidth="1"/>
    <col min="4" max="4" width="10.46484375" style="39" customWidth="1"/>
    <col min="5" max="5" width="10.796875" style="39" customWidth="1"/>
    <col min="6" max="16384" width="9.1328125" style="39"/>
  </cols>
  <sheetData>
    <row r="1" spans="1:9" ht="15" x14ac:dyDescent="0.4">
      <c r="A1" s="140" t="s">
        <v>1977</v>
      </c>
      <c r="G1" s="230" t="s">
        <v>1626</v>
      </c>
    </row>
    <row r="2" spans="1:9" ht="13.15" x14ac:dyDescent="0.4">
      <c r="A2" s="41"/>
    </row>
    <row r="3" spans="1:9" ht="13.9" x14ac:dyDescent="0.4">
      <c r="A3" s="72" t="s">
        <v>1976</v>
      </c>
    </row>
    <row r="4" spans="1:9" ht="13.15" x14ac:dyDescent="0.4">
      <c r="A4" s="41" t="s">
        <v>1975</v>
      </c>
    </row>
    <row r="5" spans="1:9" x14ac:dyDescent="0.35">
      <c r="A5" s="368" t="s">
        <v>288</v>
      </c>
      <c r="B5" s="218" t="s">
        <v>1417</v>
      </c>
    </row>
    <row r="6" spans="1:9" x14ac:dyDescent="0.35">
      <c r="A6" s="480">
        <v>0.85</v>
      </c>
      <c r="B6" s="479">
        <v>0.15000000000000002</v>
      </c>
    </row>
    <row r="8" spans="1:9" ht="13.9" x14ac:dyDescent="0.4">
      <c r="A8" s="72" t="s">
        <v>1734</v>
      </c>
    </row>
    <row r="9" spans="1:9" x14ac:dyDescent="0.35">
      <c r="A9" s="61" t="s">
        <v>1717</v>
      </c>
      <c r="B9" s="417">
        <v>1</v>
      </c>
    </row>
    <row r="10" spans="1:9" x14ac:dyDescent="0.35">
      <c r="A10" s="59" t="s">
        <v>1909</v>
      </c>
      <c r="B10" s="196">
        <v>1</v>
      </c>
    </row>
    <row r="11" spans="1:9" x14ac:dyDescent="0.35">
      <c r="A11" s="57" t="s">
        <v>1703</v>
      </c>
      <c r="B11" s="193">
        <v>1</v>
      </c>
    </row>
    <row r="13" spans="1:9" ht="13.9" x14ac:dyDescent="0.4">
      <c r="A13" s="72" t="s">
        <v>1701</v>
      </c>
    </row>
    <row r="14" spans="1:9" ht="13.15" x14ac:dyDescent="0.4">
      <c r="A14" s="131"/>
      <c r="B14" s="2193" t="s">
        <v>1328</v>
      </c>
      <c r="C14" s="2195"/>
      <c r="D14" s="2194" t="s">
        <v>1327</v>
      </c>
      <c r="E14" s="2194"/>
      <c r="F14" s="2193" t="s">
        <v>1326</v>
      </c>
      <c r="G14" s="2195"/>
      <c r="H14" s="2194" t="s">
        <v>1310</v>
      </c>
      <c r="I14" s="2195"/>
    </row>
    <row r="15" spans="1:9" ht="73.5" customHeight="1" x14ac:dyDescent="0.4">
      <c r="A15" s="454"/>
      <c r="B15" s="416" t="s">
        <v>1674</v>
      </c>
      <c r="C15" s="415" t="s">
        <v>1673</v>
      </c>
      <c r="D15" s="478" t="s">
        <v>1674</v>
      </c>
      <c r="E15" s="478" t="s">
        <v>1673</v>
      </c>
      <c r="F15" s="416" t="s">
        <v>1674</v>
      </c>
      <c r="G15" s="415" t="s">
        <v>1673</v>
      </c>
      <c r="H15" s="478" t="s">
        <v>1674</v>
      </c>
      <c r="I15" s="415" t="s">
        <v>1673</v>
      </c>
    </row>
    <row r="16" spans="1:9" ht="26.25" x14ac:dyDescent="0.4">
      <c r="A16" s="414" t="s">
        <v>1940</v>
      </c>
      <c r="B16" s="456">
        <v>1.339</v>
      </c>
      <c r="C16" s="60"/>
      <c r="D16" s="455">
        <v>0</v>
      </c>
      <c r="E16" s="101"/>
      <c r="F16" s="456">
        <v>33.801000000000002</v>
      </c>
      <c r="G16" s="60"/>
      <c r="H16" s="455">
        <v>0.54</v>
      </c>
      <c r="I16" s="60"/>
    </row>
    <row r="17" spans="1:9" ht="13.15" x14ac:dyDescent="0.4">
      <c r="A17" s="454" t="s">
        <v>1671</v>
      </c>
      <c r="B17" s="412">
        <v>0</v>
      </c>
      <c r="C17" s="100"/>
      <c r="D17" s="194">
        <v>0</v>
      </c>
      <c r="E17" s="77"/>
      <c r="F17" s="412">
        <v>0</v>
      </c>
      <c r="G17" s="100"/>
      <c r="H17" s="194">
        <v>0</v>
      </c>
      <c r="I17" s="100"/>
    </row>
    <row r="18" spans="1:9" ht="13.15" x14ac:dyDescent="0.4">
      <c r="A18" s="131" t="s">
        <v>1670</v>
      </c>
      <c r="B18" s="59"/>
      <c r="C18" s="99"/>
      <c r="F18" s="59"/>
      <c r="G18" s="99"/>
      <c r="I18" s="99"/>
    </row>
    <row r="19" spans="1:9" x14ac:dyDescent="0.35">
      <c r="A19" s="59" t="s">
        <v>1668</v>
      </c>
      <c r="B19" s="477">
        <v>0</v>
      </c>
      <c r="C19" s="99"/>
      <c r="D19" s="254">
        <v>0</v>
      </c>
      <c r="F19" s="477">
        <v>0</v>
      </c>
      <c r="G19" s="99"/>
      <c r="H19" s="254">
        <v>0</v>
      </c>
      <c r="I19" s="99"/>
    </row>
    <row r="20" spans="1:9" x14ac:dyDescent="0.35">
      <c r="A20" s="59" t="s">
        <v>1667</v>
      </c>
      <c r="B20" s="477">
        <v>0.93</v>
      </c>
      <c r="C20" s="99" t="s">
        <v>1939</v>
      </c>
      <c r="D20" s="254">
        <v>0</v>
      </c>
      <c r="F20" s="477">
        <v>0</v>
      </c>
      <c r="G20" s="99"/>
      <c r="H20" s="254">
        <v>0</v>
      </c>
      <c r="I20" s="99"/>
    </row>
    <row r="21" spans="1:9" x14ac:dyDescent="0.35">
      <c r="A21" s="59" t="s">
        <v>1534</v>
      </c>
      <c r="B21" s="477">
        <v>0</v>
      </c>
      <c r="C21" s="99"/>
      <c r="D21" s="254">
        <v>0</v>
      </c>
      <c r="F21" s="477">
        <v>0.96499999999999997</v>
      </c>
      <c r="G21" s="99"/>
      <c r="H21" s="254">
        <v>0</v>
      </c>
      <c r="I21" s="99"/>
    </row>
    <row r="22" spans="1:9" x14ac:dyDescent="0.35">
      <c r="A22" s="59" t="s">
        <v>1535</v>
      </c>
      <c r="B22" s="477">
        <v>0</v>
      </c>
      <c r="C22" s="99"/>
      <c r="D22" s="254">
        <v>0</v>
      </c>
      <c r="F22" s="477">
        <v>0</v>
      </c>
      <c r="G22" s="99"/>
      <c r="H22" s="254">
        <v>0</v>
      </c>
      <c r="I22" s="99"/>
    </row>
    <row r="23" spans="1:9" x14ac:dyDescent="0.35">
      <c r="A23" s="59" t="s">
        <v>1664</v>
      </c>
      <c r="B23" s="477">
        <v>6.9999999999999951E-2</v>
      </c>
      <c r="C23" s="99"/>
      <c r="D23" s="254">
        <v>1</v>
      </c>
      <c r="F23" s="477">
        <v>3.5000000000000031E-2</v>
      </c>
      <c r="G23" s="99"/>
      <c r="H23" s="254">
        <v>1</v>
      </c>
      <c r="I23" s="99"/>
    </row>
    <row r="24" spans="1:9" ht="13.15" x14ac:dyDescent="0.4">
      <c r="A24" s="131" t="s">
        <v>1669</v>
      </c>
      <c r="B24" s="61"/>
      <c r="C24" s="60"/>
      <c r="D24" s="101"/>
      <c r="E24" s="101"/>
      <c r="F24" s="61"/>
      <c r="G24" s="60"/>
      <c r="H24" s="101"/>
      <c r="I24" s="60"/>
    </row>
    <row r="25" spans="1:9" x14ac:dyDescent="0.35">
      <c r="A25" s="59" t="s">
        <v>1668</v>
      </c>
      <c r="B25" s="451">
        <v>0</v>
      </c>
      <c r="C25" s="99"/>
      <c r="D25" s="476">
        <v>0</v>
      </c>
      <c r="F25" s="451">
        <v>0</v>
      </c>
      <c r="G25" s="99"/>
      <c r="H25" s="476">
        <v>0</v>
      </c>
      <c r="I25" s="99"/>
    </row>
    <row r="26" spans="1:9" x14ac:dyDescent="0.35">
      <c r="A26" s="59" t="s">
        <v>1667</v>
      </c>
      <c r="B26" s="451">
        <v>1.2452700000000001</v>
      </c>
      <c r="C26" s="99"/>
      <c r="D26" s="476">
        <v>0</v>
      </c>
      <c r="F26" s="451">
        <v>0</v>
      </c>
      <c r="G26" s="99"/>
      <c r="H26" s="476">
        <v>0</v>
      </c>
      <c r="I26" s="99"/>
    </row>
    <row r="27" spans="1:9" x14ac:dyDescent="0.35">
      <c r="A27" s="59" t="s">
        <v>1534</v>
      </c>
      <c r="B27" s="451">
        <v>0</v>
      </c>
      <c r="C27" s="99"/>
      <c r="D27" s="476">
        <v>0</v>
      </c>
      <c r="F27" s="451">
        <v>32.617964999999998</v>
      </c>
      <c r="G27" s="99"/>
      <c r="H27" s="476">
        <v>0</v>
      </c>
      <c r="I27" s="99"/>
    </row>
    <row r="28" spans="1:9" x14ac:dyDescent="0.35">
      <c r="A28" s="59" t="s">
        <v>1535</v>
      </c>
      <c r="B28" s="451">
        <v>0</v>
      </c>
      <c r="C28" s="99"/>
      <c r="D28" s="476">
        <v>0</v>
      </c>
      <c r="F28" s="451">
        <v>0</v>
      </c>
      <c r="G28" s="99"/>
      <c r="H28" s="476">
        <v>0</v>
      </c>
      <c r="I28" s="99"/>
    </row>
    <row r="29" spans="1:9" x14ac:dyDescent="0.35">
      <c r="A29" s="59" t="s">
        <v>1664</v>
      </c>
      <c r="B29" s="451">
        <v>9.3729999999999938E-2</v>
      </c>
      <c r="C29" s="99"/>
      <c r="D29" s="476">
        <v>0</v>
      </c>
      <c r="F29" s="451">
        <v>1.1830350000000012</v>
      </c>
      <c r="G29" s="99"/>
      <c r="H29" s="476">
        <v>0.54</v>
      </c>
      <c r="I29" s="99"/>
    </row>
    <row r="30" spans="1:9" x14ac:dyDescent="0.35">
      <c r="A30" s="57" t="s">
        <v>1932</v>
      </c>
      <c r="B30" s="474"/>
      <c r="C30" s="100"/>
      <c r="D30" s="475">
        <v>0.84</v>
      </c>
      <c r="E30" s="77"/>
      <c r="F30" s="474"/>
      <c r="G30" s="100"/>
      <c r="H30" s="473"/>
      <c r="I30" s="100"/>
    </row>
    <row r="31" spans="1:9" x14ac:dyDescent="0.35">
      <c r="A31" s="61" t="s">
        <v>1537</v>
      </c>
      <c r="B31" s="237">
        <v>1.6920721948584883</v>
      </c>
      <c r="C31" s="156"/>
      <c r="D31" s="157">
        <v>24.976271560037301</v>
      </c>
      <c r="E31" s="157"/>
      <c r="F31" s="237">
        <v>38.400011407517411</v>
      </c>
      <c r="G31" s="156"/>
      <c r="H31" s="157">
        <v>1.1191778286585157</v>
      </c>
      <c r="I31" s="156"/>
    </row>
    <row r="32" spans="1:9" x14ac:dyDescent="0.35">
      <c r="A32" s="59" t="s">
        <v>1536</v>
      </c>
      <c r="B32" s="232">
        <v>1.6472551663108683</v>
      </c>
      <c r="C32" s="144"/>
      <c r="D32" s="145">
        <v>24.865058185032055</v>
      </c>
      <c r="E32" s="145"/>
      <c r="F32" s="232">
        <v>37.906699848667422</v>
      </c>
      <c r="G32" s="144"/>
      <c r="H32" s="145">
        <v>0.90451748004182386</v>
      </c>
      <c r="I32" s="144"/>
    </row>
    <row r="33" spans="1:9" x14ac:dyDescent="0.35">
      <c r="A33" s="59" t="s">
        <v>1535</v>
      </c>
      <c r="B33" s="232">
        <v>0.10776418425987971</v>
      </c>
      <c r="C33" s="144"/>
      <c r="D33" s="145">
        <v>24.292789609537888</v>
      </c>
      <c r="E33" s="145"/>
      <c r="F33" s="232">
        <v>1.1911534796696457</v>
      </c>
      <c r="G33" s="144"/>
      <c r="H33" s="145">
        <v>0.51834011715940109</v>
      </c>
      <c r="I33" s="144"/>
    </row>
    <row r="34" spans="1:9" x14ac:dyDescent="0.35">
      <c r="A34" s="59" t="s">
        <v>1534</v>
      </c>
      <c r="B34" s="232">
        <v>0.22793771878343394</v>
      </c>
      <c r="C34" s="144"/>
      <c r="D34" s="145">
        <v>0.23057814118939085</v>
      </c>
      <c r="E34" s="145"/>
      <c r="F34" s="232">
        <v>36.544568205425463</v>
      </c>
      <c r="G34" s="144"/>
      <c r="H34" s="145">
        <v>0.36856356347211322</v>
      </c>
      <c r="I34" s="144"/>
    </row>
    <row r="35" spans="1:9" x14ac:dyDescent="0.35">
      <c r="A35" s="57" t="s">
        <v>1533</v>
      </c>
      <c r="B35" s="231">
        <v>1.3115532632675546</v>
      </c>
      <c r="C35" s="141"/>
      <c r="D35" s="142">
        <v>0.34169043430477636</v>
      </c>
      <c r="E35" s="142"/>
      <c r="F35" s="231">
        <v>0.17097816357231668</v>
      </c>
      <c r="G35" s="141"/>
      <c r="H35" s="142">
        <v>1.7613799410309543E-2</v>
      </c>
      <c r="I35" s="141"/>
    </row>
    <row r="36" spans="1:9" x14ac:dyDescent="0.35">
      <c r="A36" s="59" t="s">
        <v>1532</v>
      </c>
      <c r="B36" s="49">
        <v>47.14337541504446</v>
      </c>
      <c r="C36" s="47"/>
      <c r="D36" s="48">
        <v>132.23476424177807</v>
      </c>
      <c r="E36" s="48"/>
      <c r="F36" s="49">
        <v>340.49118934379453</v>
      </c>
      <c r="G36" s="47"/>
      <c r="H36" s="48">
        <v>107.66448634965541</v>
      </c>
      <c r="I36" s="47"/>
    </row>
    <row r="37" spans="1:9" ht="13.15" x14ac:dyDescent="0.4">
      <c r="A37" s="131" t="s">
        <v>1663</v>
      </c>
      <c r="B37" s="387"/>
      <c r="C37" s="381"/>
      <c r="D37" s="382"/>
      <c r="E37" s="382"/>
      <c r="F37" s="387"/>
      <c r="G37" s="381"/>
      <c r="H37" s="382"/>
      <c r="I37" s="381"/>
    </row>
    <row r="38" spans="1:9" x14ac:dyDescent="0.35">
      <c r="A38" s="59" t="s">
        <v>1525</v>
      </c>
      <c r="B38" s="232">
        <v>40.800688935302979</v>
      </c>
      <c r="C38" s="144"/>
      <c r="D38" s="145">
        <v>2241.5655499112709</v>
      </c>
      <c r="E38" s="145"/>
      <c r="F38" s="232">
        <v>437.3310398292079</v>
      </c>
      <c r="G38" s="144"/>
      <c r="H38" s="145">
        <v>8.1297741741544964</v>
      </c>
      <c r="I38" s="144"/>
    </row>
    <row r="39" spans="1:9" x14ac:dyDescent="0.35">
      <c r="A39" s="59" t="s">
        <v>1524</v>
      </c>
      <c r="B39" s="232">
        <v>121.83971899889355</v>
      </c>
      <c r="C39" s="144"/>
      <c r="D39" s="145">
        <v>569.03614467848035</v>
      </c>
      <c r="E39" s="145"/>
      <c r="F39" s="232">
        <v>1817.5734275728735</v>
      </c>
      <c r="G39" s="144"/>
      <c r="H39" s="145">
        <v>22.701840795959637</v>
      </c>
      <c r="I39" s="144"/>
    </row>
    <row r="40" spans="1:9" x14ac:dyDescent="0.35">
      <c r="A40" s="59" t="s">
        <v>1523</v>
      </c>
      <c r="B40" s="232">
        <v>292.36975820058831</v>
      </c>
      <c r="C40" s="144"/>
      <c r="D40" s="145">
        <v>890.07181566954114</v>
      </c>
      <c r="E40" s="145"/>
      <c r="F40" s="232">
        <v>2604.2150537261641</v>
      </c>
      <c r="G40" s="144"/>
      <c r="H40" s="145">
        <v>50.986429198938531</v>
      </c>
      <c r="I40" s="144"/>
    </row>
    <row r="41" spans="1:9" x14ac:dyDescent="0.35">
      <c r="A41" s="59" t="s">
        <v>1522</v>
      </c>
      <c r="B41" s="232">
        <v>12.440472992139222</v>
      </c>
      <c r="C41" s="144"/>
      <c r="D41" s="145">
        <v>1130.1060157086683</v>
      </c>
      <c r="E41" s="145"/>
      <c r="F41" s="232">
        <v>150.02377500942202</v>
      </c>
      <c r="G41" s="144"/>
      <c r="H41" s="145">
        <v>9.2086631009111368</v>
      </c>
      <c r="I41" s="144"/>
    </row>
    <row r="42" spans="1:9" x14ac:dyDescent="0.35">
      <c r="A42" s="59" t="s">
        <v>1521</v>
      </c>
      <c r="B42" s="232">
        <v>6.8029313240530733</v>
      </c>
      <c r="C42" s="144"/>
      <c r="D42" s="145">
        <v>503.66740060967032</v>
      </c>
      <c r="E42" s="145"/>
      <c r="F42" s="232">
        <v>136.93492184061873</v>
      </c>
      <c r="G42" s="144"/>
      <c r="H42" s="145">
        <v>4.0077589473157325</v>
      </c>
      <c r="I42" s="144"/>
    </row>
    <row r="43" spans="1:9" x14ac:dyDescent="0.35">
      <c r="A43" s="59" t="s">
        <v>1520</v>
      </c>
      <c r="B43" s="232">
        <v>43.294086345957609</v>
      </c>
      <c r="C43" s="144"/>
      <c r="D43" s="145">
        <v>3179.7063151352354</v>
      </c>
      <c r="E43" s="145"/>
      <c r="F43" s="232">
        <v>691.02307248340503</v>
      </c>
      <c r="G43" s="144"/>
      <c r="H43" s="145">
        <v>138.46355384705083</v>
      </c>
      <c r="I43" s="144"/>
    </row>
    <row r="44" spans="1:9" x14ac:dyDescent="0.35">
      <c r="A44" s="59" t="s">
        <v>1519</v>
      </c>
      <c r="B44" s="232">
        <v>0.71598366748946496</v>
      </c>
      <c r="C44" s="144"/>
      <c r="D44" s="145">
        <v>2.9729206274347684</v>
      </c>
      <c r="E44" s="145"/>
      <c r="F44" s="232">
        <v>23.82100948201467</v>
      </c>
      <c r="G44" s="144"/>
      <c r="H44" s="145">
        <v>0.29685163759722943</v>
      </c>
      <c r="I44" s="144"/>
    </row>
    <row r="45" spans="1:9" x14ac:dyDescent="0.35">
      <c r="A45" s="59" t="s">
        <v>1518</v>
      </c>
      <c r="B45" s="232">
        <v>1.3185311134098199</v>
      </c>
      <c r="C45" s="144"/>
      <c r="D45" s="145">
        <v>8.5470765838346345</v>
      </c>
      <c r="E45" s="145"/>
      <c r="F45" s="232">
        <v>55.417252928153175</v>
      </c>
      <c r="G45" s="144"/>
      <c r="H45" s="145">
        <v>0.69689332857486319</v>
      </c>
      <c r="I45" s="144"/>
    </row>
    <row r="46" spans="1:9" x14ac:dyDescent="0.35">
      <c r="A46" s="59" t="s">
        <v>1531</v>
      </c>
      <c r="B46" s="232">
        <v>191.00382728335131</v>
      </c>
      <c r="C46" s="144"/>
      <c r="D46" s="145">
        <v>3274.6178498285681</v>
      </c>
      <c r="E46" s="145"/>
      <c r="F46" s="232">
        <v>7559.5469128141049</v>
      </c>
      <c r="G46" s="144"/>
      <c r="H46" s="145">
        <v>143.60980232542693</v>
      </c>
      <c r="I46" s="144"/>
    </row>
    <row r="47" spans="1:9" x14ac:dyDescent="0.35">
      <c r="A47" s="59" t="s">
        <v>1530</v>
      </c>
      <c r="B47" s="232">
        <v>0.65312721182971301</v>
      </c>
      <c r="C47" s="144"/>
      <c r="D47" s="145">
        <v>2.3333167968069293</v>
      </c>
      <c r="E47" s="145"/>
      <c r="F47" s="232">
        <v>73.2156570872815</v>
      </c>
      <c r="G47" s="144"/>
      <c r="H47" s="145">
        <v>1.1628677911989092</v>
      </c>
      <c r="I47" s="144"/>
    </row>
    <row r="48" spans="1:9" x14ac:dyDescent="0.35">
      <c r="A48" s="57" t="s">
        <v>1529</v>
      </c>
      <c r="B48" s="45">
        <v>127778.51474294106</v>
      </c>
      <c r="C48" s="150"/>
      <c r="D48" s="44">
        <v>302402.6743573948</v>
      </c>
      <c r="E48" s="151"/>
      <c r="F48" s="45">
        <v>2299920.6880451976</v>
      </c>
      <c r="G48" s="150"/>
      <c r="H48" s="44">
        <v>75242.277673256714</v>
      </c>
      <c r="I48" s="150"/>
    </row>
    <row r="49" spans="1:11" ht="13.15" x14ac:dyDescent="0.4">
      <c r="A49" s="128" t="s">
        <v>1662</v>
      </c>
      <c r="B49" s="240"/>
      <c r="C49" s="153"/>
      <c r="D49" s="154"/>
      <c r="E49" s="154"/>
      <c r="F49" s="240"/>
      <c r="G49" s="153"/>
      <c r="H49" s="154"/>
      <c r="I49" s="153"/>
    </row>
    <row r="50" spans="1:11" x14ac:dyDescent="0.35">
      <c r="A50" s="59" t="s">
        <v>1525</v>
      </c>
      <c r="B50" s="232">
        <v>3.8805414494012656</v>
      </c>
      <c r="C50" s="147"/>
      <c r="D50" s="145">
        <v>1.9113554896024685</v>
      </c>
      <c r="E50" s="148"/>
      <c r="F50" s="232">
        <v>20.827105016034</v>
      </c>
      <c r="G50" s="147"/>
      <c r="H50" s="145">
        <v>0.57883797829232131</v>
      </c>
      <c r="I50" s="147"/>
    </row>
    <row r="51" spans="1:11" x14ac:dyDescent="0.35">
      <c r="A51" s="59" t="s">
        <v>1524</v>
      </c>
      <c r="B51" s="232">
        <v>3.6187065838315449</v>
      </c>
      <c r="C51" s="147"/>
      <c r="D51" s="145">
        <v>5.0889677222809571</v>
      </c>
      <c r="E51" s="148"/>
      <c r="F51" s="232">
        <v>104.06625156724073</v>
      </c>
      <c r="G51" s="147"/>
      <c r="H51" s="145">
        <v>4.530133641607855</v>
      </c>
      <c r="I51" s="147"/>
    </row>
    <row r="52" spans="1:11" x14ac:dyDescent="0.35">
      <c r="A52" s="59" t="s">
        <v>1523</v>
      </c>
      <c r="B52" s="232">
        <v>7.16818355627729</v>
      </c>
      <c r="C52" s="147"/>
      <c r="D52" s="145">
        <v>21.906691158258376</v>
      </c>
      <c r="E52" s="148"/>
      <c r="F52" s="232">
        <v>138.61805570052729</v>
      </c>
      <c r="G52" s="147"/>
      <c r="H52" s="145">
        <v>11.864418366094762</v>
      </c>
      <c r="I52" s="147"/>
    </row>
    <row r="53" spans="1:11" x14ac:dyDescent="0.35">
      <c r="A53" s="59" t="s">
        <v>1522</v>
      </c>
      <c r="B53" s="232">
        <v>1.0124289742826835</v>
      </c>
      <c r="C53" s="147"/>
      <c r="D53" s="145">
        <v>1.3653795034457676</v>
      </c>
      <c r="E53" s="148"/>
      <c r="F53" s="232">
        <v>3.7161860645272999</v>
      </c>
      <c r="G53" s="147"/>
      <c r="H53" s="145">
        <v>1.4621497190541703</v>
      </c>
      <c r="I53" s="147"/>
    </row>
    <row r="54" spans="1:11" x14ac:dyDescent="0.35">
      <c r="A54" s="59" t="s">
        <v>1521</v>
      </c>
      <c r="B54" s="232">
        <v>0.77730219568954984</v>
      </c>
      <c r="C54" s="147"/>
      <c r="D54" s="145">
        <v>1.112147791486821</v>
      </c>
      <c r="E54" s="148"/>
      <c r="F54" s="232">
        <v>2.8027776991031859</v>
      </c>
      <c r="G54" s="147"/>
      <c r="H54" s="145">
        <v>1.0762546369427881</v>
      </c>
      <c r="I54" s="147"/>
    </row>
    <row r="55" spans="1:11" x14ac:dyDescent="0.35">
      <c r="A55" s="59" t="s">
        <v>1520</v>
      </c>
      <c r="B55" s="232">
        <v>14.444092933020759</v>
      </c>
      <c r="C55" s="147"/>
      <c r="D55" s="145">
        <v>26.482420251232998</v>
      </c>
      <c r="E55" s="148"/>
      <c r="F55" s="232">
        <v>116.79838126119431</v>
      </c>
      <c r="G55" s="147"/>
      <c r="H55" s="145">
        <v>49.048896112331683</v>
      </c>
      <c r="I55" s="147"/>
    </row>
    <row r="56" spans="1:11" x14ac:dyDescent="0.35">
      <c r="A56" s="59" t="s">
        <v>1519</v>
      </c>
      <c r="B56" s="232">
        <v>8.4577391602542573E-2</v>
      </c>
      <c r="C56" s="147"/>
      <c r="D56" s="145">
        <v>8.6265210942578385E-2</v>
      </c>
      <c r="E56" s="148"/>
      <c r="F56" s="232">
        <v>0.22512077284576165</v>
      </c>
      <c r="G56" s="147"/>
      <c r="H56" s="145">
        <v>6.411930226775843E-2</v>
      </c>
      <c r="I56" s="147"/>
    </row>
    <row r="57" spans="1:11" x14ac:dyDescent="0.35">
      <c r="A57" s="57" t="s">
        <v>1518</v>
      </c>
      <c r="B57" s="231">
        <v>0.131875161669917</v>
      </c>
      <c r="C57" s="443"/>
      <c r="D57" s="142">
        <v>0.47403685088581288</v>
      </c>
      <c r="E57" s="444"/>
      <c r="F57" s="231">
        <v>0.49737454504802781</v>
      </c>
      <c r="G57" s="443"/>
      <c r="H57" s="142">
        <v>0.16497517276036491</v>
      </c>
      <c r="I57" s="443"/>
    </row>
    <row r="59" spans="1:11" ht="13.9" x14ac:dyDescent="0.4">
      <c r="A59" s="72" t="s">
        <v>1974</v>
      </c>
    </row>
    <row r="60" spans="1:11" ht="39" customHeight="1" x14ac:dyDescent="0.4">
      <c r="A60" s="61"/>
      <c r="B60" s="180" t="s">
        <v>1328</v>
      </c>
      <c r="C60" s="472" t="s">
        <v>1327</v>
      </c>
      <c r="D60" s="179" t="s">
        <v>1326</v>
      </c>
      <c r="E60" s="180" t="s">
        <v>1310</v>
      </c>
      <c r="F60" s="2191" t="s">
        <v>1973</v>
      </c>
      <c r="G60" s="2192"/>
      <c r="H60" s="2196" t="s">
        <v>1972</v>
      </c>
      <c r="I60" s="2196"/>
      <c r="J60" s="2191" t="s">
        <v>324</v>
      </c>
      <c r="K60" s="2192"/>
    </row>
    <row r="61" spans="1:11" ht="13.15" x14ac:dyDescent="0.4">
      <c r="A61" s="131" t="s">
        <v>1632</v>
      </c>
      <c r="B61" s="134"/>
      <c r="C61" s="243"/>
      <c r="D61" s="133"/>
      <c r="E61" s="134"/>
      <c r="F61" s="428" t="s">
        <v>1873</v>
      </c>
      <c r="G61" s="470" t="s">
        <v>1872</v>
      </c>
      <c r="H61" s="470" t="s">
        <v>1873</v>
      </c>
      <c r="I61" s="471" t="s">
        <v>1872</v>
      </c>
      <c r="J61" s="428" t="s">
        <v>1873</v>
      </c>
      <c r="K61" s="470" t="s">
        <v>1872</v>
      </c>
    </row>
    <row r="62" spans="1:11" x14ac:dyDescent="0.35">
      <c r="A62" s="59" t="s">
        <v>1537</v>
      </c>
      <c r="B62" s="145">
        <v>1.6920721948584883</v>
      </c>
      <c r="C62" s="232">
        <v>24.976271560037301</v>
      </c>
      <c r="D62" s="144">
        <v>38.400011407517411</v>
      </c>
      <c r="E62" s="145">
        <v>1.1191778286585157</v>
      </c>
      <c r="F62" s="146">
        <v>27.787521583554305</v>
      </c>
      <c r="G62" s="144">
        <v>1.3893760791777152E-2</v>
      </c>
      <c r="H62" s="144">
        <v>41.211261431034416</v>
      </c>
      <c r="I62" s="145">
        <v>2.0605630715517208E-2</v>
      </c>
      <c r="J62" s="146">
        <v>29.801082560676321</v>
      </c>
      <c r="K62" s="144">
        <v>1.490054128033816E-2</v>
      </c>
    </row>
    <row r="63" spans="1:11" x14ac:dyDescent="0.35">
      <c r="A63" s="59" t="s">
        <v>1536</v>
      </c>
      <c r="B63" s="145">
        <v>1.6472551663108683</v>
      </c>
      <c r="C63" s="232">
        <v>24.865058185032055</v>
      </c>
      <c r="D63" s="144">
        <v>37.906699848667422</v>
      </c>
      <c r="E63" s="145">
        <v>0.90451748004182386</v>
      </c>
      <c r="F63" s="146">
        <v>27.416830831384747</v>
      </c>
      <c r="G63" s="144">
        <v>1.3708415415692373E-2</v>
      </c>
      <c r="H63" s="144">
        <v>40.458472495020118</v>
      </c>
      <c r="I63" s="145">
        <v>2.0229236247510059E-2</v>
      </c>
      <c r="J63" s="146">
        <v>29.373077080930052</v>
      </c>
      <c r="K63" s="144">
        <v>1.4686538540465026E-2</v>
      </c>
    </row>
    <row r="64" spans="1:11" x14ac:dyDescent="0.35">
      <c r="A64" s="59" t="s">
        <v>1535</v>
      </c>
      <c r="B64" s="145">
        <v>0.10776418425987971</v>
      </c>
      <c r="C64" s="232">
        <v>24.292789609537888</v>
      </c>
      <c r="D64" s="144">
        <v>1.1911534796696457</v>
      </c>
      <c r="E64" s="145">
        <v>0.51834011715940109</v>
      </c>
      <c r="F64" s="146">
        <v>24.918893910957166</v>
      </c>
      <c r="G64" s="144">
        <v>1.2459446955478582E-2</v>
      </c>
      <c r="H64" s="144">
        <v>1.8172577810889265</v>
      </c>
      <c r="I64" s="145">
        <v>9.0862889054446323E-4</v>
      </c>
      <c r="J64" s="146">
        <v>21.45364849147693</v>
      </c>
      <c r="K64" s="144">
        <v>1.0726824245738465E-2</v>
      </c>
    </row>
    <row r="65" spans="1:11" x14ac:dyDescent="0.35">
      <c r="A65" s="59" t="s">
        <v>1534</v>
      </c>
      <c r="B65" s="145">
        <v>0.22793771878343394</v>
      </c>
      <c r="C65" s="232">
        <v>0.23057814118939085</v>
      </c>
      <c r="D65" s="144">
        <v>36.544568205425463</v>
      </c>
      <c r="E65" s="145">
        <v>0.36856356347211322</v>
      </c>
      <c r="F65" s="146">
        <v>0.82707942344493801</v>
      </c>
      <c r="G65" s="144">
        <v>4.1353971172247001E-4</v>
      </c>
      <c r="H65" s="144">
        <v>37.141069487681015</v>
      </c>
      <c r="I65" s="145">
        <v>1.8570534743840506E-2</v>
      </c>
      <c r="J65" s="146">
        <v>6.2741779330803507</v>
      </c>
      <c r="K65" s="144">
        <v>3.1370889665401748E-3</v>
      </c>
    </row>
    <row r="66" spans="1:11" x14ac:dyDescent="0.35">
      <c r="A66" s="57" t="s">
        <v>1533</v>
      </c>
      <c r="B66" s="142">
        <v>1.3115532632675546</v>
      </c>
      <c r="C66" s="231">
        <v>0.34169043430477636</v>
      </c>
      <c r="D66" s="141">
        <v>0.17097816357231668</v>
      </c>
      <c r="E66" s="142">
        <v>1.7613799410309543E-2</v>
      </c>
      <c r="F66" s="143">
        <v>1.6708574969826406</v>
      </c>
      <c r="G66" s="141">
        <v>8.3542874849132029E-4</v>
      </c>
      <c r="H66" s="141">
        <v>1.5001452262501809</v>
      </c>
      <c r="I66" s="142">
        <v>7.5007261312509048E-4</v>
      </c>
      <c r="J66" s="143">
        <v>1.6452506563727718</v>
      </c>
      <c r="K66" s="141">
        <v>8.2262532818638584E-4</v>
      </c>
    </row>
    <row r="67" spans="1:11" x14ac:dyDescent="0.35">
      <c r="A67" s="59" t="s">
        <v>1532</v>
      </c>
      <c r="B67" s="48">
        <v>47.14337541504446</v>
      </c>
      <c r="C67" s="49">
        <v>132.23476424177807</v>
      </c>
      <c r="D67" s="47">
        <v>340.49118934379453</v>
      </c>
      <c r="E67" s="48">
        <v>107.66448634965541</v>
      </c>
      <c r="F67" s="155">
        <v>287.04262600647792</v>
      </c>
      <c r="G67" s="144">
        <v>0.14352131300323895</v>
      </c>
      <c r="H67" s="47">
        <v>495.29905110849444</v>
      </c>
      <c r="I67" s="145">
        <v>0.24764952555424721</v>
      </c>
      <c r="J67" s="155">
        <v>318.28108977178039</v>
      </c>
      <c r="K67" s="144">
        <v>0.15914054488589019</v>
      </c>
    </row>
    <row r="68" spans="1:11" ht="13.15" x14ac:dyDescent="0.4">
      <c r="A68" s="131" t="s">
        <v>1663</v>
      </c>
      <c r="B68" s="157"/>
      <c r="C68" s="237"/>
      <c r="D68" s="156"/>
      <c r="E68" s="157"/>
      <c r="F68" s="429" t="s">
        <v>1873</v>
      </c>
      <c r="G68" s="381" t="s">
        <v>1872</v>
      </c>
      <c r="H68" s="381" t="s">
        <v>1873</v>
      </c>
      <c r="I68" s="382" t="s">
        <v>1872</v>
      </c>
      <c r="J68" s="429" t="s">
        <v>1873</v>
      </c>
      <c r="K68" s="381" t="s">
        <v>1872</v>
      </c>
    </row>
    <row r="69" spans="1:11" x14ac:dyDescent="0.35">
      <c r="A69" s="59" t="s">
        <v>1525</v>
      </c>
      <c r="B69" s="145">
        <v>40.800688935302979</v>
      </c>
      <c r="C69" s="232">
        <v>2241.5655499112709</v>
      </c>
      <c r="D69" s="144">
        <v>437.3310398292079</v>
      </c>
      <c r="E69" s="145">
        <v>8.1297741741544964</v>
      </c>
      <c r="F69" s="146">
        <v>2290.4960130207282</v>
      </c>
      <c r="G69" s="144">
        <v>1.1452480065103641</v>
      </c>
      <c r="H69" s="144">
        <v>486.26150293866533</v>
      </c>
      <c r="I69" s="145">
        <v>0.24313075146933266</v>
      </c>
      <c r="J69" s="146">
        <v>2019.8608365084187</v>
      </c>
      <c r="K69" s="144">
        <v>1.0099304182542093</v>
      </c>
    </row>
    <row r="70" spans="1:11" x14ac:dyDescent="0.35">
      <c r="A70" s="59" t="s">
        <v>1524</v>
      </c>
      <c r="B70" s="145">
        <v>121.83971899889355</v>
      </c>
      <c r="C70" s="232">
        <v>569.03614467848035</v>
      </c>
      <c r="D70" s="144">
        <v>1817.5734275728735</v>
      </c>
      <c r="E70" s="145">
        <v>22.701840795959637</v>
      </c>
      <c r="F70" s="146">
        <v>713.57770447333348</v>
      </c>
      <c r="G70" s="144">
        <v>0.35678885223666673</v>
      </c>
      <c r="H70" s="144">
        <v>1962.1149873677266</v>
      </c>
      <c r="I70" s="145">
        <v>0.9810574936838633</v>
      </c>
      <c r="J70" s="146">
        <v>900.85829690749244</v>
      </c>
      <c r="K70" s="144">
        <v>0.45042914845374621</v>
      </c>
    </row>
    <row r="71" spans="1:11" x14ac:dyDescent="0.35">
      <c r="A71" s="59" t="s">
        <v>1563</v>
      </c>
      <c r="B71" s="145">
        <v>292.36975820058831</v>
      </c>
      <c r="C71" s="232">
        <v>890.07181566954114</v>
      </c>
      <c r="D71" s="144">
        <v>2604.2150537261641</v>
      </c>
      <c r="E71" s="145">
        <v>50.986429198938531</v>
      </c>
      <c r="F71" s="146">
        <v>1233.4280030690682</v>
      </c>
      <c r="G71" s="144">
        <v>0.61671400153453404</v>
      </c>
      <c r="H71" s="144">
        <v>2947.5712411256909</v>
      </c>
      <c r="I71" s="145">
        <v>1.4737856205628455</v>
      </c>
      <c r="J71" s="146">
        <v>1490.5494887775617</v>
      </c>
      <c r="K71" s="144">
        <v>0.74527474438878083</v>
      </c>
    </row>
    <row r="72" spans="1:11" x14ac:dyDescent="0.35">
      <c r="A72" s="59" t="s">
        <v>1522</v>
      </c>
      <c r="B72" s="145">
        <v>12.440472992139222</v>
      </c>
      <c r="C72" s="232">
        <v>1130.1060157086683</v>
      </c>
      <c r="D72" s="144">
        <v>150.02377500942202</v>
      </c>
      <c r="E72" s="145">
        <v>9.2086631009111368</v>
      </c>
      <c r="F72" s="146">
        <v>1151.7551518017185</v>
      </c>
      <c r="G72" s="144">
        <v>0.57587757590085931</v>
      </c>
      <c r="H72" s="144">
        <v>171.6729111024724</v>
      </c>
      <c r="I72" s="145">
        <v>8.5836455551236202E-2</v>
      </c>
      <c r="J72" s="146">
        <v>1004.7428156968316</v>
      </c>
      <c r="K72" s="144">
        <v>0.50237140784841583</v>
      </c>
    </row>
    <row r="73" spans="1:11" x14ac:dyDescent="0.35">
      <c r="A73" s="59" t="s">
        <v>1521</v>
      </c>
      <c r="B73" s="145">
        <v>6.8029313240530733</v>
      </c>
      <c r="C73" s="232">
        <v>503.66740060967032</v>
      </c>
      <c r="D73" s="144">
        <v>136.93492184061873</v>
      </c>
      <c r="E73" s="145">
        <v>4.0077589473157325</v>
      </c>
      <c r="F73" s="146">
        <v>514.47809088103918</v>
      </c>
      <c r="G73" s="144">
        <v>0.25723904544051956</v>
      </c>
      <c r="H73" s="144">
        <v>147.74561211198753</v>
      </c>
      <c r="I73" s="145">
        <v>7.3872806055993764E-2</v>
      </c>
      <c r="J73" s="146">
        <v>459.46821906568141</v>
      </c>
      <c r="K73" s="144">
        <v>0.22973410953284071</v>
      </c>
    </row>
    <row r="74" spans="1:11" x14ac:dyDescent="0.35">
      <c r="A74" s="59" t="s">
        <v>1520</v>
      </c>
      <c r="B74" s="145">
        <v>43.294086345957609</v>
      </c>
      <c r="C74" s="232">
        <v>3179.7063151352354</v>
      </c>
      <c r="D74" s="144">
        <v>691.02307248340503</v>
      </c>
      <c r="E74" s="145">
        <v>138.46355384705083</v>
      </c>
      <c r="F74" s="146">
        <v>3361.4639553282436</v>
      </c>
      <c r="G74" s="144">
        <v>1.6807319776641219</v>
      </c>
      <c r="H74" s="144">
        <v>872.78071267641349</v>
      </c>
      <c r="I74" s="145">
        <v>0.43639035633820672</v>
      </c>
      <c r="J74" s="146">
        <v>2988.1614689304688</v>
      </c>
      <c r="K74" s="144">
        <v>1.4940807344652345</v>
      </c>
    </row>
    <row r="75" spans="1:11" x14ac:dyDescent="0.35">
      <c r="A75" s="59" t="s">
        <v>1519</v>
      </c>
      <c r="B75" s="145">
        <v>0.71598366748946496</v>
      </c>
      <c r="C75" s="232">
        <v>2.9729206274347684</v>
      </c>
      <c r="D75" s="144">
        <v>23.82100948201467</v>
      </c>
      <c r="E75" s="145">
        <v>0.29685163759722943</v>
      </c>
      <c r="F75" s="146">
        <v>3.9857559325214629</v>
      </c>
      <c r="G75" s="144">
        <v>1.9928779662607313E-3</v>
      </c>
      <c r="H75" s="144">
        <v>24.833844787101363</v>
      </c>
      <c r="I75" s="145">
        <v>1.2416922393550682E-2</v>
      </c>
      <c r="J75" s="146">
        <v>7.1129692607084483</v>
      </c>
      <c r="K75" s="144">
        <v>3.5564846303542241E-3</v>
      </c>
    </row>
    <row r="76" spans="1:11" x14ac:dyDescent="0.35">
      <c r="A76" s="59" t="s">
        <v>1518</v>
      </c>
      <c r="B76" s="145">
        <v>1.3185311134098199</v>
      </c>
      <c r="C76" s="232">
        <v>8.5470765838346345</v>
      </c>
      <c r="D76" s="144">
        <v>55.417252928153175</v>
      </c>
      <c r="E76" s="145">
        <v>0.69689332857486319</v>
      </c>
      <c r="F76" s="146">
        <v>10.562501025819317</v>
      </c>
      <c r="G76" s="144">
        <v>5.2812505129096587E-3</v>
      </c>
      <c r="H76" s="144">
        <v>57.43267737013786</v>
      </c>
      <c r="I76" s="145">
        <v>2.871633868506893E-2</v>
      </c>
      <c r="J76" s="146">
        <v>17.5930274774671</v>
      </c>
      <c r="K76" s="144">
        <v>8.7965137387335506E-3</v>
      </c>
    </row>
    <row r="77" spans="1:11" x14ac:dyDescent="0.35">
      <c r="A77" s="59" t="s">
        <v>1531</v>
      </c>
      <c r="B77" s="145">
        <v>191.00382728335131</v>
      </c>
      <c r="C77" s="232">
        <v>3274.6178498285681</v>
      </c>
      <c r="D77" s="144">
        <v>7559.5469128141049</v>
      </c>
      <c r="E77" s="145">
        <v>143.60980232542693</v>
      </c>
      <c r="F77" s="146">
        <v>3609.231479437346</v>
      </c>
      <c r="G77" s="144">
        <v>1.8046157397186731</v>
      </c>
      <c r="H77" s="144">
        <v>7894.1605424228837</v>
      </c>
      <c r="I77" s="145">
        <v>3.9470802712114419</v>
      </c>
      <c r="J77" s="146">
        <v>4251.9708388851768</v>
      </c>
      <c r="K77" s="144">
        <v>2.1259854194425882</v>
      </c>
    </row>
    <row r="78" spans="1:11" x14ac:dyDescent="0.35">
      <c r="A78" s="59" t="s">
        <v>1530</v>
      </c>
      <c r="B78" s="145">
        <v>0.65312721182971301</v>
      </c>
      <c r="C78" s="232">
        <v>2.3333167968069293</v>
      </c>
      <c r="D78" s="144">
        <v>73.2156570872815</v>
      </c>
      <c r="E78" s="145">
        <v>1.1628677911989092</v>
      </c>
      <c r="F78" s="146">
        <v>4.1493117998355515</v>
      </c>
      <c r="G78" s="144">
        <v>2.0746558999177756E-3</v>
      </c>
      <c r="H78" s="144">
        <v>75.031652090310118</v>
      </c>
      <c r="I78" s="145">
        <v>3.7515826045155062E-2</v>
      </c>
      <c r="J78" s="146">
        <v>14.781662843406737</v>
      </c>
      <c r="K78" s="144">
        <v>7.3908314217033689E-3</v>
      </c>
    </row>
    <row r="79" spans="1:11" x14ac:dyDescent="0.35">
      <c r="A79" s="59" t="s">
        <v>1529</v>
      </c>
      <c r="B79" s="154">
        <v>127778.51474294106</v>
      </c>
      <c r="C79" s="240">
        <v>302402.6743573948</v>
      </c>
      <c r="D79" s="153">
        <v>2299920.6880451976</v>
      </c>
      <c r="E79" s="154">
        <v>75242.277673256714</v>
      </c>
      <c r="F79" s="239">
        <v>505423.46677359258</v>
      </c>
      <c r="G79" s="153">
        <v>252.71173338679628</v>
      </c>
      <c r="H79" s="153">
        <v>2502941.4804613953</v>
      </c>
      <c r="I79" s="154">
        <v>1251.4707402306976</v>
      </c>
      <c r="J79" s="239">
        <v>805051.16882676305</v>
      </c>
      <c r="K79" s="153">
        <v>402.52558441338152</v>
      </c>
    </row>
    <row r="80" spans="1:11" x14ac:dyDescent="0.35">
      <c r="A80" s="59" t="s">
        <v>1528</v>
      </c>
      <c r="B80" s="154">
        <v>128097.13930569244</v>
      </c>
      <c r="C80" s="240">
        <v>310283.08664387494</v>
      </c>
      <c r="D80" s="153">
        <v>2304139.8899340895</v>
      </c>
      <c r="E80" s="154">
        <v>75303.28979068363</v>
      </c>
      <c r="F80" s="239">
        <v>513683.51574025105</v>
      </c>
      <c r="G80" s="153">
        <v>256.84175787012555</v>
      </c>
      <c r="H80" s="153">
        <v>2507540.3190304656</v>
      </c>
      <c r="I80" s="154">
        <v>1253.7701595152328</v>
      </c>
      <c r="J80" s="239">
        <v>812762.03623378323</v>
      </c>
      <c r="K80" s="153">
        <v>406.3810181168916</v>
      </c>
    </row>
    <row r="81" spans="1:11" x14ac:dyDescent="0.35">
      <c r="A81" s="57" t="s">
        <v>1527</v>
      </c>
      <c r="B81" s="151">
        <v>134000.33283532786</v>
      </c>
      <c r="C81" s="389">
        <v>409139.95108988578</v>
      </c>
      <c r="D81" s="150">
        <v>2550328.4464466423</v>
      </c>
      <c r="E81" s="151">
        <v>79919.743825114143</v>
      </c>
      <c r="F81" s="435">
        <v>623060.02775032783</v>
      </c>
      <c r="G81" s="150">
        <v>311.53001387516395</v>
      </c>
      <c r="H81" s="150">
        <v>2764248.5231070844</v>
      </c>
      <c r="I81" s="151">
        <v>1382.1242615535421</v>
      </c>
      <c r="J81" s="435">
        <v>944238.3020538413</v>
      </c>
      <c r="K81" s="150">
        <v>472.11915102692063</v>
      </c>
    </row>
    <row r="82" spans="1:11" ht="13.15" x14ac:dyDescent="0.4">
      <c r="A82" s="128" t="s">
        <v>1662</v>
      </c>
      <c r="B82" s="48"/>
      <c r="C82" s="49"/>
      <c r="D82" s="47"/>
      <c r="E82" s="48"/>
      <c r="F82" s="429" t="s">
        <v>1873</v>
      </c>
      <c r="G82" s="381" t="s">
        <v>1872</v>
      </c>
      <c r="H82" s="381" t="s">
        <v>1873</v>
      </c>
      <c r="I82" s="469" t="s">
        <v>1872</v>
      </c>
      <c r="J82" s="468" t="s">
        <v>1873</v>
      </c>
      <c r="K82" s="467" t="s">
        <v>1872</v>
      </c>
    </row>
    <row r="83" spans="1:11" x14ac:dyDescent="0.35">
      <c r="A83" s="59" t="s">
        <v>1525</v>
      </c>
      <c r="B83" s="145">
        <v>3.8805414494012656</v>
      </c>
      <c r="C83" s="232">
        <v>1.9113554896024685</v>
      </c>
      <c r="D83" s="144">
        <v>20.827105016034</v>
      </c>
      <c r="E83" s="145">
        <v>0.57883797829232131</v>
      </c>
      <c r="F83" s="146">
        <v>6.3707349172960548</v>
      </c>
      <c r="G83" s="144">
        <v>3.1853674586480273E-3</v>
      </c>
      <c r="H83" s="144">
        <v>25.286484443727588</v>
      </c>
      <c r="I83" s="145">
        <v>1.2643242221863794E-2</v>
      </c>
      <c r="J83" s="146">
        <v>9.2080973462607858</v>
      </c>
      <c r="K83" s="144">
        <v>4.6040486731303929E-3</v>
      </c>
    </row>
    <row r="84" spans="1:11" x14ac:dyDescent="0.35">
      <c r="A84" s="59" t="s">
        <v>1524</v>
      </c>
      <c r="B84" s="145">
        <v>3.6187065838315449</v>
      </c>
      <c r="C84" s="232">
        <v>5.0889677222809571</v>
      </c>
      <c r="D84" s="144">
        <v>104.06625156724073</v>
      </c>
      <c r="E84" s="145">
        <v>4.530133641607855</v>
      </c>
      <c r="F84" s="146">
        <v>13.237807947720356</v>
      </c>
      <c r="G84" s="144">
        <v>6.618903973860178E-3</v>
      </c>
      <c r="H84" s="144">
        <v>112.21509179268013</v>
      </c>
      <c r="I84" s="145">
        <v>5.6107545896340066E-2</v>
      </c>
      <c r="J84" s="146">
        <v>28.084400524464321</v>
      </c>
      <c r="K84" s="144">
        <v>1.4042200262232161E-2</v>
      </c>
    </row>
    <row r="85" spans="1:11" x14ac:dyDescent="0.35">
      <c r="A85" s="59" t="s">
        <v>1523</v>
      </c>
      <c r="B85" s="145">
        <v>7.16818355627729</v>
      </c>
      <c r="C85" s="232">
        <v>21.906691158258376</v>
      </c>
      <c r="D85" s="144">
        <v>138.61805570052729</v>
      </c>
      <c r="E85" s="145">
        <v>11.864418366094762</v>
      </c>
      <c r="F85" s="146">
        <v>40.939293080630428</v>
      </c>
      <c r="G85" s="144">
        <v>2.0469646540315214E-2</v>
      </c>
      <c r="H85" s="144">
        <v>157.65065762289933</v>
      </c>
      <c r="I85" s="145">
        <v>7.8825328811449671E-2</v>
      </c>
      <c r="J85" s="146">
        <v>58.445997761970766</v>
      </c>
      <c r="K85" s="144">
        <v>2.9222998880985382E-2</v>
      </c>
    </row>
    <row r="86" spans="1:11" x14ac:dyDescent="0.35">
      <c r="A86" s="59" t="s">
        <v>1522</v>
      </c>
      <c r="B86" s="145">
        <v>1.0124289742826835</v>
      </c>
      <c r="C86" s="232">
        <v>1.3653795034457676</v>
      </c>
      <c r="D86" s="144">
        <v>3.7161860645272999</v>
      </c>
      <c r="E86" s="145">
        <v>1.4621497190541703</v>
      </c>
      <c r="F86" s="146">
        <v>3.8399581967826215</v>
      </c>
      <c r="G86" s="144">
        <v>1.9199790983913108E-3</v>
      </c>
      <c r="H86" s="144">
        <v>6.1907647578641534</v>
      </c>
      <c r="I86" s="145">
        <v>3.0953823789320765E-3</v>
      </c>
      <c r="J86" s="146">
        <v>4.1925791809448514</v>
      </c>
      <c r="K86" s="144">
        <v>2.0962895904724256E-3</v>
      </c>
    </row>
    <row r="87" spans="1:11" x14ac:dyDescent="0.35">
      <c r="A87" s="59" t="s">
        <v>1521</v>
      </c>
      <c r="B87" s="145">
        <v>0.77730219568954984</v>
      </c>
      <c r="C87" s="232">
        <v>1.112147791486821</v>
      </c>
      <c r="D87" s="144">
        <v>2.8027776991031859</v>
      </c>
      <c r="E87" s="145">
        <v>1.0762546369427881</v>
      </c>
      <c r="F87" s="146">
        <v>2.9657046241191587</v>
      </c>
      <c r="G87" s="144">
        <v>1.4828523120595793E-3</v>
      </c>
      <c r="H87" s="144">
        <v>4.6563345317355234</v>
      </c>
      <c r="I87" s="145">
        <v>2.3281672658677617E-3</v>
      </c>
      <c r="J87" s="146">
        <v>3.2192991102616135</v>
      </c>
      <c r="K87" s="144">
        <v>1.6096495551308067E-3</v>
      </c>
    </row>
    <row r="88" spans="1:11" x14ac:dyDescent="0.35">
      <c r="A88" s="59" t="s">
        <v>1520</v>
      </c>
      <c r="B88" s="145">
        <v>14.444092933020759</v>
      </c>
      <c r="C88" s="232">
        <v>26.482420251232998</v>
      </c>
      <c r="D88" s="144">
        <v>116.79838126119431</v>
      </c>
      <c r="E88" s="145">
        <v>49.048896112331683</v>
      </c>
      <c r="F88" s="146">
        <v>89.97540929658544</v>
      </c>
      <c r="G88" s="144">
        <v>4.4987704648292721E-2</v>
      </c>
      <c r="H88" s="144">
        <v>180.29137030654675</v>
      </c>
      <c r="I88" s="145">
        <v>9.0145685153273383E-2</v>
      </c>
      <c r="J88" s="146">
        <v>103.52280344807964</v>
      </c>
      <c r="K88" s="144">
        <v>5.176140172403982E-2</v>
      </c>
    </row>
    <row r="89" spans="1:11" x14ac:dyDescent="0.35">
      <c r="A89" s="59" t="s">
        <v>1519</v>
      </c>
      <c r="B89" s="145">
        <v>8.4577391602542573E-2</v>
      </c>
      <c r="C89" s="232">
        <v>8.6265210942578385E-2</v>
      </c>
      <c r="D89" s="144">
        <v>0.22512077284576165</v>
      </c>
      <c r="E89" s="145">
        <v>6.411930226775843E-2</v>
      </c>
      <c r="F89" s="146">
        <v>0.23496190481287937</v>
      </c>
      <c r="G89" s="144">
        <v>1.1748095240643969E-4</v>
      </c>
      <c r="H89" s="144">
        <v>0.37381746671606264</v>
      </c>
      <c r="I89" s="145">
        <v>1.8690873335803132E-4</v>
      </c>
      <c r="J89" s="146">
        <v>0.25579023909835685</v>
      </c>
      <c r="K89" s="144">
        <v>1.2789511954917844E-4</v>
      </c>
    </row>
    <row r="90" spans="1:11" x14ac:dyDescent="0.35">
      <c r="A90" s="57" t="s">
        <v>1518</v>
      </c>
      <c r="B90" s="142">
        <v>0.131875161669917</v>
      </c>
      <c r="C90" s="231">
        <v>0.47403685088581288</v>
      </c>
      <c r="D90" s="141">
        <v>0.49737454504802781</v>
      </c>
      <c r="E90" s="142">
        <v>0.16497517276036491</v>
      </c>
      <c r="F90" s="143">
        <v>0.77088718531609479</v>
      </c>
      <c r="G90" s="141">
        <v>3.8544359265804738E-4</v>
      </c>
      <c r="H90" s="141">
        <v>0.79422487947830966</v>
      </c>
      <c r="I90" s="142">
        <v>3.9711243973915484E-4</v>
      </c>
      <c r="J90" s="143">
        <v>0.77438783944042699</v>
      </c>
      <c r="K90" s="141">
        <v>3.8719391972021349E-4</v>
      </c>
    </row>
  </sheetData>
  <mergeCells count="7">
    <mergeCell ref="J60:K60"/>
    <mergeCell ref="B14:C14"/>
    <mergeCell ref="D14:E14"/>
    <mergeCell ref="F14:G14"/>
    <mergeCell ref="H14:I14"/>
    <mergeCell ref="F60:G60"/>
    <mergeCell ref="H60:I60"/>
  </mergeCells>
  <printOptions gridLinesSet="0"/>
  <pageMargins left="0.75" right="0.75" top="1" bottom="1" header="0.5" footer="0.5"/>
  <pageSetup scale="65" orientation="portrait" horizontalDpi="4294967292" r:id="rId1"/>
  <headerFooter alignWithMargins="0">
    <oddHeader>&amp;A</oddHeader>
    <oddFooter>Page &amp;P</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X193"/>
  <sheetViews>
    <sheetView showGridLines="0" zoomScale="85" zoomScaleNormal="85" workbookViewId="0">
      <selection activeCell="G1" sqref="G1"/>
    </sheetView>
  </sheetViews>
  <sheetFormatPr defaultColWidth="9.1328125" defaultRowHeight="12.75" x14ac:dyDescent="0.35"/>
  <cols>
    <col min="1" max="1" width="39.46484375" style="39" customWidth="1"/>
    <col min="2" max="2" width="11.46484375" style="39" customWidth="1"/>
    <col min="3" max="3" width="10.86328125" style="39" bestFit="1" customWidth="1"/>
    <col min="4" max="4" width="11.1328125" style="39" customWidth="1"/>
    <col min="5" max="23" width="10.46484375" style="39" customWidth="1"/>
    <col min="24" max="16384" width="9.1328125" style="39"/>
  </cols>
  <sheetData>
    <row r="1" spans="1:13" ht="15" x14ac:dyDescent="0.4">
      <c r="A1" s="140" t="s">
        <v>1992</v>
      </c>
      <c r="G1" s="230" t="s">
        <v>1626</v>
      </c>
    </row>
    <row r="2" spans="1:13" ht="13.15" x14ac:dyDescent="0.4">
      <c r="A2" s="41"/>
    </row>
    <row r="3" spans="1:13" ht="13.9" x14ac:dyDescent="0.4">
      <c r="A3" s="72" t="s">
        <v>1775</v>
      </c>
    </row>
    <row r="4" spans="1:13" ht="13.15" x14ac:dyDescent="0.4">
      <c r="A4" s="41" t="s">
        <v>1991</v>
      </c>
    </row>
    <row r="5" spans="1:13" ht="10.5" customHeight="1" x14ac:dyDescent="0.35">
      <c r="A5" s="104" t="s">
        <v>1415</v>
      </c>
      <c r="B5" s="90" t="s">
        <v>1414</v>
      </c>
      <c r="C5" s="89" t="s">
        <v>1413</v>
      </c>
    </row>
    <row r="6" spans="1:13" ht="10.5" customHeight="1" x14ac:dyDescent="0.35">
      <c r="A6" s="500">
        <v>0</v>
      </c>
      <c r="B6" s="423">
        <v>0.13</v>
      </c>
      <c r="C6" s="422">
        <v>0.87</v>
      </c>
    </row>
    <row r="7" spans="1:13" ht="10.5" customHeight="1" x14ac:dyDescent="0.4">
      <c r="A7" s="41"/>
    </row>
    <row r="8" spans="1:13" ht="13.15" x14ac:dyDescent="0.4">
      <c r="A8" s="41" t="s">
        <v>1990</v>
      </c>
    </row>
    <row r="9" spans="1:13" ht="37.5" customHeight="1" x14ac:dyDescent="0.35">
      <c r="A9" s="91"/>
      <c r="B9" s="103" t="s">
        <v>1318</v>
      </c>
      <c r="C9" s="103" t="s">
        <v>1403</v>
      </c>
      <c r="D9" s="103" t="s">
        <v>1316</v>
      </c>
      <c r="E9" s="103" t="s">
        <v>1402</v>
      </c>
      <c r="F9" s="103" t="s">
        <v>1314</v>
      </c>
      <c r="G9" s="103" t="s">
        <v>1401</v>
      </c>
      <c r="H9" s="103" t="s">
        <v>1400</v>
      </c>
      <c r="I9" s="103" t="s">
        <v>1323</v>
      </c>
      <c r="J9" s="103" t="s">
        <v>1322</v>
      </c>
      <c r="K9" s="103" t="s">
        <v>1321</v>
      </c>
      <c r="L9" s="86" t="s">
        <v>1320</v>
      </c>
    </row>
    <row r="10" spans="1:13" x14ac:dyDescent="0.35">
      <c r="A10" s="277" t="s">
        <v>1410</v>
      </c>
      <c r="B10" s="120">
        <v>1</v>
      </c>
      <c r="C10" s="120">
        <v>1</v>
      </c>
      <c r="D10" s="120">
        <v>1</v>
      </c>
      <c r="E10" s="120">
        <v>1</v>
      </c>
      <c r="F10" s="120">
        <v>1.02</v>
      </c>
      <c r="G10" s="120"/>
      <c r="H10" s="120"/>
      <c r="I10" s="120">
        <v>1.0349999999999999</v>
      </c>
      <c r="J10" s="120">
        <v>0</v>
      </c>
      <c r="K10" s="120">
        <v>1</v>
      </c>
      <c r="L10" s="121">
        <v>0</v>
      </c>
    </row>
    <row r="11" spans="1:13" x14ac:dyDescent="0.35">
      <c r="A11" s="277" t="s">
        <v>1409</v>
      </c>
      <c r="B11" s="120">
        <v>1</v>
      </c>
      <c r="C11" s="120">
        <v>1</v>
      </c>
      <c r="D11" s="120">
        <v>1</v>
      </c>
      <c r="E11" s="120">
        <v>1</v>
      </c>
      <c r="F11" s="120">
        <v>1.02</v>
      </c>
      <c r="G11" s="120"/>
      <c r="H11" s="120"/>
      <c r="I11" s="120">
        <v>1.0349999999999999</v>
      </c>
      <c r="J11" s="120">
        <v>1</v>
      </c>
      <c r="K11" s="120">
        <v>1</v>
      </c>
      <c r="L11" s="121">
        <v>0</v>
      </c>
    </row>
    <row r="12" spans="1:13" x14ac:dyDescent="0.35">
      <c r="A12" s="277" t="s">
        <v>1408</v>
      </c>
      <c r="B12" s="120">
        <v>1</v>
      </c>
      <c r="C12" s="120">
        <v>1</v>
      </c>
      <c r="D12" s="120">
        <v>1</v>
      </c>
      <c r="E12" s="120">
        <v>1</v>
      </c>
      <c r="F12" s="120">
        <v>1.02</v>
      </c>
      <c r="G12" s="120"/>
      <c r="H12" s="120"/>
      <c r="I12" s="120">
        <v>0</v>
      </c>
      <c r="J12" s="120">
        <v>0</v>
      </c>
      <c r="K12" s="120">
        <v>0</v>
      </c>
      <c r="L12" s="121">
        <v>1</v>
      </c>
    </row>
    <row r="13" spans="1:13" x14ac:dyDescent="0.35">
      <c r="A13" s="277" t="s">
        <v>1407</v>
      </c>
      <c r="B13" s="120"/>
      <c r="C13" s="120"/>
      <c r="D13" s="120"/>
      <c r="E13" s="120"/>
      <c r="F13" s="120"/>
      <c r="G13" s="120">
        <v>0.96799999999999997</v>
      </c>
      <c r="H13" s="120">
        <v>1</v>
      </c>
      <c r="I13" s="120">
        <v>1.0349999999999999</v>
      </c>
      <c r="J13" s="120">
        <v>0</v>
      </c>
      <c r="K13" s="120">
        <v>1</v>
      </c>
      <c r="L13" s="121">
        <v>0</v>
      </c>
    </row>
    <row r="14" spans="1:13" x14ac:dyDescent="0.35">
      <c r="A14" s="277" t="s">
        <v>1406</v>
      </c>
      <c r="B14" s="120"/>
      <c r="C14" s="120"/>
      <c r="D14" s="120"/>
      <c r="E14" s="120"/>
      <c r="F14" s="120"/>
      <c r="G14" s="120">
        <v>0.96799999999999997</v>
      </c>
      <c r="H14" s="120">
        <v>1</v>
      </c>
      <c r="I14" s="120">
        <v>1.0349999999999999</v>
      </c>
      <c r="J14" s="120">
        <v>1</v>
      </c>
      <c r="K14" s="120">
        <v>1</v>
      </c>
      <c r="L14" s="121">
        <v>0</v>
      </c>
    </row>
    <row r="15" spans="1:13" x14ac:dyDescent="0.35">
      <c r="A15" s="273" t="s">
        <v>1405</v>
      </c>
      <c r="B15" s="119"/>
      <c r="C15" s="119"/>
      <c r="D15" s="119"/>
      <c r="E15" s="119"/>
      <c r="F15" s="119"/>
      <c r="G15" s="119">
        <v>0.96799999999999997</v>
      </c>
      <c r="H15" s="119">
        <v>1</v>
      </c>
      <c r="I15" s="119">
        <v>0</v>
      </c>
      <c r="J15" s="119">
        <v>0</v>
      </c>
      <c r="K15" s="119">
        <v>0</v>
      </c>
      <c r="L15" s="466">
        <v>1</v>
      </c>
    </row>
    <row r="16" spans="1:13" x14ac:dyDescent="0.35">
      <c r="A16" s="499"/>
      <c r="B16" s="120"/>
      <c r="C16" s="120"/>
      <c r="D16" s="120"/>
      <c r="E16" s="120"/>
      <c r="F16" s="120"/>
      <c r="G16" s="120"/>
      <c r="H16" s="120"/>
      <c r="I16" s="120"/>
      <c r="J16" s="120"/>
      <c r="K16" s="120"/>
      <c r="L16" s="120"/>
      <c r="M16" s="120"/>
    </row>
    <row r="17" spans="1:2" ht="13.15" x14ac:dyDescent="0.4">
      <c r="A17" s="41" t="s">
        <v>1989</v>
      </c>
      <c r="B17" s="197"/>
    </row>
    <row r="18" spans="1:2" ht="25.5" x14ac:dyDescent="0.35">
      <c r="A18" s="70"/>
      <c r="B18" s="498" t="s">
        <v>1347</v>
      </c>
    </row>
    <row r="19" spans="1:2" x14ac:dyDescent="0.35">
      <c r="A19" s="497" t="s">
        <v>112</v>
      </c>
      <c r="B19" s="465">
        <v>0</v>
      </c>
    </row>
    <row r="20" spans="1:2" x14ac:dyDescent="0.35">
      <c r="A20" s="497" t="s">
        <v>113</v>
      </c>
      <c r="B20" s="465">
        <v>0</v>
      </c>
    </row>
    <row r="21" spans="1:2" x14ac:dyDescent="0.35">
      <c r="A21" s="497" t="s">
        <v>114</v>
      </c>
      <c r="B21" s="465">
        <v>0.90080971659919029</v>
      </c>
    </row>
    <row r="22" spans="1:2" x14ac:dyDescent="0.35">
      <c r="A22" s="497" t="s">
        <v>273</v>
      </c>
      <c r="B22" s="465">
        <v>0</v>
      </c>
    </row>
    <row r="23" spans="1:2" x14ac:dyDescent="0.35">
      <c r="A23" s="497" t="s">
        <v>116</v>
      </c>
      <c r="B23" s="465">
        <v>0</v>
      </c>
    </row>
    <row r="24" spans="1:2" x14ac:dyDescent="0.35">
      <c r="A24" s="327" t="s">
        <v>292</v>
      </c>
      <c r="B24" s="464">
        <v>9.9190283400809709E-2</v>
      </c>
    </row>
    <row r="25" spans="1:2" x14ac:dyDescent="0.35">
      <c r="A25" s="50" t="s">
        <v>1968</v>
      </c>
      <c r="B25" s="462">
        <v>2790643.8718784591</v>
      </c>
    </row>
    <row r="26" spans="1:2" x14ac:dyDescent="0.35">
      <c r="A26" s="50" t="s">
        <v>1967</v>
      </c>
      <c r="B26" s="462">
        <v>2684341.4688642728</v>
      </c>
    </row>
    <row r="27" spans="1:2" x14ac:dyDescent="0.35">
      <c r="A27" s="50" t="s">
        <v>114</v>
      </c>
      <c r="B27" s="462">
        <v>2635640.6709843469</v>
      </c>
    </row>
    <row r="28" spans="1:2" x14ac:dyDescent="0.35">
      <c r="A28" s="50" t="s">
        <v>113</v>
      </c>
      <c r="B28" s="462">
        <v>8238.2922003948624</v>
      </c>
    </row>
    <row r="29" spans="1:2" x14ac:dyDescent="0.35">
      <c r="A29" s="50" t="s">
        <v>1966</v>
      </c>
      <c r="B29" s="462">
        <v>40462.505679530826</v>
      </c>
    </row>
    <row r="30" spans="1:2" x14ac:dyDescent="0.35">
      <c r="A30" s="50" t="s">
        <v>1532</v>
      </c>
      <c r="B30" s="462">
        <v>256.57927749765281</v>
      </c>
    </row>
    <row r="31" spans="1:2" x14ac:dyDescent="0.35">
      <c r="A31" s="50" t="s">
        <v>1965</v>
      </c>
      <c r="B31" s="430">
        <v>22.076929493052695</v>
      </c>
    </row>
    <row r="32" spans="1:2" x14ac:dyDescent="0.35">
      <c r="A32" s="50" t="s">
        <v>1964</v>
      </c>
      <c r="B32" s="430">
        <v>23.033601100186946</v>
      </c>
    </row>
    <row r="33" spans="1:2" x14ac:dyDescent="0.35">
      <c r="A33" s="50" t="s">
        <v>1963</v>
      </c>
      <c r="B33" s="430">
        <v>135.70011240106638</v>
      </c>
    </row>
    <row r="34" spans="1:2" x14ac:dyDescent="0.35">
      <c r="A34" s="50" t="s">
        <v>1962</v>
      </c>
      <c r="B34" s="430">
        <v>40.08193582575511</v>
      </c>
    </row>
    <row r="35" spans="1:2" x14ac:dyDescent="0.35">
      <c r="A35" s="50" t="s">
        <v>1961</v>
      </c>
      <c r="B35" s="430">
        <v>15.718021336752905</v>
      </c>
    </row>
    <row r="36" spans="1:2" x14ac:dyDescent="0.35">
      <c r="A36" s="50" t="s">
        <v>1960</v>
      </c>
      <c r="B36" s="430">
        <v>667.8611086763093</v>
      </c>
    </row>
    <row r="37" spans="1:2" x14ac:dyDescent="0.35">
      <c r="A37" s="50" t="s">
        <v>1959</v>
      </c>
      <c r="B37" s="430">
        <v>0.74520778019188305</v>
      </c>
    </row>
    <row r="38" spans="1:2" x14ac:dyDescent="0.35">
      <c r="A38" s="50" t="s">
        <v>1958</v>
      </c>
      <c r="B38" s="430">
        <v>1.6748917602438931</v>
      </c>
    </row>
    <row r="39" spans="1:2" x14ac:dyDescent="0.35">
      <c r="A39" s="50" t="s">
        <v>1957</v>
      </c>
      <c r="B39" s="430">
        <v>391.52712641805448</v>
      </c>
    </row>
    <row r="40" spans="1:2" x14ac:dyDescent="0.35">
      <c r="A40" s="50" t="s">
        <v>1956</v>
      </c>
      <c r="B40" s="430">
        <v>4.2446163558986063</v>
      </c>
    </row>
    <row r="41" spans="1:2" x14ac:dyDescent="0.35">
      <c r="A41" s="50" t="s">
        <v>1955</v>
      </c>
      <c r="B41" s="462">
        <v>267325.09036787058</v>
      </c>
    </row>
    <row r="42" spans="1:2" x14ac:dyDescent="0.35">
      <c r="A42" s="55" t="s">
        <v>1954</v>
      </c>
      <c r="B42" s="461">
        <v>1.0997514805620461</v>
      </c>
    </row>
    <row r="43" spans="1:2" x14ac:dyDescent="0.35">
      <c r="A43" s="50" t="s">
        <v>1953</v>
      </c>
      <c r="B43" s="430">
        <v>6.2387549061198353</v>
      </c>
    </row>
    <row r="44" spans="1:2" x14ac:dyDescent="0.35">
      <c r="A44" s="50" t="s">
        <v>1952</v>
      </c>
      <c r="B44" s="430">
        <v>40.063076083605381</v>
      </c>
    </row>
    <row r="45" spans="1:2" x14ac:dyDescent="0.35">
      <c r="A45" s="50" t="s">
        <v>1951</v>
      </c>
      <c r="B45" s="430">
        <v>6.5295301493000331</v>
      </c>
    </row>
    <row r="46" spans="1:2" x14ac:dyDescent="0.35">
      <c r="A46" s="50" t="s">
        <v>1950</v>
      </c>
      <c r="B46" s="430">
        <v>4.597529083141862</v>
      </c>
    </row>
    <row r="47" spans="1:2" x14ac:dyDescent="0.35">
      <c r="A47" s="50" t="s">
        <v>1949</v>
      </c>
      <c r="B47" s="430">
        <v>247.4859900943099</v>
      </c>
    </row>
    <row r="48" spans="1:2" x14ac:dyDescent="0.35">
      <c r="A48" s="50" t="s">
        <v>1948</v>
      </c>
      <c r="B48" s="430">
        <v>0.2013983639404702</v>
      </c>
    </row>
    <row r="49" spans="1:23" x14ac:dyDescent="0.35">
      <c r="A49" s="46" t="s">
        <v>1947</v>
      </c>
      <c r="B49" s="496">
        <v>0.41476626056704829</v>
      </c>
    </row>
    <row r="50" spans="1:23" x14ac:dyDescent="0.35">
      <c r="B50" s="197"/>
    </row>
    <row r="51" spans="1:23" ht="13.9" x14ac:dyDescent="0.4">
      <c r="A51" s="72" t="s">
        <v>1734</v>
      </c>
    </row>
    <row r="52" spans="1:23" x14ac:dyDescent="0.35">
      <c r="A52" s="61" t="s">
        <v>1717</v>
      </c>
      <c r="B52" s="417">
        <v>1</v>
      </c>
    </row>
    <row r="53" spans="1:23" x14ac:dyDescent="0.35">
      <c r="A53" s="59" t="s">
        <v>1909</v>
      </c>
      <c r="B53" s="196">
        <v>1</v>
      </c>
    </row>
    <row r="54" spans="1:23" x14ac:dyDescent="0.35">
      <c r="A54" s="59" t="s">
        <v>1946</v>
      </c>
      <c r="B54" s="457">
        <v>0</v>
      </c>
    </row>
    <row r="55" spans="1:23" x14ac:dyDescent="0.35">
      <c r="A55" s="59" t="s">
        <v>1703</v>
      </c>
      <c r="B55" s="196">
        <v>1</v>
      </c>
    </row>
    <row r="56" spans="1:23" x14ac:dyDescent="0.35">
      <c r="A56" s="59" t="s">
        <v>1945</v>
      </c>
      <c r="B56" s="457">
        <v>1</v>
      </c>
      <c r="F56" s="297"/>
    </row>
    <row r="57" spans="1:23" x14ac:dyDescent="0.35">
      <c r="A57" s="59" t="s">
        <v>1944</v>
      </c>
      <c r="B57" s="457">
        <v>0</v>
      </c>
      <c r="F57" s="297"/>
    </row>
    <row r="58" spans="1:23" x14ac:dyDescent="0.35">
      <c r="A58" s="59" t="s">
        <v>1943</v>
      </c>
      <c r="B58" s="457">
        <v>0</v>
      </c>
      <c r="F58" s="297"/>
    </row>
    <row r="59" spans="1:23" x14ac:dyDescent="0.35">
      <c r="A59" s="57" t="s">
        <v>1942</v>
      </c>
      <c r="B59" s="323">
        <v>1</v>
      </c>
      <c r="F59" s="297"/>
    </row>
    <row r="60" spans="1:23" x14ac:dyDescent="0.35">
      <c r="F60" s="297"/>
    </row>
    <row r="61" spans="1:23" ht="13.9" x14ac:dyDescent="0.4">
      <c r="A61" s="72" t="s">
        <v>1701</v>
      </c>
    </row>
    <row r="62" spans="1:23" ht="27" customHeight="1" x14ac:dyDescent="0.4">
      <c r="A62" s="61"/>
      <c r="B62" s="2191" t="s">
        <v>1318</v>
      </c>
      <c r="C62" s="2192"/>
      <c r="D62" s="2196" t="s">
        <v>1317</v>
      </c>
      <c r="E62" s="2196"/>
      <c r="F62" s="2191" t="s">
        <v>1316</v>
      </c>
      <c r="G62" s="2192"/>
      <c r="H62" s="2196" t="s">
        <v>1315</v>
      </c>
      <c r="I62" s="2196"/>
      <c r="J62" s="2191" t="s">
        <v>1314</v>
      </c>
      <c r="K62" s="2192"/>
      <c r="L62" s="2196" t="s">
        <v>1941</v>
      </c>
      <c r="M62" s="2196"/>
      <c r="N62" s="2191" t="s">
        <v>1312</v>
      </c>
      <c r="O62" s="2192"/>
      <c r="P62" s="2196" t="s">
        <v>1323</v>
      </c>
      <c r="Q62" s="2196"/>
      <c r="R62" s="2191" t="s">
        <v>1322</v>
      </c>
      <c r="S62" s="2192"/>
      <c r="T62" s="2196" t="s">
        <v>1321</v>
      </c>
      <c r="U62" s="2196"/>
      <c r="V62" s="2191" t="s">
        <v>1320</v>
      </c>
      <c r="W62" s="2192"/>
    </row>
    <row r="63" spans="1:23" ht="70.5" customHeight="1" x14ac:dyDescent="0.35">
      <c r="A63" s="59"/>
      <c r="B63" s="248" t="s">
        <v>1674</v>
      </c>
      <c r="C63" s="246" t="s">
        <v>1673</v>
      </c>
      <c r="D63" s="247" t="s">
        <v>1674</v>
      </c>
      <c r="E63" s="247" t="s">
        <v>1673</v>
      </c>
      <c r="F63" s="248" t="s">
        <v>1674</v>
      </c>
      <c r="G63" s="246" t="s">
        <v>1673</v>
      </c>
      <c r="H63" s="247" t="s">
        <v>1674</v>
      </c>
      <c r="I63" s="247" t="s">
        <v>1673</v>
      </c>
      <c r="J63" s="248" t="s">
        <v>1674</v>
      </c>
      <c r="K63" s="246" t="s">
        <v>1673</v>
      </c>
      <c r="L63" s="247" t="s">
        <v>1674</v>
      </c>
      <c r="M63" s="247" t="s">
        <v>1673</v>
      </c>
      <c r="N63" s="248" t="s">
        <v>1674</v>
      </c>
      <c r="O63" s="246" t="s">
        <v>1673</v>
      </c>
      <c r="P63" s="247" t="s">
        <v>1674</v>
      </c>
      <c r="Q63" s="247" t="s">
        <v>1673</v>
      </c>
      <c r="R63" s="248" t="s">
        <v>1674</v>
      </c>
      <c r="S63" s="246" t="s">
        <v>1673</v>
      </c>
      <c r="T63" s="247" t="s">
        <v>1674</v>
      </c>
      <c r="U63" s="247" t="s">
        <v>1673</v>
      </c>
      <c r="V63" s="248" t="s">
        <v>1674</v>
      </c>
      <c r="W63" s="246" t="s">
        <v>1673</v>
      </c>
    </row>
    <row r="64" spans="1:23" ht="26.25" x14ac:dyDescent="0.4">
      <c r="A64" s="414" t="s">
        <v>1940</v>
      </c>
      <c r="B64" s="456">
        <v>0.57699999999999996</v>
      </c>
      <c r="C64" s="60"/>
      <c r="D64" s="455">
        <v>17.835000000000001</v>
      </c>
      <c r="E64" s="101"/>
      <c r="F64" s="456">
        <v>1.486</v>
      </c>
      <c r="G64" s="60"/>
      <c r="H64" s="455">
        <v>46.777999999999999</v>
      </c>
      <c r="I64" s="101"/>
      <c r="J64" s="456">
        <v>1.006</v>
      </c>
      <c r="K64" s="60"/>
      <c r="L64" s="455">
        <v>1.0920000000000001</v>
      </c>
      <c r="M64" s="101"/>
      <c r="N64" s="456">
        <v>4.46</v>
      </c>
      <c r="O64" s="60"/>
      <c r="P64" s="455">
        <v>3.629</v>
      </c>
      <c r="Q64" s="101"/>
      <c r="R64" s="456">
        <v>3.0219999999999998</v>
      </c>
      <c r="S64" s="60"/>
      <c r="T64" s="455">
        <v>0.85990521327014224</v>
      </c>
      <c r="U64" s="101"/>
      <c r="V64" s="456">
        <v>5.8970000000000002</v>
      </c>
      <c r="W64" s="60"/>
    </row>
    <row r="65" spans="1:23" ht="13.15" x14ac:dyDescent="0.4">
      <c r="A65" s="454" t="s">
        <v>1671</v>
      </c>
      <c r="B65" s="412">
        <v>0</v>
      </c>
      <c r="C65" s="100"/>
      <c r="D65" s="194">
        <v>0</v>
      </c>
      <c r="E65" s="77"/>
      <c r="F65" s="412">
        <v>0</v>
      </c>
      <c r="G65" s="100"/>
      <c r="H65" s="194">
        <v>0</v>
      </c>
      <c r="I65" s="77"/>
      <c r="J65" s="412">
        <v>0</v>
      </c>
      <c r="K65" s="100"/>
      <c r="L65" s="194">
        <v>0</v>
      </c>
      <c r="M65" s="77"/>
      <c r="N65" s="412">
        <v>0</v>
      </c>
      <c r="O65" s="100"/>
      <c r="P65" s="194">
        <v>0</v>
      </c>
      <c r="Q65" s="77"/>
      <c r="R65" s="412">
        <v>0</v>
      </c>
      <c r="S65" s="100"/>
      <c r="T65" s="194">
        <v>0</v>
      </c>
      <c r="U65" s="77"/>
      <c r="V65" s="412">
        <v>0</v>
      </c>
      <c r="W65" s="100"/>
    </row>
    <row r="66" spans="1:23" ht="13.15" x14ac:dyDescent="0.4">
      <c r="A66" s="131" t="s">
        <v>1670</v>
      </c>
      <c r="B66" s="59"/>
      <c r="C66" s="99"/>
      <c r="F66" s="59"/>
      <c r="G66" s="99"/>
      <c r="J66" s="59"/>
      <c r="K66" s="99"/>
      <c r="N66" s="59"/>
      <c r="O66" s="99"/>
      <c r="R66" s="59"/>
      <c r="S66" s="99"/>
      <c r="V66" s="59"/>
      <c r="W66" s="99"/>
    </row>
    <row r="67" spans="1:23" x14ac:dyDescent="0.35">
      <c r="A67" s="59" t="s">
        <v>1668</v>
      </c>
      <c r="B67" s="477">
        <v>0.37</v>
      </c>
      <c r="C67" s="99"/>
      <c r="D67" s="477">
        <v>0.16500000000000001</v>
      </c>
      <c r="F67" s="477">
        <v>0.35099999999999998</v>
      </c>
      <c r="G67" s="99"/>
      <c r="H67" s="477">
        <v>0</v>
      </c>
      <c r="J67" s="477">
        <v>0.105</v>
      </c>
      <c r="K67" s="99"/>
      <c r="L67" s="477">
        <v>0</v>
      </c>
      <c r="N67" s="477">
        <v>0</v>
      </c>
      <c r="O67" s="99"/>
      <c r="P67" s="477">
        <v>0</v>
      </c>
      <c r="R67" s="477">
        <v>0</v>
      </c>
      <c r="S67" s="99"/>
      <c r="T67" s="477">
        <v>0</v>
      </c>
      <c r="V67" s="477">
        <v>0</v>
      </c>
      <c r="W67" s="99"/>
    </row>
    <row r="68" spans="1:23" x14ac:dyDescent="0.35">
      <c r="A68" s="59" t="s">
        <v>1667</v>
      </c>
      <c r="B68" s="477">
        <v>0.60299999999999998</v>
      </c>
      <c r="C68" s="99" t="s">
        <v>1939</v>
      </c>
      <c r="D68" s="477">
        <v>0</v>
      </c>
      <c r="F68" s="477">
        <v>6.4000000000000001E-2</v>
      </c>
      <c r="G68" s="99"/>
      <c r="H68" s="477">
        <v>0</v>
      </c>
      <c r="J68" s="477">
        <v>2.9000000000000001E-2</v>
      </c>
      <c r="K68" s="99"/>
      <c r="L68" s="477">
        <v>0</v>
      </c>
      <c r="M68" s="39" t="s">
        <v>1939</v>
      </c>
      <c r="N68" s="477">
        <v>0</v>
      </c>
      <c r="O68" s="99"/>
      <c r="P68" s="477">
        <v>0</v>
      </c>
      <c r="R68" s="477">
        <v>0</v>
      </c>
      <c r="S68" s="99"/>
      <c r="T68" s="477">
        <v>0</v>
      </c>
      <c r="V68" s="477">
        <v>0</v>
      </c>
      <c r="W68" s="99"/>
    </row>
    <row r="69" spans="1:23" x14ac:dyDescent="0.35">
      <c r="A69" s="59" t="s">
        <v>1666</v>
      </c>
      <c r="B69" s="413">
        <v>0</v>
      </c>
      <c r="C69" s="99"/>
      <c r="D69" s="413">
        <v>0</v>
      </c>
      <c r="F69" s="413">
        <v>0</v>
      </c>
      <c r="G69" s="99"/>
      <c r="H69" s="413">
        <v>0</v>
      </c>
      <c r="J69" s="413">
        <v>0</v>
      </c>
      <c r="K69" s="99"/>
      <c r="L69" s="413">
        <v>0</v>
      </c>
      <c r="N69" s="413">
        <v>0</v>
      </c>
      <c r="O69" s="99"/>
      <c r="P69" s="413">
        <v>0</v>
      </c>
      <c r="R69" s="413">
        <v>0</v>
      </c>
      <c r="S69" s="99"/>
      <c r="T69" s="413">
        <v>0</v>
      </c>
      <c r="V69" s="413">
        <v>0</v>
      </c>
      <c r="W69" s="99"/>
    </row>
    <row r="70" spans="1:23" x14ac:dyDescent="0.35">
      <c r="A70" s="59" t="s">
        <v>1534</v>
      </c>
      <c r="B70" s="413">
        <v>0</v>
      </c>
      <c r="C70" s="99"/>
      <c r="D70" s="413">
        <v>0.72399999999999998</v>
      </c>
      <c r="F70" s="413">
        <v>0.47499999999999998</v>
      </c>
      <c r="G70" s="99"/>
      <c r="H70" s="413">
        <v>0</v>
      </c>
      <c r="J70" s="413">
        <v>0.65500000000000003</v>
      </c>
      <c r="K70" s="99"/>
      <c r="L70" s="413">
        <v>0.68400000000000005</v>
      </c>
      <c r="N70" s="413">
        <v>0.92300000000000004</v>
      </c>
      <c r="O70" s="99"/>
      <c r="P70" s="413">
        <v>0.90300000000000002</v>
      </c>
      <c r="R70" s="413">
        <v>0.625</v>
      </c>
      <c r="S70" s="99"/>
      <c r="T70" s="413">
        <v>0</v>
      </c>
      <c r="V70" s="413">
        <v>0.89700000000000002</v>
      </c>
      <c r="W70" s="99"/>
    </row>
    <row r="71" spans="1:23" x14ac:dyDescent="0.35">
      <c r="A71" s="59" t="s">
        <v>1535</v>
      </c>
      <c r="B71" s="413">
        <v>0</v>
      </c>
      <c r="C71" s="99"/>
      <c r="D71" s="413">
        <v>7.4999999999999997E-2</v>
      </c>
      <c r="F71" s="413">
        <v>0</v>
      </c>
      <c r="G71" s="99"/>
      <c r="H71" s="413">
        <v>0</v>
      </c>
      <c r="J71" s="413">
        <v>0</v>
      </c>
      <c r="K71" s="99"/>
      <c r="L71" s="413">
        <v>0</v>
      </c>
      <c r="N71" s="413">
        <v>0</v>
      </c>
      <c r="O71" s="99"/>
      <c r="P71" s="413">
        <v>0</v>
      </c>
      <c r="R71" s="413">
        <v>0</v>
      </c>
      <c r="S71" s="99"/>
      <c r="T71" s="413">
        <v>0</v>
      </c>
      <c r="V71" s="413">
        <v>0</v>
      </c>
      <c r="W71" s="99"/>
    </row>
    <row r="72" spans="1:23" x14ac:dyDescent="0.35">
      <c r="A72" s="59" t="s">
        <v>1936</v>
      </c>
      <c r="B72" s="413">
        <v>0</v>
      </c>
      <c r="C72" s="99"/>
      <c r="D72" s="413">
        <v>0</v>
      </c>
      <c r="F72" s="413">
        <v>0</v>
      </c>
      <c r="G72" s="99"/>
      <c r="H72" s="413">
        <v>0</v>
      </c>
      <c r="J72" s="413">
        <v>3.0000000000000001E-3</v>
      </c>
      <c r="K72" s="99"/>
      <c r="L72" s="413">
        <v>0</v>
      </c>
      <c r="N72" s="413">
        <v>0</v>
      </c>
      <c r="O72" s="99"/>
      <c r="P72" s="413">
        <v>0</v>
      </c>
      <c r="R72" s="413">
        <v>0</v>
      </c>
      <c r="S72" s="99"/>
      <c r="T72" s="413">
        <v>0</v>
      </c>
      <c r="V72" s="413">
        <v>0</v>
      </c>
      <c r="W72" s="99"/>
    </row>
    <row r="73" spans="1:23" x14ac:dyDescent="0.35">
      <c r="A73" s="59" t="s">
        <v>1664</v>
      </c>
      <c r="B73" s="413">
        <v>2.7000000000000024E-2</v>
      </c>
      <c r="C73" s="99"/>
      <c r="D73" s="197">
        <v>3.6000000000000032E-2</v>
      </c>
      <c r="F73" s="413">
        <v>0.1100000000000001</v>
      </c>
      <c r="G73" s="99"/>
      <c r="H73" s="197">
        <v>1</v>
      </c>
      <c r="J73" s="413">
        <v>0.20799999999999996</v>
      </c>
      <c r="K73" s="99"/>
      <c r="L73" s="197">
        <v>0.31599999999999995</v>
      </c>
      <c r="N73" s="413">
        <v>7.6999999999999957E-2</v>
      </c>
      <c r="O73" s="99"/>
      <c r="P73" s="197">
        <v>9.6999999999999975E-2</v>
      </c>
      <c r="R73" s="413">
        <v>0.375</v>
      </c>
      <c r="S73" s="99"/>
      <c r="T73" s="197">
        <v>1</v>
      </c>
      <c r="V73" s="413">
        <v>0.10299999999999998</v>
      </c>
      <c r="W73" s="99"/>
    </row>
    <row r="74" spans="1:23" ht="26.25" x14ac:dyDescent="0.4">
      <c r="A74" s="414" t="s">
        <v>1938</v>
      </c>
      <c r="B74" s="61"/>
      <c r="C74" s="60"/>
      <c r="D74" s="101"/>
      <c r="E74" s="101"/>
      <c r="F74" s="61"/>
      <c r="G74" s="60"/>
      <c r="H74" s="101"/>
      <c r="I74" s="101"/>
      <c r="J74" s="61"/>
      <c r="K74" s="60"/>
      <c r="L74" s="101"/>
      <c r="M74" s="101"/>
      <c r="N74" s="61"/>
      <c r="O74" s="60"/>
      <c r="P74" s="101"/>
      <c r="Q74" s="101"/>
      <c r="R74" s="61"/>
      <c r="S74" s="60"/>
      <c r="T74" s="101"/>
      <c r="U74" s="101"/>
      <c r="V74" s="61"/>
      <c r="W74" s="60"/>
    </row>
    <row r="75" spans="1:23" x14ac:dyDescent="0.35">
      <c r="A75" s="59" t="s">
        <v>1668</v>
      </c>
      <c r="B75" s="411">
        <v>0.21348999999999999</v>
      </c>
      <c r="C75" s="144"/>
      <c r="D75" s="148">
        <v>2.9427750000000001</v>
      </c>
      <c r="E75" s="145"/>
      <c r="F75" s="495">
        <v>0.52158599999999999</v>
      </c>
      <c r="G75" s="144"/>
      <c r="H75" s="148">
        <v>0</v>
      </c>
      <c r="I75" s="145"/>
      <c r="J75" s="411">
        <v>0.10563</v>
      </c>
      <c r="K75" s="144"/>
      <c r="L75" s="148">
        <v>0</v>
      </c>
      <c r="M75" s="145"/>
      <c r="N75" s="411">
        <v>0</v>
      </c>
      <c r="O75" s="144"/>
      <c r="P75" s="148">
        <v>0</v>
      </c>
      <c r="Q75" s="145"/>
      <c r="R75" s="411">
        <v>0</v>
      </c>
      <c r="S75" s="144"/>
      <c r="T75" s="148">
        <v>0</v>
      </c>
      <c r="U75" s="145"/>
      <c r="V75" s="411">
        <v>0</v>
      </c>
      <c r="W75" s="144"/>
    </row>
    <row r="76" spans="1:23" x14ac:dyDescent="0.35">
      <c r="A76" s="59" t="s">
        <v>1667</v>
      </c>
      <c r="B76" s="411">
        <v>0.34793099999999999</v>
      </c>
      <c r="C76" s="144"/>
      <c r="D76" s="148">
        <v>0</v>
      </c>
      <c r="E76" s="145"/>
      <c r="F76" s="495">
        <v>9.5104000000000008E-2</v>
      </c>
      <c r="G76" s="144"/>
      <c r="H76" s="148">
        <v>0</v>
      </c>
      <c r="I76" s="145"/>
      <c r="J76" s="411">
        <v>2.9174000000000002E-2</v>
      </c>
      <c r="K76" s="144"/>
      <c r="L76" s="148">
        <v>0</v>
      </c>
      <c r="M76" s="145"/>
      <c r="N76" s="411">
        <v>0</v>
      </c>
      <c r="O76" s="144"/>
      <c r="P76" s="148">
        <v>0</v>
      </c>
      <c r="Q76" s="145"/>
      <c r="R76" s="411">
        <v>0</v>
      </c>
      <c r="S76" s="144"/>
      <c r="T76" s="148">
        <v>0</v>
      </c>
      <c r="U76" s="145"/>
      <c r="V76" s="411">
        <v>0</v>
      </c>
      <c r="W76" s="144"/>
    </row>
    <row r="77" spans="1:23" x14ac:dyDescent="0.35">
      <c r="A77" s="59" t="s">
        <v>1666</v>
      </c>
      <c r="B77" s="411">
        <v>0</v>
      </c>
      <c r="C77" s="144"/>
      <c r="D77" s="148">
        <v>0</v>
      </c>
      <c r="E77" s="145"/>
      <c r="F77" s="411">
        <v>0</v>
      </c>
      <c r="G77" s="144"/>
      <c r="H77" s="148">
        <v>0</v>
      </c>
      <c r="I77" s="145"/>
      <c r="J77" s="411">
        <v>0</v>
      </c>
      <c r="K77" s="144"/>
      <c r="L77" s="148">
        <v>0</v>
      </c>
      <c r="M77" s="145"/>
      <c r="N77" s="411">
        <v>0</v>
      </c>
      <c r="O77" s="144"/>
      <c r="P77" s="148">
        <v>0</v>
      </c>
      <c r="Q77" s="145"/>
      <c r="R77" s="411">
        <v>0</v>
      </c>
      <c r="S77" s="144"/>
      <c r="T77" s="148">
        <v>0</v>
      </c>
      <c r="U77" s="145"/>
      <c r="V77" s="411">
        <v>0</v>
      </c>
      <c r="W77" s="144"/>
    </row>
    <row r="78" spans="1:23" x14ac:dyDescent="0.35">
      <c r="A78" s="59" t="s">
        <v>1937</v>
      </c>
      <c r="B78" s="411">
        <v>0</v>
      </c>
      <c r="C78" s="144"/>
      <c r="D78" s="148">
        <v>12.91254</v>
      </c>
      <c r="E78" s="145"/>
      <c r="F78" s="490">
        <v>0.70584999999999998</v>
      </c>
      <c r="G78" s="144"/>
      <c r="H78" s="148">
        <v>0</v>
      </c>
      <c r="I78" s="145"/>
      <c r="J78" s="411">
        <v>0.65893000000000002</v>
      </c>
      <c r="K78" s="144"/>
      <c r="L78" s="148">
        <v>0.74692800000000015</v>
      </c>
      <c r="M78" s="145"/>
      <c r="N78" s="411">
        <v>4.1165799999999999</v>
      </c>
      <c r="O78" s="144"/>
      <c r="P78" s="148">
        <v>3.2769870000000001</v>
      </c>
      <c r="Q78" s="145"/>
      <c r="R78" s="411">
        <v>1.8887499999999999</v>
      </c>
      <c r="S78" s="144"/>
      <c r="T78" s="148">
        <v>0</v>
      </c>
      <c r="U78" s="145"/>
      <c r="V78" s="411">
        <v>5.2896090000000004</v>
      </c>
      <c r="W78" s="144"/>
    </row>
    <row r="79" spans="1:23" x14ac:dyDescent="0.35">
      <c r="A79" s="59" t="s">
        <v>1535</v>
      </c>
      <c r="B79" s="411">
        <v>0</v>
      </c>
      <c r="C79" s="144"/>
      <c r="D79" s="148">
        <v>1.3376250000000001</v>
      </c>
      <c r="E79" s="145"/>
      <c r="F79" s="411">
        <v>0</v>
      </c>
      <c r="G79" s="144"/>
      <c r="H79" s="148">
        <v>0</v>
      </c>
      <c r="I79" s="145"/>
      <c r="J79" s="411">
        <v>0</v>
      </c>
      <c r="K79" s="144"/>
      <c r="L79" s="148">
        <v>0</v>
      </c>
      <c r="M79" s="145"/>
      <c r="N79" s="411">
        <v>0</v>
      </c>
      <c r="O79" s="144"/>
      <c r="P79" s="148">
        <v>0</v>
      </c>
      <c r="Q79" s="145"/>
      <c r="R79" s="411">
        <v>0</v>
      </c>
      <c r="S79" s="144"/>
      <c r="T79" s="148">
        <v>0</v>
      </c>
      <c r="U79" s="145"/>
      <c r="V79" s="411">
        <v>0</v>
      </c>
      <c r="W79" s="144"/>
    </row>
    <row r="80" spans="1:23" x14ac:dyDescent="0.35">
      <c r="A80" s="59" t="s">
        <v>1936</v>
      </c>
      <c r="B80" s="411">
        <v>0</v>
      </c>
      <c r="C80" s="144"/>
      <c r="D80" s="148">
        <v>0</v>
      </c>
      <c r="E80" s="145"/>
      <c r="F80" s="411">
        <v>0</v>
      </c>
      <c r="G80" s="144"/>
      <c r="H80" s="148">
        <v>0</v>
      </c>
      <c r="I80" s="145"/>
      <c r="J80" s="411">
        <v>3.0180000000000003E-3</v>
      </c>
      <c r="K80" s="144"/>
      <c r="L80" s="148">
        <v>0</v>
      </c>
      <c r="M80" s="145"/>
      <c r="N80" s="411">
        <v>0</v>
      </c>
      <c r="O80" s="144"/>
      <c r="P80" s="148">
        <v>0</v>
      </c>
      <c r="Q80" s="145"/>
      <c r="R80" s="411">
        <v>0</v>
      </c>
      <c r="S80" s="144"/>
      <c r="T80" s="148">
        <v>0</v>
      </c>
      <c r="U80" s="145"/>
      <c r="V80" s="411">
        <v>0</v>
      </c>
      <c r="W80" s="144"/>
    </row>
    <row r="81" spans="1:23" x14ac:dyDescent="0.35">
      <c r="A81" s="59" t="s">
        <v>1664</v>
      </c>
      <c r="B81" s="411">
        <v>1.5579000000000013E-2</v>
      </c>
      <c r="C81" s="144"/>
      <c r="D81" s="148">
        <v>0.64206000000000063</v>
      </c>
      <c r="E81" s="145"/>
      <c r="F81" s="495">
        <v>0.16346000000000013</v>
      </c>
      <c r="G81" s="144"/>
      <c r="H81" s="148">
        <v>46.777999999999999</v>
      </c>
      <c r="I81" s="145"/>
      <c r="J81" s="411">
        <v>0.20924799999999996</v>
      </c>
      <c r="K81" s="144"/>
      <c r="L81" s="148">
        <v>0.34507199999999999</v>
      </c>
      <c r="M81" s="145"/>
      <c r="N81" s="411">
        <v>0.34341999999999978</v>
      </c>
      <c r="O81" s="144"/>
      <c r="P81" s="148">
        <v>0.35201299999999991</v>
      </c>
      <c r="Q81" s="145"/>
      <c r="R81" s="411">
        <v>1.1332499999999999</v>
      </c>
      <c r="S81" s="144"/>
      <c r="T81" s="148">
        <v>0.85990521327014224</v>
      </c>
      <c r="U81" s="145"/>
      <c r="V81" s="411">
        <v>0.6073909999999999</v>
      </c>
      <c r="W81" s="144"/>
    </row>
    <row r="82" spans="1:23" x14ac:dyDescent="0.35">
      <c r="A82" s="59" t="s">
        <v>1935</v>
      </c>
      <c r="B82" s="411"/>
      <c r="C82" s="144"/>
      <c r="D82" s="145">
        <v>0.30599999999999999</v>
      </c>
      <c r="E82" s="145"/>
      <c r="F82" s="411"/>
      <c r="G82" s="144"/>
      <c r="H82" s="489"/>
      <c r="I82" s="488"/>
      <c r="J82" s="490"/>
      <c r="K82" s="486"/>
      <c r="L82" s="489"/>
      <c r="M82" s="488"/>
      <c r="N82" s="487">
        <v>3.836E-4</v>
      </c>
      <c r="O82" s="486"/>
      <c r="P82" s="488">
        <v>2.0999999999999999E-5</v>
      </c>
      <c r="Q82" s="488"/>
      <c r="R82" s="487">
        <v>1.076E-4</v>
      </c>
      <c r="S82" s="486"/>
      <c r="T82" s="488"/>
      <c r="U82" s="488"/>
      <c r="V82" s="487">
        <v>7.7866000000000003E-3</v>
      </c>
      <c r="W82" s="486"/>
    </row>
    <row r="83" spans="1:23" x14ac:dyDescent="0.35">
      <c r="A83" s="59" t="s">
        <v>1934</v>
      </c>
      <c r="B83" s="411"/>
      <c r="C83" s="144"/>
      <c r="D83" s="145">
        <v>7.8E-2</v>
      </c>
      <c r="E83" s="145"/>
      <c r="F83" s="411"/>
      <c r="G83" s="144"/>
      <c r="H83" s="489"/>
      <c r="I83" s="488"/>
      <c r="J83" s="490"/>
      <c r="K83" s="486"/>
      <c r="L83" s="488">
        <v>8.9599999999999999E-4</v>
      </c>
      <c r="M83" s="488"/>
      <c r="N83" s="487">
        <v>3.9871999999999998E-3</v>
      </c>
      <c r="O83" s="486"/>
      <c r="P83" s="488">
        <v>2.0010000000000001E-4</v>
      </c>
      <c r="Q83" s="488"/>
      <c r="R83" s="487">
        <v>3.235E-4</v>
      </c>
      <c r="S83" s="486"/>
      <c r="T83" s="488"/>
      <c r="U83" s="488"/>
      <c r="V83" s="487"/>
      <c r="W83" s="486"/>
    </row>
    <row r="84" spans="1:23" x14ac:dyDescent="0.35">
      <c r="A84" s="59" t="s">
        <v>1933</v>
      </c>
      <c r="B84" s="232"/>
      <c r="C84" s="144"/>
      <c r="D84" s="145"/>
      <c r="E84" s="145"/>
      <c r="F84" s="232">
        <v>0.28599999999999998</v>
      </c>
      <c r="G84" s="144"/>
      <c r="H84" s="488"/>
      <c r="I84" s="488"/>
      <c r="J84" s="487"/>
      <c r="K84" s="486"/>
      <c r="L84" s="488"/>
      <c r="M84" s="488"/>
      <c r="N84" s="487"/>
      <c r="O84" s="486"/>
      <c r="P84" s="488"/>
      <c r="Q84" s="488"/>
      <c r="R84" s="487"/>
      <c r="S84" s="486"/>
      <c r="T84" s="488"/>
      <c r="U84" s="488"/>
      <c r="V84" s="487"/>
      <c r="W84" s="486"/>
    </row>
    <row r="85" spans="1:23" x14ac:dyDescent="0.35">
      <c r="A85" s="59" t="s">
        <v>1932</v>
      </c>
      <c r="B85" s="494"/>
      <c r="C85" s="144"/>
      <c r="D85" s="493"/>
      <c r="E85" s="145"/>
      <c r="F85" s="232">
        <v>6.3E-2</v>
      </c>
      <c r="G85" s="144"/>
      <c r="H85" s="488">
        <v>6.0000000000000001E-3</v>
      </c>
      <c r="I85" s="488"/>
      <c r="J85" s="492"/>
      <c r="K85" s="486"/>
      <c r="L85" s="491"/>
      <c r="M85" s="488"/>
      <c r="N85" s="487"/>
      <c r="O85" s="486"/>
      <c r="P85" s="488"/>
      <c r="Q85" s="488"/>
      <c r="R85" s="487"/>
      <c r="S85" s="486"/>
      <c r="T85" s="488"/>
      <c r="U85" s="488"/>
      <c r="V85" s="487"/>
      <c r="W85" s="486"/>
    </row>
    <row r="86" spans="1:23" x14ac:dyDescent="0.35">
      <c r="A86" s="59" t="s">
        <v>1931</v>
      </c>
      <c r="B86" s="411"/>
      <c r="C86" s="144"/>
      <c r="D86" s="148"/>
      <c r="E86" s="145"/>
      <c r="F86" s="232">
        <v>3.0000000000000001E-3</v>
      </c>
      <c r="G86" s="144"/>
      <c r="H86" s="488">
        <v>4.0000000000000001E-3</v>
      </c>
      <c r="I86" s="488"/>
      <c r="J86" s="490"/>
      <c r="K86" s="486"/>
      <c r="L86" s="489"/>
      <c r="M86" s="488"/>
      <c r="N86" s="487">
        <v>9.1299999999999997E-5</v>
      </c>
      <c r="O86" s="486"/>
      <c r="P86" s="488">
        <v>1.08E-5</v>
      </c>
      <c r="Q86" s="488"/>
      <c r="R86" s="487">
        <v>1.7650000000000001E-4</v>
      </c>
      <c r="S86" s="486"/>
      <c r="T86" s="488"/>
      <c r="U86" s="488"/>
      <c r="V86" s="487">
        <v>7.6480000000000005E-4</v>
      </c>
      <c r="W86" s="486"/>
    </row>
    <row r="87" spans="1:23" x14ac:dyDescent="0.35">
      <c r="A87" s="59" t="s">
        <v>1930</v>
      </c>
      <c r="B87" s="232"/>
      <c r="C87" s="144"/>
      <c r="D87" s="145"/>
      <c r="E87" s="145"/>
      <c r="F87" s="232"/>
      <c r="G87" s="144"/>
      <c r="H87" s="488"/>
      <c r="I87" s="488"/>
      <c r="J87" s="487"/>
      <c r="K87" s="486"/>
      <c r="L87" s="488"/>
      <c r="M87" s="488"/>
      <c r="N87" s="487">
        <v>7.9923300000000003E-2</v>
      </c>
      <c r="O87" s="486"/>
      <c r="P87" s="488"/>
      <c r="Q87" s="488"/>
      <c r="R87" s="487"/>
      <c r="S87" s="486"/>
      <c r="T87" s="488"/>
      <c r="U87" s="488"/>
      <c r="V87" s="487"/>
      <c r="W87" s="486"/>
    </row>
    <row r="88" spans="1:23" x14ac:dyDescent="0.35">
      <c r="A88" s="61" t="s">
        <v>1537</v>
      </c>
      <c r="B88" s="237">
        <v>0.69578218556264471</v>
      </c>
      <c r="C88" s="156"/>
      <c r="D88" s="157">
        <v>24.90561337275226</v>
      </c>
      <c r="E88" s="157"/>
      <c r="F88" s="237">
        <v>12.78947536426803</v>
      </c>
      <c r="G88" s="156"/>
      <c r="H88" s="157">
        <v>130.81082625268311</v>
      </c>
      <c r="I88" s="157"/>
      <c r="J88" s="237">
        <v>1.3197239743574714</v>
      </c>
      <c r="K88" s="156"/>
      <c r="L88" s="157">
        <v>1.5422071152040491</v>
      </c>
      <c r="M88" s="157"/>
      <c r="N88" s="237">
        <v>19.172253235422783</v>
      </c>
      <c r="O88" s="156"/>
      <c r="P88" s="157">
        <v>4.3425157477657201</v>
      </c>
      <c r="Q88" s="157"/>
      <c r="R88" s="237">
        <v>4.437234416165956</v>
      </c>
      <c r="S88" s="156"/>
      <c r="T88" s="157">
        <v>1.7821978693329918</v>
      </c>
      <c r="U88" s="157"/>
      <c r="V88" s="237">
        <v>7.2145816775606919</v>
      </c>
      <c r="W88" s="156"/>
    </row>
    <row r="89" spans="1:23" x14ac:dyDescent="0.35">
      <c r="A89" s="59" t="s">
        <v>1536</v>
      </c>
      <c r="B89" s="232">
        <v>0.6863782306550007</v>
      </c>
      <c r="C89" s="144"/>
      <c r="D89" s="145">
        <v>24.191540149571509</v>
      </c>
      <c r="E89" s="145"/>
      <c r="F89" s="232">
        <v>12.66658646095415</v>
      </c>
      <c r="G89" s="144"/>
      <c r="H89" s="145">
        <v>125.83152553941042</v>
      </c>
      <c r="I89" s="145"/>
      <c r="J89" s="232">
        <v>1.2353469476313939</v>
      </c>
      <c r="K89" s="144"/>
      <c r="L89" s="145">
        <v>1.4044342406087105</v>
      </c>
      <c r="M89" s="145"/>
      <c r="N89" s="232">
        <v>18.550174395174949</v>
      </c>
      <c r="O89" s="144"/>
      <c r="P89" s="145">
        <v>4.2002083923949076</v>
      </c>
      <c r="Q89" s="145"/>
      <c r="R89" s="232">
        <v>3.9849756365458693</v>
      </c>
      <c r="S89" s="144"/>
      <c r="T89" s="145">
        <v>1.4403690677443262</v>
      </c>
      <c r="U89" s="145"/>
      <c r="V89" s="232">
        <v>6.9573990692949934</v>
      </c>
      <c r="W89" s="144"/>
    </row>
    <row r="90" spans="1:23" x14ac:dyDescent="0.35">
      <c r="A90" s="59" t="s">
        <v>1535</v>
      </c>
      <c r="B90" s="232">
        <v>2.2502787392071861E-2</v>
      </c>
      <c r="C90" s="144"/>
      <c r="D90" s="145">
        <v>3.4131832751350699</v>
      </c>
      <c r="E90" s="145"/>
      <c r="F90" s="232">
        <v>2.13827879072196</v>
      </c>
      <c r="G90" s="144"/>
      <c r="H90" s="145">
        <v>123.53479105468408</v>
      </c>
      <c r="I90" s="145"/>
      <c r="J90" s="232">
        <v>0.20369475413410845</v>
      </c>
      <c r="K90" s="144"/>
      <c r="L90" s="145">
        <v>0.33571516825618758</v>
      </c>
      <c r="M90" s="145"/>
      <c r="N90" s="232">
        <v>10.895434009365276</v>
      </c>
      <c r="O90" s="144"/>
      <c r="P90" s="145">
        <v>0.34446292048075111</v>
      </c>
      <c r="Q90" s="145"/>
      <c r="R90" s="232">
        <v>1.0957100816133774</v>
      </c>
      <c r="S90" s="144"/>
      <c r="T90" s="145">
        <v>0.82541364628226921</v>
      </c>
      <c r="U90" s="145"/>
      <c r="V90" s="232">
        <v>0.63413733366007408</v>
      </c>
      <c r="W90" s="144"/>
    </row>
    <row r="91" spans="1:23" x14ac:dyDescent="0.35">
      <c r="A91" s="59" t="s">
        <v>1534</v>
      </c>
      <c r="B91" s="232">
        <v>7.4613856082037633E-2</v>
      </c>
      <c r="C91" s="144"/>
      <c r="D91" s="145">
        <v>17.430183470668545</v>
      </c>
      <c r="E91" s="145"/>
      <c r="F91" s="232">
        <v>1.7029057887189509</v>
      </c>
      <c r="G91" s="144"/>
      <c r="H91" s="145">
        <v>0.40246425785982165</v>
      </c>
      <c r="I91" s="145"/>
      <c r="J91" s="232">
        <v>0.8800979234403381</v>
      </c>
      <c r="K91" s="144"/>
      <c r="L91" s="145">
        <v>1.054230760125509</v>
      </c>
      <c r="M91" s="145"/>
      <c r="N91" s="232">
        <v>6.4187692119035251</v>
      </c>
      <c r="O91" s="144"/>
      <c r="P91" s="145">
        <v>3.830909394894944</v>
      </c>
      <c r="Q91" s="145"/>
      <c r="R91" s="232">
        <v>2.8445467152955679</v>
      </c>
      <c r="S91" s="144"/>
      <c r="T91" s="145">
        <v>0.58690690676127966</v>
      </c>
      <c r="U91" s="145"/>
      <c r="V91" s="232">
        <v>6.2780678914104762</v>
      </c>
      <c r="W91" s="144"/>
    </row>
    <row r="92" spans="1:23" x14ac:dyDescent="0.35">
      <c r="A92" s="57" t="s">
        <v>1533</v>
      </c>
      <c r="B92" s="231">
        <v>0.58926158718089117</v>
      </c>
      <c r="C92" s="141"/>
      <c r="D92" s="142">
        <v>3.3481734037678947</v>
      </c>
      <c r="E92" s="142"/>
      <c r="F92" s="231">
        <v>8.8254018815132387</v>
      </c>
      <c r="G92" s="141"/>
      <c r="H92" s="142">
        <v>1.8942702268665217</v>
      </c>
      <c r="I92" s="142"/>
      <c r="J92" s="231">
        <v>0.15155427005694724</v>
      </c>
      <c r="K92" s="141"/>
      <c r="L92" s="142">
        <v>1.4488312227013845E-2</v>
      </c>
      <c r="M92" s="142"/>
      <c r="N92" s="231">
        <v>1.2359711739061479</v>
      </c>
      <c r="O92" s="141"/>
      <c r="P92" s="142">
        <v>2.4836077019212373E-2</v>
      </c>
      <c r="Q92" s="142"/>
      <c r="R92" s="231">
        <v>4.4718839636924038E-2</v>
      </c>
      <c r="S92" s="141"/>
      <c r="T92" s="142">
        <v>2.8048514700777287E-2</v>
      </c>
      <c r="U92" s="142"/>
      <c r="V92" s="231">
        <v>4.5193844224443509E-2</v>
      </c>
      <c r="W92" s="141"/>
    </row>
    <row r="93" spans="1:23" x14ac:dyDescent="0.35">
      <c r="A93" s="59" t="s">
        <v>1532</v>
      </c>
      <c r="B93" s="49">
        <v>15.54187122742867</v>
      </c>
      <c r="C93" s="47">
        <v>1486</v>
      </c>
      <c r="D93" s="48">
        <v>3757.1161600328728</v>
      </c>
      <c r="E93" s="48">
        <v>824</v>
      </c>
      <c r="F93" s="49">
        <v>236.89752140180491</v>
      </c>
      <c r="G93" s="47">
        <v>11.3</v>
      </c>
      <c r="H93" s="48">
        <v>12020.775945096015</v>
      </c>
      <c r="I93" s="48">
        <v>57.5</v>
      </c>
      <c r="J93" s="49">
        <v>46.750446579834552</v>
      </c>
      <c r="K93" s="47">
        <v>55.1</v>
      </c>
      <c r="L93" s="48">
        <v>105.57597578023987</v>
      </c>
      <c r="M93" s="48">
        <v>0.105</v>
      </c>
      <c r="N93" s="49">
        <v>1744.6140135243138</v>
      </c>
      <c r="O93" s="47">
        <v>73.099999999999994</v>
      </c>
      <c r="P93" s="48">
        <v>88.456180819510422</v>
      </c>
      <c r="Q93" s="48">
        <v>19.7</v>
      </c>
      <c r="R93" s="49">
        <v>245.37751213528017</v>
      </c>
      <c r="S93" s="47">
        <v>65.3</v>
      </c>
      <c r="T93" s="48">
        <v>171.44676499281618</v>
      </c>
      <c r="U93" s="48"/>
      <c r="V93" s="49">
        <v>154.85378586982699</v>
      </c>
      <c r="W93" s="47">
        <v>105</v>
      </c>
    </row>
    <row r="94" spans="1:23" ht="13.15" x14ac:dyDescent="0.4">
      <c r="A94" s="131" t="s">
        <v>1929</v>
      </c>
      <c r="B94" s="387"/>
      <c r="C94" s="381"/>
      <c r="D94" s="382"/>
      <c r="E94" s="382"/>
      <c r="F94" s="387"/>
      <c r="G94" s="381"/>
      <c r="H94" s="382"/>
      <c r="I94" s="382"/>
      <c r="J94" s="387"/>
      <c r="K94" s="381"/>
      <c r="L94" s="382"/>
      <c r="M94" s="382"/>
      <c r="N94" s="387"/>
      <c r="O94" s="381"/>
      <c r="P94" s="382"/>
      <c r="Q94" s="382"/>
      <c r="R94" s="387"/>
      <c r="S94" s="381"/>
      <c r="T94" s="382"/>
      <c r="U94" s="382"/>
      <c r="V94" s="387"/>
      <c r="W94" s="381"/>
    </row>
    <row r="95" spans="1:23" x14ac:dyDescent="0.35">
      <c r="A95" s="59" t="s">
        <v>1525</v>
      </c>
      <c r="B95" s="232">
        <v>17.39555116112922</v>
      </c>
      <c r="C95" s="144"/>
      <c r="D95" s="145">
        <v>252.31020925280336</v>
      </c>
      <c r="E95" s="145"/>
      <c r="F95" s="232">
        <v>240.76707186293075</v>
      </c>
      <c r="G95" s="144"/>
      <c r="H95" s="145">
        <v>1060.6748017796831</v>
      </c>
      <c r="I95" s="145"/>
      <c r="J95" s="232">
        <v>12.676921755513046</v>
      </c>
      <c r="K95" s="144"/>
      <c r="L95" s="145">
        <v>14.883836709293696</v>
      </c>
      <c r="M95" s="145"/>
      <c r="N95" s="232">
        <v>187.89892589866798</v>
      </c>
      <c r="O95" s="144">
        <v>69.5541840445877</v>
      </c>
      <c r="P95" s="145">
        <v>47.500275563940065</v>
      </c>
      <c r="Q95" s="145">
        <v>256.39425696045498</v>
      </c>
      <c r="R95" s="232">
        <v>41.924286021083198</v>
      </c>
      <c r="S95" s="144">
        <v>235.43001525565899</v>
      </c>
      <c r="T95" s="145">
        <v>12.945991101971142</v>
      </c>
      <c r="U95" s="145"/>
      <c r="V95" s="232">
        <v>80.45926546031356</v>
      </c>
      <c r="W95" s="144">
        <v>243.397446491875</v>
      </c>
    </row>
    <row r="96" spans="1:23" x14ac:dyDescent="0.35">
      <c r="A96" s="59" t="s">
        <v>1524</v>
      </c>
      <c r="B96" s="232">
        <v>71.537633242355597</v>
      </c>
      <c r="C96" s="144"/>
      <c r="D96" s="145">
        <v>1082.9097124169582</v>
      </c>
      <c r="E96" s="145"/>
      <c r="F96" s="232">
        <v>334.13503528751454</v>
      </c>
      <c r="G96" s="144"/>
      <c r="H96" s="145">
        <v>1166.2641525591423</v>
      </c>
      <c r="I96" s="145"/>
      <c r="J96" s="232">
        <v>69.222621982845311</v>
      </c>
      <c r="K96" s="144"/>
      <c r="L96" s="145">
        <v>55.379423401128193</v>
      </c>
      <c r="M96" s="145"/>
      <c r="N96" s="232">
        <v>463.36239194926998</v>
      </c>
      <c r="O96" s="144"/>
      <c r="P96" s="145">
        <v>192.73180849202382</v>
      </c>
      <c r="Q96" s="145"/>
      <c r="R96" s="232">
        <v>153.94030935390029</v>
      </c>
      <c r="S96" s="144">
        <v>3.7195200000000002</v>
      </c>
      <c r="T96" s="145">
        <v>36.150798613471267</v>
      </c>
      <c r="U96" s="145"/>
      <c r="V96" s="232">
        <v>332.12727346354194</v>
      </c>
      <c r="W96" s="144"/>
    </row>
    <row r="97" spans="1:23" x14ac:dyDescent="0.35">
      <c r="A97" s="59" t="s">
        <v>1523</v>
      </c>
      <c r="B97" s="232">
        <v>203.31158579939336</v>
      </c>
      <c r="C97" s="144"/>
      <c r="D97" s="145">
        <v>2012.692049663699</v>
      </c>
      <c r="E97" s="145">
        <v>19.7257467877353</v>
      </c>
      <c r="F97" s="232">
        <v>631.83819869260253</v>
      </c>
      <c r="G97" s="144">
        <v>120.63789155888099</v>
      </c>
      <c r="H97" s="145">
        <v>6362.6797515485114</v>
      </c>
      <c r="I97" s="145">
        <v>235.87200000000001</v>
      </c>
      <c r="J97" s="232">
        <v>149.47849883499558</v>
      </c>
      <c r="K97" s="144">
        <v>26.6437206463393</v>
      </c>
      <c r="L97" s="145">
        <v>90.01995704909163</v>
      </c>
      <c r="M97" s="145"/>
      <c r="N97" s="232">
        <v>1144.7355770235281</v>
      </c>
      <c r="O97" s="144">
        <v>42.750584953933597</v>
      </c>
      <c r="P97" s="145">
        <v>283.77088669395982</v>
      </c>
      <c r="Q97" s="145">
        <v>85.881084630142198</v>
      </c>
      <c r="R97" s="232">
        <v>251.93025677035402</v>
      </c>
      <c r="S97" s="144"/>
      <c r="T97" s="145">
        <v>81.191659767030075</v>
      </c>
      <c r="U97" s="145"/>
      <c r="V97" s="232">
        <v>469.88575214081908</v>
      </c>
      <c r="W97" s="144"/>
    </row>
    <row r="98" spans="1:23" x14ac:dyDescent="0.35">
      <c r="A98" s="59" t="s">
        <v>1522</v>
      </c>
      <c r="B98" s="232">
        <v>15.454046779799508</v>
      </c>
      <c r="C98" s="144">
        <v>852.21807889424099</v>
      </c>
      <c r="D98" s="145">
        <v>227.63766349879936</v>
      </c>
      <c r="E98" s="145">
        <v>790.78538038236002</v>
      </c>
      <c r="F98" s="232">
        <v>133.64409581811108</v>
      </c>
      <c r="G98" s="144">
        <v>72.040998192995104</v>
      </c>
      <c r="H98" s="145">
        <v>1889.0590111724043</v>
      </c>
      <c r="I98" s="145">
        <v>1759.9680000000001</v>
      </c>
      <c r="J98" s="232">
        <v>11.807936487577422</v>
      </c>
      <c r="K98" s="144">
        <v>27.5105641596057</v>
      </c>
      <c r="L98" s="145">
        <v>8.9748632111711739</v>
      </c>
      <c r="M98" s="145"/>
      <c r="N98" s="232">
        <v>494.08243641273259</v>
      </c>
      <c r="O98" s="144">
        <v>242.20348557652301</v>
      </c>
      <c r="P98" s="145">
        <v>19.092750303271075</v>
      </c>
      <c r="Q98" s="145">
        <v>98.818768992250199</v>
      </c>
      <c r="R98" s="232">
        <v>27.163272022498241</v>
      </c>
      <c r="S98" s="144">
        <v>53.5247291266123</v>
      </c>
      <c r="T98" s="145">
        <v>14.664032236522001</v>
      </c>
      <c r="U98" s="145"/>
      <c r="V98" s="232">
        <v>33.326628519414548</v>
      </c>
      <c r="W98" s="144"/>
    </row>
    <row r="99" spans="1:23" x14ac:dyDescent="0.35">
      <c r="A99" s="59" t="s">
        <v>1521</v>
      </c>
      <c r="B99" s="232">
        <v>10.814181555146488</v>
      </c>
      <c r="C99" s="144">
        <v>429.87896532000002</v>
      </c>
      <c r="D99" s="145">
        <v>137.87320534867823</v>
      </c>
      <c r="E99" s="145">
        <v>365.75929967151899</v>
      </c>
      <c r="F99" s="232">
        <v>69.887391684019406</v>
      </c>
      <c r="G99" s="144">
        <v>35.564012085509098</v>
      </c>
      <c r="H99" s="145">
        <v>741.70873912577792</v>
      </c>
      <c r="I99" s="145">
        <v>879.98400000000004</v>
      </c>
      <c r="J99" s="232">
        <v>7.6713793820201523</v>
      </c>
      <c r="K99" s="144">
        <v>12.752846743325099</v>
      </c>
      <c r="L99" s="145">
        <v>5.584263416255288</v>
      </c>
      <c r="M99" s="145"/>
      <c r="N99" s="232">
        <v>238.61814666496136</v>
      </c>
      <c r="O99" s="144">
        <v>113.880045576523</v>
      </c>
      <c r="P99" s="145">
        <v>15.516343536553466</v>
      </c>
      <c r="Q99" s="145">
        <v>43.661008992250203</v>
      </c>
      <c r="R99" s="232">
        <v>15.995308865535474</v>
      </c>
      <c r="S99" s="144">
        <v>23.4510491266123</v>
      </c>
      <c r="T99" s="145">
        <v>6.3820237265312141</v>
      </c>
      <c r="U99" s="145"/>
      <c r="V99" s="232">
        <v>26.260905797201563</v>
      </c>
      <c r="W99" s="144"/>
    </row>
    <row r="100" spans="1:23" x14ac:dyDescent="0.35">
      <c r="A100" s="59" t="s">
        <v>1520</v>
      </c>
      <c r="B100" s="232">
        <v>158.3024913329138</v>
      </c>
      <c r="C100" s="144"/>
      <c r="D100" s="145">
        <v>3536.3623351422198</v>
      </c>
      <c r="E100" s="145">
        <v>1465.61586624962</v>
      </c>
      <c r="F100" s="232">
        <v>783.36685969650216</v>
      </c>
      <c r="G100" s="144">
        <v>829.74927334021504</v>
      </c>
      <c r="H100" s="145">
        <v>31300.643528551765</v>
      </c>
      <c r="I100" s="145">
        <v>13862.016</v>
      </c>
      <c r="J100" s="232">
        <v>135.70527237498848</v>
      </c>
      <c r="K100" s="144">
        <v>27.423201466832602</v>
      </c>
      <c r="L100" s="145">
        <v>97.518516381246926</v>
      </c>
      <c r="M100" s="145"/>
      <c r="N100" s="232">
        <v>4386.0089808456032</v>
      </c>
      <c r="O100" s="144">
        <v>20.458070685852899</v>
      </c>
      <c r="P100" s="145">
        <v>129.37244499011797</v>
      </c>
      <c r="Q100" s="145">
        <v>6.5586202651212799</v>
      </c>
      <c r="R100" s="232">
        <v>314.85319087263792</v>
      </c>
      <c r="S100" s="144"/>
      <c r="T100" s="145">
        <v>220.49172555738897</v>
      </c>
      <c r="U100" s="145"/>
      <c r="V100" s="232">
        <v>236.15831508621818</v>
      </c>
      <c r="W100" s="144">
        <v>5.0210133819238001</v>
      </c>
    </row>
    <row r="101" spans="1:23" x14ac:dyDescent="0.35">
      <c r="A101" s="59" t="s">
        <v>1519</v>
      </c>
      <c r="B101" s="232">
        <v>5.2462422392490584</v>
      </c>
      <c r="C101" s="144"/>
      <c r="D101" s="145">
        <v>16.347726164904138</v>
      </c>
      <c r="E101" s="145"/>
      <c r="F101" s="232">
        <v>7.7528540019330743</v>
      </c>
      <c r="G101" s="144"/>
      <c r="H101" s="145">
        <v>34.918262097065956</v>
      </c>
      <c r="I101" s="145"/>
      <c r="J101" s="232">
        <v>2.0137224005540699</v>
      </c>
      <c r="K101" s="144"/>
      <c r="L101" s="145">
        <v>0.72926684084866666</v>
      </c>
      <c r="M101" s="145"/>
      <c r="N101" s="232">
        <v>8.5562432923424545</v>
      </c>
      <c r="O101" s="144"/>
      <c r="P101" s="145">
        <v>2.5236071448524808</v>
      </c>
      <c r="Q101" s="145"/>
      <c r="R101" s="232">
        <v>1.970260595655559</v>
      </c>
      <c r="S101" s="144"/>
      <c r="T101" s="145">
        <v>0.47271161247710475</v>
      </c>
      <c r="U101" s="145"/>
      <c r="V101" s="232">
        <v>4.1476166932620382</v>
      </c>
      <c r="W101" s="144"/>
    </row>
    <row r="102" spans="1:23" x14ac:dyDescent="0.35">
      <c r="A102" s="59" t="s">
        <v>1518</v>
      </c>
      <c r="B102" s="232">
        <v>1.7903048967636037</v>
      </c>
      <c r="C102" s="144"/>
      <c r="D102" s="145">
        <v>32.065684816412066</v>
      </c>
      <c r="E102" s="145"/>
      <c r="F102" s="232">
        <v>7.2567181536344201</v>
      </c>
      <c r="G102" s="144"/>
      <c r="H102" s="145">
        <v>78.489463447773545</v>
      </c>
      <c r="I102" s="145"/>
      <c r="J102" s="232">
        <v>1.7981411371324645</v>
      </c>
      <c r="K102" s="144"/>
      <c r="L102" s="145">
        <v>1.6936036602888893</v>
      </c>
      <c r="M102" s="145"/>
      <c r="N102" s="232">
        <v>17.208897701356911</v>
      </c>
      <c r="O102" s="144"/>
      <c r="P102" s="145">
        <v>5.872122708866625</v>
      </c>
      <c r="Q102" s="145"/>
      <c r="R102" s="232">
        <v>4.5932402414020252</v>
      </c>
      <c r="S102" s="144"/>
      <c r="T102" s="145">
        <v>1.1097448265457537</v>
      </c>
      <c r="U102" s="145"/>
      <c r="V102" s="232">
        <v>9.6480954222954498</v>
      </c>
      <c r="W102" s="144"/>
    </row>
    <row r="103" spans="1:23" x14ac:dyDescent="0.35">
      <c r="A103" s="59" t="s">
        <v>1531</v>
      </c>
      <c r="B103" s="232">
        <v>67.575560403884509</v>
      </c>
      <c r="C103" s="144"/>
      <c r="D103" s="145">
        <v>4281.1373311172356</v>
      </c>
      <c r="E103" s="145"/>
      <c r="F103" s="232">
        <v>1351.619582454332</v>
      </c>
      <c r="G103" s="144"/>
      <c r="H103" s="145">
        <v>18352.770534764655</v>
      </c>
      <c r="I103" s="145"/>
      <c r="J103" s="232">
        <v>217.38882852714548</v>
      </c>
      <c r="K103" s="144"/>
      <c r="L103" s="145">
        <v>258.22813946248056</v>
      </c>
      <c r="M103" s="145"/>
      <c r="N103" s="232">
        <v>2987.5593811774434</v>
      </c>
      <c r="O103" s="144">
        <v>0.35380800000000001</v>
      </c>
      <c r="P103" s="145">
        <v>821.69204170920284</v>
      </c>
      <c r="Q103" s="145"/>
      <c r="R103" s="232">
        <v>721.9798271598462</v>
      </c>
      <c r="S103" s="144">
        <v>1.0886400000000001</v>
      </c>
      <c r="T103" s="145">
        <v>228.68669943764664</v>
      </c>
      <c r="U103" s="145"/>
      <c r="V103" s="232">
        <v>1356.4762672341567</v>
      </c>
      <c r="W103" s="144"/>
    </row>
    <row r="104" spans="1:23" x14ac:dyDescent="0.35">
      <c r="A104" s="59" t="s">
        <v>1530</v>
      </c>
      <c r="B104" s="232">
        <v>1.2269494524225155</v>
      </c>
      <c r="C104" s="144"/>
      <c r="D104" s="145">
        <v>42.056685994894003</v>
      </c>
      <c r="E104" s="145"/>
      <c r="F104" s="232">
        <v>4.7774866396906086</v>
      </c>
      <c r="G104" s="144"/>
      <c r="H104" s="145">
        <v>198.63822880733107</v>
      </c>
      <c r="I104" s="145"/>
      <c r="J104" s="232">
        <v>2.1211582915400387</v>
      </c>
      <c r="K104" s="144"/>
      <c r="L104" s="145">
        <v>2.3622688183068399</v>
      </c>
      <c r="M104" s="145"/>
      <c r="N104" s="232">
        <v>29.952121570552649</v>
      </c>
      <c r="O104" s="144">
        <v>0.33566400000000002</v>
      </c>
      <c r="P104" s="145">
        <v>7.8585480664657261</v>
      </c>
      <c r="Q104" s="145"/>
      <c r="R104" s="232">
        <v>6.5377945703251088</v>
      </c>
      <c r="S104" s="144">
        <v>0.99792000000000003</v>
      </c>
      <c r="T104" s="145">
        <v>1.8517705111034761</v>
      </c>
      <c r="U104" s="145"/>
      <c r="V104" s="232">
        <v>12.929609273089619</v>
      </c>
      <c r="W104" s="144"/>
    </row>
    <row r="105" spans="1:23" x14ac:dyDescent="0.35">
      <c r="A105" s="59" t="s">
        <v>1921</v>
      </c>
      <c r="B105" s="232">
        <v>0</v>
      </c>
      <c r="C105" s="147"/>
      <c r="D105" s="145">
        <v>0</v>
      </c>
      <c r="E105" s="148"/>
      <c r="F105" s="232">
        <v>0</v>
      </c>
      <c r="G105" s="144"/>
      <c r="H105" s="145">
        <v>0</v>
      </c>
      <c r="I105" s="145">
        <v>69.763679999999994</v>
      </c>
      <c r="J105" s="232">
        <v>0</v>
      </c>
      <c r="K105" s="147"/>
      <c r="L105" s="145">
        <v>0</v>
      </c>
      <c r="M105" s="148"/>
      <c r="N105" s="232">
        <v>5.687258396258879</v>
      </c>
      <c r="O105" s="144"/>
      <c r="P105" s="145">
        <v>0</v>
      </c>
      <c r="Q105" s="148"/>
      <c r="R105" s="232">
        <v>0</v>
      </c>
      <c r="S105" s="147"/>
      <c r="T105" s="145">
        <v>0</v>
      </c>
      <c r="U105" s="148"/>
      <c r="V105" s="232">
        <v>0</v>
      </c>
      <c r="W105" s="144"/>
    </row>
    <row r="106" spans="1:23" x14ac:dyDescent="0.35">
      <c r="A106" s="59" t="s">
        <v>1920</v>
      </c>
      <c r="B106" s="232">
        <v>0</v>
      </c>
      <c r="C106" s="147"/>
      <c r="D106" s="145">
        <v>0</v>
      </c>
      <c r="E106" s="148"/>
      <c r="F106" s="232">
        <v>0</v>
      </c>
      <c r="G106" s="144"/>
      <c r="H106" s="145">
        <v>0</v>
      </c>
      <c r="I106" s="145">
        <v>9.61632</v>
      </c>
      <c r="J106" s="232">
        <v>0</v>
      </c>
      <c r="K106" s="147"/>
      <c r="L106" s="145">
        <v>0</v>
      </c>
      <c r="M106" s="148"/>
      <c r="N106" s="232">
        <v>0.78393938882112013</v>
      </c>
      <c r="O106" s="144"/>
      <c r="P106" s="145">
        <v>0</v>
      </c>
      <c r="Q106" s="148"/>
      <c r="R106" s="232">
        <v>0</v>
      </c>
      <c r="S106" s="147"/>
      <c r="T106" s="145">
        <v>0</v>
      </c>
      <c r="U106" s="148"/>
      <c r="V106" s="232">
        <v>0</v>
      </c>
      <c r="W106" s="144"/>
    </row>
    <row r="107" spans="1:23" x14ac:dyDescent="0.35">
      <c r="A107" s="59" t="s">
        <v>1529</v>
      </c>
      <c r="B107" s="49">
        <v>54665.091610594958</v>
      </c>
      <c r="C107" s="153"/>
      <c r="D107" s="48">
        <v>1719894.5074309767</v>
      </c>
      <c r="E107" s="154"/>
      <c r="F107" s="49">
        <v>244870.71359417879</v>
      </c>
      <c r="G107" s="47">
        <v>41915.434176000097</v>
      </c>
      <c r="H107" s="48">
        <v>12515677.836671544</v>
      </c>
      <c r="I107" s="48">
        <v>1391644.8</v>
      </c>
      <c r="J107" s="49">
        <v>85327.773242306328</v>
      </c>
      <c r="K107" s="153"/>
      <c r="L107" s="48">
        <v>98001.723812409138</v>
      </c>
      <c r="M107" s="48"/>
      <c r="N107" s="49">
        <v>1631044.9157668022</v>
      </c>
      <c r="O107" s="47">
        <v>6.6134880000000003</v>
      </c>
      <c r="P107" s="48">
        <v>263822.79764057492</v>
      </c>
      <c r="Q107" s="154"/>
      <c r="R107" s="49">
        <v>282384.14992019266</v>
      </c>
      <c r="S107" s="153"/>
      <c r="T107" s="48">
        <v>119817.08672139457</v>
      </c>
      <c r="U107" s="154"/>
      <c r="V107" s="49">
        <v>439574.41594726971</v>
      </c>
      <c r="W107" s="153"/>
    </row>
    <row r="108" spans="1:23" ht="13.15" x14ac:dyDescent="0.4">
      <c r="A108" s="131" t="s">
        <v>1928</v>
      </c>
      <c r="B108" s="236"/>
      <c r="C108" s="234"/>
      <c r="D108" s="235"/>
      <c r="E108" s="235"/>
      <c r="F108" s="236"/>
      <c r="G108" s="234"/>
      <c r="H108" s="235"/>
      <c r="I108" s="235"/>
      <c r="J108" s="236"/>
      <c r="K108" s="234"/>
      <c r="L108" s="235"/>
      <c r="M108" s="157"/>
      <c r="N108" s="236"/>
      <c r="O108" s="156"/>
      <c r="P108" s="235"/>
      <c r="Q108" s="235"/>
      <c r="R108" s="236"/>
      <c r="S108" s="234"/>
      <c r="T108" s="235"/>
      <c r="U108" s="235"/>
      <c r="V108" s="236"/>
      <c r="W108" s="234"/>
    </row>
    <row r="109" spans="1:23" x14ac:dyDescent="0.35">
      <c r="A109" s="59" t="s">
        <v>1525</v>
      </c>
      <c r="B109" s="232">
        <v>1.417839239244697</v>
      </c>
      <c r="C109" s="147">
        <v>0</v>
      </c>
      <c r="D109" s="145">
        <v>15.718773675428286</v>
      </c>
      <c r="E109" s="148">
        <v>0</v>
      </c>
      <c r="F109" s="232">
        <v>17.070764163423945</v>
      </c>
      <c r="G109" s="147">
        <v>0</v>
      </c>
      <c r="H109" s="145">
        <v>51.475925359084599</v>
      </c>
      <c r="I109" s="148">
        <v>0</v>
      </c>
      <c r="J109" s="232">
        <v>0.88431947601313643</v>
      </c>
      <c r="K109" s="147">
        <v>0</v>
      </c>
      <c r="L109" s="145">
        <v>0.81874936062844828</v>
      </c>
      <c r="M109" s="148">
        <v>0</v>
      </c>
      <c r="N109" s="232">
        <v>9.899991251455317</v>
      </c>
      <c r="O109" s="147">
        <v>0</v>
      </c>
      <c r="P109" s="145">
        <v>2.342764696834275</v>
      </c>
      <c r="Q109" s="148">
        <v>0</v>
      </c>
      <c r="R109" s="232">
        <v>2.3492972570440829</v>
      </c>
      <c r="S109" s="147">
        <v>0</v>
      </c>
      <c r="T109" s="145">
        <v>0.92175147254132672</v>
      </c>
      <c r="U109" s="148">
        <v>0</v>
      </c>
      <c r="V109" s="232">
        <v>3.8860781074171986</v>
      </c>
      <c r="W109" s="147">
        <v>0</v>
      </c>
    </row>
    <row r="110" spans="1:23" x14ac:dyDescent="0.35">
      <c r="A110" s="59" t="s">
        <v>1524</v>
      </c>
      <c r="B110" s="232">
        <v>1.2418071804671207</v>
      </c>
      <c r="C110" s="147">
        <v>0</v>
      </c>
      <c r="D110" s="145">
        <v>61.448100929252661</v>
      </c>
      <c r="E110" s="148">
        <v>0</v>
      </c>
      <c r="F110" s="232">
        <v>19.608516640866405</v>
      </c>
      <c r="G110" s="147">
        <v>0</v>
      </c>
      <c r="H110" s="145">
        <v>292.0139277936392</v>
      </c>
      <c r="I110" s="148">
        <v>0</v>
      </c>
      <c r="J110" s="232">
        <v>3.8906594350893426</v>
      </c>
      <c r="K110" s="147">
        <v>0</v>
      </c>
      <c r="L110" s="145">
        <v>5.0533827250588237</v>
      </c>
      <c r="M110" s="148">
        <v>0</v>
      </c>
      <c r="N110" s="232">
        <v>45.620742945338186</v>
      </c>
      <c r="O110" s="147">
        <v>0</v>
      </c>
      <c r="P110" s="145">
        <v>12.413041885995314</v>
      </c>
      <c r="Q110" s="148">
        <v>0</v>
      </c>
      <c r="R110" s="232">
        <v>14.970405139854027</v>
      </c>
      <c r="S110" s="147">
        <v>0</v>
      </c>
      <c r="T110" s="145">
        <v>7.2138621022760159</v>
      </c>
      <c r="U110" s="148">
        <v>0</v>
      </c>
      <c r="V110" s="232">
        <v>20.744415883477039</v>
      </c>
      <c r="W110" s="147">
        <v>0</v>
      </c>
    </row>
    <row r="111" spans="1:23" x14ac:dyDescent="0.35">
      <c r="A111" s="59" t="s">
        <v>1523</v>
      </c>
      <c r="B111" s="232">
        <v>2.402232679512927</v>
      </c>
      <c r="C111" s="147">
        <v>0</v>
      </c>
      <c r="D111" s="145">
        <v>98.73583759382214</v>
      </c>
      <c r="E111" s="148">
        <v>0</v>
      </c>
      <c r="F111" s="232">
        <v>36.495979195469403</v>
      </c>
      <c r="G111" s="147">
        <v>0</v>
      </c>
      <c r="H111" s="145">
        <v>1874.6081085990031</v>
      </c>
      <c r="I111" s="148">
        <v>0</v>
      </c>
      <c r="J111" s="232">
        <v>7.318022789968099</v>
      </c>
      <c r="K111" s="147">
        <v>0</v>
      </c>
      <c r="L111" s="145">
        <v>10.168049033946687</v>
      </c>
      <c r="M111" s="148">
        <v>0</v>
      </c>
      <c r="N111" s="232">
        <v>186.46445604821361</v>
      </c>
      <c r="O111" s="147">
        <v>0</v>
      </c>
      <c r="P111" s="145">
        <v>19.053833925914443</v>
      </c>
      <c r="Q111" s="148">
        <v>0</v>
      </c>
      <c r="R111" s="232">
        <v>31.450305111152545</v>
      </c>
      <c r="S111" s="147">
        <v>0</v>
      </c>
      <c r="T111" s="145">
        <v>18.893102232264646</v>
      </c>
      <c r="U111" s="148">
        <v>0</v>
      </c>
      <c r="V111" s="232">
        <v>32.436841145293805</v>
      </c>
      <c r="W111" s="147">
        <v>0</v>
      </c>
    </row>
    <row r="112" spans="1:23" x14ac:dyDescent="0.35">
      <c r="A112" s="59" t="s">
        <v>1522</v>
      </c>
      <c r="B112" s="232">
        <v>0.35128121155139858</v>
      </c>
      <c r="C112" s="147">
        <v>0</v>
      </c>
      <c r="D112" s="145">
        <v>6.361635396985946</v>
      </c>
      <c r="E112" s="148">
        <v>0</v>
      </c>
      <c r="F112" s="232">
        <v>4.7725423128348714</v>
      </c>
      <c r="G112" s="147">
        <v>0</v>
      </c>
      <c r="H112" s="145">
        <v>305.48889111878486</v>
      </c>
      <c r="I112" s="148">
        <v>0</v>
      </c>
      <c r="J112" s="232">
        <v>0.64365679059672809</v>
      </c>
      <c r="K112" s="147">
        <v>0</v>
      </c>
      <c r="L112" s="145">
        <v>0.94675070746143342</v>
      </c>
      <c r="M112" s="148">
        <v>0</v>
      </c>
      <c r="N112" s="232">
        <v>26.893956510684102</v>
      </c>
      <c r="O112" s="147">
        <v>0</v>
      </c>
      <c r="P112" s="145">
        <v>1.0051309457927655</v>
      </c>
      <c r="Q112" s="148">
        <v>0</v>
      </c>
      <c r="R112" s="232">
        <v>3.1012682958040911</v>
      </c>
      <c r="S112" s="147">
        <v>0</v>
      </c>
      <c r="T112" s="145">
        <v>2.3283521592521383</v>
      </c>
      <c r="U112" s="148">
        <v>0</v>
      </c>
      <c r="V112" s="232">
        <v>1.8114106436827582</v>
      </c>
      <c r="W112" s="147">
        <v>0</v>
      </c>
    </row>
    <row r="113" spans="1:24" x14ac:dyDescent="0.35">
      <c r="A113" s="59" t="s">
        <v>1521</v>
      </c>
      <c r="B113" s="232">
        <v>0.27473446794064094</v>
      </c>
      <c r="C113" s="147">
        <v>0</v>
      </c>
      <c r="D113" s="145">
        <v>4.8244695507095354</v>
      </c>
      <c r="E113" s="148">
        <v>0</v>
      </c>
      <c r="F113" s="232">
        <v>3.7548140079258436</v>
      </c>
      <c r="G113" s="147">
        <v>0</v>
      </c>
      <c r="H113" s="145">
        <v>215.10147379420877</v>
      </c>
      <c r="I113" s="148">
        <v>0</v>
      </c>
      <c r="J113" s="232">
        <v>0.47951955741650781</v>
      </c>
      <c r="K113" s="147">
        <v>0</v>
      </c>
      <c r="L113" s="145">
        <v>0.69844367594910794</v>
      </c>
      <c r="M113" s="148">
        <v>0</v>
      </c>
      <c r="N113" s="232">
        <v>19.0418779576015</v>
      </c>
      <c r="O113" s="147">
        <v>0</v>
      </c>
      <c r="P113" s="145">
        <v>0.74662861402861291</v>
      </c>
      <c r="Q113" s="148">
        <v>0</v>
      </c>
      <c r="R113" s="232">
        <v>2.286696438353002</v>
      </c>
      <c r="S113" s="147">
        <v>0</v>
      </c>
      <c r="T113" s="145">
        <v>1.7138462465060513</v>
      </c>
      <c r="U113" s="148">
        <v>0</v>
      </c>
      <c r="V113" s="232">
        <v>1.3445142202206217</v>
      </c>
      <c r="W113" s="147">
        <v>0</v>
      </c>
    </row>
    <row r="114" spans="1:24" x14ac:dyDescent="0.35">
      <c r="A114" s="59" t="s">
        <v>1520</v>
      </c>
      <c r="B114" s="232">
        <v>3.789563950445209</v>
      </c>
      <c r="C114" s="147">
        <v>0</v>
      </c>
      <c r="D114" s="145">
        <v>171.79491684121055</v>
      </c>
      <c r="E114" s="148">
        <v>0</v>
      </c>
      <c r="F114" s="232">
        <v>50.918367853962138</v>
      </c>
      <c r="G114" s="147">
        <v>0</v>
      </c>
      <c r="H114" s="145">
        <v>11578.430462766644</v>
      </c>
      <c r="I114" s="148">
        <v>0</v>
      </c>
      <c r="J114" s="232">
        <v>19.695455531811245</v>
      </c>
      <c r="K114" s="147">
        <v>0</v>
      </c>
      <c r="L114" s="145">
        <v>31.574488708676594</v>
      </c>
      <c r="M114" s="148">
        <v>0</v>
      </c>
      <c r="N114" s="232">
        <v>996.53568413271012</v>
      </c>
      <c r="O114" s="147">
        <v>0</v>
      </c>
      <c r="P114" s="145">
        <v>32.92652664989869</v>
      </c>
      <c r="Q114" s="148">
        <v>0</v>
      </c>
      <c r="R114" s="232">
        <v>103.57541062208921</v>
      </c>
      <c r="S114" s="147">
        <v>0</v>
      </c>
      <c r="T114" s="145">
        <v>78.106299022480783</v>
      </c>
      <c r="U114" s="148">
        <v>0</v>
      </c>
      <c r="V114" s="232">
        <v>59.437572758667095</v>
      </c>
      <c r="W114" s="147">
        <v>0</v>
      </c>
    </row>
    <row r="115" spans="1:24" x14ac:dyDescent="0.35">
      <c r="A115" s="59" t="s">
        <v>1519</v>
      </c>
      <c r="B115" s="232">
        <v>3.1453513784580743E-2</v>
      </c>
      <c r="C115" s="147">
        <v>0</v>
      </c>
      <c r="D115" s="145">
        <v>0.37832539245029539</v>
      </c>
      <c r="E115" s="148">
        <v>0</v>
      </c>
      <c r="F115" s="232">
        <v>0.50456125948372144</v>
      </c>
      <c r="G115" s="147">
        <v>0</v>
      </c>
      <c r="H115" s="145">
        <v>9.4233645844132212</v>
      </c>
      <c r="I115" s="148">
        <v>0</v>
      </c>
      <c r="J115" s="232">
        <v>3.2840176430620149E-2</v>
      </c>
      <c r="K115" s="147">
        <v>0</v>
      </c>
      <c r="L115" s="145">
        <v>4.2949331180151054E-2</v>
      </c>
      <c r="M115" s="148">
        <v>0</v>
      </c>
      <c r="N115" s="232">
        <v>0.89720999314484773</v>
      </c>
      <c r="O115" s="147">
        <v>0</v>
      </c>
      <c r="P115" s="145">
        <v>5.0324423909037193E-2</v>
      </c>
      <c r="Q115" s="148">
        <v>0</v>
      </c>
      <c r="R115" s="232">
        <v>0.13960110834150261</v>
      </c>
      <c r="S115" s="147">
        <v>0</v>
      </c>
      <c r="T115" s="145">
        <v>0.10210467090979541</v>
      </c>
      <c r="U115" s="148">
        <v>0</v>
      </c>
      <c r="V115" s="232">
        <v>8.9655500736239277E-2</v>
      </c>
      <c r="W115" s="147">
        <v>0</v>
      </c>
    </row>
    <row r="116" spans="1:24" x14ac:dyDescent="0.35">
      <c r="A116" s="57" t="s">
        <v>1518</v>
      </c>
      <c r="B116" s="231">
        <v>4.7286276204430766E-2</v>
      </c>
      <c r="C116" s="443">
        <v>0</v>
      </c>
      <c r="D116" s="142">
        <v>0.81675094221689548</v>
      </c>
      <c r="E116" s="444">
        <v>0</v>
      </c>
      <c r="F116" s="231">
        <v>0.74474574563054918</v>
      </c>
      <c r="G116" s="443">
        <v>0</v>
      </c>
      <c r="H116" s="142">
        <v>19.410804828699796</v>
      </c>
      <c r="I116" s="444">
        <v>0</v>
      </c>
      <c r="J116" s="231">
        <v>7.5974660988460063E-2</v>
      </c>
      <c r="K116" s="443">
        <v>0</v>
      </c>
      <c r="L116" s="142">
        <v>0.10865742648750785</v>
      </c>
      <c r="M116" s="444">
        <v>0</v>
      </c>
      <c r="N116" s="231">
        <v>1.8427972571929747</v>
      </c>
      <c r="O116" s="443">
        <v>0</v>
      </c>
      <c r="P116" s="142">
        <v>0.1212667379113614</v>
      </c>
      <c r="Q116" s="444">
        <v>0</v>
      </c>
      <c r="R116" s="231">
        <v>0.35449709229349219</v>
      </c>
      <c r="S116" s="443">
        <v>0</v>
      </c>
      <c r="T116" s="142">
        <v>0.26270927984588915</v>
      </c>
      <c r="U116" s="444">
        <v>0</v>
      </c>
      <c r="V116" s="231">
        <v>0.21738312927281483</v>
      </c>
      <c r="W116" s="443">
        <v>0</v>
      </c>
    </row>
    <row r="117" spans="1:24" x14ac:dyDescent="0.35">
      <c r="D117" s="120"/>
      <c r="F117" s="120"/>
      <c r="H117" s="120"/>
      <c r="J117" s="120"/>
      <c r="L117" s="120"/>
    </row>
    <row r="118" spans="1:24" ht="13.9" x14ac:dyDescent="0.4">
      <c r="A118" s="72" t="s">
        <v>1927</v>
      </c>
    </row>
    <row r="119" spans="1:24" ht="13.15" x14ac:dyDescent="0.4">
      <c r="A119" s="41" t="s">
        <v>1988</v>
      </c>
      <c r="T119" s="120"/>
    </row>
    <row r="120" spans="1:24" ht="39.75" customHeight="1" x14ac:dyDescent="0.4">
      <c r="A120" s="91"/>
      <c r="B120" s="442" t="s">
        <v>1318</v>
      </c>
      <c r="C120" s="442" t="s">
        <v>1403</v>
      </c>
      <c r="D120" s="442" t="s">
        <v>1316</v>
      </c>
      <c r="E120" s="442" t="s">
        <v>1402</v>
      </c>
      <c r="F120" s="442" t="s">
        <v>1314</v>
      </c>
      <c r="G120" s="485" t="s">
        <v>1323</v>
      </c>
      <c r="H120" s="484" t="s">
        <v>1322</v>
      </c>
      <c r="I120" s="442" t="s">
        <v>1321</v>
      </c>
      <c r="J120" s="442" t="s">
        <v>1320</v>
      </c>
      <c r="K120" s="2191" t="s">
        <v>1985</v>
      </c>
      <c r="L120" s="2236"/>
      <c r="M120" s="2196" t="s">
        <v>1984</v>
      </c>
      <c r="N120" s="2237"/>
      <c r="O120" s="2191" t="s">
        <v>1983</v>
      </c>
      <c r="P120" s="2236"/>
      <c r="Q120" s="2196" t="s">
        <v>1982</v>
      </c>
      <c r="R120" s="2237"/>
      <c r="S120" s="2191" t="s">
        <v>1981</v>
      </c>
      <c r="T120" s="2236"/>
      <c r="U120" s="2196" t="s">
        <v>325</v>
      </c>
      <c r="V120" s="2237"/>
      <c r="W120" s="2191" t="s">
        <v>1987</v>
      </c>
      <c r="X120" s="2236"/>
    </row>
    <row r="121" spans="1:24" ht="25.5" x14ac:dyDescent="0.35">
      <c r="A121" s="98" t="s">
        <v>1980</v>
      </c>
      <c r="B121" s="120">
        <v>1</v>
      </c>
      <c r="C121" s="120">
        <v>1</v>
      </c>
      <c r="D121" s="120">
        <v>1</v>
      </c>
      <c r="E121" s="120">
        <v>1</v>
      </c>
      <c r="F121" s="120">
        <v>1.02</v>
      </c>
      <c r="G121" s="277">
        <v>1.0349999999999999</v>
      </c>
      <c r="H121" s="121">
        <v>0</v>
      </c>
      <c r="I121" s="120">
        <v>1</v>
      </c>
      <c r="J121" s="120">
        <v>0</v>
      </c>
      <c r="K121" s="277"/>
      <c r="L121" s="121"/>
      <c r="M121" s="120"/>
      <c r="N121" s="120"/>
      <c r="O121" s="277"/>
      <c r="P121" s="121"/>
      <c r="Q121" s="120"/>
      <c r="R121" s="120"/>
      <c r="S121" s="277"/>
      <c r="T121" s="121"/>
      <c r="U121" s="120"/>
      <c r="V121" s="120"/>
      <c r="W121" s="277"/>
      <c r="X121" s="121"/>
    </row>
    <row r="122" spans="1:24" ht="25.5" x14ac:dyDescent="0.35">
      <c r="A122" s="98" t="s">
        <v>1979</v>
      </c>
      <c r="B122" s="120">
        <v>1</v>
      </c>
      <c r="C122" s="120">
        <v>1</v>
      </c>
      <c r="D122" s="120">
        <v>1</v>
      </c>
      <c r="E122" s="120">
        <v>1</v>
      </c>
      <c r="F122" s="120">
        <v>1.02</v>
      </c>
      <c r="G122" s="277">
        <v>1.0349999999999999</v>
      </c>
      <c r="H122" s="121">
        <v>1</v>
      </c>
      <c r="I122" s="120">
        <v>1</v>
      </c>
      <c r="J122" s="120">
        <v>0</v>
      </c>
      <c r="K122" s="277"/>
      <c r="L122" s="121"/>
      <c r="M122" s="120"/>
      <c r="N122" s="120"/>
      <c r="O122" s="277"/>
      <c r="P122" s="121"/>
      <c r="Q122" s="120"/>
      <c r="R122" s="120"/>
      <c r="S122" s="277"/>
      <c r="T122" s="121"/>
      <c r="U122" s="120"/>
      <c r="V122" s="120"/>
      <c r="W122" s="277"/>
      <c r="X122" s="121"/>
    </row>
    <row r="123" spans="1:24" ht="25.5" x14ac:dyDescent="0.35">
      <c r="A123" s="96" t="s">
        <v>1978</v>
      </c>
      <c r="B123" s="119">
        <v>1</v>
      </c>
      <c r="C123" s="119">
        <v>1</v>
      </c>
      <c r="D123" s="119">
        <v>1</v>
      </c>
      <c r="E123" s="119">
        <v>1</v>
      </c>
      <c r="F123" s="119">
        <v>1.02</v>
      </c>
      <c r="G123" s="273">
        <v>0</v>
      </c>
      <c r="H123" s="466">
        <v>0</v>
      </c>
      <c r="I123" s="119">
        <v>0</v>
      </c>
      <c r="J123" s="119">
        <v>1</v>
      </c>
      <c r="K123" s="273"/>
      <c r="L123" s="466"/>
      <c r="M123" s="119"/>
      <c r="N123" s="119"/>
      <c r="O123" s="273"/>
      <c r="P123" s="466"/>
      <c r="Q123" s="119"/>
      <c r="R123" s="119"/>
      <c r="S123" s="273"/>
      <c r="T123" s="466"/>
      <c r="U123" s="120"/>
      <c r="V123" s="120"/>
      <c r="W123" s="277"/>
      <c r="X123" s="121"/>
    </row>
    <row r="124" spans="1:24" ht="13.15" x14ac:dyDescent="0.4">
      <c r="A124" s="128" t="s">
        <v>1923</v>
      </c>
      <c r="B124" s="120"/>
      <c r="C124" s="120"/>
      <c r="D124" s="120"/>
      <c r="E124" s="120"/>
      <c r="F124" s="120"/>
      <c r="G124" s="277"/>
      <c r="H124" s="121"/>
      <c r="I124" s="120"/>
      <c r="J124" s="120"/>
      <c r="K124" s="482" t="s">
        <v>1873</v>
      </c>
      <c r="L124" s="427" t="s">
        <v>1872</v>
      </c>
      <c r="M124" s="427" t="s">
        <v>1873</v>
      </c>
      <c r="N124" s="483" t="s">
        <v>1872</v>
      </c>
      <c r="O124" s="482" t="s">
        <v>1873</v>
      </c>
      <c r="P124" s="427" t="s">
        <v>1872</v>
      </c>
      <c r="Q124" s="427" t="s">
        <v>1873</v>
      </c>
      <c r="R124" s="483" t="s">
        <v>1872</v>
      </c>
      <c r="S124" s="482" t="s">
        <v>1873</v>
      </c>
      <c r="T124" s="427" t="s">
        <v>1872</v>
      </c>
      <c r="U124" s="470" t="s">
        <v>1873</v>
      </c>
      <c r="V124" s="471" t="s">
        <v>1872</v>
      </c>
      <c r="W124" s="428" t="s">
        <v>1873</v>
      </c>
      <c r="X124" s="470" t="s">
        <v>1872</v>
      </c>
    </row>
    <row r="125" spans="1:24" x14ac:dyDescent="0.35">
      <c r="A125" s="59" t="s">
        <v>1537</v>
      </c>
      <c r="B125" s="145">
        <v>0.69578218556264471</v>
      </c>
      <c r="C125" s="145">
        <v>24.90561337275226</v>
      </c>
      <c r="D125" s="145">
        <v>12.78947536426803</v>
      </c>
      <c r="E125" s="145">
        <v>130.81082625268311</v>
      </c>
      <c r="F125" s="145">
        <v>1.3197239743574714</v>
      </c>
      <c r="G125" s="232">
        <v>4.3425157477657201</v>
      </c>
      <c r="H125" s="144">
        <v>4.437234416165956</v>
      </c>
      <c r="I125" s="145">
        <v>1.7821978693329918</v>
      </c>
      <c r="J125" s="145">
        <v>7.2145816775606919</v>
      </c>
      <c r="K125" s="59">
        <v>184.33466176915405</v>
      </c>
      <c r="L125" s="146">
        <v>9.2167330884577028E-2</v>
      </c>
      <c r="M125" s="39">
        <v>188.77189618532</v>
      </c>
      <c r="N125" s="146">
        <v>9.4385948092660002E-2</v>
      </c>
      <c r="O125" s="59">
        <v>186.11685963848706</v>
      </c>
      <c r="P125" s="146">
        <v>9.3058429819243532E-2</v>
      </c>
      <c r="Q125" s="144">
        <v>190.55409405465301</v>
      </c>
      <c r="R125" s="145">
        <v>9.5277047027326506E-2</v>
      </c>
      <c r="S125" s="59">
        <v>181.12003677068952</v>
      </c>
      <c r="T125" s="146">
        <v>9.0560018385344762E-2</v>
      </c>
      <c r="U125" s="39">
        <v>182.34646421760476</v>
      </c>
      <c r="V125" s="146">
        <v>9.1173232108802377E-2</v>
      </c>
      <c r="W125" s="146">
        <v>13.366083094035139</v>
      </c>
      <c r="X125" s="144">
        <v>6.6830415470175691E-3</v>
      </c>
    </row>
    <row r="126" spans="1:24" x14ac:dyDescent="0.35">
      <c r="A126" s="59" t="s">
        <v>1536</v>
      </c>
      <c r="B126" s="145">
        <v>0.6863782306550007</v>
      </c>
      <c r="C126" s="145">
        <v>24.191540149571509</v>
      </c>
      <c r="D126" s="145">
        <v>12.66658646095415</v>
      </c>
      <c r="E126" s="145">
        <v>125.83152553941042</v>
      </c>
      <c r="F126" s="145">
        <v>1.2353469476313939</v>
      </c>
      <c r="G126" s="232">
        <v>4.2002083923949076</v>
      </c>
      <c r="H126" s="144">
        <v>3.9849756365458693</v>
      </c>
      <c r="I126" s="145">
        <v>1.4403690677443262</v>
      </c>
      <c r="J126" s="145">
        <v>6.9573990692949934</v>
      </c>
      <c r="K126" s="146">
        <v>177.9548677559834</v>
      </c>
      <c r="L126" s="144">
        <v>8.8977433877991702E-2</v>
      </c>
      <c r="M126" s="144">
        <v>181.93984339252927</v>
      </c>
      <c r="N126" s="145">
        <v>9.0969921696264638E-2</v>
      </c>
      <c r="O126" s="146">
        <v>179.39523682372771</v>
      </c>
      <c r="P126" s="144">
        <v>8.9697618411863855E-2</v>
      </c>
      <c r="Q126" s="144">
        <v>183.38021246027358</v>
      </c>
      <c r="R126" s="145">
        <v>9.1690106230136792E-2</v>
      </c>
      <c r="S126" s="146">
        <v>174.83629700512932</v>
      </c>
      <c r="T126" s="144">
        <v>8.7418148502564658E-2</v>
      </c>
      <c r="U126" s="144">
        <v>175.94700601429807</v>
      </c>
      <c r="V126" s="145">
        <v>8.797350300714904E-2</v>
      </c>
      <c r="W126" s="146">
        <v>12.988367119257862</v>
      </c>
      <c r="X126" s="144">
        <v>6.4941835596289315E-3</v>
      </c>
    </row>
    <row r="127" spans="1:24" x14ac:dyDescent="0.35">
      <c r="A127" s="59" t="s">
        <v>1535</v>
      </c>
      <c r="B127" s="145">
        <v>2.2502787392071861E-2</v>
      </c>
      <c r="C127" s="145">
        <v>3.4131832751350699</v>
      </c>
      <c r="D127" s="145">
        <v>2.13827879072196</v>
      </c>
      <c r="E127" s="145">
        <v>123.53479105468408</v>
      </c>
      <c r="F127" s="145">
        <v>0.20369475413410845</v>
      </c>
      <c r="G127" s="232">
        <v>0.34446292048075111</v>
      </c>
      <c r="H127" s="144">
        <v>1.0957100816133774</v>
      </c>
      <c r="I127" s="145">
        <v>0.82541364628226921</v>
      </c>
      <c r="J127" s="145">
        <v>0.63413733366007408</v>
      </c>
      <c r="K127" s="146">
        <v>136.8554006030146</v>
      </c>
      <c r="L127" s="144">
        <v>6.8427700301507299E-2</v>
      </c>
      <c r="M127" s="144">
        <v>137.95111068462799</v>
      </c>
      <c r="N127" s="145">
        <v>6.8975555342313991E-2</v>
      </c>
      <c r="O127" s="146">
        <v>137.68081424929687</v>
      </c>
      <c r="P127" s="144">
        <v>6.8840407124648437E-2</v>
      </c>
      <c r="Q127" s="144">
        <v>138.77652433091026</v>
      </c>
      <c r="R127" s="145">
        <v>6.9388262165455128E-2</v>
      </c>
      <c r="S127" s="146">
        <v>132.52876311388604</v>
      </c>
      <c r="T127" s="144">
        <v>6.6264381556943017E-2</v>
      </c>
      <c r="U127" s="144">
        <v>133.34097207209919</v>
      </c>
      <c r="V127" s="145">
        <v>6.6670486036049595E-2</v>
      </c>
      <c r="W127" s="146">
        <v>1.7937172718633922</v>
      </c>
      <c r="X127" s="144">
        <v>8.9685863593169613E-4</v>
      </c>
    </row>
    <row r="128" spans="1:24" x14ac:dyDescent="0.35">
      <c r="A128" s="59" t="s">
        <v>1534</v>
      </c>
      <c r="B128" s="145">
        <v>7.4613856082037633E-2</v>
      </c>
      <c r="C128" s="145">
        <v>17.430183470668545</v>
      </c>
      <c r="D128" s="145">
        <v>1.7029057887189509</v>
      </c>
      <c r="E128" s="145">
        <v>0.40246425785982165</v>
      </c>
      <c r="F128" s="145">
        <v>0.8800979234403381</v>
      </c>
      <c r="G128" s="232">
        <v>3.830909394894944</v>
      </c>
      <c r="H128" s="144">
        <v>2.8445467152955679</v>
      </c>
      <c r="I128" s="145">
        <v>0.58690690676127966</v>
      </c>
      <c r="J128" s="145">
        <v>6.2780678914104762</v>
      </c>
      <c r="K128" s="146">
        <v>25.444264441679497</v>
      </c>
      <c r="L128" s="144">
        <v>1.2722132220839748E-2</v>
      </c>
      <c r="M128" s="144">
        <v>28.288811156975065</v>
      </c>
      <c r="N128" s="145">
        <v>1.4144405578487533E-2</v>
      </c>
      <c r="O128" s="146">
        <v>26.031171348440775</v>
      </c>
      <c r="P128" s="144">
        <v>1.3015585674220388E-2</v>
      </c>
      <c r="Q128" s="144">
        <v>28.875718063736343</v>
      </c>
      <c r="R128" s="145">
        <v>1.4437859031868172E-2</v>
      </c>
      <c r="S128" s="146">
        <v>27.160536535646759</v>
      </c>
      <c r="T128" s="144">
        <v>1.3580268267823379E-2</v>
      </c>
      <c r="U128" s="144">
        <v>27.383510134298405</v>
      </c>
      <c r="V128" s="145">
        <v>1.3691755067149203E-2</v>
      </c>
      <c r="W128" s="146">
        <v>9.1389774077219297</v>
      </c>
      <c r="X128" s="144">
        <v>4.5694887038609652E-3</v>
      </c>
    </row>
    <row r="129" spans="1:24" x14ac:dyDescent="0.35">
      <c r="A129" s="59" t="s">
        <v>1533</v>
      </c>
      <c r="B129" s="145">
        <v>0.58926158718089117</v>
      </c>
      <c r="C129" s="145">
        <v>3.3481734037678947</v>
      </c>
      <c r="D129" s="145">
        <v>8.8254018815132387</v>
      </c>
      <c r="E129" s="145">
        <v>1.8942702268665217</v>
      </c>
      <c r="F129" s="145">
        <v>0.15155427005694724</v>
      </c>
      <c r="G129" s="232">
        <v>2.4836077019212373E-2</v>
      </c>
      <c r="H129" s="144">
        <v>4.4718839636924038E-2</v>
      </c>
      <c r="I129" s="145">
        <v>2.8048514700777287E-2</v>
      </c>
      <c r="J129" s="145">
        <v>4.5193844224443509E-2</v>
      </c>
      <c r="K129" s="146">
        <v>15.655202711289297</v>
      </c>
      <c r="L129" s="144">
        <v>7.8276013556446492E-3</v>
      </c>
      <c r="M129" s="144">
        <v>15.699921550926222</v>
      </c>
      <c r="N129" s="145">
        <v>7.8499607754631117E-3</v>
      </c>
      <c r="O129" s="146">
        <v>15.683251225990075</v>
      </c>
      <c r="P129" s="144">
        <v>7.841625612995038E-3</v>
      </c>
      <c r="Q129" s="144">
        <v>15.727970065627</v>
      </c>
      <c r="R129" s="145">
        <v>7.8639850328135006E-3</v>
      </c>
      <c r="S129" s="146">
        <v>15.146997355596508</v>
      </c>
      <c r="T129" s="144">
        <v>7.5734986777982538E-3</v>
      </c>
      <c r="U129" s="144">
        <v>15.222523807900471</v>
      </c>
      <c r="V129" s="145">
        <v>7.6112619039502352E-3</v>
      </c>
      <c r="W129" s="146">
        <v>2.0556724396725414</v>
      </c>
      <c r="X129" s="144">
        <v>1.0278362198362708E-3</v>
      </c>
    </row>
    <row r="130" spans="1:24" x14ac:dyDescent="0.35">
      <c r="A130" s="59" t="s">
        <v>1532</v>
      </c>
      <c r="B130" s="48">
        <v>1501.5418712274286</v>
      </c>
      <c r="C130" s="48">
        <v>4581.1161600328724</v>
      </c>
      <c r="D130" s="48">
        <v>248.19752140180492</v>
      </c>
      <c r="E130" s="48">
        <v>12078.275945096015</v>
      </c>
      <c r="F130" s="48">
        <v>101.85044657983455</v>
      </c>
      <c r="G130" s="49">
        <v>108.15618081951042</v>
      </c>
      <c r="H130" s="47">
        <v>310.67751213528015</v>
      </c>
      <c r="I130" s="48">
        <v>171.44676499281618</v>
      </c>
      <c r="J130" s="48">
        <v>259.85378586982699</v>
      </c>
      <c r="K130" s="49">
        <v>19648.091515212887</v>
      </c>
      <c r="L130" s="143">
        <v>9.8240457576064433</v>
      </c>
      <c r="M130" s="49">
        <v>19958.769027348168</v>
      </c>
      <c r="N130" s="143">
        <v>9.9793845136740842</v>
      </c>
      <c r="O130" s="155">
        <v>19819.538280205703</v>
      </c>
      <c r="P130" s="146">
        <v>9.9097691401028509</v>
      </c>
      <c r="Q130" s="155">
        <v>20130.215792340983</v>
      </c>
      <c r="R130" s="146">
        <v>10.065107896170492</v>
      </c>
      <c r="S130" s="155">
        <v>19139.018360162943</v>
      </c>
      <c r="T130" s="146">
        <v>9.5695091800814716</v>
      </c>
      <c r="U130" s="155">
        <v>19267.87402634609</v>
      </c>
      <c r="V130" s="146">
        <v>9.6339370131730444</v>
      </c>
      <c r="W130" s="155">
        <v>3175.6594086145456</v>
      </c>
      <c r="X130" s="146">
        <v>1.5878297043072729</v>
      </c>
    </row>
    <row r="131" spans="1:24" ht="13.15" x14ac:dyDescent="0.4">
      <c r="A131" s="131" t="s">
        <v>1922</v>
      </c>
      <c r="B131" s="157"/>
      <c r="C131" s="157"/>
      <c r="D131" s="157"/>
      <c r="E131" s="157"/>
      <c r="F131" s="157"/>
      <c r="G131" s="237"/>
      <c r="H131" s="156"/>
      <c r="I131" s="157"/>
      <c r="J131" s="157"/>
      <c r="K131" s="429" t="s">
        <v>1873</v>
      </c>
      <c r="L131" s="381" t="s">
        <v>1872</v>
      </c>
      <c r="M131" s="381" t="s">
        <v>1873</v>
      </c>
      <c r="N131" s="382" t="s">
        <v>1872</v>
      </c>
      <c r="O131" s="429" t="s">
        <v>1873</v>
      </c>
      <c r="P131" s="381" t="s">
        <v>1872</v>
      </c>
      <c r="Q131" s="381" t="s">
        <v>1873</v>
      </c>
      <c r="R131" s="382" t="s">
        <v>1872</v>
      </c>
      <c r="S131" s="429" t="s">
        <v>1873</v>
      </c>
      <c r="T131" s="381" t="s">
        <v>1872</v>
      </c>
      <c r="U131" s="381" t="s">
        <v>1873</v>
      </c>
      <c r="V131" s="382" t="s">
        <v>1872</v>
      </c>
      <c r="W131" s="429" t="s">
        <v>1873</v>
      </c>
      <c r="X131" s="381" t="s">
        <v>1872</v>
      </c>
    </row>
    <row r="132" spans="1:24" x14ac:dyDescent="0.35">
      <c r="A132" s="59" t="s">
        <v>1525</v>
      </c>
      <c r="B132" s="145">
        <v>17.39555116112922</v>
      </c>
      <c r="C132" s="145">
        <v>252.31020925280336</v>
      </c>
      <c r="D132" s="145">
        <v>240.76707186293075</v>
      </c>
      <c r="E132" s="145">
        <v>1060.6748017796831</v>
      </c>
      <c r="F132" s="145">
        <v>12.676921755513046</v>
      </c>
      <c r="G132" s="232">
        <v>303.89453252439506</v>
      </c>
      <c r="H132" s="144">
        <v>277.35430127674221</v>
      </c>
      <c r="I132" s="145">
        <v>12.945991101971142</v>
      </c>
      <c r="J132" s="145">
        <v>323.85671195218856</v>
      </c>
      <c r="K132" s="146">
        <v>1975.6757038148471</v>
      </c>
      <c r="L132" s="144">
        <v>0.98783785190742357</v>
      </c>
      <c r="M132" s="144">
        <v>2253.0300050915894</v>
      </c>
      <c r="N132" s="145">
        <v>1.1265150025457946</v>
      </c>
      <c r="O132" s="146">
        <v>1988.6216949168183</v>
      </c>
      <c r="P132" s="144">
        <v>0.99431084745840914</v>
      </c>
      <c r="Q132" s="144">
        <v>2265.9759961935606</v>
      </c>
      <c r="R132" s="145">
        <v>1.1329879980967803</v>
      </c>
      <c r="S132" s="146">
        <v>1939.104220445379</v>
      </c>
      <c r="T132" s="144">
        <v>0.9695521102226895</v>
      </c>
      <c r="U132" s="144">
        <v>1981.5975512926427</v>
      </c>
      <c r="V132" s="145">
        <v>0.99079877564632135</v>
      </c>
      <c r="W132" s="146">
        <v>140.80910536385747</v>
      </c>
      <c r="X132" s="144">
        <v>7.0404552681928731E-2</v>
      </c>
    </row>
    <row r="133" spans="1:24" x14ac:dyDescent="0.35">
      <c r="A133" s="59" t="s">
        <v>1524</v>
      </c>
      <c r="B133" s="145">
        <v>71.537633242355597</v>
      </c>
      <c r="C133" s="145">
        <v>1082.9097124169582</v>
      </c>
      <c r="D133" s="145">
        <v>334.13503528751454</v>
      </c>
      <c r="E133" s="145">
        <v>1166.2641525591423</v>
      </c>
      <c r="F133" s="145">
        <v>69.222621982845311</v>
      </c>
      <c r="G133" s="232">
        <v>192.73180849202382</v>
      </c>
      <c r="H133" s="144">
        <v>157.65982935390028</v>
      </c>
      <c r="I133" s="145">
        <v>36.150798613471267</v>
      </c>
      <c r="J133" s="145">
        <v>332.12727346354194</v>
      </c>
      <c r="K133" s="146">
        <v>3067.0987076665224</v>
      </c>
      <c r="L133" s="144">
        <v>1.5335493538332612</v>
      </c>
      <c r="M133" s="144">
        <v>3224.7585370204229</v>
      </c>
      <c r="N133" s="145">
        <v>1.6123792685102114</v>
      </c>
      <c r="O133" s="146">
        <v>3103.2495062799935</v>
      </c>
      <c r="P133" s="144">
        <v>1.5516247531399967</v>
      </c>
      <c r="Q133" s="144">
        <v>3260.909335633894</v>
      </c>
      <c r="R133" s="145">
        <v>1.6304546678169469</v>
      </c>
      <c r="S133" s="146">
        <v>3109.2933596224775</v>
      </c>
      <c r="T133" s="144">
        <v>1.5546466798112388</v>
      </c>
      <c r="U133" s="144">
        <v>3129.0034365039614</v>
      </c>
      <c r="V133" s="145">
        <v>1.5645017182519807</v>
      </c>
      <c r="W133" s="146">
        <v>602.71867268419851</v>
      </c>
      <c r="X133" s="144">
        <v>0.30135933634209927</v>
      </c>
    </row>
    <row r="134" spans="1:24" x14ac:dyDescent="0.35">
      <c r="A134" s="59" t="s">
        <v>1563</v>
      </c>
      <c r="B134" s="145">
        <v>203.31158579939336</v>
      </c>
      <c r="C134" s="145">
        <v>2032.4177964514342</v>
      </c>
      <c r="D134" s="145">
        <v>752.47609025148358</v>
      </c>
      <c r="E134" s="145">
        <v>6598.5517515485117</v>
      </c>
      <c r="F134" s="145">
        <v>176.12221948133487</v>
      </c>
      <c r="G134" s="232">
        <v>369.65197132410202</v>
      </c>
      <c r="H134" s="144">
        <v>251.93025677035402</v>
      </c>
      <c r="I134" s="145">
        <v>81.191659767030075</v>
      </c>
      <c r="J134" s="145">
        <v>469.88575214081908</v>
      </c>
      <c r="K134" s="146">
        <v>10672.678069917736</v>
      </c>
      <c r="L134" s="144">
        <v>5.3363390349588684</v>
      </c>
      <c r="M134" s="144">
        <v>10924.608326688091</v>
      </c>
      <c r="N134" s="145">
        <v>5.4623041633440454</v>
      </c>
      <c r="O134" s="146">
        <v>10753.869729684766</v>
      </c>
      <c r="P134" s="144">
        <v>5.3769348648423829</v>
      </c>
      <c r="Q134" s="144">
        <v>11005.79998645512</v>
      </c>
      <c r="R134" s="145">
        <v>5.50289999322756</v>
      </c>
      <c r="S134" s="146">
        <v>10424.500340153994</v>
      </c>
      <c r="T134" s="144">
        <v>5.212250170076997</v>
      </c>
      <c r="U134" s="144">
        <v>10500.069294173141</v>
      </c>
      <c r="V134" s="145">
        <v>5.2500346470865704</v>
      </c>
      <c r="W134" s="146">
        <v>1167.238896445039</v>
      </c>
      <c r="X134" s="144">
        <v>0.58361944822251954</v>
      </c>
    </row>
    <row r="135" spans="1:24" x14ac:dyDescent="0.35">
      <c r="A135" s="59" t="s">
        <v>1522</v>
      </c>
      <c r="B135" s="145">
        <v>867.67212567404044</v>
      </c>
      <c r="C135" s="145">
        <v>1018.4230438811594</v>
      </c>
      <c r="D135" s="145">
        <v>205.68509401110617</v>
      </c>
      <c r="E135" s="145">
        <v>3649.0270111724044</v>
      </c>
      <c r="F135" s="145">
        <v>39.318500647183122</v>
      </c>
      <c r="G135" s="232">
        <v>117.91151929552127</v>
      </c>
      <c r="H135" s="144">
        <v>80.688001149110534</v>
      </c>
      <c r="I135" s="145">
        <v>14.664032236522001</v>
      </c>
      <c r="J135" s="145">
        <v>33.326628519414548</v>
      </c>
      <c r="K135" s="146">
        <v>6219.1764074070115</v>
      </c>
      <c r="L135" s="144">
        <v>3.1095882037035056</v>
      </c>
      <c r="M135" s="144">
        <v>6299.8644085561218</v>
      </c>
      <c r="N135" s="145">
        <v>3.1499322042780609</v>
      </c>
      <c r="O135" s="146">
        <v>6233.8404396435335</v>
      </c>
      <c r="P135" s="144">
        <v>3.1169202198217669</v>
      </c>
      <c r="Q135" s="144">
        <v>6314.5284407926438</v>
      </c>
      <c r="R135" s="145">
        <v>3.1572642203963217</v>
      </c>
      <c r="S135" s="146">
        <v>5928.2685494000825</v>
      </c>
      <c r="T135" s="144">
        <v>2.9641342747000414</v>
      </c>
      <c r="U135" s="144">
        <v>5978.4823352811154</v>
      </c>
      <c r="V135" s="145">
        <v>2.9892411676405577</v>
      </c>
      <c r="W135" s="146">
        <v>984.70041221426322</v>
      </c>
      <c r="X135" s="144">
        <v>0.49235020610713159</v>
      </c>
    </row>
    <row r="136" spans="1:24" x14ac:dyDescent="0.35">
      <c r="A136" s="59" t="s">
        <v>1521</v>
      </c>
      <c r="B136" s="145">
        <v>440.69314687514651</v>
      </c>
      <c r="C136" s="145">
        <v>503.63250502019719</v>
      </c>
      <c r="D136" s="145">
        <v>105.4514037695285</v>
      </c>
      <c r="E136" s="145">
        <v>1621.692739125778</v>
      </c>
      <c r="F136" s="145">
        <v>20.42422612534525</v>
      </c>
      <c r="G136" s="232">
        <v>59.177352528803667</v>
      </c>
      <c r="H136" s="144">
        <v>39.446357992147774</v>
      </c>
      <c r="I136" s="145">
        <v>6.3820237265312141</v>
      </c>
      <c r="J136" s="145">
        <v>26.260905797201563</v>
      </c>
      <c r="K136" s="146">
        <v>2900.587088929025</v>
      </c>
      <c r="L136" s="144">
        <v>1.4502935444645124</v>
      </c>
      <c r="M136" s="144">
        <v>2940.0334469211725</v>
      </c>
      <c r="N136" s="145">
        <v>1.4700167234605863</v>
      </c>
      <c r="O136" s="146">
        <v>2906.9691126555563</v>
      </c>
      <c r="P136" s="144">
        <v>1.4534845563277781</v>
      </c>
      <c r="Q136" s="144">
        <v>2946.4154706477038</v>
      </c>
      <c r="R136" s="145">
        <v>1.473207735323852</v>
      </c>
      <c r="S136" s="146">
        <v>2771.5843226090101</v>
      </c>
      <c r="T136" s="144">
        <v>1.385792161304505</v>
      </c>
      <c r="U136" s="144">
        <v>2794.3123718540401</v>
      </c>
      <c r="V136" s="145">
        <v>1.3971561859270201</v>
      </c>
      <c r="W136" s="146">
        <v>493.01746470467981</v>
      </c>
      <c r="X136" s="144">
        <v>0.24650873235233992</v>
      </c>
    </row>
    <row r="137" spans="1:24" x14ac:dyDescent="0.35">
      <c r="A137" s="59" t="s">
        <v>1520</v>
      </c>
      <c r="B137" s="145">
        <v>158.3024913329138</v>
      </c>
      <c r="C137" s="145">
        <v>5001.9782013918393</v>
      </c>
      <c r="D137" s="145">
        <v>1613.1161330367172</v>
      </c>
      <c r="E137" s="145">
        <v>45162.659528551769</v>
      </c>
      <c r="F137" s="145">
        <v>163.12847384182109</v>
      </c>
      <c r="G137" s="232">
        <v>135.93106525523925</v>
      </c>
      <c r="H137" s="144">
        <v>314.85319087263792</v>
      </c>
      <c r="I137" s="145">
        <v>220.49172555738897</v>
      </c>
      <c r="J137" s="145">
        <v>241.17932846814199</v>
      </c>
      <c r="K137" s="146">
        <v>55133.663728930005</v>
      </c>
      <c r="L137" s="144">
        <v>27.566831864465001</v>
      </c>
      <c r="M137" s="144">
        <v>55448.516919802641</v>
      </c>
      <c r="N137" s="145">
        <v>27.724258459901321</v>
      </c>
      <c r="O137" s="146">
        <v>55354.155454487394</v>
      </c>
      <c r="P137" s="144">
        <v>27.677077727243699</v>
      </c>
      <c r="Q137" s="144">
        <v>55669.008645360031</v>
      </c>
      <c r="R137" s="145">
        <v>27.834504322680015</v>
      </c>
      <c r="S137" s="146">
        <v>53379.085283709464</v>
      </c>
      <c r="T137" s="144">
        <v>26.689542641854732</v>
      </c>
      <c r="U137" s="144">
        <v>53676.775320724038</v>
      </c>
      <c r="V137" s="145">
        <v>26.83838766036202</v>
      </c>
      <c r="W137" s="146">
        <v>2694.1008106529985</v>
      </c>
      <c r="X137" s="144">
        <v>1.3470504053264993</v>
      </c>
    </row>
    <row r="138" spans="1:24" x14ac:dyDescent="0.35">
      <c r="A138" s="59" t="s">
        <v>1519</v>
      </c>
      <c r="B138" s="145">
        <v>5.2462422392490584</v>
      </c>
      <c r="C138" s="145">
        <v>16.347726164904138</v>
      </c>
      <c r="D138" s="145">
        <v>7.7528540019330743</v>
      </c>
      <c r="E138" s="145">
        <v>34.918262097065956</v>
      </c>
      <c r="F138" s="145">
        <v>2.0137224005540699</v>
      </c>
      <c r="G138" s="232">
        <v>2.5236071448524808</v>
      </c>
      <c r="H138" s="144">
        <v>1.970260595655559</v>
      </c>
      <c r="I138" s="145">
        <v>0.47271161247710475</v>
      </c>
      <c r="J138" s="145">
        <v>4.1476166932620382</v>
      </c>
      <c r="K138" s="146">
        <v>72.452459539403748</v>
      </c>
      <c r="L138" s="144">
        <v>3.622622976970187E-2</v>
      </c>
      <c r="M138" s="144">
        <v>74.422720135059308</v>
      </c>
      <c r="N138" s="145">
        <v>3.7211360067529654E-2</v>
      </c>
      <c r="O138" s="146">
        <v>72.925171151880846</v>
      </c>
      <c r="P138" s="144">
        <v>3.6462585575940426E-2</v>
      </c>
      <c r="Q138" s="144">
        <v>74.895431747536406</v>
      </c>
      <c r="R138" s="145">
        <v>3.7447715873768203E-2</v>
      </c>
      <c r="S138" s="146">
        <v>71.711725287031385</v>
      </c>
      <c r="T138" s="144">
        <v>3.5855862643515694E-2</v>
      </c>
      <c r="U138" s="144">
        <v>72.125607126897037</v>
      </c>
      <c r="V138" s="145">
        <v>3.6062803563448521E-2</v>
      </c>
      <c r="W138" s="146">
        <v>11.273868854627334</v>
      </c>
      <c r="X138" s="144">
        <v>5.6369344273136677E-3</v>
      </c>
    </row>
    <row r="139" spans="1:24" x14ac:dyDescent="0.35">
      <c r="A139" s="59" t="s">
        <v>1518</v>
      </c>
      <c r="B139" s="145">
        <v>1.7903048967636037</v>
      </c>
      <c r="C139" s="145">
        <v>32.065684816412066</v>
      </c>
      <c r="D139" s="145">
        <v>7.2567181536344201</v>
      </c>
      <c r="E139" s="145">
        <v>78.489463447773545</v>
      </c>
      <c r="F139" s="145">
        <v>1.7981411371324645</v>
      </c>
      <c r="G139" s="232">
        <v>5.872122708866625</v>
      </c>
      <c r="H139" s="144">
        <v>4.5932402414020252</v>
      </c>
      <c r="I139" s="145">
        <v>1.1097448265457537</v>
      </c>
      <c r="J139" s="145">
        <v>9.6480954222954498</v>
      </c>
      <c r="K139" s="146">
        <v>133.99721104260465</v>
      </c>
      <c r="L139" s="144">
        <v>6.6998605521302323E-2</v>
      </c>
      <c r="M139" s="144">
        <v>138.59045128400666</v>
      </c>
      <c r="N139" s="145">
        <v>6.9295225642003327E-2</v>
      </c>
      <c r="O139" s="146">
        <v>135.1069558691504</v>
      </c>
      <c r="P139" s="144">
        <v>6.7553477934575196E-2</v>
      </c>
      <c r="Q139" s="144">
        <v>139.70019611055241</v>
      </c>
      <c r="R139" s="145">
        <v>6.98500980552762E-2</v>
      </c>
      <c r="S139" s="146">
        <v>133.44045130030321</v>
      </c>
      <c r="T139" s="144">
        <v>6.6720225650151607E-2</v>
      </c>
      <c r="U139" s="144">
        <v>134.25421812563559</v>
      </c>
      <c r="V139" s="145">
        <v>6.7127109062817797E-2</v>
      </c>
      <c r="W139" s="146">
        <v>17.675675949240716</v>
      </c>
      <c r="X139" s="144">
        <v>8.8378379746203578E-3</v>
      </c>
    </row>
    <row r="140" spans="1:24" x14ac:dyDescent="0.35">
      <c r="A140" s="59" t="s">
        <v>1531</v>
      </c>
      <c r="B140" s="145">
        <v>67.575560403884509</v>
      </c>
      <c r="C140" s="145">
        <v>4281.1373311172356</v>
      </c>
      <c r="D140" s="145">
        <v>1351.619582454332</v>
      </c>
      <c r="E140" s="145">
        <v>18352.770534764655</v>
      </c>
      <c r="F140" s="145">
        <v>217.38882852714548</v>
      </c>
      <c r="G140" s="232">
        <v>821.69204170920284</v>
      </c>
      <c r="H140" s="144">
        <v>723.06846715984625</v>
      </c>
      <c r="I140" s="145">
        <v>228.68669943764664</v>
      </c>
      <c r="J140" s="145">
        <v>1356.4762672341567</v>
      </c>
      <c r="K140" s="146">
        <v>26439.55032556173</v>
      </c>
      <c r="L140" s="144">
        <v>13.219775162780865</v>
      </c>
      <c r="M140" s="144">
        <v>27162.618792721576</v>
      </c>
      <c r="N140" s="145">
        <v>13.581309396360789</v>
      </c>
      <c r="O140" s="146">
        <v>26668.237024999376</v>
      </c>
      <c r="P140" s="144">
        <v>13.334118512499689</v>
      </c>
      <c r="Q140" s="144">
        <v>27391.305492159223</v>
      </c>
      <c r="R140" s="145">
        <v>13.695652746079611</v>
      </c>
      <c r="S140" s="146">
        <v>26108.030164676213</v>
      </c>
      <c r="T140" s="144">
        <v>13.054015082338106</v>
      </c>
      <c r="U140" s="144">
        <v>26274.855957249005</v>
      </c>
      <c r="V140" s="145">
        <v>13.137427978624503</v>
      </c>
      <c r="W140" s="146">
        <v>2270.3941169056698</v>
      </c>
      <c r="X140" s="144">
        <v>1.1351970584528348</v>
      </c>
    </row>
    <row r="141" spans="1:24" x14ac:dyDescent="0.35">
      <c r="A141" s="59" t="s">
        <v>1530</v>
      </c>
      <c r="B141" s="145">
        <v>1.2269494524225155</v>
      </c>
      <c r="C141" s="145">
        <v>42.056685994894003</v>
      </c>
      <c r="D141" s="145">
        <v>4.7774866396906086</v>
      </c>
      <c r="E141" s="145">
        <v>198.63822880733107</v>
      </c>
      <c r="F141" s="145">
        <v>2.1211582915400387</v>
      </c>
      <c r="G141" s="232">
        <v>7.8585480664657261</v>
      </c>
      <c r="H141" s="144">
        <v>7.5357145703251085</v>
      </c>
      <c r="I141" s="145">
        <v>1.8517705111034761</v>
      </c>
      <c r="J141" s="145">
        <v>12.929609273089619</v>
      </c>
      <c r="K141" s="146">
        <v>270.49445163736254</v>
      </c>
      <c r="L141" s="144">
        <v>0.13524722581868126</v>
      </c>
      <c r="M141" s="144">
        <v>278.03016620768767</v>
      </c>
      <c r="N141" s="145">
        <v>0.13901508310384383</v>
      </c>
      <c r="O141" s="146">
        <v>272.34622214846604</v>
      </c>
      <c r="P141" s="144">
        <v>0.13617311107423302</v>
      </c>
      <c r="Q141" s="144">
        <v>279.88193671879117</v>
      </c>
      <c r="R141" s="145">
        <v>0.1399409683593956</v>
      </c>
      <c r="S141" s="146">
        <v>266.68410547685465</v>
      </c>
      <c r="T141" s="144">
        <v>0.13334205273842734</v>
      </c>
      <c r="U141" s="144">
        <v>268.39982353830641</v>
      </c>
      <c r="V141" s="145">
        <v>0.13419991176915319</v>
      </c>
      <c r="W141" s="146">
        <v>22.597700452812216</v>
      </c>
      <c r="X141" s="144">
        <v>1.1298850226406108E-2</v>
      </c>
    </row>
    <row r="142" spans="1:24" x14ac:dyDescent="0.35">
      <c r="A142" s="59" t="s">
        <v>1921</v>
      </c>
      <c r="B142" s="145">
        <v>0</v>
      </c>
      <c r="C142" s="148">
        <v>0</v>
      </c>
      <c r="D142" s="148">
        <v>0</v>
      </c>
      <c r="E142" s="148">
        <v>69.763679999999994</v>
      </c>
      <c r="F142" s="148">
        <v>0</v>
      </c>
      <c r="G142" s="411">
        <v>0</v>
      </c>
      <c r="H142" s="147">
        <v>0</v>
      </c>
      <c r="I142" s="148">
        <v>0</v>
      </c>
      <c r="J142" s="148">
        <v>0</v>
      </c>
      <c r="K142" s="146">
        <v>73.649516975999987</v>
      </c>
      <c r="L142" s="147">
        <v>3.6824758487999994E-2</v>
      </c>
      <c r="M142" s="144">
        <v>73.649516975999987</v>
      </c>
      <c r="N142" s="148">
        <v>3.6824758487999994E-2</v>
      </c>
      <c r="O142" s="146">
        <v>73.649516975999987</v>
      </c>
      <c r="P142" s="147">
        <v>3.6824758487999994E-2</v>
      </c>
      <c r="Q142" s="144">
        <v>73.649516975999987</v>
      </c>
      <c r="R142" s="148">
        <v>3.6824758487999994E-2</v>
      </c>
      <c r="S142" s="146">
        <v>71.15895359999999</v>
      </c>
      <c r="T142" s="144">
        <v>3.5579476799999996E-2</v>
      </c>
      <c r="U142" s="144">
        <v>71.482726838879984</v>
      </c>
      <c r="V142" s="145">
        <v>3.5741363419439995E-2</v>
      </c>
      <c r="W142" s="146">
        <v>0</v>
      </c>
      <c r="X142" s="144">
        <v>0</v>
      </c>
    </row>
    <row r="143" spans="1:24" x14ac:dyDescent="0.35">
      <c r="A143" s="59" t="s">
        <v>1920</v>
      </c>
      <c r="B143" s="148">
        <v>0</v>
      </c>
      <c r="C143" s="148">
        <v>0</v>
      </c>
      <c r="D143" s="148">
        <v>0</v>
      </c>
      <c r="E143" s="148">
        <v>9.61632</v>
      </c>
      <c r="F143" s="148">
        <v>0</v>
      </c>
      <c r="G143" s="411">
        <v>0</v>
      </c>
      <c r="H143" s="147">
        <v>0</v>
      </c>
      <c r="I143" s="148">
        <v>0</v>
      </c>
      <c r="J143" s="148">
        <v>0</v>
      </c>
      <c r="K143" s="146">
        <v>10.151949024</v>
      </c>
      <c r="L143" s="147">
        <v>5.0759745120000001E-3</v>
      </c>
      <c r="M143" s="144">
        <v>10.151949024</v>
      </c>
      <c r="N143" s="148">
        <v>5.0759745120000001E-3</v>
      </c>
      <c r="O143" s="146">
        <v>10.151949024</v>
      </c>
      <c r="P143" s="147">
        <v>5.0759745120000001E-3</v>
      </c>
      <c r="Q143" s="144">
        <v>10.151949024</v>
      </c>
      <c r="R143" s="148">
        <v>5.0759745120000001E-3</v>
      </c>
      <c r="S143" s="146">
        <v>9.8086464000000007</v>
      </c>
      <c r="T143" s="144">
        <v>4.9043232000000004E-3</v>
      </c>
      <c r="U143" s="144">
        <v>9.8532757411200009</v>
      </c>
      <c r="V143" s="145">
        <v>4.9266378705600002E-3</v>
      </c>
      <c r="W143" s="146">
        <v>0</v>
      </c>
      <c r="X143" s="144">
        <v>0</v>
      </c>
    </row>
    <row r="144" spans="1:24" x14ac:dyDescent="0.35">
      <c r="A144" s="59" t="s">
        <v>1529</v>
      </c>
      <c r="B144" s="154">
        <v>54665.091610594958</v>
      </c>
      <c r="C144" s="154">
        <v>1719894.5074309767</v>
      </c>
      <c r="D144" s="154">
        <v>286786.14777017885</v>
      </c>
      <c r="E144" s="154">
        <v>13907322.636671545</v>
      </c>
      <c r="F144" s="154">
        <v>85327.773242306328</v>
      </c>
      <c r="G144" s="240">
        <v>263822.79764057492</v>
      </c>
      <c r="H144" s="153">
        <v>282384.14992019266</v>
      </c>
      <c r="I144" s="154">
        <v>119817.08672139457</v>
      </c>
      <c r="J144" s="154">
        <v>439574.41594726971</v>
      </c>
      <c r="K144" s="155">
        <v>17210260.255389672</v>
      </c>
      <c r="L144" s="153">
        <v>8605.1301276948361</v>
      </c>
      <c r="M144" s="47">
        <v>17492644.405309863</v>
      </c>
      <c r="N144" s="154">
        <v>8746.322202654932</v>
      </c>
      <c r="O144" s="155">
        <v>17330077.342111066</v>
      </c>
      <c r="P144" s="153">
        <v>8665.0386710555322</v>
      </c>
      <c r="Q144" s="47">
        <v>17612461.492031258</v>
      </c>
      <c r="R144" s="154">
        <v>8806.230746015628</v>
      </c>
      <c r="S144" s="155">
        <v>16812943.940342538</v>
      </c>
      <c r="T144" s="153">
        <v>8406.4719701712693</v>
      </c>
      <c r="U144" s="47">
        <v>16916881.222062074</v>
      </c>
      <c r="V144" s="154">
        <v>8458.4406110310374</v>
      </c>
      <c r="W144" s="155">
        <v>926469.45757626172</v>
      </c>
      <c r="X144" s="153">
        <v>463.23472878813084</v>
      </c>
    </row>
    <row r="145" spans="1:24" x14ac:dyDescent="0.35">
      <c r="A145" s="59" t="s">
        <v>1528</v>
      </c>
      <c r="B145" s="154">
        <v>54831.724025856565</v>
      </c>
      <c r="C145" s="154">
        <v>1722382.589512184</v>
      </c>
      <c r="D145" s="154">
        <v>288061.60781865113</v>
      </c>
      <c r="E145" s="154">
        <v>13912461.10728159</v>
      </c>
      <c r="F145" s="154">
        <v>85476.061387750728</v>
      </c>
      <c r="G145" s="240">
        <v>265072.79987076338</v>
      </c>
      <c r="H145" s="153">
        <v>283496.32198625174</v>
      </c>
      <c r="I145" s="154">
        <v>119914.24345815022</v>
      </c>
      <c r="J145" s="154">
        <v>441105.6836530586</v>
      </c>
      <c r="K145" s="155">
        <v>17221237.504540518</v>
      </c>
      <c r="L145" s="153">
        <v>8610.6187522702585</v>
      </c>
      <c r="M145" s="47">
        <v>17504733.826526769</v>
      </c>
      <c r="N145" s="154">
        <v>8752.366913263384</v>
      </c>
      <c r="O145" s="155">
        <v>17341151.74799867</v>
      </c>
      <c r="P145" s="153">
        <v>8670.5758739993344</v>
      </c>
      <c r="Q145" s="47">
        <v>17624648.06998492</v>
      </c>
      <c r="R145" s="154">
        <v>8812.3240349924599</v>
      </c>
      <c r="S145" s="155">
        <v>16823873.514251858</v>
      </c>
      <c r="T145" s="153">
        <v>8411.9367571259281</v>
      </c>
      <c r="U145" s="47">
        <v>16927974.206497155</v>
      </c>
      <c r="V145" s="154">
        <v>8463.9871032485771</v>
      </c>
      <c r="W145" s="155">
        <v>927855.44196410174</v>
      </c>
      <c r="X145" s="153">
        <v>463.92772098205086</v>
      </c>
    </row>
    <row r="146" spans="1:24" x14ac:dyDescent="0.35">
      <c r="A146" s="59" t="s">
        <v>1527</v>
      </c>
      <c r="B146" s="151">
        <v>57184.13244286507</v>
      </c>
      <c r="C146" s="154">
        <v>1861961.7312343479</v>
      </c>
      <c r="D146" s="154">
        <v>329876.22925179912</v>
      </c>
      <c r="E146" s="154">
        <v>15084957.704358473</v>
      </c>
      <c r="F146" s="154">
        <v>92559.833190823207</v>
      </c>
      <c r="G146" s="240">
        <v>291806.07635965291</v>
      </c>
      <c r="H146" s="153">
        <v>307185.34036218328</v>
      </c>
      <c r="I146" s="154">
        <v>127265.56362672204</v>
      </c>
      <c r="J146" s="154">
        <v>485226.31812745205</v>
      </c>
      <c r="K146" s="155">
        <v>18687087.975708552</v>
      </c>
      <c r="L146" s="153">
        <v>9343.5439878542766</v>
      </c>
      <c r="M146" s="47">
        <v>18994273.316070735</v>
      </c>
      <c r="N146" s="154">
        <v>9497.1366580353679</v>
      </c>
      <c r="O146" s="155">
        <v>18814353.539335273</v>
      </c>
      <c r="P146" s="153">
        <v>9407.1767696676361</v>
      </c>
      <c r="Q146" s="47">
        <v>19121538.879697457</v>
      </c>
      <c r="R146" s="154">
        <v>9560.7694398487292</v>
      </c>
      <c r="S146" s="155">
        <v>18258445.544551514</v>
      </c>
      <c r="T146" s="153">
        <v>9129.2227722757561</v>
      </c>
      <c r="U146" s="47">
        <v>18370647.678120486</v>
      </c>
      <c r="V146" s="154">
        <v>9185.3238390602437</v>
      </c>
      <c r="W146" s="155">
        <v>1001955.6560912671</v>
      </c>
      <c r="X146" s="153">
        <v>500.97782804563354</v>
      </c>
    </row>
    <row r="147" spans="1:24" ht="13.15" x14ac:dyDescent="0.4">
      <c r="A147" s="131" t="s">
        <v>1919</v>
      </c>
      <c r="B147" s="101"/>
      <c r="C147" s="101"/>
      <c r="D147" s="101"/>
      <c r="E147" s="101"/>
      <c r="F147" s="101"/>
      <c r="G147" s="61"/>
      <c r="H147" s="60"/>
      <c r="I147" s="101"/>
      <c r="J147" s="101"/>
      <c r="K147" s="428" t="s">
        <v>1873</v>
      </c>
      <c r="L147" s="470" t="s">
        <v>1872</v>
      </c>
      <c r="M147" s="470" t="s">
        <v>1873</v>
      </c>
      <c r="N147" s="471" t="s">
        <v>1872</v>
      </c>
      <c r="O147" s="428" t="s">
        <v>1873</v>
      </c>
      <c r="P147" s="470" t="s">
        <v>1872</v>
      </c>
      <c r="Q147" s="470" t="s">
        <v>1873</v>
      </c>
      <c r="R147" s="471" t="s">
        <v>1872</v>
      </c>
      <c r="S147" s="428" t="s">
        <v>1873</v>
      </c>
      <c r="T147" s="470" t="s">
        <v>1872</v>
      </c>
      <c r="U147" s="470" t="s">
        <v>1873</v>
      </c>
      <c r="V147" s="471" t="s">
        <v>1872</v>
      </c>
      <c r="W147" s="428" t="s">
        <v>1873</v>
      </c>
      <c r="X147" s="470" t="s">
        <v>1872</v>
      </c>
    </row>
    <row r="148" spans="1:24" x14ac:dyDescent="0.35">
      <c r="A148" s="59" t="s">
        <v>1525</v>
      </c>
      <c r="B148" s="145">
        <v>1.417839239244697</v>
      </c>
      <c r="C148" s="145">
        <v>15.718773675428286</v>
      </c>
      <c r="D148" s="145">
        <v>17.070764163423945</v>
      </c>
      <c r="E148" s="145">
        <v>51.475925359084599</v>
      </c>
      <c r="F148" s="145">
        <v>0.88431947601313643</v>
      </c>
      <c r="G148" s="232">
        <v>2.342764696834275</v>
      </c>
      <c r="H148" s="144">
        <v>2.3492972570440829</v>
      </c>
      <c r="I148" s="145">
        <v>0.92175147254132672</v>
      </c>
      <c r="J148" s="145">
        <v>3.8860781074171986</v>
      </c>
      <c r="K148" s="146">
        <v>93.713897737440405</v>
      </c>
      <c r="L148" s="144">
        <v>4.6856948868720202E-2</v>
      </c>
      <c r="M148" s="144">
        <v>96.063194994484491</v>
      </c>
      <c r="N148" s="145">
        <v>4.8031597497242243E-2</v>
      </c>
      <c r="O148" s="146">
        <v>94.635649209981736</v>
      </c>
      <c r="P148" s="144">
        <v>4.7317824604990871E-2</v>
      </c>
      <c r="Q148" s="144">
        <v>96.984946467025821</v>
      </c>
      <c r="R148" s="145">
        <v>4.8492473233512912E-2</v>
      </c>
      <c r="S148" s="146">
        <v>92.167366069355495</v>
      </c>
      <c r="T148" s="144">
        <v>4.6083683034677747E-2</v>
      </c>
      <c r="U148" s="144">
        <v>92.793651521052638</v>
      </c>
      <c r="V148" s="145">
        <v>4.6396825760526318E-2</v>
      </c>
      <c r="W148" s="146">
        <v>8.946754158229604</v>
      </c>
      <c r="X148" s="144">
        <v>4.4733770791148021E-3</v>
      </c>
    </row>
    <row r="149" spans="1:24" x14ac:dyDescent="0.35">
      <c r="A149" s="59" t="s">
        <v>1524</v>
      </c>
      <c r="B149" s="145">
        <v>1.2418071804671207</v>
      </c>
      <c r="C149" s="145">
        <v>61.448100929252661</v>
      </c>
      <c r="D149" s="145">
        <v>19.608516640866405</v>
      </c>
      <c r="E149" s="145">
        <v>292.0139277936392</v>
      </c>
      <c r="F149" s="145">
        <v>3.8906594350893426</v>
      </c>
      <c r="G149" s="232">
        <v>12.413041885995314</v>
      </c>
      <c r="H149" s="144">
        <v>14.970405139854027</v>
      </c>
      <c r="I149" s="145">
        <v>7.2138621022760159</v>
      </c>
      <c r="J149" s="145">
        <v>20.744415883477039</v>
      </c>
      <c r="K149" s="146">
        <v>411.6014249822515</v>
      </c>
      <c r="L149" s="144">
        <v>0.20580071249112575</v>
      </c>
      <c r="M149" s="144">
        <v>426.57183012210555</v>
      </c>
      <c r="N149" s="145">
        <v>0.21328591506105277</v>
      </c>
      <c r="O149" s="146">
        <v>418.81528708452754</v>
      </c>
      <c r="P149" s="144">
        <v>0.20940764354226377</v>
      </c>
      <c r="Q149" s="144">
        <v>433.78569222438159</v>
      </c>
      <c r="R149" s="145">
        <v>0.21689284611219078</v>
      </c>
      <c r="S149" s="146">
        <v>406.43367491367627</v>
      </c>
      <c r="T149" s="144">
        <v>0.20321683745683813</v>
      </c>
      <c r="U149" s="144">
        <v>409.98943716406797</v>
      </c>
      <c r="V149" s="145">
        <v>0.20499471858203397</v>
      </c>
      <c r="W149" s="146">
        <v>32.729408013845557</v>
      </c>
      <c r="X149" s="144">
        <v>1.6364704006922779E-2</v>
      </c>
    </row>
    <row r="150" spans="1:24" x14ac:dyDescent="0.35">
      <c r="A150" s="59" t="s">
        <v>1523</v>
      </c>
      <c r="B150" s="145">
        <v>2.402232679512927</v>
      </c>
      <c r="C150" s="145">
        <v>98.73583759382214</v>
      </c>
      <c r="D150" s="145">
        <v>36.495979195469403</v>
      </c>
      <c r="E150" s="145">
        <v>1874.6081085990031</v>
      </c>
      <c r="F150" s="145">
        <v>7.318022789968099</v>
      </c>
      <c r="G150" s="232">
        <v>19.053833925914443</v>
      </c>
      <c r="H150" s="144">
        <v>31.450305111152545</v>
      </c>
      <c r="I150" s="145">
        <v>18.893102232264646</v>
      </c>
      <c r="J150" s="145">
        <v>32.436841145293805</v>
      </c>
      <c r="K150" s="146">
        <v>2150.9520337857161</v>
      </c>
      <c r="L150" s="144">
        <v>1.0754760168928581</v>
      </c>
      <c r="M150" s="144">
        <v>2182.4023388968685</v>
      </c>
      <c r="N150" s="145">
        <v>1.0912011694484343</v>
      </c>
      <c r="O150" s="146">
        <v>2169.8451360179806</v>
      </c>
      <c r="P150" s="144">
        <v>1.0849225680089902</v>
      </c>
      <c r="Q150" s="144">
        <v>2201.295441129133</v>
      </c>
      <c r="R150" s="145">
        <v>1.1006477205645664</v>
      </c>
      <c r="S150" s="146">
        <v>2092.2418651644257</v>
      </c>
      <c r="T150" s="144">
        <v>1.0461209325822129</v>
      </c>
      <c r="U150" s="144">
        <v>2106.4188300398378</v>
      </c>
      <c r="V150" s="145">
        <v>1.0532094150199189</v>
      </c>
      <c r="W150" s="146">
        <v>52.802584459295737</v>
      </c>
      <c r="X150" s="144">
        <v>2.640129222964787E-2</v>
      </c>
    </row>
    <row r="151" spans="1:24" x14ac:dyDescent="0.35">
      <c r="A151" s="59" t="s">
        <v>1522</v>
      </c>
      <c r="B151" s="145">
        <v>0.35128121155139858</v>
      </c>
      <c r="C151" s="145">
        <v>6.361635396985946</v>
      </c>
      <c r="D151" s="145">
        <v>4.7725423128348714</v>
      </c>
      <c r="E151" s="145">
        <v>305.48889111878486</v>
      </c>
      <c r="F151" s="145">
        <v>0.64365679059672809</v>
      </c>
      <c r="G151" s="232">
        <v>1.0051309457927655</v>
      </c>
      <c r="H151" s="144">
        <v>3.1012682958040911</v>
      </c>
      <c r="I151" s="145">
        <v>2.3283521592521383</v>
      </c>
      <c r="J151" s="145">
        <v>1.8114106436827582</v>
      </c>
      <c r="K151" s="146">
        <v>336.3011370614542</v>
      </c>
      <c r="L151" s="144">
        <v>0.1681505685307271</v>
      </c>
      <c r="M151" s="144">
        <v>339.40240535725832</v>
      </c>
      <c r="N151" s="145">
        <v>0.16970120267862915</v>
      </c>
      <c r="O151" s="146">
        <v>338.62948922070632</v>
      </c>
      <c r="P151" s="144">
        <v>0.16931474461035315</v>
      </c>
      <c r="Q151" s="144">
        <v>341.73075751651044</v>
      </c>
      <c r="R151" s="145">
        <v>0.17086537875825522</v>
      </c>
      <c r="S151" s="146">
        <v>325.76890447523971</v>
      </c>
      <c r="T151" s="144">
        <v>0.16288445223761985</v>
      </c>
      <c r="U151" s="144">
        <v>327.8439453706049</v>
      </c>
      <c r="V151" s="145">
        <v>0.16392197268530245</v>
      </c>
      <c r="W151" s="146">
        <v>3.5047074284939672</v>
      </c>
      <c r="X151" s="144">
        <v>1.7523537142469835E-3</v>
      </c>
    </row>
    <row r="152" spans="1:24" x14ac:dyDescent="0.35">
      <c r="A152" s="59" t="s">
        <v>1521</v>
      </c>
      <c r="B152" s="145">
        <v>0.27473446794064094</v>
      </c>
      <c r="C152" s="145">
        <v>4.8244695507095354</v>
      </c>
      <c r="D152" s="145">
        <v>3.7548140079258436</v>
      </c>
      <c r="E152" s="145">
        <v>215.10147379420877</v>
      </c>
      <c r="F152" s="145">
        <v>0.47951955741650781</v>
      </c>
      <c r="G152" s="232">
        <v>0.74662861402861291</v>
      </c>
      <c r="H152" s="144">
        <v>2.286696438353002</v>
      </c>
      <c r="I152" s="145">
        <v>1.7138462465060513</v>
      </c>
      <c r="J152" s="145">
        <v>1.3445142202206217</v>
      </c>
      <c r="K152" s="146">
        <v>237.67274407115718</v>
      </c>
      <c r="L152" s="144">
        <v>0.11883637203557859</v>
      </c>
      <c r="M152" s="144">
        <v>239.95944050951019</v>
      </c>
      <c r="N152" s="145">
        <v>0.11997972025475509</v>
      </c>
      <c r="O152" s="146">
        <v>239.38659031766323</v>
      </c>
      <c r="P152" s="144">
        <v>0.11969329515883162</v>
      </c>
      <c r="Q152" s="144">
        <v>241.67328675601624</v>
      </c>
      <c r="R152" s="145">
        <v>0.12083664337800812</v>
      </c>
      <c r="S152" s="146">
        <v>230.2586354348376</v>
      </c>
      <c r="T152" s="144">
        <v>0.1151293177174188</v>
      </c>
      <c r="U152" s="144">
        <v>231.74254010659081</v>
      </c>
      <c r="V152" s="145">
        <v>0.11587127005329541</v>
      </c>
      <c r="W152" s="146">
        <v>2.6622136465752204</v>
      </c>
      <c r="X152" s="144">
        <v>1.3311068232876103E-3</v>
      </c>
    </row>
    <row r="153" spans="1:24" x14ac:dyDescent="0.35">
      <c r="A153" s="59" t="s">
        <v>1520</v>
      </c>
      <c r="B153" s="145">
        <v>3.789563950445209</v>
      </c>
      <c r="C153" s="145">
        <v>171.79491684121055</v>
      </c>
      <c r="D153" s="145">
        <v>50.918367853962138</v>
      </c>
      <c r="E153" s="145">
        <v>11578.430462766644</v>
      </c>
      <c r="F153" s="145">
        <v>19.695455531811245</v>
      </c>
      <c r="G153" s="232">
        <v>32.92652664989869</v>
      </c>
      <c r="H153" s="144">
        <v>103.57541062208921</v>
      </c>
      <c r="I153" s="145">
        <v>78.106299022480783</v>
      </c>
      <c r="J153" s="145">
        <v>59.437572758667095</v>
      </c>
      <c r="K153" s="146">
        <v>12515.779419983248</v>
      </c>
      <c r="L153" s="144">
        <v>6.2578897099916242</v>
      </c>
      <c r="M153" s="144">
        <v>12619.354830605336</v>
      </c>
      <c r="N153" s="145">
        <v>6.3096774153026685</v>
      </c>
      <c r="O153" s="146">
        <v>12593.885719005728</v>
      </c>
      <c r="P153" s="144">
        <v>6.296942859502864</v>
      </c>
      <c r="Q153" s="144">
        <v>12697.461129627816</v>
      </c>
      <c r="R153" s="145">
        <v>6.3487305648139083</v>
      </c>
      <c r="S153" s="146">
        <v>12120.165005930985</v>
      </c>
      <c r="T153" s="144">
        <v>6.0600825029654928</v>
      </c>
      <c r="U153" s="144">
        <v>12195.213502011573</v>
      </c>
      <c r="V153" s="145">
        <v>6.0976067510057863</v>
      </c>
      <c r="W153" s="146">
        <v>91.669876157280854</v>
      </c>
      <c r="X153" s="144">
        <v>4.5834938078640426E-2</v>
      </c>
    </row>
    <row r="154" spans="1:24" x14ac:dyDescent="0.35">
      <c r="A154" s="59" t="s">
        <v>1519</v>
      </c>
      <c r="B154" s="145">
        <v>3.1453513784580743E-2</v>
      </c>
      <c r="C154" s="145">
        <v>0.37832539245029539</v>
      </c>
      <c r="D154" s="145">
        <v>0.50456125948372144</v>
      </c>
      <c r="E154" s="145">
        <v>9.4233645844132212</v>
      </c>
      <c r="F154" s="145">
        <v>3.2840176430620149E-2</v>
      </c>
      <c r="G154" s="232">
        <v>5.0324423909037193E-2</v>
      </c>
      <c r="H154" s="144">
        <v>0.13960110834150261</v>
      </c>
      <c r="I154" s="145">
        <v>0.10210467090979541</v>
      </c>
      <c r="J154" s="145">
        <v>8.9655500736239277E-2</v>
      </c>
      <c r="K154" s="146">
        <v>10.99782891122889</v>
      </c>
      <c r="L154" s="144">
        <v>5.4989144556144452E-3</v>
      </c>
      <c r="M154" s="144">
        <v>11.137430019570392</v>
      </c>
      <c r="N154" s="145">
        <v>5.5687150097851962E-3</v>
      </c>
      <c r="O154" s="146">
        <v>11.099933582138686</v>
      </c>
      <c r="P154" s="144">
        <v>5.5499667910693428E-3</v>
      </c>
      <c r="Q154" s="144">
        <v>11.239534690480188</v>
      </c>
      <c r="R154" s="145">
        <v>5.6197673452400938E-3</v>
      </c>
      <c r="S154" s="146">
        <v>10.666954522301314</v>
      </c>
      <c r="T154" s="144">
        <v>5.3334772611506572E-3</v>
      </c>
      <c r="U154" s="144">
        <v>10.741389944164567</v>
      </c>
      <c r="V154" s="145">
        <v>5.3706949720822832E-3</v>
      </c>
      <c r="W154" s="146">
        <v>0.21393907603366197</v>
      </c>
      <c r="X154" s="144">
        <v>1.0696953801683098E-4</v>
      </c>
    </row>
    <row r="155" spans="1:24" x14ac:dyDescent="0.35">
      <c r="A155" s="57" t="s">
        <v>1518</v>
      </c>
      <c r="B155" s="142">
        <v>4.7286276204430766E-2</v>
      </c>
      <c r="C155" s="142">
        <v>0.81675094221689548</v>
      </c>
      <c r="D155" s="142">
        <v>0.74474574563054918</v>
      </c>
      <c r="E155" s="142">
        <v>19.410804828699796</v>
      </c>
      <c r="F155" s="142">
        <v>7.5974660988460063E-2</v>
      </c>
      <c r="G155" s="231">
        <v>0.1212667379113614</v>
      </c>
      <c r="H155" s="141">
        <v>0.35449709229349219</v>
      </c>
      <c r="I155" s="142">
        <v>0.26270927984588915</v>
      </c>
      <c r="J155" s="142">
        <v>0.21738312927281483</v>
      </c>
      <c r="K155" s="143">
        <v>22.390279344842355</v>
      </c>
      <c r="L155" s="141">
        <v>1.1195139672421178E-2</v>
      </c>
      <c r="M155" s="141">
        <v>22.744776437135847</v>
      </c>
      <c r="N155" s="142">
        <v>1.1372388218567923E-2</v>
      </c>
      <c r="O155" s="143">
        <v>22.652988624688245</v>
      </c>
      <c r="P155" s="141">
        <v>1.1326494312344122E-2</v>
      </c>
      <c r="Q155" s="141">
        <v>23.007485716981737</v>
      </c>
      <c r="R155" s="142">
        <v>1.1503742858490868E-2</v>
      </c>
      <c r="S155" s="143">
        <v>21.73333733886798</v>
      </c>
      <c r="T155" s="141">
        <v>1.086666866943399E-2</v>
      </c>
      <c r="U155" s="141">
        <v>21.898976628022769</v>
      </c>
      <c r="V155" s="142">
        <v>1.0949488314011385E-2</v>
      </c>
      <c r="W155" s="143">
        <v>0.45110014535936427</v>
      </c>
      <c r="X155" s="141">
        <v>2.2555007267968213E-4</v>
      </c>
    </row>
    <row r="157" spans="1:24" ht="13.15" x14ac:dyDescent="0.4">
      <c r="A157" s="41" t="s">
        <v>1986</v>
      </c>
    </row>
    <row r="158" spans="1:24" ht="40.5" customHeight="1" x14ac:dyDescent="0.4">
      <c r="A158" s="91"/>
      <c r="B158" s="160" t="s">
        <v>1401</v>
      </c>
      <c r="C158" s="160" t="s">
        <v>1400</v>
      </c>
      <c r="D158" s="481" t="s">
        <v>1323</v>
      </c>
      <c r="E158" s="159" t="s">
        <v>1322</v>
      </c>
      <c r="F158" s="160" t="s">
        <v>1321</v>
      </c>
      <c r="G158" s="160" t="s">
        <v>1320</v>
      </c>
      <c r="H158" s="2191" t="s">
        <v>1985</v>
      </c>
      <c r="I158" s="2236"/>
      <c r="J158" s="2191" t="s">
        <v>1984</v>
      </c>
      <c r="K158" s="2236"/>
      <c r="L158" s="2191" t="s">
        <v>1983</v>
      </c>
      <c r="M158" s="2236"/>
      <c r="N158" s="2191" t="s">
        <v>1982</v>
      </c>
      <c r="O158" s="2236"/>
      <c r="P158" s="2191" t="s">
        <v>1981</v>
      </c>
      <c r="Q158" s="2236"/>
      <c r="R158" s="2196" t="s">
        <v>325</v>
      </c>
      <c r="S158" s="2236"/>
    </row>
    <row r="159" spans="1:24" ht="25.5" x14ac:dyDescent="0.35">
      <c r="A159" s="98" t="s">
        <v>1980</v>
      </c>
      <c r="B159" s="120">
        <v>0.96799999999999997</v>
      </c>
      <c r="C159" s="120">
        <v>1</v>
      </c>
      <c r="D159" s="277">
        <v>1.0349999999999999</v>
      </c>
      <c r="E159" s="121">
        <v>0</v>
      </c>
      <c r="F159" s="120">
        <v>1</v>
      </c>
      <c r="G159" s="120">
        <v>0</v>
      </c>
      <c r="H159" s="277"/>
      <c r="I159" s="121"/>
      <c r="J159" s="277"/>
      <c r="K159" s="121"/>
      <c r="L159" s="277"/>
      <c r="M159" s="121"/>
      <c r="N159" s="277"/>
      <c r="O159" s="121"/>
      <c r="P159" s="277"/>
      <c r="Q159" s="121"/>
      <c r="R159" s="120"/>
      <c r="S159" s="121"/>
    </row>
    <row r="160" spans="1:24" ht="25.5" x14ac:dyDescent="0.35">
      <c r="A160" s="98" t="s">
        <v>1979</v>
      </c>
      <c r="B160" s="120">
        <v>0.96799999999999997</v>
      </c>
      <c r="C160" s="120">
        <v>1</v>
      </c>
      <c r="D160" s="277">
        <v>1.0349999999999999</v>
      </c>
      <c r="E160" s="121">
        <v>1</v>
      </c>
      <c r="F160" s="120">
        <v>1</v>
      </c>
      <c r="G160" s="120">
        <v>0</v>
      </c>
      <c r="H160" s="277"/>
      <c r="I160" s="121"/>
      <c r="J160" s="277"/>
      <c r="K160" s="121"/>
      <c r="L160" s="277"/>
      <c r="M160" s="121"/>
      <c r="N160" s="277"/>
      <c r="O160" s="121"/>
      <c r="P160" s="277"/>
      <c r="Q160" s="121"/>
      <c r="R160" s="120"/>
      <c r="S160" s="121"/>
    </row>
    <row r="161" spans="1:19" ht="25.5" x14ac:dyDescent="0.35">
      <c r="A161" s="96" t="s">
        <v>1978</v>
      </c>
      <c r="B161" s="119">
        <v>0.96799999999999997</v>
      </c>
      <c r="C161" s="119">
        <v>1</v>
      </c>
      <c r="D161" s="273">
        <v>0</v>
      </c>
      <c r="E161" s="466">
        <v>0</v>
      </c>
      <c r="F161" s="119">
        <v>0</v>
      </c>
      <c r="G161" s="119">
        <v>1</v>
      </c>
      <c r="H161" s="273"/>
      <c r="I161" s="466"/>
      <c r="J161" s="273"/>
      <c r="K161" s="466"/>
      <c r="L161" s="273"/>
      <c r="M161" s="466"/>
      <c r="N161" s="273"/>
      <c r="O161" s="466"/>
      <c r="P161" s="273"/>
      <c r="Q161" s="466"/>
      <c r="R161" s="119"/>
      <c r="S161" s="466"/>
    </row>
    <row r="162" spans="1:19" ht="13.15" x14ac:dyDescent="0.4">
      <c r="A162" s="128" t="s">
        <v>1923</v>
      </c>
      <c r="D162" s="59"/>
      <c r="E162" s="99"/>
      <c r="H162" s="428" t="s">
        <v>1873</v>
      </c>
      <c r="I162" s="470" t="s">
        <v>1872</v>
      </c>
      <c r="J162" s="428" t="s">
        <v>1873</v>
      </c>
      <c r="K162" s="470" t="s">
        <v>1872</v>
      </c>
      <c r="L162" s="428" t="s">
        <v>1873</v>
      </c>
      <c r="M162" s="470" t="s">
        <v>1872</v>
      </c>
      <c r="N162" s="428" t="s">
        <v>1873</v>
      </c>
      <c r="O162" s="470" t="s">
        <v>1872</v>
      </c>
      <c r="P162" s="428" t="s">
        <v>1873</v>
      </c>
      <c r="Q162" s="470" t="s">
        <v>1872</v>
      </c>
      <c r="R162" s="470" t="s">
        <v>1873</v>
      </c>
      <c r="S162" s="470" t="s">
        <v>1872</v>
      </c>
    </row>
    <row r="163" spans="1:19" s="145" customFormat="1" x14ac:dyDescent="0.35">
      <c r="A163" s="232" t="s">
        <v>1537</v>
      </c>
      <c r="B163" s="145">
        <v>1.5422071152040491</v>
      </c>
      <c r="C163" s="145">
        <v>19.172253235422783</v>
      </c>
      <c r="D163" s="232">
        <v>4.3425157477657201</v>
      </c>
      <c r="E163" s="144">
        <v>4.437234416165956</v>
      </c>
      <c r="F163" s="145">
        <v>1.7821978693329918</v>
      </c>
      <c r="G163" s="145">
        <v>7.2145816775606919</v>
      </c>
      <c r="H163" s="146">
        <v>25.730904311008931</v>
      </c>
      <c r="I163" s="144">
        <v>1.2865452155504466E-2</v>
      </c>
      <c r="J163" s="146">
        <v>30.168138727174888</v>
      </c>
      <c r="K163" s="144">
        <v>1.5084069363587443E-2</v>
      </c>
      <c r="L163" s="146">
        <v>27.513102180341924</v>
      </c>
      <c r="M163" s="144">
        <v>1.3756551090170962E-2</v>
      </c>
      <c r="N163" s="146">
        <v>31.950336596507881</v>
      </c>
      <c r="O163" s="144">
        <v>1.597516829825394E-2</v>
      </c>
      <c r="P163" s="146">
        <v>27.879691400500992</v>
      </c>
      <c r="Q163" s="144">
        <v>1.3939845700250496E-2</v>
      </c>
      <c r="R163" s="144">
        <v>28.408875275981888</v>
      </c>
      <c r="S163" s="144">
        <v>1.4204437637990943E-2</v>
      </c>
    </row>
    <row r="164" spans="1:19" s="145" customFormat="1" x14ac:dyDescent="0.35">
      <c r="A164" s="232" t="s">
        <v>1536</v>
      </c>
      <c r="B164" s="145">
        <v>1.4044342406087105</v>
      </c>
      <c r="C164" s="145">
        <v>18.550174395174949</v>
      </c>
      <c r="D164" s="232">
        <v>4.2002083923949076</v>
      </c>
      <c r="E164" s="144">
        <v>3.9849756365458693</v>
      </c>
      <c r="F164" s="145">
        <v>1.4403690677443262</v>
      </c>
      <c r="G164" s="145">
        <v>6.9573990692949934</v>
      </c>
      <c r="H164" s="146">
        <v>24.806713468382036</v>
      </c>
      <c r="I164" s="144">
        <v>1.2403356734191018E-2</v>
      </c>
      <c r="J164" s="146">
        <v>28.791689104927904</v>
      </c>
      <c r="K164" s="144">
        <v>1.4395844552463953E-2</v>
      </c>
      <c r="L164" s="146">
        <v>26.247082536126364</v>
      </c>
      <c r="M164" s="144">
        <v>1.3123541268063182E-2</v>
      </c>
      <c r="N164" s="146">
        <v>30.232058172672232</v>
      </c>
      <c r="O164" s="144">
        <v>1.5116029086336117E-2</v>
      </c>
      <c r="P164" s="146">
        <v>26.867065809379174</v>
      </c>
      <c r="Q164" s="144">
        <v>1.3433532904689587E-2</v>
      </c>
      <c r="R164" s="144">
        <v>27.304514816607274</v>
      </c>
      <c r="S164" s="144">
        <v>1.3652257408303637E-2</v>
      </c>
    </row>
    <row r="165" spans="1:19" s="145" customFormat="1" x14ac:dyDescent="0.35">
      <c r="A165" s="232" t="s">
        <v>1535</v>
      </c>
      <c r="B165" s="145">
        <v>0.33571516825618758</v>
      </c>
      <c r="C165" s="145">
        <v>10.895434009365276</v>
      </c>
      <c r="D165" s="232">
        <v>0.34446292048075111</v>
      </c>
      <c r="E165" s="144">
        <v>1.0957100816133774</v>
      </c>
      <c r="F165" s="145">
        <v>0.82541364628226921</v>
      </c>
      <c r="G165" s="145">
        <v>0.63413733366007408</v>
      </c>
      <c r="H165" s="146">
        <v>11.95758343294632</v>
      </c>
      <c r="I165" s="144">
        <v>5.9787917164731601E-3</v>
      </c>
      <c r="J165" s="146">
        <v>13.053293514559698</v>
      </c>
      <c r="K165" s="144">
        <v>6.5266467572798487E-3</v>
      </c>
      <c r="L165" s="146">
        <v>12.78299707922859</v>
      </c>
      <c r="M165" s="144">
        <v>6.3914985396142949E-3</v>
      </c>
      <c r="N165" s="146">
        <v>13.878707160841968</v>
      </c>
      <c r="O165" s="144">
        <v>6.9393535804209835E-3</v>
      </c>
      <c r="P165" s="146">
        <v>11.854543625897341</v>
      </c>
      <c r="Q165" s="144">
        <v>5.9272718129486706E-3</v>
      </c>
      <c r="R165" s="144">
        <v>12.117684885440143</v>
      </c>
      <c r="S165" s="144">
        <v>6.0588424427200716E-3</v>
      </c>
    </row>
    <row r="166" spans="1:19" s="145" customFormat="1" x14ac:dyDescent="0.35">
      <c r="A166" s="232" t="s">
        <v>1534</v>
      </c>
      <c r="B166" s="145">
        <v>1.054230760125509</v>
      </c>
      <c r="C166" s="145">
        <v>6.4187692119035251</v>
      </c>
      <c r="D166" s="232">
        <v>3.830909394894944</v>
      </c>
      <c r="E166" s="144">
        <v>2.8445467152955679</v>
      </c>
      <c r="F166" s="145">
        <v>0.58690690676127966</v>
      </c>
      <c r="G166" s="145">
        <v>6.2780678914104762</v>
      </c>
      <c r="H166" s="146">
        <v>11.530548243169637</v>
      </c>
      <c r="I166" s="144">
        <v>5.7652741215848185E-3</v>
      </c>
      <c r="J166" s="146">
        <v>14.375094958465205</v>
      </c>
      <c r="K166" s="144">
        <v>7.1875474792326022E-3</v>
      </c>
      <c r="L166" s="146">
        <v>12.117455149930917</v>
      </c>
      <c r="M166" s="144">
        <v>6.0587275749654588E-3</v>
      </c>
      <c r="N166" s="146">
        <v>14.962001865226485</v>
      </c>
      <c r="O166" s="144">
        <v>7.4810009326132425E-3</v>
      </c>
      <c r="P166" s="146">
        <v>13.717332479115495</v>
      </c>
      <c r="Q166" s="144">
        <v>6.8586662395577471E-3</v>
      </c>
      <c r="R166" s="144">
        <v>13.879139499309924</v>
      </c>
      <c r="S166" s="144">
        <v>6.939569749654961E-3</v>
      </c>
    </row>
    <row r="167" spans="1:19" s="145" customFormat="1" x14ac:dyDescent="0.35">
      <c r="A167" s="232" t="s">
        <v>1533</v>
      </c>
      <c r="B167" s="145">
        <v>1.4488312227013845E-2</v>
      </c>
      <c r="C167" s="145">
        <v>1.2359711739061479</v>
      </c>
      <c r="D167" s="232">
        <v>2.4836077019212373E-2</v>
      </c>
      <c r="E167" s="144">
        <v>4.4718839636924038E-2</v>
      </c>
      <c r="F167" s="145">
        <v>2.8048514700777287E-2</v>
      </c>
      <c r="G167" s="145">
        <v>4.5193844224443509E-2</v>
      </c>
      <c r="H167" s="146">
        <v>1.3185817922660759</v>
      </c>
      <c r="I167" s="144">
        <v>6.5929089613303788E-4</v>
      </c>
      <c r="J167" s="146">
        <v>1.3633006319029999</v>
      </c>
      <c r="K167" s="144">
        <v>6.8165031595149989E-4</v>
      </c>
      <c r="L167" s="146">
        <v>1.346630306966853</v>
      </c>
      <c r="M167" s="144">
        <v>6.7331515348342656E-4</v>
      </c>
      <c r="N167" s="146">
        <v>1.3913491466037771</v>
      </c>
      <c r="O167" s="144">
        <v>6.9567457330188857E-4</v>
      </c>
      <c r="P167" s="146">
        <v>1.2951897043663407</v>
      </c>
      <c r="Q167" s="144">
        <v>6.4759485218317042E-4</v>
      </c>
      <c r="R167" s="144">
        <v>1.3076904318572076</v>
      </c>
      <c r="S167" s="144">
        <v>6.5384521592860379E-4</v>
      </c>
    </row>
    <row r="168" spans="1:19" s="145" customFormat="1" x14ac:dyDescent="0.35">
      <c r="A168" s="232" t="s">
        <v>1532</v>
      </c>
      <c r="B168" s="48">
        <v>105.68097578023988</v>
      </c>
      <c r="C168" s="48">
        <v>1817.7140135243137</v>
      </c>
      <c r="D168" s="45">
        <v>108.15618081951042</v>
      </c>
      <c r="E168" s="43">
        <v>310.67751213528015</v>
      </c>
      <c r="F168" s="45">
        <v>171.44676499281618</v>
      </c>
      <c r="G168" s="43">
        <v>259.85378586982699</v>
      </c>
      <c r="H168" s="152">
        <v>2095.3698408318819</v>
      </c>
      <c r="I168" s="143">
        <v>1.0476849204159409</v>
      </c>
      <c r="J168" s="152">
        <v>2406.0473529671622</v>
      </c>
      <c r="K168" s="143">
        <v>1.2030236764835811</v>
      </c>
      <c r="L168" s="152">
        <v>2266.8166058246979</v>
      </c>
      <c r="M168" s="143">
        <v>1.133408302912349</v>
      </c>
      <c r="N168" s="152">
        <v>2577.4941179599782</v>
      </c>
      <c r="O168" s="143">
        <v>1.2887470589799892</v>
      </c>
      <c r="P168" s="152">
        <v>2179.8669839494128</v>
      </c>
      <c r="Q168" s="143">
        <v>1.0899334919747063</v>
      </c>
      <c r="R168" s="152">
        <v>2231.5585113707862</v>
      </c>
      <c r="S168" s="143">
        <v>1.1157792556853932</v>
      </c>
    </row>
    <row r="169" spans="1:19" s="145" customFormat="1" ht="13.15" x14ac:dyDescent="0.4">
      <c r="A169" s="390" t="s">
        <v>1922</v>
      </c>
      <c r="B169" s="157"/>
      <c r="C169" s="157"/>
      <c r="D169" s="237"/>
      <c r="E169" s="156"/>
      <c r="F169" s="157"/>
      <c r="G169" s="157"/>
      <c r="H169" s="429" t="s">
        <v>1873</v>
      </c>
      <c r="I169" s="381" t="s">
        <v>1872</v>
      </c>
      <c r="J169" s="429" t="s">
        <v>1873</v>
      </c>
      <c r="K169" s="381" t="s">
        <v>1872</v>
      </c>
      <c r="L169" s="429" t="s">
        <v>1873</v>
      </c>
      <c r="M169" s="381" t="s">
        <v>1872</v>
      </c>
      <c r="N169" s="429" t="s">
        <v>1873</v>
      </c>
      <c r="O169" s="381" t="s">
        <v>1872</v>
      </c>
      <c r="P169" s="429" t="s">
        <v>1873</v>
      </c>
      <c r="Q169" s="381" t="s">
        <v>1872</v>
      </c>
      <c r="R169" s="381" t="s">
        <v>1873</v>
      </c>
      <c r="S169" s="381" t="s">
        <v>1872</v>
      </c>
    </row>
    <row r="170" spans="1:19" s="145" customFormat="1" x14ac:dyDescent="0.35">
      <c r="A170" s="232" t="s">
        <v>1525</v>
      </c>
      <c r="B170" s="145">
        <v>14.883836709293696</v>
      </c>
      <c r="C170" s="145">
        <v>257.4531099432557</v>
      </c>
      <c r="D170" s="232">
        <v>303.89453252439506</v>
      </c>
      <c r="E170" s="144">
        <v>277.35430127674221</v>
      </c>
      <c r="F170" s="145">
        <v>12.945991101971142</v>
      </c>
      <c r="G170" s="145">
        <v>323.85671195218856</v>
      </c>
      <c r="H170" s="146">
        <v>585.27031963797185</v>
      </c>
      <c r="I170" s="144">
        <v>0.29263515981898591</v>
      </c>
      <c r="J170" s="146">
        <v>862.62462091471411</v>
      </c>
      <c r="K170" s="144">
        <v>0.43131231045735707</v>
      </c>
      <c r="L170" s="146">
        <v>598.21631073994297</v>
      </c>
      <c r="M170" s="144">
        <v>0.29910815536997148</v>
      </c>
      <c r="N170" s="146">
        <v>875.57061201668523</v>
      </c>
      <c r="O170" s="144">
        <v>0.43778530600834259</v>
      </c>
      <c r="P170" s="146">
        <v>595.71737583004051</v>
      </c>
      <c r="Q170" s="144">
        <v>0.29785868791502024</v>
      </c>
      <c r="R170" s="144">
        <v>632.09829653430438</v>
      </c>
      <c r="S170" s="144">
        <v>0.31604914826715219</v>
      </c>
    </row>
    <row r="171" spans="1:19" s="145" customFormat="1" x14ac:dyDescent="0.35">
      <c r="A171" s="232" t="s">
        <v>1524</v>
      </c>
      <c r="B171" s="145">
        <v>55.379423401128193</v>
      </c>
      <c r="C171" s="145">
        <v>463.36239194926998</v>
      </c>
      <c r="D171" s="232">
        <v>192.73180849202382</v>
      </c>
      <c r="E171" s="144">
        <v>157.65982935390028</v>
      </c>
      <c r="F171" s="145">
        <v>36.150798613471267</v>
      </c>
      <c r="G171" s="145">
        <v>332.12727346354194</v>
      </c>
      <c r="H171" s="146">
        <v>727.79542087664049</v>
      </c>
      <c r="I171" s="144">
        <v>0.36389771043832025</v>
      </c>
      <c r="J171" s="146">
        <v>885.45525023054074</v>
      </c>
      <c r="K171" s="144">
        <v>0.44272762511527036</v>
      </c>
      <c r="L171" s="146">
        <v>763.94621949011173</v>
      </c>
      <c r="M171" s="144">
        <v>0.38197310974505588</v>
      </c>
      <c r="N171" s="146">
        <v>921.60604884401198</v>
      </c>
      <c r="O171" s="144">
        <v>0.46080302442200599</v>
      </c>
      <c r="P171" s="146">
        <v>849.09694726510406</v>
      </c>
      <c r="Q171" s="144">
        <v>0.42454847363255205</v>
      </c>
      <c r="R171" s="144">
        <v>858.52313047036205</v>
      </c>
      <c r="S171" s="144">
        <v>0.429261565235181</v>
      </c>
    </row>
    <row r="172" spans="1:19" s="145" customFormat="1" x14ac:dyDescent="0.35">
      <c r="A172" s="232" t="s">
        <v>1563</v>
      </c>
      <c r="B172" s="145">
        <v>90.01995704909163</v>
      </c>
      <c r="C172" s="145">
        <v>1187.4861619774617</v>
      </c>
      <c r="D172" s="232">
        <v>369.65197132410202</v>
      </c>
      <c r="E172" s="144">
        <v>251.93025677035402</v>
      </c>
      <c r="F172" s="145">
        <v>81.191659767030075</v>
      </c>
      <c r="G172" s="145">
        <v>469.88575214081908</v>
      </c>
      <c r="H172" s="146">
        <v>1688.889343539119</v>
      </c>
      <c r="I172" s="144">
        <v>0.84444467176955951</v>
      </c>
      <c r="J172" s="146">
        <v>1940.8196003094729</v>
      </c>
      <c r="K172" s="144">
        <v>0.97040980015473643</v>
      </c>
      <c r="L172" s="146">
        <v>1770.0810033061491</v>
      </c>
      <c r="M172" s="144">
        <v>0.88504050165307457</v>
      </c>
      <c r="N172" s="146">
        <v>2022.011260076503</v>
      </c>
      <c r="O172" s="144">
        <v>1.0110056300382515</v>
      </c>
      <c r="P172" s="146">
        <v>1744.5112325418015</v>
      </c>
      <c r="Q172" s="144">
        <v>0.87225561627090076</v>
      </c>
      <c r="R172" s="144">
        <v>1780.5862361213128</v>
      </c>
      <c r="S172" s="144">
        <v>0.89029311806065636</v>
      </c>
    </row>
    <row r="173" spans="1:19" s="145" customFormat="1" x14ac:dyDescent="0.35">
      <c r="A173" s="232" t="s">
        <v>1522</v>
      </c>
      <c r="B173" s="145">
        <v>8.9748632111711739</v>
      </c>
      <c r="C173" s="145">
        <v>736.2859219892556</v>
      </c>
      <c r="D173" s="232">
        <v>117.91151929552127</v>
      </c>
      <c r="E173" s="144">
        <v>80.688001149110534</v>
      </c>
      <c r="F173" s="145">
        <v>14.664032236522001</v>
      </c>
      <c r="G173" s="145">
        <v>33.326628519414548</v>
      </c>
      <c r="H173" s="146">
        <v>888.95918450840895</v>
      </c>
      <c r="I173" s="144">
        <v>0.44447959225420447</v>
      </c>
      <c r="J173" s="146">
        <v>969.64718565751946</v>
      </c>
      <c r="K173" s="144">
        <v>0.48482359282875975</v>
      </c>
      <c r="L173" s="146">
        <v>903.62321674493091</v>
      </c>
      <c r="M173" s="144">
        <v>0.45181160837246548</v>
      </c>
      <c r="N173" s="146">
        <v>984.31121789404142</v>
      </c>
      <c r="O173" s="144">
        <v>0.49215560894702071</v>
      </c>
      <c r="P173" s="146">
        <v>778.30021809708376</v>
      </c>
      <c r="Q173" s="144">
        <v>0.38915010904854186</v>
      </c>
      <c r="R173" s="144">
        <v>805.08164807068829</v>
      </c>
      <c r="S173" s="144">
        <v>0.40254082403534414</v>
      </c>
    </row>
    <row r="174" spans="1:19" s="145" customFormat="1" x14ac:dyDescent="0.35">
      <c r="A174" s="232" t="s">
        <v>1521</v>
      </c>
      <c r="B174" s="145">
        <v>5.584263416255288</v>
      </c>
      <c r="C174" s="145">
        <v>352.49819224148439</v>
      </c>
      <c r="D174" s="232">
        <v>59.177352528803667</v>
      </c>
      <c r="E174" s="144">
        <v>39.446357992147774</v>
      </c>
      <c r="F174" s="145">
        <v>6.3820237265312141</v>
      </c>
      <c r="G174" s="145">
        <v>26.260905797201563</v>
      </c>
      <c r="H174" s="146">
        <v>429.60774333021783</v>
      </c>
      <c r="I174" s="144">
        <v>0.21480387166510892</v>
      </c>
      <c r="J174" s="146">
        <v>469.05410132236563</v>
      </c>
      <c r="K174" s="144">
        <v>0.23452705066118282</v>
      </c>
      <c r="L174" s="146">
        <v>435.98976705674903</v>
      </c>
      <c r="M174" s="144">
        <v>0.21799488352837451</v>
      </c>
      <c r="N174" s="146">
        <v>475.43612504889683</v>
      </c>
      <c r="O174" s="144">
        <v>0.23771806252444841</v>
      </c>
      <c r="P174" s="146">
        <v>384.1646650256211</v>
      </c>
      <c r="Q174" s="144">
        <v>0.19208233251281054</v>
      </c>
      <c r="R174" s="144">
        <v>396.02995482864696</v>
      </c>
      <c r="S174" s="144">
        <v>0.19801497741432347</v>
      </c>
    </row>
    <row r="175" spans="1:19" s="145" customFormat="1" x14ac:dyDescent="0.35">
      <c r="A175" s="232" t="s">
        <v>1520</v>
      </c>
      <c r="B175" s="145">
        <v>97.518516381246926</v>
      </c>
      <c r="C175" s="145">
        <v>4406.4670515314565</v>
      </c>
      <c r="D175" s="232">
        <v>135.93106525523925</v>
      </c>
      <c r="E175" s="144">
        <v>314.85319087263792</v>
      </c>
      <c r="F175" s="145">
        <v>220.49172555738897</v>
      </c>
      <c r="G175" s="145">
        <v>241.17932846814199</v>
      </c>
      <c r="H175" s="146">
        <v>4794.3263147823409</v>
      </c>
      <c r="I175" s="144">
        <v>2.3971631573911703</v>
      </c>
      <c r="J175" s="146">
        <v>5109.179505654979</v>
      </c>
      <c r="K175" s="144">
        <v>2.5545897528274897</v>
      </c>
      <c r="L175" s="146">
        <v>5014.81804033973</v>
      </c>
      <c r="M175" s="144">
        <v>2.5074090201698649</v>
      </c>
      <c r="N175" s="146">
        <v>5329.6712312123682</v>
      </c>
      <c r="O175" s="144">
        <v>2.6648356156061839</v>
      </c>
      <c r="P175" s="146">
        <v>4742.0443038566455</v>
      </c>
      <c r="Q175" s="144">
        <v>2.3710221519283228</v>
      </c>
      <c r="R175" s="144">
        <v>4818.4358044128894</v>
      </c>
      <c r="S175" s="144">
        <v>2.4092179022064446</v>
      </c>
    </row>
    <row r="176" spans="1:19" s="145" customFormat="1" x14ac:dyDescent="0.35">
      <c r="A176" s="232" t="s">
        <v>1519</v>
      </c>
      <c r="B176" s="145">
        <v>0.72926684084866666</v>
      </c>
      <c r="C176" s="145">
        <v>8.5562432923424545</v>
      </c>
      <c r="D176" s="232">
        <v>2.5236071448524808</v>
      </c>
      <c r="E176" s="144">
        <v>1.970260595655559</v>
      </c>
      <c r="F176" s="145">
        <v>0.47271161247710475</v>
      </c>
      <c r="G176" s="145">
        <v>4.1476166932620382</v>
      </c>
      <c r="H176" s="146">
        <v>12.109956814936382</v>
      </c>
      <c r="I176" s="144">
        <v>6.0549784074681911E-3</v>
      </c>
      <c r="J176" s="146">
        <v>14.08021741059194</v>
      </c>
      <c r="K176" s="144">
        <v>7.0401087052959698E-3</v>
      </c>
      <c r="L176" s="146">
        <v>12.582668427413486</v>
      </c>
      <c r="M176" s="144">
        <v>6.2913342137067433E-3</v>
      </c>
      <c r="N176" s="146">
        <v>14.552929023069044</v>
      </c>
      <c r="O176" s="144">
        <v>7.2764645115345221E-3</v>
      </c>
      <c r="P176" s="146">
        <v>13.409790287546002</v>
      </c>
      <c r="Q176" s="144">
        <v>6.7048951437730011E-3</v>
      </c>
      <c r="R176" s="144">
        <v>13.558398323163997</v>
      </c>
      <c r="S176" s="144">
        <v>6.7791991615819983E-3</v>
      </c>
    </row>
    <row r="177" spans="1:19" s="145" customFormat="1" x14ac:dyDescent="0.35">
      <c r="A177" s="232" t="s">
        <v>1518</v>
      </c>
      <c r="B177" s="145">
        <v>1.6936036602888893</v>
      </c>
      <c r="C177" s="145">
        <v>17.208897701356911</v>
      </c>
      <c r="D177" s="232">
        <v>5.872122708866625</v>
      </c>
      <c r="E177" s="144">
        <v>4.5932402414020252</v>
      </c>
      <c r="F177" s="145">
        <v>1.1097448265457537</v>
      </c>
      <c r="G177" s="145">
        <v>9.6480954222954498</v>
      </c>
      <c r="H177" s="146">
        <v>25.380119464941259</v>
      </c>
      <c r="I177" s="144">
        <v>1.2690059732470629E-2</v>
      </c>
      <c r="J177" s="146">
        <v>29.973359706343285</v>
      </c>
      <c r="K177" s="144">
        <v>1.4986679853171642E-2</v>
      </c>
      <c r="L177" s="146">
        <v>26.489864291487013</v>
      </c>
      <c r="M177" s="144">
        <v>1.3244932145743507E-2</v>
      </c>
      <c r="N177" s="146">
        <v>31.083104532889038</v>
      </c>
      <c r="O177" s="144">
        <v>1.5541552266444519E-2</v>
      </c>
      <c r="P177" s="146">
        <v>28.496401466812003</v>
      </c>
      <c r="Q177" s="144">
        <v>1.4248200733406002E-2</v>
      </c>
      <c r="R177" s="144">
        <v>28.832672865402017</v>
      </c>
      <c r="S177" s="144">
        <v>1.4416336432701009E-2</v>
      </c>
    </row>
    <row r="178" spans="1:19" s="145" customFormat="1" x14ac:dyDescent="0.35">
      <c r="A178" s="232" t="s">
        <v>1531</v>
      </c>
      <c r="B178" s="145">
        <v>258.22813946248056</v>
      </c>
      <c r="C178" s="145">
        <v>2987.9131891774432</v>
      </c>
      <c r="D178" s="232">
        <v>821.69204170920284</v>
      </c>
      <c r="E178" s="144">
        <v>723.06846715984625</v>
      </c>
      <c r="F178" s="145">
        <v>228.68669943764664</v>
      </c>
      <c r="G178" s="145">
        <v>1356.4762672341567</v>
      </c>
      <c r="H178" s="146">
        <v>4172.8958008725258</v>
      </c>
      <c r="I178" s="144">
        <v>2.086447900436263</v>
      </c>
      <c r="J178" s="146">
        <v>4895.9642680323723</v>
      </c>
      <c r="K178" s="144">
        <v>2.4479821340161863</v>
      </c>
      <c r="L178" s="146">
        <v>4401.5825003101727</v>
      </c>
      <c r="M178" s="144">
        <v>2.2007912501550861</v>
      </c>
      <c r="N178" s="146">
        <v>5124.6509674700192</v>
      </c>
      <c r="O178" s="144">
        <v>2.5623254837350098</v>
      </c>
      <c r="P178" s="146">
        <v>4594.3542954112809</v>
      </c>
      <c r="Q178" s="144">
        <v>2.2971771477056406</v>
      </c>
      <c r="R178" s="144">
        <v>4663.292862778917</v>
      </c>
      <c r="S178" s="144">
        <v>2.3316464313894585</v>
      </c>
    </row>
    <row r="179" spans="1:19" s="145" customFormat="1" x14ac:dyDescent="0.35">
      <c r="A179" s="232" t="s">
        <v>1530</v>
      </c>
      <c r="B179" s="145">
        <v>2.3622688183068399</v>
      </c>
      <c r="C179" s="145">
        <v>30.28778557055265</v>
      </c>
      <c r="D179" s="232">
        <v>7.8585480664657261</v>
      </c>
      <c r="E179" s="144">
        <v>7.5357145703251085</v>
      </c>
      <c r="F179" s="145">
        <v>1.8517705111034761</v>
      </c>
      <c r="G179" s="145">
        <v>12.929609273089619</v>
      </c>
      <c r="H179" s="146">
        <v>41.57311601567298</v>
      </c>
      <c r="I179" s="144">
        <v>2.0786558007836489E-2</v>
      </c>
      <c r="J179" s="146">
        <v>49.108830585998092</v>
      </c>
      <c r="K179" s="144">
        <v>2.4554415292999045E-2</v>
      </c>
      <c r="L179" s="146">
        <v>43.424886526776454</v>
      </c>
      <c r="M179" s="144">
        <v>2.1712443263388226E-2</v>
      </c>
      <c r="N179" s="146">
        <v>50.960601097101566</v>
      </c>
      <c r="O179" s="144">
        <v>2.5480300548550782E-2</v>
      </c>
      <c r="P179" s="146">
        <v>45.504071059763291</v>
      </c>
      <c r="Q179" s="144">
        <v>2.2752035529881646E-2</v>
      </c>
      <c r="R179" s="144">
        <v>46.213419964617266</v>
      </c>
      <c r="S179" s="144">
        <v>2.3106709982308633E-2</v>
      </c>
    </row>
    <row r="180" spans="1:19" s="145" customFormat="1" x14ac:dyDescent="0.35">
      <c r="A180" s="232" t="s">
        <v>1921</v>
      </c>
      <c r="B180" s="148">
        <v>0</v>
      </c>
      <c r="C180" s="148">
        <v>5.687258396258879</v>
      </c>
      <c r="D180" s="411">
        <v>0</v>
      </c>
      <c r="E180" s="147">
        <v>0</v>
      </c>
      <c r="F180" s="148">
        <v>0</v>
      </c>
      <c r="G180" s="148">
        <v>0</v>
      </c>
      <c r="H180" s="146">
        <v>5.8863124401279396</v>
      </c>
      <c r="I180" s="144">
        <v>2.9431562200639698E-3</v>
      </c>
      <c r="J180" s="146">
        <v>5.8863124401279396</v>
      </c>
      <c r="K180" s="144">
        <v>2.9431562200639698E-3</v>
      </c>
      <c r="L180" s="146">
        <v>5.8863124401279396</v>
      </c>
      <c r="M180" s="144">
        <v>2.9431562200639698E-3</v>
      </c>
      <c r="N180" s="146">
        <v>5.8863124401279396</v>
      </c>
      <c r="O180" s="144">
        <v>2.9431562200639698E-3</v>
      </c>
      <c r="P180" s="146">
        <v>5.687258396258879</v>
      </c>
      <c r="Q180" s="144">
        <v>2.8436291981294394E-3</v>
      </c>
      <c r="R180" s="144">
        <v>5.7131354219618569</v>
      </c>
      <c r="S180" s="144">
        <v>2.8565677109809286E-3</v>
      </c>
    </row>
    <row r="181" spans="1:19" s="145" customFormat="1" x14ac:dyDescent="0.35">
      <c r="A181" s="232" t="s">
        <v>1920</v>
      </c>
      <c r="B181" s="148">
        <v>0</v>
      </c>
      <c r="C181" s="148">
        <v>0.78393938882112013</v>
      </c>
      <c r="D181" s="411">
        <v>0</v>
      </c>
      <c r="E181" s="147">
        <v>0</v>
      </c>
      <c r="F181" s="148">
        <v>0</v>
      </c>
      <c r="G181" s="148">
        <v>0</v>
      </c>
      <c r="H181" s="146">
        <v>0.81137726742985927</v>
      </c>
      <c r="I181" s="144">
        <v>4.0568863371492962E-4</v>
      </c>
      <c r="J181" s="146">
        <v>0.81137726742985927</v>
      </c>
      <c r="K181" s="144">
        <v>4.0568863371492962E-4</v>
      </c>
      <c r="L181" s="146">
        <v>0.81137726742985927</v>
      </c>
      <c r="M181" s="144">
        <v>4.0568863371492962E-4</v>
      </c>
      <c r="N181" s="146">
        <v>0.81137726742985927</v>
      </c>
      <c r="O181" s="144">
        <v>4.0568863371492962E-4</v>
      </c>
      <c r="P181" s="146">
        <v>0.78393938882112013</v>
      </c>
      <c r="Q181" s="144">
        <v>3.9196969441056007E-4</v>
      </c>
      <c r="R181" s="144">
        <v>0.7875063130402562</v>
      </c>
      <c r="S181" s="144">
        <v>3.9375315652012813E-4</v>
      </c>
    </row>
    <row r="182" spans="1:19" x14ac:dyDescent="0.35">
      <c r="A182" s="59" t="s">
        <v>1529</v>
      </c>
      <c r="B182" s="154">
        <v>98001.723812409138</v>
      </c>
      <c r="C182" s="154">
        <v>1631051.529254802</v>
      </c>
      <c r="D182" s="240">
        <v>263822.79764057492</v>
      </c>
      <c r="E182" s="153">
        <v>282384.14992019266</v>
      </c>
      <c r="F182" s="154">
        <v>119817.08672139457</v>
      </c>
      <c r="G182" s="154">
        <v>439574.41594726971</v>
      </c>
      <c r="H182" s="155">
        <v>2050147.0974724712</v>
      </c>
      <c r="I182" s="153">
        <v>1025.0735487362356</v>
      </c>
      <c r="J182" s="155">
        <v>2332531.2473926637</v>
      </c>
      <c r="K182" s="153">
        <v>1166.2656236963319</v>
      </c>
      <c r="L182" s="155">
        <v>2169964.1841938659</v>
      </c>
      <c r="M182" s="153">
        <v>1084.982092096933</v>
      </c>
      <c r="N182" s="155">
        <v>2452348.3341140584</v>
      </c>
      <c r="O182" s="153">
        <v>1226.1741670570293</v>
      </c>
      <c r="P182" s="155">
        <v>2165491.6138524837</v>
      </c>
      <c r="Q182" s="153">
        <v>1082.7458069262418</v>
      </c>
      <c r="R182" s="47">
        <v>2202782.9874864882</v>
      </c>
      <c r="S182" s="153">
        <v>1101.3914937432442</v>
      </c>
    </row>
    <row r="183" spans="1:19" x14ac:dyDescent="0.35">
      <c r="A183" s="59" t="s">
        <v>1528</v>
      </c>
      <c r="B183" s="154">
        <v>98135.136578354883</v>
      </c>
      <c r="C183" s="154">
        <v>1632582.0656824263</v>
      </c>
      <c r="D183" s="240">
        <v>265072.79987076338</v>
      </c>
      <c r="E183" s="153">
        <v>283496.32198625174</v>
      </c>
      <c r="F183" s="154">
        <v>119914.24345815022</v>
      </c>
      <c r="G183" s="154">
        <v>441105.6836530586</v>
      </c>
      <c r="H183" s="155">
        <v>2053114.8684871967</v>
      </c>
      <c r="I183" s="153">
        <v>1026.5574342435984</v>
      </c>
      <c r="J183" s="155">
        <v>2336611.1904734485</v>
      </c>
      <c r="K183" s="153">
        <v>1168.3055952367242</v>
      </c>
      <c r="L183" s="155">
        <v>2173029.1119453469</v>
      </c>
      <c r="M183" s="153">
        <v>1086.5145559726734</v>
      </c>
      <c r="N183" s="155">
        <v>2456525.4339315989</v>
      </c>
      <c r="O183" s="153">
        <v>1228.2627169657994</v>
      </c>
      <c r="P183" s="155">
        <v>2168682.5615433324</v>
      </c>
      <c r="Q183" s="153">
        <v>1084.3412807716661</v>
      </c>
      <c r="R183" s="47">
        <v>2206102.1349538071</v>
      </c>
      <c r="S183" s="153">
        <v>1103.0510674769037</v>
      </c>
    </row>
    <row r="184" spans="1:19" x14ac:dyDescent="0.35">
      <c r="A184" s="59" t="s">
        <v>1527</v>
      </c>
      <c r="B184" s="151">
        <v>106507.98199908061</v>
      </c>
      <c r="C184" s="151">
        <v>1776653.9749170567</v>
      </c>
      <c r="D184" s="389">
        <v>291806.07635965291</v>
      </c>
      <c r="E184" s="150">
        <v>307185.34036218328</v>
      </c>
      <c r="F184" s="151">
        <v>127265.56362672204</v>
      </c>
      <c r="G184" s="151">
        <v>485226.31812745205</v>
      </c>
      <c r="H184" s="155">
        <v>2237351.1574040456</v>
      </c>
      <c r="I184" s="153">
        <v>1118.6755787020229</v>
      </c>
      <c r="J184" s="155">
        <v>2544536.4977662289</v>
      </c>
      <c r="K184" s="153">
        <v>1272.2682488831144</v>
      </c>
      <c r="L184" s="155">
        <v>2364616.7210307675</v>
      </c>
      <c r="M184" s="153">
        <v>1182.3083605153838</v>
      </c>
      <c r="N184" s="155">
        <v>2671802.0613929513</v>
      </c>
      <c r="O184" s="153">
        <v>1335.9010306964756</v>
      </c>
      <c r="P184" s="155">
        <v>2364980.019619619</v>
      </c>
      <c r="Q184" s="153">
        <v>1182.4900098098094</v>
      </c>
      <c r="R184" s="47">
        <v>2404866.8850501524</v>
      </c>
      <c r="S184" s="153">
        <v>1202.4334425250763</v>
      </c>
    </row>
    <row r="185" spans="1:19" ht="13.15" x14ac:dyDescent="0.4">
      <c r="A185" s="131" t="s">
        <v>1919</v>
      </c>
      <c r="D185" s="59"/>
      <c r="E185" s="99"/>
      <c r="H185" s="428" t="s">
        <v>1873</v>
      </c>
      <c r="I185" s="470" t="s">
        <v>1872</v>
      </c>
      <c r="J185" s="428" t="s">
        <v>1873</v>
      </c>
      <c r="K185" s="470" t="s">
        <v>1872</v>
      </c>
      <c r="L185" s="428" t="s">
        <v>1873</v>
      </c>
      <c r="M185" s="470" t="s">
        <v>1872</v>
      </c>
      <c r="N185" s="428" t="s">
        <v>1873</v>
      </c>
      <c r="O185" s="470" t="s">
        <v>1872</v>
      </c>
      <c r="P185" s="428" t="s">
        <v>1873</v>
      </c>
      <c r="Q185" s="470" t="s">
        <v>1872</v>
      </c>
      <c r="R185" s="470" t="s">
        <v>1873</v>
      </c>
      <c r="S185" s="470" t="s">
        <v>1872</v>
      </c>
    </row>
    <row r="186" spans="1:19" s="145" customFormat="1" x14ac:dyDescent="0.35">
      <c r="A186" s="232" t="s">
        <v>1525</v>
      </c>
      <c r="B186" s="145">
        <v>0.81874936062844828</v>
      </c>
      <c r="C186" s="145">
        <v>9.899991251455317</v>
      </c>
      <c r="D186" s="232">
        <v>2.342764696834275</v>
      </c>
      <c r="E186" s="144">
        <v>2.3492972570440829</v>
      </c>
      <c r="F186" s="145">
        <v>0.92175147254132672</v>
      </c>
      <c r="G186" s="145">
        <v>3.8860781074171986</v>
      </c>
      <c r="H186" s="146">
        <v>13.409544251516955</v>
      </c>
      <c r="I186" s="144">
        <v>6.7047721257584778E-3</v>
      </c>
      <c r="J186" s="146">
        <v>15.758841508561037</v>
      </c>
      <c r="K186" s="144">
        <v>7.8794207542805181E-3</v>
      </c>
      <c r="L186" s="146">
        <v>14.331295724058283</v>
      </c>
      <c r="M186" s="144">
        <v>7.1656478620291415E-3</v>
      </c>
      <c r="N186" s="146">
        <v>16.680592981102365</v>
      </c>
      <c r="O186" s="144">
        <v>8.3402964905511818E-3</v>
      </c>
      <c r="P186" s="146">
        <v>14.578618739960852</v>
      </c>
      <c r="Q186" s="144">
        <v>7.2893093699804264E-3</v>
      </c>
      <c r="R186" s="144">
        <v>14.851875391309248</v>
      </c>
      <c r="S186" s="144">
        <v>7.4259376956546238E-3</v>
      </c>
    </row>
    <row r="187" spans="1:19" s="145" customFormat="1" x14ac:dyDescent="0.35">
      <c r="A187" s="232" t="s">
        <v>1524</v>
      </c>
      <c r="B187" s="145">
        <v>5.0533827250588237</v>
      </c>
      <c r="C187" s="145">
        <v>45.620742945338186</v>
      </c>
      <c r="D187" s="232">
        <v>12.413041885995314</v>
      </c>
      <c r="E187" s="144">
        <v>14.970405139854027</v>
      </c>
      <c r="F187" s="145">
        <v>7.2138621022760159</v>
      </c>
      <c r="G187" s="145">
        <v>20.744415883477039</v>
      </c>
      <c r="H187" s="146">
        <v>64.693393919002261</v>
      </c>
      <c r="I187" s="144">
        <v>3.2346696959501132E-2</v>
      </c>
      <c r="J187" s="146">
        <v>79.663799058856284</v>
      </c>
      <c r="K187" s="144">
        <v>3.9831899529428144E-2</v>
      </c>
      <c r="L187" s="146">
        <v>71.907256021278272</v>
      </c>
      <c r="M187" s="144">
        <v>3.5953628010639137E-2</v>
      </c>
      <c r="N187" s="146">
        <v>86.877661161132295</v>
      </c>
      <c r="O187" s="144">
        <v>4.3438830580566148E-2</v>
      </c>
      <c r="P187" s="146">
        <v>71.256833306672164</v>
      </c>
      <c r="Q187" s="144">
        <v>3.5628416653336083E-2</v>
      </c>
      <c r="R187" s="144">
        <v>73.287540927751976</v>
      </c>
      <c r="S187" s="144">
        <v>3.6643770463875985E-2</v>
      </c>
    </row>
    <row r="188" spans="1:19" s="145" customFormat="1" x14ac:dyDescent="0.35">
      <c r="A188" s="232" t="s">
        <v>1523</v>
      </c>
      <c r="B188" s="145">
        <v>10.168049033946687</v>
      </c>
      <c r="C188" s="145">
        <v>186.46445604821361</v>
      </c>
      <c r="D188" s="232">
        <v>19.053833925914443</v>
      </c>
      <c r="E188" s="144">
        <v>31.450305111152545</v>
      </c>
      <c r="F188" s="145">
        <v>18.893102232264646</v>
      </c>
      <c r="G188" s="145">
        <v>32.436841145293805</v>
      </c>
      <c r="H188" s="146">
        <v>222.231710901946</v>
      </c>
      <c r="I188" s="144">
        <v>0.11111585545097299</v>
      </c>
      <c r="J188" s="146">
        <v>253.68201601309855</v>
      </c>
      <c r="K188" s="144">
        <v>0.12684100800654927</v>
      </c>
      <c r="L188" s="146">
        <v>241.12481313421065</v>
      </c>
      <c r="M188" s="144">
        <v>0.12056240656710533</v>
      </c>
      <c r="N188" s="146">
        <v>272.57511824536317</v>
      </c>
      <c r="O188" s="144">
        <v>0.13628755912268159</v>
      </c>
      <c r="P188" s="146">
        <v>228.74396865836781</v>
      </c>
      <c r="Q188" s="144">
        <v>0.1143719843291839</v>
      </c>
      <c r="R188" s="144">
        <v>234.4420181046772</v>
      </c>
      <c r="S188" s="144">
        <v>0.11722100905233861</v>
      </c>
    </row>
    <row r="189" spans="1:19" s="145" customFormat="1" x14ac:dyDescent="0.35">
      <c r="A189" s="232" t="s">
        <v>1522</v>
      </c>
      <c r="B189" s="145">
        <v>0.94675070746143342</v>
      </c>
      <c r="C189" s="145">
        <v>26.893956510684102</v>
      </c>
      <c r="D189" s="232">
        <v>1.0051309457927655</v>
      </c>
      <c r="E189" s="144">
        <v>3.1012682958040911</v>
      </c>
      <c r="F189" s="145">
        <v>2.3283521592521383</v>
      </c>
      <c r="G189" s="145">
        <v>1.8114106436827582</v>
      </c>
      <c r="H189" s="146">
        <v>29.788906533142271</v>
      </c>
      <c r="I189" s="144">
        <v>1.4894453266571135E-2</v>
      </c>
      <c r="J189" s="146">
        <v>32.890174828946364</v>
      </c>
      <c r="K189" s="144">
        <v>1.6445087414473182E-2</v>
      </c>
      <c r="L189" s="146">
        <v>32.117258692394408</v>
      </c>
      <c r="M189" s="144">
        <v>1.6058629346197204E-2</v>
      </c>
      <c r="N189" s="146">
        <v>35.218526988198505</v>
      </c>
      <c r="O189" s="144">
        <v>1.7609263494099251E-2</v>
      </c>
      <c r="P189" s="146">
        <v>29.621821839189529</v>
      </c>
      <c r="Q189" s="144">
        <v>1.4810910919594765E-2</v>
      </c>
      <c r="R189" s="144">
        <v>30.349393508560695</v>
      </c>
      <c r="S189" s="144">
        <v>1.5174696754280348E-2</v>
      </c>
    </row>
    <row r="190" spans="1:19" s="145" customFormat="1" x14ac:dyDescent="0.35">
      <c r="A190" s="232" t="s">
        <v>1521</v>
      </c>
      <c r="B190" s="145">
        <v>0.69844367594910794</v>
      </c>
      <c r="C190" s="145">
        <v>19.0418779576015</v>
      </c>
      <c r="D190" s="232">
        <v>0.74662861402861291</v>
      </c>
      <c r="E190" s="144">
        <v>2.286696438353002</v>
      </c>
      <c r="F190" s="145">
        <v>1.7138462465060513</v>
      </c>
      <c r="G190" s="145">
        <v>1.3445142202206217</v>
      </c>
      <c r="H190" s="146">
        <v>21.154729050206058</v>
      </c>
      <c r="I190" s="144">
        <v>1.0577364525103029E-2</v>
      </c>
      <c r="J190" s="146">
        <v>23.441425488559059</v>
      </c>
      <c r="K190" s="144">
        <v>1.172071274427953E-2</v>
      </c>
      <c r="L190" s="146">
        <v>22.868575296712109</v>
      </c>
      <c r="M190" s="144">
        <v>1.1434287648356054E-2</v>
      </c>
      <c r="N190" s="146">
        <v>25.15527173506511</v>
      </c>
      <c r="O190" s="144">
        <v>1.2577635867532555E-2</v>
      </c>
      <c r="P190" s="146">
        <v>21.062485656140858</v>
      </c>
      <c r="Q190" s="144">
        <v>1.053124282807043E-2</v>
      </c>
      <c r="R190" s="144">
        <v>21.59454784640101</v>
      </c>
      <c r="S190" s="144">
        <v>1.0797273923200505E-2</v>
      </c>
    </row>
    <row r="191" spans="1:19" s="145" customFormat="1" x14ac:dyDescent="0.35">
      <c r="A191" s="232" t="s">
        <v>1520</v>
      </c>
      <c r="B191" s="145">
        <v>31.574488708676594</v>
      </c>
      <c r="C191" s="145">
        <v>996.53568413271012</v>
      </c>
      <c r="D191" s="232">
        <v>32.92652664989869</v>
      </c>
      <c r="E191" s="144">
        <v>103.57541062208921</v>
      </c>
      <c r="F191" s="145">
        <v>78.106299022480783</v>
      </c>
      <c r="G191" s="145">
        <v>59.437572758667095</v>
      </c>
      <c r="H191" s="146">
        <v>1095.9748084747025</v>
      </c>
      <c r="I191" s="144">
        <v>0.54798740423735126</v>
      </c>
      <c r="J191" s="146">
        <v>1199.5502190967918</v>
      </c>
      <c r="K191" s="144">
        <v>0.59977510954839586</v>
      </c>
      <c r="L191" s="146">
        <v>1174.0811074971832</v>
      </c>
      <c r="M191" s="144">
        <v>0.58704055374859165</v>
      </c>
      <c r="N191" s="146">
        <v>1277.6565181192725</v>
      </c>
      <c r="O191" s="144">
        <v>0.63882825905963625</v>
      </c>
      <c r="P191" s="146">
        <v>1086.5373619613761</v>
      </c>
      <c r="Q191" s="144">
        <v>0.54326868098068803</v>
      </c>
      <c r="R191" s="144">
        <v>1111.3828522619026</v>
      </c>
      <c r="S191" s="144">
        <v>0.55569142613095135</v>
      </c>
    </row>
    <row r="192" spans="1:19" s="145" customFormat="1" x14ac:dyDescent="0.35">
      <c r="A192" s="232" t="s">
        <v>1519</v>
      </c>
      <c r="B192" s="145">
        <v>4.2949331180151054E-2</v>
      </c>
      <c r="C192" s="145">
        <v>0.89720999314484773</v>
      </c>
      <c r="D192" s="232">
        <v>5.0324423909037193E-2</v>
      </c>
      <c r="E192" s="144">
        <v>0.13960110834150261</v>
      </c>
      <c r="F192" s="145">
        <v>0.10210467090979541</v>
      </c>
      <c r="G192" s="145">
        <v>8.9655500736239277E-2</v>
      </c>
      <c r="H192" s="146">
        <v>1.0219668427367241</v>
      </c>
      <c r="I192" s="144">
        <v>5.1098342136836209E-4</v>
      </c>
      <c r="J192" s="146">
        <v>1.1615679510782266</v>
      </c>
      <c r="K192" s="144">
        <v>5.8078397553911333E-4</v>
      </c>
      <c r="L192" s="146">
        <v>1.1240715136465196</v>
      </c>
      <c r="M192" s="144">
        <v>5.6203575682325978E-4</v>
      </c>
      <c r="N192" s="146">
        <v>1.2636726219880221</v>
      </c>
      <c r="O192" s="144">
        <v>6.3183631099401102E-4</v>
      </c>
      <c r="P192" s="146">
        <v>1.0284404464634731</v>
      </c>
      <c r="Q192" s="144">
        <v>5.142202232317365E-4</v>
      </c>
      <c r="R192" s="144">
        <v>1.0590206292816644</v>
      </c>
      <c r="S192" s="144">
        <v>5.2951031464083223E-4</v>
      </c>
    </row>
    <row r="193" spans="1:19" s="145" customFormat="1" x14ac:dyDescent="0.35">
      <c r="A193" s="231" t="s">
        <v>1518</v>
      </c>
      <c r="B193" s="142">
        <v>0.10865742648750785</v>
      </c>
      <c r="C193" s="142">
        <v>1.8427972571929747</v>
      </c>
      <c r="D193" s="231">
        <v>0.1212667379113614</v>
      </c>
      <c r="E193" s="141">
        <v>0.35449709229349219</v>
      </c>
      <c r="F193" s="142">
        <v>0.26270927984588915</v>
      </c>
      <c r="G193" s="142">
        <v>0.21738312927281483</v>
      </c>
      <c r="H193" s="143">
        <v>2.1374236015553945</v>
      </c>
      <c r="I193" s="141">
        <v>1.0687118007776972E-3</v>
      </c>
      <c r="J193" s="143">
        <v>2.4919206938488867</v>
      </c>
      <c r="K193" s="141">
        <v>1.2459603469244433E-3</v>
      </c>
      <c r="L193" s="143">
        <v>2.4001328814012837</v>
      </c>
      <c r="M193" s="141">
        <v>1.2000664407006418E-3</v>
      </c>
      <c r="N193" s="143">
        <v>2.7546299736947759</v>
      </c>
      <c r="O193" s="141">
        <v>1.377314986847388E-3</v>
      </c>
      <c r="P193" s="143">
        <v>2.1653607753056971</v>
      </c>
      <c r="Q193" s="141">
        <v>1.0826803876528486E-3</v>
      </c>
      <c r="R193" s="141">
        <v>2.2419657710962775</v>
      </c>
      <c r="S193" s="141">
        <v>1.1209828855481387E-3</v>
      </c>
    </row>
  </sheetData>
  <mergeCells count="24">
    <mergeCell ref="B62:C62"/>
    <mergeCell ref="D62:E62"/>
    <mergeCell ref="F62:G62"/>
    <mergeCell ref="H62:I62"/>
    <mergeCell ref="J62:K62"/>
    <mergeCell ref="V62:W62"/>
    <mergeCell ref="K120:L120"/>
    <mergeCell ref="M120:N120"/>
    <mergeCell ref="O120:P120"/>
    <mergeCell ref="Q120:R120"/>
    <mergeCell ref="S120:T120"/>
    <mergeCell ref="U120:V120"/>
    <mergeCell ref="W120:X120"/>
    <mergeCell ref="L62:M62"/>
    <mergeCell ref="N62:O62"/>
    <mergeCell ref="P62:Q62"/>
    <mergeCell ref="R62:S62"/>
    <mergeCell ref="T62:U62"/>
    <mergeCell ref="R158:S158"/>
    <mergeCell ref="H158:I158"/>
    <mergeCell ref="J158:K158"/>
    <mergeCell ref="L158:M158"/>
    <mergeCell ref="N158:O158"/>
    <mergeCell ref="P158:Q158"/>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D224"/>
  <sheetViews>
    <sheetView showGridLines="0" zoomScale="85" zoomScaleNormal="85" workbookViewId="0">
      <selection activeCell="G1" sqref="G1"/>
    </sheetView>
  </sheetViews>
  <sheetFormatPr defaultColWidth="9.1328125" defaultRowHeight="12.75" x14ac:dyDescent="0.35"/>
  <cols>
    <col min="1" max="1" width="43.46484375" style="39" customWidth="1"/>
    <col min="2" max="2" width="10.86328125" style="39" customWidth="1"/>
    <col min="3" max="3" width="11.19921875" style="39" customWidth="1"/>
    <col min="4" max="4" width="11.1328125" style="39" customWidth="1"/>
    <col min="5" max="5" width="10.796875" style="39" customWidth="1"/>
    <col min="6" max="6" width="9.86328125" style="39" customWidth="1"/>
    <col min="7" max="7" width="11.46484375" style="39" customWidth="1"/>
    <col min="8" max="9" width="10.46484375" style="39" customWidth="1"/>
    <col min="10" max="10" width="10.1328125" style="39" customWidth="1"/>
    <col min="11" max="11" width="12.796875" style="39" bestFit="1" customWidth="1"/>
    <col min="12" max="12" width="9.46484375" style="39" bestFit="1" customWidth="1"/>
    <col min="13" max="13" width="12.796875" style="39" bestFit="1" customWidth="1"/>
    <col min="14" max="14" width="9.19921875" style="39" bestFit="1" customWidth="1"/>
    <col min="15" max="15" width="12.796875" style="39" bestFit="1" customWidth="1"/>
    <col min="16" max="16" width="9.19921875" style="39" bestFit="1" customWidth="1"/>
    <col min="17" max="17" width="12.796875" style="39" bestFit="1" customWidth="1"/>
    <col min="18" max="18" width="9.19921875" style="39" bestFit="1" customWidth="1"/>
    <col min="19" max="19" width="12.796875" style="39" bestFit="1" customWidth="1"/>
    <col min="20" max="20" width="9.19921875" style="39" bestFit="1" customWidth="1"/>
    <col min="21" max="21" width="12.796875" style="39" bestFit="1" customWidth="1"/>
    <col min="22" max="22" width="9.19921875" style="39" bestFit="1" customWidth="1"/>
    <col min="23" max="23" width="11.86328125" style="39" bestFit="1" customWidth="1"/>
    <col min="24" max="24" width="9.1328125" style="39"/>
    <col min="25" max="25" width="12.796875" style="39" bestFit="1" customWidth="1"/>
    <col min="26" max="26" width="10.19921875" style="39" bestFit="1" customWidth="1"/>
    <col min="27" max="27" width="11.86328125" style="39" bestFit="1" customWidth="1"/>
    <col min="28" max="28" width="9.19921875" style="39" bestFit="1" customWidth="1"/>
    <col min="29" max="29" width="11.86328125" style="39" bestFit="1" customWidth="1"/>
    <col min="30" max="30" width="9.46484375" style="39" bestFit="1" customWidth="1"/>
    <col min="31" max="31" width="9.86328125" style="39" bestFit="1" customWidth="1"/>
    <col min="32" max="33" width="9.46484375" style="39" bestFit="1" customWidth="1"/>
    <col min="34" max="34" width="9.19921875" style="39" bestFit="1" customWidth="1"/>
    <col min="35" max="35" width="9.1328125" style="39"/>
    <col min="36" max="36" width="9.46484375" style="39" bestFit="1" customWidth="1"/>
    <col min="37" max="37" width="9.19921875" style="39" bestFit="1" customWidth="1"/>
    <col min="38" max="38" width="9.1328125" style="39"/>
    <col min="39" max="40" width="9.19921875" style="39" bestFit="1" customWidth="1"/>
    <col min="41" max="41" width="9.46484375" style="39" bestFit="1" customWidth="1"/>
    <col min="42" max="42" width="10.46484375" style="39" customWidth="1"/>
    <col min="43" max="43" width="9.46484375" style="39" bestFit="1" customWidth="1"/>
    <col min="44" max="44" width="9.19921875" style="39" bestFit="1" customWidth="1"/>
    <col min="45" max="45" width="9.46484375" style="39" bestFit="1" customWidth="1"/>
    <col min="46" max="16384" width="9.1328125" style="39"/>
  </cols>
  <sheetData>
    <row r="1" spans="1:15" ht="15" x14ac:dyDescent="0.4">
      <c r="A1" s="140" t="s">
        <v>2049</v>
      </c>
      <c r="G1" s="230" t="s">
        <v>1626</v>
      </c>
    </row>
    <row r="3" spans="1:15" ht="13.9" x14ac:dyDescent="0.4">
      <c r="A3" s="72" t="s">
        <v>2048</v>
      </c>
    </row>
    <row r="4" spans="1:15" ht="13.15" x14ac:dyDescent="0.4">
      <c r="A4" s="41" t="s">
        <v>2047</v>
      </c>
    </row>
    <row r="5" spans="1:15" ht="25.5" x14ac:dyDescent="0.35">
      <c r="A5" s="243" t="s">
        <v>1415</v>
      </c>
      <c r="B5" s="134" t="s">
        <v>1414</v>
      </c>
      <c r="C5" s="133" t="s">
        <v>1425</v>
      </c>
      <c r="D5" s="39" t="s">
        <v>2046</v>
      </c>
    </row>
    <row r="6" spans="1:15" x14ac:dyDescent="0.35">
      <c r="A6" s="273">
        <v>0.21099999999999999</v>
      </c>
      <c r="B6" s="77">
        <v>0.191</v>
      </c>
      <c r="C6" s="466">
        <v>0.59800000000000009</v>
      </c>
      <c r="D6" s="39" t="s">
        <v>2045</v>
      </c>
    </row>
    <row r="7" spans="1:15" x14ac:dyDescent="0.35">
      <c r="D7" s="39" t="s">
        <v>2044</v>
      </c>
    </row>
    <row r="8" spans="1:15" ht="13.15" x14ac:dyDescent="0.4">
      <c r="A8" s="41" t="s">
        <v>2043</v>
      </c>
    </row>
    <row r="9" spans="1:15" ht="25.5" x14ac:dyDescent="0.35">
      <c r="A9" s="61"/>
      <c r="B9" s="243" t="s">
        <v>1323</v>
      </c>
      <c r="C9" s="134" t="s">
        <v>1423</v>
      </c>
      <c r="D9" s="134" t="s">
        <v>1322</v>
      </c>
      <c r="E9" s="134" t="s">
        <v>1422</v>
      </c>
      <c r="F9" s="133" t="s">
        <v>1321</v>
      </c>
      <c r="G9" s="134" t="s">
        <v>1330</v>
      </c>
      <c r="H9" s="133" t="s">
        <v>1310</v>
      </c>
    </row>
    <row r="10" spans="1:15" x14ac:dyDescent="0.35">
      <c r="A10" s="59" t="s">
        <v>1421</v>
      </c>
      <c r="B10" s="59">
        <v>1.0309999999999999</v>
      </c>
      <c r="C10" s="39">
        <v>1.0149999999999999</v>
      </c>
      <c r="D10" s="39">
        <v>1.054</v>
      </c>
      <c r="E10" s="120">
        <v>1</v>
      </c>
      <c r="F10" s="121">
        <v>1</v>
      </c>
      <c r="H10" s="99"/>
    </row>
    <row r="11" spans="1:15" x14ac:dyDescent="0.35">
      <c r="A11" s="59" t="s">
        <v>1420</v>
      </c>
      <c r="B11" s="59"/>
      <c r="F11" s="99"/>
      <c r="G11" s="39">
        <v>1.0429999999999999</v>
      </c>
      <c r="H11" s="121">
        <v>1</v>
      </c>
      <c r="I11" s="39" t="s">
        <v>2042</v>
      </c>
    </row>
    <row r="12" spans="1:15" x14ac:dyDescent="0.35">
      <c r="A12" s="59" t="s">
        <v>1419</v>
      </c>
      <c r="B12" s="59"/>
      <c r="F12" s="99"/>
      <c r="G12" s="39">
        <v>1.0429999999999999</v>
      </c>
      <c r="H12" s="121">
        <v>1</v>
      </c>
    </row>
    <row r="13" spans="1:15" x14ac:dyDescent="0.35">
      <c r="A13" s="57" t="s">
        <v>287</v>
      </c>
      <c r="B13" s="57"/>
      <c r="C13" s="77"/>
      <c r="D13" s="77"/>
      <c r="E13" s="77"/>
      <c r="F13" s="100"/>
      <c r="G13" s="119">
        <v>1.61</v>
      </c>
      <c r="H13" s="466">
        <v>1</v>
      </c>
      <c r="I13" s="39" t="s">
        <v>2041</v>
      </c>
    </row>
    <row r="15" spans="1:15" ht="13.9" x14ac:dyDescent="0.4">
      <c r="A15" s="72" t="s">
        <v>1734</v>
      </c>
    </row>
    <row r="16" spans="1:15" ht="96.4" x14ac:dyDescent="0.35">
      <c r="A16" s="91"/>
      <c r="B16" s="526" t="s">
        <v>2033</v>
      </c>
      <c r="C16" s="307" t="s">
        <v>2008</v>
      </c>
      <c r="D16" s="307" t="s">
        <v>2032</v>
      </c>
      <c r="E16" s="307" t="s">
        <v>2031</v>
      </c>
      <c r="F16" s="307" t="s">
        <v>2030</v>
      </c>
      <c r="G16" s="307" t="s">
        <v>2029</v>
      </c>
      <c r="H16" s="306" t="s">
        <v>1323</v>
      </c>
      <c r="I16" s="307" t="s">
        <v>1423</v>
      </c>
      <c r="J16" s="307" t="s">
        <v>1322</v>
      </c>
      <c r="K16" s="305" t="s">
        <v>1422</v>
      </c>
      <c r="L16" s="526" t="s">
        <v>1321</v>
      </c>
      <c r="M16" s="307" t="s">
        <v>1331</v>
      </c>
      <c r="N16" s="307" t="s">
        <v>1330</v>
      </c>
      <c r="O16" s="305" t="s">
        <v>1310</v>
      </c>
    </row>
    <row r="17" spans="1:15" x14ac:dyDescent="0.35">
      <c r="A17" s="59" t="s">
        <v>1717</v>
      </c>
      <c r="B17" s="525">
        <v>1</v>
      </c>
      <c r="C17" s="519">
        <v>1</v>
      </c>
      <c r="D17" s="519">
        <v>1</v>
      </c>
      <c r="E17" s="519">
        <v>1</v>
      </c>
      <c r="F17" s="519">
        <v>1</v>
      </c>
      <c r="G17" s="519">
        <v>1</v>
      </c>
      <c r="H17" s="518">
        <v>1</v>
      </c>
      <c r="I17" s="519">
        <v>1</v>
      </c>
      <c r="J17" s="519">
        <v>1</v>
      </c>
      <c r="K17" s="517">
        <v>1</v>
      </c>
      <c r="L17" s="525">
        <v>1</v>
      </c>
      <c r="M17" s="519">
        <v>1</v>
      </c>
      <c r="N17" s="519">
        <v>1</v>
      </c>
      <c r="O17" s="517">
        <v>1</v>
      </c>
    </row>
    <row r="18" spans="1:15" x14ac:dyDescent="0.35">
      <c r="A18" s="59" t="s">
        <v>1909</v>
      </c>
      <c r="B18" s="525">
        <v>1</v>
      </c>
      <c r="C18" s="519">
        <v>1</v>
      </c>
      <c r="D18" s="519">
        <v>1</v>
      </c>
      <c r="E18" s="519">
        <v>0</v>
      </c>
      <c r="F18" s="519">
        <v>1</v>
      </c>
      <c r="G18" s="519">
        <v>1</v>
      </c>
      <c r="H18" s="518">
        <v>1</v>
      </c>
      <c r="I18" s="519">
        <v>1</v>
      </c>
      <c r="J18" s="519">
        <v>1</v>
      </c>
      <c r="K18" s="517">
        <v>1</v>
      </c>
      <c r="L18" s="525">
        <v>1</v>
      </c>
      <c r="M18" s="519">
        <v>1</v>
      </c>
      <c r="N18" s="519">
        <v>1</v>
      </c>
      <c r="O18" s="517">
        <v>1</v>
      </c>
    </row>
    <row r="19" spans="1:15" x14ac:dyDescent="0.35">
      <c r="A19" s="59" t="s">
        <v>2040</v>
      </c>
      <c r="B19" s="525">
        <v>0</v>
      </c>
      <c r="C19" s="519">
        <v>0</v>
      </c>
      <c r="D19" s="519">
        <v>0</v>
      </c>
      <c r="E19" s="519">
        <v>1</v>
      </c>
      <c r="F19" s="519">
        <v>0</v>
      </c>
      <c r="G19" s="519">
        <v>0</v>
      </c>
      <c r="H19" s="518">
        <v>0</v>
      </c>
      <c r="I19" s="519">
        <v>0</v>
      </c>
      <c r="J19" s="519">
        <v>0</v>
      </c>
      <c r="K19" s="517">
        <v>0</v>
      </c>
      <c r="L19" s="525">
        <v>0</v>
      </c>
      <c r="M19" s="519">
        <v>0</v>
      </c>
      <c r="N19" s="519">
        <v>0</v>
      </c>
      <c r="O19" s="517">
        <v>0</v>
      </c>
    </row>
    <row r="20" spans="1:15" x14ac:dyDescent="0.35">
      <c r="A20" s="59" t="s">
        <v>1946</v>
      </c>
      <c r="B20" s="525">
        <v>0</v>
      </c>
      <c r="C20" s="519"/>
      <c r="D20" s="519"/>
      <c r="E20" s="519"/>
      <c r="F20" s="519"/>
      <c r="G20" s="519"/>
      <c r="H20" s="518"/>
      <c r="I20" s="519"/>
      <c r="J20" s="519"/>
      <c r="K20" s="517"/>
      <c r="L20" s="525"/>
      <c r="M20" s="519"/>
      <c r="N20" s="519"/>
      <c r="O20" s="517"/>
    </row>
    <row r="21" spans="1:15" x14ac:dyDescent="0.35">
      <c r="A21" s="59" t="s">
        <v>1703</v>
      </c>
      <c r="B21" s="525">
        <v>1</v>
      </c>
      <c r="C21" s="519">
        <v>0</v>
      </c>
      <c r="D21" s="519">
        <v>1</v>
      </c>
      <c r="E21" s="519">
        <v>1</v>
      </c>
      <c r="F21" s="519">
        <v>1</v>
      </c>
      <c r="G21" s="519">
        <v>1</v>
      </c>
      <c r="H21" s="518">
        <v>1</v>
      </c>
      <c r="I21" s="519">
        <v>1</v>
      </c>
      <c r="J21" s="519">
        <v>1</v>
      </c>
      <c r="K21" s="517">
        <v>1</v>
      </c>
      <c r="L21" s="525">
        <v>1</v>
      </c>
      <c r="M21" s="519">
        <v>1</v>
      </c>
      <c r="N21" s="519">
        <v>1</v>
      </c>
      <c r="O21" s="517">
        <v>1</v>
      </c>
    </row>
    <row r="22" spans="1:15" x14ac:dyDescent="0.35">
      <c r="A22" s="59" t="s">
        <v>2039</v>
      </c>
      <c r="B22" s="525">
        <v>0</v>
      </c>
      <c r="C22" s="519">
        <v>1</v>
      </c>
      <c r="D22" s="519">
        <v>0</v>
      </c>
      <c r="E22" s="519">
        <v>0</v>
      </c>
      <c r="F22" s="519">
        <v>0</v>
      </c>
      <c r="G22" s="519">
        <v>0</v>
      </c>
      <c r="H22" s="518">
        <v>0</v>
      </c>
      <c r="I22" s="519">
        <v>0</v>
      </c>
      <c r="J22" s="519">
        <v>0</v>
      </c>
      <c r="K22" s="517">
        <v>0</v>
      </c>
      <c r="L22" s="525">
        <v>0</v>
      </c>
      <c r="M22" s="519">
        <v>0</v>
      </c>
      <c r="N22" s="519">
        <v>0</v>
      </c>
      <c r="O22" s="517">
        <v>0</v>
      </c>
    </row>
    <row r="23" spans="1:15" x14ac:dyDescent="0.35">
      <c r="A23" s="59" t="s">
        <v>2038</v>
      </c>
      <c r="B23" s="525">
        <v>1</v>
      </c>
      <c r="C23" s="519">
        <v>0.97009999999999996</v>
      </c>
      <c r="D23" s="519">
        <v>1</v>
      </c>
      <c r="E23" s="519">
        <v>1</v>
      </c>
      <c r="F23" s="519">
        <v>1</v>
      </c>
      <c r="G23" s="519">
        <v>1</v>
      </c>
      <c r="H23" s="518">
        <v>1</v>
      </c>
      <c r="I23" s="519">
        <v>1</v>
      </c>
      <c r="J23" s="519">
        <v>1</v>
      </c>
      <c r="K23" s="517">
        <v>1</v>
      </c>
      <c r="L23" s="525">
        <v>1</v>
      </c>
      <c r="M23" s="519">
        <v>0</v>
      </c>
      <c r="N23" s="519">
        <v>1</v>
      </c>
      <c r="O23" s="517">
        <v>1</v>
      </c>
    </row>
    <row r="24" spans="1:15" x14ac:dyDescent="0.35">
      <c r="A24" s="59" t="s">
        <v>2037</v>
      </c>
      <c r="B24" s="525">
        <v>0</v>
      </c>
      <c r="C24" s="519">
        <v>2.9900000000000038E-2</v>
      </c>
      <c r="D24" s="519">
        <v>0</v>
      </c>
      <c r="E24" s="519">
        <v>0</v>
      </c>
      <c r="F24" s="519">
        <v>0</v>
      </c>
      <c r="G24" s="519">
        <v>0</v>
      </c>
      <c r="H24" s="518">
        <v>0</v>
      </c>
      <c r="I24" s="519">
        <v>0</v>
      </c>
      <c r="J24" s="519">
        <v>0</v>
      </c>
      <c r="K24" s="517">
        <v>0</v>
      </c>
      <c r="L24" s="525">
        <v>0</v>
      </c>
      <c r="M24" s="519">
        <v>1</v>
      </c>
      <c r="N24" s="519">
        <v>0</v>
      </c>
      <c r="O24" s="517">
        <v>0</v>
      </c>
    </row>
    <row r="25" spans="1:15" x14ac:dyDescent="0.35">
      <c r="A25" s="59" t="s">
        <v>2036</v>
      </c>
      <c r="B25" s="525">
        <v>1</v>
      </c>
      <c r="C25" s="519">
        <v>1</v>
      </c>
      <c r="D25" s="519">
        <v>1</v>
      </c>
      <c r="E25" s="519">
        <v>0.90339999999999998</v>
      </c>
      <c r="F25" s="519">
        <v>1</v>
      </c>
      <c r="G25" s="519">
        <v>1</v>
      </c>
      <c r="H25" s="518">
        <v>1</v>
      </c>
      <c r="I25" s="519">
        <v>1</v>
      </c>
      <c r="J25" s="519">
        <v>1</v>
      </c>
      <c r="K25" s="517">
        <v>1</v>
      </c>
      <c r="L25" s="525">
        <v>1</v>
      </c>
      <c r="M25" s="519">
        <v>1</v>
      </c>
      <c r="N25" s="519">
        <v>1</v>
      </c>
      <c r="O25" s="517">
        <v>1</v>
      </c>
    </row>
    <row r="26" spans="1:15" x14ac:dyDescent="0.35">
      <c r="A26" s="59" t="s">
        <v>2035</v>
      </c>
      <c r="B26" s="525">
        <v>0</v>
      </c>
      <c r="C26" s="519">
        <v>0</v>
      </c>
      <c r="D26" s="519">
        <v>0</v>
      </c>
      <c r="E26" s="519">
        <v>6.4399999999999999E-2</v>
      </c>
      <c r="F26" s="519">
        <v>0</v>
      </c>
      <c r="G26" s="519">
        <v>0</v>
      </c>
      <c r="H26" s="518">
        <v>0</v>
      </c>
      <c r="I26" s="519">
        <v>0</v>
      </c>
      <c r="J26" s="519">
        <v>0</v>
      </c>
      <c r="K26" s="517">
        <v>0</v>
      </c>
      <c r="L26" s="525">
        <v>0</v>
      </c>
      <c r="M26" s="519">
        <v>0</v>
      </c>
      <c r="N26" s="519">
        <v>0</v>
      </c>
      <c r="O26" s="517">
        <v>0</v>
      </c>
    </row>
    <row r="27" spans="1:15" x14ac:dyDescent="0.35">
      <c r="A27" s="59" t="s">
        <v>2034</v>
      </c>
      <c r="B27" s="525">
        <v>0</v>
      </c>
      <c r="C27" s="519">
        <v>0</v>
      </c>
      <c r="D27" s="519">
        <v>0</v>
      </c>
      <c r="E27" s="519">
        <v>3.2200000000000006E-2</v>
      </c>
      <c r="F27" s="519">
        <v>0</v>
      </c>
      <c r="G27" s="519">
        <v>0</v>
      </c>
      <c r="H27" s="518">
        <v>0</v>
      </c>
      <c r="I27" s="519">
        <v>0</v>
      </c>
      <c r="J27" s="519">
        <v>0</v>
      </c>
      <c r="K27" s="517">
        <v>0</v>
      </c>
      <c r="L27" s="525">
        <v>0</v>
      </c>
      <c r="M27" s="519">
        <v>0</v>
      </c>
      <c r="N27" s="519">
        <v>0</v>
      </c>
      <c r="O27" s="517">
        <v>0</v>
      </c>
    </row>
    <row r="28" spans="1:15" x14ac:dyDescent="0.35">
      <c r="A28" s="59" t="s">
        <v>1945</v>
      </c>
      <c r="B28" s="525">
        <v>1</v>
      </c>
      <c r="C28" s="519"/>
      <c r="D28" s="519"/>
      <c r="E28" s="519"/>
      <c r="F28" s="519"/>
      <c r="G28" s="519"/>
      <c r="H28" s="518"/>
      <c r="I28" s="519"/>
      <c r="J28" s="519"/>
      <c r="K28" s="517"/>
      <c r="L28" s="525"/>
      <c r="M28" s="519"/>
      <c r="N28" s="519"/>
      <c r="O28" s="517"/>
    </row>
    <row r="29" spans="1:15" x14ac:dyDescent="0.35">
      <c r="A29" s="59" t="s">
        <v>1944</v>
      </c>
      <c r="B29" s="525">
        <v>0</v>
      </c>
      <c r="C29" s="519"/>
      <c r="D29" s="519"/>
      <c r="E29" s="519"/>
      <c r="F29" s="519"/>
      <c r="G29" s="519"/>
      <c r="H29" s="518"/>
      <c r="I29" s="519"/>
      <c r="J29" s="519"/>
      <c r="K29" s="517"/>
      <c r="L29" s="525"/>
      <c r="M29" s="519"/>
      <c r="N29" s="519"/>
      <c r="O29" s="517"/>
    </row>
    <row r="30" spans="1:15" x14ac:dyDescent="0.35">
      <c r="A30" s="59" t="s">
        <v>1943</v>
      </c>
      <c r="B30" s="525">
        <v>0</v>
      </c>
      <c r="C30" s="519"/>
      <c r="D30" s="519"/>
      <c r="E30" s="519"/>
      <c r="F30" s="519"/>
      <c r="G30" s="519"/>
      <c r="H30" s="518"/>
      <c r="I30" s="519"/>
      <c r="J30" s="519"/>
      <c r="K30" s="517"/>
      <c r="L30" s="525"/>
      <c r="M30" s="519"/>
      <c r="N30" s="519"/>
      <c r="O30" s="517"/>
    </row>
    <row r="31" spans="1:15" x14ac:dyDescent="0.35">
      <c r="A31" s="57" t="s">
        <v>1942</v>
      </c>
      <c r="B31" s="524">
        <v>1</v>
      </c>
      <c r="C31" s="516"/>
      <c r="D31" s="516"/>
      <c r="E31" s="516"/>
      <c r="F31" s="516"/>
      <c r="G31" s="516"/>
      <c r="H31" s="515"/>
      <c r="I31" s="516"/>
      <c r="J31" s="516"/>
      <c r="K31" s="514"/>
      <c r="L31" s="524"/>
      <c r="M31" s="516"/>
      <c r="N31" s="516"/>
      <c r="O31" s="514"/>
    </row>
    <row r="33" spans="1:30" ht="13.9" x14ac:dyDescent="0.4">
      <c r="A33" s="72" t="s">
        <v>1701</v>
      </c>
    </row>
    <row r="34" spans="1:30" ht="55.7" customHeight="1" x14ac:dyDescent="0.4">
      <c r="A34" s="61"/>
      <c r="B34" s="2191" t="s">
        <v>2033</v>
      </c>
      <c r="C34" s="2192"/>
      <c r="D34" s="2191" t="s">
        <v>2008</v>
      </c>
      <c r="E34" s="2196"/>
      <c r="F34" s="2192"/>
      <c r="G34" s="2191" t="s">
        <v>2032</v>
      </c>
      <c r="H34" s="2192"/>
      <c r="I34" s="2191" t="s">
        <v>2031</v>
      </c>
      <c r="J34" s="2192"/>
      <c r="K34" s="2191" t="s">
        <v>2030</v>
      </c>
      <c r="L34" s="2192"/>
      <c r="M34" s="2191" t="s">
        <v>2029</v>
      </c>
      <c r="N34" s="2192"/>
      <c r="O34" s="2191" t="s">
        <v>1323</v>
      </c>
      <c r="P34" s="2192"/>
      <c r="Q34" s="2191" t="s">
        <v>1423</v>
      </c>
      <c r="R34" s="2192"/>
      <c r="S34" s="2191" t="s">
        <v>1322</v>
      </c>
      <c r="T34" s="2192"/>
      <c r="U34" s="2191" t="s">
        <v>1422</v>
      </c>
      <c r="V34" s="2192"/>
      <c r="W34" s="2191" t="s">
        <v>1321</v>
      </c>
      <c r="X34" s="2192"/>
      <c r="Y34" s="2191" t="s">
        <v>1331</v>
      </c>
      <c r="Z34" s="2192"/>
      <c r="AA34" s="2191" t="s">
        <v>1330</v>
      </c>
      <c r="AB34" s="2192"/>
      <c r="AC34" s="2191" t="s">
        <v>1310</v>
      </c>
      <c r="AD34" s="2192"/>
    </row>
    <row r="35" spans="1:30" ht="92.25" x14ac:dyDescent="0.35">
      <c r="A35" s="59"/>
      <c r="B35" s="522" t="s">
        <v>1674</v>
      </c>
      <c r="C35" s="521" t="s">
        <v>1673</v>
      </c>
      <c r="D35" s="522" t="s">
        <v>1674</v>
      </c>
      <c r="E35" s="523" t="s">
        <v>1673</v>
      </c>
      <c r="F35" s="521" t="s">
        <v>2028</v>
      </c>
      <c r="G35" s="523" t="s">
        <v>1674</v>
      </c>
      <c r="H35" s="523" t="s">
        <v>1673</v>
      </c>
      <c r="I35" s="522" t="s">
        <v>1674</v>
      </c>
      <c r="J35" s="521" t="s">
        <v>1673</v>
      </c>
      <c r="K35" s="523" t="s">
        <v>1674</v>
      </c>
      <c r="L35" s="523" t="s">
        <v>1673</v>
      </c>
      <c r="M35" s="522" t="s">
        <v>1674</v>
      </c>
      <c r="N35" s="521" t="s">
        <v>1673</v>
      </c>
      <c r="O35" s="523" t="s">
        <v>1674</v>
      </c>
      <c r="P35" s="523" t="s">
        <v>1673</v>
      </c>
      <c r="Q35" s="522" t="s">
        <v>1674</v>
      </c>
      <c r="R35" s="521" t="s">
        <v>1673</v>
      </c>
      <c r="S35" s="523" t="s">
        <v>1674</v>
      </c>
      <c r="T35" s="523" t="s">
        <v>1673</v>
      </c>
      <c r="U35" s="522" t="s">
        <v>1674</v>
      </c>
      <c r="V35" s="521" t="s">
        <v>1673</v>
      </c>
      <c r="W35" s="523" t="s">
        <v>1674</v>
      </c>
      <c r="X35" s="523" t="s">
        <v>1673</v>
      </c>
      <c r="Y35" s="522" t="s">
        <v>1674</v>
      </c>
      <c r="Z35" s="521" t="s">
        <v>1673</v>
      </c>
      <c r="AA35" s="523" t="s">
        <v>1674</v>
      </c>
      <c r="AB35" s="523" t="s">
        <v>1673</v>
      </c>
      <c r="AC35" s="522" t="s">
        <v>1674</v>
      </c>
      <c r="AD35" s="521" t="s">
        <v>1673</v>
      </c>
    </row>
    <row r="36" spans="1:30" ht="27" customHeight="1" x14ac:dyDescent="0.4">
      <c r="A36" s="57"/>
      <c r="B36" s="2191" t="s">
        <v>2027</v>
      </c>
      <c r="C36" s="2192"/>
      <c r="D36" s="2191" t="s">
        <v>2026</v>
      </c>
      <c r="E36" s="2196"/>
      <c r="F36" s="2196"/>
      <c r="G36" s="2196"/>
      <c r="H36" s="2196"/>
      <c r="I36" s="2196"/>
      <c r="J36" s="2196"/>
      <c r="K36" s="2196"/>
      <c r="L36" s="2196"/>
      <c r="M36" s="2196"/>
      <c r="N36" s="2192"/>
      <c r="O36" s="2191" t="s">
        <v>2025</v>
      </c>
      <c r="P36" s="2192"/>
      <c r="Q36" s="2191" t="s">
        <v>2024</v>
      </c>
      <c r="R36" s="2192"/>
      <c r="S36" s="2191" t="s">
        <v>2023</v>
      </c>
      <c r="T36" s="2192"/>
      <c r="U36" s="2191" t="s">
        <v>2022</v>
      </c>
      <c r="V36" s="2192"/>
      <c r="W36" s="2191" t="s">
        <v>2021</v>
      </c>
      <c r="X36" s="2192"/>
      <c r="Y36" s="2191" t="s">
        <v>2020</v>
      </c>
      <c r="Z36" s="2192"/>
      <c r="AA36" s="2191" t="s">
        <v>2019</v>
      </c>
      <c r="AB36" s="2196"/>
      <c r="AC36" s="2196"/>
      <c r="AD36" s="2192"/>
    </row>
    <row r="37" spans="1:30" ht="13.15" x14ac:dyDescent="0.4">
      <c r="A37" s="128" t="s">
        <v>1940</v>
      </c>
      <c r="B37" s="277">
        <v>1.7948</v>
      </c>
      <c r="C37" s="121"/>
      <c r="D37" s="277">
        <v>15.583399999999999</v>
      </c>
      <c r="E37" s="120"/>
      <c r="F37" s="121"/>
      <c r="G37" s="120">
        <v>6.0299999999999999E-2</v>
      </c>
      <c r="H37" s="120"/>
      <c r="I37" s="277">
        <v>1.7791999999999999</v>
      </c>
      <c r="J37" s="121"/>
      <c r="K37" s="120">
        <v>0.69120000000000004</v>
      </c>
      <c r="L37" s="120"/>
      <c r="M37" s="277">
        <v>-4.0800000000000003E-2</v>
      </c>
      <c r="N37" s="121"/>
      <c r="O37" s="120">
        <v>1.3340000000000001</v>
      </c>
      <c r="P37" s="120"/>
      <c r="Q37" s="277">
        <v>4.1799999999999997E-2</v>
      </c>
      <c r="R37" s="121"/>
      <c r="S37" s="120">
        <v>1.3998999999999999</v>
      </c>
      <c r="T37" s="120"/>
      <c r="U37" s="277">
        <v>0.69569999999999999</v>
      </c>
      <c r="V37" s="121"/>
      <c r="W37" s="120">
        <v>0.85990521327014202</v>
      </c>
      <c r="X37" s="120"/>
      <c r="Y37" s="277">
        <v>6.1831000000000005</v>
      </c>
      <c r="Z37" s="121"/>
      <c r="AA37" s="120">
        <v>3.2335000000000003</v>
      </c>
      <c r="AB37" s="120"/>
      <c r="AC37" s="277">
        <v>0.54</v>
      </c>
      <c r="AD37" s="121"/>
    </row>
    <row r="38" spans="1:30" ht="13.15" x14ac:dyDescent="0.4">
      <c r="A38" s="128" t="s">
        <v>1671</v>
      </c>
      <c r="B38" s="518">
        <v>0</v>
      </c>
      <c r="C38" s="517"/>
      <c r="D38" s="518">
        <v>0</v>
      </c>
      <c r="E38" s="519"/>
      <c r="F38" s="517"/>
      <c r="G38" s="519">
        <v>0</v>
      </c>
      <c r="H38" s="519"/>
      <c r="I38" s="518">
        <v>0</v>
      </c>
      <c r="J38" s="517"/>
      <c r="K38" s="519">
        <v>0</v>
      </c>
      <c r="L38" s="519"/>
      <c r="M38" s="518">
        <v>0</v>
      </c>
      <c r="N38" s="517"/>
      <c r="O38" s="519">
        <v>0</v>
      </c>
      <c r="P38" s="519"/>
      <c r="Q38" s="518">
        <v>0</v>
      </c>
      <c r="R38" s="517"/>
      <c r="S38" s="519">
        <v>0</v>
      </c>
      <c r="T38" s="519"/>
      <c r="U38" s="518">
        <v>0</v>
      </c>
      <c r="V38" s="517"/>
      <c r="W38" s="519">
        <v>0</v>
      </c>
      <c r="X38" s="519"/>
      <c r="Y38" s="518">
        <v>0</v>
      </c>
      <c r="Z38" s="517"/>
      <c r="AA38" s="519">
        <v>0</v>
      </c>
      <c r="AB38" s="519"/>
      <c r="AC38" s="518">
        <v>0</v>
      </c>
      <c r="AD38" s="517"/>
    </row>
    <row r="39" spans="1:30" ht="13.15" x14ac:dyDescent="0.4">
      <c r="A39" s="131" t="s">
        <v>1670</v>
      </c>
      <c r="B39" s="61"/>
      <c r="C39" s="60"/>
      <c r="D39" s="61"/>
      <c r="E39" s="101"/>
      <c r="F39" s="60"/>
      <c r="G39" s="101"/>
      <c r="H39" s="101"/>
      <c r="I39" s="61"/>
      <c r="J39" s="60"/>
      <c r="K39" s="101"/>
      <c r="L39" s="101"/>
      <c r="M39" s="61"/>
      <c r="N39" s="60"/>
      <c r="O39" s="101"/>
      <c r="P39" s="101"/>
      <c r="Q39" s="61"/>
      <c r="R39" s="60"/>
      <c r="S39" s="101"/>
      <c r="T39" s="101"/>
      <c r="U39" s="61"/>
      <c r="V39" s="60"/>
      <c r="W39" s="101"/>
      <c r="X39" s="101"/>
      <c r="Y39" s="61"/>
      <c r="Z39" s="60"/>
      <c r="AA39" s="101"/>
      <c r="AB39" s="101"/>
      <c r="AC39" s="61"/>
      <c r="AD39" s="60"/>
    </row>
    <row r="40" spans="1:30" x14ac:dyDescent="0.35">
      <c r="A40" s="59" t="s">
        <v>1668</v>
      </c>
      <c r="B40" s="518">
        <v>0.1024</v>
      </c>
      <c r="C40" s="517"/>
      <c r="D40" s="518">
        <v>0</v>
      </c>
      <c r="E40" s="519"/>
      <c r="F40" s="517"/>
      <c r="G40" s="519">
        <v>0</v>
      </c>
      <c r="H40" s="519"/>
      <c r="I40" s="518">
        <v>0.6331</v>
      </c>
      <c r="J40" s="517"/>
      <c r="K40" s="519">
        <v>0</v>
      </c>
      <c r="L40" s="519"/>
      <c r="M40" s="518">
        <v>0</v>
      </c>
      <c r="N40" s="517"/>
      <c r="O40" s="519">
        <v>0</v>
      </c>
      <c r="P40" s="519"/>
      <c r="Q40" s="518">
        <v>0</v>
      </c>
      <c r="R40" s="517"/>
      <c r="S40" s="519">
        <v>0</v>
      </c>
      <c r="T40" s="519"/>
      <c r="U40" s="518">
        <v>0</v>
      </c>
      <c r="V40" s="517"/>
      <c r="W40" s="519">
        <v>0</v>
      </c>
      <c r="X40" s="519"/>
      <c r="Y40" s="518">
        <v>0</v>
      </c>
      <c r="Z40" s="517"/>
      <c r="AA40" s="519">
        <v>0</v>
      </c>
      <c r="AB40" s="519"/>
      <c r="AC40" s="518">
        <v>0</v>
      </c>
      <c r="AD40" s="517"/>
    </row>
    <row r="41" spans="1:30" x14ac:dyDescent="0.35">
      <c r="A41" s="59" t="s">
        <v>1666</v>
      </c>
      <c r="B41" s="518">
        <v>1.1999999999999999E-3</v>
      </c>
      <c r="C41" s="517"/>
      <c r="D41" s="518">
        <v>0</v>
      </c>
      <c r="E41" s="519"/>
      <c r="F41" s="517"/>
      <c r="G41" s="519">
        <v>0</v>
      </c>
      <c r="H41" s="519"/>
      <c r="I41" s="518">
        <v>0</v>
      </c>
      <c r="J41" s="517"/>
      <c r="K41" s="519">
        <v>0</v>
      </c>
      <c r="L41" s="519"/>
      <c r="M41" s="518">
        <v>0</v>
      </c>
      <c r="N41" s="517"/>
      <c r="O41" s="519"/>
      <c r="P41" s="519"/>
      <c r="Q41" s="518"/>
      <c r="R41" s="517"/>
      <c r="S41" s="519"/>
      <c r="T41" s="519"/>
      <c r="U41" s="518"/>
      <c r="V41" s="517"/>
      <c r="W41" s="519"/>
      <c r="X41" s="519"/>
      <c r="Y41" s="518"/>
      <c r="Z41" s="517"/>
      <c r="AA41" s="519"/>
      <c r="AB41" s="519"/>
      <c r="AC41" s="518"/>
      <c r="AD41" s="517"/>
    </row>
    <row r="42" spans="1:30" ht="14.25" x14ac:dyDescent="0.45">
      <c r="A42" s="59" t="s">
        <v>1667</v>
      </c>
      <c r="B42" s="518">
        <v>1.5800000000000002E-2</v>
      </c>
      <c r="C42" s="97" t="s">
        <v>2018</v>
      </c>
      <c r="D42" s="518">
        <v>0</v>
      </c>
      <c r="E42" s="519"/>
      <c r="F42" s="517"/>
      <c r="G42" s="519">
        <v>0</v>
      </c>
      <c r="H42" s="519"/>
      <c r="I42" s="518">
        <v>0</v>
      </c>
      <c r="J42" s="517"/>
      <c r="K42" s="519">
        <v>0</v>
      </c>
      <c r="L42" s="519"/>
      <c r="M42" s="518">
        <v>0</v>
      </c>
      <c r="N42" s="517"/>
      <c r="O42" s="519">
        <v>0</v>
      </c>
      <c r="P42" s="519"/>
      <c r="Q42" s="518">
        <v>0</v>
      </c>
      <c r="R42" s="517"/>
      <c r="S42" s="519">
        <v>0</v>
      </c>
      <c r="T42" s="519"/>
      <c r="U42" s="518">
        <v>0</v>
      </c>
      <c r="V42" s="517"/>
      <c r="W42" s="519">
        <v>0</v>
      </c>
      <c r="X42" s="519"/>
      <c r="Y42" s="518">
        <v>0</v>
      </c>
      <c r="Z42" s="517"/>
      <c r="AA42" s="519">
        <v>0</v>
      </c>
      <c r="AB42" s="519"/>
      <c r="AC42" s="518">
        <v>0</v>
      </c>
      <c r="AD42" s="517"/>
    </row>
    <row r="43" spans="1:30" x14ac:dyDescent="0.35">
      <c r="A43" s="59" t="s">
        <v>1534</v>
      </c>
      <c r="B43" s="518">
        <v>0.1082</v>
      </c>
      <c r="C43" s="517"/>
      <c r="D43" s="518">
        <v>0</v>
      </c>
      <c r="E43" s="519"/>
      <c r="F43" s="517"/>
      <c r="G43" s="519">
        <v>0</v>
      </c>
      <c r="H43" s="519"/>
      <c r="I43" s="518">
        <v>0.17050000000000001</v>
      </c>
      <c r="J43" s="517"/>
      <c r="K43" s="519">
        <v>5.3530000000000001E-2</v>
      </c>
      <c r="L43" s="519"/>
      <c r="M43" s="518">
        <v>0</v>
      </c>
      <c r="N43" s="517"/>
      <c r="O43" s="519">
        <v>0.47199999999999998</v>
      </c>
      <c r="P43" s="519"/>
      <c r="Q43" s="518">
        <v>0</v>
      </c>
      <c r="R43" s="517"/>
      <c r="S43" s="519">
        <v>0</v>
      </c>
      <c r="T43" s="519"/>
      <c r="U43" s="518">
        <v>0</v>
      </c>
      <c r="V43" s="517"/>
      <c r="W43" s="520">
        <v>0</v>
      </c>
      <c r="X43" s="519"/>
      <c r="Y43" s="518">
        <v>0.19239999999999999</v>
      </c>
      <c r="Z43" s="517"/>
      <c r="AA43" s="519">
        <v>0.66700000000000004</v>
      </c>
      <c r="AB43" s="519"/>
      <c r="AC43" s="518">
        <v>0</v>
      </c>
      <c r="AD43" s="517"/>
    </row>
    <row r="44" spans="1:30" x14ac:dyDescent="0.35">
      <c r="A44" s="59" t="s">
        <v>1535</v>
      </c>
      <c r="B44" s="518">
        <v>0</v>
      </c>
      <c r="C44" s="517"/>
      <c r="D44" s="518">
        <v>0.98914000000000002</v>
      </c>
      <c r="E44" s="519"/>
      <c r="F44" s="517"/>
      <c r="G44" s="519">
        <v>0</v>
      </c>
      <c r="H44" s="519"/>
      <c r="I44" s="518">
        <v>0</v>
      </c>
      <c r="J44" s="517"/>
      <c r="K44" s="519">
        <v>0</v>
      </c>
      <c r="L44" s="519"/>
      <c r="M44" s="518">
        <v>0</v>
      </c>
      <c r="N44" s="517"/>
      <c r="O44" s="519">
        <v>0</v>
      </c>
      <c r="P44" s="519"/>
      <c r="Q44" s="518">
        <v>0</v>
      </c>
      <c r="R44" s="517"/>
      <c r="S44" s="519">
        <v>0</v>
      </c>
      <c r="T44" s="519"/>
      <c r="U44" s="518">
        <v>0</v>
      </c>
      <c r="V44" s="517"/>
      <c r="W44" s="519">
        <v>0</v>
      </c>
      <c r="X44" s="519"/>
      <c r="Y44" s="518">
        <v>0</v>
      </c>
      <c r="Z44" s="517"/>
      <c r="AA44" s="519">
        <v>0</v>
      </c>
      <c r="AB44" s="519"/>
      <c r="AC44" s="518">
        <v>0</v>
      </c>
      <c r="AD44" s="517"/>
    </row>
    <row r="45" spans="1:30" x14ac:dyDescent="0.35">
      <c r="A45" s="57" t="s">
        <v>1664</v>
      </c>
      <c r="B45" s="515">
        <v>0.77239999999999998</v>
      </c>
      <c r="C45" s="514"/>
      <c r="D45" s="515">
        <v>1.0859999999999981E-2</v>
      </c>
      <c r="E45" s="516"/>
      <c r="F45" s="514"/>
      <c r="G45" s="516">
        <v>1</v>
      </c>
      <c r="H45" s="516"/>
      <c r="I45" s="515">
        <v>0.19640000000000002</v>
      </c>
      <c r="J45" s="514"/>
      <c r="K45" s="516">
        <v>0.94647000000000003</v>
      </c>
      <c r="L45" s="516"/>
      <c r="M45" s="515">
        <v>1</v>
      </c>
      <c r="N45" s="514"/>
      <c r="O45" s="516">
        <v>0.52800000000000002</v>
      </c>
      <c r="P45" s="516"/>
      <c r="Q45" s="515">
        <v>1</v>
      </c>
      <c r="R45" s="514"/>
      <c r="S45" s="516">
        <v>1</v>
      </c>
      <c r="T45" s="516"/>
      <c r="U45" s="515">
        <v>1</v>
      </c>
      <c r="V45" s="514"/>
      <c r="W45" s="516">
        <v>1</v>
      </c>
      <c r="X45" s="516"/>
      <c r="Y45" s="515">
        <v>0.80759999999999998</v>
      </c>
      <c r="Z45" s="514"/>
      <c r="AA45" s="516">
        <v>0.33299999999999996</v>
      </c>
      <c r="AB45" s="516"/>
      <c r="AC45" s="515">
        <v>1</v>
      </c>
      <c r="AD45" s="514"/>
    </row>
    <row r="46" spans="1:30" ht="13.15" x14ac:dyDescent="0.4">
      <c r="A46" s="128" t="s">
        <v>1938</v>
      </c>
      <c r="B46" s="59"/>
      <c r="C46" s="99"/>
      <c r="D46" s="59"/>
      <c r="F46" s="99"/>
      <c r="I46" s="59"/>
      <c r="J46" s="99"/>
      <c r="M46" s="59"/>
      <c r="N46" s="99"/>
      <c r="Q46" s="59"/>
      <c r="R46" s="99"/>
      <c r="U46" s="59"/>
      <c r="V46" s="99"/>
      <c r="Y46" s="59"/>
      <c r="Z46" s="99"/>
      <c r="AC46" s="59"/>
      <c r="AD46" s="99"/>
    </row>
    <row r="47" spans="1:30" x14ac:dyDescent="0.35">
      <c r="A47" s="59" t="s">
        <v>1668</v>
      </c>
      <c r="B47" s="277">
        <v>0.18378752000000001</v>
      </c>
      <c r="C47" s="121"/>
      <c r="D47" s="277">
        <v>0</v>
      </c>
      <c r="E47" s="120"/>
      <c r="F47" s="121"/>
      <c r="G47" s="120">
        <v>0</v>
      </c>
      <c r="H47" s="120"/>
      <c r="I47" s="277">
        <v>1.12641152</v>
      </c>
      <c r="J47" s="121"/>
      <c r="K47" s="120">
        <v>0</v>
      </c>
      <c r="L47" s="120"/>
      <c r="M47" s="277">
        <v>0</v>
      </c>
      <c r="N47" s="121"/>
      <c r="O47" s="120">
        <v>0</v>
      </c>
      <c r="P47" s="120"/>
      <c r="Q47" s="277">
        <v>0</v>
      </c>
      <c r="R47" s="121"/>
      <c r="S47" s="120">
        <v>0</v>
      </c>
      <c r="T47" s="120"/>
      <c r="U47" s="277">
        <v>0</v>
      </c>
      <c r="V47" s="121"/>
      <c r="W47" s="120">
        <v>0</v>
      </c>
      <c r="X47" s="120"/>
      <c r="Y47" s="277">
        <v>0</v>
      </c>
      <c r="Z47" s="121"/>
      <c r="AA47" s="120">
        <v>0</v>
      </c>
      <c r="AB47" s="120"/>
      <c r="AC47" s="277">
        <v>0</v>
      </c>
      <c r="AD47" s="121"/>
    </row>
    <row r="48" spans="1:30" x14ac:dyDescent="0.35">
      <c r="A48" s="59" t="s">
        <v>1666</v>
      </c>
      <c r="B48" s="277">
        <v>2.1537599999999998E-3</v>
      </c>
      <c r="C48" s="121"/>
      <c r="D48" s="277">
        <v>0</v>
      </c>
      <c r="E48" s="120"/>
      <c r="F48" s="121"/>
      <c r="G48" s="120">
        <v>0</v>
      </c>
      <c r="H48" s="120"/>
      <c r="I48" s="277">
        <v>0</v>
      </c>
      <c r="J48" s="121"/>
      <c r="K48" s="120">
        <v>0</v>
      </c>
      <c r="L48" s="120"/>
      <c r="M48" s="277">
        <v>0</v>
      </c>
      <c r="N48" s="121"/>
      <c r="O48" s="120"/>
      <c r="P48" s="120"/>
      <c r="Q48" s="277"/>
      <c r="R48" s="121"/>
      <c r="S48" s="120"/>
      <c r="T48" s="120"/>
      <c r="U48" s="277"/>
      <c r="V48" s="121"/>
      <c r="W48" s="120"/>
      <c r="X48" s="120"/>
      <c r="Y48" s="277"/>
      <c r="Z48" s="121"/>
      <c r="AA48" s="120"/>
      <c r="AB48" s="120"/>
      <c r="AC48" s="277"/>
      <c r="AD48" s="121"/>
    </row>
    <row r="49" spans="1:30" x14ac:dyDescent="0.35">
      <c r="A49" s="59" t="s">
        <v>1667</v>
      </c>
      <c r="B49" s="277">
        <v>2.8357840000000002E-2</v>
      </c>
      <c r="C49" s="121"/>
      <c r="D49" s="277">
        <v>0</v>
      </c>
      <c r="E49" s="120"/>
      <c r="F49" s="121"/>
      <c r="G49" s="120">
        <v>0</v>
      </c>
      <c r="H49" s="120"/>
      <c r="I49" s="277">
        <v>0</v>
      </c>
      <c r="J49" s="121"/>
      <c r="K49" s="120">
        <v>0</v>
      </c>
      <c r="L49" s="120"/>
      <c r="M49" s="277">
        <v>0</v>
      </c>
      <c r="N49" s="121"/>
      <c r="O49" s="120">
        <v>0</v>
      </c>
      <c r="P49" s="120"/>
      <c r="Q49" s="277">
        <v>0</v>
      </c>
      <c r="R49" s="121"/>
      <c r="S49" s="120">
        <v>0</v>
      </c>
      <c r="T49" s="120"/>
      <c r="U49" s="277">
        <v>0</v>
      </c>
      <c r="V49" s="121"/>
      <c r="W49" s="120">
        <v>0</v>
      </c>
      <c r="X49" s="120"/>
      <c r="Y49" s="277">
        <v>0</v>
      </c>
      <c r="Z49" s="121"/>
      <c r="AA49" s="120">
        <v>0</v>
      </c>
      <c r="AB49" s="120"/>
      <c r="AC49" s="277">
        <v>0</v>
      </c>
      <c r="AD49" s="121"/>
    </row>
    <row r="50" spans="1:30" x14ac:dyDescent="0.35">
      <c r="A50" s="59" t="s">
        <v>1937</v>
      </c>
      <c r="B50" s="277">
        <v>0.19419736000000001</v>
      </c>
      <c r="C50" s="121"/>
      <c r="D50" s="277">
        <v>0</v>
      </c>
      <c r="E50" s="120"/>
      <c r="F50" s="121"/>
      <c r="G50" s="120">
        <v>0</v>
      </c>
      <c r="H50" s="120"/>
      <c r="I50" s="277">
        <v>0.3033536</v>
      </c>
      <c r="J50" s="121"/>
      <c r="K50" s="120">
        <v>3.6999936000000004E-2</v>
      </c>
      <c r="L50" s="120"/>
      <c r="M50" s="277">
        <v>0</v>
      </c>
      <c r="N50" s="121"/>
      <c r="O50" s="120">
        <v>0.62964799999999999</v>
      </c>
      <c r="P50" s="120"/>
      <c r="Q50" s="277">
        <v>0</v>
      </c>
      <c r="R50" s="121"/>
      <c r="S50" s="120">
        <v>0</v>
      </c>
      <c r="T50" s="120"/>
      <c r="U50" s="277">
        <v>0</v>
      </c>
      <c r="V50" s="121"/>
      <c r="W50" s="120">
        <v>0</v>
      </c>
      <c r="X50" s="120"/>
      <c r="Y50" s="277">
        <v>1.1896284400000001</v>
      </c>
      <c r="Z50" s="121"/>
      <c r="AA50" s="120">
        <v>2.1567445000000003</v>
      </c>
      <c r="AB50" s="120"/>
      <c r="AC50" s="277">
        <v>0</v>
      </c>
      <c r="AD50" s="121"/>
    </row>
    <row r="51" spans="1:30" x14ac:dyDescent="0.35">
      <c r="A51" s="59" t="s">
        <v>1535</v>
      </c>
      <c r="B51" s="277">
        <v>0</v>
      </c>
      <c r="C51" s="121"/>
      <c r="D51" s="277">
        <v>15.414164275999999</v>
      </c>
      <c r="E51" s="120"/>
      <c r="F51" s="121"/>
      <c r="G51" s="120">
        <v>0</v>
      </c>
      <c r="H51" s="120"/>
      <c r="I51" s="277">
        <v>0</v>
      </c>
      <c r="J51" s="121"/>
      <c r="K51" s="120">
        <v>0</v>
      </c>
      <c r="L51" s="120"/>
      <c r="M51" s="277">
        <v>0</v>
      </c>
      <c r="N51" s="121"/>
      <c r="O51" s="120">
        <v>0</v>
      </c>
      <c r="P51" s="120"/>
      <c r="Q51" s="277">
        <v>0</v>
      </c>
      <c r="R51" s="121"/>
      <c r="S51" s="120">
        <v>0</v>
      </c>
      <c r="T51" s="120"/>
      <c r="U51" s="277">
        <v>0</v>
      </c>
      <c r="V51" s="121"/>
      <c r="W51" s="120">
        <v>0</v>
      </c>
      <c r="X51" s="120"/>
      <c r="Y51" s="277">
        <v>0</v>
      </c>
      <c r="Z51" s="121"/>
      <c r="AA51" s="120">
        <v>0</v>
      </c>
      <c r="AB51" s="120"/>
      <c r="AC51" s="277">
        <v>0</v>
      </c>
      <c r="AD51" s="121"/>
    </row>
    <row r="52" spans="1:30" x14ac:dyDescent="0.35">
      <c r="A52" s="59" t="s">
        <v>1664</v>
      </c>
      <c r="B52" s="277">
        <v>1.38630352</v>
      </c>
      <c r="C52" s="121"/>
      <c r="D52" s="277">
        <v>0.1692357239999997</v>
      </c>
      <c r="E52" s="120"/>
      <c r="F52" s="121"/>
      <c r="G52" s="120">
        <v>6.0299999999999999E-2</v>
      </c>
      <c r="H52" s="120"/>
      <c r="I52" s="277">
        <v>0.34943488</v>
      </c>
      <c r="J52" s="121"/>
      <c r="K52" s="120">
        <v>0.65420006400000008</v>
      </c>
      <c r="L52" s="120"/>
      <c r="M52" s="277">
        <v>-4.0800000000000003E-2</v>
      </c>
      <c r="N52" s="121"/>
      <c r="O52" s="120">
        <v>0.70435200000000009</v>
      </c>
      <c r="P52" s="120"/>
      <c r="Q52" s="277">
        <v>4.1799999999999997E-2</v>
      </c>
      <c r="R52" s="121"/>
      <c r="S52" s="120">
        <v>1.3998999999999999</v>
      </c>
      <c r="T52" s="120"/>
      <c r="U52" s="277">
        <v>0.69569999999999999</v>
      </c>
      <c r="V52" s="121"/>
      <c r="W52" s="120">
        <v>0.85990521327014202</v>
      </c>
      <c r="X52" s="120"/>
      <c r="Y52" s="277">
        <v>4.9934715600000006</v>
      </c>
      <c r="Z52" s="121"/>
      <c r="AA52" s="120">
        <v>1.0767555</v>
      </c>
      <c r="AB52" s="120"/>
      <c r="AC52" s="277">
        <v>0.54</v>
      </c>
      <c r="AD52" s="121"/>
    </row>
    <row r="53" spans="1:30" x14ac:dyDescent="0.35">
      <c r="A53" s="61" t="s">
        <v>2017</v>
      </c>
      <c r="B53" s="237"/>
      <c r="C53" s="156"/>
      <c r="D53" s="237"/>
      <c r="E53" s="157"/>
      <c r="F53" s="156"/>
      <c r="G53" s="513">
        <v>9.1999999999999998E-3</v>
      </c>
      <c r="H53" s="157"/>
      <c r="I53" s="512">
        <v>4.2900000000000001E-2</v>
      </c>
      <c r="J53" s="156"/>
      <c r="K53" s="157"/>
      <c r="L53" s="157"/>
      <c r="M53" s="237"/>
      <c r="N53" s="156"/>
      <c r="O53" s="157"/>
      <c r="P53" s="157"/>
      <c r="Q53" s="237"/>
      <c r="R53" s="156"/>
      <c r="S53" s="157"/>
      <c r="T53" s="157"/>
      <c r="U53" s="237"/>
      <c r="V53" s="156"/>
      <c r="W53" s="157"/>
      <c r="X53" s="157"/>
      <c r="Y53" s="237"/>
      <c r="Z53" s="156"/>
      <c r="AA53" s="157"/>
      <c r="AB53" s="157"/>
      <c r="AC53" s="237"/>
      <c r="AD53" s="156"/>
    </row>
    <row r="54" spans="1:30" x14ac:dyDescent="0.35">
      <c r="A54" s="59" t="s">
        <v>2016</v>
      </c>
      <c r="B54" s="232"/>
      <c r="C54" s="144"/>
      <c r="D54" s="232"/>
      <c r="E54" s="145"/>
      <c r="F54" s="144"/>
      <c r="G54" s="145"/>
      <c r="H54" s="145"/>
      <c r="I54" s="232"/>
      <c r="J54" s="144"/>
      <c r="K54" s="42">
        <v>6.2799999999999995E-2</v>
      </c>
      <c r="L54" s="145"/>
      <c r="M54" s="232"/>
      <c r="N54" s="144"/>
      <c r="O54" s="145"/>
      <c r="P54" s="145"/>
      <c r="Q54" s="232"/>
      <c r="R54" s="144"/>
      <c r="S54" s="145"/>
      <c r="T54" s="145"/>
      <c r="U54" s="232"/>
      <c r="V54" s="144"/>
      <c r="W54" s="145"/>
      <c r="X54" s="145"/>
      <c r="Y54" s="232"/>
      <c r="Z54" s="144"/>
      <c r="AA54" s="145"/>
      <c r="AB54" s="145"/>
      <c r="AC54" s="232"/>
      <c r="AD54" s="144"/>
    </row>
    <row r="55" spans="1:30" x14ac:dyDescent="0.35">
      <c r="A55" s="59" t="s">
        <v>2015</v>
      </c>
      <c r="B55" s="232"/>
      <c r="C55" s="144"/>
      <c r="D55" s="232"/>
      <c r="E55" s="145"/>
      <c r="F55" s="144"/>
      <c r="G55" s="42">
        <v>2.3999999999999998E-3</v>
      </c>
      <c r="H55" s="145"/>
      <c r="I55" s="511">
        <v>1.1439999999999999</v>
      </c>
      <c r="J55" s="144"/>
      <c r="K55" s="145"/>
      <c r="L55" s="145"/>
      <c r="M55" s="232"/>
      <c r="N55" s="144"/>
      <c r="O55" s="145"/>
      <c r="P55" s="145"/>
      <c r="Q55" s="232"/>
      <c r="R55" s="144"/>
      <c r="S55" s="145"/>
      <c r="T55" s="145"/>
      <c r="U55" s="232"/>
      <c r="V55" s="144"/>
      <c r="W55" s="145"/>
      <c r="X55" s="145"/>
      <c r="Y55" s="232"/>
      <c r="Z55" s="144"/>
      <c r="AA55" s="145"/>
      <c r="AB55" s="145"/>
      <c r="AC55" s="232"/>
      <c r="AD55" s="144"/>
    </row>
    <row r="56" spans="1:30" x14ac:dyDescent="0.35">
      <c r="A56" s="59" t="s">
        <v>2014</v>
      </c>
      <c r="B56" s="232"/>
      <c r="C56" s="144"/>
      <c r="D56" s="232"/>
      <c r="E56" s="42">
        <v>-11.1896</v>
      </c>
      <c r="F56" s="144">
        <v>-0.96460000000000079</v>
      </c>
      <c r="G56" s="42">
        <v>0.154</v>
      </c>
      <c r="H56" s="145"/>
      <c r="I56" s="511">
        <v>10.071</v>
      </c>
      <c r="J56" s="144"/>
      <c r="K56" s="145"/>
      <c r="L56" s="145"/>
      <c r="M56" s="232"/>
      <c r="N56" s="144"/>
      <c r="O56" s="145"/>
      <c r="P56" s="145"/>
      <c r="Q56" s="232"/>
      <c r="R56" s="144"/>
      <c r="S56" s="145"/>
      <c r="T56" s="145"/>
      <c r="U56" s="232"/>
      <c r="V56" s="144"/>
      <c r="W56" s="145"/>
      <c r="X56" s="145"/>
      <c r="Y56" s="511">
        <v>0.17019999999999999</v>
      </c>
      <c r="Z56" s="144"/>
      <c r="AA56" s="145"/>
      <c r="AB56" s="145"/>
      <c r="AC56" s="232"/>
      <c r="AD56" s="144"/>
    </row>
    <row r="57" spans="1:30" x14ac:dyDescent="0.35">
      <c r="A57" s="59" t="s">
        <v>2013</v>
      </c>
      <c r="B57" s="232"/>
      <c r="C57" s="144"/>
      <c r="D57" s="232"/>
      <c r="E57" s="42">
        <v>-0.72170000000000001</v>
      </c>
      <c r="F57" s="144">
        <v>-0.69320000000000004</v>
      </c>
      <c r="G57" s="145"/>
      <c r="H57" s="145"/>
      <c r="I57" s="511">
        <v>2.8500000000000001E-2</v>
      </c>
      <c r="J57" s="144"/>
      <c r="K57" s="145"/>
      <c r="L57" s="145"/>
      <c r="M57" s="232"/>
      <c r="N57" s="144"/>
      <c r="O57" s="145"/>
      <c r="P57" s="145"/>
      <c r="Q57" s="232"/>
      <c r="R57" s="144"/>
      <c r="S57" s="145"/>
      <c r="T57" s="145"/>
      <c r="U57" s="232"/>
      <c r="V57" s="144"/>
      <c r="W57" s="145"/>
      <c r="X57" s="145"/>
      <c r="Y57" s="232"/>
      <c r="Z57" s="144"/>
      <c r="AA57" s="145"/>
      <c r="AB57" s="145"/>
      <c r="AC57" s="232"/>
      <c r="AD57" s="144"/>
    </row>
    <row r="58" spans="1:30" x14ac:dyDescent="0.35">
      <c r="A58" s="59" t="s">
        <v>2012</v>
      </c>
      <c r="B58" s="232"/>
      <c r="C58" s="144"/>
      <c r="D58" s="232"/>
      <c r="E58" s="42">
        <v>-0.26629999999999998</v>
      </c>
      <c r="F58" s="144">
        <v>-0.26629999999999998</v>
      </c>
      <c r="G58" s="145"/>
      <c r="H58" s="145"/>
      <c r="I58" s="232"/>
      <c r="J58" s="144"/>
      <c r="K58" s="145"/>
      <c r="L58" s="145"/>
      <c r="M58" s="232"/>
      <c r="N58" s="144"/>
      <c r="O58" s="145"/>
      <c r="P58" s="145"/>
      <c r="Q58" s="232"/>
      <c r="R58" s="144"/>
      <c r="S58" s="145"/>
      <c r="T58" s="145"/>
      <c r="U58" s="232"/>
      <c r="V58" s="144"/>
      <c r="W58" s="145"/>
      <c r="X58" s="145"/>
      <c r="Y58" s="232"/>
      <c r="Z58" s="144"/>
      <c r="AA58" s="145"/>
      <c r="AB58" s="145"/>
      <c r="AC58" s="232"/>
      <c r="AD58" s="144"/>
    </row>
    <row r="59" spans="1:30" x14ac:dyDescent="0.35">
      <c r="A59" s="59" t="s">
        <v>2011</v>
      </c>
      <c r="B59" s="232"/>
      <c r="C59" s="144"/>
      <c r="D59" s="511">
        <v>0.3614</v>
      </c>
      <c r="E59" s="507"/>
      <c r="F59" s="144"/>
      <c r="G59" s="145"/>
      <c r="H59" s="145"/>
      <c r="I59" s="511">
        <v>2.4455</v>
      </c>
      <c r="J59" s="321">
        <v>-3.9367000000000001</v>
      </c>
      <c r="K59" s="42">
        <v>0.33489999999999998</v>
      </c>
      <c r="L59" s="145"/>
      <c r="M59" s="511">
        <v>0.60340000000000005</v>
      </c>
      <c r="N59" s="144"/>
      <c r="O59" s="42">
        <v>3.15E-2</v>
      </c>
      <c r="P59" s="145"/>
      <c r="Q59" s="511">
        <v>3.15E-2</v>
      </c>
      <c r="R59" s="144"/>
      <c r="S59" s="42">
        <v>0.2467</v>
      </c>
      <c r="T59" s="145"/>
      <c r="U59" s="511">
        <v>0.1759</v>
      </c>
      <c r="V59" s="144"/>
      <c r="W59" s="145"/>
      <c r="X59" s="145"/>
      <c r="Y59" s="232"/>
      <c r="Z59" s="144"/>
      <c r="AA59" s="145"/>
      <c r="AB59" s="145"/>
      <c r="AC59" s="232"/>
      <c r="AD59" s="144"/>
    </row>
    <row r="60" spans="1:30" x14ac:dyDescent="0.35">
      <c r="A60" s="57" t="s">
        <v>2010</v>
      </c>
      <c r="B60" s="231"/>
      <c r="C60" s="141"/>
      <c r="D60" s="510">
        <v>1.282</v>
      </c>
      <c r="E60" s="320">
        <v>-3.1434000000000002</v>
      </c>
      <c r="F60" s="141"/>
      <c r="G60" s="320">
        <v>2.46E-2</v>
      </c>
      <c r="H60" s="142"/>
      <c r="I60" s="510">
        <v>0.5504</v>
      </c>
      <c r="J60" s="141"/>
      <c r="K60" s="320">
        <v>5.8900000000000001E-2</v>
      </c>
      <c r="L60" s="142"/>
      <c r="M60" s="510">
        <v>1.7600000000000001E-2</v>
      </c>
      <c r="N60" s="141"/>
      <c r="O60" s="320">
        <v>1.2934000000000001</v>
      </c>
      <c r="P60" s="142"/>
      <c r="Q60" s="510">
        <v>8.9999999999999998E-4</v>
      </c>
      <c r="R60" s="141"/>
      <c r="S60" s="320">
        <v>0.34250000000000003</v>
      </c>
      <c r="T60" s="142"/>
      <c r="U60" s="510">
        <v>1.117</v>
      </c>
      <c r="V60" s="141"/>
      <c r="W60" s="142"/>
      <c r="X60" s="142"/>
      <c r="Y60" s="231"/>
      <c r="Z60" s="141"/>
      <c r="AA60" s="142"/>
      <c r="AB60" s="142"/>
      <c r="AC60" s="231"/>
      <c r="AD60" s="141"/>
    </row>
    <row r="61" spans="1:30" x14ac:dyDescent="0.35">
      <c r="A61" s="59" t="s">
        <v>1537</v>
      </c>
      <c r="B61" s="237">
        <v>3.3349136707127087</v>
      </c>
      <c r="C61" s="156"/>
      <c r="D61" s="145">
        <v>17.743606491435262</v>
      </c>
      <c r="E61" s="145">
        <v>-15.321</v>
      </c>
      <c r="F61" s="144">
        <v>-2.2452365540336614</v>
      </c>
      <c r="G61" s="237">
        <v>0.31257225814680062</v>
      </c>
      <c r="H61" s="156"/>
      <c r="I61" s="145">
        <v>19.266396258164615</v>
      </c>
      <c r="J61" s="144">
        <v>-3.9367000000000001</v>
      </c>
      <c r="K61" s="145">
        <v>2.0597007995125343</v>
      </c>
      <c r="L61" s="145"/>
      <c r="M61" s="237">
        <v>0.53643989739024545</v>
      </c>
      <c r="N61" s="156"/>
      <c r="O61" s="145">
        <v>3.4786380064153217</v>
      </c>
      <c r="P61" s="145"/>
      <c r="Q61" s="237">
        <v>0.1190326541443073</v>
      </c>
      <c r="R61" s="156"/>
      <c r="S61" s="145">
        <v>3.4905648932204736</v>
      </c>
      <c r="T61" s="145"/>
      <c r="U61" s="237">
        <v>2.7347741025883874</v>
      </c>
      <c r="V61" s="156"/>
      <c r="W61" s="145">
        <v>1.7821978693329914</v>
      </c>
      <c r="X61" s="145"/>
      <c r="Y61" s="237">
        <v>11.830511220314971</v>
      </c>
      <c r="Z61" s="156"/>
      <c r="AA61" s="157">
        <v>4.6085695368888846</v>
      </c>
      <c r="AB61" s="156"/>
      <c r="AC61" s="145">
        <v>1.1191778286585157</v>
      </c>
      <c r="AD61" s="144"/>
    </row>
    <row r="62" spans="1:30" x14ac:dyDescent="0.35">
      <c r="A62" s="59" t="s">
        <v>1536</v>
      </c>
      <c r="B62" s="232">
        <v>2.7825614617302943</v>
      </c>
      <c r="C62" s="144"/>
      <c r="D62" s="145">
        <v>17.664598447423003</v>
      </c>
      <c r="E62" s="145">
        <v>-15.321</v>
      </c>
      <c r="F62" s="144">
        <v>-2.234963013781242</v>
      </c>
      <c r="G62" s="232">
        <v>0.28727046708785725</v>
      </c>
      <c r="H62" s="144"/>
      <c r="I62" s="145">
        <v>18.489556629068147</v>
      </c>
      <c r="J62" s="144">
        <v>-3.9367000000000001</v>
      </c>
      <c r="K62" s="145">
        <v>1.7945211060196067</v>
      </c>
      <c r="L62" s="145"/>
      <c r="M62" s="232">
        <v>0.55265867928572887</v>
      </c>
      <c r="N62" s="144"/>
      <c r="O62" s="145">
        <v>3.1981999757448802</v>
      </c>
      <c r="P62" s="145"/>
      <c r="Q62" s="232">
        <v>0.10241635308471894</v>
      </c>
      <c r="R62" s="144"/>
      <c r="S62" s="145">
        <v>2.9340778153899056</v>
      </c>
      <c r="T62" s="145"/>
      <c r="U62" s="232">
        <v>2.4582200201205495</v>
      </c>
      <c r="V62" s="144"/>
      <c r="W62" s="145">
        <v>1.4403690677443257</v>
      </c>
      <c r="X62" s="145"/>
      <c r="Y62" s="232">
        <v>9.8446705492615312</v>
      </c>
      <c r="Z62" s="144"/>
      <c r="AA62" s="145">
        <v>4.1790156518350514</v>
      </c>
      <c r="AB62" s="144"/>
      <c r="AC62" s="145">
        <v>0.90451748004182386</v>
      </c>
      <c r="AD62" s="144"/>
    </row>
    <row r="63" spans="1:30" x14ac:dyDescent="0.35">
      <c r="A63" s="59" t="s">
        <v>1535</v>
      </c>
      <c r="B63" s="232">
        <v>1.3336859791670315</v>
      </c>
      <c r="C63" s="144"/>
      <c r="D63" s="145">
        <v>17.258048238895103</v>
      </c>
      <c r="E63" s="145">
        <v>-15.321</v>
      </c>
      <c r="F63" s="144">
        <v>-2.4100635093662781E-2</v>
      </c>
      <c r="G63" s="232">
        <v>0.23972771025035872</v>
      </c>
      <c r="H63" s="144"/>
      <c r="I63" s="145">
        <v>14.97088173558096</v>
      </c>
      <c r="J63" s="144">
        <v>-3.9367000000000001</v>
      </c>
      <c r="K63" s="145">
        <v>1.2469337105800271</v>
      </c>
      <c r="L63" s="145"/>
      <c r="M63" s="232">
        <v>0.58183652448128964</v>
      </c>
      <c r="N63" s="144"/>
      <c r="O63" s="145">
        <v>2.0020725397773331</v>
      </c>
      <c r="P63" s="145"/>
      <c r="Q63" s="232">
        <v>7.2523364624561049E-2</v>
      </c>
      <c r="R63" s="144"/>
      <c r="S63" s="145">
        <v>1.9329487592804551</v>
      </c>
      <c r="T63" s="145"/>
      <c r="U63" s="232">
        <v>1.9606948509403617</v>
      </c>
      <c r="V63" s="144"/>
      <c r="W63" s="145">
        <v>0.82541364628226888</v>
      </c>
      <c r="X63" s="145"/>
      <c r="Y63" s="232">
        <v>4.9654057151162716</v>
      </c>
      <c r="Z63" s="144"/>
      <c r="AA63" s="145">
        <v>1.0372403094283242</v>
      </c>
      <c r="AB63" s="144"/>
      <c r="AC63" s="145">
        <v>0.51834011715940109</v>
      </c>
      <c r="AD63" s="144"/>
    </row>
    <row r="64" spans="1:30" x14ac:dyDescent="0.35">
      <c r="A64" s="59" t="s">
        <v>1534</v>
      </c>
      <c r="B64" s="232">
        <v>1.1786394329401166</v>
      </c>
      <c r="C64" s="144"/>
      <c r="D64" s="145">
        <v>0.16380698748236019</v>
      </c>
      <c r="E64" s="145">
        <v>0</v>
      </c>
      <c r="F64" s="144">
        <v>-0.18015126640242674</v>
      </c>
      <c r="G64" s="232">
        <v>4.4090925245261307E-2</v>
      </c>
      <c r="H64" s="144"/>
      <c r="I64" s="145">
        <v>2.0155793982177084</v>
      </c>
      <c r="J64" s="144">
        <v>0</v>
      </c>
      <c r="K64" s="145">
        <v>0.51200539204905493</v>
      </c>
      <c r="L64" s="145"/>
      <c r="M64" s="232">
        <v>-2.7847024795670715E-2</v>
      </c>
      <c r="N64" s="144"/>
      <c r="O64" s="145">
        <v>1.1705971643678104</v>
      </c>
      <c r="P64" s="145"/>
      <c r="Q64" s="232">
        <v>2.8529549913211709E-2</v>
      </c>
      <c r="R64" s="144"/>
      <c r="S64" s="145">
        <v>0.95546691204557588</v>
      </c>
      <c r="T64" s="145"/>
      <c r="U64" s="232">
        <v>0.47483272427323908</v>
      </c>
      <c r="V64" s="144"/>
      <c r="W64" s="145">
        <v>0.58690690676127955</v>
      </c>
      <c r="X64" s="145"/>
      <c r="Y64" s="232">
        <v>4.7115585821136925</v>
      </c>
      <c r="Z64" s="144"/>
      <c r="AA64" s="145">
        <v>3.0978997813893412</v>
      </c>
      <c r="AB64" s="144"/>
      <c r="AC64" s="145">
        <v>0.36856356347211322</v>
      </c>
      <c r="AD64" s="144"/>
    </row>
    <row r="65" spans="1:30" x14ac:dyDescent="0.35">
      <c r="A65" s="59" t="s">
        <v>1533</v>
      </c>
      <c r="B65" s="232">
        <v>0.27023604962314624</v>
      </c>
      <c r="C65" s="144"/>
      <c r="D65" s="145">
        <v>0.24274322104553983</v>
      </c>
      <c r="E65" s="145">
        <v>0</v>
      </c>
      <c r="F65" s="144">
        <v>-2.0307111122851524</v>
      </c>
      <c r="G65" s="232">
        <v>3.4518315922372296E-3</v>
      </c>
      <c r="H65" s="144"/>
      <c r="I65" s="145">
        <v>1.5030954952694788</v>
      </c>
      <c r="J65" s="144">
        <v>0</v>
      </c>
      <c r="K65" s="145">
        <v>3.5582003390524669E-2</v>
      </c>
      <c r="L65" s="145"/>
      <c r="M65" s="232">
        <v>-1.3308203998900546E-3</v>
      </c>
      <c r="N65" s="144"/>
      <c r="O65" s="145">
        <v>2.5530271599736833E-2</v>
      </c>
      <c r="P65" s="145"/>
      <c r="Q65" s="232">
        <v>1.363438546946183E-3</v>
      </c>
      <c r="R65" s="144"/>
      <c r="S65" s="145">
        <v>4.5662144063874685E-2</v>
      </c>
      <c r="T65" s="145"/>
      <c r="U65" s="232">
        <v>2.2692444906948796E-2</v>
      </c>
      <c r="V65" s="144"/>
      <c r="W65" s="145">
        <v>2.804851470077728E-2</v>
      </c>
      <c r="X65" s="145"/>
      <c r="Y65" s="232">
        <v>0.167706252031567</v>
      </c>
      <c r="Z65" s="144"/>
      <c r="AA65" s="145">
        <v>4.387556101738558E-2</v>
      </c>
      <c r="AB65" s="144"/>
      <c r="AC65" s="145">
        <v>1.7613799410309543E-2</v>
      </c>
      <c r="AD65" s="144"/>
    </row>
    <row r="66" spans="1:30" x14ac:dyDescent="0.35">
      <c r="A66" s="59" t="s">
        <v>1532</v>
      </c>
      <c r="B66" s="509">
        <v>281.58876305388083</v>
      </c>
      <c r="C66" s="211"/>
      <c r="D66" s="210">
        <v>93.942028759328579</v>
      </c>
      <c r="E66" s="210">
        <v>0</v>
      </c>
      <c r="F66" s="210">
        <v>-41.260583687928822</v>
      </c>
      <c r="G66" s="509">
        <v>195.7161001035229</v>
      </c>
      <c r="H66" s="211"/>
      <c r="I66" s="210">
        <v>1269.864817043979</v>
      </c>
      <c r="J66" s="211">
        <v>0</v>
      </c>
      <c r="K66" s="210">
        <v>2540.2408578471895</v>
      </c>
      <c r="L66" s="210"/>
      <c r="M66" s="509">
        <v>-8.1346500797517418</v>
      </c>
      <c r="N66" s="211"/>
      <c r="O66" s="210">
        <v>142.4523111127356</v>
      </c>
      <c r="P66" s="210"/>
      <c r="Q66" s="509">
        <v>8.3340287581770287</v>
      </c>
      <c r="R66" s="211"/>
      <c r="S66" s="210">
        <v>279.11021192756033</v>
      </c>
      <c r="T66" s="210"/>
      <c r="U66" s="509">
        <v>138.7077465804727</v>
      </c>
      <c r="V66" s="211"/>
      <c r="W66" s="210">
        <v>171.44676499281616</v>
      </c>
      <c r="X66" s="210"/>
      <c r="Y66" s="509">
        <v>999.40738827027167</v>
      </c>
      <c r="Z66" s="211"/>
      <c r="AA66" s="210">
        <v>221.59965558754763</v>
      </c>
      <c r="AB66" s="211"/>
      <c r="AC66" s="210">
        <v>107.66448634965541</v>
      </c>
      <c r="AD66" s="211"/>
    </row>
    <row r="67" spans="1:30" ht="13.15" x14ac:dyDescent="0.4">
      <c r="A67" s="131" t="s">
        <v>1929</v>
      </c>
      <c r="B67" s="237"/>
      <c r="C67" s="156"/>
      <c r="D67" s="157"/>
      <c r="E67" s="157"/>
      <c r="F67" s="156"/>
      <c r="G67" s="237"/>
      <c r="H67" s="156"/>
      <c r="I67" s="157"/>
      <c r="J67" s="156"/>
      <c r="K67" s="157"/>
      <c r="L67" s="157"/>
      <c r="M67" s="237"/>
      <c r="N67" s="156"/>
      <c r="O67" s="157"/>
      <c r="P67" s="157"/>
      <c r="Q67" s="237"/>
      <c r="R67" s="156"/>
      <c r="S67" s="157"/>
      <c r="T67" s="157"/>
      <c r="U67" s="237"/>
      <c r="V67" s="156"/>
      <c r="W67" s="157"/>
      <c r="X67" s="157"/>
      <c r="Y67" s="237"/>
      <c r="Z67" s="156"/>
      <c r="AA67" s="157"/>
      <c r="AB67" s="156"/>
      <c r="AC67" s="157"/>
      <c r="AD67" s="156"/>
    </row>
    <row r="68" spans="1:30" x14ac:dyDescent="0.35">
      <c r="A68" s="59" t="s">
        <v>1525</v>
      </c>
      <c r="B68" s="232">
        <v>27.284757276909438</v>
      </c>
      <c r="C68" s="144"/>
      <c r="D68" s="145">
        <v>120.09903561313561</v>
      </c>
      <c r="E68" s="42">
        <v>1472.3507</v>
      </c>
      <c r="F68" s="144">
        <v>-11.795175597914366</v>
      </c>
      <c r="G68" s="232">
        <v>1.045752819959215</v>
      </c>
      <c r="H68" s="321">
        <v>47.2226</v>
      </c>
      <c r="I68" s="145">
        <v>50.717288108657257</v>
      </c>
      <c r="J68" s="321">
        <v>1137.4096999999999</v>
      </c>
      <c r="K68" s="145">
        <v>16.561759363894009</v>
      </c>
      <c r="L68" s="42">
        <v>0.47249999999999998</v>
      </c>
      <c r="M68" s="232">
        <v>0.15579039573054926</v>
      </c>
      <c r="N68" s="144"/>
      <c r="O68" s="145">
        <v>20.345293418686595</v>
      </c>
      <c r="P68" s="145"/>
      <c r="Q68" s="232">
        <v>0.66948074162899607</v>
      </c>
      <c r="R68" s="144"/>
      <c r="S68" s="145">
        <v>21.80629478962755</v>
      </c>
      <c r="T68" s="145"/>
      <c r="U68" s="232">
        <v>12.077055061035709</v>
      </c>
      <c r="V68" s="144"/>
      <c r="W68" s="145">
        <v>12.945991101971138</v>
      </c>
      <c r="X68" s="145"/>
      <c r="Y68" s="232">
        <v>90.477964287066442</v>
      </c>
      <c r="Z68" s="321">
        <v>174.51499999999999</v>
      </c>
      <c r="AA68" s="145">
        <v>43.949957551915276</v>
      </c>
      <c r="AB68" s="144"/>
      <c r="AC68" s="145">
        <v>8.1297741741544964</v>
      </c>
      <c r="AD68" s="144"/>
    </row>
    <row r="69" spans="1:30" x14ac:dyDescent="0.35">
      <c r="A69" s="59" t="s">
        <v>1524</v>
      </c>
      <c r="B69" s="232">
        <v>85.916364424813366</v>
      </c>
      <c r="C69" s="144"/>
      <c r="D69" s="145">
        <v>77.373629732274907</v>
      </c>
      <c r="E69" s="42">
        <v>326.8802</v>
      </c>
      <c r="F69" s="144">
        <v>-23.370370491251954</v>
      </c>
      <c r="G69" s="232">
        <v>3.2577404820599276</v>
      </c>
      <c r="H69" s="321">
        <v>3104.9686000000002</v>
      </c>
      <c r="I69" s="145">
        <v>221.27324919999387</v>
      </c>
      <c r="J69" s="321">
        <v>14731.2899</v>
      </c>
      <c r="K69" s="145">
        <v>63.1622554573907</v>
      </c>
      <c r="L69" s="42">
        <v>1645.2414000000001</v>
      </c>
      <c r="M69" s="232">
        <v>8.225717806527495</v>
      </c>
      <c r="N69" s="144"/>
      <c r="O69" s="145">
        <v>84.946119785614528</v>
      </c>
      <c r="P69" s="145"/>
      <c r="Q69" s="232">
        <v>2.2759498393909494</v>
      </c>
      <c r="R69" s="144"/>
      <c r="S69" s="145">
        <v>68.284333841229426</v>
      </c>
      <c r="T69" s="145"/>
      <c r="U69" s="232">
        <v>49.944281425461327</v>
      </c>
      <c r="V69" s="144"/>
      <c r="W69" s="145">
        <v>36.15079861347126</v>
      </c>
      <c r="X69" s="145"/>
      <c r="Y69" s="232">
        <v>274.40360489764078</v>
      </c>
      <c r="Z69" s="321">
        <v>3009.5250000000001</v>
      </c>
      <c r="AA69" s="145">
        <v>162.15915728966348</v>
      </c>
      <c r="AB69" s="144"/>
      <c r="AC69" s="145">
        <v>22.701840795959637</v>
      </c>
      <c r="AD69" s="144"/>
    </row>
    <row r="70" spans="1:30" x14ac:dyDescent="0.35">
      <c r="A70" s="59" t="s">
        <v>1523</v>
      </c>
      <c r="B70" s="232">
        <v>190.49487257215799</v>
      </c>
      <c r="C70" s="144"/>
      <c r="D70" s="145">
        <v>457.20912388524619</v>
      </c>
      <c r="E70" s="42">
        <v>175.11439999999999</v>
      </c>
      <c r="F70" s="144">
        <v>-51.312975742594965</v>
      </c>
      <c r="G70" s="232">
        <v>10.065657600583105</v>
      </c>
      <c r="H70" s="321">
        <v>17.163900000000002</v>
      </c>
      <c r="I70" s="145">
        <v>816.36944985296259</v>
      </c>
      <c r="J70" s="321">
        <v>12.2302</v>
      </c>
      <c r="K70" s="145">
        <v>141.55857524595265</v>
      </c>
      <c r="L70" s="42">
        <v>75.604900000000001</v>
      </c>
      <c r="M70" s="232">
        <v>75.864798616080208</v>
      </c>
      <c r="N70" s="144"/>
      <c r="O70" s="145">
        <v>312.51983523179319</v>
      </c>
      <c r="P70" s="145"/>
      <c r="Q70" s="232">
        <v>8.1054760972511666</v>
      </c>
      <c r="R70" s="144"/>
      <c r="S70" s="145">
        <v>215.03102393258155</v>
      </c>
      <c r="T70" s="145"/>
      <c r="U70" s="232">
        <v>255.59210718463245</v>
      </c>
      <c r="V70" s="144"/>
      <c r="W70" s="145">
        <v>81.19165976703006</v>
      </c>
      <c r="X70" s="145"/>
      <c r="Y70" s="232">
        <v>562.38604730454824</v>
      </c>
      <c r="Z70" s="321">
        <v>65.352999999999994</v>
      </c>
      <c r="AA70" s="145">
        <v>266.47493313795775</v>
      </c>
      <c r="AB70" s="144"/>
      <c r="AC70" s="145">
        <v>50.986429198938531</v>
      </c>
      <c r="AD70" s="144"/>
    </row>
    <row r="71" spans="1:30" x14ac:dyDescent="0.35">
      <c r="A71" s="59" t="s">
        <v>1522</v>
      </c>
      <c r="B71" s="232">
        <v>31.963131392540465</v>
      </c>
      <c r="C71" s="144"/>
      <c r="D71" s="145">
        <v>142.41687093337464</v>
      </c>
      <c r="E71" s="42">
        <v>660.43140000000005</v>
      </c>
      <c r="F71" s="144">
        <v>-3.5278064187149596</v>
      </c>
      <c r="G71" s="232">
        <v>1.1963057350930768</v>
      </c>
      <c r="H71" s="321">
        <v>284.90800000000002</v>
      </c>
      <c r="I71" s="145">
        <v>91.683632535169551</v>
      </c>
      <c r="J71" s="321">
        <v>6.3930999999999996</v>
      </c>
      <c r="K71" s="145">
        <v>20.459220228153576</v>
      </c>
      <c r="L71" s="42">
        <v>218.75399999999999</v>
      </c>
      <c r="M71" s="232">
        <v>0.82568434348671427</v>
      </c>
      <c r="N71" s="144"/>
      <c r="O71" s="145">
        <v>17.763951787777494</v>
      </c>
      <c r="P71" s="145"/>
      <c r="Q71" s="232">
        <v>0.79219873632978799</v>
      </c>
      <c r="R71" s="144"/>
      <c r="S71" s="145">
        <v>25.316146435121293</v>
      </c>
      <c r="T71" s="145"/>
      <c r="U71" s="232">
        <v>15.031432628340514</v>
      </c>
      <c r="V71" s="144"/>
      <c r="W71" s="145">
        <v>14.664032236521997</v>
      </c>
      <c r="X71" s="145"/>
      <c r="Y71" s="232">
        <v>89.889880182800511</v>
      </c>
      <c r="Z71" s="321">
        <v>582.23900000000003</v>
      </c>
      <c r="AA71" s="145">
        <v>26.947816567247131</v>
      </c>
      <c r="AB71" s="144"/>
      <c r="AC71" s="145">
        <v>9.2086631009111368</v>
      </c>
      <c r="AD71" s="144"/>
    </row>
    <row r="72" spans="1:30" s="506" customFormat="1" x14ac:dyDescent="0.35">
      <c r="A72" s="508" t="s">
        <v>1521</v>
      </c>
      <c r="B72" s="232">
        <v>14.99212310599156</v>
      </c>
      <c r="C72" s="144"/>
      <c r="D72" s="145">
        <v>27.59896170800728</v>
      </c>
      <c r="E72" s="507">
        <v>330.21570000000003</v>
      </c>
      <c r="F72" s="505">
        <v>-2.9007726765048183</v>
      </c>
      <c r="G72" s="232">
        <v>0.55194301369547549</v>
      </c>
      <c r="H72" s="505">
        <v>142.45400000000001</v>
      </c>
      <c r="I72" s="145">
        <v>46.827272677494534</v>
      </c>
      <c r="J72" s="505">
        <v>3.1965499999999998</v>
      </c>
      <c r="K72" s="145">
        <v>12.173011379407674</v>
      </c>
      <c r="L72" s="507">
        <v>109.377</v>
      </c>
      <c r="M72" s="232">
        <v>1.2186415462028115</v>
      </c>
      <c r="N72" s="144"/>
      <c r="O72" s="145">
        <v>10.947409869505986</v>
      </c>
      <c r="P72" s="145"/>
      <c r="Q72" s="232">
        <v>0.38961022962555109</v>
      </c>
      <c r="R72" s="144"/>
      <c r="S72" s="145">
        <v>11.833283982124616</v>
      </c>
      <c r="T72" s="145"/>
      <c r="U72" s="232">
        <v>8.3309344437917687</v>
      </c>
      <c r="V72" s="144"/>
      <c r="W72" s="145">
        <v>6.3820237265312123</v>
      </c>
      <c r="X72" s="145"/>
      <c r="Y72" s="232">
        <v>41.734429863643996</v>
      </c>
      <c r="Z72" s="505">
        <v>291.11950000000002</v>
      </c>
      <c r="AA72" s="145">
        <v>16.465202235756028</v>
      </c>
      <c r="AB72" s="144"/>
      <c r="AC72" s="145">
        <v>4.0077589473157325</v>
      </c>
      <c r="AD72" s="144"/>
    </row>
    <row r="73" spans="1:30" x14ac:dyDescent="0.35">
      <c r="A73" s="59" t="s">
        <v>1520</v>
      </c>
      <c r="B73" s="232">
        <v>486.48892966482873</v>
      </c>
      <c r="C73" s="144"/>
      <c r="D73" s="145">
        <v>1249.9298326817084</v>
      </c>
      <c r="E73" s="42">
        <v>1008.9924999999999</v>
      </c>
      <c r="F73" s="144">
        <v>-25.703376748051141</v>
      </c>
      <c r="G73" s="232">
        <v>33.376637865032748</v>
      </c>
      <c r="H73" s="321">
        <v>33.623600000000003</v>
      </c>
      <c r="I73" s="145">
        <v>3310.0606716102193</v>
      </c>
      <c r="J73" s="321">
        <v>1218.5737999999999</v>
      </c>
      <c r="K73" s="145">
        <v>446.83197290378405</v>
      </c>
      <c r="L73" s="145"/>
      <c r="M73" s="232">
        <v>411.29418526488951</v>
      </c>
      <c r="N73" s="144"/>
      <c r="O73" s="145">
        <v>1087.9030850505242</v>
      </c>
      <c r="P73" s="145"/>
      <c r="Q73" s="232">
        <v>32.722759123716152</v>
      </c>
      <c r="R73" s="144"/>
      <c r="S73" s="145">
        <v>759.1126578490489</v>
      </c>
      <c r="T73" s="145"/>
      <c r="U73" s="232">
        <v>1056.4680042729503</v>
      </c>
      <c r="V73" s="144"/>
      <c r="W73" s="145">
        <v>220.49172555738892</v>
      </c>
      <c r="X73" s="145"/>
      <c r="Y73" s="232">
        <v>1294.5351253552744</v>
      </c>
      <c r="Z73" s="321">
        <v>348.53100000000001</v>
      </c>
      <c r="AA73" s="145">
        <v>301.7288634666163</v>
      </c>
      <c r="AB73" s="144"/>
      <c r="AC73" s="145">
        <v>138.46355384705083</v>
      </c>
      <c r="AD73" s="144"/>
    </row>
    <row r="74" spans="1:30" x14ac:dyDescent="0.35">
      <c r="A74" s="59" t="s">
        <v>1519</v>
      </c>
      <c r="B74" s="232">
        <v>1.5361985660190043</v>
      </c>
      <c r="C74" s="144"/>
      <c r="D74" s="145">
        <v>2.1120179453796175</v>
      </c>
      <c r="E74" s="145"/>
      <c r="F74" s="144">
        <v>-0.51063892095427987</v>
      </c>
      <c r="G74" s="232">
        <v>4.8816858435341733E-2</v>
      </c>
      <c r="H74" s="144"/>
      <c r="I74" s="145">
        <v>4.5891970367520001</v>
      </c>
      <c r="J74" s="144"/>
      <c r="K74" s="145">
        <v>1.17453965998419</v>
      </c>
      <c r="L74" s="145"/>
      <c r="M74" s="232">
        <v>0.22861045960376494</v>
      </c>
      <c r="N74" s="144"/>
      <c r="O74" s="145">
        <v>1.3700708971813995</v>
      </c>
      <c r="P74" s="145"/>
      <c r="Q74" s="232">
        <v>3.6076215651044796E-2</v>
      </c>
      <c r="R74" s="144"/>
      <c r="S74" s="145">
        <v>1.0077444842080769</v>
      </c>
      <c r="T74" s="145"/>
      <c r="U74" s="232">
        <v>0.90509868477109734</v>
      </c>
      <c r="V74" s="144"/>
      <c r="W74" s="145">
        <v>0.47271161247710464</v>
      </c>
      <c r="X74" s="145"/>
      <c r="Y74" s="232">
        <v>3.59010799872269</v>
      </c>
      <c r="Z74" s="144"/>
      <c r="AA74" s="145">
        <v>2.1239957997266741</v>
      </c>
      <c r="AB74" s="144"/>
      <c r="AC74" s="145">
        <v>0.29685163759722943</v>
      </c>
      <c r="AD74" s="144"/>
    </row>
    <row r="75" spans="1:30" x14ac:dyDescent="0.35">
      <c r="A75" s="59" t="s">
        <v>1518</v>
      </c>
      <c r="B75" s="232">
        <v>2.4966844955722642</v>
      </c>
      <c r="C75" s="144"/>
      <c r="D75" s="145">
        <v>6.0720017073475505</v>
      </c>
      <c r="E75" s="145"/>
      <c r="F75" s="144">
        <v>-0.90926459379962876</v>
      </c>
      <c r="G75" s="232">
        <v>0.11115012450757791</v>
      </c>
      <c r="H75" s="144"/>
      <c r="I75" s="145">
        <v>7.6802703261039023</v>
      </c>
      <c r="J75" s="144"/>
      <c r="K75" s="145">
        <v>2.3149879349962408</v>
      </c>
      <c r="L75" s="145"/>
      <c r="M75" s="232">
        <v>0.59852643739656597</v>
      </c>
      <c r="N75" s="144"/>
      <c r="O75" s="145">
        <v>3.3385737492054952</v>
      </c>
      <c r="P75" s="145"/>
      <c r="Q75" s="232">
        <v>8.7919345804498672E-2</v>
      </c>
      <c r="R75" s="144"/>
      <c r="S75" s="145">
        <v>2.4244665471702795</v>
      </c>
      <c r="T75" s="145"/>
      <c r="U75" s="232">
        <v>2.2535658449806153</v>
      </c>
      <c r="V75" s="144"/>
      <c r="W75" s="145">
        <v>1.1097448265457535</v>
      </c>
      <c r="X75" s="145"/>
      <c r="Y75" s="232">
        <v>8.4097618141529757</v>
      </c>
      <c r="Z75" s="144"/>
      <c r="AA75" s="145">
        <v>4.9529128056308132</v>
      </c>
      <c r="AB75" s="144"/>
      <c r="AC75" s="145">
        <v>0.69689332857486319</v>
      </c>
      <c r="AD75" s="144"/>
    </row>
    <row r="76" spans="1:30" x14ac:dyDescent="0.35">
      <c r="A76" s="59" t="s">
        <v>1531</v>
      </c>
      <c r="B76" s="232">
        <v>435.11752117275967</v>
      </c>
      <c r="C76" s="144"/>
      <c r="D76" s="145">
        <v>2326.3492470251308</v>
      </c>
      <c r="E76" s="145"/>
      <c r="F76" s="144">
        <v>-205.75375425369594</v>
      </c>
      <c r="G76" s="232">
        <v>17.203089802116729</v>
      </c>
      <c r="H76" s="144"/>
      <c r="I76" s="145">
        <v>788.9729581269994</v>
      </c>
      <c r="J76" s="144"/>
      <c r="K76" s="145">
        <v>222.54135930688352</v>
      </c>
      <c r="L76" s="145"/>
      <c r="M76" s="232">
        <v>-8.2539932690644182</v>
      </c>
      <c r="N76" s="144"/>
      <c r="O76" s="145">
        <v>327.94257043307664</v>
      </c>
      <c r="P76" s="145"/>
      <c r="Q76" s="232">
        <v>11.252002701975167</v>
      </c>
      <c r="R76" s="144"/>
      <c r="S76" s="145">
        <v>373.52138142062273</v>
      </c>
      <c r="T76" s="145"/>
      <c r="U76" s="232">
        <v>186.3202904770489</v>
      </c>
      <c r="V76" s="144"/>
      <c r="W76" s="145">
        <v>228.68669943764658</v>
      </c>
      <c r="X76" s="145"/>
      <c r="Y76" s="232">
        <v>1592.2180192170863</v>
      </c>
      <c r="Z76" s="321">
        <v>0.13600000000000001</v>
      </c>
      <c r="AA76" s="145">
        <v>765.40115869197996</v>
      </c>
      <c r="AB76" s="144"/>
      <c r="AC76" s="145">
        <v>143.60980232542693</v>
      </c>
      <c r="AD76" s="144"/>
    </row>
    <row r="77" spans="1:30" x14ac:dyDescent="0.35">
      <c r="A77" s="59" t="s">
        <v>1530</v>
      </c>
      <c r="B77" s="232">
        <v>3.8211074416267254</v>
      </c>
      <c r="C77" s="144"/>
      <c r="D77" s="145">
        <v>1.6576315228987899</v>
      </c>
      <c r="E77" s="145"/>
      <c r="F77" s="144">
        <v>-0.39382374686964056</v>
      </c>
      <c r="G77" s="232">
        <v>0.15181084305013495</v>
      </c>
      <c r="H77" s="505"/>
      <c r="I77" s="145">
        <v>9.0636185153685744</v>
      </c>
      <c r="J77" s="144"/>
      <c r="K77" s="145">
        <v>1.749064188860499</v>
      </c>
      <c r="L77" s="145"/>
      <c r="M77" s="232">
        <v>0.22029613065830467</v>
      </c>
      <c r="N77" s="144"/>
      <c r="O77" s="145">
        <v>3.5384007429728168</v>
      </c>
      <c r="P77" s="145"/>
      <c r="Q77" s="232">
        <v>0.10609235057828592</v>
      </c>
      <c r="R77" s="144"/>
      <c r="S77" s="145">
        <v>3.3070042951715419</v>
      </c>
      <c r="T77" s="145"/>
      <c r="U77" s="232">
        <v>2.1397338206952612</v>
      </c>
      <c r="V77" s="144"/>
      <c r="W77" s="145">
        <v>1.8517705111034757</v>
      </c>
      <c r="X77" s="145"/>
      <c r="Y77" s="232">
        <v>13.330610098981637</v>
      </c>
      <c r="Z77" s="505"/>
      <c r="AA77" s="145">
        <v>6.9914162262792532</v>
      </c>
      <c r="AB77" s="144"/>
      <c r="AC77" s="145">
        <v>1.1628677911989092</v>
      </c>
      <c r="AD77" s="144"/>
    </row>
    <row r="78" spans="1:30" x14ac:dyDescent="0.35">
      <c r="A78" s="57" t="s">
        <v>1529</v>
      </c>
      <c r="B78" s="45">
        <v>226312.87442962275</v>
      </c>
      <c r="C78" s="43"/>
      <c r="D78" s="44">
        <v>214832.46780278205</v>
      </c>
      <c r="E78" s="44"/>
      <c r="F78" s="43">
        <v>-21848.847554280132</v>
      </c>
      <c r="G78" s="45">
        <v>10166.002517686466</v>
      </c>
      <c r="H78" s="283">
        <v>29166.042000000001</v>
      </c>
      <c r="I78" s="44">
        <v>1139152.7177307964</v>
      </c>
      <c r="J78" s="283">
        <v>23145.953000000001</v>
      </c>
      <c r="K78" s="44">
        <v>266838.35283807764</v>
      </c>
      <c r="L78" s="44"/>
      <c r="M78" s="45">
        <v>172495.10170913173</v>
      </c>
      <c r="N78" s="43"/>
      <c r="O78" s="44">
        <v>208766.23786651806</v>
      </c>
      <c r="P78" s="44"/>
      <c r="Q78" s="45">
        <v>15125.179642115056</v>
      </c>
      <c r="R78" s="43"/>
      <c r="S78" s="44">
        <v>283500.85839035572</v>
      </c>
      <c r="T78" s="44"/>
      <c r="U78" s="45">
        <v>200586.73770237906</v>
      </c>
      <c r="V78" s="43"/>
      <c r="W78" s="44">
        <v>119817.08672139455</v>
      </c>
      <c r="X78" s="44"/>
      <c r="Y78" s="45">
        <v>773647.80342388141</v>
      </c>
      <c r="Z78" s="283">
        <v>23335.602999999999</v>
      </c>
      <c r="AA78" s="44">
        <v>291206.85335235804</v>
      </c>
      <c r="AB78" s="43"/>
      <c r="AC78" s="44">
        <v>75242.277673256714</v>
      </c>
      <c r="AD78" s="43"/>
    </row>
    <row r="79" spans="1:30" ht="13.15" x14ac:dyDescent="0.4">
      <c r="A79" s="128" t="s">
        <v>1928</v>
      </c>
      <c r="B79" s="232"/>
      <c r="C79" s="144"/>
      <c r="D79" s="145"/>
      <c r="E79" s="145"/>
      <c r="F79" s="144"/>
      <c r="G79" s="232"/>
      <c r="H79" s="144"/>
      <c r="I79" s="145"/>
      <c r="J79" s="144"/>
      <c r="K79" s="145"/>
      <c r="L79" s="145"/>
      <c r="M79" s="232"/>
      <c r="N79" s="144"/>
      <c r="O79" s="145"/>
      <c r="P79" s="145"/>
      <c r="Q79" s="232"/>
      <c r="R79" s="144"/>
      <c r="S79" s="145"/>
      <c r="T79" s="145"/>
      <c r="U79" s="232"/>
      <c r="V79" s="144"/>
      <c r="W79" s="145"/>
      <c r="X79" s="145"/>
      <c r="Y79" s="232"/>
      <c r="Z79" s="144"/>
      <c r="AA79" s="145"/>
      <c r="AB79" s="144"/>
      <c r="AC79" s="145"/>
      <c r="AD79" s="144"/>
    </row>
    <row r="80" spans="1:30" x14ac:dyDescent="0.35">
      <c r="A80" s="59" t="s">
        <v>1525</v>
      </c>
      <c r="B80" s="232">
        <v>2.0204317609622091</v>
      </c>
      <c r="C80" s="144"/>
      <c r="D80" s="145">
        <v>1.3578623851533802</v>
      </c>
      <c r="E80" s="145">
        <v>0</v>
      </c>
      <c r="F80" s="144">
        <v>-3.6961836901507832</v>
      </c>
      <c r="G80" s="232">
        <v>7.2177727687295912E-2</v>
      </c>
      <c r="H80" s="144">
        <v>0</v>
      </c>
      <c r="I80" s="145">
        <v>4.7005736265361096</v>
      </c>
      <c r="J80" s="144">
        <v>0</v>
      </c>
      <c r="K80" s="145">
        <v>0.79158851987082468</v>
      </c>
      <c r="L80" s="145">
        <v>0</v>
      </c>
      <c r="M80" s="232">
        <v>-4.3734425026530938E-2</v>
      </c>
      <c r="N80" s="144"/>
      <c r="O80" s="145">
        <v>1.132571636854286</v>
      </c>
      <c r="P80" s="145"/>
      <c r="Q80" s="232">
        <v>4.4806347208553754E-2</v>
      </c>
      <c r="R80" s="144"/>
      <c r="S80" s="145">
        <v>1.5005838626137415</v>
      </c>
      <c r="T80" s="145"/>
      <c r="U80" s="232">
        <v>0.74573626203327381</v>
      </c>
      <c r="V80" s="144"/>
      <c r="W80" s="145">
        <v>0.9217514725413265</v>
      </c>
      <c r="X80" s="145"/>
      <c r="Y80" s="232">
        <v>6.0659597961377889</v>
      </c>
      <c r="Z80" s="144">
        <v>0</v>
      </c>
      <c r="AA80" s="145">
        <v>2.4474648742539511</v>
      </c>
      <c r="AB80" s="144">
        <v>0</v>
      </c>
      <c r="AC80" s="145">
        <v>0.57883797829232131</v>
      </c>
      <c r="AD80" s="144">
        <v>0</v>
      </c>
    </row>
    <row r="81" spans="1:30" x14ac:dyDescent="0.35">
      <c r="A81" s="59" t="s">
        <v>1524</v>
      </c>
      <c r="B81" s="232">
        <v>12.537296880502174</v>
      </c>
      <c r="C81" s="144"/>
      <c r="D81" s="145">
        <v>3.6152970428238755</v>
      </c>
      <c r="E81" s="145">
        <v>0</v>
      </c>
      <c r="F81" s="144">
        <v>-3.5638677076824528</v>
      </c>
      <c r="G81" s="232">
        <v>0.53779803544219029</v>
      </c>
      <c r="H81" s="144">
        <v>0</v>
      </c>
      <c r="I81" s="145">
        <v>19.845243872058326</v>
      </c>
      <c r="J81" s="144">
        <v>0</v>
      </c>
      <c r="K81" s="145">
        <v>5.78780116023818</v>
      </c>
      <c r="L81" s="145">
        <v>0</v>
      </c>
      <c r="M81" s="232">
        <v>-0.34227676403259349</v>
      </c>
      <c r="N81" s="144"/>
      <c r="O81" s="145">
        <v>7.7261880724698209</v>
      </c>
      <c r="P81" s="145"/>
      <c r="Q81" s="232">
        <v>0.35066590040594131</v>
      </c>
      <c r="R81" s="144"/>
      <c r="S81" s="145">
        <v>11.743952009049696</v>
      </c>
      <c r="T81" s="145"/>
      <c r="U81" s="232">
        <v>5.83632217493812</v>
      </c>
      <c r="V81" s="144"/>
      <c r="W81" s="145">
        <v>7.2138621022760141</v>
      </c>
      <c r="X81" s="145"/>
      <c r="Y81" s="232">
        <v>45.324406331834005</v>
      </c>
      <c r="Z81" s="144">
        <v>0</v>
      </c>
      <c r="AA81" s="145">
        <v>15.257820838639004</v>
      </c>
      <c r="AB81" s="144">
        <v>0</v>
      </c>
      <c r="AC81" s="145">
        <v>4.530133641607855</v>
      </c>
      <c r="AD81" s="144">
        <v>0</v>
      </c>
    </row>
    <row r="82" spans="1:30" x14ac:dyDescent="0.35">
      <c r="A82" s="59" t="s">
        <v>1523</v>
      </c>
      <c r="B82" s="232">
        <v>31.802389775529111</v>
      </c>
      <c r="C82" s="144"/>
      <c r="D82" s="145">
        <v>15.562919649843856</v>
      </c>
      <c r="E82" s="145">
        <v>0</v>
      </c>
      <c r="F82" s="144">
        <v>-6.5110236855697288</v>
      </c>
      <c r="G82" s="232">
        <v>1.4045396872505378</v>
      </c>
      <c r="H82" s="144">
        <v>0</v>
      </c>
      <c r="I82" s="145">
        <v>48.459823210969979</v>
      </c>
      <c r="J82" s="144">
        <v>0</v>
      </c>
      <c r="K82" s="145">
        <v>15.01858632280357</v>
      </c>
      <c r="L82" s="145">
        <v>0</v>
      </c>
      <c r="M82" s="232">
        <v>-0.89642272099382658</v>
      </c>
      <c r="N82" s="144"/>
      <c r="O82" s="145">
        <v>17.649509402343366</v>
      </c>
      <c r="P82" s="145"/>
      <c r="Q82" s="232">
        <v>0.91839386611622409</v>
      </c>
      <c r="R82" s="144"/>
      <c r="S82" s="145">
        <v>30.757406056844548</v>
      </c>
      <c r="T82" s="145"/>
      <c r="U82" s="232">
        <v>15.285325661652085</v>
      </c>
      <c r="V82" s="144"/>
      <c r="W82" s="145">
        <v>18.893102232264642</v>
      </c>
      <c r="X82" s="145"/>
      <c r="Y82" s="232">
        <v>113.81991443237369</v>
      </c>
      <c r="Z82" s="144">
        <v>0</v>
      </c>
      <c r="AA82" s="145">
        <v>31.10449844142034</v>
      </c>
      <c r="AB82" s="144">
        <v>0</v>
      </c>
      <c r="AC82" s="145">
        <v>11.864418366094762</v>
      </c>
      <c r="AD82" s="144">
        <v>0</v>
      </c>
    </row>
    <row r="83" spans="1:30" x14ac:dyDescent="0.35">
      <c r="A83" s="59" t="s">
        <v>1522</v>
      </c>
      <c r="B83" s="232">
        <v>3.8597612765901697</v>
      </c>
      <c r="C83" s="144"/>
      <c r="D83" s="145">
        <v>0.96999091967659534</v>
      </c>
      <c r="E83" s="145">
        <v>0</v>
      </c>
      <c r="F83" s="144">
        <v>-0.9579861043582717</v>
      </c>
      <c r="G83" s="232">
        <v>0.17303457053498031</v>
      </c>
      <c r="H83" s="144">
        <v>0</v>
      </c>
      <c r="I83" s="145">
        <v>5.8813100095347473</v>
      </c>
      <c r="J83" s="144">
        <v>0</v>
      </c>
      <c r="K83" s="145">
        <v>1.8181728178489793</v>
      </c>
      <c r="L83" s="145">
        <v>0</v>
      </c>
      <c r="M83" s="232">
        <v>-0.11047353432853732</v>
      </c>
      <c r="N83" s="144"/>
      <c r="O83" s="145">
        <v>1.9170639925992377</v>
      </c>
      <c r="P83" s="145"/>
      <c r="Q83" s="232">
        <v>0.11318121899345243</v>
      </c>
      <c r="R83" s="144"/>
      <c r="S83" s="145">
        <v>3.7904877624146902</v>
      </c>
      <c r="T83" s="145"/>
      <c r="U83" s="232">
        <v>1.8837362213814559</v>
      </c>
      <c r="V83" s="144"/>
      <c r="W83" s="145">
        <v>2.3283521592521379</v>
      </c>
      <c r="X83" s="145"/>
      <c r="Y83" s="232">
        <v>13.539452648971814</v>
      </c>
      <c r="Z83" s="144">
        <v>0</v>
      </c>
      <c r="AA83" s="145">
        <v>2.9494280276572411</v>
      </c>
      <c r="AB83" s="144">
        <v>0</v>
      </c>
      <c r="AC83" s="145">
        <v>1.4621497190541703</v>
      </c>
      <c r="AD83" s="144">
        <v>0</v>
      </c>
    </row>
    <row r="84" spans="1:30" x14ac:dyDescent="0.35">
      <c r="A84" s="59" t="s">
        <v>1521</v>
      </c>
      <c r="B84" s="232">
        <v>2.848555637261672</v>
      </c>
      <c r="C84" s="144"/>
      <c r="D84" s="145">
        <v>0.79009041541793179</v>
      </c>
      <c r="E84" s="145">
        <v>0</v>
      </c>
      <c r="F84" s="144">
        <v>-0.75975399489106799</v>
      </c>
      <c r="G84" s="232">
        <v>0.12740634218301108</v>
      </c>
      <c r="H84" s="144">
        <v>0</v>
      </c>
      <c r="I84" s="145">
        <v>4.3763750552458553</v>
      </c>
      <c r="J84" s="144">
        <v>0</v>
      </c>
      <c r="K84" s="145">
        <v>1.3397523856436608</v>
      </c>
      <c r="L84" s="145">
        <v>0</v>
      </c>
      <c r="M84" s="232">
        <v>-8.1317017013455103E-2</v>
      </c>
      <c r="N84" s="144"/>
      <c r="O84" s="145">
        <v>1.4124071911845375</v>
      </c>
      <c r="P84" s="145"/>
      <c r="Q84" s="232">
        <v>8.331008115594174E-2</v>
      </c>
      <c r="R84" s="144"/>
      <c r="S84" s="145">
        <v>2.7900904930670536</v>
      </c>
      <c r="T84" s="145"/>
      <c r="U84" s="232">
        <v>1.3865747239279587</v>
      </c>
      <c r="V84" s="144"/>
      <c r="W84" s="145">
        <v>1.7138462465060509</v>
      </c>
      <c r="X84" s="145"/>
      <c r="Y84" s="232">
        <v>9.9685357912526253</v>
      </c>
      <c r="Z84" s="144">
        <v>0</v>
      </c>
      <c r="AA84" s="145">
        <v>2.1754610379769925</v>
      </c>
      <c r="AB84" s="144">
        <v>0</v>
      </c>
      <c r="AC84" s="145">
        <v>1.0762546369427881</v>
      </c>
      <c r="AD84" s="144">
        <v>0</v>
      </c>
    </row>
    <row r="85" spans="1:30" x14ac:dyDescent="0.35">
      <c r="A85" s="59" t="s">
        <v>1520</v>
      </c>
      <c r="B85" s="232">
        <v>126.74165372867442</v>
      </c>
      <c r="C85" s="144"/>
      <c r="D85" s="145">
        <v>18.813602452598921</v>
      </c>
      <c r="E85" s="145">
        <v>0</v>
      </c>
      <c r="F85" s="144">
        <v>-7.4918924541600225</v>
      </c>
      <c r="G85" s="232">
        <v>5.7853175227254789</v>
      </c>
      <c r="H85" s="144">
        <v>0</v>
      </c>
      <c r="I85" s="145">
        <v>180.62339889972512</v>
      </c>
      <c r="J85" s="144">
        <v>0</v>
      </c>
      <c r="K85" s="145">
        <v>60.640343153316046</v>
      </c>
      <c r="L85" s="145">
        <v>0</v>
      </c>
      <c r="M85" s="232">
        <v>-3.7059165951539494</v>
      </c>
      <c r="N85" s="144"/>
      <c r="O85" s="145">
        <v>64.157531363571238</v>
      </c>
      <c r="P85" s="145"/>
      <c r="Q85" s="232">
        <v>3.7967478842508595</v>
      </c>
      <c r="R85" s="144"/>
      <c r="S85" s="145">
        <v>127.15472160676504</v>
      </c>
      <c r="T85" s="145"/>
      <c r="U85" s="232">
        <v>63.191327824720652</v>
      </c>
      <c r="V85" s="144"/>
      <c r="W85" s="145">
        <v>78.106299022480769</v>
      </c>
      <c r="X85" s="145"/>
      <c r="Y85" s="232">
        <v>453.904168521298</v>
      </c>
      <c r="Z85" s="144">
        <v>0</v>
      </c>
      <c r="AA85" s="145">
        <v>98.420781863466189</v>
      </c>
      <c r="AB85" s="144">
        <v>0</v>
      </c>
      <c r="AC85" s="145">
        <v>49.048896112331683</v>
      </c>
      <c r="AD85" s="144">
        <v>0</v>
      </c>
    </row>
    <row r="86" spans="1:30" x14ac:dyDescent="0.35">
      <c r="A86" s="59" t="s">
        <v>1519</v>
      </c>
      <c r="B86" s="232">
        <v>0.17480445719902776</v>
      </c>
      <c r="C86" s="144"/>
      <c r="D86" s="145">
        <v>6.1284405608195591E-2</v>
      </c>
      <c r="E86" s="145">
        <v>0</v>
      </c>
      <c r="F86" s="144">
        <v>-0.10763468001965432</v>
      </c>
      <c r="G86" s="232">
        <v>7.6272799104591324E-3</v>
      </c>
      <c r="H86" s="144">
        <v>0</v>
      </c>
      <c r="I86" s="145">
        <v>0.29039708875526832</v>
      </c>
      <c r="J86" s="144">
        <v>0</v>
      </c>
      <c r="K86" s="145">
        <v>8.0389503924017322E-2</v>
      </c>
      <c r="L86" s="145">
        <v>0</v>
      </c>
      <c r="M86" s="232">
        <v>-4.8445695046750812E-3</v>
      </c>
      <c r="N86" s="144"/>
      <c r="O86" s="145">
        <v>8.5268386346877459E-2</v>
      </c>
      <c r="P86" s="145"/>
      <c r="Q86" s="232">
        <v>4.9633089533190778E-3</v>
      </c>
      <c r="R86" s="144"/>
      <c r="S86" s="145">
        <v>0.16622335415673151</v>
      </c>
      <c r="T86" s="145"/>
      <c r="U86" s="232">
        <v>8.2607034421628769E-2</v>
      </c>
      <c r="V86" s="144"/>
      <c r="W86" s="145">
        <v>0.10210467090979539</v>
      </c>
      <c r="X86" s="145"/>
      <c r="Y86" s="232">
        <v>0.59600929993203955</v>
      </c>
      <c r="Z86" s="144">
        <v>0</v>
      </c>
      <c r="AA86" s="145">
        <v>0.13345038606820553</v>
      </c>
      <c r="AB86" s="144">
        <v>0</v>
      </c>
      <c r="AC86" s="145">
        <v>6.411930226775843E-2</v>
      </c>
      <c r="AD86" s="144">
        <v>0</v>
      </c>
    </row>
    <row r="87" spans="1:30" x14ac:dyDescent="0.35">
      <c r="A87" s="57" t="s">
        <v>1518</v>
      </c>
      <c r="B87" s="231">
        <v>0.43873392715198783</v>
      </c>
      <c r="C87" s="141"/>
      <c r="D87" s="142">
        <v>0.33676456969722657</v>
      </c>
      <c r="E87" s="142">
        <v>0</v>
      </c>
      <c r="F87" s="141">
        <v>-0.14846123743980041</v>
      </c>
      <c r="G87" s="231">
        <v>1.9543004159031947E-2</v>
      </c>
      <c r="H87" s="141">
        <v>0</v>
      </c>
      <c r="I87" s="142">
        <v>0.682433091186055</v>
      </c>
      <c r="J87" s="141">
        <v>0</v>
      </c>
      <c r="K87" s="142">
        <v>0.20853855387374878</v>
      </c>
      <c r="L87" s="142">
        <v>0</v>
      </c>
      <c r="M87" s="231">
        <v>-1.2464790830783126E-2</v>
      </c>
      <c r="N87" s="141"/>
      <c r="O87" s="142">
        <v>0.21781054676065897</v>
      </c>
      <c r="P87" s="142"/>
      <c r="Q87" s="231">
        <v>1.2770300409968986E-2</v>
      </c>
      <c r="R87" s="141"/>
      <c r="S87" s="142">
        <v>0.42768285990228666</v>
      </c>
      <c r="T87" s="142"/>
      <c r="U87" s="231">
        <v>0.21254301423960342</v>
      </c>
      <c r="V87" s="141"/>
      <c r="W87" s="142">
        <v>0.26270927984588904</v>
      </c>
      <c r="X87" s="142"/>
      <c r="Y87" s="231">
        <v>1.5305115599508656</v>
      </c>
      <c r="Z87" s="141">
        <v>0</v>
      </c>
      <c r="AA87" s="142">
        <v>0.33794805664679345</v>
      </c>
      <c r="AB87" s="141">
        <v>0</v>
      </c>
      <c r="AC87" s="142">
        <v>0.16497517276036491</v>
      </c>
      <c r="AD87" s="141">
        <v>0</v>
      </c>
    </row>
    <row r="89" spans="1:30" ht="13.9" x14ac:dyDescent="0.4">
      <c r="A89" s="72" t="s">
        <v>1927</v>
      </c>
    </row>
    <row r="90" spans="1:30" ht="13.15" x14ac:dyDescent="0.4">
      <c r="A90" s="41" t="s">
        <v>2009</v>
      </c>
    </row>
    <row r="91" spans="1:30" ht="52.5" x14ac:dyDescent="0.4">
      <c r="A91" s="61"/>
      <c r="B91" s="504" t="s">
        <v>2008</v>
      </c>
      <c r="C91" s="502" t="s">
        <v>2007</v>
      </c>
      <c r="D91" s="503" t="s">
        <v>1323</v>
      </c>
      <c r="E91" s="502" t="s">
        <v>1423</v>
      </c>
      <c r="F91" s="502" t="s">
        <v>1322</v>
      </c>
      <c r="G91" s="501" t="s">
        <v>1422</v>
      </c>
      <c r="H91" s="502" t="s">
        <v>1321</v>
      </c>
      <c r="I91" s="2191" t="s">
        <v>2006</v>
      </c>
      <c r="J91" s="2192"/>
      <c r="K91" s="2191" t="s">
        <v>2005</v>
      </c>
      <c r="L91" s="2192"/>
      <c r="M91" s="2191" t="s">
        <v>2004</v>
      </c>
      <c r="N91" s="2192"/>
      <c r="O91" s="2191" t="s">
        <v>2003</v>
      </c>
      <c r="P91" s="2192"/>
      <c r="Q91" s="2191" t="s">
        <v>2002</v>
      </c>
      <c r="R91" s="2192"/>
      <c r="S91" s="2191" t="s">
        <v>2001</v>
      </c>
      <c r="T91" s="2192"/>
      <c r="U91" s="2191" t="s">
        <v>322</v>
      </c>
      <c r="V91" s="2192"/>
    </row>
    <row r="92" spans="1:30" x14ac:dyDescent="0.35">
      <c r="A92" s="91" t="s">
        <v>1997</v>
      </c>
      <c r="B92" s="70"/>
      <c r="C92" s="69"/>
      <c r="D92" s="91">
        <v>1.0309999999999999</v>
      </c>
      <c r="E92" s="69">
        <v>1.0149999999999999</v>
      </c>
      <c r="F92" s="69">
        <v>1.054</v>
      </c>
      <c r="G92" s="437">
        <v>1</v>
      </c>
      <c r="H92" s="440">
        <v>1</v>
      </c>
      <c r="I92" s="91"/>
      <c r="J92" s="68"/>
      <c r="K92" s="69"/>
      <c r="L92" s="69"/>
      <c r="M92" s="91"/>
      <c r="N92" s="68"/>
      <c r="O92" s="69"/>
      <c r="P92" s="69"/>
      <c r="Q92" s="91"/>
      <c r="R92" s="68"/>
      <c r="S92" s="69"/>
      <c r="T92" s="69"/>
      <c r="U92" s="91"/>
      <c r="V92" s="68"/>
    </row>
    <row r="93" spans="1:30" ht="13.15" x14ac:dyDescent="0.4">
      <c r="A93" s="128" t="s">
        <v>1996</v>
      </c>
      <c r="B93" s="50"/>
      <c r="D93" s="59"/>
      <c r="G93" s="99"/>
      <c r="I93" s="110" t="s">
        <v>1873</v>
      </c>
      <c r="J93" s="215" t="s">
        <v>1872</v>
      </c>
      <c r="K93" s="216" t="s">
        <v>1873</v>
      </c>
      <c r="L93" s="216" t="s">
        <v>1872</v>
      </c>
      <c r="M93" s="110" t="s">
        <v>1873</v>
      </c>
      <c r="N93" s="215" t="s">
        <v>1872</v>
      </c>
      <c r="O93" s="216" t="s">
        <v>1873</v>
      </c>
      <c r="P93" s="216" t="s">
        <v>1872</v>
      </c>
      <c r="Q93" s="110" t="s">
        <v>1873</v>
      </c>
      <c r="R93" s="215" t="s">
        <v>1872</v>
      </c>
      <c r="S93" s="216" t="s">
        <v>1873</v>
      </c>
      <c r="T93" s="216" t="s">
        <v>1872</v>
      </c>
      <c r="U93" s="110" t="s">
        <v>1873</v>
      </c>
      <c r="V93" s="215" t="s">
        <v>1872</v>
      </c>
    </row>
    <row r="94" spans="1:30" x14ac:dyDescent="0.35">
      <c r="A94" s="59" t="s">
        <v>1537</v>
      </c>
      <c r="B94" s="146">
        <v>29.733656619092027</v>
      </c>
      <c r="C94" s="145">
        <v>18.415779150615798</v>
      </c>
      <c r="D94" s="232">
        <v>3.4786380064153217</v>
      </c>
      <c r="E94" s="145">
        <v>0.1190326541443073</v>
      </c>
      <c r="F94" s="145">
        <v>3.4905648932204736</v>
      </c>
      <c r="G94" s="144">
        <v>2.7347741025883874</v>
      </c>
      <c r="H94" s="145">
        <v>1.7821978693329914</v>
      </c>
      <c r="I94" s="232">
        <v>22.921318559505014</v>
      </c>
      <c r="J94" s="144">
        <v>1.1460659279752507E-2</v>
      </c>
      <c r="K94" s="145">
        <v>27.16899774469849</v>
      </c>
      <c r="L94" s="145">
        <v>1.3584498872349245E-2</v>
      </c>
      <c r="M94" s="232">
        <v>29.903771847286876</v>
      </c>
      <c r="N94" s="144">
        <v>1.4951885923643438E-2</v>
      </c>
      <c r="O94" s="145">
        <v>24.703516428838007</v>
      </c>
      <c r="P94" s="145">
        <v>1.2351758214419004E-2</v>
      </c>
      <c r="Q94" s="232">
        <v>28.951195614031484</v>
      </c>
      <c r="R94" s="144">
        <v>1.4475597807015742E-2</v>
      </c>
      <c r="S94" s="145">
        <v>31.685969716619866</v>
      </c>
      <c r="T94" s="145">
        <v>1.5842984858309934E-2</v>
      </c>
      <c r="U94" s="232">
        <v>29.690330219303515</v>
      </c>
      <c r="V94" s="144">
        <v>1.4845165109651757E-2</v>
      </c>
    </row>
    <row r="95" spans="1:30" x14ac:dyDescent="0.35">
      <c r="A95" s="59" t="s">
        <v>1536</v>
      </c>
      <c r="B95" s="146">
        <v>29.60125974408578</v>
      </c>
      <c r="C95" s="145">
        <v>17.295942315103101</v>
      </c>
      <c r="D95" s="232">
        <v>3.1981999757448802</v>
      </c>
      <c r="E95" s="145">
        <v>0.10241635308471894</v>
      </c>
      <c r="F95" s="145">
        <v>2.9340778153899056</v>
      </c>
      <c r="G95" s="144">
        <v>2.4582200201205495</v>
      </c>
      <c r="H95" s="145">
        <v>1.4403690677443257</v>
      </c>
      <c r="I95" s="232">
        <v>21.44818760324014</v>
      </c>
      <c r="J95" s="144">
        <v>1.0724093801620069E-2</v>
      </c>
      <c r="K95" s="145">
        <v>25.100031409147356</v>
      </c>
      <c r="L95" s="145">
        <v>1.2550015704573678E-2</v>
      </c>
      <c r="M95" s="232">
        <v>27.558251429267905</v>
      </c>
      <c r="N95" s="144">
        <v>1.3779125714633952E-2</v>
      </c>
      <c r="O95" s="145">
        <v>22.888556670984464</v>
      </c>
      <c r="P95" s="145">
        <v>1.1444278335492232E-2</v>
      </c>
      <c r="Q95" s="232">
        <v>26.54040047689168</v>
      </c>
      <c r="R95" s="144">
        <v>1.3270200238445841E-2</v>
      </c>
      <c r="S95" s="145">
        <v>28.998620497012229</v>
      </c>
      <c r="T95" s="145">
        <v>1.4499310248506115E-2</v>
      </c>
      <c r="U95" s="232">
        <v>27.23987700587735</v>
      </c>
      <c r="V95" s="144">
        <v>1.3619938502938675E-2</v>
      </c>
    </row>
    <row r="96" spans="1:30" x14ac:dyDescent="0.35">
      <c r="A96" s="59" t="s">
        <v>1535</v>
      </c>
      <c r="B96" s="146">
        <v>28.91998763040225</v>
      </c>
      <c r="C96" s="145">
        <v>15.015627284694075</v>
      </c>
      <c r="D96" s="232">
        <v>2.0020725397773331</v>
      </c>
      <c r="E96" s="145">
        <v>7.2523364624561049E-2</v>
      </c>
      <c r="F96" s="145">
        <v>1.9329487592804551</v>
      </c>
      <c r="G96" s="144">
        <v>1.9606948509403617</v>
      </c>
      <c r="H96" s="145">
        <v>0.82541364628226888</v>
      </c>
      <c r="I96" s="232">
        <v>17.81795539897594</v>
      </c>
      <c r="J96" s="144">
        <v>8.9089776994879695E-3</v>
      </c>
      <c r="K96" s="145">
        <v>20.360224980173413</v>
      </c>
      <c r="L96" s="145">
        <v>1.0180112490086707E-2</v>
      </c>
      <c r="M96" s="232">
        <v>22.320919831113773</v>
      </c>
      <c r="N96" s="144">
        <v>1.1160459915556887E-2</v>
      </c>
      <c r="O96" s="145">
        <v>18.643369045258208</v>
      </c>
      <c r="P96" s="145">
        <v>9.3216845226291034E-3</v>
      </c>
      <c r="Q96" s="232">
        <v>21.185638626455681</v>
      </c>
      <c r="R96" s="144">
        <v>1.0592819313227841E-2</v>
      </c>
      <c r="S96" s="145">
        <v>23.146333477396041</v>
      </c>
      <c r="T96" s="145">
        <v>1.157316673869802E-2</v>
      </c>
      <c r="U96" s="232">
        <v>21.821715265685349</v>
      </c>
      <c r="V96" s="144">
        <v>1.0910857632842674E-2</v>
      </c>
    </row>
    <row r="97" spans="1:22" x14ac:dyDescent="0.35">
      <c r="A97" s="59" t="s">
        <v>1534</v>
      </c>
      <c r="B97" s="146">
        <v>0.27449778713022094</v>
      </c>
      <c r="C97" s="145">
        <v>2.5274844117962871</v>
      </c>
      <c r="D97" s="232">
        <v>1.1705971643678104</v>
      </c>
      <c r="E97" s="145">
        <v>2.8529549913211709E-2</v>
      </c>
      <c r="F97" s="145">
        <v>0.95546691204557588</v>
      </c>
      <c r="G97" s="144">
        <v>0.47483272427323908</v>
      </c>
      <c r="H97" s="145">
        <v>0.58690690676127955</v>
      </c>
      <c r="I97" s="232">
        <v>3.8616096467369401</v>
      </c>
      <c r="J97" s="144">
        <v>1.9308048233684701E-3</v>
      </c>
      <c r="K97" s="145">
        <v>4.9358279189935663</v>
      </c>
      <c r="L97" s="145">
        <v>2.4679139594967832E-3</v>
      </c>
      <c r="M97" s="232">
        <v>5.4106606432668052</v>
      </c>
      <c r="N97" s="144">
        <v>2.7053303216334028E-3</v>
      </c>
      <c r="O97" s="145">
        <v>4.4485165534982194</v>
      </c>
      <c r="P97" s="145">
        <v>2.2242582767491095E-3</v>
      </c>
      <c r="Q97" s="232">
        <v>5.5227348257548456</v>
      </c>
      <c r="R97" s="144">
        <v>2.761367412877423E-3</v>
      </c>
      <c r="S97" s="145">
        <v>5.9975675500280845</v>
      </c>
      <c r="T97" s="145">
        <v>2.9987837750140422E-3</v>
      </c>
      <c r="U97" s="232">
        <v>5.5800247394240952</v>
      </c>
      <c r="V97" s="144">
        <v>2.7900123697120476E-3</v>
      </c>
    </row>
    <row r="98" spans="1:22" x14ac:dyDescent="0.35">
      <c r="A98" s="59" t="s">
        <v>1533</v>
      </c>
      <c r="B98" s="146">
        <v>0.4067743265533052</v>
      </c>
      <c r="C98" s="145">
        <v>-0.24716938138726202</v>
      </c>
      <c r="D98" s="232">
        <v>2.5530271599736833E-2</v>
      </c>
      <c r="E98" s="145">
        <v>1.363438546946183E-3</v>
      </c>
      <c r="F98" s="145">
        <v>4.5662144063874685E-2</v>
      </c>
      <c r="G98" s="144">
        <v>2.2692444906948796E-2</v>
      </c>
      <c r="H98" s="145">
        <v>2.804851470077728E-2</v>
      </c>
      <c r="I98" s="232">
        <v>-0.23137744247274203</v>
      </c>
      <c r="J98" s="144">
        <v>-1.1568872123637101E-4</v>
      </c>
      <c r="K98" s="145">
        <v>-0.19602149001962421</v>
      </c>
      <c r="L98" s="145">
        <v>-9.8010745009812107E-5</v>
      </c>
      <c r="M98" s="232">
        <v>-0.17332904511267541</v>
      </c>
      <c r="N98" s="144">
        <v>-8.6664522556337701E-5</v>
      </c>
      <c r="O98" s="145">
        <v>-0.20332892777196476</v>
      </c>
      <c r="P98" s="145">
        <v>-1.0166446388598238E-4</v>
      </c>
      <c r="Q98" s="232">
        <v>-0.16797297531884692</v>
      </c>
      <c r="R98" s="144">
        <v>-8.3986487659423455E-5</v>
      </c>
      <c r="S98" s="145">
        <v>-0.14528053041189815</v>
      </c>
      <c r="T98" s="145">
        <v>-7.2640265205949075E-5</v>
      </c>
      <c r="U98" s="232">
        <v>-0.16186299923209943</v>
      </c>
      <c r="V98" s="144">
        <v>-8.0931499616049719E-5</v>
      </c>
    </row>
    <row r="99" spans="1:22" x14ac:dyDescent="0.35">
      <c r="A99" s="91" t="s">
        <v>1995</v>
      </c>
      <c r="B99" s="383">
        <v>157.42233838306913</v>
      </c>
      <c r="C99" s="291">
        <v>4050.3685699863395</v>
      </c>
      <c r="D99" s="290">
        <v>142.4523111127356</v>
      </c>
      <c r="E99" s="291">
        <v>8.3340287581770287</v>
      </c>
      <c r="F99" s="291">
        <v>279.11021192756033</v>
      </c>
      <c r="G99" s="289">
        <v>138.7077465804727</v>
      </c>
      <c r="H99" s="291">
        <v>171.44676499281616</v>
      </c>
      <c r="I99" s="290">
        <v>4391.4920701283572</v>
      </c>
      <c r="J99" s="289">
        <v>2.1957460350641784</v>
      </c>
      <c r="K99" s="291">
        <v>4830.6851632617181</v>
      </c>
      <c r="L99" s="291">
        <v>2.4153425816308589</v>
      </c>
      <c r="M99" s="290">
        <v>4969.3929098421904</v>
      </c>
      <c r="N99" s="289">
        <v>2.484696454921095</v>
      </c>
      <c r="O99" s="291">
        <v>4562.9388351211737</v>
      </c>
      <c r="P99" s="291">
        <v>2.281469417560587</v>
      </c>
      <c r="Q99" s="290">
        <v>5002.1319282545346</v>
      </c>
      <c r="R99" s="289">
        <v>2.5010659641272674</v>
      </c>
      <c r="S99" s="291">
        <v>5140.8396748350069</v>
      </c>
      <c r="T99" s="291">
        <v>2.5704198374175036</v>
      </c>
      <c r="U99" s="290">
        <v>4992.409418058518</v>
      </c>
      <c r="V99" s="289">
        <v>2.496204709029259</v>
      </c>
    </row>
    <row r="100" spans="1:22" ht="13.15" x14ac:dyDescent="0.4">
      <c r="A100" s="131" t="s">
        <v>1994</v>
      </c>
      <c r="B100" s="241"/>
      <c r="C100" s="157"/>
      <c r="D100" s="237"/>
      <c r="E100" s="157"/>
      <c r="F100" s="157"/>
      <c r="G100" s="156"/>
      <c r="H100" s="157"/>
      <c r="I100" s="237"/>
      <c r="J100" s="156"/>
      <c r="K100" s="157"/>
      <c r="L100" s="157"/>
      <c r="M100" s="237"/>
      <c r="N100" s="156"/>
      <c r="O100" s="157"/>
      <c r="P100" s="157"/>
      <c r="Q100" s="237"/>
      <c r="R100" s="156"/>
      <c r="S100" s="157"/>
      <c r="T100" s="157"/>
      <c r="U100" s="237"/>
      <c r="V100" s="156"/>
    </row>
    <row r="101" spans="1:22" x14ac:dyDescent="0.35">
      <c r="A101" s="59" t="s">
        <v>1525</v>
      </c>
      <c r="B101" s="146">
        <v>2668.5304165610369</v>
      </c>
      <c r="C101" s="145">
        <v>2834.239950703462</v>
      </c>
      <c r="D101" s="232">
        <v>20.345293418686595</v>
      </c>
      <c r="E101" s="145">
        <v>0.66948074162899607</v>
      </c>
      <c r="F101" s="145">
        <v>21.80629478962755</v>
      </c>
      <c r="G101" s="144">
        <v>12.077055061035709</v>
      </c>
      <c r="H101" s="145">
        <v>12.945991101971138</v>
      </c>
      <c r="I101" s="232">
        <v>2987.2528635744939</v>
      </c>
      <c r="J101" s="144">
        <v>1.493626431787247</v>
      </c>
      <c r="K101" s="145">
        <v>3123.1450982436568</v>
      </c>
      <c r="L101" s="145">
        <v>1.5615725491218284</v>
      </c>
      <c r="M101" s="232">
        <v>3135.2221533046927</v>
      </c>
      <c r="N101" s="144">
        <v>1.5676110766523463</v>
      </c>
      <c r="O101" s="145">
        <v>3000.1988546764651</v>
      </c>
      <c r="P101" s="145">
        <v>1.5000994273382326</v>
      </c>
      <c r="Q101" s="232">
        <v>3136.091089345628</v>
      </c>
      <c r="R101" s="144">
        <v>1.5680455446728141</v>
      </c>
      <c r="S101" s="145">
        <v>3148.1681444066639</v>
      </c>
      <c r="T101" s="145">
        <v>1.574084072203332</v>
      </c>
      <c r="U101" s="232">
        <v>3114.6399067569346</v>
      </c>
      <c r="V101" s="144">
        <v>1.5573199533784672</v>
      </c>
    </row>
    <row r="102" spans="1:22" x14ac:dyDescent="0.35">
      <c r="A102" s="59" t="s">
        <v>1524</v>
      </c>
      <c r="B102" s="146">
        <v>677.42398176009567</v>
      </c>
      <c r="C102" s="145">
        <v>20158.302322186995</v>
      </c>
      <c r="D102" s="232">
        <v>84.946119785614528</v>
      </c>
      <c r="E102" s="145">
        <v>2.2759498393909494</v>
      </c>
      <c r="F102" s="145">
        <v>68.284333841229426</v>
      </c>
      <c r="G102" s="144">
        <v>49.944281425461327</v>
      </c>
      <c r="H102" s="145">
        <v>36.15079861347126</v>
      </c>
      <c r="I102" s="232">
        <v>21183.4541010092</v>
      </c>
      <c r="J102" s="144">
        <v>10.5917270505046</v>
      </c>
      <c r="K102" s="145">
        <v>22063.320561755496</v>
      </c>
      <c r="L102" s="145">
        <v>11.031660280877748</v>
      </c>
      <c r="M102" s="232">
        <v>22113.264843180958</v>
      </c>
      <c r="N102" s="144">
        <v>11.056632421590479</v>
      </c>
      <c r="O102" s="145">
        <v>21219.604899622671</v>
      </c>
      <c r="P102" s="145">
        <v>10.609802449811335</v>
      </c>
      <c r="Q102" s="232">
        <v>22099.471360368967</v>
      </c>
      <c r="R102" s="144">
        <v>11.049735680184483</v>
      </c>
      <c r="S102" s="145">
        <v>22149.415641794429</v>
      </c>
      <c r="T102" s="145">
        <v>11.074707820897215</v>
      </c>
      <c r="U102" s="232">
        <v>21943.686217443927</v>
      </c>
      <c r="V102" s="144">
        <v>10.971843108721963</v>
      </c>
    </row>
    <row r="103" spans="1:22" x14ac:dyDescent="0.35">
      <c r="A103" s="59" t="s">
        <v>1563</v>
      </c>
      <c r="B103" s="146">
        <v>1059.6093043685014</v>
      </c>
      <c r="C103" s="145">
        <v>1729.8680294582298</v>
      </c>
      <c r="D103" s="232">
        <v>312.51983523179319</v>
      </c>
      <c r="E103" s="145">
        <v>8.1054760972511666</v>
      </c>
      <c r="F103" s="145">
        <v>215.03102393258155</v>
      </c>
      <c r="G103" s="144">
        <v>255.59210718463245</v>
      </c>
      <c r="H103" s="145">
        <v>81.19165976703006</v>
      </c>
      <c r="I103" s="232">
        <v>2135.5594563045274</v>
      </c>
      <c r="J103" s="144">
        <v>1.0677797281522636</v>
      </c>
      <c r="K103" s="145">
        <v>2424.2295413103839</v>
      </c>
      <c r="L103" s="145">
        <v>1.212114770655192</v>
      </c>
      <c r="M103" s="232">
        <v>2679.8216484950162</v>
      </c>
      <c r="N103" s="144">
        <v>1.3399108242475082</v>
      </c>
      <c r="O103" s="145">
        <v>2216.7511160715576</v>
      </c>
      <c r="P103" s="145">
        <v>1.1083755580357788</v>
      </c>
      <c r="Q103" s="232">
        <v>2505.421201077414</v>
      </c>
      <c r="R103" s="144">
        <v>1.252710600538707</v>
      </c>
      <c r="S103" s="145">
        <v>2761.0133082620464</v>
      </c>
      <c r="T103" s="145">
        <v>1.3805066541310231</v>
      </c>
      <c r="U103" s="232">
        <v>2597.3558932375886</v>
      </c>
      <c r="V103" s="144">
        <v>1.2986779466187943</v>
      </c>
    </row>
    <row r="104" spans="1:22" x14ac:dyDescent="0.35">
      <c r="A104" s="59" t="s">
        <v>1522</v>
      </c>
      <c r="B104" s="146">
        <v>1345.3643044150815</v>
      </c>
      <c r="C104" s="145">
        <v>1423.5404073565626</v>
      </c>
      <c r="D104" s="232">
        <v>17.763951787777494</v>
      </c>
      <c r="E104" s="145">
        <v>0.79219873632978799</v>
      </c>
      <c r="F104" s="145">
        <v>25.316146435121293</v>
      </c>
      <c r="G104" s="144">
        <v>15.031432628340514</v>
      </c>
      <c r="H104" s="145">
        <v>14.664032236521997</v>
      </c>
      <c r="I104" s="232">
        <v>1508.5078221853087</v>
      </c>
      <c r="J104" s="144">
        <v>0.75425391109265438</v>
      </c>
      <c r="K104" s="145">
        <v>1590.9637002432237</v>
      </c>
      <c r="L104" s="145">
        <v>0.79548185012161188</v>
      </c>
      <c r="M104" s="232">
        <v>1605.9951328715642</v>
      </c>
      <c r="N104" s="144">
        <v>0.80299756643578213</v>
      </c>
      <c r="O104" s="145">
        <v>1523.1718544218306</v>
      </c>
      <c r="P104" s="145">
        <v>0.76158592721091534</v>
      </c>
      <c r="Q104" s="232">
        <v>1605.6277324797456</v>
      </c>
      <c r="R104" s="144">
        <v>0.80281386623987283</v>
      </c>
      <c r="S104" s="145">
        <v>1620.6591651080862</v>
      </c>
      <c r="T104" s="145">
        <v>0.81032958255404308</v>
      </c>
      <c r="U104" s="232">
        <v>1597.2183389212732</v>
      </c>
      <c r="V104" s="144">
        <v>0.79860916946063665</v>
      </c>
    </row>
    <row r="105" spans="1:22" x14ac:dyDescent="0.35">
      <c r="A105" s="59" t="s">
        <v>1521</v>
      </c>
      <c r="B105" s="146">
        <v>599.60404834484564</v>
      </c>
      <c r="C105" s="145">
        <v>670.71230764830284</v>
      </c>
      <c r="D105" s="232">
        <v>10.947409869505986</v>
      </c>
      <c r="E105" s="145">
        <v>0.38961022962555109</v>
      </c>
      <c r="F105" s="145">
        <v>11.833283982124616</v>
      </c>
      <c r="G105" s="144">
        <v>8.3309344437917687</v>
      </c>
      <c r="H105" s="145">
        <v>6.3820237265312123</v>
      </c>
      <c r="I105" s="232">
        <v>713.37818627035529</v>
      </c>
      <c r="J105" s="144">
        <v>0.35668909313517766</v>
      </c>
      <c r="K105" s="145">
        <v>752.21748018599578</v>
      </c>
      <c r="L105" s="145">
        <v>0.37610874009299788</v>
      </c>
      <c r="M105" s="232">
        <v>760.54841462978754</v>
      </c>
      <c r="N105" s="144">
        <v>0.38027420731489375</v>
      </c>
      <c r="O105" s="145">
        <v>719.76020999688649</v>
      </c>
      <c r="P105" s="145">
        <v>0.35988010499844325</v>
      </c>
      <c r="Q105" s="232">
        <v>758.59950391252698</v>
      </c>
      <c r="R105" s="144">
        <v>0.37929975195626348</v>
      </c>
      <c r="S105" s="145">
        <v>766.93043835631875</v>
      </c>
      <c r="T105" s="145">
        <v>0.3834652191781594</v>
      </c>
      <c r="U105" s="232">
        <v>755.38631169371433</v>
      </c>
      <c r="V105" s="144">
        <v>0.37769315584685714</v>
      </c>
    </row>
    <row r="106" spans="1:22" x14ac:dyDescent="0.35">
      <c r="A106" s="59" t="s">
        <v>1520</v>
      </c>
      <c r="B106" s="146">
        <v>3785.3646608752806</v>
      </c>
      <c r="C106" s="145">
        <v>7686.9798235775825</v>
      </c>
      <c r="D106" s="232">
        <v>1087.9030850505242</v>
      </c>
      <c r="E106" s="145">
        <v>32.722759123716152</v>
      </c>
      <c r="F106" s="145">
        <v>759.1126578490489</v>
      </c>
      <c r="G106" s="144">
        <v>1056.4680042729503</v>
      </c>
      <c r="H106" s="145">
        <v>220.49172555738892</v>
      </c>
      <c r="I106" s="232">
        <v>9181.099731530112</v>
      </c>
      <c r="J106" s="144">
        <v>4.5905498657650563</v>
      </c>
      <c r="K106" s="145">
        <v>10259.003622298647</v>
      </c>
      <c r="L106" s="145">
        <v>5.129501811149324</v>
      </c>
      <c r="M106" s="232">
        <v>11315.471626571598</v>
      </c>
      <c r="N106" s="144">
        <v>5.6577358132857993</v>
      </c>
      <c r="O106" s="145">
        <v>9401.5914570875011</v>
      </c>
      <c r="P106" s="145">
        <v>4.7007957285437509</v>
      </c>
      <c r="Q106" s="232">
        <v>10479.495347856036</v>
      </c>
      <c r="R106" s="144">
        <v>5.2397476739280187</v>
      </c>
      <c r="S106" s="145">
        <v>11535.963352128987</v>
      </c>
      <c r="T106" s="145">
        <v>5.7679816760644931</v>
      </c>
      <c r="U106" s="232">
        <v>10883.8254934591</v>
      </c>
      <c r="V106" s="144">
        <v>5.4419127467295505</v>
      </c>
    </row>
    <row r="107" spans="1:22" x14ac:dyDescent="0.35">
      <c r="A107" s="59" t="s">
        <v>1519</v>
      </c>
      <c r="B107" s="146">
        <v>3.5391912231366294</v>
      </c>
      <c r="C107" s="145">
        <v>7.6425430392006346</v>
      </c>
      <c r="D107" s="232">
        <v>1.3700708971813995</v>
      </c>
      <c r="E107" s="145">
        <v>3.6076215651044796E-2</v>
      </c>
      <c r="F107" s="145">
        <v>1.0077444842080769</v>
      </c>
      <c r="G107" s="144">
        <v>0.90509868477109734</v>
      </c>
      <c r="H107" s="145">
        <v>0.47271161247710464</v>
      </c>
      <c r="I107" s="232">
        <v>9.4243519778072553</v>
      </c>
      <c r="J107" s="144">
        <v>4.7121759889036273E-3</v>
      </c>
      <c r="K107" s="145">
        <v>10.756752024417581</v>
      </c>
      <c r="L107" s="145">
        <v>5.3783760122087911E-3</v>
      </c>
      <c r="M107" s="232">
        <v>11.661850709188679</v>
      </c>
      <c r="N107" s="144">
        <v>5.830925354594339E-3</v>
      </c>
      <c r="O107" s="145">
        <v>9.8970635902843593</v>
      </c>
      <c r="P107" s="145">
        <v>4.9485317951421795E-3</v>
      </c>
      <c r="Q107" s="232">
        <v>11.229463636894685</v>
      </c>
      <c r="R107" s="144">
        <v>5.6147318184473424E-3</v>
      </c>
      <c r="S107" s="145">
        <v>12.134562321665783</v>
      </c>
      <c r="T107" s="145">
        <v>6.0672811608328912E-3</v>
      </c>
      <c r="U107" s="232">
        <v>11.489576240553024</v>
      </c>
      <c r="V107" s="144">
        <v>5.7447881202765125E-3</v>
      </c>
    </row>
    <row r="108" spans="1:22" x14ac:dyDescent="0.35">
      <c r="A108" s="59" t="s">
        <v>1518</v>
      </c>
      <c r="B108" s="146">
        <v>10.175091171231708</v>
      </c>
      <c r="C108" s="145">
        <v>15.86767193655221</v>
      </c>
      <c r="D108" s="232">
        <v>3.3385737492054952</v>
      </c>
      <c r="E108" s="145">
        <v>8.7919345804498672E-2</v>
      </c>
      <c r="F108" s="145">
        <v>2.4244665471702795</v>
      </c>
      <c r="G108" s="144">
        <v>2.2535658449806153</v>
      </c>
      <c r="H108" s="145">
        <v>1.1097448265457535</v>
      </c>
      <c r="I108" s="232">
        <v>20.081535014332179</v>
      </c>
      <c r="J108" s="144">
        <v>1.0040767507166089E-2</v>
      </c>
      <c r="K108" s="145">
        <v>23.186309812813807</v>
      </c>
      <c r="L108" s="145">
        <v>1.1593154906406904E-2</v>
      </c>
      <c r="M108" s="232">
        <v>25.439875657794424</v>
      </c>
      <c r="N108" s="144">
        <v>1.2719937828897212E-2</v>
      </c>
      <c r="O108" s="145">
        <v>21.191279840877932</v>
      </c>
      <c r="P108" s="145">
        <v>1.0595639920438967E-2</v>
      </c>
      <c r="Q108" s="232">
        <v>24.296054639359561</v>
      </c>
      <c r="R108" s="144">
        <v>1.214802731967978E-2</v>
      </c>
      <c r="S108" s="145">
        <v>26.549620484340178</v>
      </c>
      <c r="T108" s="145">
        <v>1.3274810242170089E-2</v>
      </c>
      <c r="U108" s="232">
        <v>24.988579532178349</v>
      </c>
      <c r="V108" s="144">
        <v>1.2494289766089175E-2</v>
      </c>
    </row>
    <row r="109" spans="1:22" x14ac:dyDescent="0.35">
      <c r="A109" s="59" t="s">
        <v>1531</v>
      </c>
      <c r="B109" s="146">
        <v>3898.3545831292481</v>
      </c>
      <c r="C109" s="145">
        <v>3141.0589067383698</v>
      </c>
      <c r="D109" s="232">
        <v>327.94257043307664</v>
      </c>
      <c r="E109" s="145">
        <v>11.252002701975167</v>
      </c>
      <c r="F109" s="145">
        <v>373.52138142062273</v>
      </c>
      <c r="G109" s="144">
        <v>186.3202904770489</v>
      </c>
      <c r="H109" s="145">
        <v>228.68669943764658</v>
      </c>
      <c r="I109" s="232">
        <v>3631.1219205315151</v>
      </c>
      <c r="J109" s="144">
        <v>1.8155609602657576</v>
      </c>
      <c r="K109" s="145">
        <v>4132.4798970780967</v>
      </c>
      <c r="L109" s="145">
        <v>2.0662399485390481</v>
      </c>
      <c r="M109" s="232">
        <v>4318.8001875551454</v>
      </c>
      <c r="N109" s="144">
        <v>2.1594000937775726</v>
      </c>
      <c r="O109" s="145">
        <v>3859.8086199691616</v>
      </c>
      <c r="P109" s="145">
        <v>1.9299043099845807</v>
      </c>
      <c r="Q109" s="232">
        <v>4361.1665965157435</v>
      </c>
      <c r="R109" s="144">
        <v>2.1805832982578717</v>
      </c>
      <c r="S109" s="145">
        <v>4547.4868869927923</v>
      </c>
      <c r="T109" s="145">
        <v>2.2737434434963961</v>
      </c>
      <c r="U109" s="232">
        <v>4366.7995971696901</v>
      </c>
      <c r="V109" s="144">
        <v>2.183399798584845</v>
      </c>
    </row>
    <row r="110" spans="1:22" x14ac:dyDescent="0.35">
      <c r="A110" s="59" t="s">
        <v>1530</v>
      </c>
      <c r="B110" s="146">
        <v>2.7777580914368207</v>
      </c>
      <c r="C110" s="145">
        <v>12.448597453966663</v>
      </c>
      <c r="D110" s="232">
        <v>3.5384007429728168</v>
      </c>
      <c r="E110" s="145">
        <v>0.10609235057828592</v>
      </c>
      <c r="F110" s="145">
        <v>3.3070042951715419</v>
      </c>
      <c r="G110" s="144">
        <v>2.1397338206952612</v>
      </c>
      <c r="H110" s="145">
        <v>1.8517705111034757</v>
      </c>
      <c r="I110" s="232">
        <v>16.724590639360915</v>
      </c>
      <c r="J110" s="144">
        <v>8.3622953196804579E-3</v>
      </c>
      <c r="K110" s="145">
        <v>20.564045867956658</v>
      </c>
      <c r="L110" s="145">
        <v>1.0282022933978329E-2</v>
      </c>
      <c r="M110" s="232">
        <v>22.70377968865192</v>
      </c>
      <c r="N110" s="144">
        <v>1.135188984432596E-2</v>
      </c>
      <c r="O110" s="145">
        <v>18.57636115046439</v>
      </c>
      <c r="P110" s="145">
        <v>9.2881805752321953E-3</v>
      </c>
      <c r="Q110" s="232">
        <v>22.415816379060132</v>
      </c>
      <c r="R110" s="144">
        <v>1.1207908189530066E-2</v>
      </c>
      <c r="S110" s="145">
        <v>24.555550199755395</v>
      </c>
      <c r="T110" s="145">
        <v>1.2277775099877698E-2</v>
      </c>
      <c r="U110" s="232">
        <v>22.885252150602199</v>
      </c>
      <c r="V110" s="144">
        <v>1.14426260753011E-2</v>
      </c>
    </row>
    <row r="111" spans="1:22" x14ac:dyDescent="0.35">
      <c r="A111" s="59" t="s">
        <v>1529</v>
      </c>
      <c r="B111" s="155">
        <v>360003.18375880335</v>
      </c>
      <c r="C111" s="48">
        <v>1833947.7900441941</v>
      </c>
      <c r="D111" s="49">
        <v>208766.23786651806</v>
      </c>
      <c r="E111" s="48">
        <v>15125.179642115056</v>
      </c>
      <c r="F111" s="48">
        <v>283500.85839035572</v>
      </c>
      <c r="G111" s="47">
        <v>200586.73770237906</v>
      </c>
      <c r="H111" s="48">
        <v>119817.08672139455</v>
      </c>
      <c r="I111" s="49">
        <v>2146185.0851852279</v>
      </c>
      <c r="J111" s="47">
        <v>1073.0925425926139</v>
      </c>
      <c r="K111" s="48">
        <v>2496443.8539001504</v>
      </c>
      <c r="L111" s="48">
        <v>1248.2219269500752</v>
      </c>
      <c r="M111" s="49">
        <v>2697030.5916025294</v>
      </c>
      <c r="N111" s="47">
        <v>1348.5152958012648</v>
      </c>
      <c r="O111" s="48">
        <v>2266002.1719066226</v>
      </c>
      <c r="P111" s="48">
        <v>1133.0010859533113</v>
      </c>
      <c r="Q111" s="49">
        <v>2616260.9406215451</v>
      </c>
      <c r="R111" s="47">
        <v>1308.1304703107726</v>
      </c>
      <c r="S111" s="48">
        <v>2816847.6783239241</v>
      </c>
      <c r="T111" s="48">
        <v>1408.423839161962</v>
      </c>
      <c r="U111" s="49">
        <v>2662307.2095687194</v>
      </c>
      <c r="V111" s="47">
        <v>1331.1536047843597</v>
      </c>
    </row>
    <row r="112" spans="1:22" x14ac:dyDescent="0.35">
      <c r="A112" s="59" t="s">
        <v>1528</v>
      </c>
      <c r="B112" s="155">
        <v>369384.62695699401</v>
      </c>
      <c r="C112" s="48">
        <v>1874458.503444466</v>
      </c>
      <c r="D112" s="49">
        <v>208963.13412400277</v>
      </c>
      <c r="E112" s="48">
        <v>15130.842683031224</v>
      </c>
      <c r="F112" s="48">
        <v>283676.12529562914</v>
      </c>
      <c r="G112" s="47">
        <v>200702.86172813072</v>
      </c>
      <c r="H112" s="48">
        <v>119914.24345815019</v>
      </c>
      <c r="I112" s="49">
        <v>2188783.6416259068</v>
      </c>
      <c r="J112" s="47">
        <v>1094.3918208129535</v>
      </c>
      <c r="K112" s="48">
        <v>2540848.58843434</v>
      </c>
      <c r="L112" s="48">
        <v>1270.42429421717</v>
      </c>
      <c r="M112" s="49">
        <v>2741551.4501624703</v>
      </c>
      <c r="N112" s="47">
        <v>1370.7757250812351</v>
      </c>
      <c r="O112" s="48">
        <v>2308697.8850840572</v>
      </c>
      <c r="P112" s="48">
        <v>1154.3489425420287</v>
      </c>
      <c r="Q112" s="49">
        <v>2660762.8318924899</v>
      </c>
      <c r="R112" s="47">
        <v>1330.3814159462449</v>
      </c>
      <c r="S112" s="48">
        <v>2861465.6936206212</v>
      </c>
      <c r="T112" s="48">
        <v>1430.7328468103105</v>
      </c>
      <c r="U112" s="49">
        <v>2706497.439429333</v>
      </c>
      <c r="V112" s="47">
        <v>1353.2487197146665</v>
      </c>
    </row>
    <row r="113" spans="1:22" x14ac:dyDescent="0.35">
      <c r="A113" s="57" t="s">
        <v>1527</v>
      </c>
      <c r="B113" s="45">
        <v>487071.37034510222</v>
      </c>
      <c r="C113" s="152">
        <v>1971989.1489719183</v>
      </c>
      <c r="D113" s="45">
        <v>219739.08743388287</v>
      </c>
      <c r="E113" s="44">
        <v>15496.517236993725</v>
      </c>
      <c r="F113" s="44">
        <v>295758.12287646829</v>
      </c>
      <c r="G113" s="43">
        <v>206859.49990492643</v>
      </c>
      <c r="H113" s="44">
        <v>127265.56362672201</v>
      </c>
      <c r="I113" s="45">
        <v>2302149.315761283</v>
      </c>
      <c r="J113" s="43">
        <v>1151.0746578806416</v>
      </c>
      <c r="K113" s="44">
        <v>2670272.4575016913</v>
      </c>
      <c r="L113" s="44">
        <v>1335.1362287508457</v>
      </c>
      <c r="M113" s="45">
        <v>2877131.9574066177</v>
      </c>
      <c r="N113" s="43">
        <v>1438.5659787033087</v>
      </c>
      <c r="O113" s="44">
        <v>2429414.879388005</v>
      </c>
      <c r="P113" s="44">
        <v>1214.7074396940027</v>
      </c>
      <c r="Q113" s="45">
        <v>2797538.0211284133</v>
      </c>
      <c r="R113" s="43">
        <v>1398.7690105642066</v>
      </c>
      <c r="S113" s="44">
        <v>3004397.5210333401</v>
      </c>
      <c r="T113" s="44">
        <v>1502.1987605166701</v>
      </c>
      <c r="U113" s="45">
        <v>2843566.0191643331</v>
      </c>
      <c r="V113" s="43">
        <v>1421.7830095821666</v>
      </c>
    </row>
    <row r="114" spans="1:22" ht="13.15" x14ac:dyDescent="0.4">
      <c r="A114" s="128" t="s">
        <v>1993</v>
      </c>
      <c r="B114" s="146"/>
      <c r="C114" s="145"/>
      <c r="D114" s="232"/>
      <c r="E114" s="145"/>
      <c r="F114" s="145"/>
      <c r="G114" s="144"/>
      <c r="H114" s="145"/>
      <c r="I114" s="232"/>
      <c r="J114" s="144"/>
      <c r="K114" s="145"/>
      <c r="L114" s="145"/>
      <c r="M114" s="232"/>
      <c r="N114" s="144"/>
      <c r="O114" s="145"/>
      <c r="P114" s="145"/>
      <c r="Q114" s="232"/>
      <c r="R114" s="144"/>
      <c r="S114" s="145"/>
      <c r="T114" s="145"/>
      <c r="U114" s="232"/>
      <c r="V114" s="144"/>
    </row>
    <row r="115" spans="1:22" x14ac:dyDescent="0.35">
      <c r="A115" s="59" t="s">
        <v>1525</v>
      </c>
      <c r="B115" s="146">
        <v>2.2754232019077008</v>
      </c>
      <c r="C115" s="145">
        <v>3.1822841440702963</v>
      </c>
      <c r="D115" s="232">
        <v>1.132571636854286</v>
      </c>
      <c r="E115" s="145">
        <v>4.4806347208553754E-2</v>
      </c>
      <c r="F115" s="145">
        <v>1.5005838626137415</v>
      </c>
      <c r="G115" s="144">
        <v>0.74573626203327381</v>
      </c>
      <c r="H115" s="145">
        <v>0.9217514725413265</v>
      </c>
      <c r="I115" s="232">
        <v>4.5245155354401758</v>
      </c>
      <c r="J115" s="144">
        <v>2.2622577677200877E-3</v>
      </c>
      <c r="K115" s="145">
        <v>6.1524198078316044</v>
      </c>
      <c r="L115" s="145">
        <v>3.0762099039158023E-3</v>
      </c>
      <c r="M115" s="232">
        <v>6.8981560698648785</v>
      </c>
      <c r="N115" s="144">
        <v>3.4490780349324393E-3</v>
      </c>
      <c r="O115" s="145">
        <v>5.4462670079815023</v>
      </c>
      <c r="P115" s="145">
        <v>2.723133503990751E-3</v>
      </c>
      <c r="Q115" s="232">
        <v>7.0741712803729309</v>
      </c>
      <c r="R115" s="144">
        <v>3.5370856401864656E-3</v>
      </c>
      <c r="S115" s="145">
        <v>7.819907542406205</v>
      </c>
      <c r="T115" s="145">
        <v>3.9099537712031021E-3</v>
      </c>
      <c r="U115" s="232">
        <v>7.1766337635942383</v>
      </c>
      <c r="V115" s="144">
        <v>3.5883168817971191E-3</v>
      </c>
    </row>
    <row r="116" spans="1:22" x14ac:dyDescent="0.35">
      <c r="A116" s="59" t="s">
        <v>1524</v>
      </c>
      <c r="B116" s="146">
        <v>6.0582949074773298</v>
      </c>
      <c r="C116" s="145">
        <v>25.879995638847529</v>
      </c>
      <c r="D116" s="232">
        <v>7.7261880724698209</v>
      </c>
      <c r="E116" s="145">
        <v>0.35066590040594131</v>
      </c>
      <c r="F116" s="145">
        <v>11.743952009049696</v>
      </c>
      <c r="G116" s="144">
        <v>5.83632217493812</v>
      </c>
      <c r="H116" s="145">
        <v>7.2138621022760141</v>
      </c>
      <c r="I116" s="232">
        <v>35.275256430169385</v>
      </c>
      <c r="J116" s="144">
        <v>1.7637628215084692E-2</v>
      </c>
      <c r="K116" s="145">
        <v>48.010472618281881</v>
      </c>
      <c r="L116" s="145">
        <v>2.4005236309140941E-2</v>
      </c>
      <c r="M116" s="232">
        <v>53.846794793219999</v>
      </c>
      <c r="N116" s="144">
        <v>2.692339739661E-2</v>
      </c>
      <c r="O116" s="145">
        <v>42.489118532445403</v>
      </c>
      <c r="P116" s="145">
        <v>2.12445592662227E-2</v>
      </c>
      <c r="Q116" s="232">
        <v>55.224334720557891</v>
      </c>
      <c r="R116" s="144">
        <v>2.7612167360278946E-2</v>
      </c>
      <c r="S116" s="145">
        <v>61.06065689549601</v>
      </c>
      <c r="T116" s="145">
        <v>3.0530328447748004E-2</v>
      </c>
      <c r="U116" s="232">
        <v>56.02732476547915</v>
      </c>
      <c r="V116" s="144">
        <v>2.8013662382739574E-2</v>
      </c>
    </row>
    <row r="117" spans="1:22" x14ac:dyDescent="0.35">
      <c r="A117" s="59" t="s">
        <v>1523</v>
      </c>
      <c r="B117" s="146">
        <v>26.079394236021876</v>
      </c>
      <c r="C117" s="145">
        <v>73.038422464304389</v>
      </c>
      <c r="D117" s="232">
        <v>17.649509402343366</v>
      </c>
      <c r="E117" s="145">
        <v>0.91839386611622409</v>
      </c>
      <c r="F117" s="145">
        <v>30.757406056844548</v>
      </c>
      <c r="G117" s="144">
        <v>15.285325661652085</v>
      </c>
      <c r="H117" s="145">
        <v>18.893102232264642</v>
      </c>
      <c r="I117" s="232">
        <v>95.264798673603025</v>
      </c>
      <c r="J117" s="144">
        <v>4.7632399336801509E-2</v>
      </c>
      <c r="K117" s="145">
        <v>128.72894365988998</v>
      </c>
      <c r="L117" s="145">
        <v>6.4364471829944994E-2</v>
      </c>
      <c r="M117" s="232">
        <v>144.01426932154206</v>
      </c>
      <c r="N117" s="144">
        <v>7.2007134660771036E-2</v>
      </c>
      <c r="O117" s="145">
        <v>114.15790090586766</v>
      </c>
      <c r="P117" s="145">
        <v>5.7078950452933833E-2</v>
      </c>
      <c r="Q117" s="232">
        <v>147.62204589215463</v>
      </c>
      <c r="R117" s="144">
        <v>7.3811022946077318E-2</v>
      </c>
      <c r="S117" s="145">
        <v>162.90737155380671</v>
      </c>
      <c r="T117" s="145">
        <v>8.1453685776903359E-2</v>
      </c>
      <c r="U117" s="232">
        <v>149.70173604571602</v>
      </c>
      <c r="V117" s="144">
        <v>7.4850868022858008E-2</v>
      </c>
    </row>
    <row r="118" spans="1:22" x14ac:dyDescent="0.35">
      <c r="A118" s="59" t="s">
        <v>1522</v>
      </c>
      <c r="B118" s="146">
        <v>1.62545178981639</v>
      </c>
      <c r="C118" s="145">
        <v>7.7740486789084926</v>
      </c>
      <c r="D118" s="232">
        <v>1.9170639925992377</v>
      </c>
      <c r="E118" s="145">
        <v>0.11318121899345243</v>
      </c>
      <c r="F118" s="145">
        <v>3.7904877624146902</v>
      </c>
      <c r="G118" s="144">
        <v>1.8837362213814559</v>
      </c>
      <c r="H118" s="145">
        <v>2.3283521592521379</v>
      </c>
      <c r="I118" s="232">
        <v>10.194271022255652</v>
      </c>
      <c r="J118" s="144">
        <v>5.0971355111278259E-3</v>
      </c>
      <c r="K118" s="145">
        <v>14.258929784718495</v>
      </c>
      <c r="L118" s="145">
        <v>7.1294648923592475E-3</v>
      </c>
      <c r="M118" s="232">
        <v>16.142666006099951</v>
      </c>
      <c r="N118" s="144">
        <v>8.0713330030499752E-3</v>
      </c>
      <c r="O118" s="145">
        <v>12.52262318150779</v>
      </c>
      <c r="P118" s="145">
        <v>6.2613115907538949E-3</v>
      </c>
      <c r="Q118" s="232">
        <v>16.587281943970634</v>
      </c>
      <c r="R118" s="144">
        <v>8.2936409719853166E-3</v>
      </c>
      <c r="S118" s="145">
        <v>18.471018165352088</v>
      </c>
      <c r="T118" s="145">
        <v>9.2355090826760442E-3</v>
      </c>
      <c r="U118" s="232">
        <v>16.856113205477087</v>
      </c>
      <c r="V118" s="144">
        <v>8.4280566027385428E-3</v>
      </c>
    </row>
    <row r="119" spans="1:22" x14ac:dyDescent="0.35">
      <c r="A119" s="59" t="s">
        <v>1521</v>
      </c>
      <c r="B119" s="146">
        <v>1.3239854660557393</v>
      </c>
      <c r="C119" s="145">
        <v>5.7925531865859359</v>
      </c>
      <c r="D119" s="232">
        <v>1.4124071911845375</v>
      </c>
      <c r="E119" s="145">
        <v>8.331008115594174E-2</v>
      </c>
      <c r="F119" s="145">
        <v>2.7900904930670536</v>
      </c>
      <c r="G119" s="144">
        <v>1.3865747239279587</v>
      </c>
      <c r="H119" s="145">
        <v>1.7138462465060509</v>
      </c>
      <c r="I119" s="232">
        <v>7.578607550608897</v>
      </c>
      <c r="J119" s="144">
        <v>3.7893037753044486E-3</v>
      </c>
      <c r="K119" s="145">
        <v>10.573384614055641</v>
      </c>
      <c r="L119" s="145">
        <v>5.2866923070278207E-3</v>
      </c>
      <c r="M119" s="232">
        <v>11.9599593379836</v>
      </c>
      <c r="N119" s="144">
        <v>5.9799796689918002E-3</v>
      </c>
      <c r="O119" s="145">
        <v>9.2924537971149483</v>
      </c>
      <c r="P119" s="145">
        <v>4.6462268985574739E-3</v>
      </c>
      <c r="Q119" s="232">
        <v>12.287230860561692</v>
      </c>
      <c r="R119" s="144">
        <v>6.1436154302808464E-3</v>
      </c>
      <c r="S119" s="145">
        <v>13.673805584489651</v>
      </c>
      <c r="T119" s="145">
        <v>6.8369027922448259E-3</v>
      </c>
      <c r="U119" s="232">
        <v>12.48450458508335</v>
      </c>
      <c r="V119" s="144">
        <v>6.2422522925416751E-3</v>
      </c>
    </row>
    <row r="120" spans="1:22" x14ac:dyDescent="0.35">
      <c r="A120" s="59" t="s">
        <v>1520</v>
      </c>
      <c r="B120" s="146">
        <v>31.52669077527738</v>
      </c>
      <c r="C120" s="145">
        <v>254.6648529790516</v>
      </c>
      <c r="D120" s="232">
        <v>64.157531363571238</v>
      </c>
      <c r="E120" s="145">
        <v>3.7967478842508595</v>
      </c>
      <c r="F120" s="145">
        <v>127.15472160676504</v>
      </c>
      <c r="G120" s="144">
        <v>63.191327824720652</v>
      </c>
      <c r="H120" s="145">
        <v>78.106299022480769</v>
      </c>
      <c r="I120" s="232">
        <v>335.41449759099891</v>
      </c>
      <c r="J120" s="144">
        <v>0.16770724879549945</v>
      </c>
      <c r="K120" s="145">
        <v>471.51443411012713</v>
      </c>
      <c r="L120" s="145">
        <v>0.23575721705506356</v>
      </c>
      <c r="M120" s="232">
        <v>534.70576193484783</v>
      </c>
      <c r="N120" s="144">
        <v>0.26735288096742393</v>
      </c>
      <c r="O120" s="145">
        <v>413.52079661347966</v>
      </c>
      <c r="P120" s="145">
        <v>0.20676039830673984</v>
      </c>
      <c r="Q120" s="232">
        <v>549.62073313260794</v>
      </c>
      <c r="R120" s="144">
        <v>0.27481036656630398</v>
      </c>
      <c r="S120" s="145">
        <v>612.81206095732864</v>
      </c>
      <c r="T120" s="145">
        <v>0.30640603047866433</v>
      </c>
      <c r="U120" s="232">
        <v>558.6920605662549</v>
      </c>
      <c r="V120" s="144">
        <v>0.27934603028312743</v>
      </c>
    </row>
    <row r="121" spans="1:22" x14ac:dyDescent="0.35">
      <c r="A121" s="59" t="s">
        <v>1519</v>
      </c>
      <c r="B121" s="146">
        <v>0.10269667969354571</v>
      </c>
      <c r="C121" s="145">
        <v>0.32721902867361097</v>
      </c>
      <c r="D121" s="232">
        <v>8.5268386346877459E-2</v>
      </c>
      <c r="E121" s="145">
        <v>4.9633089533190778E-3</v>
      </c>
      <c r="F121" s="145">
        <v>0.16622335415673151</v>
      </c>
      <c r="G121" s="144">
        <v>8.2607034421628769E-2</v>
      </c>
      <c r="H121" s="145">
        <v>0.10210467090979539</v>
      </c>
      <c r="I121" s="232">
        <v>0.43393398193632993</v>
      </c>
      <c r="J121" s="144">
        <v>2.1696699096816497E-4</v>
      </c>
      <c r="K121" s="145">
        <v>0.61167664413120781</v>
      </c>
      <c r="L121" s="145">
        <v>3.058383220656039E-4</v>
      </c>
      <c r="M121" s="232">
        <v>0.69428367855283657</v>
      </c>
      <c r="N121" s="144">
        <v>3.471418392764183E-4</v>
      </c>
      <c r="O121" s="145">
        <v>0.53603865284612529</v>
      </c>
      <c r="P121" s="145">
        <v>2.6801932642306266E-4</v>
      </c>
      <c r="Q121" s="232">
        <v>0.71378131504100317</v>
      </c>
      <c r="R121" s="144">
        <v>3.5689065752050159E-4</v>
      </c>
      <c r="S121" s="145">
        <v>0.79638834946263193</v>
      </c>
      <c r="T121" s="145">
        <v>3.9819417473131594E-4</v>
      </c>
      <c r="U121" s="232">
        <v>0.72567661990201804</v>
      </c>
      <c r="V121" s="144">
        <v>3.6283830995100902E-4</v>
      </c>
    </row>
    <row r="122" spans="1:22" x14ac:dyDescent="0.35">
      <c r="A122" s="57" t="s">
        <v>1518</v>
      </c>
      <c r="B122" s="143">
        <v>0.56432958438787251</v>
      </c>
      <c r="C122" s="142">
        <v>1.0863531906454789</v>
      </c>
      <c r="D122" s="231">
        <v>0.21781054676065897</v>
      </c>
      <c r="E122" s="142">
        <v>1.2770300409968986E-2</v>
      </c>
      <c r="F122" s="142">
        <v>0.42768285990228666</v>
      </c>
      <c r="G122" s="141">
        <v>0.21254301423960342</v>
      </c>
      <c r="H122" s="142">
        <v>0.26270927984588904</v>
      </c>
      <c r="I122" s="231">
        <v>1.3706785970208588</v>
      </c>
      <c r="J122" s="141">
        <v>6.8533929851042935E-4</v>
      </c>
      <c r="K122" s="142">
        <v>1.8377669432795063</v>
      </c>
      <c r="L122" s="142">
        <v>9.1888347163975319E-4</v>
      </c>
      <c r="M122" s="231">
        <v>2.0503099575191097</v>
      </c>
      <c r="N122" s="141">
        <v>1.0251549787595549E-3</v>
      </c>
      <c r="O122" s="142">
        <v>1.6333878768667478</v>
      </c>
      <c r="P122" s="142">
        <v>8.1669393843337393E-4</v>
      </c>
      <c r="Q122" s="231">
        <v>2.1004762231253955</v>
      </c>
      <c r="R122" s="141">
        <v>1.0502381115626977E-3</v>
      </c>
      <c r="S122" s="142">
        <v>2.3130192373649989</v>
      </c>
      <c r="T122" s="142">
        <v>1.1565096186824996E-3</v>
      </c>
      <c r="U122" s="231">
        <v>2.1290213045801041</v>
      </c>
      <c r="V122" s="141">
        <v>1.0645106522900521E-3</v>
      </c>
    </row>
    <row r="124" spans="1:22" ht="13.15" x14ac:dyDescent="0.4">
      <c r="A124" s="41" t="s">
        <v>2000</v>
      </c>
    </row>
    <row r="125" spans="1:22" ht="65.650000000000006" x14ac:dyDescent="0.4">
      <c r="A125" s="61"/>
      <c r="B125" s="503" t="s">
        <v>1331</v>
      </c>
      <c r="C125" s="502" t="s">
        <v>1330</v>
      </c>
      <c r="D125" s="501" t="s">
        <v>1310</v>
      </c>
      <c r="E125" s="502" t="s">
        <v>323</v>
      </c>
      <c r="F125" s="501"/>
    </row>
    <row r="126" spans="1:22" x14ac:dyDescent="0.35">
      <c r="A126" s="91" t="s">
        <v>1997</v>
      </c>
      <c r="B126" s="438"/>
      <c r="C126" s="440">
        <v>1.0429999999999999</v>
      </c>
      <c r="D126" s="437">
        <v>1</v>
      </c>
      <c r="E126" s="69"/>
      <c r="F126" s="68"/>
    </row>
    <row r="127" spans="1:22" ht="13.15" x14ac:dyDescent="0.4">
      <c r="A127" s="128" t="s">
        <v>1996</v>
      </c>
      <c r="B127" s="59"/>
      <c r="D127" s="99"/>
      <c r="E127" s="216" t="s">
        <v>1873</v>
      </c>
      <c r="F127" s="215" t="s">
        <v>1872</v>
      </c>
    </row>
    <row r="128" spans="1:22" x14ac:dyDescent="0.35">
      <c r="A128" s="59" t="s">
        <v>1905</v>
      </c>
      <c r="B128" s="232">
        <v>11.830511220314971</v>
      </c>
      <c r="C128" s="145">
        <v>4.6085695368888846</v>
      </c>
      <c r="D128" s="144">
        <v>1.1191778286585157</v>
      </c>
      <c r="E128" s="145">
        <v>18.066970568335911</v>
      </c>
      <c r="F128" s="144">
        <v>9.0334852841679556E-3</v>
      </c>
    </row>
    <row r="129" spans="1:6" x14ac:dyDescent="0.35">
      <c r="A129" s="59" t="s">
        <v>1536</v>
      </c>
      <c r="B129" s="232">
        <v>9.8446705492615312</v>
      </c>
      <c r="C129" s="145">
        <v>4.1790156518350514</v>
      </c>
      <c r="D129" s="144">
        <v>0.90451748004182386</v>
      </c>
      <c r="E129" s="145">
        <v>15.351524514756651</v>
      </c>
      <c r="F129" s="144">
        <v>7.6757622573783253E-3</v>
      </c>
    </row>
    <row r="130" spans="1:6" x14ac:dyDescent="0.35">
      <c r="A130" s="59" t="s">
        <v>1535</v>
      </c>
      <c r="B130" s="232">
        <v>4.9654057151162716</v>
      </c>
      <c r="C130" s="145">
        <v>1.0372403094283242</v>
      </c>
      <c r="D130" s="144">
        <v>0.51834011715940109</v>
      </c>
      <c r="E130" s="145">
        <v>6.7344985874539969</v>
      </c>
      <c r="F130" s="144">
        <v>3.3672492937269986E-3</v>
      </c>
    </row>
    <row r="131" spans="1:6" x14ac:dyDescent="0.35">
      <c r="A131" s="59" t="s">
        <v>1534</v>
      </c>
      <c r="B131" s="232">
        <v>4.7115585821136925</v>
      </c>
      <c r="C131" s="145">
        <v>3.0978997813893412</v>
      </c>
      <c r="D131" s="144">
        <v>0.36856356347211322</v>
      </c>
      <c r="E131" s="145">
        <v>8.3806189460060363</v>
      </c>
      <c r="F131" s="144">
        <v>4.1903094730030167E-3</v>
      </c>
    </row>
    <row r="132" spans="1:6" x14ac:dyDescent="0.35">
      <c r="A132" s="59" t="s">
        <v>1533</v>
      </c>
      <c r="B132" s="232">
        <v>0.167706252031567</v>
      </c>
      <c r="C132" s="145">
        <v>4.387556101738558E-2</v>
      </c>
      <c r="D132" s="144">
        <v>1.7613799410309543E-2</v>
      </c>
      <c r="E132" s="145">
        <v>0.2364069812966195</v>
      </c>
      <c r="F132" s="144">
        <v>1.1820349064830975E-4</v>
      </c>
    </row>
    <row r="133" spans="1:6" x14ac:dyDescent="0.35">
      <c r="A133" s="91" t="s">
        <v>1995</v>
      </c>
      <c r="B133" s="290">
        <v>999.40738827027167</v>
      </c>
      <c r="C133" s="291">
        <v>221.59965558754763</v>
      </c>
      <c r="D133" s="289">
        <v>107.66448634965541</v>
      </c>
      <c r="E133" s="291">
        <v>1371.6460479030964</v>
      </c>
      <c r="F133" s="433">
        <v>0.68582302395154815</v>
      </c>
    </row>
    <row r="134" spans="1:6" ht="13.15" x14ac:dyDescent="0.4">
      <c r="A134" s="131" t="s">
        <v>1994</v>
      </c>
      <c r="B134" s="237"/>
      <c r="C134" s="157"/>
      <c r="D134" s="156"/>
      <c r="E134" s="382" t="s">
        <v>1873</v>
      </c>
      <c r="F134" s="381" t="s">
        <v>1872</v>
      </c>
    </row>
    <row r="135" spans="1:6" x14ac:dyDescent="0.35">
      <c r="A135" s="59" t="s">
        <v>1525</v>
      </c>
      <c r="B135" s="232">
        <v>264.99296428706646</v>
      </c>
      <c r="C135" s="145">
        <v>43.949957551915276</v>
      </c>
      <c r="D135" s="144">
        <v>8.1297741741544964</v>
      </c>
      <c r="E135" s="145">
        <v>328.46739347748007</v>
      </c>
      <c r="F135" s="144">
        <v>0.16423369673874003</v>
      </c>
    </row>
    <row r="136" spans="1:6" x14ac:dyDescent="0.35">
      <c r="A136" s="59" t="s">
        <v>1524</v>
      </c>
      <c r="B136" s="232">
        <v>3283.928604897641</v>
      </c>
      <c r="C136" s="145">
        <v>162.15915728966348</v>
      </c>
      <c r="D136" s="144">
        <v>22.701840795959637</v>
      </c>
      <c r="E136" s="145">
        <v>3609.9985329938622</v>
      </c>
      <c r="F136" s="144">
        <v>1.8049992664969312</v>
      </c>
    </row>
    <row r="137" spans="1:6" x14ac:dyDescent="0.35">
      <c r="A137" s="59" t="s">
        <v>1563</v>
      </c>
      <c r="B137" s="232">
        <v>627.73904730454819</v>
      </c>
      <c r="C137" s="145">
        <v>266.47493313795775</v>
      </c>
      <c r="D137" s="144">
        <v>50.986429198938531</v>
      </c>
      <c r="E137" s="145">
        <v>972.19318867554</v>
      </c>
      <c r="F137" s="144">
        <v>0.48609659433777003</v>
      </c>
    </row>
    <row r="138" spans="1:6" x14ac:dyDescent="0.35">
      <c r="A138" s="59" t="s">
        <v>1522</v>
      </c>
      <c r="B138" s="232">
        <v>672.12888018280057</v>
      </c>
      <c r="C138" s="145">
        <v>26.947816567247131</v>
      </c>
      <c r="D138" s="144">
        <v>9.2086631009111368</v>
      </c>
      <c r="E138" s="145">
        <v>737.18690169881927</v>
      </c>
      <c r="F138" s="144">
        <v>0.36859345084940964</v>
      </c>
    </row>
    <row r="139" spans="1:6" x14ac:dyDescent="0.35">
      <c r="A139" s="59" t="s">
        <v>1521</v>
      </c>
      <c r="B139" s="232">
        <v>332.853929863644</v>
      </c>
      <c r="C139" s="145">
        <v>16.465202235756028</v>
      </c>
      <c r="D139" s="144">
        <v>4.0077589473157325</v>
      </c>
      <c r="E139" s="145">
        <v>367.6396100308524</v>
      </c>
      <c r="F139" s="144">
        <v>0.18381980501542619</v>
      </c>
    </row>
    <row r="140" spans="1:6" x14ac:dyDescent="0.35">
      <c r="A140" s="59" t="s">
        <v>1520</v>
      </c>
      <c r="B140" s="232">
        <v>1643.0661253552744</v>
      </c>
      <c r="C140" s="145">
        <v>301.7288634666163</v>
      </c>
      <c r="D140" s="144">
        <v>138.46355384705083</v>
      </c>
      <c r="E140" s="145">
        <v>2153.9103860592181</v>
      </c>
      <c r="F140" s="144">
        <v>1.0769551930296091</v>
      </c>
    </row>
    <row r="141" spans="1:6" x14ac:dyDescent="0.35">
      <c r="A141" s="59" t="s">
        <v>1519</v>
      </c>
      <c r="B141" s="232">
        <v>3.59010799872269</v>
      </c>
      <c r="C141" s="145">
        <v>2.1239957997266741</v>
      </c>
      <c r="D141" s="144">
        <v>0.29685163759722943</v>
      </c>
      <c r="E141" s="145">
        <v>6.1653300799916684</v>
      </c>
      <c r="F141" s="144">
        <v>3.0826650399958344E-3</v>
      </c>
    </row>
    <row r="142" spans="1:6" x14ac:dyDescent="0.35">
      <c r="A142" s="59" t="s">
        <v>1518</v>
      </c>
      <c r="B142" s="232">
        <v>8.4097618141529757</v>
      </c>
      <c r="C142" s="145">
        <v>4.9529128056308132</v>
      </c>
      <c r="D142" s="144">
        <v>0.69689332857486319</v>
      </c>
      <c r="E142" s="145">
        <v>14.421187706367229</v>
      </c>
      <c r="F142" s="144">
        <v>7.2105938531836144E-3</v>
      </c>
    </row>
    <row r="143" spans="1:6" x14ac:dyDescent="0.35">
      <c r="A143" s="59" t="s">
        <v>1531</v>
      </c>
      <c r="B143" s="232">
        <v>1592.3540192170863</v>
      </c>
      <c r="C143" s="145">
        <v>765.40115869197996</v>
      </c>
      <c r="D143" s="144">
        <v>143.60980232542693</v>
      </c>
      <c r="E143" s="145">
        <v>2569.8362030608278</v>
      </c>
      <c r="F143" s="144">
        <v>1.2849181015304139</v>
      </c>
    </row>
    <row r="144" spans="1:6" x14ac:dyDescent="0.35">
      <c r="A144" s="59" t="s">
        <v>1530</v>
      </c>
      <c r="B144" s="232">
        <v>13.330610098981637</v>
      </c>
      <c r="C144" s="145">
        <v>6.9914162262792532</v>
      </c>
      <c r="D144" s="144">
        <v>1.1628677911989092</v>
      </c>
      <c r="E144" s="145">
        <v>22.05811035071601</v>
      </c>
      <c r="F144" s="144">
        <v>1.1029055175358005E-2</v>
      </c>
    </row>
    <row r="145" spans="1:6" x14ac:dyDescent="0.35">
      <c r="A145" s="59" t="s">
        <v>1529</v>
      </c>
      <c r="B145" s="49">
        <v>796983.40642388142</v>
      </c>
      <c r="C145" s="48">
        <v>291206.85335235804</v>
      </c>
      <c r="D145" s="47">
        <v>75242.277673256714</v>
      </c>
      <c r="E145" s="48">
        <v>1197702.8239257231</v>
      </c>
      <c r="F145" s="47">
        <v>598.85141196286156</v>
      </c>
    </row>
    <row r="146" spans="1:6" x14ac:dyDescent="0.35">
      <c r="A146" s="59" t="s">
        <v>1528</v>
      </c>
      <c r="B146" s="49">
        <v>802969.76039884379</v>
      </c>
      <c r="C146" s="48">
        <v>291598.65225294523</v>
      </c>
      <c r="D146" s="47">
        <v>75303.28979068363</v>
      </c>
      <c r="E146" s="48">
        <v>1204399.402139623</v>
      </c>
      <c r="F146" s="47">
        <v>602.19970106981145</v>
      </c>
    </row>
    <row r="147" spans="1:6" x14ac:dyDescent="0.35">
      <c r="A147" s="57" t="s">
        <v>1527</v>
      </c>
      <c r="B147" s="45">
        <v>854272.99265158654</v>
      </c>
      <c r="C147" s="44">
        <v>316413.41231366864</v>
      </c>
      <c r="D147" s="43">
        <v>79919.743825114143</v>
      </c>
      <c r="E147" s="44">
        <v>1287339.8874743874</v>
      </c>
      <c r="F147" s="43">
        <v>643.66994373719376</v>
      </c>
    </row>
    <row r="148" spans="1:6" ht="13.15" x14ac:dyDescent="0.4">
      <c r="A148" s="128" t="s">
        <v>1993</v>
      </c>
      <c r="B148" s="232"/>
      <c r="C148" s="145"/>
      <c r="D148" s="144"/>
      <c r="E148" s="403" t="s">
        <v>1873</v>
      </c>
      <c r="F148" s="402" t="s">
        <v>1872</v>
      </c>
    </row>
    <row r="149" spans="1:6" x14ac:dyDescent="0.35">
      <c r="A149" s="59" t="s">
        <v>1525</v>
      </c>
      <c r="B149" s="232">
        <v>6.0659597961377889</v>
      </c>
      <c r="C149" s="145">
        <v>2.4474648742539511</v>
      </c>
      <c r="D149" s="144">
        <v>0.57883797829232131</v>
      </c>
      <c r="E149" s="145">
        <v>9.3530989199179864</v>
      </c>
      <c r="F149" s="144">
        <v>4.6765494599589931E-3</v>
      </c>
    </row>
    <row r="150" spans="1:6" x14ac:dyDescent="0.35">
      <c r="A150" s="59" t="s">
        <v>1524</v>
      </c>
      <c r="B150" s="232">
        <v>45.324406331834005</v>
      </c>
      <c r="C150" s="145">
        <v>15.257820838639004</v>
      </c>
      <c r="D150" s="144">
        <v>4.530133641607855</v>
      </c>
      <c r="E150" s="145">
        <v>67.06131028434973</v>
      </c>
      <c r="F150" s="144">
        <v>3.3530655142174862E-2</v>
      </c>
    </row>
    <row r="151" spans="1:6" x14ac:dyDescent="0.35">
      <c r="A151" s="59" t="s">
        <v>1523</v>
      </c>
      <c r="B151" s="232">
        <v>113.81991443237369</v>
      </c>
      <c r="C151" s="145">
        <v>31.10449844142034</v>
      </c>
      <c r="D151" s="144">
        <v>11.864418366094762</v>
      </c>
      <c r="E151" s="145">
        <v>161.68308756048086</v>
      </c>
      <c r="F151" s="144">
        <v>8.084154378024043E-2</v>
      </c>
    </row>
    <row r="152" spans="1:6" x14ac:dyDescent="0.35">
      <c r="A152" s="59" t="s">
        <v>1522</v>
      </c>
      <c r="B152" s="232">
        <v>13.539452648971814</v>
      </c>
      <c r="C152" s="145">
        <v>2.9494280276572411</v>
      </c>
      <c r="D152" s="144">
        <v>1.4621497190541703</v>
      </c>
      <c r="E152" s="145">
        <v>18.533226859589011</v>
      </c>
      <c r="F152" s="144">
        <v>9.2666134297945055E-3</v>
      </c>
    </row>
    <row r="153" spans="1:6" x14ac:dyDescent="0.35">
      <c r="A153" s="59" t="s">
        <v>1521</v>
      </c>
      <c r="B153" s="232">
        <v>9.9685357912526253</v>
      </c>
      <c r="C153" s="145">
        <v>2.1754610379769925</v>
      </c>
      <c r="D153" s="144">
        <v>1.0762546369427881</v>
      </c>
      <c r="E153" s="145">
        <v>13.64889850519627</v>
      </c>
      <c r="F153" s="144">
        <v>6.8244492525981349E-3</v>
      </c>
    </row>
    <row r="154" spans="1:6" x14ac:dyDescent="0.35">
      <c r="A154" s="59" t="s">
        <v>1520</v>
      </c>
      <c r="B154" s="232">
        <v>453.904168521298</v>
      </c>
      <c r="C154" s="145">
        <v>98.420781863466189</v>
      </c>
      <c r="D154" s="144">
        <v>49.048896112331683</v>
      </c>
      <c r="E154" s="145">
        <v>620.89172574351164</v>
      </c>
      <c r="F154" s="144">
        <v>0.3104458628717558</v>
      </c>
    </row>
    <row r="155" spans="1:6" x14ac:dyDescent="0.35">
      <c r="A155" s="59" t="s">
        <v>1519</v>
      </c>
      <c r="B155" s="232">
        <v>0.59600929993203955</v>
      </c>
      <c r="C155" s="145">
        <v>0.13345038606820553</v>
      </c>
      <c r="D155" s="144">
        <v>6.411930226775843E-2</v>
      </c>
      <c r="E155" s="145">
        <v>0.81920738816508121</v>
      </c>
      <c r="F155" s="144">
        <v>4.096036940825406E-4</v>
      </c>
    </row>
    <row r="156" spans="1:6" x14ac:dyDescent="0.35">
      <c r="A156" s="57" t="s">
        <v>1518</v>
      </c>
      <c r="B156" s="231">
        <v>1.5305115599508656</v>
      </c>
      <c r="C156" s="142">
        <v>0.33794805664679345</v>
      </c>
      <c r="D156" s="141">
        <v>0.16497517276036491</v>
      </c>
      <c r="E156" s="142">
        <v>2.099246786435911</v>
      </c>
      <c r="F156" s="141">
        <v>1.0496233932179556E-3</v>
      </c>
    </row>
    <row r="158" spans="1:6" ht="13.15" x14ac:dyDescent="0.4">
      <c r="A158" s="41" t="s">
        <v>1999</v>
      </c>
    </row>
    <row r="159" spans="1:6" ht="22.5" customHeight="1" x14ac:dyDescent="0.4">
      <c r="A159" s="61"/>
      <c r="B159" s="503" t="s">
        <v>1331</v>
      </c>
      <c r="C159" s="502" t="s">
        <v>1330</v>
      </c>
      <c r="D159" s="501" t="s">
        <v>1310</v>
      </c>
      <c r="E159" s="502" t="s">
        <v>323</v>
      </c>
      <c r="F159" s="501"/>
    </row>
    <row r="160" spans="1:6" x14ac:dyDescent="0.35">
      <c r="A160" s="91" t="s">
        <v>1997</v>
      </c>
      <c r="B160" s="438"/>
      <c r="C160" s="440">
        <v>1.0429999999999999</v>
      </c>
      <c r="D160" s="437">
        <v>1</v>
      </c>
      <c r="E160" s="69"/>
      <c r="F160" s="68"/>
    </row>
    <row r="161" spans="1:6" ht="13.15" x14ac:dyDescent="0.4">
      <c r="A161" s="128" t="s">
        <v>1996</v>
      </c>
      <c r="B161" s="59"/>
      <c r="D161" s="99"/>
      <c r="E161" s="216" t="s">
        <v>1873</v>
      </c>
      <c r="F161" s="215" t="s">
        <v>1872</v>
      </c>
    </row>
    <row r="162" spans="1:6" x14ac:dyDescent="0.35">
      <c r="A162" s="59" t="s">
        <v>1905</v>
      </c>
      <c r="B162" s="232">
        <v>11.830511220314971</v>
      </c>
      <c r="C162" s="145">
        <v>4.6085695368888846</v>
      </c>
      <c r="D162" s="144">
        <v>1.1191778286585157</v>
      </c>
      <c r="E162" s="145">
        <v>18.066970568335911</v>
      </c>
      <c r="F162" s="144">
        <v>9.0334852841679556E-3</v>
      </c>
    </row>
    <row r="163" spans="1:6" x14ac:dyDescent="0.35">
      <c r="A163" s="59" t="s">
        <v>1536</v>
      </c>
      <c r="B163" s="232">
        <v>9.8446705492615312</v>
      </c>
      <c r="C163" s="145">
        <v>4.1790156518350514</v>
      </c>
      <c r="D163" s="144">
        <v>0.90451748004182386</v>
      </c>
      <c r="E163" s="145">
        <v>15.351524514756651</v>
      </c>
      <c r="F163" s="144">
        <v>7.6757622573783253E-3</v>
      </c>
    </row>
    <row r="164" spans="1:6" x14ac:dyDescent="0.35">
      <c r="A164" s="59" t="s">
        <v>1535</v>
      </c>
      <c r="B164" s="232">
        <v>4.9654057151162716</v>
      </c>
      <c r="C164" s="145">
        <v>1.0372403094283242</v>
      </c>
      <c r="D164" s="144">
        <v>0.51834011715940109</v>
      </c>
      <c r="E164" s="145">
        <v>6.7344985874539969</v>
      </c>
      <c r="F164" s="144">
        <v>3.3672492937269986E-3</v>
      </c>
    </row>
    <row r="165" spans="1:6" x14ac:dyDescent="0.35">
      <c r="A165" s="59" t="s">
        <v>1534</v>
      </c>
      <c r="B165" s="232">
        <v>4.7115585821136925</v>
      </c>
      <c r="C165" s="145">
        <v>3.0978997813893412</v>
      </c>
      <c r="D165" s="144">
        <v>0.36856356347211322</v>
      </c>
      <c r="E165" s="145">
        <v>8.3806189460060363</v>
      </c>
      <c r="F165" s="144">
        <v>4.1903094730030167E-3</v>
      </c>
    </row>
    <row r="166" spans="1:6" x14ac:dyDescent="0.35">
      <c r="A166" s="59" t="s">
        <v>1533</v>
      </c>
      <c r="B166" s="232">
        <v>0.167706252031567</v>
      </c>
      <c r="C166" s="145">
        <v>4.387556101738558E-2</v>
      </c>
      <c r="D166" s="144">
        <v>1.7613799410309543E-2</v>
      </c>
      <c r="E166" s="145">
        <v>0.2364069812966195</v>
      </c>
      <c r="F166" s="144">
        <v>1.1820349064830975E-4</v>
      </c>
    </row>
    <row r="167" spans="1:6" x14ac:dyDescent="0.35">
      <c r="A167" s="91" t="s">
        <v>1995</v>
      </c>
      <c r="B167" s="290">
        <v>999.40738827027167</v>
      </c>
      <c r="C167" s="291">
        <v>221.59965558754763</v>
      </c>
      <c r="D167" s="289">
        <v>107.66448634965541</v>
      </c>
      <c r="E167" s="291">
        <v>1371.6460479030964</v>
      </c>
      <c r="F167" s="433">
        <v>0.68582302395154815</v>
      </c>
    </row>
    <row r="168" spans="1:6" ht="13.15" x14ac:dyDescent="0.4">
      <c r="A168" s="131" t="s">
        <v>1994</v>
      </c>
      <c r="B168" s="237"/>
      <c r="C168" s="157"/>
      <c r="D168" s="156"/>
      <c r="E168" s="382" t="s">
        <v>1873</v>
      </c>
      <c r="F168" s="381" t="s">
        <v>1872</v>
      </c>
    </row>
    <row r="169" spans="1:6" x14ac:dyDescent="0.35">
      <c r="A169" s="59" t="s">
        <v>1525</v>
      </c>
      <c r="B169" s="232">
        <v>264.99296428706646</v>
      </c>
      <c r="C169" s="145">
        <v>43.949957551915276</v>
      </c>
      <c r="D169" s="144">
        <v>8.1297741741544964</v>
      </c>
      <c r="E169" s="145">
        <v>328.46739347748007</v>
      </c>
      <c r="F169" s="144">
        <v>0.16423369673874003</v>
      </c>
    </row>
    <row r="170" spans="1:6" x14ac:dyDescent="0.35">
      <c r="A170" s="59" t="s">
        <v>1524</v>
      </c>
      <c r="B170" s="232">
        <v>3283.928604897641</v>
      </c>
      <c r="C170" s="145">
        <v>162.15915728966348</v>
      </c>
      <c r="D170" s="144">
        <v>22.701840795959637</v>
      </c>
      <c r="E170" s="145">
        <v>3609.9985329938622</v>
      </c>
      <c r="F170" s="144">
        <v>1.8049992664969312</v>
      </c>
    </row>
    <row r="171" spans="1:6" x14ac:dyDescent="0.35">
      <c r="A171" s="59" t="s">
        <v>1563</v>
      </c>
      <c r="B171" s="232">
        <v>627.73904730454819</v>
      </c>
      <c r="C171" s="145">
        <v>266.47493313795775</v>
      </c>
      <c r="D171" s="144">
        <v>50.986429198938531</v>
      </c>
      <c r="E171" s="145">
        <v>972.19318867554</v>
      </c>
      <c r="F171" s="144">
        <v>0.48609659433777003</v>
      </c>
    </row>
    <row r="172" spans="1:6" x14ac:dyDescent="0.35">
      <c r="A172" s="59" t="s">
        <v>1522</v>
      </c>
      <c r="B172" s="232">
        <v>672.12888018280057</v>
      </c>
      <c r="C172" s="145">
        <v>26.947816567247131</v>
      </c>
      <c r="D172" s="144">
        <v>9.2086631009111368</v>
      </c>
      <c r="E172" s="145">
        <v>737.18690169881927</v>
      </c>
      <c r="F172" s="144">
        <v>0.36859345084940964</v>
      </c>
    </row>
    <row r="173" spans="1:6" x14ac:dyDescent="0.35">
      <c r="A173" s="59" t="s">
        <v>1521</v>
      </c>
      <c r="B173" s="232">
        <v>332.853929863644</v>
      </c>
      <c r="C173" s="145">
        <v>16.465202235756028</v>
      </c>
      <c r="D173" s="144">
        <v>4.0077589473157325</v>
      </c>
      <c r="E173" s="145">
        <v>367.6396100308524</v>
      </c>
      <c r="F173" s="144">
        <v>0.18381980501542619</v>
      </c>
    </row>
    <row r="174" spans="1:6" x14ac:dyDescent="0.35">
      <c r="A174" s="59" t="s">
        <v>1520</v>
      </c>
      <c r="B174" s="232">
        <v>1643.0661253552744</v>
      </c>
      <c r="C174" s="145">
        <v>301.7288634666163</v>
      </c>
      <c r="D174" s="144">
        <v>138.46355384705083</v>
      </c>
      <c r="E174" s="145">
        <v>2153.9103860592181</v>
      </c>
      <c r="F174" s="144">
        <v>1.0769551930296091</v>
      </c>
    </row>
    <row r="175" spans="1:6" x14ac:dyDescent="0.35">
      <c r="A175" s="59" t="s">
        <v>1519</v>
      </c>
      <c r="B175" s="232">
        <v>3.59010799872269</v>
      </c>
      <c r="C175" s="145">
        <v>2.1239957997266741</v>
      </c>
      <c r="D175" s="144">
        <v>0.29685163759722943</v>
      </c>
      <c r="E175" s="145">
        <v>6.1653300799916684</v>
      </c>
      <c r="F175" s="144">
        <v>3.0826650399958344E-3</v>
      </c>
    </row>
    <row r="176" spans="1:6" x14ac:dyDescent="0.35">
      <c r="A176" s="59" t="s">
        <v>1518</v>
      </c>
      <c r="B176" s="232">
        <v>8.4097618141529757</v>
      </c>
      <c r="C176" s="145">
        <v>4.9529128056308132</v>
      </c>
      <c r="D176" s="144">
        <v>0.69689332857486319</v>
      </c>
      <c r="E176" s="145">
        <v>14.421187706367229</v>
      </c>
      <c r="F176" s="144">
        <v>7.2105938531836144E-3</v>
      </c>
    </row>
    <row r="177" spans="1:6" x14ac:dyDescent="0.35">
      <c r="A177" s="59" t="s">
        <v>1531</v>
      </c>
      <c r="B177" s="232">
        <v>1592.3540192170863</v>
      </c>
      <c r="C177" s="145">
        <v>765.40115869197996</v>
      </c>
      <c r="D177" s="144">
        <v>143.60980232542693</v>
      </c>
      <c r="E177" s="145">
        <v>2569.8362030608278</v>
      </c>
      <c r="F177" s="144">
        <v>1.2849181015304139</v>
      </c>
    </row>
    <row r="178" spans="1:6" x14ac:dyDescent="0.35">
      <c r="A178" s="59" t="s">
        <v>1530</v>
      </c>
      <c r="B178" s="232">
        <v>13.330610098981637</v>
      </c>
      <c r="C178" s="145">
        <v>6.9914162262792532</v>
      </c>
      <c r="D178" s="144">
        <v>1.1628677911989092</v>
      </c>
      <c r="E178" s="145">
        <v>22.05811035071601</v>
      </c>
      <c r="F178" s="144">
        <v>1.1029055175358005E-2</v>
      </c>
    </row>
    <row r="179" spans="1:6" x14ac:dyDescent="0.35">
      <c r="A179" s="59" t="s">
        <v>1529</v>
      </c>
      <c r="B179" s="49">
        <v>796983.40642388142</v>
      </c>
      <c r="C179" s="48">
        <v>291206.85335235804</v>
      </c>
      <c r="D179" s="47">
        <v>75242.277673256714</v>
      </c>
      <c r="E179" s="48">
        <v>1197702.8239257231</v>
      </c>
      <c r="F179" s="47">
        <v>598.85141196286156</v>
      </c>
    </row>
    <row r="180" spans="1:6" x14ac:dyDescent="0.35">
      <c r="A180" s="59" t="s">
        <v>1528</v>
      </c>
      <c r="B180" s="49">
        <v>802969.76039884379</v>
      </c>
      <c r="C180" s="48">
        <v>291598.65225294523</v>
      </c>
      <c r="D180" s="47">
        <v>75303.28979068363</v>
      </c>
      <c r="E180" s="48">
        <v>1204399.402139623</v>
      </c>
      <c r="F180" s="47">
        <v>602.19970106981145</v>
      </c>
    </row>
    <row r="181" spans="1:6" x14ac:dyDescent="0.35">
      <c r="A181" s="57" t="s">
        <v>1527</v>
      </c>
      <c r="B181" s="45">
        <v>854272.99265158654</v>
      </c>
      <c r="C181" s="44">
        <v>316413.41231366864</v>
      </c>
      <c r="D181" s="43">
        <v>79919.743825114143</v>
      </c>
      <c r="E181" s="44">
        <v>1287339.8874743874</v>
      </c>
      <c r="F181" s="43">
        <v>643.66994373719376</v>
      </c>
    </row>
    <row r="182" spans="1:6" ht="13.15" x14ac:dyDescent="0.4">
      <c r="A182" s="128" t="s">
        <v>1993</v>
      </c>
      <c r="B182" s="232"/>
      <c r="C182" s="145"/>
      <c r="D182" s="144"/>
      <c r="E182" s="403" t="s">
        <v>1873</v>
      </c>
      <c r="F182" s="402" t="s">
        <v>1872</v>
      </c>
    </row>
    <row r="183" spans="1:6" x14ac:dyDescent="0.35">
      <c r="A183" s="59" t="s">
        <v>1525</v>
      </c>
      <c r="B183" s="232">
        <v>6.0659597961377889</v>
      </c>
      <c r="C183" s="145">
        <v>2.4474648742539511</v>
      </c>
      <c r="D183" s="144">
        <v>0.57883797829232131</v>
      </c>
      <c r="E183" s="145">
        <v>9.3530989199179864</v>
      </c>
      <c r="F183" s="144">
        <v>4.6765494599589931E-3</v>
      </c>
    </row>
    <row r="184" spans="1:6" x14ac:dyDescent="0.35">
      <c r="A184" s="59" t="s">
        <v>1524</v>
      </c>
      <c r="B184" s="232">
        <v>45.324406331834005</v>
      </c>
      <c r="C184" s="145">
        <v>15.257820838639004</v>
      </c>
      <c r="D184" s="144">
        <v>4.530133641607855</v>
      </c>
      <c r="E184" s="145">
        <v>67.06131028434973</v>
      </c>
      <c r="F184" s="144">
        <v>3.3530655142174862E-2</v>
      </c>
    </row>
    <row r="185" spans="1:6" x14ac:dyDescent="0.35">
      <c r="A185" s="59" t="s">
        <v>1523</v>
      </c>
      <c r="B185" s="232">
        <v>113.81991443237369</v>
      </c>
      <c r="C185" s="145">
        <v>31.10449844142034</v>
      </c>
      <c r="D185" s="144">
        <v>11.864418366094762</v>
      </c>
      <c r="E185" s="145">
        <v>161.68308756048086</v>
      </c>
      <c r="F185" s="144">
        <v>8.084154378024043E-2</v>
      </c>
    </row>
    <row r="186" spans="1:6" x14ac:dyDescent="0.35">
      <c r="A186" s="59" t="s">
        <v>1522</v>
      </c>
      <c r="B186" s="232">
        <v>13.539452648971814</v>
      </c>
      <c r="C186" s="145">
        <v>2.9494280276572411</v>
      </c>
      <c r="D186" s="144">
        <v>1.4621497190541703</v>
      </c>
      <c r="E186" s="145">
        <v>18.533226859589011</v>
      </c>
      <c r="F186" s="144">
        <v>9.2666134297945055E-3</v>
      </c>
    </row>
    <row r="187" spans="1:6" x14ac:dyDescent="0.35">
      <c r="A187" s="59" t="s">
        <v>1521</v>
      </c>
      <c r="B187" s="232">
        <v>9.9685357912526253</v>
      </c>
      <c r="C187" s="145">
        <v>2.1754610379769925</v>
      </c>
      <c r="D187" s="144">
        <v>1.0762546369427881</v>
      </c>
      <c r="E187" s="145">
        <v>13.64889850519627</v>
      </c>
      <c r="F187" s="144">
        <v>6.8244492525981349E-3</v>
      </c>
    </row>
    <row r="188" spans="1:6" x14ac:dyDescent="0.35">
      <c r="A188" s="59" t="s">
        <v>1520</v>
      </c>
      <c r="B188" s="232">
        <v>453.904168521298</v>
      </c>
      <c r="C188" s="145">
        <v>98.420781863466189</v>
      </c>
      <c r="D188" s="144">
        <v>49.048896112331683</v>
      </c>
      <c r="E188" s="145">
        <v>620.89172574351164</v>
      </c>
      <c r="F188" s="144">
        <v>0.3104458628717558</v>
      </c>
    </row>
    <row r="189" spans="1:6" x14ac:dyDescent="0.35">
      <c r="A189" s="59" t="s">
        <v>1519</v>
      </c>
      <c r="B189" s="232">
        <v>0.59600929993203955</v>
      </c>
      <c r="C189" s="145">
        <v>0.13345038606820553</v>
      </c>
      <c r="D189" s="144">
        <v>6.411930226775843E-2</v>
      </c>
      <c r="E189" s="145">
        <v>0.81920738816508121</v>
      </c>
      <c r="F189" s="144">
        <v>4.096036940825406E-4</v>
      </c>
    </row>
    <row r="190" spans="1:6" x14ac:dyDescent="0.35">
      <c r="A190" s="57" t="s">
        <v>1518</v>
      </c>
      <c r="B190" s="231">
        <v>1.5305115599508656</v>
      </c>
      <c r="C190" s="142">
        <v>0.33794805664679345</v>
      </c>
      <c r="D190" s="141">
        <v>0.16497517276036491</v>
      </c>
      <c r="E190" s="142">
        <v>2.099246786435911</v>
      </c>
      <c r="F190" s="141">
        <v>1.0496233932179556E-3</v>
      </c>
    </row>
    <row r="192" spans="1:6" ht="13.15" x14ac:dyDescent="0.4">
      <c r="A192" s="41" t="s">
        <v>1998</v>
      </c>
    </row>
    <row r="193" spans="1:6" ht="22.5" customHeight="1" x14ac:dyDescent="0.4">
      <c r="A193" s="61"/>
      <c r="B193" s="503" t="s">
        <v>1331</v>
      </c>
      <c r="C193" s="502" t="s">
        <v>1330</v>
      </c>
      <c r="D193" s="501" t="s">
        <v>1310</v>
      </c>
      <c r="E193" s="502" t="s">
        <v>323</v>
      </c>
      <c r="F193" s="501"/>
    </row>
    <row r="194" spans="1:6" x14ac:dyDescent="0.35">
      <c r="A194" s="91" t="s">
        <v>1997</v>
      </c>
      <c r="B194" s="438"/>
      <c r="C194" s="440">
        <v>1.61</v>
      </c>
      <c r="D194" s="437">
        <v>1</v>
      </c>
      <c r="E194" s="69"/>
      <c r="F194" s="68"/>
    </row>
    <row r="195" spans="1:6" ht="13.15" x14ac:dyDescent="0.4">
      <c r="A195" s="128" t="s">
        <v>1996</v>
      </c>
      <c r="B195" s="59"/>
      <c r="D195" s="99"/>
      <c r="E195" s="216" t="s">
        <v>1873</v>
      </c>
      <c r="F195" s="215" t="s">
        <v>1872</v>
      </c>
    </row>
    <row r="196" spans="1:6" x14ac:dyDescent="0.35">
      <c r="A196" s="59" t="s">
        <v>1905</v>
      </c>
      <c r="B196" s="232">
        <v>11.830511220314971</v>
      </c>
      <c r="C196" s="145">
        <v>4.6085695368888846</v>
      </c>
      <c r="D196" s="144">
        <v>1.1191778286585157</v>
      </c>
      <c r="E196" s="145">
        <v>24.774870430254502</v>
      </c>
      <c r="F196" s="144">
        <v>1.2387435215127252E-2</v>
      </c>
    </row>
    <row r="197" spans="1:6" x14ac:dyDescent="0.35">
      <c r="A197" s="59" t="s">
        <v>1536</v>
      </c>
      <c r="B197" s="232">
        <v>9.8446705492615312</v>
      </c>
      <c r="C197" s="145">
        <v>4.1790156518350514</v>
      </c>
      <c r="D197" s="144">
        <v>0.90451748004182386</v>
      </c>
      <c r="E197" s="145">
        <v>20.933452716187944</v>
      </c>
      <c r="F197" s="144">
        <v>1.0466726358093972E-2</v>
      </c>
    </row>
    <row r="198" spans="1:6" x14ac:dyDescent="0.35">
      <c r="A198" s="59" t="s">
        <v>1535</v>
      </c>
      <c r="B198" s="232">
        <v>4.9654057151162716</v>
      </c>
      <c r="C198" s="145">
        <v>1.0372403094283242</v>
      </c>
      <c r="D198" s="144">
        <v>0.51834011715940109</v>
      </c>
      <c r="E198" s="145">
        <v>9.5498836279249222</v>
      </c>
      <c r="F198" s="144">
        <v>4.7749418139624612E-3</v>
      </c>
    </row>
    <row r="199" spans="1:6" x14ac:dyDescent="0.35">
      <c r="A199" s="59" t="s">
        <v>1534</v>
      </c>
      <c r="B199" s="232">
        <v>4.7115585821136925</v>
      </c>
      <c r="C199" s="145">
        <v>3.0978997813893412</v>
      </c>
      <c r="D199" s="144">
        <v>0.36856356347211322</v>
      </c>
      <c r="E199" s="145">
        <v>11.0520726620645</v>
      </c>
      <c r="F199" s="144">
        <v>5.5260363310322518E-3</v>
      </c>
    </row>
    <row r="200" spans="1:6" x14ac:dyDescent="0.35">
      <c r="A200" s="59" t="s">
        <v>1533</v>
      </c>
      <c r="B200" s="232">
        <v>0.167706252031567</v>
      </c>
      <c r="C200" s="145">
        <v>4.387556101738558E-2</v>
      </c>
      <c r="D200" s="144">
        <v>1.7613799410309543E-2</v>
      </c>
      <c r="E200" s="145">
        <v>0.33149642619851805</v>
      </c>
      <c r="F200" s="144">
        <v>1.6574821309925904E-4</v>
      </c>
    </row>
    <row r="201" spans="1:6" x14ac:dyDescent="0.35">
      <c r="A201" s="91" t="s">
        <v>1995</v>
      </c>
      <c r="B201" s="290">
        <v>999.40738827027167</v>
      </c>
      <c r="C201" s="291">
        <v>221.59965558754763</v>
      </c>
      <c r="D201" s="289">
        <v>107.66448634965541</v>
      </c>
      <c r="E201" s="291">
        <v>1938.3100370523405</v>
      </c>
      <c r="F201" s="433">
        <v>0.96915501852617025</v>
      </c>
    </row>
    <row r="202" spans="1:6" ht="13.15" x14ac:dyDescent="0.4">
      <c r="A202" s="131" t="s">
        <v>1994</v>
      </c>
      <c r="B202" s="237"/>
      <c r="C202" s="157"/>
      <c r="D202" s="156"/>
      <c r="E202" s="382" t="s">
        <v>1873</v>
      </c>
      <c r="F202" s="381" t="s">
        <v>1872</v>
      </c>
    </row>
    <row r="203" spans="1:6" x14ac:dyDescent="0.35">
      <c r="A203" s="59" t="s">
        <v>1525</v>
      </c>
      <c r="B203" s="232">
        <v>264.99296428706646</v>
      </c>
      <c r="C203" s="145">
        <v>43.949957551915276</v>
      </c>
      <c r="D203" s="144">
        <v>8.1297741741544964</v>
      </c>
      <c r="E203" s="145">
        <v>478.71840422824675</v>
      </c>
      <c r="F203" s="144">
        <v>0.23935920211412337</v>
      </c>
    </row>
    <row r="204" spans="1:6" x14ac:dyDescent="0.35">
      <c r="A204" s="59" t="s">
        <v>1524</v>
      </c>
      <c r="B204" s="232">
        <v>3283.928604897641</v>
      </c>
      <c r="C204" s="145">
        <v>162.15915728966348</v>
      </c>
      <c r="D204" s="144">
        <v>22.701840795959637</v>
      </c>
      <c r="E204" s="145">
        <v>5471.9860519708245</v>
      </c>
      <c r="F204" s="144">
        <v>2.7359930259854122</v>
      </c>
    </row>
    <row r="205" spans="1:6" x14ac:dyDescent="0.35">
      <c r="A205" s="59" t="s">
        <v>1563</v>
      </c>
      <c r="B205" s="232">
        <v>627.73904730454819</v>
      </c>
      <c r="C205" s="145">
        <v>266.47493313795775</v>
      </c>
      <c r="D205" s="144">
        <v>50.986429198938531</v>
      </c>
      <c r="E205" s="145">
        <v>1328.1212284972189</v>
      </c>
      <c r="F205" s="144">
        <v>0.6640606142486094</v>
      </c>
    </row>
    <row r="206" spans="1:6" x14ac:dyDescent="0.35">
      <c r="A206" s="59" t="s">
        <v>1522</v>
      </c>
      <c r="B206" s="232">
        <v>672.12888018280057</v>
      </c>
      <c r="C206" s="145">
        <v>26.947816567247131</v>
      </c>
      <c r="D206" s="144">
        <v>9.2086631009111368</v>
      </c>
      <c r="E206" s="145">
        <v>1118.2839767624673</v>
      </c>
      <c r="F206" s="144">
        <v>0.55914198838123363</v>
      </c>
    </row>
    <row r="207" spans="1:6" x14ac:dyDescent="0.35">
      <c r="A207" s="59" t="s">
        <v>1521</v>
      </c>
      <c r="B207" s="232">
        <v>332.853929863644</v>
      </c>
      <c r="C207" s="145">
        <v>16.465202235756028</v>
      </c>
      <c r="D207" s="144">
        <v>4.0077589473157325</v>
      </c>
      <c r="E207" s="145">
        <v>556.36778826353861</v>
      </c>
      <c r="F207" s="144">
        <v>0.2781838941317693</v>
      </c>
    </row>
    <row r="208" spans="1:6" x14ac:dyDescent="0.35">
      <c r="A208" s="59" t="s">
        <v>1520</v>
      </c>
      <c r="B208" s="232">
        <v>1643.0661253552744</v>
      </c>
      <c r="C208" s="145">
        <v>301.7288634666163</v>
      </c>
      <c r="D208" s="144">
        <v>138.46355384705083</v>
      </c>
      <c r="E208" s="145">
        <v>3085.5288791356593</v>
      </c>
      <c r="F208" s="144">
        <v>1.5427644395678297</v>
      </c>
    </row>
    <row r="209" spans="1:6" x14ac:dyDescent="0.35">
      <c r="A209" s="59" t="s">
        <v>1519</v>
      </c>
      <c r="B209" s="232">
        <v>3.59010799872269</v>
      </c>
      <c r="C209" s="145">
        <v>2.1239957997266741</v>
      </c>
      <c r="D209" s="144">
        <v>0.29685163759722943</v>
      </c>
      <c r="E209" s="145">
        <v>8.2009213152674345</v>
      </c>
      <c r="F209" s="144">
        <v>4.1004606576337177E-3</v>
      </c>
    </row>
    <row r="210" spans="1:6" x14ac:dyDescent="0.35">
      <c r="A210" s="59" t="s">
        <v>1518</v>
      </c>
      <c r="B210" s="232">
        <v>8.4097618141529757</v>
      </c>
      <c r="C210" s="145">
        <v>4.9529128056308132</v>
      </c>
      <c r="D210" s="144">
        <v>0.69689332857486319</v>
      </c>
      <c r="E210" s="145">
        <v>19.189522654991968</v>
      </c>
      <c r="F210" s="144">
        <v>9.5947613274959837E-3</v>
      </c>
    </row>
    <row r="211" spans="1:6" x14ac:dyDescent="0.35">
      <c r="A211" s="59" t="s">
        <v>1531</v>
      </c>
      <c r="B211" s="232">
        <v>1592.3540192170863</v>
      </c>
      <c r="C211" s="145">
        <v>765.40115869197996</v>
      </c>
      <c r="D211" s="144">
        <v>143.60980232542693</v>
      </c>
      <c r="E211" s="145">
        <v>3472.7009319569161</v>
      </c>
      <c r="F211" s="144">
        <v>1.7363504659784581</v>
      </c>
    </row>
    <row r="212" spans="1:6" x14ac:dyDescent="0.35">
      <c r="A212" s="59" t="s">
        <v>1530</v>
      </c>
      <c r="B212" s="232">
        <v>13.330610098981637</v>
      </c>
      <c r="C212" s="145">
        <v>6.9914162262792532</v>
      </c>
      <c r="D212" s="144">
        <v>1.1628677911989092</v>
      </c>
      <c r="E212" s="145">
        <v>29.616566276838597</v>
      </c>
      <c r="F212" s="144">
        <v>1.4808283138419299E-2</v>
      </c>
    </row>
    <row r="213" spans="1:6" x14ac:dyDescent="0.35">
      <c r="A213" s="59" t="s">
        <v>1529</v>
      </c>
      <c r="B213" s="49">
        <v>796983.40642388142</v>
      </c>
      <c r="C213" s="48">
        <v>291206.85335235804</v>
      </c>
      <c r="D213" s="47">
        <v>75242.277673256714</v>
      </c>
      <c r="E213" s="48">
        <v>1649592.4153680641</v>
      </c>
      <c r="F213" s="47">
        <v>824.79620768403208</v>
      </c>
    </row>
    <row r="214" spans="1:6" x14ac:dyDescent="0.35">
      <c r="A214" s="59" t="s">
        <v>1528</v>
      </c>
      <c r="B214" s="49">
        <v>802969.76039884379</v>
      </c>
      <c r="C214" s="48">
        <v>291598.65225294523</v>
      </c>
      <c r="D214" s="47">
        <v>75303.28979068363</v>
      </c>
      <c r="E214" s="48">
        <v>1659683.2562857673</v>
      </c>
      <c r="F214" s="47">
        <v>829.84162814288368</v>
      </c>
    </row>
    <row r="215" spans="1:6" x14ac:dyDescent="0.35">
      <c r="A215" s="57" t="s">
        <v>1527</v>
      </c>
      <c r="B215" s="45">
        <v>854272.99265158654</v>
      </c>
      <c r="C215" s="44">
        <v>316413.41231366864</v>
      </c>
      <c r="D215" s="43">
        <v>79919.743825114143</v>
      </c>
      <c r="E215" s="44">
        <v>1771712.6743078369</v>
      </c>
      <c r="F215" s="43">
        <v>885.8563371539185</v>
      </c>
    </row>
    <row r="216" spans="1:6" ht="13.15" x14ac:dyDescent="0.4">
      <c r="A216" s="128" t="s">
        <v>1993</v>
      </c>
      <c r="B216" s="232"/>
      <c r="C216" s="145"/>
      <c r="D216" s="144"/>
      <c r="E216" s="403" t="s">
        <v>1873</v>
      </c>
      <c r="F216" s="402" t="s">
        <v>1872</v>
      </c>
    </row>
    <row r="217" spans="1:6" x14ac:dyDescent="0.35">
      <c r="A217" s="59" t="s">
        <v>1525</v>
      </c>
      <c r="B217" s="232">
        <v>6.0659597961377889</v>
      </c>
      <c r="C217" s="145">
        <v>2.4474648742539511</v>
      </c>
      <c r="D217" s="144">
        <v>0.57883797829232131</v>
      </c>
      <c r="E217" s="145">
        <v>12.792498124328114</v>
      </c>
      <c r="F217" s="144">
        <v>6.3962490621640574E-3</v>
      </c>
    </row>
    <row r="218" spans="1:6" x14ac:dyDescent="0.35">
      <c r="A218" s="59" t="s">
        <v>1524</v>
      </c>
      <c r="B218" s="232">
        <v>45.324406331834005</v>
      </c>
      <c r="C218" s="145">
        <v>15.257820838639004</v>
      </c>
      <c r="D218" s="144">
        <v>4.530133641607855</v>
      </c>
      <c r="E218" s="145">
        <v>92.760248674499621</v>
      </c>
      <c r="F218" s="144">
        <v>4.6380124337249813E-2</v>
      </c>
    </row>
    <row r="219" spans="1:6" x14ac:dyDescent="0.35">
      <c r="A219" s="59" t="s">
        <v>1523</v>
      </c>
      <c r="B219" s="232">
        <v>113.81991443237369</v>
      </c>
      <c r="C219" s="145">
        <v>31.10449844142034</v>
      </c>
      <c r="D219" s="144">
        <v>11.864418366094762</v>
      </c>
      <c r="E219" s="145">
        <v>226.21897904363675</v>
      </c>
      <c r="F219" s="144">
        <v>0.11310948952181837</v>
      </c>
    </row>
    <row r="220" spans="1:6" x14ac:dyDescent="0.35">
      <c r="A220" s="59" t="s">
        <v>1522</v>
      </c>
      <c r="B220" s="232">
        <v>13.539452648971814</v>
      </c>
      <c r="C220" s="145">
        <v>2.9494280276572411</v>
      </c>
      <c r="D220" s="144">
        <v>1.4621497190541703</v>
      </c>
      <c r="E220" s="145">
        <v>26.210096511556035</v>
      </c>
      <c r="F220" s="144">
        <v>1.3105048255778018E-2</v>
      </c>
    </row>
    <row r="221" spans="1:6" x14ac:dyDescent="0.35">
      <c r="A221" s="59" t="s">
        <v>1521</v>
      </c>
      <c r="B221" s="232">
        <v>9.9685357912526253</v>
      </c>
      <c r="C221" s="145">
        <v>2.1754610379769925</v>
      </c>
      <c r="D221" s="144">
        <v>1.0762546369427881</v>
      </c>
      <c r="E221" s="145">
        <v>19.301058298836512</v>
      </c>
      <c r="F221" s="144">
        <v>9.650529149418257E-3</v>
      </c>
    </row>
    <row r="222" spans="1:6" x14ac:dyDescent="0.35">
      <c r="A222" s="59" t="s">
        <v>1520</v>
      </c>
      <c r="B222" s="232">
        <v>453.904168521298</v>
      </c>
      <c r="C222" s="145">
        <v>98.420781863466189</v>
      </c>
      <c r="D222" s="144">
        <v>49.048896112331683</v>
      </c>
      <c r="E222" s="145">
        <v>878.25538929508775</v>
      </c>
      <c r="F222" s="144">
        <v>0.43912769464754386</v>
      </c>
    </row>
    <row r="223" spans="1:6" x14ac:dyDescent="0.35">
      <c r="A223" s="59" t="s">
        <v>1519</v>
      </c>
      <c r="B223" s="232">
        <v>0.59600929993203955</v>
      </c>
      <c r="C223" s="145">
        <v>0.13345038606820553</v>
      </c>
      <c r="D223" s="144">
        <v>6.411930226775843E-2</v>
      </c>
      <c r="E223" s="145">
        <v>1.1571446612265477</v>
      </c>
      <c r="F223" s="144">
        <v>5.7857233061327381E-4</v>
      </c>
    </row>
    <row r="224" spans="1:6" x14ac:dyDescent="0.35">
      <c r="A224" s="57" t="s">
        <v>1518</v>
      </c>
      <c r="B224" s="231">
        <v>1.5305115599508656</v>
      </c>
      <c r="C224" s="142">
        <v>0.33794805664679345</v>
      </c>
      <c r="D224" s="141">
        <v>0.16497517276036491</v>
      </c>
      <c r="E224" s="142">
        <v>2.9670468409280519</v>
      </c>
      <c r="F224" s="141">
        <v>1.4835234204640261E-3</v>
      </c>
    </row>
  </sheetData>
  <mergeCells count="30">
    <mergeCell ref="S34:T34"/>
    <mergeCell ref="U34:V34"/>
    <mergeCell ref="B34:C34"/>
    <mergeCell ref="D34:F34"/>
    <mergeCell ref="G34:H34"/>
    <mergeCell ref="I34:J34"/>
    <mergeCell ref="K34:L34"/>
    <mergeCell ref="W34:X34"/>
    <mergeCell ref="Y34:Z34"/>
    <mergeCell ref="AA34:AB34"/>
    <mergeCell ref="AC34:AD34"/>
    <mergeCell ref="B36:C36"/>
    <mergeCell ref="D36:N36"/>
    <mergeCell ref="O36:P36"/>
    <mergeCell ref="Q36:R36"/>
    <mergeCell ref="S36:T36"/>
    <mergeCell ref="U36:V36"/>
    <mergeCell ref="W36:X36"/>
    <mergeCell ref="Y36:Z36"/>
    <mergeCell ref="AA36:AD36"/>
    <mergeCell ref="M34:N34"/>
    <mergeCell ref="O34:P34"/>
    <mergeCell ref="Q34:R34"/>
    <mergeCell ref="S91:T91"/>
    <mergeCell ref="U91:V91"/>
    <mergeCell ref="I91:J91"/>
    <mergeCell ref="K91:L91"/>
    <mergeCell ref="M91:N91"/>
    <mergeCell ref="O91:P91"/>
    <mergeCell ref="Q91:R91"/>
  </mergeCells>
  <pageMargins left="0.75" right="0.75" top="1" bottom="1" header="0.5" footer="0.5"/>
  <pageSetup pageOrder="overThenDown" orientation="landscape" r:id="rId1"/>
  <headerFooter alignWithMargins="0">
    <oddHeader>&amp;A</oddHeader>
    <oddFooter>Page &amp;P</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L91"/>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0" style="39" customWidth="1"/>
    <col min="3" max="3" width="11.19921875" style="39" bestFit="1" customWidth="1"/>
    <col min="4" max="5" width="12.796875" style="39" bestFit="1" customWidth="1"/>
    <col min="6" max="6" width="11.19921875" style="39" bestFit="1" customWidth="1"/>
    <col min="7" max="7" width="12.796875" style="39" bestFit="1" customWidth="1"/>
    <col min="8" max="8" width="9.1328125" style="39"/>
    <col min="9" max="9" width="12.796875" style="39" bestFit="1" customWidth="1"/>
    <col min="10" max="10" width="9.1328125" style="39"/>
    <col min="11" max="11" width="11.19921875" style="39" bestFit="1" customWidth="1"/>
    <col min="12" max="16384" width="9.1328125" style="39"/>
  </cols>
  <sheetData>
    <row r="1" spans="1:9" ht="15" x14ac:dyDescent="0.4">
      <c r="A1" s="140" t="s">
        <v>238</v>
      </c>
      <c r="G1" s="230" t="s">
        <v>1626</v>
      </c>
    </row>
    <row r="2" spans="1:9" ht="13.15" x14ac:dyDescent="0.4">
      <c r="A2" s="41"/>
    </row>
    <row r="3" spans="1:9" ht="13.9" x14ac:dyDescent="0.4">
      <c r="A3" s="72" t="s">
        <v>2057</v>
      </c>
    </row>
    <row r="4" spans="1:9" x14ac:dyDescent="0.35">
      <c r="A4" s="61" t="s">
        <v>2056</v>
      </c>
      <c r="B4" s="60">
        <v>0.84199999999999997</v>
      </c>
    </row>
    <row r="5" spans="1:9" x14ac:dyDescent="0.35">
      <c r="A5" s="57" t="s">
        <v>1284</v>
      </c>
      <c r="B5" s="100">
        <v>0.158</v>
      </c>
    </row>
    <row r="6" spans="1:9" ht="13.15" x14ac:dyDescent="0.4">
      <c r="A6" s="41"/>
    </row>
    <row r="7" spans="1:9" ht="13.9" x14ac:dyDescent="0.4">
      <c r="A7" s="72" t="s">
        <v>1734</v>
      </c>
    </row>
    <row r="8" spans="1:9" x14ac:dyDescent="0.35">
      <c r="A8" s="61" t="s">
        <v>1717</v>
      </c>
      <c r="B8" s="417">
        <v>1</v>
      </c>
    </row>
    <row r="9" spans="1:9" x14ac:dyDescent="0.35">
      <c r="A9" s="59" t="s">
        <v>1909</v>
      </c>
      <c r="B9" s="196">
        <v>1</v>
      </c>
    </row>
    <row r="10" spans="1:9" x14ac:dyDescent="0.35">
      <c r="A10" s="59" t="s">
        <v>1946</v>
      </c>
      <c r="B10" s="457">
        <v>0</v>
      </c>
    </row>
    <row r="11" spans="1:9" x14ac:dyDescent="0.35">
      <c r="A11" s="59" t="s">
        <v>1703</v>
      </c>
      <c r="B11" s="196">
        <v>1</v>
      </c>
    </row>
    <row r="12" spans="1:9" x14ac:dyDescent="0.35">
      <c r="A12" s="59" t="s">
        <v>1943</v>
      </c>
      <c r="B12" s="457">
        <v>1</v>
      </c>
    </row>
    <row r="13" spans="1:9" x14ac:dyDescent="0.35">
      <c r="A13" s="57" t="s">
        <v>1942</v>
      </c>
      <c r="B13" s="323">
        <v>0</v>
      </c>
    </row>
    <row r="15" spans="1:9" ht="13.9" x14ac:dyDescent="0.4">
      <c r="A15" s="72" t="s">
        <v>1701</v>
      </c>
    </row>
    <row r="16" spans="1:9" ht="23.85" customHeight="1" x14ac:dyDescent="0.4">
      <c r="A16" s="131"/>
      <c r="B16" s="2191" t="s">
        <v>1290</v>
      </c>
      <c r="C16" s="2192"/>
      <c r="D16" s="2196" t="s">
        <v>1289</v>
      </c>
      <c r="E16" s="2196"/>
      <c r="F16" s="2191" t="s">
        <v>2055</v>
      </c>
      <c r="G16" s="2192"/>
      <c r="H16" s="2196" t="s">
        <v>1287</v>
      </c>
      <c r="I16" s="2192"/>
    </row>
    <row r="17" spans="1:9" ht="68.25" customHeight="1" x14ac:dyDescent="0.4">
      <c r="A17" s="128"/>
      <c r="B17" s="416" t="s">
        <v>1674</v>
      </c>
      <c r="C17" s="415" t="s">
        <v>1673</v>
      </c>
      <c r="D17" s="478" t="s">
        <v>1674</v>
      </c>
      <c r="E17" s="478" t="s">
        <v>1673</v>
      </c>
      <c r="F17" s="416" t="s">
        <v>1674</v>
      </c>
      <c r="G17" s="415" t="s">
        <v>1673</v>
      </c>
      <c r="H17" s="478" t="s">
        <v>1674</v>
      </c>
      <c r="I17" s="415" t="s">
        <v>1673</v>
      </c>
    </row>
    <row r="18" spans="1:9" ht="26.25" x14ac:dyDescent="0.4">
      <c r="A18" s="414" t="s">
        <v>1940</v>
      </c>
      <c r="B18" s="277">
        <v>2.15</v>
      </c>
      <c r="C18" s="99"/>
      <c r="D18" s="120">
        <v>19.782</v>
      </c>
      <c r="F18" s="59">
        <v>24.338000000000001</v>
      </c>
      <c r="G18" s="99"/>
      <c r="H18" s="455">
        <v>2.4820000000000002</v>
      </c>
      <c r="I18" s="60"/>
    </row>
    <row r="19" spans="1:9" ht="13.15" x14ac:dyDescent="0.4">
      <c r="A19" s="454" t="s">
        <v>1671</v>
      </c>
      <c r="B19" s="413">
        <v>0</v>
      </c>
      <c r="C19" s="99"/>
      <c r="D19" s="197">
        <v>0</v>
      </c>
      <c r="F19" s="413">
        <v>0</v>
      </c>
      <c r="G19" s="99"/>
      <c r="H19" s="194">
        <v>0</v>
      </c>
      <c r="I19" s="193"/>
    </row>
    <row r="20" spans="1:9" ht="13.15" x14ac:dyDescent="0.4">
      <c r="A20" s="131" t="s">
        <v>1670</v>
      </c>
      <c r="B20" s="61"/>
      <c r="C20" s="60"/>
      <c r="D20" s="101"/>
      <c r="E20" s="101"/>
      <c r="F20" s="61"/>
      <c r="G20" s="60"/>
      <c r="H20" s="101"/>
      <c r="I20" s="60"/>
    </row>
    <row r="21" spans="1:9" x14ac:dyDescent="0.35">
      <c r="A21" s="59" t="s">
        <v>1668</v>
      </c>
      <c r="B21" s="413">
        <v>0</v>
      </c>
      <c r="C21" s="99"/>
      <c r="D21" s="254">
        <v>0</v>
      </c>
      <c r="F21" s="477">
        <v>0.36117248453676198</v>
      </c>
      <c r="G21" s="99"/>
      <c r="H21" s="254">
        <v>0.33800000000000002</v>
      </c>
      <c r="I21" s="99"/>
    </row>
    <row r="22" spans="1:9" x14ac:dyDescent="0.35">
      <c r="A22" s="59" t="s">
        <v>1667</v>
      </c>
      <c r="B22" s="413">
        <v>0.48</v>
      </c>
      <c r="C22" s="99" t="s">
        <v>1939</v>
      </c>
      <c r="D22" s="254">
        <v>7.0000000000000007E-2</v>
      </c>
      <c r="F22" s="477">
        <v>7.5773624268391002E-2</v>
      </c>
      <c r="G22" s="99"/>
      <c r="H22" s="254">
        <v>0</v>
      </c>
      <c r="I22" s="99"/>
    </row>
    <row r="23" spans="1:9" x14ac:dyDescent="0.35">
      <c r="A23" s="59" t="s">
        <v>1534</v>
      </c>
      <c r="B23" s="413">
        <v>0</v>
      </c>
      <c r="C23" s="99"/>
      <c r="D23" s="254">
        <v>0.435</v>
      </c>
      <c r="F23" s="477">
        <v>7.7134827099559697E-3</v>
      </c>
      <c r="G23" s="99"/>
      <c r="H23" s="254">
        <v>0</v>
      </c>
      <c r="I23" s="99"/>
    </row>
    <row r="24" spans="1:9" x14ac:dyDescent="0.35">
      <c r="A24" s="59" t="s">
        <v>1535</v>
      </c>
      <c r="B24" s="413">
        <v>0</v>
      </c>
      <c r="C24" s="99"/>
      <c r="D24" s="254">
        <v>0.16500000000000001</v>
      </c>
      <c r="F24" s="477">
        <v>0</v>
      </c>
      <c r="G24" s="99"/>
      <c r="H24" s="254">
        <v>5.0000000000000001E-3</v>
      </c>
      <c r="I24" s="99"/>
    </row>
    <row r="25" spans="1:9" x14ac:dyDescent="0.35">
      <c r="A25" s="57" t="s">
        <v>1664</v>
      </c>
      <c r="B25" s="412">
        <v>0.52</v>
      </c>
      <c r="C25" s="100"/>
      <c r="D25" s="252">
        <v>0.32999999999999996</v>
      </c>
      <c r="E25" s="77"/>
      <c r="F25" s="412">
        <v>0.55534040848489097</v>
      </c>
      <c r="G25" s="100"/>
      <c r="H25" s="252">
        <v>0.65700000000000003</v>
      </c>
      <c r="I25" s="100"/>
    </row>
    <row r="26" spans="1:9" ht="13.15" x14ac:dyDescent="0.4">
      <c r="A26" s="128" t="s">
        <v>1669</v>
      </c>
      <c r="B26" s="59"/>
      <c r="C26" s="99"/>
      <c r="F26" s="59"/>
      <c r="G26" s="99"/>
      <c r="I26" s="99"/>
    </row>
    <row r="27" spans="1:9" s="145" customFormat="1" x14ac:dyDescent="0.35">
      <c r="A27" s="232" t="s">
        <v>1668</v>
      </c>
      <c r="B27" s="411">
        <v>0</v>
      </c>
      <c r="C27" s="144"/>
      <c r="D27" s="493">
        <v>0</v>
      </c>
      <c r="F27" s="411">
        <v>8.790215928655714</v>
      </c>
      <c r="G27" s="144"/>
      <c r="H27" s="493">
        <v>0.83891600000000011</v>
      </c>
      <c r="I27" s="144"/>
    </row>
    <row r="28" spans="1:9" s="145" customFormat="1" x14ac:dyDescent="0.35">
      <c r="A28" s="232" t="s">
        <v>1667</v>
      </c>
      <c r="B28" s="411">
        <v>1.032</v>
      </c>
      <c r="C28" s="144"/>
      <c r="D28" s="493">
        <v>1.3847400000000001</v>
      </c>
      <c r="F28" s="411">
        <v>1.8441784674441002</v>
      </c>
      <c r="G28" s="144"/>
      <c r="H28" s="493">
        <v>0</v>
      </c>
      <c r="I28" s="144"/>
    </row>
    <row r="29" spans="1:9" s="145" customFormat="1" x14ac:dyDescent="0.35">
      <c r="A29" s="232" t="s">
        <v>1534</v>
      </c>
      <c r="B29" s="411">
        <v>0</v>
      </c>
      <c r="C29" s="144"/>
      <c r="D29" s="493">
        <v>8.6051699999999993</v>
      </c>
      <c r="F29" s="411">
        <v>0.1877307421949084</v>
      </c>
      <c r="G29" s="144"/>
      <c r="H29" s="493">
        <v>0</v>
      </c>
      <c r="I29" s="144"/>
    </row>
    <row r="30" spans="1:9" s="145" customFormat="1" x14ac:dyDescent="0.35">
      <c r="A30" s="232" t="s">
        <v>1535</v>
      </c>
      <c r="B30" s="411">
        <v>0</v>
      </c>
      <c r="C30" s="144"/>
      <c r="D30" s="493">
        <v>3.26403</v>
      </c>
      <c r="F30" s="411">
        <v>0</v>
      </c>
      <c r="G30" s="144"/>
      <c r="H30" s="493">
        <v>1.2410000000000001E-2</v>
      </c>
      <c r="I30" s="144"/>
    </row>
    <row r="31" spans="1:9" s="145" customFormat="1" x14ac:dyDescent="0.35">
      <c r="A31" s="231" t="s">
        <v>1664</v>
      </c>
      <c r="B31" s="411">
        <v>1.1179999999999999</v>
      </c>
      <c r="C31" s="144"/>
      <c r="D31" s="493">
        <v>6.5280599999999991</v>
      </c>
      <c r="F31" s="411">
        <v>13.515874861705276</v>
      </c>
      <c r="G31" s="144"/>
      <c r="H31" s="493">
        <v>1.6306740000000002</v>
      </c>
      <c r="I31" s="144"/>
    </row>
    <row r="32" spans="1:9" s="145" customFormat="1" x14ac:dyDescent="0.35">
      <c r="A32" s="237" t="s">
        <v>1537</v>
      </c>
      <c r="B32" s="237">
        <v>3.5584031964596159</v>
      </c>
      <c r="C32" s="156"/>
      <c r="D32" s="157">
        <v>28.014031964053189</v>
      </c>
      <c r="E32" s="157"/>
      <c r="F32" s="237">
        <v>46.222488953407478</v>
      </c>
      <c r="G32" s="156"/>
      <c r="H32" s="157">
        <v>4.3550799491951944</v>
      </c>
      <c r="I32" s="156"/>
    </row>
    <row r="33" spans="1:9" s="145" customFormat="1" x14ac:dyDescent="0.35">
      <c r="A33" s="232" t="s">
        <v>1536</v>
      </c>
      <c r="B33" s="232">
        <v>3.1077135516646881</v>
      </c>
      <c r="C33" s="144"/>
      <c r="D33" s="145">
        <v>25.402039382407267</v>
      </c>
      <c r="F33" s="232">
        <v>34.957262723287648</v>
      </c>
      <c r="G33" s="144"/>
      <c r="H33" s="145">
        <v>3.7025261817512649</v>
      </c>
      <c r="I33" s="144"/>
    </row>
    <row r="34" spans="1:9" s="145" customFormat="1" x14ac:dyDescent="0.35">
      <c r="A34" s="232" t="s">
        <v>1535</v>
      </c>
      <c r="B34" s="232">
        <v>1.0879023639262815</v>
      </c>
      <c r="C34" s="144"/>
      <c r="D34" s="145">
        <v>9.5727420236514185</v>
      </c>
      <c r="F34" s="232">
        <v>10.556756193044935</v>
      </c>
      <c r="G34" s="144"/>
      <c r="H34" s="145">
        <v>1.5878334605173874</v>
      </c>
      <c r="I34" s="144"/>
    </row>
    <row r="35" spans="1:9" s="145" customFormat="1" x14ac:dyDescent="0.35">
      <c r="A35" s="232" t="s">
        <v>1534</v>
      </c>
      <c r="B35" s="232">
        <v>0.89894647053992172</v>
      </c>
      <c r="C35" s="144"/>
      <c r="D35" s="145">
        <v>14.076172129229834</v>
      </c>
      <c r="F35" s="232">
        <v>3.8389654474134716</v>
      </c>
      <c r="G35" s="144"/>
      <c r="H35" s="145">
        <v>1.1844095115428028</v>
      </c>
      <c r="I35" s="144"/>
    </row>
    <row r="36" spans="1:9" s="145" customFormat="1" x14ac:dyDescent="0.35">
      <c r="A36" s="232" t="s">
        <v>1533</v>
      </c>
      <c r="B36" s="232">
        <v>1.1208647171984851</v>
      </c>
      <c r="C36" s="144"/>
      <c r="D36" s="145">
        <v>1.7531252295260142</v>
      </c>
      <c r="F36" s="232">
        <v>20.561541082829244</v>
      </c>
      <c r="G36" s="144"/>
      <c r="H36" s="145">
        <v>0.93028320969107503</v>
      </c>
      <c r="I36" s="144"/>
    </row>
    <row r="37" spans="1:9" s="145" customFormat="1" x14ac:dyDescent="0.35">
      <c r="A37" s="231" t="s">
        <v>1532</v>
      </c>
      <c r="B37" s="49">
        <v>246.48755065280119</v>
      </c>
      <c r="C37" s="43"/>
      <c r="D37" s="48">
        <v>1373.5456280212559</v>
      </c>
      <c r="E37" s="44"/>
      <c r="F37" s="49">
        <v>9520.6758359872183</v>
      </c>
      <c r="G37" s="43"/>
      <c r="H37" s="48">
        <v>342.79481330431082</v>
      </c>
      <c r="I37" s="43"/>
    </row>
    <row r="38" spans="1:9" s="145" customFormat="1" ht="13.15" x14ac:dyDescent="0.4">
      <c r="A38" s="390" t="s">
        <v>1663</v>
      </c>
      <c r="B38" s="387"/>
      <c r="C38" s="381"/>
      <c r="D38" s="382"/>
      <c r="E38" s="382"/>
      <c r="F38" s="387"/>
      <c r="G38" s="381"/>
      <c r="H38" s="382"/>
      <c r="I38" s="381"/>
    </row>
    <row r="39" spans="1:9" s="145" customFormat="1" x14ac:dyDescent="0.35">
      <c r="A39" s="232" t="s">
        <v>1525</v>
      </c>
      <c r="B39" s="232">
        <v>49.475196516112888</v>
      </c>
      <c r="C39" s="144"/>
      <c r="D39" s="145">
        <v>248.89137326385008</v>
      </c>
      <c r="F39" s="232">
        <v>303.30601374760073</v>
      </c>
      <c r="G39" s="144"/>
      <c r="H39" s="145">
        <v>30.230264422737317</v>
      </c>
      <c r="I39" s="144"/>
    </row>
    <row r="40" spans="1:9" s="145" customFormat="1" x14ac:dyDescent="0.35">
      <c r="A40" s="232" t="s">
        <v>1524</v>
      </c>
      <c r="B40" s="232">
        <v>144.7085788514928</v>
      </c>
      <c r="C40" s="144"/>
      <c r="D40" s="145">
        <v>1757.1174588548711</v>
      </c>
      <c r="F40" s="232">
        <v>3553.4427408521615</v>
      </c>
      <c r="G40" s="144"/>
      <c r="H40" s="145">
        <v>108.98715949836586</v>
      </c>
      <c r="I40" s="144"/>
    </row>
    <row r="41" spans="1:9" s="145" customFormat="1" x14ac:dyDescent="0.35">
      <c r="A41" s="232" t="s">
        <v>1523</v>
      </c>
      <c r="B41" s="232">
        <v>340.52386915754062</v>
      </c>
      <c r="C41" s="144"/>
      <c r="D41" s="145">
        <v>4631.6657984819994</v>
      </c>
      <c r="F41" s="232">
        <v>10209.322377963084</v>
      </c>
      <c r="G41" s="144"/>
      <c r="H41" s="145">
        <v>295.31337768532569</v>
      </c>
      <c r="I41" s="144"/>
    </row>
    <row r="42" spans="1:9" s="145" customFormat="1" x14ac:dyDescent="0.35">
      <c r="A42" s="232" t="s">
        <v>1522</v>
      </c>
      <c r="B42" s="232">
        <v>28.050571041837806</v>
      </c>
      <c r="C42" s="321">
        <v>54.447000000000003</v>
      </c>
      <c r="D42" s="145">
        <v>261.41900503868811</v>
      </c>
      <c r="F42" s="232">
        <v>1414.2330464497682</v>
      </c>
      <c r="G42" s="144">
        <v>54.447000000000003</v>
      </c>
      <c r="H42" s="145">
        <v>59.311896698441132</v>
      </c>
      <c r="I42" s="144"/>
    </row>
    <row r="43" spans="1:9" s="145" customFormat="1" x14ac:dyDescent="0.35">
      <c r="A43" s="232" t="s">
        <v>1521</v>
      </c>
      <c r="B43" s="232">
        <v>13.358874646453661</v>
      </c>
      <c r="C43" s="144">
        <v>27.223500000000001</v>
      </c>
      <c r="D43" s="145">
        <v>172.35370691160642</v>
      </c>
      <c r="F43" s="232">
        <v>641.76674460245704</v>
      </c>
      <c r="G43" s="144">
        <v>27.223500000000001</v>
      </c>
      <c r="H43" s="145">
        <v>27.163107671558905</v>
      </c>
      <c r="I43" s="144"/>
    </row>
    <row r="44" spans="1:9" s="145" customFormat="1" x14ac:dyDescent="0.35">
      <c r="A44" s="232" t="s">
        <v>1520</v>
      </c>
      <c r="B44" s="232">
        <v>302.63262754490734</v>
      </c>
      <c r="C44" s="144"/>
      <c r="D44" s="145">
        <v>3597.0193501071603</v>
      </c>
      <c r="E44" s="42">
        <v>125927.30499999999</v>
      </c>
      <c r="F44" s="232">
        <v>11749.576894089882</v>
      </c>
      <c r="G44" s="144">
        <v>125927.30499999999</v>
      </c>
      <c r="H44" s="145">
        <v>1010.3303296698975</v>
      </c>
      <c r="I44" s="144"/>
    </row>
    <row r="45" spans="1:9" s="145" customFormat="1" x14ac:dyDescent="0.35">
      <c r="A45" s="232" t="s">
        <v>1519</v>
      </c>
      <c r="B45" s="232">
        <v>1.1652529911289233</v>
      </c>
      <c r="C45" s="144"/>
      <c r="D45" s="145">
        <v>71.567998124446589</v>
      </c>
      <c r="F45" s="232">
        <v>134.45587620242407</v>
      </c>
      <c r="G45" s="144"/>
      <c r="H45" s="145">
        <v>1.9971404042636398</v>
      </c>
      <c r="I45" s="144"/>
    </row>
    <row r="46" spans="1:9" s="145" customFormat="1" x14ac:dyDescent="0.35">
      <c r="A46" s="232" t="s">
        <v>1518</v>
      </c>
      <c r="B46" s="232">
        <v>2.4352953508171358</v>
      </c>
      <c r="C46" s="144"/>
      <c r="D46" s="145">
        <v>38.418530928253304</v>
      </c>
      <c r="F46" s="232">
        <v>113.07499615555577</v>
      </c>
      <c r="G46" s="144"/>
      <c r="H46" s="145">
        <v>3.1725840562092973</v>
      </c>
      <c r="I46" s="144"/>
    </row>
    <row r="47" spans="1:9" s="145" customFormat="1" x14ac:dyDescent="0.35">
      <c r="A47" s="232" t="s">
        <v>1531</v>
      </c>
      <c r="B47" s="232">
        <v>434.95936566116688</v>
      </c>
      <c r="C47" s="144"/>
      <c r="D47" s="145">
        <v>4297.4043048607919</v>
      </c>
      <c r="F47" s="232">
        <v>4185.7482353563428</v>
      </c>
      <c r="G47" s="144"/>
      <c r="H47" s="145">
        <v>525.5989485384622</v>
      </c>
      <c r="I47" s="144"/>
    </row>
    <row r="48" spans="1:9" s="145" customFormat="1" x14ac:dyDescent="0.35">
      <c r="A48" s="232" t="s">
        <v>1530</v>
      </c>
      <c r="B48" s="232">
        <v>2.7815618833819813</v>
      </c>
      <c r="C48" s="144"/>
      <c r="D48" s="145">
        <v>36.774381292435024</v>
      </c>
      <c r="F48" s="232">
        <v>64.427447790712165</v>
      </c>
      <c r="G48" s="144"/>
      <c r="H48" s="145">
        <v>5.1148976039149936</v>
      </c>
      <c r="I48" s="144"/>
    </row>
    <row r="49" spans="1:12" s="48" customFormat="1" x14ac:dyDescent="0.35">
      <c r="A49" s="45" t="s">
        <v>1529</v>
      </c>
      <c r="B49" s="389">
        <v>250850.64801027975</v>
      </c>
      <c r="C49" s="531"/>
      <c r="D49" s="151">
        <v>1931125.1630920414</v>
      </c>
      <c r="E49" s="44"/>
      <c r="F49" s="389">
        <v>3024077.8049814352</v>
      </c>
      <c r="G49" s="43"/>
      <c r="H49" s="151">
        <v>308967.8708387615</v>
      </c>
      <c r="I49" s="43"/>
    </row>
    <row r="50" spans="1:12" s="145" customFormat="1" ht="13.15" x14ac:dyDescent="0.4">
      <c r="A50" s="388" t="s">
        <v>1662</v>
      </c>
      <c r="B50" s="232"/>
      <c r="C50" s="144"/>
      <c r="D50" s="148"/>
      <c r="F50" s="411"/>
      <c r="G50" s="144"/>
      <c r="H50" s="148"/>
      <c r="I50" s="144"/>
    </row>
    <row r="51" spans="1:12" s="145" customFormat="1" x14ac:dyDescent="0.35">
      <c r="A51" s="232" t="s">
        <v>1525</v>
      </c>
      <c r="B51" s="232">
        <v>4.3310890039545482</v>
      </c>
      <c r="C51" s="144">
        <v>0</v>
      </c>
      <c r="D51" s="145">
        <v>16.609939288337291</v>
      </c>
      <c r="E51" s="145">
        <v>0</v>
      </c>
      <c r="F51" s="232">
        <v>41.416885580311678</v>
      </c>
      <c r="G51" s="144">
        <v>0</v>
      </c>
      <c r="H51" s="145">
        <v>3.1045145770414768</v>
      </c>
      <c r="I51" s="144">
        <v>0</v>
      </c>
    </row>
    <row r="52" spans="1:12" s="145" customFormat="1" x14ac:dyDescent="0.35">
      <c r="A52" s="232" t="s">
        <v>1524</v>
      </c>
      <c r="B52" s="232">
        <v>11.726360192006391</v>
      </c>
      <c r="C52" s="144">
        <v>0</v>
      </c>
      <c r="D52" s="145">
        <v>83.21485009461486</v>
      </c>
      <c r="E52" s="145">
        <v>0</v>
      </c>
      <c r="F52" s="232">
        <v>94.187408087327384</v>
      </c>
      <c r="G52" s="144">
        <v>0</v>
      </c>
      <c r="H52" s="145">
        <v>14.938129109993493</v>
      </c>
      <c r="I52" s="144">
        <v>0</v>
      </c>
    </row>
    <row r="53" spans="1:12" s="145" customFormat="1" x14ac:dyDescent="0.35">
      <c r="A53" s="232" t="s">
        <v>1523</v>
      </c>
      <c r="B53" s="232">
        <v>28.797609708018943</v>
      </c>
      <c r="C53" s="144">
        <v>0</v>
      </c>
      <c r="D53" s="145">
        <v>181.32860028156594</v>
      </c>
      <c r="E53" s="145">
        <v>0</v>
      </c>
      <c r="F53" s="232">
        <v>277.64061726892123</v>
      </c>
      <c r="G53" s="144">
        <v>0</v>
      </c>
      <c r="H53" s="145">
        <v>38.322847440585292</v>
      </c>
      <c r="I53" s="144">
        <v>0</v>
      </c>
    </row>
    <row r="54" spans="1:12" s="145" customFormat="1" x14ac:dyDescent="0.35">
      <c r="A54" s="232" t="s">
        <v>1522</v>
      </c>
      <c r="B54" s="232">
        <v>3.6559017726080643</v>
      </c>
      <c r="C54" s="144">
        <v>0</v>
      </c>
      <c r="D54" s="145">
        <v>18.763124086076658</v>
      </c>
      <c r="E54" s="145">
        <v>0</v>
      </c>
      <c r="F54" s="232">
        <v>45.503828330527632</v>
      </c>
      <c r="G54" s="144">
        <v>0</v>
      </c>
      <c r="H54" s="145">
        <v>4.797451351024355</v>
      </c>
      <c r="I54" s="144">
        <v>0</v>
      </c>
    </row>
    <row r="55" spans="1:12" s="145" customFormat="1" x14ac:dyDescent="0.35">
      <c r="A55" s="232" t="s">
        <v>1521</v>
      </c>
      <c r="B55" s="232">
        <v>2.7176078954126974</v>
      </c>
      <c r="C55" s="144">
        <v>0</v>
      </c>
      <c r="D55" s="145">
        <v>13.880660896275444</v>
      </c>
      <c r="E55" s="145">
        <v>0</v>
      </c>
      <c r="F55" s="232">
        <v>29.783088542780217</v>
      </c>
      <c r="G55" s="144">
        <v>0</v>
      </c>
      <c r="H55" s="145">
        <v>3.5596557263812802</v>
      </c>
      <c r="I55" s="144">
        <v>0</v>
      </c>
    </row>
    <row r="56" spans="1:12" s="145" customFormat="1" x14ac:dyDescent="0.35">
      <c r="A56" s="232" t="s">
        <v>1520</v>
      </c>
      <c r="B56" s="232">
        <v>106.46417996447823</v>
      </c>
      <c r="C56" s="144">
        <v>0</v>
      </c>
      <c r="D56" s="145">
        <v>602.73965273415024</v>
      </c>
      <c r="E56" s="145">
        <v>0</v>
      </c>
      <c r="F56" s="232">
        <v>1066.8615202914104</v>
      </c>
      <c r="G56" s="144">
        <v>0</v>
      </c>
      <c r="H56" s="145">
        <v>150.93849541873072</v>
      </c>
      <c r="I56" s="144">
        <v>0</v>
      </c>
    </row>
    <row r="57" spans="1:12" s="145" customFormat="1" x14ac:dyDescent="0.35">
      <c r="A57" s="232" t="s">
        <v>1519</v>
      </c>
      <c r="B57" s="232">
        <v>0.19361965349825408</v>
      </c>
      <c r="C57" s="144">
        <v>0</v>
      </c>
      <c r="D57" s="145">
        <v>0.88785813857210516</v>
      </c>
      <c r="E57" s="145">
        <v>0</v>
      </c>
      <c r="F57" s="232">
        <v>2.1870466271175975</v>
      </c>
      <c r="G57" s="144">
        <v>0</v>
      </c>
      <c r="H57" s="145">
        <v>0.22934716251641404</v>
      </c>
      <c r="I57" s="144">
        <v>0</v>
      </c>
    </row>
    <row r="58" spans="1:12" s="145" customFormat="1" x14ac:dyDescent="0.35">
      <c r="A58" s="231" t="s">
        <v>1518</v>
      </c>
      <c r="B58" s="231">
        <v>0.42711819947561686</v>
      </c>
      <c r="C58" s="141">
        <v>0</v>
      </c>
      <c r="D58" s="142">
        <v>2.2053951308544066</v>
      </c>
      <c r="E58" s="142">
        <v>0</v>
      </c>
      <c r="F58" s="231">
        <v>4.2050428615082813</v>
      </c>
      <c r="G58" s="141">
        <v>0</v>
      </c>
      <c r="H58" s="142">
        <v>0.55217732522872742</v>
      </c>
      <c r="I58" s="141">
        <v>0</v>
      </c>
    </row>
    <row r="59" spans="1:12" s="145" customFormat="1" x14ac:dyDescent="0.35"/>
    <row r="60" spans="1:12" s="145" customFormat="1" ht="13.9" x14ac:dyDescent="0.4">
      <c r="A60" s="386" t="s">
        <v>2054</v>
      </c>
    </row>
    <row r="61" spans="1:12" s="145" customFormat="1" ht="39.4" x14ac:dyDescent="0.4">
      <c r="A61" s="237"/>
      <c r="B61" s="530" t="s">
        <v>1198</v>
      </c>
      <c r="C61" s="405" t="s">
        <v>2053</v>
      </c>
      <c r="D61" s="404" t="s">
        <v>1287</v>
      </c>
      <c r="E61" s="2199" t="s">
        <v>2051</v>
      </c>
      <c r="F61" s="2240"/>
      <c r="G61" s="530" t="s">
        <v>2052</v>
      </c>
      <c r="H61" s="404" t="s">
        <v>1287</v>
      </c>
      <c r="I61" s="2199" t="s">
        <v>2051</v>
      </c>
      <c r="J61" s="2240"/>
      <c r="K61" s="2197" t="s">
        <v>327</v>
      </c>
      <c r="L61" s="2239"/>
    </row>
    <row r="62" spans="1:12" s="145" customFormat="1" ht="13.15" x14ac:dyDescent="0.4">
      <c r="A62" s="390" t="s">
        <v>2050</v>
      </c>
      <c r="B62" s="529"/>
      <c r="C62" s="408"/>
      <c r="D62" s="144"/>
      <c r="E62" s="403" t="s">
        <v>1873</v>
      </c>
      <c r="F62" s="429" t="s">
        <v>1872</v>
      </c>
      <c r="G62" s="232"/>
      <c r="H62" s="144"/>
      <c r="I62" s="403" t="s">
        <v>1873</v>
      </c>
      <c r="J62" s="429" t="s">
        <v>1872</v>
      </c>
      <c r="K62" s="527" t="s">
        <v>1873</v>
      </c>
      <c r="L62" s="402" t="s">
        <v>1872</v>
      </c>
    </row>
    <row r="63" spans="1:12" s="145" customFormat="1" x14ac:dyDescent="0.35">
      <c r="A63" s="232" t="s">
        <v>1537</v>
      </c>
      <c r="B63" s="232">
        <v>3.5584031964596159</v>
      </c>
      <c r="C63" s="145">
        <v>28.014031964053189</v>
      </c>
      <c r="D63" s="144">
        <v>4.3550799491951944</v>
      </c>
      <c r="E63" s="145">
        <v>35.927515109707997</v>
      </c>
      <c r="F63" s="146">
        <v>1.7963757554854E-2</v>
      </c>
      <c r="G63" s="232">
        <v>46.222488953407478</v>
      </c>
      <c r="H63" s="144">
        <v>4.3550799491951944</v>
      </c>
      <c r="I63" s="145">
        <v>50.577568902602671</v>
      </c>
      <c r="J63" s="146">
        <v>2.5288784451301335E-2</v>
      </c>
      <c r="K63" s="146">
        <v>38.242223608985356</v>
      </c>
      <c r="L63" s="144">
        <v>1.9121111804492677E-2</v>
      </c>
    </row>
    <row r="64" spans="1:12" s="145" customFormat="1" x14ac:dyDescent="0.35">
      <c r="A64" s="232" t="s">
        <v>1536</v>
      </c>
      <c r="B64" s="232">
        <v>3.1077135516646881</v>
      </c>
      <c r="C64" s="145">
        <v>25.402039382407267</v>
      </c>
      <c r="D64" s="144">
        <v>3.7025261817512649</v>
      </c>
      <c r="E64" s="145">
        <v>32.212279115823222</v>
      </c>
      <c r="F64" s="146">
        <v>1.6106139557911611E-2</v>
      </c>
      <c r="G64" s="232">
        <v>34.957262723287648</v>
      </c>
      <c r="H64" s="144">
        <v>3.7025261817512649</v>
      </c>
      <c r="I64" s="145">
        <v>38.659788905038916</v>
      </c>
      <c r="J64" s="146">
        <v>1.9329894452519456E-2</v>
      </c>
      <c r="K64" s="146">
        <v>33.230985662519302</v>
      </c>
      <c r="L64" s="144">
        <v>1.661549283125965E-2</v>
      </c>
    </row>
    <row r="65" spans="1:12" s="145" customFormat="1" x14ac:dyDescent="0.35">
      <c r="A65" s="232" t="s">
        <v>1535</v>
      </c>
      <c r="B65" s="232">
        <v>1.0879023639262815</v>
      </c>
      <c r="C65" s="145">
        <v>9.5727420236514185</v>
      </c>
      <c r="D65" s="144">
        <v>1.5878334605173874</v>
      </c>
      <c r="E65" s="145">
        <v>12.248477848095087</v>
      </c>
      <c r="F65" s="146">
        <v>6.1242389240475431E-3</v>
      </c>
      <c r="G65" s="232">
        <v>10.556756193044935</v>
      </c>
      <c r="H65" s="144">
        <v>1.5878334605173874</v>
      </c>
      <c r="I65" s="145">
        <v>12.144589653562322</v>
      </c>
      <c r="J65" s="146">
        <v>6.0722948267811615E-3</v>
      </c>
      <c r="K65" s="146">
        <v>12.232063513358909</v>
      </c>
      <c r="L65" s="144">
        <v>6.1160317566794544E-3</v>
      </c>
    </row>
    <row r="66" spans="1:12" s="145" customFormat="1" x14ac:dyDescent="0.35">
      <c r="A66" s="232" t="s">
        <v>1534</v>
      </c>
      <c r="B66" s="232">
        <v>0.89894647053992172</v>
      </c>
      <c r="C66" s="145">
        <v>14.076172129229834</v>
      </c>
      <c r="D66" s="144">
        <v>1.1844095115428028</v>
      </c>
      <c r="E66" s="145">
        <v>16.159528111312557</v>
      </c>
      <c r="F66" s="146">
        <v>8.0797640556562796E-3</v>
      </c>
      <c r="G66" s="232">
        <v>3.8389654474134716</v>
      </c>
      <c r="H66" s="144">
        <v>1.1844095115428028</v>
      </c>
      <c r="I66" s="145">
        <v>5.0233749589562748</v>
      </c>
      <c r="J66" s="146">
        <v>2.5116874794781346E-3</v>
      </c>
      <c r="K66" s="146">
        <v>14.400015913240265</v>
      </c>
      <c r="L66" s="144">
        <v>7.2000079566201343E-3</v>
      </c>
    </row>
    <row r="67" spans="1:12" s="145" customFormat="1" x14ac:dyDescent="0.35">
      <c r="A67" s="232" t="s">
        <v>1533</v>
      </c>
      <c r="B67" s="232">
        <v>1.1208647171984851</v>
      </c>
      <c r="C67" s="145">
        <v>1.7531252295260142</v>
      </c>
      <c r="D67" s="144">
        <v>0.93028320969107503</v>
      </c>
      <c r="E67" s="145">
        <v>3.8042731564155745</v>
      </c>
      <c r="F67" s="146">
        <v>1.9021365782077872E-3</v>
      </c>
      <c r="G67" s="232">
        <v>20.561541082829244</v>
      </c>
      <c r="H67" s="144">
        <v>0.93028320969107503</v>
      </c>
      <c r="I67" s="145">
        <v>21.49182429252032</v>
      </c>
      <c r="J67" s="146">
        <v>1.074591214626016E-2</v>
      </c>
      <c r="K67" s="146">
        <v>6.5989062359201238</v>
      </c>
      <c r="L67" s="144">
        <v>3.2994531179600618E-3</v>
      </c>
    </row>
    <row r="68" spans="1:12" s="145" customFormat="1" x14ac:dyDescent="0.35">
      <c r="A68" s="391" t="s">
        <v>1532</v>
      </c>
      <c r="B68" s="290">
        <v>246.48755065280119</v>
      </c>
      <c r="C68" s="291">
        <v>1373.5456280212559</v>
      </c>
      <c r="D68" s="289">
        <v>342.79481330431082</v>
      </c>
      <c r="E68" s="291">
        <v>1962.8279919783679</v>
      </c>
      <c r="F68" s="528">
        <v>0.981413995989184</v>
      </c>
      <c r="G68" s="290">
        <v>9520.6758359872183</v>
      </c>
      <c r="H68" s="433">
        <v>342.79481330431082</v>
      </c>
      <c r="I68" s="291">
        <v>9863.4706492915284</v>
      </c>
      <c r="J68" s="528">
        <v>4.9317353246457643</v>
      </c>
      <c r="K68" s="383">
        <v>3211.1295318338471</v>
      </c>
      <c r="L68" s="433">
        <v>1.6055647659169234</v>
      </c>
    </row>
    <row r="69" spans="1:12" s="145" customFormat="1" ht="13.15" x14ac:dyDescent="0.4">
      <c r="A69" s="388" t="s">
        <v>1564</v>
      </c>
      <c r="B69" s="232"/>
      <c r="D69" s="144"/>
      <c r="E69" s="403" t="s">
        <v>1873</v>
      </c>
      <c r="F69" s="527" t="s">
        <v>1872</v>
      </c>
      <c r="G69" s="232"/>
      <c r="H69" s="144"/>
      <c r="I69" s="403" t="s">
        <v>1873</v>
      </c>
      <c r="J69" s="527" t="s">
        <v>1872</v>
      </c>
      <c r="K69" s="527" t="s">
        <v>1873</v>
      </c>
      <c r="L69" s="402" t="s">
        <v>1872</v>
      </c>
    </row>
    <row r="70" spans="1:12" s="145" customFormat="1" x14ac:dyDescent="0.35">
      <c r="A70" s="232" t="s">
        <v>1525</v>
      </c>
      <c r="B70" s="232">
        <v>49.475196516112888</v>
      </c>
      <c r="C70" s="145">
        <v>248.89137326385008</v>
      </c>
      <c r="D70" s="144">
        <v>30.230264422737317</v>
      </c>
      <c r="E70" s="145">
        <v>328.59683420270028</v>
      </c>
      <c r="F70" s="146">
        <v>0.16429841710135015</v>
      </c>
      <c r="G70" s="232">
        <v>303.30601374760073</v>
      </c>
      <c r="H70" s="144">
        <v>30.230264422737317</v>
      </c>
      <c r="I70" s="145">
        <v>333.53627817033805</v>
      </c>
      <c r="J70" s="146">
        <v>0.16676813908516902</v>
      </c>
      <c r="K70" s="146">
        <v>329.37726634958699</v>
      </c>
      <c r="L70" s="144">
        <v>0.16468863317479349</v>
      </c>
    </row>
    <row r="71" spans="1:12" s="145" customFormat="1" x14ac:dyDescent="0.35">
      <c r="A71" s="232" t="s">
        <v>1524</v>
      </c>
      <c r="B71" s="232">
        <v>144.7085788514928</v>
      </c>
      <c r="C71" s="145">
        <v>1757.1174588548711</v>
      </c>
      <c r="D71" s="144">
        <v>108.98715949836586</v>
      </c>
      <c r="E71" s="145">
        <v>2010.8131972047297</v>
      </c>
      <c r="F71" s="146">
        <v>1.0054065986023648</v>
      </c>
      <c r="G71" s="232">
        <v>3553.4427408521615</v>
      </c>
      <c r="H71" s="144">
        <v>108.98715949836586</v>
      </c>
      <c r="I71" s="145">
        <v>3662.4299003505275</v>
      </c>
      <c r="J71" s="146">
        <v>1.8312149501752637</v>
      </c>
      <c r="K71" s="146">
        <v>2271.7686363017656</v>
      </c>
      <c r="L71" s="144">
        <v>1.1358843181508829</v>
      </c>
    </row>
    <row r="72" spans="1:12" s="145" customFormat="1" x14ac:dyDescent="0.35">
      <c r="A72" s="232" t="s">
        <v>1563</v>
      </c>
      <c r="B72" s="232">
        <v>340.52386915754062</v>
      </c>
      <c r="C72" s="145">
        <v>4631.6657984819994</v>
      </c>
      <c r="D72" s="144">
        <v>295.31337768532569</v>
      </c>
      <c r="E72" s="145">
        <v>5267.5030453248655</v>
      </c>
      <c r="F72" s="146">
        <v>2.6337515226624326</v>
      </c>
      <c r="G72" s="232">
        <v>10209.322377963084</v>
      </c>
      <c r="H72" s="144">
        <v>295.31337768532569</v>
      </c>
      <c r="I72" s="145">
        <v>10504.635755648411</v>
      </c>
      <c r="J72" s="146">
        <v>5.252317877824205</v>
      </c>
      <c r="K72" s="146">
        <v>6094.9700135559851</v>
      </c>
      <c r="L72" s="144">
        <v>3.0474850067779924</v>
      </c>
    </row>
    <row r="73" spans="1:12" s="145" customFormat="1" x14ac:dyDescent="0.35">
      <c r="A73" s="232" t="s">
        <v>1522</v>
      </c>
      <c r="B73" s="232">
        <v>82.497571041837801</v>
      </c>
      <c r="C73" s="145">
        <v>261.41900503868811</v>
      </c>
      <c r="D73" s="144">
        <v>59.311896698441132</v>
      </c>
      <c r="E73" s="145">
        <v>403.2284727789671</v>
      </c>
      <c r="F73" s="146">
        <v>0.20161423638948356</v>
      </c>
      <c r="G73" s="232">
        <v>1468.6800464497683</v>
      </c>
      <c r="H73" s="144">
        <v>59.311896698441132</v>
      </c>
      <c r="I73" s="145">
        <v>1527.9919431482094</v>
      </c>
      <c r="J73" s="146">
        <v>0.7639959715741047</v>
      </c>
      <c r="K73" s="146">
        <v>580.94110109730741</v>
      </c>
      <c r="L73" s="144">
        <v>0.29047055054865373</v>
      </c>
    </row>
    <row r="74" spans="1:12" s="145" customFormat="1" x14ac:dyDescent="0.35">
      <c r="A74" s="232" t="s">
        <v>1521</v>
      </c>
      <c r="B74" s="232">
        <v>40.582374646453658</v>
      </c>
      <c r="C74" s="145">
        <v>172.35370691160642</v>
      </c>
      <c r="D74" s="144">
        <v>27.163107671558905</v>
      </c>
      <c r="E74" s="145">
        <v>240.09918922961901</v>
      </c>
      <c r="F74" s="146">
        <v>0.1200495946148095</v>
      </c>
      <c r="G74" s="232">
        <v>668.9902446024571</v>
      </c>
      <c r="H74" s="144">
        <v>27.163107671558905</v>
      </c>
      <c r="I74" s="145">
        <v>696.15335227401602</v>
      </c>
      <c r="J74" s="146">
        <v>0.34807667613700799</v>
      </c>
      <c r="K74" s="146">
        <v>312.1557469906337</v>
      </c>
      <c r="L74" s="144">
        <v>0.15607787349531685</v>
      </c>
    </row>
    <row r="75" spans="1:12" s="145" customFormat="1" x14ac:dyDescent="0.35">
      <c r="A75" s="232" t="s">
        <v>1520</v>
      </c>
      <c r="B75" s="232">
        <v>302.63262754490734</v>
      </c>
      <c r="C75" s="145">
        <v>129524.32435010716</v>
      </c>
      <c r="D75" s="144">
        <v>1010.3303296698975</v>
      </c>
      <c r="E75" s="145">
        <v>130837.28730732197</v>
      </c>
      <c r="F75" s="146">
        <v>65.418643653660979</v>
      </c>
      <c r="G75" s="232">
        <v>137676.88189408986</v>
      </c>
      <c r="H75" s="144">
        <v>1010.3303296698975</v>
      </c>
      <c r="I75" s="145">
        <v>138687.21222375977</v>
      </c>
      <c r="J75" s="146">
        <v>69.343606111879879</v>
      </c>
      <c r="K75" s="146">
        <v>132077.57544411914</v>
      </c>
      <c r="L75" s="144">
        <v>66.038787722059567</v>
      </c>
    </row>
    <row r="76" spans="1:12" s="145" customFormat="1" x14ac:dyDescent="0.35">
      <c r="A76" s="232" t="s">
        <v>1519</v>
      </c>
      <c r="B76" s="232">
        <v>1.1652529911289233</v>
      </c>
      <c r="C76" s="145">
        <v>71.567998124446589</v>
      </c>
      <c r="D76" s="144">
        <v>1.9971404042636398</v>
      </c>
      <c r="E76" s="145">
        <v>74.730391519839159</v>
      </c>
      <c r="F76" s="146">
        <v>3.7365195759919582E-2</v>
      </c>
      <c r="G76" s="232">
        <v>134.45587620242407</v>
      </c>
      <c r="H76" s="144">
        <v>1.9971404042636398</v>
      </c>
      <c r="I76" s="145">
        <v>136.4530166066877</v>
      </c>
      <c r="J76" s="146">
        <v>6.8226508303343855E-2</v>
      </c>
      <c r="K76" s="146">
        <v>84.482566283561226</v>
      </c>
      <c r="L76" s="144">
        <v>4.2241283141780613E-2</v>
      </c>
    </row>
    <row r="77" spans="1:12" s="145" customFormat="1" x14ac:dyDescent="0.35">
      <c r="A77" s="232" t="s">
        <v>1518</v>
      </c>
      <c r="B77" s="232">
        <v>2.4352953508171358</v>
      </c>
      <c r="C77" s="145">
        <v>38.418530928253304</v>
      </c>
      <c r="D77" s="144">
        <v>3.1725840562092973</v>
      </c>
      <c r="E77" s="145">
        <v>44.026410335279735</v>
      </c>
      <c r="F77" s="146">
        <v>2.2013205167639868E-2</v>
      </c>
      <c r="G77" s="232">
        <v>113.07499615555577</v>
      </c>
      <c r="H77" s="144">
        <v>3.1725840562092973</v>
      </c>
      <c r="I77" s="145">
        <v>116.24758021176507</v>
      </c>
      <c r="J77" s="146">
        <v>5.8123790105882533E-2</v>
      </c>
      <c r="K77" s="146">
        <v>55.437355175764424</v>
      </c>
      <c r="L77" s="144">
        <v>2.7718677587882212E-2</v>
      </c>
    </row>
    <row r="78" spans="1:12" s="145" customFormat="1" x14ac:dyDescent="0.35">
      <c r="A78" s="232" t="s">
        <v>1531</v>
      </c>
      <c r="B78" s="232">
        <v>434.95936566116688</v>
      </c>
      <c r="C78" s="145">
        <v>4297.4043048607919</v>
      </c>
      <c r="D78" s="144">
        <v>525.5989485384622</v>
      </c>
      <c r="E78" s="145">
        <v>5257.9626190604213</v>
      </c>
      <c r="F78" s="146">
        <v>2.6289813095302108</v>
      </c>
      <c r="G78" s="232">
        <v>4185.7482353563428</v>
      </c>
      <c r="H78" s="144">
        <v>525.5989485384622</v>
      </c>
      <c r="I78" s="145">
        <v>4711.3471838948053</v>
      </c>
      <c r="J78" s="146">
        <v>2.3556735919474026</v>
      </c>
      <c r="K78" s="146">
        <v>5171.5973803042534</v>
      </c>
      <c r="L78" s="144">
        <v>2.5857986901521266</v>
      </c>
    </row>
    <row r="79" spans="1:12" s="145" customFormat="1" x14ac:dyDescent="0.35">
      <c r="A79" s="232" t="s">
        <v>1530</v>
      </c>
      <c r="B79" s="232">
        <v>2.7815618833819813</v>
      </c>
      <c r="C79" s="145">
        <v>36.774381292435024</v>
      </c>
      <c r="D79" s="144">
        <v>5.1148976039149936</v>
      </c>
      <c r="E79" s="145">
        <v>44.670840779732004</v>
      </c>
      <c r="F79" s="146">
        <v>2.2335420389866002E-2</v>
      </c>
      <c r="G79" s="232">
        <v>64.427447790712165</v>
      </c>
      <c r="H79" s="144">
        <v>5.1148976039149936</v>
      </c>
      <c r="I79" s="145">
        <v>69.542345394627162</v>
      </c>
      <c r="J79" s="146">
        <v>3.4771172697313578E-2</v>
      </c>
      <c r="K79" s="146">
        <v>48.600538508885435</v>
      </c>
      <c r="L79" s="144">
        <v>2.4300269254442716E-2</v>
      </c>
    </row>
    <row r="80" spans="1:12" s="48" customFormat="1" x14ac:dyDescent="0.35">
      <c r="A80" s="49" t="s">
        <v>1529</v>
      </c>
      <c r="B80" s="240">
        <v>250850.64801027975</v>
      </c>
      <c r="C80" s="154">
        <v>1931125.1630920414</v>
      </c>
      <c r="D80" s="153">
        <v>308967.8708387615</v>
      </c>
      <c r="E80" s="48">
        <v>2490943.6819410827</v>
      </c>
      <c r="F80" s="239">
        <v>1245.4718409705413</v>
      </c>
      <c r="G80" s="49">
        <v>3024077.8049814352</v>
      </c>
      <c r="H80" s="153">
        <v>308967.8708387615</v>
      </c>
      <c r="I80" s="48">
        <v>3333045.6758201965</v>
      </c>
      <c r="J80" s="239">
        <v>1666.5228379100984</v>
      </c>
      <c r="K80" s="239">
        <v>2623995.7969739828</v>
      </c>
      <c r="L80" s="153">
        <v>1311.9978984869915</v>
      </c>
    </row>
    <row r="81" spans="1:12" s="48" customFormat="1" x14ac:dyDescent="0.35">
      <c r="A81" s="49" t="s">
        <v>1528</v>
      </c>
      <c r="B81" s="240">
        <v>251232.24490142634</v>
      </c>
      <c r="C81" s="154">
        <v>1934662.0591169144</v>
      </c>
      <c r="D81" s="153">
        <v>309233.35403256695</v>
      </c>
      <c r="E81" s="154">
        <v>2495127.6580509078</v>
      </c>
      <c r="F81" s="239">
        <v>1247.5638290254537</v>
      </c>
      <c r="G81" s="240">
        <v>3030607.0901741921</v>
      </c>
      <c r="H81" s="153">
        <v>309233.35403256695</v>
      </c>
      <c r="I81" s="154">
        <v>3339840.4442067593</v>
      </c>
      <c r="J81" s="239">
        <v>1669.9202221033797</v>
      </c>
      <c r="K81" s="239">
        <v>2628592.2782635326</v>
      </c>
      <c r="L81" s="153">
        <v>1314.2961391317663</v>
      </c>
    </row>
    <row r="82" spans="1:12" s="48" customFormat="1" x14ac:dyDescent="0.35">
      <c r="A82" s="45" t="s">
        <v>1527</v>
      </c>
      <c r="B82" s="389">
        <v>265018.13977035758</v>
      </c>
      <c r="C82" s="151">
        <v>2073329.3993052335</v>
      </c>
      <c r="D82" s="150">
        <v>326356.7703537583</v>
      </c>
      <c r="E82" s="151">
        <v>2664704.3094293494</v>
      </c>
      <c r="F82" s="435">
        <v>1332.3521547146745</v>
      </c>
      <c r="G82" s="389">
        <v>3173252.8108994211</v>
      </c>
      <c r="H82" s="150">
        <v>326356.7703537583</v>
      </c>
      <c r="I82" s="151">
        <v>3499609.5812531798</v>
      </c>
      <c r="J82" s="435">
        <v>1749.8047906265899</v>
      </c>
      <c r="K82" s="435">
        <v>2796619.3423775146</v>
      </c>
      <c r="L82" s="150">
        <v>1398.3096711887574</v>
      </c>
    </row>
    <row r="83" spans="1:12" s="145" customFormat="1" ht="13.15" x14ac:dyDescent="0.4">
      <c r="A83" s="388" t="s">
        <v>1562</v>
      </c>
      <c r="B83" s="232"/>
      <c r="D83" s="144"/>
      <c r="E83" s="403" t="s">
        <v>1873</v>
      </c>
      <c r="F83" s="527" t="s">
        <v>1872</v>
      </c>
      <c r="G83" s="232"/>
      <c r="H83" s="144"/>
      <c r="I83" s="403" t="s">
        <v>1873</v>
      </c>
      <c r="J83" s="527" t="s">
        <v>1872</v>
      </c>
      <c r="K83" s="527" t="s">
        <v>1873</v>
      </c>
      <c r="L83" s="402" t="s">
        <v>1872</v>
      </c>
    </row>
    <row r="84" spans="1:12" s="145" customFormat="1" x14ac:dyDescent="0.35">
      <c r="A84" s="232" t="s">
        <v>1525</v>
      </c>
      <c r="B84" s="232">
        <v>4.3310890039545482</v>
      </c>
      <c r="C84" s="145">
        <v>16.609939288337291</v>
      </c>
      <c r="D84" s="144">
        <v>3.1045145770414768</v>
      </c>
      <c r="E84" s="145">
        <v>24.045542869333318</v>
      </c>
      <c r="F84" s="146">
        <v>1.2022771434666658E-2</v>
      </c>
      <c r="G84" s="232">
        <v>41.416885580311678</v>
      </c>
      <c r="H84" s="144">
        <v>3.1045145770414768</v>
      </c>
      <c r="I84" s="145">
        <v>44.521400157353156</v>
      </c>
      <c r="J84" s="146">
        <v>2.2260700078676577E-2</v>
      </c>
      <c r="K84" s="146">
        <v>27.280728320840453</v>
      </c>
      <c r="L84" s="144">
        <v>1.3640364160420226E-2</v>
      </c>
    </row>
    <row r="85" spans="1:12" s="145" customFormat="1" x14ac:dyDescent="0.35">
      <c r="A85" s="232" t="s">
        <v>1524</v>
      </c>
      <c r="B85" s="232">
        <v>11.726360192006391</v>
      </c>
      <c r="C85" s="145">
        <v>83.21485009461486</v>
      </c>
      <c r="D85" s="144">
        <v>14.938129109993493</v>
      </c>
      <c r="E85" s="145">
        <v>109.87933939661475</v>
      </c>
      <c r="F85" s="146">
        <v>5.4939669698307374E-2</v>
      </c>
      <c r="G85" s="232">
        <v>94.187408087327384</v>
      </c>
      <c r="H85" s="144">
        <v>14.938129109993493</v>
      </c>
      <c r="I85" s="145">
        <v>109.12553719732088</v>
      </c>
      <c r="J85" s="146">
        <v>5.4562768598660438E-2</v>
      </c>
      <c r="K85" s="146">
        <v>109.76023864912632</v>
      </c>
      <c r="L85" s="144">
        <v>5.4880119324563159E-2</v>
      </c>
    </row>
    <row r="86" spans="1:12" s="145" customFormat="1" x14ac:dyDescent="0.35">
      <c r="A86" s="232" t="s">
        <v>1523</v>
      </c>
      <c r="B86" s="232">
        <v>28.797609708018943</v>
      </c>
      <c r="C86" s="145">
        <v>181.32860028156594</v>
      </c>
      <c r="D86" s="144">
        <v>38.322847440585292</v>
      </c>
      <c r="E86" s="145">
        <v>248.44905743017017</v>
      </c>
      <c r="F86" s="146">
        <v>0.12422452871508509</v>
      </c>
      <c r="G86" s="232">
        <v>277.64061726892123</v>
      </c>
      <c r="H86" s="144">
        <v>38.322847440585292</v>
      </c>
      <c r="I86" s="145">
        <v>315.96346470950652</v>
      </c>
      <c r="J86" s="146">
        <v>0.15798173235475327</v>
      </c>
      <c r="K86" s="146">
        <v>259.1163337803053</v>
      </c>
      <c r="L86" s="144">
        <v>0.12955816689015265</v>
      </c>
    </row>
    <row r="87" spans="1:12" s="145" customFormat="1" x14ac:dyDescent="0.35">
      <c r="A87" s="232" t="s">
        <v>1522</v>
      </c>
      <c r="B87" s="232">
        <v>3.6559017726080643</v>
      </c>
      <c r="C87" s="145">
        <v>18.763124086076658</v>
      </c>
      <c r="D87" s="144">
        <v>4.797451351024355</v>
      </c>
      <c r="E87" s="145">
        <v>27.216477209709076</v>
      </c>
      <c r="F87" s="146">
        <v>1.3608238604854538E-2</v>
      </c>
      <c r="G87" s="232">
        <v>45.503828330527632</v>
      </c>
      <c r="H87" s="144">
        <v>4.797451351024355</v>
      </c>
      <c r="I87" s="145">
        <v>50.301279681551989</v>
      </c>
      <c r="J87" s="146">
        <v>2.5150639840775993E-2</v>
      </c>
      <c r="K87" s="146">
        <v>30.863876000260255</v>
      </c>
      <c r="L87" s="144">
        <v>1.5431938000130128E-2</v>
      </c>
    </row>
    <row r="88" spans="1:12" s="145" customFormat="1" x14ac:dyDescent="0.35">
      <c r="A88" s="232" t="s">
        <v>1521</v>
      </c>
      <c r="B88" s="232">
        <v>2.7176078954126974</v>
      </c>
      <c r="C88" s="145">
        <v>13.880660896275444</v>
      </c>
      <c r="D88" s="144">
        <v>3.5596557263812802</v>
      </c>
      <c r="E88" s="145">
        <v>20.157924518069422</v>
      </c>
      <c r="F88" s="146">
        <v>1.0078962259034711E-2</v>
      </c>
      <c r="G88" s="232">
        <v>29.783088542780217</v>
      </c>
      <c r="H88" s="144">
        <v>3.5596557263812802</v>
      </c>
      <c r="I88" s="145">
        <v>33.3427442691615</v>
      </c>
      <c r="J88" s="146">
        <v>1.667137213458075E-2</v>
      </c>
      <c r="K88" s="146">
        <v>22.241126038741967</v>
      </c>
      <c r="L88" s="144">
        <v>1.1120563019370984E-2</v>
      </c>
    </row>
    <row r="89" spans="1:12" s="145" customFormat="1" x14ac:dyDescent="0.35">
      <c r="A89" s="232" t="s">
        <v>1520</v>
      </c>
      <c r="B89" s="232">
        <v>106.46417996447823</v>
      </c>
      <c r="C89" s="145">
        <v>602.73965273415024</v>
      </c>
      <c r="D89" s="144">
        <v>150.93849541873072</v>
      </c>
      <c r="E89" s="145">
        <v>860.14232811735928</v>
      </c>
      <c r="F89" s="146">
        <v>0.43007116405867962</v>
      </c>
      <c r="G89" s="232">
        <v>1066.8615202914104</v>
      </c>
      <c r="H89" s="144">
        <v>150.93849541873072</v>
      </c>
      <c r="I89" s="145">
        <v>1217.8000157101412</v>
      </c>
      <c r="J89" s="146">
        <v>0.60890000785507059</v>
      </c>
      <c r="K89" s="146">
        <v>916.65224275701883</v>
      </c>
      <c r="L89" s="144">
        <v>0.45832612137850942</v>
      </c>
    </row>
    <row r="90" spans="1:12" s="145" customFormat="1" x14ac:dyDescent="0.35">
      <c r="A90" s="232" t="s">
        <v>1519</v>
      </c>
      <c r="B90" s="232">
        <v>0.19361965349825408</v>
      </c>
      <c r="C90" s="145">
        <v>0.88785813857210516</v>
      </c>
      <c r="D90" s="144">
        <v>0.22934716251641404</v>
      </c>
      <c r="E90" s="145">
        <v>1.3108249545867734</v>
      </c>
      <c r="F90" s="146">
        <v>6.5541247729338674E-4</v>
      </c>
      <c r="G90" s="232">
        <v>2.1870466271175975</v>
      </c>
      <c r="H90" s="144">
        <v>0.22934716251641404</v>
      </c>
      <c r="I90" s="145">
        <v>2.4163937896340113</v>
      </c>
      <c r="J90" s="146">
        <v>1.2081968948170056E-3</v>
      </c>
      <c r="K90" s="146">
        <v>1.4855048305242369</v>
      </c>
      <c r="L90" s="144">
        <v>7.4275241526211848E-4</v>
      </c>
    </row>
    <row r="91" spans="1:12" s="145" customFormat="1" x14ac:dyDescent="0.35">
      <c r="A91" s="231" t="s">
        <v>1518</v>
      </c>
      <c r="B91" s="231">
        <v>0.42711819947561686</v>
      </c>
      <c r="C91" s="142">
        <v>2.2053951308544066</v>
      </c>
      <c r="D91" s="141">
        <v>0.55217732522872742</v>
      </c>
      <c r="E91" s="142">
        <v>3.1846906555587511</v>
      </c>
      <c r="F91" s="143">
        <v>1.5923453277793755E-3</v>
      </c>
      <c r="G91" s="231">
        <v>4.2050428615082813</v>
      </c>
      <c r="H91" s="141">
        <v>0.55217732522872742</v>
      </c>
      <c r="I91" s="142">
        <v>4.7572201867370083</v>
      </c>
      <c r="J91" s="143">
        <v>2.3786100933685041E-3</v>
      </c>
      <c r="K91" s="143">
        <v>3.4331503214849155</v>
      </c>
      <c r="L91" s="141">
        <v>1.7165751607424577E-3</v>
      </c>
    </row>
  </sheetData>
  <mergeCells count="7">
    <mergeCell ref="K61:L61"/>
    <mergeCell ref="B16:C16"/>
    <mergeCell ref="D16:E16"/>
    <mergeCell ref="F16:G16"/>
    <mergeCell ref="H16:I16"/>
    <mergeCell ref="E61:F61"/>
    <mergeCell ref="I61:J61"/>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Y99"/>
  <sheetViews>
    <sheetView showGridLines="0" zoomScale="85" zoomScaleNormal="85" workbookViewId="0">
      <selection activeCell="G1" sqref="G1"/>
    </sheetView>
  </sheetViews>
  <sheetFormatPr defaultColWidth="9.1328125" defaultRowHeight="12.75" x14ac:dyDescent="0.35"/>
  <cols>
    <col min="1" max="1" width="37" style="39" customWidth="1"/>
    <col min="2" max="4" width="12.86328125" style="39" bestFit="1" customWidth="1"/>
    <col min="5" max="5" width="10" style="39" customWidth="1"/>
    <col min="6" max="6" width="11.1328125" style="39" customWidth="1"/>
    <col min="7" max="7" width="11.46484375" style="39" bestFit="1" customWidth="1"/>
    <col min="8" max="8" width="12.796875" style="39" bestFit="1" customWidth="1"/>
    <col min="9" max="9" width="9.19921875" style="39" bestFit="1" customWidth="1"/>
    <col min="10" max="10" width="12.796875" style="39" bestFit="1" customWidth="1"/>
    <col min="11" max="11" width="9.19921875" style="39" bestFit="1" customWidth="1"/>
    <col min="12" max="13" width="12" style="39" bestFit="1" customWidth="1"/>
    <col min="14" max="14" width="11.46484375" style="39" bestFit="1" customWidth="1"/>
    <col min="15" max="15" width="11.1328125" style="39" bestFit="1" customWidth="1"/>
    <col min="16" max="16" width="12.796875" style="39" bestFit="1" customWidth="1"/>
    <col min="17" max="17" width="9.19921875" style="39" bestFit="1" customWidth="1"/>
    <col min="18" max="19" width="9.1328125" style="39"/>
    <col min="20" max="20" width="10.86328125" style="39" customWidth="1"/>
    <col min="21" max="16384" width="9.1328125" style="39"/>
  </cols>
  <sheetData>
    <row r="1" spans="1:25" ht="15" x14ac:dyDescent="0.4">
      <c r="A1" s="140" t="s">
        <v>2080</v>
      </c>
      <c r="G1" s="230" t="s">
        <v>1626</v>
      </c>
    </row>
    <row r="2" spans="1:25" ht="13.15" x14ac:dyDescent="0.4">
      <c r="A2" s="41"/>
    </row>
    <row r="3" spans="1:25" ht="13.9" x14ac:dyDescent="0.4">
      <c r="A3" s="72" t="s">
        <v>2079</v>
      </c>
    </row>
    <row r="4" spans="1:25" ht="13.15" x14ac:dyDescent="0.4">
      <c r="A4" s="131"/>
      <c r="B4" s="219" t="s">
        <v>242</v>
      </c>
      <c r="C4" s="218" t="s">
        <v>1388</v>
      </c>
    </row>
    <row r="5" spans="1:25" x14ac:dyDescent="0.35">
      <c r="A5" s="57" t="s">
        <v>2078</v>
      </c>
      <c r="B5" s="194">
        <v>0</v>
      </c>
      <c r="C5" s="193">
        <v>1</v>
      </c>
    </row>
    <row r="6" spans="1:25" ht="13.15" x14ac:dyDescent="0.4">
      <c r="A6" s="41"/>
    </row>
    <row r="7" spans="1:25" ht="13.9" x14ac:dyDescent="0.4">
      <c r="A7" s="72" t="s">
        <v>1734</v>
      </c>
    </row>
    <row r="8" spans="1:25" x14ac:dyDescent="0.35">
      <c r="A8" s="61" t="s">
        <v>1717</v>
      </c>
      <c r="B8" s="417">
        <v>1</v>
      </c>
    </row>
    <row r="9" spans="1:25" x14ac:dyDescent="0.35">
      <c r="A9" s="59" t="s">
        <v>1909</v>
      </c>
      <c r="B9" s="196">
        <v>1</v>
      </c>
    </row>
    <row r="10" spans="1:25" x14ac:dyDescent="0.35">
      <c r="A10" s="59" t="s">
        <v>1946</v>
      </c>
      <c r="B10" s="457">
        <v>0</v>
      </c>
    </row>
    <row r="11" spans="1:25" x14ac:dyDescent="0.35">
      <c r="A11" s="59" t="s">
        <v>1703</v>
      </c>
      <c r="B11" s="196">
        <v>1</v>
      </c>
    </row>
    <row r="12" spans="1:25" x14ac:dyDescent="0.35">
      <c r="A12" s="59" t="s">
        <v>2077</v>
      </c>
      <c r="B12" s="457">
        <v>1</v>
      </c>
    </row>
    <row r="13" spans="1:25" x14ac:dyDescent="0.35">
      <c r="A13" s="57" t="s">
        <v>1942</v>
      </c>
      <c r="B13" s="323">
        <v>0</v>
      </c>
    </row>
    <row r="15" spans="1:25" ht="13.9" x14ac:dyDescent="0.4">
      <c r="A15" s="72" t="s">
        <v>1701</v>
      </c>
    </row>
    <row r="16" spans="1:25" ht="15.75" customHeight="1" x14ac:dyDescent="0.4">
      <c r="A16" s="131"/>
      <c r="B16" s="2243" t="s">
        <v>2076</v>
      </c>
      <c r="C16" s="2243"/>
      <c r="D16" s="2247" t="s">
        <v>242</v>
      </c>
      <c r="E16" s="2247"/>
      <c r="F16" s="2247"/>
      <c r="G16" s="2247"/>
      <c r="H16" s="2247"/>
      <c r="I16" s="2247"/>
      <c r="J16" s="2247"/>
      <c r="K16" s="2247"/>
      <c r="L16" s="2247"/>
      <c r="M16" s="2247"/>
      <c r="N16" s="2247"/>
      <c r="O16" s="2247"/>
      <c r="P16" s="2247" t="s">
        <v>2075</v>
      </c>
      <c r="Q16" s="2247"/>
      <c r="R16" s="2247" t="s">
        <v>2074</v>
      </c>
      <c r="S16" s="2247"/>
      <c r="T16" s="2247"/>
      <c r="U16" s="2247"/>
      <c r="V16" s="2247"/>
      <c r="W16" s="2247"/>
      <c r="X16" s="2247"/>
      <c r="Y16" s="2247"/>
    </row>
    <row r="17" spans="1:25" ht="32.25" customHeight="1" x14ac:dyDescent="0.4">
      <c r="A17" s="59"/>
      <c r="B17" s="2243"/>
      <c r="C17" s="2243"/>
      <c r="D17" s="2243" t="s">
        <v>2062</v>
      </c>
      <c r="E17" s="2243"/>
      <c r="F17" s="2243" t="s">
        <v>2061</v>
      </c>
      <c r="G17" s="2243"/>
      <c r="H17" s="2243" t="s">
        <v>2060</v>
      </c>
      <c r="I17" s="2243"/>
      <c r="J17" s="2243" t="s">
        <v>2066</v>
      </c>
      <c r="K17" s="2243"/>
      <c r="L17" s="2243" t="s">
        <v>2065</v>
      </c>
      <c r="M17" s="2243"/>
      <c r="N17" s="2243" t="s">
        <v>2064</v>
      </c>
      <c r="O17" s="2243"/>
      <c r="P17" s="2247"/>
      <c r="Q17" s="2247"/>
      <c r="R17" s="2242" t="s">
        <v>2062</v>
      </c>
      <c r="S17" s="2242"/>
      <c r="T17" s="2242" t="s">
        <v>2061</v>
      </c>
      <c r="U17" s="2242"/>
      <c r="V17" s="2242" t="s">
        <v>2060</v>
      </c>
      <c r="W17" s="2242"/>
      <c r="X17" s="2242" t="s">
        <v>2059</v>
      </c>
      <c r="Y17" s="2242"/>
    </row>
    <row r="18" spans="1:25" ht="72.75" customHeight="1" x14ac:dyDescent="0.4">
      <c r="A18" s="128"/>
      <c r="B18" s="537" t="s">
        <v>1674</v>
      </c>
      <c r="C18" s="537" t="s">
        <v>1673</v>
      </c>
      <c r="D18" s="537" t="s">
        <v>1674</v>
      </c>
      <c r="E18" s="537" t="s">
        <v>1673</v>
      </c>
      <c r="F18" s="537" t="s">
        <v>1674</v>
      </c>
      <c r="G18" s="537" t="s">
        <v>1673</v>
      </c>
      <c r="H18" s="537" t="s">
        <v>1674</v>
      </c>
      <c r="I18" s="537" t="s">
        <v>1673</v>
      </c>
      <c r="J18" s="537" t="s">
        <v>1674</v>
      </c>
      <c r="K18" s="537" t="s">
        <v>1673</v>
      </c>
      <c r="L18" s="537" t="s">
        <v>1674</v>
      </c>
      <c r="M18" s="537" t="s">
        <v>1673</v>
      </c>
      <c r="N18" s="537" t="s">
        <v>1674</v>
      </c>
      <c r="O18" s="537" t="s">
        <v>1673</v>
      </c>
      <c r="P18" s="537" t="s">
        <v>1674</v>
      </c>
      <c r="Q18" s="537" t="s">
        <v>1673</v>
      </c>
      <c r="R18" s="537" t="s">
        <v>1674</v>
      </c>
      <c r="S18" s="537" t="s">
        <v>1673</v>
      </c>
      <c r="T18" s="537" t="s">
        <v>1674</v>
      </c>
      <c r="U18" s="537" t="s">
        <v>1673</v>
      </c>
      <c r="V18" s="537" t="s">
        <v>1674</v>
      </c>
      <c r="W18" s="537" t="s">
        <v>1673</v>
      </c>
      <c r="X18" s="537" t="s">
        <v>1674</v>
      </c>
      <c r="Y18" s="537" t="s">
        <v>1673</v>
      </c>
    </row>
    <row r="19" spans="1:25" ht="26.25" x14ac:dyDescent="0.4">
      <c r="A19" s="414" t="s">
        <v>1940</v>
      </c>
      <c r="B19" s="61">
        <v>0.157</v>
      </c>
      <c r="C19" s="60"/>
      <c r="D19" s="61">
        <v>0.27</v>
      </c>
      <c r="E19" s="60"/>
      <c r="F19" s="61">
        <v>6.5</v>
      </c>
      <c r="G19" s="60"/>
      <c r="H19" s="61">
        <v>1.5</v>
      </c>
      <c r="I19" s="60"/>
      <c r="J19" s="61">
        <v>0.41</v>
      </c>
      <c r="K19" s="60"/>
      <c r="L19" s="61">
        <v>4.2</v>
      </c>
      <c r="M19" s="60"/>
      <c r="N19" s="61">
        <v>1.64</v>
      </c>
      <c r="O19" s="60"/>
      <c r="P19" s="61">
        <v>11.351000000000001</v>
      </c>
      <c r="Q19" s="60"/>
      <c r="R19" s="61">
        <v>1.1499999999999999</v>
      </c>
      <c r="S19" s="60"/>
      <c r="T19" s="61">
        <v>6.5</v>
      </c>
      <c r="U19" s="60"/>
      <c r="V19" s="61">
        <v>2</v>
      </c>
      <c r="W19" s="60"/>
      <c r="X19" s="61">
        <v>3.28</v>
      </c>
      <c r="Y19" s="60"/>
    </row>
    <row r="20" spans="1:25" ht="14.25" x14ac:dyDescent="0.45">
      <c r="A20" s="128" t="s">
        <v>1671</v>
      </c>
      <c r="B20" s="79">
        <v>0</v>
      </c>
      <c r="C20" s="100"/>
      <c r="D20" s="79">
        <v>0</v>
      </c>
      <c r="E20" s="100"/>
      <c r="F20" s="79">
        <v>0</v>
      </c>
      <c r="G20" s="100"/>
      <c r="H20" s="79">
        <v>0</v>
      </c>
      <c r="I20" s="100"/>
      <c r="J20" s="79">
        <v>0</v>
      </c>
      <c r="K20" s="100"/>
      <c r="L20" s="79">
        <v>0</v>
      </c>
      <c r="M20" s="100"/>
      <c r="N20" s="79">
        <v>0</v>
      </c>
      <c r="O20" s="100"/>
      <c r="P20" s="79">
        <v>0</v>
      </c>
      <c r="Q20" s="100"/>
      <c r="R20" s="79">
        <v>0</v>
      </c>
      <c r="S20" s="100"/>
      <c r="T20" s="79">
        <v>0</v>
      </c>
      <c r="U20" s="100"/>
      <c r="V20" s="79">
        <v>0</v>
      </c>
      <c r="W20" s="100"/>
      <c r="X20" s="79">
        <v>0</v>
      </c>
      <c r="Y20" s="100"/>
    </row>
    <row r="21" spans="1:25" ht="13.15" x14ac:dyDescent="0.4">
      <c r="A21" s="131" t="s">
        <v>1670</v>
      </c>
      <c r="B21" s="61"/>
      <c r="C21" s="60"/>
      <c r="D21" s="61"/>
      <c r="E21" s="60"/>
      <c r="F21" s="61"/>
      <c r="G21" s="60"/>
      <c r="H21" s="61"/>
      <c r="I21" s="60"/>
      <c r="J21" s="61"/>
      <c r="K21" s="60"/>
      <c r="L21" s="61"/>
      <c r="M21" s="60"/>
      <c r="N21" s="61"/>
      <c r="O21" s="60"/>
      <c r="P21" s="61"/>
      <c r="Q21" s="60"/>
      <c r="R21" s="61"/>
      <c r="S21" s="60"/>
      <c r="T21" s="61"/>
      <c r="U21" s="60"/>
      <c r="V21" s="61"/>
      <c r="W21" s="60"/>
      <c r="X21" s="61"/>
      <c r="Y21" s="60"/>
    </row>
    <row r="22" spans="1:25" ht="14.25" x14ac:dyDescent="0.45">
      <c r="A22" s="59" t="s">
        <v>1668</v>
      </c>
      <c r="B22" s="81">
        <v>0</v>
      </c>
      <c r="C22" s="99"/>
      <c r="D22" s="81">
        <v>0</v>
      </c>
      <c r="E22" s="99"/>
      <c r="F22" s="81">
        <v>0</v>
      </c>
      <c r="G22" s="99"/>
      <c r="H22" s="81">
        <v>0</v>
      </c>
      <c r="I22" s="99"/>
      <c r="J22" s="81">
        <v>0</v>
      </c>
      <c r="K22" s="99"/>
      <c r="L22" s="81">
        <v>0</v>
      </c>
      <c r="M22" s="99"/>
      <c r="N22" s="81">
        <v>0</v>
      </c>
      <c r="O22" s="99"/>
      <c r="P22" s="81">
        <v>0.17199999999999999</v>
      </c>
      <c r="Q22" s="99"/>
      <c r="R22" s="81">
        <v>0</v>
      </c>
      <c r="S22" s="99"/>
      <c r="T22" s="81">
        <v>0</v>
      </c>
      <c r="U22" s="99"/>
      <c r="V22" s="81">
        <v>0</v>
      </c>
      <c r="W22" s="99"/>
      <c r="X22" s="81">
        <v>0</v>
      </c>
      <c r="Y22" s="99"/>
    </row>
    <row r="23" spans="1:25" ht="14.25" x14ac:dyDescent="0.45">
      <c r="A23" s="59" t="s">
        <v>1667</v>
      </c>
      <c r="B23" s="81">
        <v>0.94</v>
      </c>
      <c r="C23" s="99"/>
      <c r="D23" s="81">
        <v>0</v>
      </c>
      <c r="E23" s="99"/>
      <c r="F23" s="81">
        <v>0</v>
      </c>
      <c r="G23" s="99"/>
      <c r="H23" s="81">
        <v>0</v>
      </c>
      <c r="I23" s="99"/>
      <c r="J23" s="81">
        <v>0</v>
      </c>
      <c r="K23" s="99"/>
      <c r="L23" s="81">
        <v>0</v>
      </c>
      <c r="M23" s="99"/>
      <c r="N23" s="81">
        <v>0</v>
      </c>
      <c r="O23" s="99"/>
      <c r="P23" s="81">
        <v>1.9E-2</v>
      </c>
      <c r="Q23" s="99"/>
      <c r="R23" s="81">
        <v>0</v>
      </c>
      <c r="S23" s="99"/>
      <c r="T23" s="81">
        <v>0</v>
      </c>
      <c r="U23" s="99"/>
      <c r="V23" s="81">
        <v>0</v>
      </c>
      <c r="W23" s="99"/>
      <c r="X23" s="81">
        <v>0</v>
      </c>
      <c r="Y23" s="99"/>
    </row>
    <row r="24" spans="1:25" ht="14.25" x14ac:dyDescent="0.45">
      <c r="A24" s="59" t="s">
        <v>1534</v>
      </c>
      <c r="B24" s="81">
        <v>0</v>
      </c>
      <c r="C24" s="99"/>
      <c r="D24" s="81">
        <v>0</v>
      </c>
      <c r="E24" s="99"/>
      <c r="F24" s="81">
        <v>0.98</v>
      </c>
      <c r="G24" s="99"/>
      <c r="H24" s="81">
        <v>0</v>
      </c>
      <c r="I24" s="99"/>
      <c r="J24" s="81">
        <v>0.97599999999999998</v>
      </c>
      <c r="K24" s="99"/>
      <c r="L24" s="81">
        <v>0.95499999999999996</v>
      </c>
      <c r="M24" s="99"/>
      <c r="N24" s="81">
        <v>0.91500000000000004</v>
      </c>
      <c r="O24" s="99"/>
      <c r="P24" s="81">
        <v>0.70099999999999996</v>
      </c>
      <c r="Q24" s="99"/>
      <c r="R24" s="81">
        <v>0</v>
      </c>
      <c r="S24" s="99"/>
      <c r="T24" s="81">
        <v>1</v>
      </c>
      <c r="U24" s="99"/>
      <c r="V24" s="81">
        <v>0</v>
      </c>
      <c r="W24" s="99"/>
      <c r="X24" s="81">
        <v>1</v>
      </c>
      <c r="Y24" s="99"/>
    </row>
    <row r="25" spans="1:25" ht="14.25" x14ac:dyDescent="0.45">
      <c r="A25" s="59" t="s">
        <v>1535</v>
      </c>
      <c r="B25" s="81">
        <v>0</v>
      </c>
      <c r="C25" s="99"/>
      <c r="D25" s="81">
        <v>0</v>
      </c>
      <c r="E25" s="99"/>
      <c r="F25" s="81">
        <v>0</v>
      </c>
      <c r="G25" s="99"/>
      <c r="H25" s="81">
        <v>0</v>
      </c>
      <c r="I25" s="99"/>
      <c r="J25" s="81">
        <v>0</v>
      </c>
      <c r="K25" s="99"/>
      <c r="L25" s="81">
        <v>0</v>
      </c>
      <c r="M25" s="99"/>
      <c r="N25" s="81">
        <v>0</v>
      </c>
      <c r="O25" s="99"/>
      <c r="P25" s="81">
        <v>7.2999999999999995E-2</v>
      </c>
      <c r="Q25" s="99"/>
      <c r="R25" s="81">
        <v>0</v>
      </c>
      <c r="S25" s="99"/>
      <c r="T25" s="81">
        <v>0</v>
      </c>
      <c r="U25" s="99"/>
      <c r="V25" s="81">
        <v>0</v>
      </c>
      <c r="W25" s="99"/>
      <c r="X25" s="81">
        <v>0</v>
      </c>
      <c r="Y25" s="99"/>
    </row>
    <row r="26" spans="1:25" ht="14.25" x14ac:dyDescent="0.45">
      <c r="A26" s="57" t="s">
        <v>1664</v>
      </c>
      <c r="B26" s="79">
        <v>6.0000000000000053E-2</v>
      </c>
      <c r="C26" s="100"/>
      <c r="D26" s="79">
        <v>1</v>
      </c>
      <c r="E26" s="100"/>
      <c r="F26" s="79">
        <v>2.0000000000000018E-2</v>
      </c>
      <c r="G26" s="100"/>
      <c r="H26" s="79">
        <v>1</v>
      </c>
      <c r="I26" s="100"/>
      <c r="J26" s="79">
        <v>2.4000000000000021E-2</v>
      </c>
      <c r="K26" s="100"/>
      <c r="L26" s="79">
        <v>4.500000000000004E-2</v>
      </c>
      <c r="M26" s="100"/>
      <c r="N26" s="79">
        <v>8.4999999999999964E-2</v>
      </c>
      <c r="O26" s="100"/>
      <c r="P26" s="79">
        <v>3.5000000000000003E-2</v>
      </c>
      <c r="Q26" s="100"/>
      <c r="R26" s="79">
        <v>1</v>
      </c>
      <c r="S26" s="100"/>
      <c r="T26" s="79">
        <v>0</v>
      </c>
      <c r="U26" s="100"/>
      <c r="V26" s="79">
        <v>1</v>
      </c>
      <c r="W26" s="100"/>
      <c r="X26" s="79">
        <v>0</v>
      </c>
      <c r="Y26" s="100"/>
    </row>
    <row r="27" spans="1:25" ht="13.15" x14ac:dyDescent="0.4">
      <c r="A27" s="131" t="s">
        <v>1669</v>
      </c>
      <c r="B27" s="59"/>
      <c r="C27" s="99"/>
      <c r="D27" s="59"/>
      <c r="E27" s="99"/>
      <c r="F27" s="59"/>
      <c r="G27" s="99"/>
      <c r="H27" s="59"/>
      <c r="I27" s="99"/>
      <c r="J27" s="59"/>
      <c r="K27" s="99"/>
      <c r="L27" s="59"/>
      <c r="M27" s="99"/>
      <c r="N27" s="59"/>
      <c r="O27" s="99"/>
      <c r="P27" s="59"/>
      <c r="Q27" s="99"/>
      <c r="R27" s="59"/>
      <c r="S27" s="99"/>
      <c r="T27" s="59"/>
      <c r="U27" s="99"/>
      <c r="V27" s="59"/>
      <c r="W27" s="99"/>
      <c r="X27" s="59"/>
      <c r="Y27" s="99"/>
    </row>
    <row r="28" spans="1:25" s="145" customFormat="1" x14ac:dyDescent="0.35">
      <c r="A28" s="232" t="s">
        <v>1668</v>
      </c>
      <c r="B28" s="277">
        <v>0</v>
      </c>
      <c r="C28" s="99"/>
      <c r="D28" s="277">
        <v>0</v>
      </c>
      <c r="E28" s="99"/>
      <c r="F28" s="277">
        <v>0</v>
      </c>
      <c r="G28" s="99"/>
      <c r="H28" s="277">
        <v>0</v>
      </c>
      <c r="I28" s="99"/>
      <c r="J28" s="277">
        <v>0</v>
      </c>
      <c r="K28" s="99"/>
      <c r="L28" s="277">
        <v>0</v>
      </c>
      <c r="M28" s="99"/>
      <c r="N28" s="277">
        <v>0</v>
      </c>
      <c r="O28" s="99"/>
      <c r="P28" s="277">
        <v>1.952372</v>
      </c>
      <c r="Q28" s="99"/>
      <c r="R28" s="277">
        <v>0</v>
      </c>
      <c r="S28" s="99"/>
      <c r="T28" s="277">
        <v>0</v>
      </c>
      <c r="U28" s="99"/>
      <c r="V28" s="277">
        <v>0</v>
      </c>
      <c r="W28" s="99"/>
      <c r="X28" s="277">
        <v>0</v>
      </c>
      <c r="Y28" s="99"/>
    </row>
    <row r="29" spans="1:25" s="145" customFormat="1" x14ac:dyDescent="0.35">
      <c r="A29" s="232" t="s">
        <v>1667</v>
      </c>
      <c r="B29" s="277">
        <v>0.14757999999999999</v>
      </c>
      <c r="C29" s="99"/>
      <c r="D29" s="277">
        <v>0</v>
      </c>
      <c r="E29" s="99"/>
      <c r="F29" s="277">
        <v>0</v>
      </c>
      <c r="G29" s="99"/>
      <c r="H29" s="277">
        <v>0</v>
      </c>
      <c r="I29" s="99"/>
      <c r="J29" s="277">
        <v>0</v>
      </c>
      <c r="K29" s="99"/>
      <c r="L29" s="277">
        <v>0</v>
      </c>
      <c r="M29" s="99"/>
      <c r="N29" s="277">
        <v>0</v>
      </c>
      <c r="O29" s="99"/>
      <c r="P29" s="277">
        <v>0.215669</v>
      </c>
      <c r="Q29" s="99"/>
      <c r="R29" s="277">
        <v>0</v>
      </c>
      <c r="S29" s="99"/>
      <c r="T29" s="277">
        <v>0</v>
      </c>
      <c r="U29" s="99"/>
      <c r="V29" s="277">
        <v>0</v>
      </c>
      <c r="W29" s="99"/>
      <c r="X29" s="277">
        <v>0</v>
      </c>
      <c r="Y29" s="99"/>
    </row>
    <row r="30" spans="1:25" s="145" customFormat="1" x14ac:dyDescent="0.35">
      <c r="A30" s="232" t="s">
        <v>1534</v>
      </c>
      <c r="B30" s="277">
        <v>0</v>
      </c>
      <c r="C30" s="99"/>
      <c r="D30" s="277">
        <v>0</v>
      </c>
      <c r="E30" s="99"/>
      <c r="F30" s="277">
        <v>6.37</v>
      </c>
      <c r="G30" s="99"/>
      <c r="H30" s="277">
        <v>0</v>
      </c>
      <c r="I30" s="99"/>
      <c r="J30" s="277">
        <v>0.40015999999999996</v>
      </c>
      <c r="K30" s="99"/>
      <c r="L30" s="277">
        <v>4.0110000000000001</v>
      </c>
      <c r="M30" s="99"/>
      <c r="N30" s="277">
        <v>1.5005999999999999</v>
      </c>
      <c r="O30" s="99"/>
      <c r="P30" s="277">
        <v>7.9570509999999999</v>
      </c>
      <c r="Q30" s="99"/>
      <c r="R30" s="277">
        <v>0</v>
      </c>
      <c r="S30" s="99"/>
      <c r="T30" s="277">
        <v>6.5</v>
      </c>
      <c r="U30" s="99"/>
      <c r="V30" s="277">
        <v>0</v>
      </c>
      <c r="W30" s="99"/>
      <c r="X30" s="277">
        <v>3.28</v>
      </c>
      <c r="Y30" s="99"/>
    </row>
    <row r="31" spans="1:25" s="145" customFormat="1" x14ac:dyDescent="0.35">
      <c r="A31" s="232" t="s">
        <v>1535</v>
      </c>
      <c r="B31" s="277">
        <v>0</v>
      </c>
      <c r="C31" s="99"/>
      <c r="D31" s="277">
        <v>0</v>
      </c>
      <c r="E31" s="99"/>
      <c r="F31" s="277">
        <v>0</v>
      </c>
      <c r="G31" s="99"/>
      <c r="H31" s="277">
        <v>0</v>
      </c>
      <c r="I31" s="99"/>
      <c r="J31" s="277">
        <v>0</v>
      </c>
      <c r="K31" s="99"/>
      <c r="L31" s="277">
        <v>0</v>
      </c>
      <c r="M31" s="99"/>
      <c r="N31" s="277">
        <v>0</v>
      </c>
      <c r="O31" s="99"/>
      <c r="P31" s="277">
        <v>0.828623</v>
      </c>
      <c r="Q31" s="99"/>
      <c r="R31" s="277">
        <v>0</v>
      </c>
      <c r="S31" s="99"/>
      <c r="T31" s="277">
        <v>0</v>
      </c>
      <c r="U31" s="99"/>
      <c r="V31" s="277">
        <v>0</v>
      </c>
      <c r="W31" s="99"/>
      <c r="X31" s="277">
        <v>0</v>
      </c>
      <c r="Y31" s="99"/>
    </row>
    <row r="32" spans="1:25" s="145" customFormat="1" x14ac:dyDescent="0.35">
      <c r="A32" s="231" t="s">
        <v>1664</v>
      </c>
      <c r="B32" s="277">
        <v>9.4200000000000082E-3</v>
      </c>
      <c r="C32" s="99"/>
      <c r="D32" s="277">
        <v>0.27</v>
      </c>
      <c r="E32" s="99"/>
      <c r="F32" s="277">
        <v>0.13000000000000012</v>
      </c>
      <c r="G32" s="99"/>
      <c r="H32" s="277">
        <v>1.5</v>
      </c>
      <c r="I32" s="99"/>
      <c r="J32" s="277">
        <v>9.8400000000000085E-3</v>
      </c>
      <c r="K32" s="99"/>
      <c r="L32" s="277">
        <v>0.18900000000000017</v>
      </c>
      <c r="M32" s="99"/>
      <c r="N32" s="277">
        <v>0.13939999999999994</v>
      </c>
      <c r="O32" s="99"/>
      <c r="P32" s="277">
        <v>0.39728500000000005</v>
      </c>
      <c r="Q32" s="99"/>
      <c r="R32" s="277">
        <v>1.1499999999999999</v>
      </c>
      <c r="S32" s="99"/>
      <c r="T32" s="277">
        <v>0</v>
      </c>
      <c r="U32" s="99"/>
      <c r="V32" s="277">
        <v>2</v>
      </c>
      <c r="W32" s="99"/>
      <c r="X32" s="277">
        <v>0</v>
      </c>
      <c r="Y32" s="99"/>
    </row>
    <row r="33" spans="1:25" x14ac:dyDescent="0.35">
      <c r="A33" s="59" t="s">
        <v>2073</v>
      </c>
      <c r="B33" s="61"/>
      <c r="C33" s="60"/>
      <c r="D33" s="61">
        <v>0.72099999999999997</v>
      </c>
      <c r="E33" s="60"/>
      <c r="F33" s="61"/>
      <c r="G33" s="60"/>
      <c r="H33" s="61"/>
      <c r="I33" s="60"/>
      <c r="J33" s="61"/>
      <c r="K33" s="60"/>
      <c r="L33" s="61"/>
      <c r="M33" s="60"/>
      <c r="N33" s="61"/>
      <c r="O33" s="60"/>
      <c r="P33" s="61"/>
      <c r="Q33" s="60"/>
      <c r="R33" s="61">
        <v>0.39300000000000002</v>
      </c>
      <c r="S33" s="60"/>
      <c r="T33" s="61"/>
      <c r="U33" s="60"/>
      <c r="V33" s="61"/>
      <c r="W33" s="60"/>
      <c r="X33" s="61"/>
      <c r="Y33" s="60"/>
    </row>
    <row r="34" spans="1:25" x14ac:dyDescent="0.35">
      <c r="A34" s="59" t="s">
        <v>2017</v>
      </c>
      <c r="B34" s="59"/>
      <c r="C34" s="99"/>
      <c r="D34" s="59">
        <v>9.9000000000000005E-2</v>
      </c>
      <c r="E34" s="99"/>
      <c r="F34" s="59"/>
      <c r="G34" s="99"/>
      <c r="H34" s="59"/>
      <c r="I34" s="99"/>
      <c r="J34" s="59"/>
      <c r="K34" s="99"/>
      <c r="L34" s="59"/>
      <c r="M34" s="99"/>
      <c r="N34" s="59"/>
      <c r="O34" s="99"/>
      <c r="P34" s="59"/>
      <c r="Q34" s="99"/>
      <c r="R34" s="59">
        <v>0.39500000000000002</v>
      </c>
      <c r="S34" s="99"/>
      <c r="T34" s="59"/>
      <c r="U34" s="99"/>
      <c r="V34" s="59"/>
      <c r="W34" s="99"/>
      <c r="X34" s="59"/>
      <c r="Y34" s="99"/>
    </row>
    <row r="35" spans="1:25" x14ac:dyDescent="0.35">
      <c r="A35" s="59" t="s">
        <v>2072</v>
      </c>
      <c r="B35" s="59"/>
      <c r="C35" s="99"/>
      <c r="D35" s="59">
        <v>0.23200000000000001</v>
      </c>
      <c r="E35" s="99"/>
      <c r="F35" s="59"/>
      <c r="G35" s="99"/>
      <c r="H35" s="59"/>
      <c r="I35" s="99"/>
      <c r="J35" s="59"/>
      <c r="K35" s="99"/>
      <c r="L35" s="59"/>
      <c r="M35" s="99"/>
      <c r="N35" s="59"/>
      <c r="O35" s="99"/>
      <c r="P35" s="59"/>
      <c r="Q35" s="99"/>
      <c r="R35" s="59"/>
      <c r="S35" s="99"/>
      <c r="T35" s="59"/>
      <c r="U35" s="99"/>
      <c r="V35" s="59"/>
      <c r="W35" s="99"/>
      <c r="X35" s="59"/>
      <c r="Y35" s="99"/>
    </row>
    <row r="36" spans="1:25" x14ac:dyDescent="0.35">
      <c r="A36" s="59" t="s">
        <v>2071</v>
      </c>
      <c r="B36" s="59"/>
      <c r="C36" s="99"/>
      <c r="D36" s="59">
        <v>0.183</v>
      </c>
      <c r="E36" s="99"/>
      <c r="F36" s="59"/>
      <c r="G36" s="99"/>
      <c r="H36" s="59"/>
      <c r="I36" s="99"/>
      <c r="J36" s="59"/>
      <c r="K36" s="99"/>
      <c r="L36" s="59"/>
      <c r="M36" s="99"/>
      <c r="N36" s="59"/>
      <c r="O36" s="99"/>
      <c r="P36" s="59"/>
      <c r="Q36" s="99"/>
      <c r="R36" s="59"/>
      <c r="S36" s="99"/>
      <c r="T36" s="59"/>
      <c r="U36" s="99"/>
      <c r="V36" s="59"/>
      <c r="W36" s="99"/>
      <c r="X36" s="59"/>
      <c r="Y36" s="99"/>
    </row>
    <row r="37" spans="1:25" x14ac:dyDescent="0.35">
      <c r="A37" s="59" t="s">
        <v>2070</v>
      </c>
      <c r="B37" s="59"/>
      <c r="C37" s="99"/>
      <c r="D37" s="59"/>
      <c r="E37" s="99"/>
      <c r="F37" s="59"/>
      <c r="G37" s="99"/>
      <c r="H37" s="59"/>
      <c r="I37" s="99"/>
      <c r="J37" s="59"/>
      <c r="K37" s="99"/>
      <c r="L37" s="59"/>
      <c r="M37" s="99"/>
      <c r="N37" s="59"/>
      <c r="O37" s="99"/>
      <c r="P37" s="59"/>
      <c r="Q37" s="99"/>
      <c r="R37" s="59">
        <v>0.32700000000000001</v>
      </c>
      <c r="S37" s="99"/>
      <c r="T37" s="59"/>
      <c r="U37" s="99"/>
      <c r="V37" s="59"/>
      <c r="W37" s="99"/>
      <c r="X37" s="59"/>
      <c r="Y37" s="99"/>
    </row>
    <row r="38" spans="1:25" x14ac:dyDescent="0.35">
      <c r="A38" s="59" t="s">
        <v>2069</v>
      </c>
      <c r="B38" s="57"/>
      <c r="C38" s="100"/>
      <c r="D38" s="57"/>
      <c r="E38" s="100"/>
      <c r="F38" s="57"/>
      <c r="G38" s="100"/>
      <c r="H38" s="57"/>
      <c r="I38" s="100"/>
      <c r="J38" s="57"/>
      <c r="K38" s="100"/>
      <c r="L38" s="57"/>
      <c r="M38" s="100"/>
      <c r="N38" s="57"/>
      <c r="O38" s="100"/>
      <c r="P38" s="57"/>
      <c r="Q38" s="100"/>
      <c r="R38" s="57">
        <v>6.6000000000000003E-2</v>
      </c>
      <c r="S38" s="100"/>
      <c r="T38" s="57"/>
      <c r="U38" s="100"/>
      <c r="V38" s="57"/>
      <c r="W38" s="100"/>
      <c r="X38" s="57"/>
      <c r="Y38" s="100"/>
    </row>
    <row r="39" spans="1:25" s="145" customFormat="1" x14ac:dyDescent="0.35">
      <c r="A39" s="237" t="s">
        <v>1537</v>
      </c>
      <c r="B39" s="237">
        <v>0.19703025012731351</v>
      </c>
      <c r="C39" s="156"/>
      <c r="D39" s="237">
        <v>2.025530236228346</v>
      </c>
      <c r="E39" s="156"/>
      <c r="F39" s="237">
        <v>7.2897796355472364</v>
      </c>
      <c r="G39" s="156"/>
      <c r="H39" s="237">
        <v>3.1088273018292094</v>
      </c>
      <c r="I39" s="156"/>
      <c r="J39" s="237">
        <v>0.4614084173185109</v>
      </c>
      <c r="K39" s="156"/>
      <c r="L39" s="237">
        <v>4.8122170393268853</v>
      </c>
      <c r="M39" s="156"/>
      <c r="N39" s="237">
        <v>1.9427180972360787</v>
      </c>
      <c r="O39" s="156"/>
      <c r="P39" s="237">
        <v>12.93942544140709</v>
      </c>
      <c r="Q39" s="156"/>
      <c r="R39" s="237">
        <v>7.9314460693181958</v>
      </c>
      <c r="S39" s="156"/>
      <c r="T39" s="237">
        <v>7.163620342913644</v>
      </c>
      <c r="U39" s="156"/>
      <c r="V39" s="237">
        <v>4.1451030691056134</v>
      </c>
      <c r="W39" s="156"/>
      <c r="X39" s="237">
        <v>3.6148730345779616</v>
      </c>
      <c r="Y39" s="156"/>
    </row>
    <row r="40" spans="1:25" s="145" customFormat="1" x14ac:dyDescent="0.35">
      <c r="A40" s="232" t="s">
        <v>1536</v>
      </c>
      <c r="B40" s="232">
        <v>0.19239010226290496</v>
      </c>
      <c r="C40" s="144"/>
      <c r="D40" s="232">
        <v>1.8698460750151267</v>
      </c>
      <c r="E40" s="144"/>
      <c r="F40" s="232">
        <v>7.2336041056989488</v>
      </c>
      <c r="G40" s="144"/>
      <c r="H40" s="232">
        <v>2.5125485556717324</v>
      </c>
      <c r="I40" s="144"/>
      <c r="J40" s="232">
        <v>0.45721426436506513</v>
      </c>
      <c r="K40" s="144"/>
      <c r="L40" s="232">
        <v>4.7342536359166596</v>
      </c>
      <c r="M40" s="144"/>
      <c r="N40" s="232">
        <v>1.8862443093398957</v>
      </c>
      <c r="O40" s="144"/>
      <c r="P40" s="232">
        <v>12.763884785788809</v>
      </c>
      <c r="Q40" s="144"/>
      <c r="R40" s="232">
        <v>6.8514022747348502</v>
      </c>
      <c r="S40" s="144"/>
      <c r="T40" s="232">
        <v>7.1590305076946237</v>
      </c>
      <c r="U40" s="144"/>
      <c r="V40" s="232">
        <v>3.3500647408956432</v>
      </c>
      <c r="W40" s="144"/>
      <c r="X40" s="232">
        <v>3.6125569331135945</v>
      </c>
      <c r="Y40" s="144"/>
    </row>
    <row r="41" spans="1:25" s="145" customFormat="1" x14ac:dyDescent="0.35">
      <c r="A41" s="232" t="s">
        <v>1535</v>
      </c>
      <c r="B41" s="232">
        <v>1.115058453579691E-2</v>
      </c>
      <c r="C41" s="144"/>
      <c r="D41" s="232">
        <v>1.3574524621768895</v>
      </c>
      <c r="E41" s="144"/>
      <c r="F41" s="232">
        <v>0.13563812236528844</v>
      </c>
      <c r="G41" s="144"/>
      <c r="H41" s="232">
        <v>1.4398336587761142</v>
      </c>
      <c r="I41" s="144"/>
      <c r="J41" s="232">
        <v>1.0127059484154276E-2</v>
      </c>
      <c r="K41" s="144"/>
      <c r="L41" s="232">
        <v>0.18825256256676681</v>
      </c>
      <c r="M41" s="144"/>
      <c r="N41" s="232">
        <v>0.13636510641527957</v>
      </c>
      <c r="O41" s="144"/>
      <c r="P41" s="232">
        <v>1.2522221181189455</v>
      </c>
      <c r="Q41" s="144"/>
      <c r="R41" s="232">
        <v>2.6727390241640254</v>
      </c>
      <c r="S41" s="144"/>
      <c r="T41" s="232">
        <v>1.1074018984379366E-2</v>
      </c>
      <c r="U41" s="144"/>
      <c r="V41" s="232">
        <v>1.9197782117014857</v>
      </c>
      <c r="W41" s="144"/>
      <c r="X41" s="232">
        <v>5.5881203490406638E-3</v>
      </c>
      <c r="Y41" s="144"/>
    </row>
    <row r="42" spans="1:25" s="145" customFormat="1" x14ac:dyDescent="0.35">
      <c r="A42" s="232" t="s">
        <v>1534</v>
      </c>
      <c r="B42" s="232">
        <v>2.5860803352908579E-2</v>
      </c>
      <c r="C42" s="144"/>
      <c r="D42" s="232">
        <v>0.2876632138534404</v>
      </c>
      <c r="E42" s="144"/>
      <c r="F42" s="232">
        <v>7.0678710764912855</v>
      </c>
      <c r="G42" s="144"/>
      <c r="H42" s="232">
        <v>1.0237876763114251</v>
      </c>
      <c r="I42" s="144"/>
      <c r="J42" s="232">
        <v>0.44514207342570472</v>
      </c>
      <c r="K42" s="144"/>
      <c r="L42" s="232">
        <v>4.5235564019667569</v>
      </c>
      <c r="M42" s="144"/>
      <c r="N42" s="232">
        <v>1.73924159989434</v>
      </c>
      <c r="O42" s="144"/>
      <c r="P42" s="232">
        <v>9.1862619971103889</v>
      </c>
      <c r="Q42" s="144"/>
      <c r="R42" s="232">
        <v>3.5851328227790469</v>
      </c>
      <c r="S42" s="144"/>
      <c r="T42" s="232">
        <v>7.1215742971540426</v>
      </c>
      <c r="U42" s="144"/>
      <c r="V42" s="232">
        <v>1.3650502350819</v>
      </c>
      <c r="W42" s="144"/>
      <c r="X42" s="232">
        <v>3.593655953025424</v>
      </c>
      <c r="Y42" s="144"/>
    </row>
    <row r="43" spans="1:25" s="145" customFormat="1" x14ac:dyDescent="0.35">
      <c r="A43" s="232" t="s">
        <v>1533</v>
      </c>
      <c r="B43" s="231">
        <v>0.15537871437419948</v>
      </c>
      <c r="C43" s="141"/>
      <c r="D43" s="231">
        <v>0.22473039898479677</v>
      </c>
      <c r="E43" s="141"/>
      <c r="F43" s="231">
        <v>3.0094906842374952E-2</v>
      </c>
      <c r="G43" s="141"/>
      <c r="H43" s="231">
        <v>4.892722058419318E-2</v>
      </c>
      <c r="I43" s="141"/>
      <c r="J43" s="231">
        <v>1.9451314552061372E-3</v>
      </c>
      <c r="K43" s="141"/>
      <c r="L43" s="231">
        <v>2.2444671383135613E-2</v>
      </c>
      <c r="M43" s="141"/>
      <c r="N43" s="231">
        <v>1.0637603030276211E-2</v>
      </c>
      <c r="O43" s="141"/>
      <c r="P43" s="231">
        <v>2.3254006705594739</v>
      </c>
      <c r="Q43" s="141"/>
      <c r="R43" s="231">
        <v>0.59353042779177778</v>
      </c>
      <c r="S43" s="141"/>
      <c r="T43" s="231">
        <v>2.638219155620225E-2</v>
      </c>
      <c r="U43" s="141"/>
      <c r="V43" s="231">
        <v>6.5236294112257578E-2</v>
      </c>
      <c r="W43" s="141"/>
      <c r="X43" s="231">
        <v>1.3312859739129752E-2</v>
      </c>
      <c r="Y43" s="141"/>
    </row>
    <row r="44" spans="1:25" s="145" customFormat="1" x14ac:dyDescent="0.35">
      <c r="A44" s="231" t="s">
        <v>1532</v>
      </c>
      <c r="B44" s="290">
        <v>5.2503874893336686</v>
      </c>
      <c r="C44" s="289"/>
      <c r="D44" s="290">
        <v>2054.3642646510839</v>
      </c>
      <c r="E44" s="289">
        <v>8.64</v>
      </c>
      <c r="F44" s="290">
        <v>46.350439150581224</v>
      </c>
      <c r="G44" s="289"/>
      <c r="H44" s="290">
        <v>299.06801763793169</v>
      </c>
      <c r="I44" s="289"/>
      <c r="J44" s="290">
        <v>3.2453639627174491</v>
      </c>
      <c r="K44" s="289">
        <v>360</v>
      </c>
      <c r="L44" s="290">
        <v>50.547497560163315</v>
      </c>
      <c r="M44" s="289"/>
      <c r="N44" s="290">
        <v>32.60642939878241</v>
      </c>
      <c r="O44" s="289"/>
      <c r="P44" s="290">
        <v>153.91320072054606</v>
      </c>
      <c r="Q44" s="289">
        <v>1462</v>
      </c>
      <c r="R44" s="290">
        <v>8652.6826365980869</v>
      </c>
      <c r="S44" s="289">
        <v>4.7</v>
      </c>
      <c r="T44" s="290">
        <v>20.848174444177335</v>
      </c>
      <c r="U44" s="289"/>
      <c r="V44" s="290">
        <v>398.75735685057555</v>
      </c>
      <c r="W44" s="289">
        <v>960</v>
      </c>
      <c r="X44" s="290">
        <v>10.520309565677177</v>
      </c>
      <c r="Y44" s="289"/>
    </row>
    <row r="45" spans="1:25" s="145" customFormat="1" ht="13.15" x14ac:dyDescent="0.4">
      <c r="A45" s="390" t="s">
        <v>1663</v>
      </c>
      <c r="B45" s="232"/>
      <c r="C45" s="144"/>
      <c r="D45" s="232"/>
      <c r="E45" s="144"/>
      <c r="F45" s="232"/>
      <c r="G45" s="144"/>
      <c r="H45" s="232"/>
      <c r="I45" s="144"/>
      <c r="J45" s="232"/>
      <c r="K45" s="144"/>
      <c r="L45" s="232"/>
      <c r="M45" s="144"/>
      <c r="N45" s="232"/>
      <c r="O45" s="144"/>
      <c r="P45" s="232"/>
      <c r="Q45" s="144"/>
      <c r="R45" s="232"/>
      <c r="S45" s="144"/>
      <c r="T45" s="232"/>
      <c r="U45" s="144"/>
      <c r="V45" s="232"/>
      <c r="W45" s="144"/>
      <c r="X45" s="232"/>
      <c r="Y45" s="144"/>
    </row>
    <row r="46" spans="1:25" s="145" customFormat="1" x14ac:dyDescent="0.35">
      <c r="A46" s="232" t="s">
        <v>1525</v>
      </c>
      <c r="B46" s="232">
        <v>1.6258085061953382</v>
      </c>
      <c r="C46" s="144"/>
      <c r="D46" s="232">
        <v>26.433739915657451</v>
      </c>
      <c r="E46" s="144"/>
      <c r="F46" s="232">
        <v>83.885768185347558</v>
      </c>
      <c r="G46" s="144"/>
      <c r="H46" s="232">
        <v>22.582706039318044</v>
      </c>
      <c r="I46" s="144"/>
      <c r="J46" s="232">
        <v>5.2948534947098009</v>
      </c>
      <c r="K46" s="144"/>
      <c r="L46" s="232">
        <v>54.433429739296514</v>
      </c>
      <c r="M46" s="144"/>
      <c r="N46" s="232">
        <v>21.398852184515153</v>
      </c>
      <c r="O46" s="144"/>
      <c r="P46" s="232">
        <v>130.08270793216263</v>
      </c>
      <c r="Q46" s="144"/>
      <c r="R46" s="232">
        <v>89.14832893944849</v>
      </c>
      <c r="S46" s="144"/>
      <c r="T46" s="232">
        <v>83.600612580210878</v>
      </c>
      <c r="U46" s="144"/>
      <c r="V46" s="232">
        <v>30.110274719090725</v>
      </c>
      <c r="W46" s="144"/>
      <c r="X46" s="232">
        <v>42.186155271244871</v>
      </c>
      <c r="Y46" s="144"/>
    </row>
    <row r="47" spans="1:25" s="145" customFormat="1" x14ac:dyDescent="0.35">
      <c r="A47" s="232" t="s">
        <v>1524</v>
      </c>
      <c r="B47" s="232">
        <v>99.369205000049078</v>
      </c>
      <c r="C47" s="144"/>
      <c r="D47" s="232">
        <v>147.36546865705034</v>
      </c>
      <c r="E47" s="144"/>
      <c r="F47" s="232">
        <v>350.70840088189124</v>
      </c>
      <c r="G47" s="144"/>
      <c r="H47" s="232">
        <v>63.060668877665648</v>
      </c>
      <c r="I47" s="144"/>
      <c r="J47" s="232">
        <v>22.101667951395321</v>
      </c>
      <c r="K47" s="144"/>
      <c r="L47" s="232">
        <v>225.33500789271645</v>
      </c>
      <c r="M47" s="144"/>
      <c r="N47" s="232">
        <v>87.190400524372933</v>
      </c>
      <c r="O47" s="144"/>
      <c r="P47" s="232">
        <v>708.16463163466085</v>
      </c>
      <c r="Q47" s="144"/>
      <c r="R47" s="232">
        <v>272.35319892390197</v>
      </c>
      <c r="S47" s="144"/>
      <c r="T47" s="232">
        <v>352.28892133927911</v>
      </c>
      <c r="U47" s="144"/>
      <c r="V47" s="232">
        <v>84.080891836887531</v>
      </c>
      <c r="W47" s="144"/>
      <c r="X47" s="232">
        <v>177.77040953735928</v>
      </c>
      <c r="Y47" s="144"/>
    </row>
    <row r="48" spans="1:25" s="145" customFormat="1" x14ac:dyDescent="0.35">
      <c r="A48" s="232" t="s">
        <v>1523</v>
      </c>
      <c r="B48" s="232">
        <v>311.72203623152581</v>
      </c>
      <c r="C48" s="144"/>
      <c r="D48" s="232">
        <v>177.963788182863</v>
      </c>
      <c r="E48" s="144"/>
      <c r="F48" s="232">
        <v>499.04038585083697</v>
      </c>
      <c r="G48" s="144">
        <v>766</v>
      </c>
      <c r="H48" s="232">
        <v>141.62896999705146</v>
      </c>
      <c r="I48" s="144"/>
      <c r="J48" s="232">
        <v>31.507458505837249</v>
      </c>
      <c r="K48" s="144"/>
      <c r="L48" s="232">
        <v>324.34727927729443</v>
      </c>
      <c r="M48" s="144"/>
      <c r="N48" s="232">
        <v>127.83094901335487</v>
      </c>
      <c r="O48" s="144"/>
      <c r="P48" s="232">
        <v>1536.8410839033554</v>
      </c>
      <c r="Q48" s="144"/>
      <c r="R48" s="232">
        <v>599.52953416199875</v>
      </c>
      <c r="S48" s="144"/>
      <c r="T48" s="232">
        <v>496.69987256914203</v>
      </c>
      <c r="U48" s="144">
        <v>2217</v>
      </c>
      <c r="V48" s="232">
        <v>188.83862666273529</v>
      </c>
      <c r="W48" s="144"/>
      <c r="X48" s="232">
        <v>250.6423972348901</v>
      </c>
      <c r="Y48" s="144"/>
    </row>
    <row r="49" spans="1:25" s="145" customFormat="1" x14ac:dyDescent="0.35">
      <c r="A49" s="232" t="s">
        <v>1522</v>
      </c>
      <c r="B49" s="232">
        <v>8.5195963354339028</v>
      </c>
      <c r="C49" s="144"/>
      <c r="D49" s="232">
        <v>44.844559204527421</v>
      </c>
      <c r="E49" s="144"/>
      <c r="F49" s="232">
        <v>27.575336462573723</v>
      </c>
      <c r="G49" s="144"/>
      <c r="H49" s="232">
        <v>25.579619724753158</v>
      </c>
      <c r="I49" s="144"/>
      <c r="J49" s="232">
        <v>1.7608057252287932</v>
      </c>
      <c r="K49" s="144"/>
      <c r="L49" s="232">
        <v>19.190486895784286</v>
      </c>
      <c r="M49" s="144"/>
      <c r="N49" s="232">
        <v>8.3509621507994396</v>
      </c>
      <c r="O49" s="144"/>
      <c r="P49" s="232">
        <v>133.14976878405676</v>
      </c>
      <c r="Q49" s="144"/>
      <c r="R49" s="232">
        <v>87.963943024994506</v>
      </c>
      <c r="S49" s="144"/>
      <c r="T49" s="232">
        <v>25.875955190233107</v>
      </c>
      <c r="U49" s="144">
        <v>1248</v>
      </c>
      <c r="V49" s="232">
        <v>34.106159633004211</v>
      </c>
      <c r="W49" s="144"/>
      <c r="X49" s="232">
        <v>13.057405080609938</v>
      </c>
      <c r="Y49" s="144"/>
    </row>
    <row r="50" spans="1:25" s="145" customFormat="1" x14ac:dyDescent="0.35">
      <c r="A50" s="232" t="s">
        <v>1521</v>
      </c>
      <c r="B50" s="232">
        <v>8.28906155833835</v>
      </c>
      <c r="C50" s="144"/>
      <c r="D50" s="232">
        <v>27.514889175304532</v>
      </c>
      <c r="E50" s="144"/>
      <c r="F50" s="232">
        <v>25.992310257835815</v>
      </c>
      <c r="G50" s="144"/>
      <c r="H50" s="232">
        <v>11.1326637425437</v>
      </c>
      <c r="I50" s="144"/>
      <c r="J50" s="232">
        <v>1.6452431716021854</v>
      </c>
      <c r="K50" s="144"/>
      <c r="L50" s="232">
        <v>17.161776836269517</v>
      </c>
      <c r="M50" s="144"/>
      <c r="N50" s="232">
        <v>6.9303939159153476</v>
      </c>
      <c r="O50" s="144"/>
      <c r="P50" s="232">
        <v>84.451563908945928</v>
      </c>
      <c r="Q50" s="144"/>
      <c r="R50" s="232">
        <v>51.834997049676623</v>
      </c>
      <c r="S50" s="144"/>
      <c r="T50" s="232">
        <v>25.538244285866011</v>
      </c>
      <c r="U50" s="144">
        <v>624</v>
      </c>
      <c r="V50" s="232">
        <v>14.843551656724934</v>
      </c>
      <c r="W50" s="144"/>
      <c r="X50" s="232">
        <v>12.886990962713925</v>
      </c>
      <c r="Y50" s="144"/>
    </row>
    <row r="51" spans="1:25" s="145" customFormat="1" x14ac:dyDescent="0.35">
      <c r="A51" s="232" t="s">
        <v>1520</v>
      </c>
      <c r="B51" s="232">
        <v>4.6974675909278307</v>
      </c>
      <c r="C51" s="144"/>
      <c r="D51" s="232">
        <v>192.87093577932205</v>
      </c>
      <c r="E51" s="144"/>
      <c r="F51" s="232">
        <v>109.04357987708556</v>
      </c>
      <c r="G51" s="144">
        <v>452</v>
      </c>
      <c r="H51" s="232">
        <v>384.6209829084745</v>
      </c>
      <c r="I51" s="144"/>
      <c r="J51" s="232">
        <v>7.2791604461775172</v>
      </c>
      <c r="K51" s="144"/>
      <c r="L51" s="232">
        <v>96.13443424024274</v>
      </c>
      <c r="M51" s="144"/>
      <c r="N51" s="232">
        <v>53.579285505244755</v>
      </c>
      <c r="O51" s="144"/>
      <c r="P51" s="232">
        <v>2018.878012927308</v>
      </c>
      <c r="Q51" s="144"/>
      <c r="R51" s="232">
        <v>1610.9968371064888</v>
      </c>
      <c r="S51" s="144"/>
      <c r="T51" s="232">
        <v>77.254858528929674</v>
      </c>
      <c r="U51" s="144">
        <v>679</v>
      </c>
      <c r="V51" s="232">
        <v>512.8279772112993</v>
      </c>
      <c r="W51" s="144"/>
      <c r="X51" s="232">
        <v>38.983990149982972</v>
      </c>
      <c r="Y51" s="144"/>
    </row>
    <row r="52" spans="1:25" s="145" customFormat="1" x14ac:dyDescent="0.35">
      <c r="A52" s="232" t="s">
        <v>1519</v>
      </c>
      <c r="B52" s="232">
        <v>6.5300328002587928</v>
      </c>
      <c r="C52" s="144"/>
      <c r="D52" s="232">
        <v>2.51777483938488</v>
      </c>
      <c r="E52" s="144"/>
      <c r="F52" s="232">
        <v>4.5964902232556755</v>
      </c>
      <c r="G52" s="144"/>
      <c r="H52" s="232">
        <v>0.82458788221452628</v>
      </c>
      <c r="I52" s="144"/>
      <c r="J52" s="232">
        <v>0.28966901082484492</v>
      </c>
      <c r="K52" s="144"/>
      <c r="L52" s="232">
        <v>2.953172648647743</v>
      </c>
      <c r="M52" s="144"/>
      <c r="N52" s="232">
        <v>1.142605629211161</v>
      </c>
      <c r="O52" s="144"/>
      <c r="P52" s="232">
        <v>18.12547277461632</v>
      </c>
      <c r="Q52" s="144"/>
      <c r="R52" s="232">
        <v>6.275433941725157</v>
      </c>
      <c r="S52" s="144"/>
      <c r="T52" s="232">
        <v>4.6173734082963431</v>
      </c>
      <c r="U52" s="144"/>
      <c r="V52" s="232">
        <v>1.0994505096193683</v>
      </c>
      <c r="W52" s="144"/>
      <c r="X52" s="232">
        <v>2.3299976583403086</v>
      </c>
      <c r="Y52" s="144"/>
    </row>
    <row r="53" spans="1:25" s="145" customFormat="1" x14ac:dyDescent="0.35">
      <c r="A53" s="232" t="s">
        <v>1518</v>
      </c>
      <c r="B53" s="232">
        <v>1.5284019116379843</v>
      </c>
      <c r="C53" s="144"/>
      <c r="D53" s="232">
        <v>2.8345341363851393</v>
      </c>
      <c r="E53" s="144"/>
      <c r="F53" s="232">
        <v>10.69210756113281</v>
      </c>
      <c r="G53" s="144"/>
      <c r="H53" s="232">
        <v>1.9358148015968422</v>
      </c>
      <c r="I53" s="144"/>
      <c r="J53" s="232">
        <v>0.67383217459752787</v>
      </c>
      <c r="K53" s="144"/>
      <c r="L53" s="232">
        <v>6.8707753787174672</v>
      </c>
      <c r="M53" s="144"/>
      <c r="N53" s="232">
        <v>2.6591513328498473</v>
      </c>
      <c r="O53" s="144"/>
      <c r="P53" s="232">
        <v>18.740430914400395</v>
      </c>
      <c r="Q53" s="144"/>
      <c r="R53" s="232">
        <v>10.319056250242276</v>
      </c>
      <c r="S53" s="144"/>
      <c r="T53" s="232">
        <v>10.739119331626956</v>
      </c>
      <c r="U53" s="144"/>
      <c r="V53" s="232">
        <v>2.5810864021291229</v>
      </c>
      <c r="W53" s="144"/>
      <c r="X53" s="232">
        <v>5.4191248319594481</v>
      </c>
      <c r="Y53" s="144"/>
    </row>
    <row r="54" spans="1:25" s="145" customFormat="1" x14ac:dyDescent="0.35">
      <c r="A54" s="232" t="s">
        <v>1531</v>
      </c>
      <c r="B54" s="232">
        <v>19.90650099549325</v>
      </c>
      <c r="C54" s="144"/>
      <c r="D54" s="232">
        <v>270.23996724134491</v>
      </c>
      <c r="E54" s="144"/>
      <c r="F54" s="232">
        <v>1449.4426367425292</v>
      </c>
      <c r="G54" s="144"/>
      <c r="H54" s="232">
        <v>398.91611757063026</v>
      </c>
      <c r="I54" s="144"/>
      <c r="J54" s="232">
        <v>91.498262071338416</v>
      </c>
      <c r="K54" s="144"/>
      <c r="L54" s="232">
        <v>941.1650313138025</v>
      </c>
      <c r="M54" s="144"/>
      <c r="N54" s="232">
        <v>370.37775080151215</v>
      </c>
      <c r="O54" s="144"/>
      <c r="P54" s="232">
        <v>2231.6575453486844</v>
      </c>
      <c r="Q54" s="144"/>
      <c r="R54" s="232">
        <v>1124.5386631709146</v>
      </c>
      <c r="S54" s="144"/>
      <c r="T54" s="232">
        <v>1443.7448026051782</v>
      </c>
      <c r="U54" s="144"/>
      <c r="V54" s="232">
        <v>531.88815676084039</v>
      </c>
      <c r="W54" s="144"/>
      <c r="X54" s="232">
        <v>728.53583885307444</v>
      </c>
      <c r="Y54" s="144"/>
    </row>
    <row r="55" spans="1:25" s="145" customFormat="1" x14ac:dyDescent="0.35">
      <c r="A55" s="232" t="s">
        <v>1530</v>
      </c>
      <c r="B55" s="232">
        <v>0.14504292622196271</v>
      </c>
      <c r="C55" s="144"/>
      <c r="D55" s="232">
        <v>1.0976944271884803</v>
      </c>
      <c r="E55" s="144"/>
      <c r="F55" s="232">
        <v>14.080792654266471</v>
      </c>
      <c r="G55" s="144"/>
      <c r="H55" s="232">
        <v>3.2301883088858583</v>
      </c>
      <c r="I55" s="144"/>
      <c r="J55" s="232">
        <v>0.88815162639137923</v>
      </c>
      <c r="K55" s="144"/>
      <c r="L55" s="232">
        <v>9.0969850889805155</v>
      </c>
      <c r="M55" s="144"/>
      <c r="N55" s="232">
        <v>3.5512981334082059</v>
      </c>
      <c r="O55" s="144"/>
      <c r="P55" s="232">
        <v>22.719559731979089</v>
      </c>
      <c r="Q55" s="144"/>
      <c r="R55" s="232">
        <v>9.5628135560387264</v>
      </c>
      <c r="S55" s="144"/>
      <c r="T55" s="232">
        <v>14.082492857989486</v>
      </c>
      <c r="U55" s="144"/>
      <c r="V55" s="232">
        <v>4.3069177451811447</v>
      </c>
      <c r="W55" s="144"/>
      <c r="X55" s="232">
        <v>7.1062425498777708</v>
      </c>
      <c r="Y55" s="144"/>
    </row>
    <row r="56" spans="1:25" s="48" customFormat="1" x14ac:dyDescent="0.35">
      <c r="A56" s="45" t="s">
        <v>1529</v>
      </c>
      <c r="B56" s="49">
        <v>14790.550708595467</v>
      </c>
      <c r="C56" s="47"/>
      <c r="D56" s="49">
        <v>200690.45509620226</v>
      </c>
      <c r="E56" s="47"/>
      <c r="F56" s="49">
        <v>435076.01707534253</v>
      </c>
      <c r="G56" s="47">
        <v>205963</v>
      </c>
      <c r="H56" s="49">
        <v>209006.3268701575</v>
      </c>
      <c r="I56" s="47"/>
      <c r="J56" s="49">
        <v>27564.42029657137</v>
      </c>
      <c r="K56" s="47"/>
      <c r="L56" s="49">
        <v>288883.48245135328</v>
      </c>
      <c r="M56" s="47"/>
      <c r="N56" s="49">
        <v>117648.67511493673</v>
      </c>
      <c r="O56" s="47"/>
      <c r="P56" s="49">
        <v>867454.3970084032</v>
      </c>
      <c r="Q56" s="47"/>
      <c r="R56" s="49">
        <v>524495.18287054007</v>
      </c>
      <c r="S56" s="47"/>
      <c r="T56" s="49">
        <v>425471.5667482267</v>
      </c>
      <c r="U56" s="47">
        <v>157671</v>
      </c>
      <c r="V56" s="49">
        <v>278675.10249354335</v>
      </c>
      <c r="W56" s="47"/>
      <c r="X56" s="49">
        <v>214699.49829756669</v>
      </c>
      <c r="Y56" s="47"/>
    </row>
    <row r="57" spans="1:25" s="145" customFormat="1" ht="13.15" x14ac:dyDescent="0.4">
      <c r="A57" s="388" t="s">
        <v>1662</v>
      </c>
      <c r="B57" s="237"/>
      <c r="C57" s="156"/>
      <c r="D57" s="237"/>
      <c r="E57" s="156"/>
      <c r="F57" s="237"/>
      <c r="G57" s="156"/>
      <c r="H57" s="237"/>
      <c r="I57" s="156"/>
      <c r="J57" s="237"/>
      <c r="K57" s="156"/>
      <c r="L57" s="237"/>
      <c r="M57" s="156"/>
      <c r="N57" s="237"/>
      <c r="O57" s="156"/>
      <c r="P57" s="237"/>
      <c r="Q57" s="156"/>
      <c r="R57" s="237"/>
      <c r="S57" s="156"/>
      <c r="T57" s="237"/>
      <c r="U57" s="156"/>
      <c r="V57" s="237"/>
      <c r="W57" s="156"/>
      <c r="X57" s="237"/>
      <c r="Y57" s="156"/>
    </row>
    <row r="58" spans="1:25" s="145" customFormat="1" x14ac:dyDescent="0.35">
      <c r="A58" s="232" t="s">
        <v>1525</v>
      </c>
      <c r="B58" s="232">
        <v>0.4580636009774301</v>
      </c>
      <c r="C58" s="144">
        <v>0</v>
      </c>
      <c r="D58" s="232">
        <v>0.93435453622356712</v>
      </c>
      <c r="E58" s="144">
        <v>0</v>
      </c>
      <c r="F58" s="232">
        <v>3.9590463380798786</v>
      </c>
      <c r="G58" s="144">
        <v>0</v>
      </c>
      <c r="H58" s="232">
        <v>1.6078832730342256</v>
      </c>
      <c r="I58" s="144">
        <v>0</v>
      </c>
      <c r="J58" s="232">
        <v>0.25049900676709691</v>
      </c>
      <c r="K58" s="144">
        <v>0</v>
      </c>
      <c r="L58" s="232">
        <v>2.6077428180955993</v>
      </c>
      <c r="M58" s="144">
        <v>0</v>
      </c>
      <c r="N58" s="232">
        <v>1.049243299033952</v>
      </c>
      <c r="O58" s="144">
        <v>0</v>
      </c>
      <c r="P58" s="232">
        <v>9.0699541368987973</v>
      </c>
      <c r="Q58" s="144">
        <v>0</v>
      </c>
      <c r="R58" s="232">
        <v>5.1596821176636656</v>
      </c>
      <c r="S58" s="144">
        <v>0</v>
      </c>
      <c r="T58" s="232">
        <v>3.897649443282563</v>
      </c>
      <c r="U58" s="144">
        <v>0</v>
      </c>
      <c r="V58" s="232">
        <v>2.1438443640456342</v>
      </c>
      <c r="W58" s="144">
        <v>0</v>
      </c>
      <c r="X58" s="232">
        <v>1.9668138729179703</v>
      </c>
      <c r="Y58" s="144">
        <v>0</v>
      </c>
    </row>
    <row r="59" spans="1:25" s="145" customFormat="1" x14ac:dyDescent="0.35">
      <c r="A59" s="232" t="s">
        <v>1524</v>
      </c>
      <c r="B59" s="232">
        <v>0.41463313004420149</v>
      </c>
      <c r="C59" s="144">
        <v>0</v>
      </c>
      <c r="D59" s="232">
        <v>3.7422796668178271</v>
      </c>
      <c r="E59" s="144">
        <v>0</v>
      </c>
      <c r="F59" s="232">
        <v>19.475611235224488</v>
      </c>
      <c r="G59" s="144">
        <v>0</v>
      </c>
      <c r="H59" s="232">
        <v>12.583704560021818</v>
      </c>
      <c r="I59" s="144">
        <v>0</v>
      </c>
      <c r="J59" s="232">
        <v>1.2374864655615885</v>
      </c>
      <c r="K59" s="144">
        <v>0</v>
      </c>
      <c r="L59" s="232">
        <v>13.162050587016537</v>
      </c>
      <c r="M59" s="144">
        <v>0</v>
      </c>
      <c r="N59" s="232">
        <v>5.5004607241241139</v>
      </c>
      <c r="O59" s="144">
        <v>0</v>
      </c>
      <c r="P59" s="232">
        <v>29.830902972480953</v>
      </c>
      <c r="Q59" s="144">
        <v>0</v>
      </c>
      <c r="R59" s="232">
        <v>28.37354089936111</v>
      </c>
      <c r="S59" s="144">
        <v>0</v>
      </c>
      <c r="T59" s="232">
        <v>18.760228068050267</v>
      </c>
      <c r="U59" s="144">
        <v>0</v>
      </c>
      <c r="V59" s="232">
        <v>16.778272746695759</v>
      </c>
      <c r="W59" s="144">
        <v>0</v>
      </c>
      <c r="X59" s="232">
        <v>9.4666997020315176</v>
      </c>
      <c r="Y59" s="144">
        <v>0</v>
      </c>
    </row>
    <row r="60" spans="1:25" s="145" customFormat="1" x14ac:dyDescent="0.35">
      <c r="A60" s="232" t="s">
        <v>1523</v>
      </c>
      <c r="B60" s="232">
        <v>0.81221294624697782</v>
      </c>
      <c r="C60" s="144">
        <v>0</v>
      </c>
      <c r="D60" s="232">
        <v>9.9237759239820829</v>
      </c>
      <c r="E60" s="144">
        <v>0</v>
      </c>
      <c r="F60" s="232">
        <v>24.850997414303677</v>
      </c>
      <c r="G60" s="144">
        <v>0</v>
      </c>
      <c r="H60" s="232">
        <v>32.956717683596565</v>
      </c>
      <c r="I60" s="144">
        <v>0</v>
      </c>
      <c r="J60" s="232">
        <v>1.5978944320741788</v>
      </c>
      <c r="K60" s="144">
        <v>0</v>
      </c>
      <c r="L60" s="232">
        <v>18.001986997615148</v>
      </c>
      <c r="M60" s="144">
        <v>0</v>
      </c>
      <c r="N60" s="232">
        <v>8.2441464953239336</v>
      </c>
      <c r="O60" s="144">
        <v>0</v>
      </c>
      <c r="P60" s="232">
        <v>43.509126136033089</v>
      </c>
      <c r="Q60" s="144">
        <v>0</v>
      </c>
      <c r="R60" s="232">
        <v>69.134381101416622</v>
      </c>
      <c r="S60" s="144">
        <v>0</v>
      </c>
      <c r="T60" s="232">
        <v>22.443620967746909</v>
      </c>
      <c r="U60" s="144">
        <v>0</v>
      </c>
      <c r="V60" s="232">
        <v>43.942290244795416</v>
      </c>
      <c r="W60" s="144">
        <v>0</v>
      </c>
      <c r="X60" s="232">
        <v>11.325396426801516</v>
      </c>
      <c r="Y60" s="144">
        <v>0</v>
      </c>
    </row>
    <row r="61" spans="1:25" s="145" customFormat="1" x14ac:dyDescent="0.35">
      <c r="A61" s="232" t="s">
        <v>1522</v>
      </c>
      <c r="B61" s="232">
        <v>0.11540511032702427</v>
      </c>
      <c r="C61" s="144">
        <v>0</v>
      </c>
      <c r="D61" s="232">
        <v>1.1809571486386869</v>
      </c>
      <c r="E61" s="144">
        <v>0</v>
      </c>
      <c r="F61" s="232">
        <v>0.45216390472416806</v>
      </c>
      <c r="G61" s="144">
        <v>0</v>
      </c>
      <c r="H61" s="232">
        <v>4.0615269973726953</v>
      </c>
      <c r="I61" s="144">
        <v>0</v>
      </c>
      <c r="J61" s="232">
        <v>3.2935922549830202E-2</v>
      </c>
      <c r="K61" s="144">
        <v>0</v>
      </c>
      <c r="L61" s="232">
        <v>0.57482326619359758</v>
      </c>
      <c r="M61" s="144">
        <v>0</v>
      </c>
      <c r="N61" s="232">
        <v>0.40104738771566389</v>
      </c>
      <c r="O61" s="144">
        <v>0</v>
      </c>
      <c r="P61" s="232">
        <v>2.248015102435021</v>
      </c>
      <c r="Q61" s="144">
        <v>0</v>
      </c>
      <c r="R61" s="232">
        <v>7.7942232807841743</v>
      </c>
      <c r="S61" s="144">
        <v>0</v>
      </c>
      <c r="T61" s="232">
        <v>0.10220907988285802</v>
      </c>
      <c r="U61" s="144">
        <v>0</v>
      </c>
      <c r="V61" s="232">
        <v>5.4153693298302601</v>
      </c>
      <c r="W61" s="144">
        <v>0</v>
      </c>
      <c r="X61" s="232">
        <v>5.1576274156272965E-2</v>
      </c>
      <c r="Y61" s="144">
        <v>0</v>
      </c>
    </row>
    <row r="62" spans="1:25" s="145" customFormat="1" x14ac:dyDescent="0.35">
      <c r="A62" s="232" t="s">
        <v>1521</v>
      </c>
      <c r="B62" s="232">
        <v>8.8748367905836109E-2</v>
      </c>
      <c r="C62" s="144">
        <v>0</v>
      </c>
      <c r="D62" s="232">
        <v>0.87973291477042392</v>
      </c>
      <c r="E62" s="144">
        <v>0</v>
      </c>
      <c r="F62" s="232">
        <v>0.34598592333913714</v>
      </c>
      <c r="G62" s="144">
        <v>0</v>
      </c>
      <c r="H62" s="232">
        <v>2.9895962137299668</v>
      </c>
      <c r="I62" s="144">
        <v>0</v>
      </c>
      <c r="J62" s="232">
        <v>2.5069982863782852E-2</v>
      </c>
      <c r="K62" s="144">
        <v>0</v>
      </c>
      <c r="L62" s="232">
        <v>0.43139965710524575</v>
      </c>
      <c r="M62" s="144">
        <v>0</v>
      </c>
      <c r="N62" s="232">
        <v>0.2983015103440666</v>
      </c>
      <c r="O62" s="144">
        <v>0</v>
      </c>
      <c r="P62" s="232">
        <v>1.746659511985601</v>
      </c>
      <c r="Q62" s="144">
        <v>0</v>
      </c>
      <c r="R62" s="232">
        <v>5.7852993118791396</v>
      </c>
      <c r="S62" s="144">
        <v>0</v>
      </c>
      <c r="T62" s="232">
        <v>8.8660800832523562E-2</v>
      </c>
      <c r="U62" s="144">
        <v>0</v>
      </c>
      <c r="V62" s="232">
        <v>3.9861282849732893</v>
      </c>
      <c r="W62" s="144">
        <v>0</v>
      </c>
      <c r="X62" s="232">
        <v>4.4739604112411888E-2</v>
      </c>
      <c r="Y62" s="144">
        <v>0</v>
      </c>
    </row>
    <row r="63" spans="1:25" s="145" customFormat="1" x14ac:dyDescent="0.35">
      <c r="A63" s="232" t="s">
        <v>1520</v>
      </c>
      <c r="B63" s="232">
        <v>1.5584169138577206</v>
      </c>
      <c r="C63" s="144">
        <v>0</v>
      </c>
      <c r="D63" s="232">
        <v>36.144796346400597</v>
      </c>
      <c r="E63" s="144">
        <v>0</v>
      </c>
      <c r="F63" s="232">
        <v>13.632435970921293</v>
      </c>
      <c r="G63" s="144">
        <v>0</v>
      </c>
      <c r="H63" s="232">
        <v>136.2469336453658</v>
      </c>
      <c r="I63" s="144">
        <v>0</v>
      </c>
      <c r="J63" s="232">
        <v>1.0083857331078385</v>
      </c>
      <c r="K63" s="144">
        <v>0</v>
      </c>
      <c r="L63" s="232">
        <v>18.31586428383152</v>
      </c>
      <c r="M63" s="144">
        <v>0</v>
      </c>
      <c r="N63" s="232">
        <v>13.091653631587715</v>
      </c>
      <c r="O63" s="144">
        <v>0</v>
      </c>
      <c r="P63" s="232">
        <v>46.138559998921174</v>
      </c>
      <c r="Q63" s="144">
        <v>0</v>
      </c>
      <c r="R63" s="232">
        <v>249.53803895127385</v>
      </c>
      <c r="S63" s="144">
        <v>0</v>
      </c>
      <c r="T63" s="232">
        <v>1.8616003962478722</v>
      </c>
      <c r="U63" s="144">
        <v>0</v>
      </c>
      <c r="V63" s="232">
        <v>181.66257819382105</v>
      </c>
      <c r="W63" s="144">
        <v>0</v>
      </c>
      <c r="X63" s="232">
        <v>0.93939219995277246</v>
      </c>
      <c r="Y63" s="144">
        <v>0</v>
      </c>
    </row>
    <row r="64" spans="1:25" s="145" customFormat="1" x14ac:dyDescent="0.35">
      <c r="A64" s="232" t="s">
        <v>1519</v>
      </c>
      <c r="B64" s="232">
        <v>9.822188082424816E-3</v>
      </c>
      <c r="C64" s="144">
        <v>0</v>
      </c>
      <c r="D64" s="232">
        <v>5.814595219301899E-2</v>
      </c>
      <c r="E64" s="144">
        <v>0</v>
      </c>
      <c r="F64" s="232">
        <v>3.1967104413931587E-2</v>
      </c>
      <c r="G64" s="144">
        <v>0</v>
      </c>
      <c r="H64" s="232">
        <v>0.1781091729659956</v>
      </c>
      <c r="I64" s="144">
        <v>0</v>
      </c>
      <c r="J64" s="232">
        <v>2.2068632692031197E-3</v>
      </c>
      <c r="K64" s="144">
        <v>0</v>
      </c>
      <c r="L64" s="232">
        <v>3.2850820958211568E-2</v>
      </c>
      <c r="M64" s="144">
        <v>0</v>
      </c>
      <c r="N64" s="232">
        <v>2.0446530745521389E-2</v>
      </c>
      <c r="O64" s="144">
        <v>0</v>
      </c>
      <c r="P64" s="232">
        <v>0.16581314121515411</v>
      </c>
      <c r="Q64" s="144">
        <v>0</v>
      </c>
      <c r="R64" s="232">
        <v>0.37308427726224058</v>
      </c>
      <c r="S64" s="144">
        <v>0</v>
      </c>
      <c r="T64" s="232">
        <v>1.6868342949195873E-2</v>
      </c>
      <c r="U64" s="144">
        <v>0</v>
      </c>
      <c r="V64" s="232">
        <v>0.23747889728799415</v>
      </c>
      <c r="W64" s="144">
        <v>0</v>
      </c>
      <c r="X64" s="232">
        <v>8.5120253651326857E-3</v>
      </c>
      <c r="Y64" s="144">
        <v>0</v>
      </c>
    </row>
    <row r="65" spans="1:25" s="145" customFormat="1" x14ac:dyDescent="0.35">
      <c r="A65" s="231" t="s">
        <v>1518</v>
      </c>
      <c r="B65" s="231">
        <v>1.5110919551956445E-2</v>
      </c>
      <c r="C65" s="141">
        <v>0</v>
      </c>
      <c r="D65" s="231">
        <v>0.15024244787726435</v>
      </c>
      <c r="E65" s="141">
        <v>0</v>
      </c>
      <c r="F65" s="231">
        <v>6.6265300320389728E-2</v>
      </c>
      <c r="G65" s="141">
        <v>0</v>
      </c>
      <c r="H65" s="231">
        <v>0.4582643687787914</v>
      </c>
      <c r="I65" s="141">
        <v>0</v>
      </c>
      <c r="J65" s="231">
        <v>4.6740117253262839E-3</v>
      </c>
      <c r="K65" s="141">
        <v>0</v>
      </c>
      <c r="L65" s="231">
        <v>7.4458462696928324E-2</v>
      </c>
      <c r="M65" s="141">
        <v>0</v>
      </c>
      <c r="N65" s="231">
        <v>4.8842275836524285E-2</v>
      </c>
      <c r="O65" s="141">
        <v>0</v>
      </c>
      <c r="P65" s="231">
        <v>0.31285534192073716</v>
      </c>
      <c r="Q65" s="141">
        <v>0</v>
      </c>
      <c r="R65" s="231">
        <v>0.94336753753803182</v>
      </c>
      <c r="S65" s="141">
        <v>0</v>
      </c>
      <c r="T65" s="231">
        <v>2.7090872475742621E-2</v>
      </c>
      <c r="U65" s="141">
        <v>0</v>
      </c>
      <c r="V65" s="231">
        <v>0.61101915837172183</v>
      </c>
      <c r="W65" s="141">
        <v>0</v>
      </c>
      <c r="X65" s="231">
        <v>1.3670471033913199E-2</v>
      </c>
      <c r="Y65" s="141">
        <v>0</v>
      </c>
    </row>
    <row r="66" spans="1:25" s="145" customFormat="1" x14ac:dyDescent="0.35"/>
    <row r="67" spans="1:25" s="145" customFormat="1" ht="13.9" x14ac:dyDescent="0.4">
      <c r="A67" s="386" t="s">
        <v>2068</v>
      </c>
    </row>
    <row r="68" spans="1:25" ht="13.15" x14ac:dyDescent="0.4">
      <c r="A68" s="61"/>
      <c r="B68" s="2193" t="s">
        <v>242</v>
      </c>
      <c r="C68" s="2194"/>
      <c r="D68" s="2194"/>
      <c r="E68" s="2194"/>
      <c r="F68" s="2194"/>
      <c r="G68" s="2194"/>
      <c r="H68" s="2244"/>
      <c r="I68" s="2244"/>
      <c r="J68" s="2194"/>
      <c r="K68" s="2195"/>
      <c r="L68" s="2245" t="s">
        <v>2067</v>
      </c>
      <c r="M68" s="2244"/>
      <c r="N68" s="2244"/>
      <c r="O68" s="2244"/>
      <c r="P68" s="2244"/>
      <c r="Q68" s="2246"/>
    </row>
    <row r="69" spans="1:25" s="145" customFormat="1" ht="26.25" x14ac:dyDescent="0.4">
      <c r="A69" s="232"/>
      <c r="B69" s="536" t="s">
        <v>2062</v>
      </c>
      <c r="C69" s="41" t="s">
        <v>2061</v>
      </c>
      <c r="D69" s="41" t="s">
        <v>2060</v>
      </c>
      <c r="E69" s="41" t="s">
        <v>2066</v>
      </c>
      <c r="F69" s="41" t="s">
        <v>2065</v>
      </c>
      <c r="G69" s="41" t="s">
        <v>2064</v>
      </c>
      <c r="H69" s="2241" t="s">
        <v>2063</v>
      </c>
      <c r="I69" s="2241"/>
      <c r="J69" s="2241" t="s">
        <v>328</v>
      </c>
      <c r="K69" s="2241"/>
      <c r="L69" s="535" t="s">
        <v>2062</v>
      </c>
      <c r="M69" s="534" t="s">
        <v>2061</v>
      </c>
      <c r="N69" s="534" t="s">
        <v>2060</v>
      </c>
      <c r="O69" s="405" t="s">
        <v>2059</v>
      </c>
      <c r="P69" s="2205" t="s">
        <v>2058</v>
      </c>
      <c r="Q69" s="2205"/>
    </row>
    <row r="70" spans="1:25" s="145" customFormat="1" ht="13.15" x14ac:dyDescent="0.4">
      <c r="A70" s="390" t="s">
        <v>2050</v>
      </c>
      <c r="B70" s="533"/>
      <c r="C70" s="101"/>
      <c r="D70" s="101"/>
      <c r="E70" s="101"/>
      <c r="F70" s="101"/>
      <c r="G70" s="101"/>
      <c r="H70" s="429" t="s">
        <v>1873</v>
      </c>
      <c r="I70" s="429" t="s">
        <v>1872</v>
      </c>
      <c r="J70" s="429" t="s">
        <v>1873</v>
      </c>
      <c r="K70" s="429" t="s">
        <v>1872</v>
      </c>
      <c r="L70" s="101"/>
      <c r="M70" s="101"/>
      <c r="N70" s="101"/>
      <c r="O70" s="101"/>
      <c r="P70" s="55" t="s">
        <v>1873</v>
      </c>
      <c r="Q70" s="55" t="s">
        <v>1872</v>
      </c>
    </row>
    <row r="71" spans="1:25" s="145" customFormat="1" x14ac:dyDescent="0.35">
      <c r="A71" s="232" t="s">
        <v>1537</v>
      </c>
      <c r="B71" s="232">
        <v>2.025530236228346</v>
      </c>
      <c r="C71" s="145">
        <v>7.2897796355472364</v>
      </c>
      <c r="D71" s="145">
        <v>3.1088273018292094</v>
      </c>
      <c r="E71" s="145">
        <v>0.4614084173185109</v>
      </c>
      <c r="F71" s="145">
        <v>4.8122170393268853</v>
      </c>
      <c r="G71" s="145">
        <v>1.9427180972360787</v>
      </c>
      <c r="H71" s="146">
        <v>12.885545590923302</v>
      </c>
      <c r="I71" s="146">
        <v>6.4427727954616508E-3</v>
      </c>
      <c r="J71" s="146">
        <v>19.640480727486267</v>
      </c>
      <c r="K71" s="146">
        <v>9.8202403637431337E-3</v>
      </c>
      <c r="L71" s="145">
        <v>7.9314460693181958</v>
      </c>
      <c r="M71" s="145">
        <v>7.163620342913644</v>
      </c>
      <c r="N71" s="145">
        <v>4.1451030691056134</v>
      </c>
      <c r="O71" s="145">
        <v>3.6148730345779616</v>
      </c>
      <c r="P71" s="146">
        <v>22.855042515915414</v>
      </c>
      <c r="Q71" s="146">
        <v>1.1427521257957707E-2</v>
      </c>
    </row>
    <row r="72" spans="1:25" s="145" customFormat="1" x14ac:dyDescent="0.35">
      <c r="A72" s="232" t="s">
        <v>1536</v>
      </c>
      <c r="B72" s="232">
        <v>1.8698460750151267</v>
      </c>
      <c r="C72" s="145">
        <v>7.2336041056989488</v>
      </c>
      <c r="D72" s="145">
        <v>2.5125485556717324</v>
      </c>
      <c r="E72" s="145">
        <v>0.45721426436506513</v>
      </c>
      <c r="F72" s="145">
        <v>4.7342536359166596</v>
      </c>
      <c r="G72" s="145">
        <v>1.8862443093398957</v>
      </c>
      <c r="H72" s="146">
        <v>12.073213000750874</v>
      </c>
      <c r="I72" s="146">
        <v>6.0366065003754372E-3</v>
      </c>
      <c r="J72" s="146">
        <v>18.693710946007432</v>
      </c>
      <c r="K72" s="146">
        <v>9.3468554730037155E-3</v>
      </c>
      <c r="L72" s="145">
        <v>6.8514022747348502</v>
      </c>
      <c r="M72" s="145">
        <v>7.1590305076946237</v>
      </c>
      <c r="N72" s="145">
        <v>3.3500647408956432</v>
      </c>
      <c r="O72" s="145">
        <v>3.6125569331135945</v>
      </c>
      <c r="P72" s="146">
        <v>20.97305445643871</v>
      </c>
      <c r="Q72" s="146">
        <v>1.0486527228219356E-2</v>
      </c>
    </row>
    <row r="73" spans="1:25" s="145" customFormat="1" x14ac:dyDescent="0.35">
      <c r="A73" s="232" t="s">
        <v>1535</v>
      </c>
      <c r="B73" s="232">
        <v>1.3574524621768895</v>
      </c>
      <c r="C73" s="145">
        <v>0.13563812236528844</v>
      </c>
      <c r="D73" s="145">
        <v>1.4398336587761142</v>
      </c>
      <c r="E73" s="145">
        <v>1.0127059484154276E-2</v>
      </c>
      <c r="F73" s="145">
        <v>0.18825256256676681</v>
      </c>
      <c r="G73" s="145">
        <v>0.13636510641527957</v>
      </c>
      <c r="H73" s="146">
        <v>2.9430513028024468</v>
      </c>
      <c r="I73" s="146">
        <v>1.4715256514012233E-3</v>
      </c>
      <c r="J73" s="146">
        <v>3.2676689717844933</v>
      </c>
      <c r="K73" s="146">
        <v>1.6338344858922466E-3</v>
      </c>
      <c r="L73" s="145">
        <v>2.6727390241640254</v>
      </c>
      <c r="M73" s="145">
        <v>1.1074018984379366E-2</v>
      </c>
      <c r="N73" s="145">
        <v>1.9197782117014857</v>
      </c>
      <c r="O73" s="145">
        <v>5.5881203490406638E-3</v>
      </c>
      <c r="P73" s="146">
        <v>4.6091793751989307</v>
      </c>
      <c r="Q73" s="146">
        <v>2.3045896875994653E-3</v>
      </c>
    </row>
    <row r="74" spans="1:25" s="145" customFormat="1" x14ac:dyDescent="0.35">
      <c r="A74" s="232" t="s">
        <v>1534</v>
      </c>
      <c r="B74" s="232">
        <v>0.2876632138534404</v>
      </c>
      <c r="C74" s="145">
        <v>7.0678710764912855</v>
      </c>
      <c r="D74" s="145">
        <v>1.0237876763114251</v>
      </c>
      <c r="E74" s="145">
        <v>0.44514207342570472</v>
      </c>
      <c r="F74" s="145">
        <v>4.5235564019667569</v>
      </c>
      <c r="G74" s="145">
        <v>1.73924159989434</v>
      </c>
      <c r="H74" s="146">
        <v>8.824464040081855</v>
      </c>
      <c r="I74" s="146">
        <v>4.4122320200409284E-3</v>
      </c>
      <c r="J74" s="146">
        <v>15.087262041942951</v>
      </c>
      <c r="K74" s="146">
        <v>7.5436310209714775E-3</v>
      </c>
      <c r="L74" s="145">
        <v>3.5851328227790469</v>
      </c>
      <c r="M74" s="145">
        <v>7.1215742971540426</v>
      </c>
      <c r="N74" s="145">
        <v>1.3650502350819</v>
      </c>
      <c r="O74" s="145">
        <v>3.593655953025424</v>
      </c>
      <c r="P74" s="146">
        <v>15.665413308040414</v>
      </c>
      <c r="Q74" s="146">
        <v>7.8327066540202061E-3</v>
      </c>
    </row>
    <row r="75" spans="1:25" s="145" customFormat="1" x14ac:dyDescent="0.35">
      <c r="A75" s="232" t="s">
        <v>1533</v>
      </c>
      <c r="B75" s="232">
        <v>0.22473039898479677</v>
      </c>
      <c r="C75" s="145">
        <v>3.0094906842374952E-2</v>
      </c>
      <c r="D75" s="145">
        <v>4.892722058419318E-2</v>
      </c>
      <c r="E75" s="145">
        <v>1.9451314552061372E-3</v>
      </c>
      <c r="F75" s="145">
        <v>2.2444671383135613E-2</v>
      </c>
      <c r="G75" s="145">
        <v>1.0637603030276211E-2</v>
      </c>
      <c r="H75" s="146">
        <v>0.30569765786657105</v>
      </c>
      <c r="I75" s="146">
        <v>1.5284882893328554E-4</v>
      </c>
      <c r="J75" s="146">
        <v>0.33877993227998288</v>
      </c>
      <c r="K75" s="146">
        <v>1.6938996613999143E-4</v>
      </c>
      <c r="L75" s="145">
        <v>0.59353042779177778</v>
      </c>
      <c r="M75" s="145">
        <v>2.638219155620225E-2</v>
      </c>
      <c r="N75" s="145">
        <v>6.5236294112257578E-2</v>
      </c>
      <c r="O75" s="145">
        <v>1.3312859739129752E-2</v>
      </c>
      <c r="P75" s="146">
        <v>0.69846177319936742</v>
      </c>
      <c r="Q75" s="146">
        <v>3.4923088659968371E-4</v>
      </c>
    </row>
    <row r="76" spans="1:25" s="145" customFormat="1" x14ac:dyDescent="0.35">
      <c r="A76" s="391" t="s">
        <v>1532</v>
      </c>
      <c r="B76" s="290">
        <v>2063.0042646510838</v>
      </c>
      <c r="C76" s="291">
        <v>46.350439150581224</v>
      </c>
      <c r="D76" s="291">
        <v>299.06801763793169</v>
      </c>
      <c r="E76" s="291">
        <v>363.24536396271748</v>
      </c>
      <c r="F76" s="291">
        <v>50.547497560163315</v>
      </c>
      <c r="G76" s="291">
        <v>32.60642939878241</v>
      </c>
      <c r="H76" s="383">
        <v>2771.6680854023143</v>
      </c>
      <c r="I76" s="528">
        <v>1.3858340427011571</v>
      </c>
      <c r="J76" s="383">
        <v>2854.82201236126</v>
      </c>
      <c r="K76" s="528">
        <v>1.42741100618063</v>
      </c>
      <c r="L76" s="291">
        <v>8657.3826365980876</v>
      </c>
      <c r="M76" s="291">
        <v>20.848174444177335</v>
      </c>
      <c r="N76" s="291">
        <v>1358.7573568505754</v>
      </c>
      <c r="O76" s="291">
        <v>10.520309565677177</v>
      </c>
      <c r="P76" s="383">
        <v>10047.508477458519</v>
      </c>
      <c r="Q76" s="528">
        <v>5.0237542387292597</v>
      </c>
    </row>
    <row r="77" spans="1:25" s="145" customFormat="1" ht="13.15" x14ac:dyDescent="0.4">
      <c r="A77" s="388" t="s">
        <v>1564</v>
      </c>
      <c r="B77" s="232"/>
      <c r="H77" s="146" t="s">
        <v>1873</v>
      </c>
      <c r="I77" s="146" t="s">
        <v>1872</v>
      </c>
      <c r="J77" s="146" t="s">
        <v>1873</v>
      </c>
      <c r="K77" s="146" t="s">
        <v>1872</v>
      </c>
      <c r="P77" s="146" t="s">
        <v>1873</v>
      </c>
      <c r="Q77" s="146" t="s">
        <v>1872</v>
      </c>
    </row>
    <row r="78" spans="1:25" s="145" customFormat="1" x14ac:dyDescent="0.35">
      <c r="A78" s="232" t="s">
        <v>1525</v>
      </c>
      <c r="B78" s="232">
        <v>26.433739915657451</v>
      </c>
      <c r="C78" s="145">
        <v>83.885768185347558</v>
      </c>
      <c r="D78" s="145">
        <v>22.582706039318044</v>
      </c>
      <c r="E78" s="145">
        <v>5.2948534947098009</v>
      </c>
      <c r="F78" s="145">
        <v>54.433429739296514</v>
      </c>
      <c r="G78" s="145">
        <v>21.398852184515153</v>
      </c>
      <c r="H78" s="146">
        <v>138.19706763503285</v>
      </c>
      <c r="I78" s="146">
        <v>6.9098533817516419E-2</v>
      </c>
      <c r="J78" s="146">
        <v>214.02934955884453</v>
      </c>
      <c r="K78" s="146">
        <v>0.10701467477942227</v>
      </c>
      <c r="L78" s="145">
        <v>89.14832893944849</v>
      </c>
      <c r="M78" s="145">
        <v>83.600612580210878</v>
      </c>
      <c r="N78" s="145">
        <v>30.110274719090725</v>
      </c>
      <c r="O78" s="145">
        <v>42.186155271244871</v>
      </c>
      <c r="P78" s="146">
        <v>245.04537150999496</v>
      </c>
      <c r="Q78" s="146">
        <v>0.12252268575499749</v>
      </c>
    </row>
    <row r="79" spans="1:25" s="145" customFormat="1" x14ac:dyDescent="0.35">
      <c r="A79" s="232" t="s">
        <v>1524</v>
      </c>
      <c r="B79" s="232">
        <v>147.36546865705034</v>
      </c>
      <c r="C79" s="145">
        <v>350.70840088189124</v>
      </c>
      <c r="D79" s="145">
        <v>63.060668877665648</v>
      </c>
      <c r="E79" s="145">
        <v>22.101667951395321</v>
      </c>
      <c r="F79" s="145">
        <v>225.33500789271645</v>
      </c>
      <c r="G79" s="145">
        <v>87.190400524372933</v>
      </c>
      <c r="H79" s="146">
        <v>583.23620636800263</v>
      </c>
      <c r="I79" s="146">
        <v>0.29161810318400133</v>
      </c>
      <c r="J79" s="146">
        <v>895.76161478509198</v>
      </c>
      <c r="K79" s="146">
        <v>0.44788080739254599</v>
      </c>
      <c r="L79" s="145">
        <v>272.35319892390197</v>
      </c>
      <c r="M79" s="145">
        <v>352.28892133927911</v>
      </c>
      <c r="N79" s="145">
        <v>84.080891836887531</v>
      </c>
      <c r="O79" s="145">
        <v>177.77040953735928</v>
      </c>
      <c r="P79" s="146">
        <v>886.4934216374279</v>
      </c>
      <c r="Q79" s="146">
        <v>0.44324671081871397</v>
      </c>
    </row>
    <row r="80" spans="1:25" s="145" customFormat="1" x14ac:dyDescent="0.35">
      <c r="A80" s="232" t="s">
        <v>1563</v>
      </c>
      <c r="B80" s="232">
        <v>177.963788182863</v>
      </c>
      <c r="C80" s="145">
        <v>1265.0403858508371</v>
      </c>
      <c r="D80" s="145">
        <v>141.62896999705146</v>
      </c>
      <c r="E80" s="145">
        <v>31.507458505837249</v>
      </c>
      <c r="F80" s="145">
        <v>324.34727927729443</v>
      </c>
      <c r="G80" s="145">
        <v>127.83094901335487</v>
      </c>
      <c r="H80" s="146">
        <v>1616.1406025365889</v>
      </c>
      <c r="I80" s="146">
        <v>0.80807030126829438</v>
      </c>
      <c r="J80" s="146">
        <v>2068.3188308272379</v>
      </c>
      <c r="K80" s="146">
        <v>1.0341594154136189</v>
      </c>
      <c r="L80" s="145">
        <v>599.52953416199875</v>
      </c>
      <c r="M80" s="145">
        <v>2713.6998725691419</v>
      </c>
      <c r="N80" s="145">
        <v>188.83862666273529</v>
      </c>
      <c r="O80" s="145">
        <v>250.6423972348901</v>
      </c>
      <c r="P80" s="146">
        <v>3752.7104306287661</v>
      </c>
      <c r="Q80" s="146">
        <v>1.876355215314383</v>
      </c>
    </row>
    <row r="81" spans="1:17" s="145" customFormat="1" x14ac:dyDescent="0.35">
      <c r="A81" s="232" t="s">
        <v>1522</v>
      </c>
      <c r="B81" s="232">
        <v>44.844559204527421</v>
      </c>
      <c r="C81" s="145">
        <v>27.575336462573723</v>
      </c>
      <c r="D81" s="145">
        <v>25.579619724753158</v>
      </c>
      <c r="E81" s="145">
        <v>1.7608057252287932</v>
      </c>
      <c r="F81" s="145">
        <v>19.190486895784286</v>
      </c>
      <c r="G81" s="145">
        <v>8.3509621507994396</v>
      </c>
      <c r="H81" s="146">
        <v>99.760321117083095</v>
      </c>
      <c r="I81" s="146">
        <v>4.9880160558541546E-2</v>
      </c>
      <c r="J81" s="146">
        <v>127.30177016366682</v>
      </c>
      <c r="K81" s="146">
        <v>6.3650885081833405E-2</v>
      </c>
      <c r="L81" s="145">
        <v>87.963943024994506</v>
      </c>
      <c r="M81" s="145">
        <v>1273.8759551902331</v>
      </c>
      <c r="N81" s="145">
        <v>34.106159633004211</v>
      </c>
      <c r="O81" s="145">
        <v>13.057405080609938</v>
      </c>
      <c r="P81" s="146">
        <v>1409.0034629288416</v>
      </c>
      <c r="Q81" s="146">
        <v>0.70450173146442086</v>
      </c>
    </row>
    <row r="82" spans="1:17" s="145" customFormat="1" x14ac:dyDescent="0.35">
      <c r="A82" s="232" t="s">
        <v>1521</v>
      </c>
      <c r="B82" s="232">
        <v>27.514889175304532</v>
      </c>
      <c r="C82" s="145">
        <v>25.992310257835815</v>
      </c>
      <c r="D82" s="145">
        <v>11.1326637425437</v>
      </c>
      <c r="E82" s="145">
        <v>1.6452431716021854</v>
      </c>
      <c r="F82" s="145">
        <v>17.161776836269517</v>
      </c>
      <c r="G82" s="145">
        <v>6.9303939159153476</v>
      </c>
      <c r="H82" s="146">
        <v>66.285106347286231</v>
      </c>
      <c r="I82" s="146">
        <v>3.3142553173643112E-2</v>
      </c>
      <c r="J82" s="146">
        <v>90.377277099471087</v>
      </c>
      <c r="K82" s="146">
        <v>4.5188638549735545E-2</v>
      </c>
      <c r="L82" s="145">
        <v>51.834997049676623</v>
      </c>
      <c r="M82" s="145">
        <v>649.53824428586597</v>
      </c>
      <c r="N82" s="145">
        <v>14.843551656724934</v>
      </c>
      <c r="O82" s="145">
        <v>12.886990962713925</v>
      </c>
      <c r="P82" s="146">
        <v>729.10378395498151</v>
      </c>
      <c r="Q82" s="146">
        <v>0.36455189197749077</v>
      </c>
    </row>
    <row r="83" spans="1:17" s="145" customFormat="1" x14ac:dyDescent="0.35">
      <c r="A83" s="232" t="s">
        <v>1520</v>
      </c>
      <c r="B83" s="232">
        <v>192.87093577932205</v>
      </c>
      <c r="C83" s="145">
        <v>561.04357987708556</v>
      </c>
      <c r="D83" s="145">
        <v>384.6209829084745</v>
      </c>
      <c r="E83" s="145">
        <v>7.2791604461775172</v>
      </c>
      <c r="F83" s="145">
        <v>96.13443424024274</v>
      </c>
      <c r="G83" s="145">
        <v>53.579285505244755</v>
      </c>
      <c r="H83" s="146">
        <v>1145.8146590110596</v>
      </c>
      <c r="I83" s="146">
        <v>0.57290732950552981</v>
      </c>
      <c r="J83" s="146">
        <v>1295.528378756547</v>
      </c>
      <c r="K83" s="146">
        <v>0.64776418937827351</v>
      </c>
      <c r="L83" s="145">
        <v>1610.9968371064888</v>
      </c>
      <c r="M83" s="145">
        <v>756.25485852892962</v>
      </c>
      <c r="N83" s="145">
        <v>512.8279772112993</v>
      </c>
      <c r="O83" s="145">
        <v>38.983990149982972</v>
      </c>
      <c r="P83" s="146">
        <v>2919.0636629967007</v>
      </c>
      <c r="Q83" s="146">
        <v>1.4595318314983503</v>
      </c>
    </row>
    <row r="84" spans="1:17" s="145" customFormat="1" x14ac:dyDescent="0.35">
      <c r="A84" s="232" t="s">
        <v>1519</v>
      </c>
      <c r="B84" s="232">
        <v>2.51777483938488</v>
      </c>
      <c r="C84" s="145">
        <v>4.5964902232556755</v>
      </c>
      <c r="D84" s="145">
        <v>0.82458788221452628</v>
      </c>
      <c r="E84" s="145">
        <v>0.28966901082484492</v>
      </c>
      <c r="F84" s="145">
        <v>2.953172648647743</v>
      </c>
      <c r="G84" s="145">
        <v>1.142605629211161</v>
      </c>
      <c r="H84" s="146">
        <v>8.2285219556799269</v>
      </c>
      <c r="I84" s="146">
        <v>4.1142609778399633E-3</v>
      </c>
      <c r="J84" s="146">
        <v>12.324300233538832</v>
      </c>
      <c r="K84" s="146">
        <v>6.1621501167694161E-3</v>
      </c>
      <c r="L84" s="145">
        <v>6.275433941725157</v>
      </c>
      <c r="M84" s="145">
        <v>4.6173734082963431</v>
      </c>
      <c r="N84" s="145">
        <v>1.0994505096193683</v>
      </c>
      <c r="O84" s="145">
        <v>2.3299976583403086</v>
      </c>
      <c r="P84" s="146">
        <v>14.322255517981176</v>
      </c>
      <c r="Q84" s="146">
        <v>7.161127758990588E-3</v>
      </c>
    </row>
    <row r="85" spans="1:17" s="145" customFormat="1" x14ac:dyDescent="0.35">
      <c r="A85" s="232" t="s">
        <v>1518</v>
      </c>
      <c r="B85" s="232">
        <v>2.8345341363851393</v>
      </c>
      <c r="C85" s="145">
        <v>10.69210756113281</v>
      </c>
      <c r="D85" s="145">
        <v>1.9358148015968422</v>
      </c>
      <c r="E85" s="145">
        <v>0.67383217459752787</v>
      </c>
      <c r="F85" s="145">
        <v>6.8707753787174672</v>
      </c>
      <c r="G85" s="145">
        <v>2.6591513328498473</v>
      </c>
      <c r="H85" s="146">
        <v>16.136288673712318</v>
      </c>
      <c r="I85" s="146">
        <v>8.0681443368561586E-3</v>
      </c>
      <c r="J85" s="146">
        <v>25.666215385279635</v>
      </c>
      <c r="K85" s="146">
        <v>1.2833107692639817E-2</v>
      </c>
      <c r="L85" s="145">
        <v>10.319056250242276</v>
      </c>
      <c r="M85" s="145">
        <v>10.739119331626956</v>
      </c>
      <c r="N85" s="145">
        <v>2.5810864021291229</v>
      </c>
      <c r="O85" s="145">
        <v>5.4191248319594481</v>
      </c>
      <c r="P85" s="146">
        <v>29.058386815957803</v>
      </c>
      <c r="Q85" s="146">
        <v>1.4529193407978902E-2</v>
      </c>
    </row>
    <row r="86" spans="1:17" s="145" customFormat="1" x14ac:dyDescent="0.35">
      <c r="A86" s="232" t="s">
        <v>1531</v>
      </c>
      <c r="B86" s="232">
        <v>270.23996724134491</v>
      </c>
      <c r="C86" s="145">
        <v>1449.4426367425292</v>
      </c>
      <c r="D86" s="145">
        <v>398.91611757063026</v>
      </c>
      <c r="E86" s="145">
        <v>91.498262071338416</v>
      </c>
      <c r="F86" s="145">
        <v>941.1650313138025</v>
      </c>
      <c r="G86" s="145">
        <v>370.37775080151215</v>
      </c>
      <c r="H86" s="146">
        <v>2210.0969836258428</v>
      </c>
      <c r="I86" s="146">
        <v>1.1050484918129213</v>
      </c>
      <c r="J86" s="146">
        <v>3521.6397657411576</v>
      </c>
      <c r="K86" s="146">
        <v>1.7608198828705788</v>
      </c>
      <c r="L86" s="145">
        <v>1124.5386631709146</v>
      </c>
      <c r="M86" s="145">
        <v>1443.7448026051782</v>
      </c>
      <c r="N86" s="145">
        <v>531.88815676084039</v>
      </c>
      <c r="O86" s="145">
        <v>728.53583885307444</v>
      </c>
      <c r="P86" s="146">
        <v>3828.7074613900077</v>
      </c>
      <c r="Q86" s="146">
        <v>1.9143537306950038</v>
      </c>
    </row>
    <row r="87" spans="1:17" s="145" customFormat="1" x14ac:dyDescent="0.35">
      <c r="A87" s="232" t="s">
        <v>1530</v>
      </c>
      <c r="B87" s="411">
        <v>1.0976944271884803</v>
      </c>
      <c r="C87" s="145">
        <v>14.080792654266471</v>
      </c>
      <c r="D87" s="145">
        <v>3.2301883088858583</v>
      </c>
      <c r="E87" s="145">
        <v>0.88815162639137923</v>
      </c>
      <c r="F87" s="145">
        <v>9.0969850889805155</v>
      </c>
      <c r="G87" s="145">
        <v>3.5512981334082059</v>
      </c>
      <c r="H87" s="532">
        <v>19.296827016732191</v>
      </c>
      <c r="I87" s="532">
        <v>9.6484135083660955E-3</v>
      </c>
      <c r="J87" s="532">
        <v>31.945110239120911</v>
      </c>
      <c r="K87" s="532">
        <v>1.5972555119560455E-2</v>
      </c>
      <c r="L87" s="145">
        <v>9.5628135560387264</v>
      </c>
      <c r="M87" s="145">
        <v>14.082492857989486</v>
      </c>
      <c r="N87" s="145">
        <v>4.3069177451811447</v>
      </c>
      <c r="O87" s="145">
        <v>7.1062425498777708</v>
      </c>
      <c r="P87" s="146">
        <v>35.058466709087128</v>
      </c>
      <c r="Q87" s="146">
        <v>1.7529233354543563E-2</v>
      </c>
    </row>
    <row r="88" spans="1:17" s="48" customFormat="1" x14ac:dyDescent="0.35">
      <c r="A88" s="49" t="s">
        <v>1529</v>
      </c>
      <c r="B88" s="240">
        <v>200690.45509620226</v>
      </c>
      <c r="C88" s="48">
        <v>641039.01707534259</v>
      </c>
      <c r="D88" s="48">
        <v>209006.3268701575</v>
      </c>
      <c r="E88" s="48">
        <v>27564.42029657137</v>
      </c>
      <c r="F88" s="48">
        <v>288883.48245135328</v>
      </c>
      <c r="G88" s="48">
        <v>117648.67511493673</v>
      </c>
      <c r="H88" s="239">
        <v>1078300.2193382739</v>
      </c>
      <c r="I88" s="239">
        <v>539.1501096691369</v>
      </c>
      <c r="J88" s="239">
        <v>1484832.3769045637</v>
      </c>
      <c r="K88" s="239">
        <v>742.41618845228186</v>
      </c>
      <c r="L88" s="48">
        <v>524495.18287054007</v>
      </c>
      <c r="M88" s="48">
        <v>583142.56674822676</v>
      </c>
      <c r="N88" s="48">
        <v>278675.10249354335</v>
      </c>
      <c r="O88" s="48">
        <v>214699.49829756669</v>
      </c>
      <c r="P88" s="155">
        <v>1601012.350409877</v>
      </c>
      <c r="Q88" s="155">
        <v>800.50617520493847</v>
      </c>
    </row>
    <row r="89" spans="1:17" s="48" customFormat="1" x14ac:dyDescent="0.35">
      <c r="A89" s="49" t="s">
        <v>1528</v>
      </c>
      <c r="B89" s="240">
        <v>201004.41456016237</v>
      </c>
      <c r="C89" s="48">
        <v>641851.57425423944</v>
      </c>
      <c r="D89" s="48">
        <v>209175.80497412113</v>
      </c>
      <c r="E89" s="48">
        <v>27615.653782458263</v>
      </c>
      <c r="F89" s="48">
        <v>289407.23117691977</v>
      </c>
      <c r="G89" s="48">
        <v>117852.38169078344</v>
      </c>
      <c r="H89" s="239">
        <v>1079647.4475709812</v>
      </c>
      <c r="I89" s="239">
        <v>539.82372378549064</v>
      </c>
      <c r="J89" s="239">
        <v>1486907.0604386844</v>
      </c>
      <c r="K89" s="239">
        <v>743.45353021934216</v>
      </c>
      <c r="L89" s="48">
        <v>525201.01209404366</v>
      </c>
      <c r="M89" s="48">
        <v>583956.71886715875</v>
      </c>
      <c r="N89" s="48">
        <v>278901.07329882821</v>
      </c>
      <c r="O89" s="48">
        <v>215110.33198219698</v>
      </c>
      <c r="P89" s="155">
        <v>1603169.1362422276</v>
      </c>
      <c r="Q89" s="155">
        <v>801.58456812111376</v>
      </c>
    </row>
    <row r="90" spans="1:17" s="48" customFormat="1" x14ac:dyDescent="0.35">
      <c r="A90" s="45" t="s">
        <v>1527</v>
      </c>
      <c r="B90" s="389">
        <v>209402.50260060767</v>
      </c>
      <c r="C90" s="44">
        <v>689066.26340989594</v>
      </c>
      <c r="D90" s="44">
        <v>221999.2884030948</v>
      </c>
      <c r="E90" s="44">
        <v>30595.96182559213</v>
      </c>
      <c r="F90" s="44">
        <v>320052.88316491368</v>
      </c>
      <c r="G90" s="44">
        <v>129904.80822018198</v>
      </c>
      <c r="H90" s="435">
        <v>1151064.0162391907</v>
      </c>
      <c r="I90" s="435">
        <v>575.53200811959528</v>
      </c>
      <c r="J90" s="435">
        <v>1601021.7076242864</v>
      </c>
      <c r="K90" s="435">
        <v>800.51085381214307</v>
      </c>
      <c r="L90" s="44">
        <v>561471.31758152135</v>
      </c>
      <c r="M90" s="44">
        <v>631000.92355268134</v>
      </c>
      <c r="N90" s="44">
        <v>295999.05120412644</v>
      </c>
      <c r="O90" s="44">
        <v>238849.56142350682</v>
      </c>
      <c r="P90" s="152">
        <v>1727320.8537618357</v>
      </c>
      <c r="Q90" s="152">
        <v>863.66042688091795</v>
      </c>
    </row>
    <row r="91" spans="1:17" s="145" customFormat="1" ht="13.15" x14ac:dyDescent="0.4">
      <c r="A91" s="388" t="s">
        <v>1562</v>
      </c>
      <c r="B91" s="232"/>
      <c r="H91" s="146" t="s">
        <v>1873</v>
      </c>
      <c r="I91" s="146" t="s">
        <v>1872</v>
      </c>
      <c r="J91" s="146" t="s">
        <v>1873</v>
      </c>
      <c r="K91" s="146" t="s">
        <v>1872</v>
      </c>
      <c r="P91" s="146" t="s">
        <v>1873</v>
      </c>
      <c r="Q91" s="146" t="s">
        <v>1872</v>
      </c>
    </row>
    <row r="92" spans="1:17" s="145" customFormat="1" x14ac:dyDescent="0.35">
      <c r="A92" s="232" t="s">
        <v>1525</v>
      </c>
      <c r="B92" s="232">
        <v>0.93435453622356712</v>
      </c>
      <c r="C92" s="145">
        <v>3.9590463380798786</v>
      </c>
      <c r="D92" s="145">
        <v>1.6078832730342256</v>
      </c>
      <c r="E92" s="145">
        <v>0.25049900676709691</v>
      </c>
      <c r="F92" s="145">
        <v>2.6077428180955993</v>
      </c>
      <c r="G92" s="145">
        <v>1.049243299033952</v>
      </c>
      <c r="H92" s="146">
        <v>6.7517831541047677</v>
      </c>
      <c r="I92" s="146">
        <v>3.375891577052384E-3</v>
      </c>
      <c r="J92" s="146">
        <v>10.408769271234318</v>
      </c>
      <c r="K92" s="146">
        <v>5.204384635617159E-3</v>
      </c>
      <c r="L92" s="145">
        <v>5.1596821176636656</v>
      </c>
      <c r="M92" s="145">
        <v>3.897649443282563</v>
      </c>
      <c r="N92" s="145">
        <v>2.1438443640456342</v>
      </c>
      <c r="O92" s="145">
        <v>1.9668138729179703</v>
      </c>
      <c r="P92" s="146">
        <v>13.167989797909833</v>
      </c>
      <c r="Q92" s="146">
        <v>6.5839948989549167E-3</v>
      </c>
    </row>
    <row r="93" spans="1:17" s="145" customFormat="1" x14ac:dyDescent="0.35">
      <c r="A93" s="232" t="s">
        <v>1524</v>
      </c>
      <c r="B93" s="232">
        <v>3.7422796668178271</v>
      </c>
      <c r="C93" s="145">
        <v>19.475611235224488</v>
      </c>
      <c r="D93" s="145">
        <v>12.583704560021818</v>
      </c>
      <c r="E93" s="145">
        <v>1.2374864655615885</v>
      </c>
      <c r="F93" s="145">
        <v>13.162050587016537</v>
      </c>
      <c r="G93" s="145">
        <v>5.5004607241241139</v>
      </c>
      <c r="H93" s="146">
        <v>37.039081927625716</v>
      </c>
      <c r="I93" s="146">
        <v>1.8519540963812857E-2</v>
      </c>
      <c r="J93" s="146">
        <v>55.701593238766364</v>
      </c>
      <c r="K93" s="146">
        <v>2.7850796619383181E-2</v>
      </c>
      <c r="L93" s="145">
        <v>28.37354089936111</v>
      </c>
      <c r="M93" s="145">
        <v>18.760228068050267</v>
      </c>
      <c r="N93" s="145">
        <v>16.778272746695759</v>
      </c>
      <c r="O93" s="145">
        <v>9.4666997020315176</v>
      </c>
      <c r="P93" s="146">
        <v>73.378741416138652</v>
      </c>
      <c r="Q93" s="146">
        <v>3.6689370708069324E-2</v>
      </c>
    </row>
    <row r="94" spans="1:17" s="145" customFormat="1" x14ac:dyDescent="0.35">
      <c r="A94" s="232" t="s">
        <v>1523</v>
      </c>
      <c r="B94" s="232">
        <v>9.9237759239820829</v>
      </c>
      <c r="C94" s="145">
        <v>24.850997414303677</v>
      </c>
      <c r="D94" s="145">
        <v>32.956717683596565</v>
      </c>
      <c r="E94" s="145">
        <v>1.5978944320741788</v>
      </c>
      <c r="F94" s="145">
        <v>18.001986997615148</v>
      </c>
      <c r="G94" s="145">
        <v>8.2441464953239336</v>
      </c>
      <c r="H94" s="146">
        <v>69.329385453956519</v>
      </c>
      <c r="I94" s="146">
        <v>3.4664692726978259E-2</v>
      </c>
      <c r="J94" s="146">
        <v>95.575518946895599</v>
      </c>
      <c r="K94" s="146">
        <v>4.7787759473447801E-2</v>
      </c>
      <c r="L94" s="145">
        <v>69.134381101416622</v>
      </c>
      <c r="M94" s="145">
        <v>22.443620967746909</v>
      </c>
      <c r="N94" s="145">
        <v>43.942290244795416</v>
      </c>
      <c r="O94" s="145">
        <v>11.325396426801516</v>
      </c>
      <c r="P94" s="146">
        <v>146.84568874076047</v>
      </c>
      <c r="Q94" s="146">
        <v>7.3422844370380227E-2</v>
      </c>
    </row>
    <row r="95" spans="1:17" s="145" customFormat="1" x14ac:dyDescent="0.35">
      <c r="A95" s="232" t="s">
        <v>1522</v>
      </c>
      <c r="B95" s="232">
        <v>1.1809571486386869</v>
      </c>
      <c r="C95" s="145">
        <v>0.45216390472416806</v>
      </c>
      <c r="D95" s="145">
        <v>4.0615269973726953</v>
      </c>
      <c r="E95" s="145">
        <v>3.2935922549830202E-2</v>
      </c>
      <c r="F95" s="145">
        <v>0.57482326619359758</v>
      </c>
      <c r="G95" s="145">
        <v>0.40104738771566389</v>
      </c>
      <c r="H95" s="146">
        <v>5.7275839732853804</v>
      </c>
      <c r="I95" s="146">
        <v>2.8637919866426904E-3</v>
      </c>
      <c r="J95" s="146">
        <v>6.7034546271946418</v>
      </c>
      <c r="K95" s="146">
        <v>3.3517273135973209E-3</v>
      </c>
      <c r="L95" s="145">
        <v>7.7942232807841743</v>
      </c>
      <c r="M95" s="145">
        <v>0.10220907988285802</v>
      </c>
      <c r="N95" s="145">
        <v>5.4153693298302601</v>
      </c>
      <c r="O95" s="145">
        <v>5.1576274156272965E-2</v>
      </c>
      <c r="P95" s="146">
        <v>13.363377964653566</v>
      </c>
      <c r="Q95" s="146">
        <v>6.6816889823267831E-3</v>
      </c>
    </row>
    <row r="96" spans="1:17" s="145" customFormat="1" x14ac:dyDescent="0.35">
      <c r="A96" s="232" t="s">
        <v>1521</v>
      </c>
      <c r="B96" s="232">
        <v>0.87973291477042392</v>
      </c>
      <c r="C96" s="145">
        <v>0.34598592333913714</v>
      </c>
      <c r="D96" s="145">
        <v>2.9895962137299668</v>
      </c>
      <c r="E96" s="145">
        <v>2.5069982863782852E-2</v>
      </c>
      <c r="F96" s="145">
        <v>0.43139965710524575</v>
      </c>
      <c r="G96" s="145">
        <v>0.2983015103440666</v>
      </c>
      <c r="H96" s="146">
        <v>4.2403850347033103</v>
      </c>
      <c r="I96" s="146">
        <v>2.1201925173516553E-3</v>
      </c>
      <c r="J96" s="146">
        <v>4.9700862021526229</v>
      </c>
      <c r="K96" s="146">
        <v>2.4850431010763115E-3</v>
      </c>
      <c r="L96" s="145">
        <v>5.7852993118791396</v>
      </c>
      <c r="M96" s="145">
        <v>8.8660800832523562E-2</v>
      </c>
      <c r="N96" s="145">
        <v>3.9861282849732893</v>
      </c>
      <c r="O96" s="145">
        <v>4.4739604112411888E-2</v>
      </c>
      <c r="P96" s="146">
        <v>9.9048280017973642</v>
      </c>
      <c r="Q96" s="146">
        <v>4.9524140008986818E-3</v>
      </c>
    </row>
    <row r="97" spans="1:17" s="145" customFormat="1" x14ac:dyDescent="0.35">
      <c r="A97" s="232" t="s">
        <v>1520</v>
      </c>
      <c r="B97" s="232">
        <v>36.144796346400597</v>
      </c>
      <c r="C97" s="145">
        <v>13.632435970921293</v>
      </c>
      <c r="D97" s="145">
        <v>136.2469336453658</v>
      </c>
      <c r="E97" s="145">
        <v>1.0083857331078385</v>
      </c>
      <c r="F97" s="145">
        <v>18.31586428383152</v>
      </c>
      <c r="G97" s="145">
        <v>13.091653631587715</v>
      </c>
      <c r="H97" s="146">
        <v>187.03255169579552</v>
      </c>
      <c r="I97" s="146">
        <v>9.3516275847897762E-2</v>
      </c>
      <c r="J97" s="146">
        <v>218.44006961121477</v>
      </c>
      <c r="K97" s="146">
        <v>0.10922003480560738</v>
      </c>
      <c r="L97" s="145">
        <v>249.53803895127385</v>
      </c>
      <c r="M97" s="145">
        <v>1.8616003962478722</v>
      </c>
      <c r="N97" s="145">
        <v>181.66257819382105</v>
      </c>
      <c r="O97" s="145">
        <v>0.93939219995277246</v>
      </c>
      <c r="P97" s="146">
        <v>434.00160974129551</v>
      </c>
      <c r="Q97" s="146">
        <v>0.21700080487064777</v>
      </c>
    </row>
    <row r="98" spans="1:17" s="145" customFormat="1" x14ac:dyDescent="0.35">
      <c r="A98" s="232" t="s">
        <v>1519</v>
      </c>
      <c r="B98" s="232">
        <v>5.814595219301899E-2</v>
      </c>
      <c r="C98" s="145">
        <v>3.1967104413931587E-2</v>
      </c>
      <c r="D98" s="145">
        <v>0.1781091729659956</v>
      </c>
      <c r="E98" s="145">
        <v>2.2068632692031197E-3</v>
      </c>
      <c r="F98" s="145">
        <v>3.2850820958211568E-2</v>
      </c>
      <c r="G98" s="145">
        <v>2.0446530745521389E-2</v>
      </c>
      <c r="H98" s="146">
        <v>0.27042909284214928</v>
      </c>
      <c r="I98" s="146">
        <v>1.3521454642107463E-4</v>
      </c>
      <c r="J98" s="146">
        <v>0.32372644454588223</v>
      </c>
      <c r="K98" s="146">
        <v>1.6186322227294112E-4</v>
      </c>
      <c r="L98" s="145">
        <v>0.37308427726224058</v>
      </c>
      <c r="M98" s="145">
        <v>1.6868342949195873E-2</v>
      </c>
      <c r="N98" s="145">
        <v>0.23747889728799415</v>
      </c>
      <c r="O98" s="145">
        <v>8.5120253651326857E-3</v>
      </c>
      <c r="P98" s="146">
        <v>0.63594354286456334</v>
      </c>
      <c r="Q98" s="146">
        <v>3.1797177143228167E-4</v>
      </c>
    </row>
    <row r="99" spans="1:17" s="145" customFormat="1" x14ac:dyDescent="0.35">
      <c r="A99" s="231" t="s">
        <v>1518</v>
      </c>
      <c r="B99" s="231">
        <v>0.15024244787726435</v>
      </c>
      <c r="C99" s="142">
        <v>6.6265300320389728E-2</v>
      </c>
      <c r="D99" s="142">
        <v>0.4582643687787914</v>
      </c>
      <c r="E99" s="142">
        <v>4.6740117253262839E-3</v>
      </c>
      <c r="F99" s="142">
        <v>7.4458462696928324E-2</v>
      </c>
      <c r="G99" s="142">
        <v>4.8842275836524285E-2</v>
      </c>
      <c r="H99" s="143">
        <v>0.67944612870177179</v>
      </c>
      <c r="I99" s="143">
        <v>3.3972306435088589E-4</v>
      </c>
      <c r="J99" s="143">
        <v>0.80274686723522448</v>
      </c>
      <c r="K99" s="143">
        <v>4.0137343361761226E-4</v>
      </c>
      <c r="L99" s="142">
        <v>0.94336753753803182</v>
      </c>
      <c r="M99" s="142">
        <v>2.7090872475742621E-2</v>
      </c>
      <c r="N99" s="142">
        <v>0.61101915837172183</v>
      </c>
      <c r="O99" s="142">
        <v>1.3670471033913199E-2</v>
      </c>
      <c r="P99" s="143">
        <v>1.5951480394194095</v>
      </c>
      <c r="Q99" s="143">
        <v>7.9757401970970479E-4</v>
      </c>
    </row>
  </sheetData>
  <mergeCells count="19">
    <mergeCell ref="X17:Y17"/>
    <mergeCell ref="B68:K68"/>
    <mergeCell ref="L68:Q68"/>
    <mergeCell ref="B16:C17"/>
    <mergeCell ref="D16:O16"/>
    <mergeCell ref="P16:Q17"/>
    <mergeCell ref="R16:Y16"/>
    <mergeCell ref="D17:E17"/>
    <mergeCell ref="F17:G17"/>
    <mergeCell ref="H17:I17"/>
    <mergeCell ref="V17:W17"/>
    <mergeCell ref="H69:I69"/>
    <mergeCell ref="J69:K69"/>
    <mergeCell ref="P69:Q69"/>
    <mergeCell ref="R17:S17"/>
    <mergeCell ref="T17:U17"/>
    <mergeCell ref="J17:K17"/>
    <mergeCell ref="L17:M17"/>
    <mergeCell ref="N17:O17"/>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G126"/>
  <sheetViews>
    <sheetView showGridLines="0" zoomScale="85" zoomScaleNormal="85" workbookViewId="0">
      <selection activeCell="G1" sqref="G1"/>
    </sheetView>
  </sheetViews>
  <sheetFormatPr defaultColWidth="9.1328125" defaultRowHeight="12.75" x14ac:dyDescent="0.35"/>
  <cols>
    <col min="1" max="1" width="49" style="39" customWidth="1"/>
    <col min="2" max="20" width="10.46484375" style="39" customWidth="1"/>
    <col min="21" max="21" width="11.46484375" style="39" bestFit="1" customWidth="1"/>
    <col min="22" max="22" width="12.796875" style="39" bestFit="1" customWidth="1"/>
    <col min="23" max="23" width="10.46484375" style="39" customWidth="1"/>
    <col min="24" max="24" width="12" style="39" customWidth="1"/>
    <col min="25" max="67" width="10.46484375" style="39" customWidth="1"/>
    <col min="68" max="68" width="15.46484375" style="39" customWidth="1"/>
    <col min="69" max="69" width="15" style="39" customWidth="1"/>
    <col min="70" max="70" width="15.46484375" style="39" customWidth="1"/>
    <col min="71" max="71" width="15" style="39" customWidth="1"/>
    <col min="72" max="72" width="10.19921875" style="39" bestFit="1" customWidth="1"/>
    <col min="73" max="73" width="9.1328125" style="39"/>
    <col min="74" max="74" width="10.19921875" style="39" bestFit="1" customWidth="1"/>
    <col min="75" max="75" width="9.1328125" style="39"/>
    <col min="76" max="76" width="10.19921875" style="39" bestFit="1" customWidth="1"/>
    <col min="77" max="77" width="9.1328125" style="39"/>
    <col min="78" max="78" width="10.19921875" style="39" bestFit="1" customWidth="1"/>
    <col min="79" max="16384" width="9.1328125" style="39"/>
  </cols>
  <sheetData>
    <row r="1" spans="1:17" ht="15" x14ac:dyDescent="0.4">
      <c r="A1" s="140" t="s">
        <v>2134</v>
      </c>
      <c r="G1" s="230" t="s">
        <v>1626</v>
      </c>
    </row>
    <row r="2" spans="1:17" ht="13.15" x14ac:dyDescent="0.4">
      <c r="A2" s="41"/>
    </row>
    <row r="3" spans="1:17" ht="13.9" x14ac:dyDescent="0.4">
      <c r="A3" s="72" t="s">
        <v>2133</v>
      </c>
    </row>
    <row r="4" spans="1:17" ht="13.15" x14ac:dyDescent="0.4">
      <c r="A4" s="41" t="s">
        <v>2132</v>
      </c>
    </row>
    <row r="5" spans="1:17" ht="38.25" x14ac:dyDescent="0.35">
      <c r="A5" s="87" t="s">
        <v>1377</v>
      </c>
      <c r="B5" s="103" t="s">
        <v>1376</v>
      </c>
      <c r="C5" s="103" t="s">
        <v>1254</v>
      </c>
      <c r="D5" s="103" t="s">
        <v>1394</v>
      </c>
      <c r="E5" s="103" t="s">
        <v>1393</v>
      </c>
      <c r="F5" s="103" t="s">
        <v>1392</v>
      </c>
      <c r="G5" s="103" t="s">
        <v>1374</v>
      </c>
      <c r="H5" s="103" t="s">
        <v>1373</v>
      </c>
      <c r="I5" s="103" t="s">
        <v>1248</v>
      </c>
      <c r="J5" s="103" t="s">
        <v>1247</v>
      </c>
      <c r="K5" s="103" t="s">
        <v>1372</v>
      </c>
      <c r="L5" s="103" t="s">
        <v>1371</v>
      </c>
      <c r="M5" s="103" t="s">
        <v>1370</v>
      </c>
      <c r="N5" s="103" t="s">
        <v>1391</v>
      </c>
      <c r="O5" s="103" t="s">
        <v>1390</v>
      </c>
      <c r="P5" s="86" t="s">
        <v>1369</v>
      </c>
      <c r="Q5" s="552"/>
    </row>
    <row r="6" spans="1:17" x14ac:dyDescent="0.35">
      <c r="A6" s="500">
        <v>7.5999999999999998E-2</v>
      </c>
      <c r="B6" s="423">
        <v>7.0999999999999994E-2</v>
      </c>
      <c r="C6" s="423">
        <v>0.107</v>
      </c>
      <c r="D6" s="423">
        <v>7.0000000000000001E-3</v>
      </c>
      <c r="E6" s="423">
        <v>7.0000000000000001E-3</v>
      </c>
      <c r="F6" s="423">
        <v>1.4E-2</v>
      </c>
      <c r="G6" s="423">
        <v>1.4E-2</v>
      </c>
      <c r="H6" s="423">
        <v>1.4E-2</v>
      </c>
      <c r="I6" s="423">
        <v>1.0999999999999999E-2</v>
      </c>
      <c r="J6" s="423">
        <v>7.0000000000000007E-2</v>
      </c>
      <c r="K6" s="423">
        <v>3.5000000000000003E-2</v>
      </c>
      <c r="L6" s="423">
        <v>1.7000000000000001E-2</v>
      </c>
      <c r="M6" s="423">
        <v>0.18099999999999999</v>
      </c>
      <c r="N6" s="423">
        <v>0.122</v>
      </c>
      <c r="O6" s="423">
        <v>0.11600000000000001</v>
      </c>
      <c r="P6" s="422">
        <v>0.1379999999999999</v>
      </c>
      <c r="Q6" s="420"/>
    </row>
    <row r="7" spans="1:17" ht="13.15" x14ac:dyDescent="0.4">
      <c r="A7" s="41"/>
    </row>
    <row r="8" spans="1:17" ht="13.15" x14ac:dyDescent="0.4">
      <c r="A8" s="41" t="s">
        <v>2131</v>
      </c>
    </row>
    <row r="9" spans="1:17" ht="13.15" x14ac:dyDescent="0.4">
      <c r="A9" s="131"/>
      <c r="B9" s="550" t="s">
        <v>1254</v>
      </c>
      <c r="C9" s="550" t="s">
        <v>1388</v>
      </c>
      <c r="D9" s="417" t="s">
        <v>1240</v>
      </c>
    </row>
    <row r="10" spans="1:17" x14ac:dyDescent="0.35">
      <c r="A10" s="59" t="s">
        <v>1387</v>
      </c>
      <c r="B10" s="39">
        <v>0.3</v>
      </c>
      <c r="C10" s="39">
        <v>0.3</v>
      </c>
      <c r="D10" s="99">
        <v>0.39999999999999997</v>
      </c>
    </row>
    <row r="11" spans="1:17" x14ac:dyDescent="0.35">
      <c r="A11" s="59" t="s">
        <v>1386</v>
      </c>
      <c r="B11" s="39">
        <v>0.4</v>
      </c>
      <c r="C11" s="39">
        <v>0.6</v>
      </c>
      <c r="D11" s="99">
        <v>0</v>
      </c>
    </row>
    <row r="12" spans="1:17" x14ac:dyDescent="0.35">
      <c r="A12" s="59" t="s">
        <v>1385</v>
      </c>
      <c r="B12" s="39">
        <v>0.5</v>
      </c>
      <c r="C12" s="39">
        <v>0.5</v>
      </c>
      <c r="D12" s="99">
        <v>0</v>
      </c>
    </row>
    <row r="13" spans="1:17" x14ac:dyDescent="0.35">
      <c r="A13" s="551"/>
      <c r="B13" s="550" t="s">
        <v>1254</v>
      </c>
      <c r="C13" s="550" t="s">
        <v>330</v>
      </c>
      <c r="D13" s="60"/>
    </row>
    <row r="14" spans="1:17" x14ac:dyDescent="0.35">
      <c r="A14" s="413" t="s">
        <v>1384</v>
      </c>
      <c r="B14" s="197">
        <v>0.7</v>
      </c>
      <c r="C14" s="197">
        <v>0.30000000000000004</v>
      </c>
      <c r="D14" s="99"/>
    </row>
    <row r="15" spans="1:17" x14ac:dyDescent="0.35">
      <c r="A15" s="412" t="s">
        <v>1383</v>
      </c>
      <c r="B15" s="194">
        <v>0.3</v>
      </c>
      <c r="C15" s="194">
        <v>0.7</v>
      </c>
      <c r="D15" s="100"/>
    </row>
    <row r="16" spans="1:17" ht="13.15" x14ac:dyDescent="0.4">
      <c r="A16" s="41"/>
    </row>
    <row r="17" spans="1:16" ht="13.15" x14ac:dyDescent="0.4">
      <c r="A17" s="549" t="s">
        <v>2130</v>
      </c>
      <c r="B17" s="548"/>
    </row>
    <row r="18" spans="1:16" ht="51" x14ac:dyDescent="0.35">
      <c r="A18" s="91"/>
      <c r="B18" s="103" t="s">
        <v>1368</v>
      </c>
      <c r="C18" s="103" t="s">
        <v>1367</v>
      </c>
      <c r="D18" s="103" t="s">
        <v>1366</v>
      </c>
      <c r="E18" s="103" t="s">
        <v>1234</v>
      </c>
      <c r="F18" s="103" t="s">
        <v>1226</v>
      </c>
      <c r="G18" s="103" t="s">
        <v>1233</v>
      </c>
      <c r="H18" s="103" t="s">
        <v>1232</v>
      </c>
      <c r="I18" s="103" t="s">
        <v>1231</v>
      </c>
      <c r="J18" s="103" t="s">
        <v>1230</v>
      </c>
      <c r="K18" s="103" t="s">
        <v>1225</v>
      </c>
      <c r="L18" s="86" t="s">
        <v>1229</v>
      </c>
      <c r="N18" s="216"/>
    </row>
    <row r="19" spans="1:16" x14ac:dyDescent="0.35">
      <c r="A19" s="57"/>
      <c r="B19" s="546">
        <v>1.1399999999999999</v>
      </c>
      <c r="C19" s="546">
        <v>1.1399999999999999</v>
      </c>
      <c r="D19" s="547">
        <v>1.0003</v>
      </c>
      <c r="E19" s="546">
        <v>1.1554</v>
      </c>
      <c r="F19" s="546">
        <v>1</v>
      </c>
      <c r="G19" s="546">
        <v>0.94589999999999996</v>
      </c>
      <c r="H19" s="546">
        <v>1.0024</v>
      </c>
      <c r="I19" s="546">
        <v>1.0018</v>
      </c>
      <c r="J19" s="546">
        <v>1.0056</v>
      </c>
      <c r="K19" s="546">
        <v>1.0306999999999999</v>
      </c>
      <c r="L19" s="545">
        <v>1.1393</v>
      </c>
      <c r="N19" s="483"/>
      <c r="O19" s="543"/>
    </row>
    <row r="20" spans="1:16" x14ac:dyDescent="0.35">
      <c r="B20" s="483"/>
      <c r="C20" s="543"/>
      <c r="D20" s="543"/>
      <c r="E20" s="543"/>
      <c r="F20" s="543"/>
      <c r="G20" s="543"/>
      <c r="H20" s="543"/>
      <c r="I20" s="543"/>
      <c r="J20" s="543"/>
      <c r="K20" s="543"/>
      <c r="L20" s="543"/>
      <c r="N20" s="483"/>
      <c r="O20" s="543"/>
    </row>
    <row r="21" spans="1:16" ht="13.15" x14ac:dyDescent="0.4">
      <c r="A21" s="41" t="s">
        <v>2129</v>
      </c>
      <c r="B21" s="483"/>
      <c r="C21" s="483"/>
      <c r="D21" s="544"/>
      <c r="E21" s="483"/>
      <c r="F21" s="483"/>
      <c r="G21" s="483"/>
      <c r="H21" s="483"/>
      <c r="I21" s="483"/>
      <c r="J21" s="483"/>
      <c r="K21" s="483"/>
      <c r="L21" s="483"/>
      <c r="N21" s="483"/>
      <c r="O21" s="543"/>
    </row>
    <row r="22" spans="1:16" ht="51" x14ac:dyDescent="0.35">
      <c r="A22" s="104" t="s">
        <v>1380</v>
      </c>
      <c r="B22" s="87" t="s">
        <v>1368</v>
      </c>
      <c r="C22" s="103" t="s">
        <v>1367</v>
      </c>
      <c r="D22" s="103" t="s">
        <v>1366</v>
      </c>
      <c r="E22" s="103" t="s">
        <v>1234</v>
      </c>
      <c r="F22" s="103" t="s">
        <v>1226</v>
      </c>
      <c r="G22" s="103" t="s">
        <v>1233</v>
      </c>
      <c r="H22" s="103" t="s">
        <v>1232</v>
      </c>
      <c r="I22" s="103" t="s">
        <v>1231</v>
      </c>
      <c r="J22" s="103" t="s">
        <v>1230</v>
      </c>
      <c r="K22" s="103" t="s">
        <v>1225</v>
      </c>
      <c r="L22" s="86" t="s">
        <v>1229</v>
      </c>
      <c r="N22" s="483"/>
      <c r="O22" s="543"/>
    </row>
    <row r="23" spans="1:16" x14ac:dyDescent="0.35">
      <c r="A23" s="110" t="s">
        <v>1379</v>
      </c>
      <c r="B23" s="413">
        <v>1</v>
      </c>
      <c r="C23" s="197">
        <v>0</v>
      </c>
      <c r="D23" s="197">
        <v>0</v>
      </c>
      <c r="E23" s="197">
        <v>0</v>
      </c>
      <c r="F23" s="197">
        <v>0</v>
      </c>
      <c r="G23" s="197">
        <v>0</v>
      </c>
      <c r="H23" s="197">
        <v>0</v>
      </c>
      <c r="I23" s="197">
        <v>0</v>
      </c>
      <c r="J23" s="197">
        <v>0</v>
      </c>
      <c r="K23" s="197">
        <v>0</v>
      </c>
      <c r="L23" s="196">
        <v>0</v>
      </c>
      <c r="N23" s="543"/>
      <c r="O23" s="543"/>
      <c r="P23" s="543"/>
    </row>
    <row r="24" spans="1:16" x14ac:dyDescent="0.35">
      <c r="A24" s="110" t="s">
        <v>1378</v>
      </c>
      <c r="B24" s="413">
        <v>0</v>
      </c>
      <c r="C24" s="197">
        <v>1</v>
      </c>
      <c r="D24" s="197">
        <v>0</v>
      </c>
      <c r="E24" s="197">
        <v>0</v>
      </c>
      <c r="F24" s="197">
        <v>0</v>
      </c>
      <c r="G24" s="197">
        <v>0</v>
      </c>
      <c r="H24" s="197">
        <v>0</v>
      </c>
      <c r="I24" s="197">
        <v>0</v>
      </c>
      <c r="J24" s="197">
        <v>0</v>
      </c>
      <c r="K24" s="197">
        <v>0</v>
      </c>
      <c r="L24" s="196">
        <v>0</v>
      </c>
      <c r="N24" s="543"/>
      <c r="O24" s="543"/>
      <c r="P24" s="543"/>
    </row>
    <row r="25" spans="1:16" x14ac:dyDescent="0.35">
      <c r="A25" s="110" t="s">
        <v>1377</v>
      </c>
      <c r="B25" s="413">
        <v>0</v>
      </c>
      <c r="C25" s="197">
        <v>0</v>
      </c>
      <c r="D25" s="197">
        <v>0</v>
      </c>
      <c r="E25" s="197">
        <v>0</v>
      </c>
      <c r="F25" s="197">
        <v>0.23799999999999999</v>
      </c>
      <c r="G25" s="197">
        <v>0.17499999999999999</v>
      </c>
      <c r="H25" s="197">
        <v>0</v>
      </c>
      <c r="I25" s="197">
        <v>0</v>
      </c>
      <c r="J25" s="197">
        <v>0</v>
      </c>
      <c r="K25" s="197">
        <v>0</v>
      </c>
      <c r="L25" s="196">
        <v>0.58699999999999997</v>
      </c>
      <c r="N25" s="543"/>
      <c r="O25" s="543"/>
      <c r="P25" s="543"/>
    </row>
    <row r="26" spans="1:16" x14ac:dyDescent="0.35">
      <c r="A26" s="110" t="s">
        <v>1376</v>
      </c>
      <c r="B26" s="413">
        <v>0</v>
      </c>
      <c r="C26" s="197">
        <v>0</v>
      </c>
      <c r="D26" s="197">
        <v>0</v>
      </c>
      <c r="E26" s="197">
        <v>0</v>
      </c>
      <c r="F26" s="197">
        <v>0.31900000000000001</v>
      </c>
      <c r="G26" s="197">
        <v>0.27500000000000002</v>
      </c>
      <c r="H26" s="197">
        <v>0</v>
      </c>
      <c r="I26" s="197">
        <v>0</v>
      </c>
      <c r="J26" s="197">
        <v>0</v>
      </c>
      <c r="K26" s="197">
        <v>0</v>
      </c>
      <c r="L26" s="196">
        <v>0.40599999999999992</v>
      </c>
      <c r="N26" s="543"/>
      <c r="O26" s="543"/>
      <c r="P26" s="543"/>
    </row>
    <row r="27" spans="1:16" x14ac:dyDescent="0.35">
      <c r="A27" s="110" t="s">
        <v>1375</v>
      </c>
      <c r="B27" s="413">
        <v>0</v>
      </c>
      <c r="C27" s="197">
        <v>0</v>
      </c>
      <c r="D27" s="197">
        <v>0</v>
      </c>
      <c r="E27" s="197">
        <v>0</v>
      </c>
      <c r="F27" s="197">
        <v>0.24249999999999999</v>
      </c>
      <c r="G27" s="197">
        <v>9.2499999999999999E-2</v>
      </c>
      <c r="H27" s="197">
        <v>0</v>
      </c>
      <c r="I27" s="197">
        <v>0</v>
      </c>
      <c r="J27" s="197">
        <v>0.66500000000000004</v>
      </c>
      <c r="K27" s="197">
        <v>0</v>
      </c>
      <c r="L27" s="196">
        <v>0</v>
      </c>
      <c r="N27" s="543"/>
      <c r="O27" s="543"/>
      <c r="P27" s="543"/>
    </row>
    <row r="28" spans="1:16" x14ac:dyDescent="0.35">
      <c r="A28" s="110" t="s">
        <v>1374</v>
      </c>
      <c r="B28" s="413">
        <v>0</v>
      </c>
      <c r="C28" s="197">
        <v>0</v>
      </c>
      <c r="D28" s="197">
        <v>0</v>
      </c>
      <c r="E28" s="197">
        <v>0</v>
      </c>
      <c r="F28" s="197">
        <v>0.24249999999999999</v>
      </c>
      <c r="G28" s="197">
        <v>9.2499999999999999E-2</v>
      </c>
      <c r="H28" s="197">
        <v>0</v>
      </c>
      <c r="I28" s="197">
        <v>0</v>
      </c>
      <c r="J28" s="197">
        <v>0.66500000000000004</v>
      </c>
      <c r="K28" s="197">
        <v>0</v>
      </c>
      <c r="L28" s="196">
        <v>0</v>
      </c>
      <c r="N28" s="543"/>
      <c r="O28" s="543"/>
      <c r="P28" s="543"/>
    </row>
    <row r="29" spans="1:16" x14ac:dyDescent="0.35">
      <c r="A29" s="110" t="s">
        <v>1373</v>
      </c>
      <c r="B29" s="413">
        <v>0</v>
      </c>
      <c r="C29" s="197">
        <v>0</v>
      </c>
      <c r="D29" s="197">
        <v>0</v>
      </c>
      <c r="E29" s="197">
        <v>0</v>
      </c>
      <c r="F29" s="197">
        <v>0.24249999999999999</v>
      </c>
      <c r="G29" s="197">
        <v>9.2499999999999999E-2</v>
      </c>
      <c r="H29" s="197">
        <v>0</v>
      </c>
      <c r="I29" s="197">
        <v>0</v>
      </c>
      <c r="J29" s="197">
        <v>0.66500000000000004</v>
      </c>
      <c r="K29" s="197">
        <v>0</v>
      </c>
      <c r="L29" s="196">
        <v>0</v>
      </c>
      <c r="N29" s="543"/>
      <c r="O29" s="543"/>
      <c r="P29" s="543"/>
    </row>
    <row r="30" spans="1:16" x14ac:dyDescent="0.35">
      <c r="A30" s="110" t="s">
        <v>1248</v>
      </c>
      <c r="B30" s="413">
        <v>0</v>
      </c>
      <c r="C30" s="197">
        <v>0</v>
      </c>
      <c r="D30" s="197">
        <v>0.36399999999999999</v>
      </c>
      <c r="E30" s="197">
        <v>0</v>
      </c>
      <c r="F30" s="197">
        <v>0.45400000000000001</v>
      </c>
      <c r="G30" s="197">
        <v>0</v>
      </c>
      <c r="H30" s="197">
        <v>0</v>
      </c>
      <c r="I30" s="197">
        <v>0</v>
      </c>
      <c r="J30" s="197">
        <v>0</v>
      </c>
      <c r="K30" s="197">
        <v>0</v>
      </c>
      <c r="L30" s="196">
        <v>0.18199999999999994</v>
      </c>
      <c r="N30" s="543"/>
      <c r="O30" s="543"/>
      <c r="P30" s="543"/>
    </row>
    <row r="31" spans="1:16" x14ac:dyDescent="0.35">
      <c r="A31" s="110" t="s">
        <v>1247</v>
      </c>
      <c r="B31" s="413">
        <v>0</v>
      </c>
      <c r="C31" s="197">
        <v>0</v>
      </c>
      <c r="D31" s="197">
        <v>0</v>
      </c>
      <c r="E31" s="197">
        <v>0</v>
      </c>
      <c r="F31" s="197">
        <v>0.34300000000000003</v>
      </c>
      <c r="G31" s="197">
        <v>0.29899999999999999</v>
      </c>
      <c r="H31" s="197">
        <v>0</v>
      </c>
      <c r="I31" s="197">
        <v>0</v>
      </c>
      <c r="J31" s="197">
        <v>0</v>
      </c>
      <c r="K31" s="197">
        <v>0</v>
      </c>
      <c r="L31" s="196">
        <v>0.35799999999999998</v>
      </c>
      <c r="N31" s="543"/>
      <c r="O31" s="543"/>
      <c r="P31" s="543"/>
    </row>
    <row r="32" spans="1:16" x14ac:dyDescent="0.35">
      <c r="A32" s="110" t="s">
        <v>1372</v>
      </c>
      <c r="B32" s="413">
        <v>0</v>
      </c>
      <c r="C32" s="197">
        <v>0</v>
      </c>
      <c r="D32" s="197">
        <v>0</v>
      </c>
      <c r="E32" s="197">
        <v>0</v>
      </c>
      <c r="F32" s="197">
        <v>0.22</v>
      </c>
      <c r="G32" s="197">
        <v>0</v>
      </c>
      <c r="H32" s="197">
        <v>0</v>
      </c>
      <c r="I32" s="197">
        <v>0</v>
      </c>
      <c r="J32" s="197">
        <v>0</v>
      </c>
      <c r="K32" s="197">
        <v>0</v>
      </c>
      <c r="L32" s="196">
        <v>0.78</v>
      </c>
      <c r="N32" s="543"/>
      <c r="O32" s="543"/>
      <c r="P32" s="543"/>
    </row>
    <row r="33" spans="1:85" x14ac:dyDescent="0.35">
      <c r="A33" s="110" t="s">
        <v>1371</v>
      </c>
      <c r="B33" s="413">
        <v>0</v>
      </c>
      <c r="C33" s="197">
        <v>0</v>
      </c>
      <c r="D33" s="197">
        <v>0</v>
      </c>
      <c r="E33" s="197">
        <v>0</v>
      </c>
      <c r="F33" s="197">
        <v>0.5</v>
      </c>
      <c r="G33" s="197">
        <v>0</v>
      </c>
      <c r="H33" s="197">
        <v>0</v>
      </c>
      <c r="I33" s="197">
        <v>0</v>
      </c>
      <c r="J33" s="197">
        <v>0</v>
      </c>
      <c r="K33" s="197">
        <v>0</v>
      </c>
      <c r="L33" s="196">
        <v>0.5</v>
      </c>
      <c r="N33" s="543"/>
      <c r="O33" s="543"/>
      <c r="P33" s="543"/>
    </row>
    <row r="34" spans="1:85" x14ac:dyDescent="0.35">
      <c r="A34" s="110" t="s">
        <v>1370</v>
      </c>
      <c r="B34" s="413">
        <v>0</v>
      </c>
      <c r="C34" s="197">
        <v>0</v>
      </c>
      <c r="D34" s="197">
        <v>9.1999999999999998E-2</v>
      </c>
      <c r="E34" s="197">
        <v>0</v>
      </c>
      <c r="F34" s="197">
        <v>0.15329999999999999</v>
      </c>
      <c r="G34" s="197">
        <v>0</v>
      </c>
      <c r="H34" s="197">
        <v>0</v>
      </c>
      <c r="I34" s="197">
        <v>1.9E-2</v>
      </c>
      <c r="J34" s="197">
        <v>0</v>
      </c>
      <c r="K34" s="197">
        <v>0</v>
      </c>
      <c r="L34" s="196">
        <v>0.73570000000000002</v>
      </c>
      <c r="N34" s="543"/>
      <c r="O34" s="543"/>
      <c r="P34" s="543"/>
    </row>
    <row r="35" spans="1:85" x14ac:dyDescent="0.35">
      <c r="A35" s="108" t="s">
        <v>1369</v>
      </c>
      <c r="B35" s="412">
        <v>0</v>
      </c>
      <c r="C35" s="194">
        <v>0</v>
      </c>
      <c r="D35" s="194">
        <v>0</v>
      </c>
      <c r="E35" s="194">
        <v>0.18099999999999999</v>
      </c>
      <c r="F35" s="194">
        <v>1.4999999999999999E-2</v>
      </c>
      <c r="G35" s="194">
        <v>0</v>
      </c>
      <c r="H35" s="194">
        <v>0.51100000000000001</v>
      </c>
      <c r="I35" s="194">
        <v>0</v>
      </c>
      <c r="J35" s="194">
        <v>0</v>
      </c>
      <c r="K35" s="194">
        <v>0.29299999999999998</v>
      </c>
      <c r="L35" s="193">
        <v>0</v>
      </c>
      <c r="N35" s="543"/>
      <c r="O35" s="543"/>
      <c r="P35" s="543"/>
    </row>
    <row r="36" spans="1:85" x14ac:dyDescent="0.35">
      <c r="O36" s="197"/>
      <c r="P36" s="197"/>
    </row>
    <row r="37" spans="1:85" ht="13.9" x14ac:dyDescent="0.4">
      <c r="A37" s="72" t="s">
        <v>1734</v>
      </c>
      <c r="O37" s="197"/>
      <c r="P37" s="197"/>
    </row>
    <row r="38" spans="1:85" x14ac:dyDescent="0.35">
      <c r="A38" s="61" t="s">
        <v>1717</v>
      </c>
      <c r="B38" s="417">
        <v>1</v>
      </c>
      <c r="O38" s="197"/>
      <c r="P38" s="197"/>
    </row>
    <row r="39" spans="1:85" x14ac:dyDescent="0.35">
      <c r="A39" s="59" t="s">
        <v>1909</v>
      </c>
      <c r="B39" s="196">
        <v>1</v>
      </c>
      <c r="N39" s="197"/>
      <c r="O39" s="197"/>
    </row>
    <row r="40" spans="1:85" x14ac:dyDescent="0.35">
      <c r="A40" s="57" t="s">
        <v>1703</v>
      </c>
      <c r="B40" s="193">
        <v>1</v>
      </c>
    </row>
    <row r="42" spans="1:85" ht="13.9" x14ac:dyDescent="0.4">
      <c r="A42" s="72" t="s">
        <v>1701</v>
      </c>
    </row>
    <row r="43" spans="1:85" ht="40.5" customHeight="1" x14ac:dyDescent="0.4">
      <c r="A43" s="178"/>
      <c r="B43" s="2191" t="s">
        <v>2128</v>
      </c>
      <c r="C43" s="2192"/>
      <c r="D43" s="2191" t="s">
        <v>1255</v>
      </c>
      <c r="E43" s="2192"/>
      <c r="F43" s="2191" t="s">
        <v>1254</v>
      </c>
      <c r="G43" s="2192"/>
      <c r="H43" s="2191" t="s">
        <v>1253</v>
      </c>
      <c r="I43" s="2192"/>
      <c r="J43" s="2191" t="s">
        <v>1252</v>
      </c>
      <c r="K43" s="2192"/>
      <c r="L43" s="2191" t="s">
        <v>1251</v>
      </c>
      <c r="M43" s="2192"/>
      <c r="N43" s="2191" t="s">
        <v>1250</v>
      </c>
      <c r="O43" s="2192"/>
      <c r="P43" s="2191" t="s">
        <v>1249</v>
      </c>
      <c r="Q43" s="2192"/>
      <c r="R43" s="2191" t="s">
        <v>1248</v>
      </c>
      <c r="S43" s="2192"/>
      <c r="T43" s="2191" t="s">
        <v>1247</v>
      </c>
      <c r="U43" s="2192"/>
      <c r="V43" s="2191" t="s">
        <v>1246</v>
      </c>
      <c r="W43" s="2192"/>
      <c r="X43" s="2191" t="s">
        <v>1245</v>
      </c>
      <c r="Y43" s="2192"/>
      <c r="Z43" s="2191" t="s">
        <v>1244</v>
      </c>
      <c r="AA43" s="2192"/>
      <c r="AB43" s="2191" t="s">
        <v>1243</v>
      </c>
      <c r="AC43" s="2192"/>
      <c r="AD43" s="2191" t="s">
        <v>1242</v>
      </c>
      <c r="AE43" s="2192"/>
      <c r="AF43" s="2191" t="s">
        <v>1241</v>
      </c>
      <c r="AG43" s="2192"/>
      <c r="AH43" s="2191" t="s">
        <v>1240</v>
      </c>
      <c r="AI43" s="2192"/>
      <c r="AJ43" s="2191" t="s">
        <v>330</v>
      </c>
      <c r="AK43" s="2192"/>
      <c r="AL43" s="2191" t="s">
        <v>2127</v>
      </c>
      <c r="AM43" s="2192"/>
      <c r="AN43" s="2191" t="s">
        <v>2126</v>
      </c>
      <c r="AO43" s="2192"/>
      <c r="AP43" s="2191" t="s">
        <v>2125</v>
      </c>
      <c r="AQ43" s="2192"/>
      <c r="AR43" s="2191" t="s">
        <v>2124</v>
      </c>
      <c r="AS43" s="2192"/>
      <c r="AT43" s="2191" t="s">
        <v>1235</v>
      </c>
      <c r="AU43" s="2192"/>
      <c r="AV43" s="2191" t="s">
        <v>1234</v>
      </c>
      <c r="AW43" s="2192"/>
      <c r="AX43" s="2191" t="s">
        <v>1226</v>
      </c>
      <c r="AY43" s="2192"/>
      <c r="AZ43" s="2191" t="s">
        <v>1233</v>
      </c>
      <c r="BA43" s="2192"/>
      <c r="BB43" s="2191" t="s">
        <v>1232</v>
      </c>
      <c r="BC43" s="2192"/>
      <c r="BD43" s="2191" t="s">
        <v>1231</v>
      </c>
      <c r="BE43" s="2192"/>
      <c r="BF43" s="2191" t="s">
        <v>1230</v>
      </c>
      <c r="BG43" s="2192"/>
      <c r="BH43" s="2191" t="s">
        <v>1225</v>
      </c>
      <c r="BI43" s="2192"/>
      <c r="BJ43" s="2191" t="s">
        <v>1229</v>
      </c>
      <c r="BK43" s="2192"/>
    </row>
    <row r="44" spans="1:85" ht="73.5" customHeight="1" x14ac:dyDescent="0.4">
      <c r="A44" s="238"/>
      <c r="B44" s="416" t="s">
        <v>1674</v>
      </c>
      <c r="C44" s="415" t="s">
        <v>1673</v>
      </c>
      <c r="D44" s="416" t="s">
        <v>1674</v>
      </c>
      <c r="E44" s="415" t="s">
        <v>1673</v>
      </c>
      <c r="F44" s="416" t="s">
        <v>1674</v>
      </c>
      <c r="G44" s="415" t="s">
        <v>1673</v>
      </c>
      <c r="H44" s="416" t="s">
        <v>1674</v>
      </c>
      <c r="I44" s="415" t="s">
        <v>1673</v>
      </c>
      <c r="J44" s="416" t="s">
        <v>1674</v>
      </c>
      <c r="K44" s="415" t="s">
        <v>1673</v>
      </c>
      <c r="L44" s="416" t="s">
        <v>1674</v>
      </c>
      <c r="M44" s="415" t="s">
        <v>1673</v>
      </c>
      <c r="N44" s="416" t="s">
        <v>1674</v>
      </c>
      <c r="O44" s="415" t="s">
        <v>1673</v>
      </c>
      <c r="P44" s="416" t="s">
        <v>1674</v>
      </c>
      <c r="Q44" s="415" t="s">
        <v>1673</v>
      </c>
      <c r="R44" s="416" t="s">
        <v>1674</v>
      </c>
      <c r="S44" s="415" t="s">
        <v>1673</v>
      </c>
      <c r="T44" s="416" t="s">
        <v>1674</v>
      </c>
      <c r="U44" s="415" t="s">
        <v>1673</v>
      </c>
      <c r="V44" s="416" t="s">
        <v>1674</v>
      </c>
      <c r="W44" s="415" t="s">
        <v>1673</v>
      </c>
      <c r="X44" s="416" t="s">
        <v>1674</v>
      </c>
      <c r="Y44" s="415" t="s">
        <v>1673</v>
      </c>
      <c r="Z44" s="416" t="s">
        <v>1674</v>
      </c>
      <c r="AA44" s="415" t="s">
        <v>1673</v>
      </c>
      <c r="AB44" s="416" t="s">
        <v>1674</v>
      </c>
      <c r="AC44" s="415" t="s">
        <v>1673</v>
      </c>
      <c r="AD44" s="416" t="s">
        <v>1674</v>
      </c>
      <c r="AE44" s="415" t="s">
        <v>1673</v>
      </c>
      <c r="AF44" s="416" t="s">
        <v>1674</v>
      </c>
      <c r="AG44" s="415" t="s">
        <v>1673</v>
      </c>
      <c r="AH44" s="416" t="s">
        <v>1674</v>
      </c>
      <c r="AI44" s="415" t="s">
        <v>1673</v>
      </c>
      <c r="AJ44" s="416" t="s">
        <v>1674</v>
      </c>
      <c r="AK44" s="415" t="s">
        <v>1673</v>
      </c>
      <c r="AL44" s="416" t="s">
        <v>1674</v>
      </c>
      <c r="AM44" s="415" t="s">
        <v>1673</v>
      </c>
      <c r="AN44" s="416" t="s">
        <v>1674</v>
      </c>
      <c r="AO44" s="415" t="s">
        <v>1673</v>
      </c>
      <c r="AP44" s="416" t="s">
        <v>1674</v>
      </c>
      <c r="AQ44" s="415" t="s">
        <v>1673</v>
      </c>
      <c r="AR44" s="416" t="s">
        <v>1674</v>
      </c>
      <c r="AS44" s="415" t="s">
        <v>1673</v>
      </c>
      <c r="AT44" s="416" t="s">
        <v>1674</v>
      </c>
      <c r="AU44" s="415" t="s">
        <v>1673</v>
      </c>
      <c r="AV44" s="416" t="s">
        <v>1674</v>
      </c>
      <c r="AW44" s="415" t="s">
        <v>1673</v>
      </c>
      <c r="AX44" s="416" t="s">
        <v>1674</v>
      </c>
      <c r="AY44" s="415" t="s">
        <v>1673</v>
      </c>
      <c r="AZ44" s="416" t="s">
        <v>1674</v>
      </c>
      <c r="BA44" s="415" t="s">
        <v>1673</v>
      </c>
      <c r="BB44" s="416" t="s">
        <v>1674</v>
      </c>
      <c r="BC44" s="415" t="s">
        <v>1673</v>
      </c>
      <c r="BD44" s="416" t="s">
        <v>1674</v>
      </c>
      <c r="BE44" s="415" t="s">
        <v>1673</v>
      </c>
      <c r="BF44" s="416" t="s">
        <v>1674</v>
      </c>
      <c r="BG44" s="415" t="s">
        <v>1673</v>
      </c>
      <c r="BH44" s="416" t="s">
        <v>1674</v>
      </c>
      <c r="BI44" s="415" t="s">
        <v>1673</v>
      </c>
      <c r="BJ44" s="416" t="s">
        <v>1674</v>
      </c>
      <c r="BK44" s="415" t="s">
        <v>1673</v>
      </c>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row>
    <row r="45" spans="1:85" ht="26.25" x14ac:dyDescent="0.4">
      <c r="A45" s="541" t="s">
        <v>1940</v>
      </c>
      <c r="B45" s="277">
        <v>23.907</v>
      </c>
      <c r="C45" s="99"/>
      <c r="D45" s="277">
        <v>7.3830000000000009</v>
      </c>
      <c r="E45" s="99"/>
      <c r="F45" s="277">
        <v>58.664999999999999</v>
      </c>
      <c r="G45" s="99"/>
      <c r="H45" s="277">
        <v>22.730999999999998</v>
      </c>
      <c r="I45" s="99"/>
      <c r="J45" s="277">
        <v>22.436</v>
      </c>
      <c r="K45" s="99"/>
      <c r="L45" s="277">
        <v>11.152999999999999</v>
      </c>
      <c r="M45" s="99"/>
      <c r="N45" s="277">
        <v>14.551000000000002</v>
      </c>
      <c r="O45" s="99"/>
      <c r="P45" s="277">
        <v>10.785</v>
      </c>
      <c r="Q45" s="99"/>
      <c r="R45" s="277">
        <v>52.226999999999997</v>
      </c>
      <c r="S45" s="99"/>
      <c r="T45" s="277">
        <v>51.176000000000002</v>
      </c>
      <c r="U45" s="99"/>
      <c r="V45" s="277">
        <v>42.561999999999998</v>
      </c>
      <c r="W45" s="99"/>
      <c r="X45" s="277">
        <v>18.170000000000002</v>
      </c>
      <c r="Y45" s="99"/>
      <c r="Z45" s="277">
        <v>9.3180000000000014</v>
      </c>
      <c r="AA45" s="99"/>
      <c r="AB45" s="277">
        <v>27.152999999999999</v>
      </c>
      <c r="AC45" s="99"/>
      <c r="AD45" s="277">
        <v>24.370999999999999</v>
      </c>
      <c r="AE45" s="99"/>
      <c r="AF45" s="277">
        <v>18.348000000000003</v>
      </c>
      <c r="AG45" s="99"/>
      <c r="AH45" s="277">
        <v>0.64100000000000001</v>
      </c>
      <c r="AI45" s="99"/>
      <c r="AJ45" s="277">
        <v>398.512</v>
      </c>
      <c r="AK45" s="99"/>
      <c r="AL45" s="277">
        <v>3.01</v>
      </c>
      <c r="AM45" s="99"/>
      <c r="AN45" s="277">
        <v>3.698</v>
      </c>
      <c r="AO45" s="99"/>
      <c r="AP45" s="277">
        <v>11.007</v>
      </c>
      <c r="AQ45" s="99"/>
      <c r="AR45" s="277">
        <v>7.8860000000000001</v>
      </c>
      <c r="AS45" s="99"/>
      <c r="AT45" s="277">
        <v>5.3140000000000001</v>
      </c>
      <c r="AU45" s="99"/>
      <c r="AV45" s="277">
        <v>1.798</v>
      </c>
      <c r="AW45" s="99"/>
      <c r="AX45" s="277">
        <v>6.274</v>
      </c>
      <c r="AY45" s="99"/>
      <c r="AZ45" s="277">
        <v>1.6950000000000001</v>
      </c>
      <c r="BA45" s="99"/>
      <c r="BB45" s="277">
        <v>1.633</v>
      </c>
      <c r="BC45" s="99"/>
      <c r="BD45" s="277">
        <v>2.1680000000000001</v>
      </c>
      <c r="BE45" s="99"/>
      <c r="BF45" s="277">
        <v>6.1849999999999996</v>
      </c>
      <c r="BG45" s="99"/>
      <c r="BH45" s="277">
        <v>3.8029999999999999</v>
      </c>
      <c r="BI45" s="99"/>
      <c r="BJ45" s="277">
        <v>2.4740000000000002</v>
      </c>
      <c r="BK45" s="99"/>
    </row>
    <row r="46" spans="1:85" ht="13.15" x14ac:dyDescent="0.4">
      <c r="A46" s="238" t="s">
        <v>1671</v>
      </c>
      <c r="B46" s="413">
        <v>0</v>
      </c>
      <c r="C46" s="99"/>
      <c r="D46" s="413">
        <v>0</v>
      </c>
      <c r="E46" s="99"/>
      <c r="F46" s="413">
        <v>0</v>
      </c>
      <c r="G46" s="99"/>
      <c r="H46" s="413">
        <v>0</v>
      </c>
      <c r="I46" s="99"/>
      <c r="J46" s="413">
        <v>0</v>
      </c>
      <c r="K46" s="99"/>
      <c r="L46" s="413">
        <v>0</v>
      </c>
      <c r="M46" s="99"/>
      <c r="N46" s="413">
        <v>0</v>
      </c>
      <c r="O46" s="99"/>
      <c r="P46" s="413">
        <v>0</v>
      </c>
      <c r="Q46" s="99"/>
      <c r="R46" s="413">
        <v>0</v>
      </c>
      <c r="S46" s="99"/>
      <c r="T46" s="413">
        <v>0</v>
      </c>
      <c r="U46" s="99"/>
      <c r="V46" s="413">
        <v>0</v>
      </c>
      <c r="W46" s="99"/>
      <c r="X46" s="413">
        <v>0</v>
      </c>
      <c r="Y46" s="99"/>
      <c r="Z46" s="413">
        <v>0</v>
      </c>
      <c r="AA46" s="99"/>
      <c r="AB46" s="413">
        <v>0</v>
      </c>
      <c r="AC46" s="99"/>
      <c r="AD46" s="413">
        <v>0</v>
      </c>
      <c r="AE46" s="99"/>
      <c r="AF46" s="413">
        <v>0</v>
      </c>
      <c r="AG46" s="99"/>
      <c r="AH46" s="413">
        <v>0</v>
      </c>
      <c r="AI46" s="99"/>
      <c r="AJ46" s="413">
        <v>0</v>
      </c>
      <c r="AK46" s="99"/>
      <c r="AL46" s="413">
        <v>0</v>
      </c>
      <c r="AM46" s="99"/>
      <c r="AN46" s="413">
        <v>0</v>
      </c>
      <c r="AO46" s="99"/>
      <c r="AP46" s="413">
        <v>0</v>
      </c>
      <c r="AQ46" s="99"/>
      <c r="AR46" s="413">
        <v>0</v>
      </c>
      <c r="AS46" s="99"/>
      <c r="AT46" s="413">
        <v>0</v>
      </c>
      <c r="AU46" s="99"/>
      <c r="AV46" s="413">
        <v>0</v>
      </c>
      <c r="AW46" s="99"/>
      <c r="AX46" s="413">
        <v>0</v>
      </c>
      <c r="AY46" s="99"/>
      <c r="AZ46" s="413">
        <v>0</v>
      </c>
      <c r="BA46" s="99"/>
      <c r="BB46" s="413">
        <v>0</v>
      </c>
      <c r="BC46" s="99"/>
      <c r="BD46" s="413">
        <v>0</v>
      </c>
      <c r="BE46" s="99"/>
      <c r="BF46" s="413">
        <v>0</v>
      </c>
      <c r="BG46" s="99"/>
      <c r="BH46" s="413">
        <v>0</v>
      </c>
      <c r="BI46" s="99"/>
      <c r="BJ46" s="413">
        <v>0</v>
      </c>
      <c r="BK46" s="99"/>
    </row>
    <row r="47" spans="1:85" ht="13.15" x14ac:dyDescent="0.4">
      <c r="A47" s="178" t="s">
        <v>1670</v>
      </c>
      <c r="B47" s="61"/>
      <c r="C47" s="60"/>
      <c r="D47" s="61"/>
      <c r="E47" s="60"/>
      <c r="F47" s="61"/>
      <c r="G47" s="60"/>
      <c r="H47" s="61"/>
      <c r="I47" s="60"/>
      <c r="J47" s="61"/>
      <c r="K47" s="60"/>
      <c r="L47" s="61"/>
      <c r="M47" s="60"/>
      <c r="N47" s="61"/>
      <c r="O47" s="60"/>
      <c r="P47" s="61"/>
      <c r="Q47" s="60"/>
      <c r="R47" s="61"/>
      <c r="S47" s="60"/>
      <c r="T47" s="61"/>
      <c r="U47" s="60"/>
      <c r="V47" s="61"/>
      <c r="W47" s="60"/>
      <c r="X47" s="61"/>
      <c r="Y47" s="60"/>
      <c r="Z47" s="61"/>
      <c r="AA47" s="60"/>
      <c r="AB47" s="61"/>
      <c r="AC47" s="60"/>
      <c r="AD47" s="61"/>
      <c r="AE47" s="60"/>
      <c r="AF47" s="61"/>
      <c r="AG47" s="60"/>
      <c r="AH47" s="61"/>
      <c r="AI47" s="60"/>
      <c r="AJ47" s="61"/>
      <c r="AK47" s="60"/>
      <c r="AL47" s="61"/>
      <c r="AM47" s="60"/>
      <c r="AN47" s="61"/>
      <c r="AO47" s="60"/>
      <c r="AP47" s="61"/>
      <c r="AQ47" s="60"/>
      <c r="AR47" s="61"/>
      <c r="AS47" s="60"/>
      <c r="AT47" s="61"/>
      <c r="AU47" s="60"/>
      <c r="AV47" s="61"/>
      <c r="AW47" s="60"/>
      <c r="AX47" s="61"/>
      <c r="AY47" s="60"/>
      <c r="AZ47" s="61"/>
      <c r="BA47" s="60"/>
      <c r="BB47" s="61"/>
      <c r="BC47" s="60"/>
      <c r="BD47" s="61"/>
      <c r="BE47" s="60"/>
      <c r="BF47" s="61"/>
      <c r="BG47" s="60"/>
      <c r="BH47" s="61"/>
      <c r="BI47" s="60"/>
      <c r="BJ47" s="61"/>
      <c r="BK47" s="60"/>
    </row>
    <row r="48" spans="1:85" x14ac:dyDescent="0.35">
      <c r="A48" s="50" t="s">
        <v>1668</v>
      </c>
      <c r="B48" s="413">
        <v>5.0999999999999997E-2</v>
      </c>
      <c r="C48" s="196"/>
      <c r="D48" s="413">
        <v>0.04</v>
      </c>
      <c r="E48" s="196"/>
      <c r="F48" s="413">
        <v>0.16</v>
      </c>
      <c r="G48" s="196"/>
      <c r="H48" s="413">
        <v>6.9000000000000006E-2</v>
      </c>
      <c r="I48" s="196"/>
      <c r="J48" s="413">
        <v>7.1999999999999995E-2</v>
      </c>
      <c r="K48" s="196"/>
      <c r="L48" s="413">
        <v>3.7999999999999999E-2</v>
      </c>
      <c r="M48" s="196"/>
      <c r="N48" s="413">
        <v>1.9E-2</v>
      </c>
      <c r="O48" s="196"/>
      <c r="P48" s="413">
        <v>3.1E-2</v>
      </c>
      <c r="Q48" s="196"/>
      <c r="R48" s="413">
        <v>0.27</v>
      </c>
      <c r="S48" s="196"/>
      <c r="T48" s="413">
        <v>0.22500000000000001</v>
      </c>
      <c r="U48" s="196"/>
      <c r="V48" s="413">
        <v>0.2</v>
      </c>
      <c r="W48" s="196"/>
      <c r="X48" s="413">
        <v>0.14799999999999999</v>
      </c>
      <c r="Y48" s="196"/>
      <c r="Z48" s="413">
        <v>6.0999999999999999E-2</v>
      </c>
      <c r="AA48" s="196"/>
      <c r="AB48" s="413">
        <v>0.11700000000000001</v>
      </c>
      <c r="AC48" s="196"/>
      <c r="AD48" s="413">
        <v>0.14799999999999999</v>
      </c>
      <c r="AE48" s="196"/>
      <c r="AF48" s="413">
        <v>6.0000000000000001E-3</v>
      </c>
      <c r="AG48" s="196"/>
      <c r="AH48" s="413">
        <v>0.85</v>
      </c>
      <c r="AI48" s="196"/>
      <c r="AJ48" s="413">
        <v>9.9199999999999997E-2</v>
      </c>
      <c r="AK48" s="196"/>
      <c r="AL48" s="413">
        <v>0</v>
      </c>
      <c r="AM48" s="196"/>
      <c r="AN48" s="413">
        <v>0</v>
      </c>
      <c r="AO48" s="196"/>
      <c r="AP48" s="413">
        <v>0</v>
      </c>
      <c r="AQ48" s="196"/>
      <c r="AR48" s="413">
        <v>0.44</v>
      </c>
      <c r="AS48" s="196"/>
      <c r="AT48" s="413">
        <v>0</v>
      </c>
      <c r="AU48" s="196"/>
      <c r="AV48" s="413">
        <v>0</v>
      </c>
      <c r="AW48" s="196"/>
      <c r="AX48" s="413">
        <v>0</v>
      </c>
      <c r="AY48" s="196"/>
      <c r="AZ48" s="413">
        <v>0</v>
      </c>
      <c r="BA48" s="196"/>
      <c r="BB48" s="413">
        <v>0</v>
      </c>
      <c r="BC48" s="196"/>
      <c r="BD48" s="413">
        <v>0</v>
      </c>
      <c r="BE48" s="196"/>
      <c r="BF48" s="413">
        <v>0</v>
      </c>
      <c r="BG48" s="196"/>
      <c r="BH48" s="413">
        <v>0</v>
      </c>
      <c r="BI48" s="196"/>
      <c r="BJ48" s="413">
        <v>0</v>
      </c>
      <c r="BK48" s="196"/>
    </row>
    <row r="49" spans="1:63" x14ac:dyDescent="0.35">
      <c r="A49" s="50" t="s">
        <v>1667</v>
      </c>
      <c r="B49" s="413">
        <v>4.0000000000000001E-3</v>
      </c>
      <c r="C49" s="196"/>
      <c r="D49" s="413">
        <v>7.0000000000000001E-3</v>
      </c>
      <c r="E49" s="196"/>
      <c r="F49" s="413">
        <v>0</v>
      </c>
      <c r="G49" s="196"/>
      <c r="H49" s="413">
        <v>6.0000000000000001E-3</v>
      </c>
      <c r="I49" s="196"/>
      <c r="J49" s="413">
        <v>6.0000000000000001E-3</v>
      </c>
      <c r="K49" s="196"/>
      <c r="L49" s="413">
        <v>4.0000000000000001E-3</v>
      </c>
      <c r="M49" s="196"/>
      <c r="N49" s="413">
        <v>4.0000000000000001E-3</v>
      </c>
      <c r="O49" s="196"/>
      <c r="P49" s="413">
        <v>5.0000000000000001E-3</v>
      </c>
      <c r="Q49" s="196"/>
      <c r="R49" s="413">
        <v>0</v>
      </c>
      <c r="S49" s="196"/>
      <c r="T49" s="413">
        <v>0</v>
      </c>
      <c r="U49" s="196"/>
      <c r="V49" s="413">
        <v>0</v>
      </c>
      <c r="W49" s="196"/>
      <c r="X49" s="413">
        <v>2.4E-2</v>
      </c>
      <c r="Y49" s="196"/>
      <c r="Z49" s="413">
        <v>5.0000000000000001E-3</v>
      </c>
      <c r="AA49" s="196"/>
      <c r="AB49" s="413">
        <v>1.9E-2</v>
      </c>
      <c r="AC49" s="196"/>
      <c r="AD49" s="413">
        <v>2.4E-2</v>
      </c>
      <c r="AE49" s="196"/>
      <c r="AF49" s="413">
        <v>0.01</v>
      </c>
      <c r="AG49" s="196"/>
      <c r="AH49" s="413">
        <v>0</v>
      </c>
      <c r="AI49" s="196"/>
      <c r="AJ49" s="413">
        <v>0</v>
      </c>
      <c r="AK49" s="196"/>
      <c r="AL49" s="413">
        <v>0</v>
      </c>
      <c r="AM49" s="196"/>
      <c r="AN49" s="413">
        <v>0</v>
      </c>
      <c r="AO49" s="196"/>
      <c r="AP49" s="413">
        <v>0</v>
      </c>
      <c r="AQ49" s="196"/>
      <c r="AR49" s="413">
        <v>0</v>
      </c>
      <c r="AS49" s="196"/>
      <c r="AT49" s="413">
        <v>1E-3</v>
      </c>
      <c r="AU49" s="196"/>
      <c r="AV49" s="413">
        <v>0</v>
      </c>
      <c r="AW49" s="196"/>
      <c r="AX49" s="413">
        <v>0</v>
      </c>
      <c r="AY49" s="196"/>
      <c r="AZ49" s="413">
        <v>0</v>
      </c>
      <c r="BA49" s="196"/>
      <c r="BB49" s="413">
        <v>0</v>
      </c>
      <c r="BC49" s="196"/>
      <c r="BD49" s="413">
        <v>0</v>
      </c>
      <c r="BE49" s="196"/>
      <c r="BF49" s="413">
        <v>0</v>
      </c>
      <c r="BG49" s="196"/>
      <c r="BH49" s="413">
        <v>0</v>
      </c>
      <c r="BI49" s="196"/>
      <c r="BJ49" s="413">
        <v>0</v>
      </c>
      <c r="BK49" s="196"/>
    </row>
    <row r="50" spans="1:63" x14ac:dyDescent="0.35">
      <c r="A50" s="50" t="s">
        <v>1666</v>
      </c>
      <c r="B50" s="413">
        <v>1E-3</v>
      </c>
      <c r="C50" s="196"/>
      <c r="D50" s="413">
        <v>3.0000000000000001E-3</v>
      </c>
      <c r="E50" s="196"/>
      <c r="F50" s="413">
        <v>0</v>
      </c>
      <c r="G50" s="196"/>
      <c r="H50" s="413">
        <v>1E-3</v>
      </c>
      <c r="I50" s="196"/>
      <c r="J50" s="413">
        <v>1E-3</v>
      </c>
      <c r="K50" s="196"/>
      <c r="L50" s="413">
        <v>2E-3</v>
      </c>
      <c r="M50" s="196"/>
      <c r="N50" s="413">
        <v>2E-3</v>
      </c>
      <c r="O50" s="196"/>
      <c r="P50" s="413">
        <v>3.0000000000000001E-3</v>
      </c>
      <c r="Q50" s="196"/>
      <c r="R50" s="413">
        <v>0</v>
      </c>
      <c r="S50" s="196"/>
      <c r="T50" s="413">
        <v>0</v>
      </c>
      <c r="U50" s="196"/>
      <c r="V50" s="413">
        <v>0</v>
      </c>
      <c r="W50" s="196"/>
      <c r="X50" s="413">
        <v>1E-3</v>
      </c>
      <c r="Y50" s="196"/>
      <c r="Z50" s="413">
        <v>3.0000000000000001E-3</v>
      </c>
      <c r="AA50" s="196"/>
      <c r="AB50" s="413">
        <v>1E-3</v>
      </c>
      <c r="AC50" s="196"/>
      <c r="AD50" s="413">
        <v>1.4999999999999999E-2</v>
      </c>
      <c r="AE50" s="196"/>
      <c r="AF50" s="413">
        <v>1E-3</v>
      </c>
      <c r="AG50" s="196"/>
      <c r="AH50" s="413">
        <v>0</v>
      </c>
      <c r="AI50" s="196"/>
      <c r="AJ50" s="413">
        <v>0</v>
      </c>
      <c r="AK50" s="196"/>
      <c r="AL50" s="413">
        <v>0</v>
      </c>
      <c r="AM50" s="196"/>
      <c r="AN50" s="413">
        <v>0</v>
      </c>
      <c r="AO50" s="196"/>
      <c r="AP50" s="413">
        <v>0</v>
      </c>
      <c r="AQ50" s="196"/>
      <c r="AR50" s="413">
        <v>0</v>
      </c>
      <c r="AS50" s="196"/>
      <c r="AT50" s="413">
        <v>0</v>
      </c>
      <c r="AU50" s="196"/>
      <c r="AV50" s="413">
        <v>0</v>
      </c>
      <c r="AW50" s="196"/>
      <c r="AX50" s="413">
        <v>0</v>
      </c>
      <c r="AY50" s="196"/>
      <c r="AZ50" s="413">
        <v>0</v>
      </c>
      <c r="BA50" s="196"/>
      <c r="BB50" s="413">
        <v>0</v>
      </c>
      <c r="BC50" s="196"/>
      <c r="BD50" s="413">
        <v>0</v>
      </c>
      <c r="BE50" s="196"/>
      <c r="BF50" s="413">
        <v>0</v>
      </c>
      <c r="BG50" s="196"/>
      <c r="BH50" s="413">
        <v>0</v>
      </c>
      <c r="BI50" s="196"/>
      <c r="BJ50" s="413">
        <v>0</v>
      </c>
      <c r="BK50" s="196"/>
    </row>
    <row r="51" spans="1:63" x14ac:dyDescent="0.35">
      <c r="A51" s="50" t="s">
        <v>1534</v>
      </c>
      <c r="B51" s="413">
        <v>0.74299999999999999</v>
      </c>
      <c r="C51" s="196"/>
      <c r="D51" s="413">
        <v>0.86499999999999999</v>
      </c>
      <c r="E51" s="196"/>
      <c r="F51" s="413">
        <v>0.72799999999999998</v>
      </c>
      <c r="G51" s="196"/>
      <c r="H51" s="413">
        <v>0.85399999999999998</v>
      </c>
      <c r="I51" s="196"/>
      <c r="J51" s="413">
        <v>0.84899999999999998</v>
      </c>
      <c r="K51" s="196"/>
      <c r="L51" s="413">
        <v>0.85699999999999998</v>
      </c>
      <c r="M51" s="196"/>
      <c r="N51" s="413">
        <v>0.89700000000000002</v>
      </c>
      <c r="O51" s="196"/>
      <c r="P51" s="413">
        <v>0.874</v>
      </c>
      <c r="Q51" s="196"/>
      <c r="R51" s="413">
        <v>0.65400000000000003</v>
      </c>
      <c r="S51" s="196"/>
      <c r="T51" s="413">
        <v>0.63900000000000001</v>
      </c>
      <c r="U51" s="196"/>
      <c r="V51" s="413">
        <v>0.65600000000000003</v>
      </c>
      <c r="W51" s="196"/>
      <c r="X51" s="413">
        <v>0.63200000000000001</v>
      </c>
      <c r="Y51" s="196"/>
      <c r="Z51" s="413">
        <v>0.8</v>
      </c>
      <c r="AA51" s="196"/>
      <c r="AB51" s="413">
        <v>0.66400000000000003</v>
      </c>
      <c r="AC51" s="196"/>
      <c r="AD51" s="413">
        <v>0.59899999999999998</v>
      </c>
      <c r="AE51" s="196"/>
      <c r="AF51" s="413">
        <v>0.81699999999999995</v>
      </c>
      <c r="AG51" s="196"/>
      <c r="AH51" s="413">
        <v>0</v>
      </c>
      <c r="AI51" s="196"/>
      <c r="AJ51" s="413">
        <v>0.67120000000000002</v>
      </c>
      <c r="AK51" s="196"/>
      <c r="AL51" s="413">
        <v>0</v>
      </c>
      <c r="AM51" s="196"/>
      <c r="AN51" s="413">
        <v>0</v>
      </c>
      <c r="AO51" s="196"/>
      <c r="AP51" s="413">
        <v>0</v>
      </c>
      <c r="AQ51" s="196"/>
      <c r="AR51" s="413">
        <v>0.39</v>
      </c>
      <c r="AS51" s="196"/>
      <c r="AT51" s="413">
        <v>0</v>
      </c>
      <c r="AU51" s="196"/>
      <c r="AV51" s="413">
        <v>0</v>
      </c>
      <c r="AW51" s="196"/>
      <c r="AX51" s="413">
        <v>0.67600000000000005</v>
      </c>
      <c r="AY51" s="196"/>
      <c r="AZ51" s="413">
        <v>0</v>
      </c>
      <c r="BA51" s="196"/>
      <c r="BB51" s="413">
        <v>0</v>
      </c>
      <c r="BC51" s="196"/>
      <c r="BD51" s="413">
        <v>0</v>
      </c>
      <c r="BE51" s="196"/>
      <c r="BF51" s="413">
        <v>0</v>
      </c>
      <c r="BG51" s="196"/>
      <c r="BH51" s="413">
        <v>0</v>
      </c>
      <c r="BI51" s="196"/>
      <c r="BJ51" s="413">
        <v>0</v>
      </c>
      <c r="BK51" s="196"/>
    </row>
    <row r="52" spans="1:63" x14ac:dyDescent="0.35">
      <c r="A52" s="50" t="s">
        <v>1535</v>
      </c>
      <c r="B52" s="413">
        <v>5.6000000000000001E-2</v>
      </c>
      <c r="C52" s="196"/>
      <c r="D52" s="413">
        <v>0</v>
      </c>
      <c r="E52" s="196"/>
      <c r="F52" s="413">
        <v>0</v>
      </c>
      <c r="G52" s="196"/>
      <c r="H52" s="413">
        <v>0</v>
      </c>
      <c r="I52" s="196"/>
      <c r="J52" s="413">
        <v>0</v>
      </c>
      <c r="K52" s="196"/>
      <c r="L52" s="413">
        <v>0</v>
      </c>
      <c r="M52" s="196"/>
      <c r="N52" s="413">
        <v>0</v>
      </c>
      <c r="O52" s="196"/>
      <c r="P52" s="413">
        <v>0</v>
      </c>
      <c r="Q52" s="196"/>
      <c r="R52" s="413">
        <v>0</v>
      </c>
      <c r="S52" s="196"/>
      <c r="T52" s="413">
        <v>0</v>
      </c>
      <c r="U52" s="196"/>
      <c r="V52" s="413">
        <v>8.9999999999999993E-3</v>
      </c>
      <c r="W52" s="196"/>
      <c r="X52" s="413">
        <v>3.9E-2</v>
      </c>
      <c r="Y52" s="196"/>
      <c r="Z52" s="413">
        <v>0</v>
      </c>
      <c r="AA52" s="196"/>
      <c r="AB52" s="413">
        <v>2.9000000000000001E-2</v>
      </c>
      <c r="AC52" s="196"/>
      <c r="AD52" s="413">
        <v>4.4999999999999998E-2</v>
      </c>
      <c r="AE52" s="196"/>
      <c r="AF52" s="413">
        <v>2.4E-2</v>
      </c>
      <c r="AG52" s="196"/>
      <c r="AH52" s="413">
        <v>0</v>
      </c>
      <c r="AI52" s="196"/>
      <c r="AJ52" s="413">
        <v>4.3700000000000003E-2</v>
      </c>
      <c r="AK52" s="196"/>
      <c r="AL52" s="413">
        <v>0</v>
      </c>
      <c r="AM52" s="196"/>
      <c r="AN52" s="413">
        <v>0</v>
      </c>
      <c r="AO52" s="196"/>
      <c r="AP52" s="413">
        <v>0</v>
      </c>
      <c r="AQ52" s="196"/>
      <c r="AR52" s="413">
        <v>0</v>
      </c>
      <c r="AS52" s="196"/>
      <c r="AT52" s="413">
        <v>0</v>
      </c>
      <c r="AU52" s="196"/>
      <c r="AV52" s="413">
        <v>0</v>
      </c>
      <c r="AW52" s="196"/>
      <c r="AX52" s="413">
        <v>0</v>
      </c>
      <c r="AY52" s="196"/>
      <c r="AZ52" s="413">
        <v>0</v>
      </c>
      <c r="BA52" s="196"/>
      <c r="BB52" s="413">
        <v>0</v>
      </c>
      <c r="BC52" s="196"/>
      <c r="BD52" s="413">
        <v>0</v>
      </c>
      <c r="BE52" s="196"/>
      <c r="BF52" s="413">
        <v>0</v>
      </c>
      <c r="BG52" s="196"/>
      <c r="BH52" s="413">
        <v>0</v>
      </c>
      <c r="BI52" s="196"/>
      <c r="BJ52" s="413">
        <v>0</v>
      </c>
      <c r="BK52" s="196"/>
    </row>
    <row r="53" spans="1:63" x14ac:dyDescent="0.35">
      <c r="A53" s="50" t="s">
        <v>1936</v>
      </c>
      <c r="B53" s="413">
        <v>1E-3</v>
      </c>
      <c r="C53" s="196"/>
      <c r="D53" s="413">
        <v>1E-3</v>
      </c>
      <c r="E53" s="196"/>
      <c r="F53" s="413">
        <v>0</v>
      </c>
      <c r="G53" s="196"/>
      <c r="H53" s="413">
        <v>1E-3</v>
      </c>
      <c r="I53" s="196"/>
      <c r="J53" s="413">
        <v>1E-3</v>
      </c>
      <c r="K53" s="196"/>
      <c r="L53" s="413">
        <v>1E-3</v>
      </c>
      <c r="M53" s="196"/>
      <c r="N53" s="413">
        <v>0</v>
      </c>
      <c r="O53" s="196"/>
      <c r="P53" s="413">
        <v>0</v>
      </c>
      <c r="Q53" s="196"/>
      <c r="R53" s="413">
        <v>0</v>
      </c>
      <c r="S53" s="196"/>
      <c r="T53" s="413">
        <v>0</v>
      </c>
      <c r="U53" s="196"/>
      <c r="V53" s="413">
        <v>0</v>
      </c>
      <c r="W53" s="196"/>
      <c r="X53" s="413">
        <v>6.0000000000000001E-3</v>
      </c>
      <c r="Y53" s="196"/>
      <c r="Z53" s="413">
        <v>1E-3</v>
      </c>
      <c r="AA53" s="196"/>
      <c r="AB53" s="413">
        <v>0</v>
      </c>
      <c r="AC53" s="196"/>
      <c r="AD53" s="413">
        <v>0</v>
      </c>
      <c r="AE53" s="196"/>
      <c r="AF53" s="413">
        <v>0</v>
      </c>
      <c r="AG53" s="196"/>
      <c r="AH53" s="413">
        <v>0</v>
      </c>
      <c r="AI53" s="196"/>
      <c r="AJ53" s="413">
        <v>0</v>
      </c>
      <c r="AK53" s="196"/>
      <c r="AL53" s="413">
        <v>0</v>
      </c>
      <c r="AM53" s="196"/>
      <c r="AN53" s="413">
        <v>0</v>
      </c>
      <c r="AO53" s="196"/>
      <c r="AP53" s="413">
        <v>0</v>
      </c>
      <c r="AQ53" s="196"/>
      <c r="AR53" s="413">
        <v>0</v>
      </c>
      <c r="AS53" s="196"/>
      <c r="AT53" s="413">
        <v>4.0000000000000001E-3</v>
      </c>
      <c r="AU53" s="196"/>
      <c r="AV53" s="413">
        <v>0</v>
      </c>
      <c r="AW53" s="196"/>
      <c r="AX53" s="413">
        <v>0</v>
      </c>
      <c r="AY53" s="196"/>
      <c r="AZ53" s="413">
        <v>0</v>
      </c>
      <c r="BA53" s="196"/>
      <c r="BB53" s="413">
        <v>0</v>
      </c>
      <c r="BC53" s="196"/>
      <c r="BD53" s="413">
        <v>0</v>
      </c>
      <c r="BE53" s="196"/>
      <c r="BF53" s="413">
        <v>0</v>
      </c>
      <c r="BG53" s="196"/>
      <c r="BH53" s="413">
        <v>0</v>
      </c>
      <c r="BI53" s="196"/>
      <c r="BJ53" s="413">
        <v>0</v>
      </c>
      <c r="BK53" s="196"/>
    </row>
    <row r="54" spans="1:63" x14ac:dyDescent="0.35">
      <c r="A54" s="46" t="s">
        <v>1664</v>
      </c>
      <c r="B54" s="412">
        <v>0.14400000000000002</v>
      </c>
      <c r="C54" s="193"/>
      <c r="D54" s="412">
        <v>8.3999999999999964E-2</v>
      </c>
      <c r="E54" s="193"/>
      <c r="F54" s="412">
        <v>0.11199999999999999</v>
      </c>
      <c r="G54" s="193"/>
      <c r="H54" s="412">
        <v>6.9000000000000061E-2</v>
      </c>
      <c r="I54" s="193"/>
      <c r="J54" s="412">
        <v>7.1000000000000063E-2</v>
      </c>
      <c r="K54" s="193"/>
      <c r="L54" s="412">
        <v>9.7999999999999976E-2</v>
      </c>
      <c r="M54" s="193"/>
      <c r="N54" s="412">
        <v>7.7999999999999958E-2</v>
      </c>
      <c r="O54" s="193"/>
      <c r="P54" s="412">
        <v>8.6999999999999966E-2</v>
      </c>
      <c r="Q54" s="193"/>
      <c r="R54" s="412">
        <v>7.5999999999999956E-2</v>
      </c>
      <c r="S54" s="193"/>
      <c r="T54" s="412">
        <v>0.13600000000000001</v>
      </c>
      <c r="U54" s="193"/>
      <c r="V54" s="412">
        <v>0.1349999999999999</v>
      </c>
      <c r="W54" s="193"/>
      <c r="X54" s="412">
        <v>0.15000000000000002</v>
      </c>
      <c r="Y54" s="193"/>
      <c r="Z54" s="412">
        <v>0.13</v>
      </c>
      <c r="AA54" s="193"/>
      <c r="AB54" s="412">
        <v>0.16999999999999993</v>
      </c>
      <c r="AC54" s="193"/>
      <c r="AD54" s="412">
        <v>0.16899999999999993</v>
      </c>
      <c r="AE54" s="193"/>
      <c r="AF54" s="412">
        <v>0.14200000000000002</v>
      </c>
      <c r="AG54" s="193"/>
      <c r="AH54" s="412">
        <v>0.15000000000000002</v>
      </c>
      <c r="AI54" s="193"/>
      <c r="AJ54" s="412">
        <v>0.18590000000000007</v>
      </c>
      <c r="AK54" s="193"/>
      <c r="AL54" s="412">
        <v>1</v>
      </c>
      <c r="AM54" s="193"/>
      <c r="AN54" s="412">
        <v>1</v>
      </c>
      <c r="AO54" s="193"/>
      <c r="AP54" s="412">
        <v>1</v>
      </c>
      <c r="AQ54" s="193"/>
      <c r="AR54" s="412">
        <v>0.16999999999999993</v>
      </c>
      <c r="AS54" s="193"/>
      <c r="AT54" s="412">
        <v>0.995</v>
      </c>
      <c r="AU54" s="193"/>
      <c r="AV54" s="412">
        <v>1</v>
      </c>
      <c r="AW54" s="193"/>
      <c r="AX54" s="412">
        <v>0.32399999999999995</v>
      </c>
      <c r="AY54" s="193"/>
      <c r="AZ54" s="412">
        <v>1</v>
      </c>
      <c r="BA54" s="193"/>
      <c r="BB54" s="412">
        <v>1</v>
      </c>
      <c r="BC54" s="193"/>
      <c r="BD54" s="412">
        <v>1</v>
      </c>
      <c r="BE54" s="193"/>
      <c r="BF54" s="412">
        <v>1</v>
      </c>
      <c r="BG54" s="193"/>
      <c r="BH54" s="412">
        <v>1</v>
      </c>
      <c r="BI54" s="193"/>
      <c r="BJ54" s="412">
        <v>1</v>
      </c>
      <c r="BK54" s="193"/>
    </row>
    <row r="55" spans="1:63" ht="13.15" x14ac:dyDescent="0.4">
      <c r="A55" s="178" t="s">
        <v>1669</v>
      </c>
      <c r="B55" s="59"/>
      <c r="C55" s="99"/>
      <c r="D55" s="59"/>
      <c r="E55" s="99"/>
      <c r="F55" s="59"/>
      <c r="G55" s="99"/>
      <c r="H55" s="59"/>
      <c r="I55" s="99"/>
      <c r="J55" s="59"/>
      <c r="K55" s="99"/>
      <c r="L55" s="59"/>
      <c r="M55" s="99"/>
      <c r="N55" s="59"/>
      <c r="O55" s="99"/>
      <c r="P55" s="59"/>
      <c r="Q55" s="99"/>
      <c r="R55" s="59"/>
      <c r="S55" s="99"/>
      <c r="T55" s="59"/>
      <c r="U55" s="99"/>
      <c r="V55" s="59"/>
      <c r="W55" s="99"/>
      <c r="X55" s="59"/>
      <c r="Y55" s="99"/>
      <c r="Z55" s="59"/>
      <c r="AA55" s="99"/>
      <c r="AB55" s="59"/>
      <c r="AC55" s="99"/>
      <c r="AD55" s="59"/>
      <c r="AE55" s="99"/>
      <c r="AF55" s="59"/>
      <c r="AG55" s="99"/>
      <c r="AH55" s="59"/>
      <c r="AI55" s="99"/>
      <c r="AJ55" s="59"/>
      <c r="AK55" s="99"/>
      <c r="AL55" s="59"/>
      <c r="AM55" s="99"/>
      <c r="AN55" s="59"/>
      <c r="AO55" s="99"/>
      <c r="AP55" s="59"/>
      <c r="AQ55" s="99"/>
      <c r="AR55" s="59"/>
      <c r="AS55" s="99"/>
      <c r="AT55" s="59"/>
      <c r="AU55" s="99"/>
      <c r="AV55" s="59"/>
      <c r="AW55" s="99"/>
      <c r="AX55" s="59"/>
      <c r="AY55" s="99"/>
      <c r="AZ55" s="59"/>
      <c r="BA55" s="99"/>
      <c r="BB55" s="59"/>
      <c r="BC55" s="99"/>
      <c r="BD55" s="59"/>
      <c r="BE55" s="99"/>
      <c r="BF55" s="59"/>
      <c r="BG55" s="99"/>
      <c r="BH55" s="59"/>
      <c r="BI55" s="99"/>
      <c r="BJ55" s="59"/>
      <c r="BK55" s="99"/>
    </row>
    <row r="56" spans="1:63" s="145" customFormat="1" x14ac:dyDescent="0.35">
      <c r="A56" s="146" t="s">
        <v>1668</v>
      </c>
      <c r="B56" s="411">
        <v>1.2192569999999998</v>
      </c>
      <c r="C56" s="144"/>
      <c r="D56" s="411">
        <v>0.29532000000000003</v>
      </c>
      <c r="E56" s="144"/>
      <c r="F56" s="411">
        <v>9.3864000000000001</v>
      </c>
      <c r="G56" s="144"/>
      <c r="H56" s="411">
        <v>1.5684389999999999</v>
      </c>
      <c r="I56" s="144"/>
      <c r="J56" s="411">
        <v>1.6153919999999999</v>
      </c>
      <c r="K56" s="144"/>
      <c r="L56" s="411">
        <v>0.42381399999999991</v>
      </c>
      <c r="M56" s="144"/>
      <c r="N56" s="411">
        <v>0.27646900000000002</v>
      </c>
      <c r="O56" s="144"/>
      <c r="P56" s="411">
        <v>0.33433499999999999</v>
      </c>
      <c r="Q56" s="144"/>
      <c r="R56" s="411">
        <v>14.101290000000001</v>
      </c>
      <c r="S56" s="144"/>
      <c r="T56" s="411">
        <v>11.514600000000002</v>
      </c>
      <c r="U56" s="144"/>
      <c r="V56" s="411">
        <v>8.5123999999999995</v>
      </c>
      <c r="W56" s="144"/>
      <c r="X56" s="411">
        <v>2.6891600000000002</v>
      </c>
      <c r="Y56" s="144"/>
      <c r="Z56" s="411">
        <v>0.56839800000000007</v>
      </c>
      <c r="AA56" s="144"/>
      <c r="AB56" s="411">
        <v>3.176901</v>
      </c>
      <c r="AC56" s="144"/>
      <c r="AD56" s="411">
        <v>3.6069079999999998</v>
      </c>
      <c r="AE56" s="144"/>
      <c r="AF56" s="411">
        <v>0.11008800000000002</v>
      </c>
      <c r="AG56" s="144"/>
      <c r="AH56" s="411">
        <v>0.54484999999999995</v>
      </c>
      <c r="AI56" s="144"/>
      <c r="AJ56" s="411">
        <v>39.532390399999997</v>
      </c>
      <c r="AK56" s="144"/>
      <c r="AL56" s="411">
        <v>0</v>
      </c>
      <c r="AM56" s="144"/>
      <c r="AN56" s="411">
        <v>0</v>
      </c>
      <c r="AO56" s="144"/>
      <c r="AP56" s="411">
        <v>0</v>
      </c>
      <c r="AQ56" s="144"/>
      <c r="AR56" s="411">
        <v>3.46984</v>
      </c>
      <c r="AS56" s="144"/>
      <c r="AT56" s="411">
        <v>0</v>
      </c>
      <c r="AU56" s="144"/>
      <c r="AV56" s="411">
        <v>0</v>
      </c>
      <c r="AW56" s="144"/>
      <c r="AX56" s="411">
        <v>0</v>
      </c>
      <c r="AY56" s="144"/>
      <c r="AZ56" s="411">
        <v>0</v>
      </c>
      <c r="BA56" s="144"/>
      <c r="BB56" s="411">
        <v>0</v>
      </c>
      <c r="BC56" s="144"/>
      <c r="BD56" s="411">
        <v>0</v>
      </c>
      <c r="BE56" s="144"/>
      <c r="BF56" s="411">
        <v>0</v>
      </c>
      <c r="BG56" s="144"/>
      <c r="BH56" s="411">
        <v>0</v>
      </c>
      <c r="BI56" s="144"/>
      <c r="BJ56" s="411">
        <v>0</v>
      </c>
      <c r="BK56" s="144"/>
    </row>
    <row r="57" spans="1:63" s="145" customFormat="1" x14ac:dyDescent="0.35">
      <c r="A57" s="146" t="s">
        <v>1667</v>
      </c>
      <c r="B57" s="411">
        <v>9.5628000000000005E-2</v>
      </c>
      <c r="C57" s="144"/>
      <c r="D57" s="411">
        <v>5.1681000000000005E-2</v>
      </c>
      <c r="E57" s="144"/>
      <c r="F57" s="411">
        <v>0</v>
      </c>
      <c r="G57" s="144"/>
      <c r="H57" s="411">
        <v>0.13638599999999998</v>
      </c>
      <c r="I57" s="144"/>
      <c r="J57" s="411">
        <v>0.13461600000000001</v>
      </c>
      <c r="K57" s="144"/>
      <c r="L57" s="411">
        <v>4.4611999999999999E-2</v>
      </c>
      <c r="M57" s="144"/>
      <c r="N57" s="411">
        <v>5.8204000000000006E-2</v>
      </c>
      <c r="O57" s="144"/>
      <c r="P57" s="411">
        <v>5.3925000000000001E-2</v>
      </c>
      <c r="Q57" s="144"/>
      <c r="R57" s="411">
        <v>0</v>
      </c>
      <c r="S57" s="144"/>
      <c r="T57" s="411">
        <v>0</v>
      </c>
      <c r="U57" s="144"/>
      <c r="V57" s="411">
        <v>0</v>
      </c>
      <c r="W57" s="144"/>
      <c r="X57" s="411">
        <v>0.43608000000000002</v>
      </c>
      <c r="Y57" s="144"/>
      <c r="Z57" s="411">
        <v>4.6590000000000006E-2</v>
      </c>
      <c r="AA57" s="144"/>
      <c r="AB57" s="411">
        <v>0.515907</v>
      </c>
      <c r="AC57" s="144"/>
      <c r="AD57" s="411">
        <v>0.58490399999999998</v>
      </c>
      <c r="AE57" s="144"/>
      <c r="AF57" s="411">
        <v>0.18348000000000003</v>
      </c>
      <c r="AG57" s="144"/>
      <c r="AH57" s="411">
        <v>0</v>
      </c>
      <c r="AI57" s="144"/>
      <c r="AJ57" s="411">
        <v>0</v>
      </c>
      <c r="AK57" s="144"/>
      <c r="AL57" s="411">
        <v>0</v>
      </c>
      <c r="AM57" s="144"/>
      <c r="AN57" s="411">
        <v>0</v>
      </c>
      <c r="AO57" s="144"/>
      <c r="AP57" s="411">
        <v>0</v>
      </c>
      <c r="AQ57" s="144"/>
      <c r="AR57" s="411">
        <v>0</v>
      </c>
      <c r="AS57" s="144"/>
      <c r="AT57" s="411">
        <v>5.3140000000000001E-3</v>
      </c>
      <c r="AU57" s="144"/>
      <c r="AV57" s="411">
        <v>0</v>
      </c>
      <c r="AW57" s="144"/>
      <c r="AX57" s="411">
        <v>0</v>
      </c>
      <c r="AY57" s="144"/>
      <c r="AZ57" s="411">
        <v>0</v>
      </c>
      <c r="BA57" s="144"/>
      <c r="BB57" s="411">
        <v>0</v>
      </c>
      <c r="BC57" s="144"/>
      <c r="BD57" s="411">
        <v>0</v>
      </c>
      <c r="BE57" s="144"/>
      <c r="BF57" s="411">
        <v>0</v>
      </c>
      <c r="BG57" s="144"/>
      <c r="BH57" s="411">
        <v>0</v>
      </c>
      <c r="BI57" s="144"/>
      <c r="BJ57" s="411">
        <v>0</v>
      </c>
      <c r="BK57" s="144"/>
    </row>
    <row r="58" spans="1:63" s="145" customFormat="1" x14ac:dyDescent="0.35">
      <c r="A58" s="146" t="s">
        <v>1666</v>
      </c>
      <c r="B58" s="411">
        <v>2.3907000000000001E-2</v>
      </c>
      <c r="C58" s="144"/>
      <c r="D58" s="411">
        <v>2.2149000000000002E-2</v>
      </c>
      <c r="E58" s="144"/>
      <c r="F58" s="411">
        <v>0</v>
      </c>
      <c r="G58" s="144"/>
      <c r="H58" s="411">
        <v>2.2730999999999998E-2</v>
      </c>
      <c r="I58" s="144"/>
      <c r="J58" s="411">
        <v>2.2436000000000001E-2</v>
      </c>
      <c r="K58" s="144"/>
      <c r="L58" s="411">
        <v>2.2305999999999999E-2</v>
      </c>
      <c r="M58" s="144"/>
      <c r="N58" s="411">
        <v>2.9102000000000003E-2</v>
      </c>
      <c r="O58" s="144"/>
      <c r="P58" s="411">
        <v>3.2355000000000002E-2</v>
      </c>
      <c r="Q58" s="144"/>
      <c r="R58" s="411">
        <v>0</v>
      </c>
      <c r="S58" s="144"/>
      <c r="T58" s="411">
        <v>0</v>
      </c>
      <c r="U58" s="144"/>
      <c r="V58" s="411">
        <v>0</v>
      </c>
      <c r="W58" s="144"/>
      <c r="X58" s="411">
        <v>1.8170000000000002E-2</v>
      </c>
      <c r="Y58" s="144"/>
      <c r="Z58" s="411">
        <v>2.7954000000000003E-2</v>
      </c>
      <c r="AA58" s="144"/>
      <c r="AB58" s="411">
        <v>2.7153E-2</v>
      </c>
      <c r="AC58" s="144"/>
      <c r="AD58" s="411">
        <v>0.36556499999999997</v>
      </c>
      <c r="AE58" s="144"/>
      <c r="AF58" s="411">
        <v>1.8348000000000003E-2</v>
      </c>
      <c r="AG58" s="144"/>
      <c r="AH58" s="411">
        <v>0</v>
      </c>
      <c r="AI58" s="144"/>
      <c r="AJ58" s="411">
        <v>0</v>
      </c>
      <c r="AK58" s="144"/>
      <c r="AL58" s="411">
        <v>0</v>
      </c>
      <c r="AM58" s="144"/>
      <c r="AN58" s="411">
        <v>0</v>
      </c>
      <c r="AO58" s="144"/>
      <c r="AP58" s="411">
        <v>0</v>
      </c>
      <c r="AQ58" s="144"/>
      <c r="AR58" s="411">
        <v>0</v>
      </c>
      <c r="AS58" s="144"/>
      <c r="AT58" s="411">
        <v>0</v>
      </c>
      <c r="AU58" s="144"/>
      <c r="AV58" s="411">
        <v>0</v>
      </c>
      <c r="AW58" s="144"/>
      <c r="AX58" s="411">
        <v>0</v>
      </c>
      <c r="AY58" s="144"/>
      <c r="AZ58" s="411">
        <v>0</v>
      </c>
      <c r="BA58" s="144"/>
      <c r="BB58" s="411">
        <v>0</v>
      </c>
      <c r="BC58" s="144"/>
      <c r="BD58" s="411">
        <v>0</v>
      </c>
      <c r="BE58" s="144"/>
      <c r="BF58" s="411">
        <v>0</v>
      </c>
      <c r="BG58" s="144"/>
      <c r="BH58" s="411">
        <v>0</v>
      </c>
      <c r="BI58" s="144"/>
      <c r="BJ58" s="411">
        <v>0</v>
      </c>
      <c r="BK58" s="144"/>
    </row>
    <row r="59" spans="1:63" s="145" customFormat="1" x14ac:dyDescent="0.35">
      <c r="A59" s="146" t="s">
        <v>1534</v>
      </c>
      <c r="B59" s="411">
        <v>17.762900999999999</v>
      </c>
      <c r="C59" s="144"/>
      <c r="D59" s="411">
        <v>6.3862950000000005</v>
      </c>
      <c r="E59" s="144"/>
      <c r="F59" s="411">
        <v>42.708120000000001</v>
      </c>
      <c r="G59" s="144"/>
      <c r="H59" s="411">
        <v>19.412273999999996</v>
      </c>
      <c r="I59" s="144"/>
      <c r="J59" s="411">
        <v>19.048164</v>
      </c>
      <c r="K59" s="144"/>
      <c r="L59" s="411">
        <v>9.5581209999999981</v>
      </c>
      <c r="M59" s="144"/>
      <c r="N59" s="411">
        <v>13.052247000000001</v>
      </c>
      <c r="O59" s="144"/>
      <c r="P59" s="411">
        <v>9.4260900000000003</v>
      </c>
      <c r="Q59" s="144"/>
      <c r="R59" s="411">
        <v>34.156458000000001</v>
      </c>
      <c r="S59" s="144"/>
      <c r="T59" s="411">
        <v>32.701464000000001</v>
      </c>
      <c r="U59" s="144"/>
      <c r="V59" s="411">
        <v>27.920672</v>
      </c>
      <c r="W59" s="144"/>
      <c r="X59" s="411">
        <v>11.483440000000002</v>
      </c>
      <c r="Y59" s="144"/>
      <c r="Z59" s="411">
        <v>7.4544000000000015</v>
      </c>
      <c r="AA59" s="144"/>
      <c r="AB59" s="411">
        <v>18.029592000000001</v>
      </c>
      <c r="AC59" s="144"/>
      <c r="AD59" s="411">
        <v>14.598228999999998</v>
      </c>
      <c r="AE59" s="144"/>
      <c r="AF59" s="411">
        <v>14.990316000000002</v>
      </c>
      <c r="AG59" s="144"/>
      <c r="AH59" s="411">
        <v>0</v>
      </c>
      <c r="AI59" s="144"/>
      <c r="AJ59" s="411">
        <v>267.48125440000001</v>
      </c>
      <c r="AK59" s="144"/>
      <c r="AL59" s="411">
        <v>0</v>
      </c>
      <c r="AM59" s="144"/>
      <c r="AN59" s="411">
        <v>0</v>
      </c>
      <c r="AO59" s="144"/>
      <c r="AP59" s="411">
        <v>0</v>
      </c>
      <c r="AQ59" s="144"/>
      <c r="AR59" s="411">
        <v>3.0755400000000002</v>
      </c>
      <c r="AS59" s="144"/>
      <c r="AT59" s="411">
        <v>0</v>
      </c>
      <c r="AU59" s="144"/>
      <c r="AV59" s="411">
        <v>0</v>
      </c>
      <c r="AW59" s="144"/>
      <c r="AX59" s="411">
        <v>4.2412239999999999</v>
      </c>
      <c r="AY59" s="144"/>
      <c r="AZ59" s="411">
        <v>0</v>
      </c>
      <c r="BA59" s="144"/>
      <c r="BB59" s="411">
        <v>0</v>
      </c>
      <c r="BC59" s="144"/>
      <c r="BD59" s="411">
        <v>0</v>
      </c>
      <c r="BE59" s="144"/>
      <c r="BF59" s="411">
        <v>0</v>
      </c>
      <c r="BG59" s="144"/>
      <c r="BH59" s="411">
        <v>0</v>
      </c>
      <c r="BI59" s="144"/>
      <c r="BJ59" s="411">
        <v>0</v>
      </c>
      <c r="BK59" s="144"/>
    </row>
    <row r="60" spans="1:63" s="145" customFormat="1" x14ac:dyDescent="0.35">
      <c r="A60" s="146" t="s">
        <v>1535</v>
      </c>
      <c r="B60" s="411">
        <v>1.338792</v>
      </c>
      <c r="C60" s="144"/>
      <c r="D60" s="411">
        <v>0</v>
      </c>
      <c r="E60" s="144"/>
      <c r="F60" s="411">
        <v>0</v>
      </c>
      <c r="G60" s="144"/>
      <c r="H60" s="411">
        <v>0</v>
      </c>
      <c r="I60" s="144"/>
      <c r="J60" s="411">
        <v>0</v>
      </c>
      <c r="K60" s="144"/>
      <c r="L60" s="411">
        <v>0</v>
      </c>
      <c r="M60" s="144"/>
      <c r="N60" s="411">
        <v>0</v>
      </c>
      <c r="O60" s="144"/>
      <c r="P60" s="411">
        <v>0</v>
      </c>
      <c r="Q60" s="144"/>
      <c r="R60" s="411">
        <v>0</v>
      </c>
      <c r="S60" s="144"/>
      <c r="T60" s="411">
        <v>0</v>
      </c>
      <c r="U60" s="144"/>
      <c r="V60" s="411">
        <v>0.38305799999999995</v>
      </c>
      <c r="W60" s="144"/>
      <c r="X60" s="411">
        <v>0.70863000000000009</v>
      </c>
      <c r="Y60" s="144"/>
      <c r="Z60" s="411">
        <v>0</v>
      </c>
      <c r="AA60" s="144"/>
      <c r="AB60" s="411">
        <v>0.78743700000000005</v>
      </c>
      <c r="AC60" s="144"/>
      <c r="AD60" s="411">
        <v>1.096695</v>
      </c>
      <c r="AE60" s="144"/>
      <c r="AF60" s="411">
        <v>0.44035200000000008</v>
      </c>
      <c r="AG60" s="144"/>
      <c r="AH60" s="411">
        <v>0</v>
      </c>
      <c r="AI60" s="144"/>
      <c r="AJ60" s="411">
        <v>17.414974400000002</v>
      </c>
      <c r="AK60" s="144"/>
      <c r="AL60" s="411">
        <v>0</v>
      </c>
      <c r="AM60" s="144"/>
      <c r="AN60" s="411">
        <v>0</v>
      </c>
      <c r="AO60" s="144"/>
      <c r="AP60" s="411">
        <v>0</v>
      </c>
      <c r="AQ60" s="144"/>
      <c r="AR60" s="411">
        <v>0</v>
      </c>
      <c r="AS60" s="144"/>
      <c r="AT60" s="411">
        <v>0</v>
      </c>
      <c r="AU60" s="144"/>
      <c r="AV60" s="411">
        <v>0</v>
      </c>
      <c r="AW60" s="144"/>
      <c r="AX60" s="411">
        <v>0</v>
      </c>
      <c r="AY60" s="144"/>
      <c r="AZ60" s="411">
        <v>0</v>
      </c>
      <c r="BA60" s="144"/>
      <c r="BB60" s="411">
        <v>0</v>
      </c>
      <c r="BC60" s="144"/>
      <c r="BD60" s="411">
        <v>0</v>
      </c>
      <c r="BE60" s="144"/>
      <c r="BF60" s="411">
        <v>0</v>
      </c>
      <c r="BG60" s="144"/>
      <c r="BH60" s="411">
        <v>0</v>
      </c>
      <c r="BI60" s="144"/>
      <c r="BJ60" s="411">
        <v>0</v>
      </c>
      <c r="BK60" s="144"/>
    </row>
    <row r="61" spans="1:63" s="145" customFormat="1" x14ac:dyDescent="0.35">
      <c r="A61" s="146" t="s">
        <v>1936</v>
      </c>
      <c r="B61" s="411">
        <v>2.3907000000000001E-2</v>
      </c>
      <c r="C61" s="144"/>
      <c r="D61" s="411">
        <v>7.3830000000000007E-3</v>
      </c>
      <c r="E61" s="144"/>
      <c r="F61" s="411">
        <v>0</v>
      </c>
      <c r="G61" s="144"/>
      <c r="H61" s="411">
        <v>2.2730999999999998E-2</v>
      </c>
      <c r="I61" s="144"/>
      <c r="J61" s="411">
        <v>2.2436000000000001E-2</v>
      </c>
      <c r="K61" s="144"/>
      <c r="L61" s="411">
        <v>1.1153E-2</v>
      </c>
      <c r="M61" s="144"/>
      <c r="N61" s="411">
        <v>0</v>
      </c>
      <c r="O61" s="144"/>
      <c r="P61" s="411">
        <v>0</v>
      </c>
      <c r="Q61" s="144"/>
      <c r="R61" s="411">
        <v>0</v>
      </c>
      <c r="S61" s="144"/>
      <c r="T61" s="411">
        <v>0</v>
      </c>
      <c r="U61" s="144"/>
      <c r="V61" s="411">
        <v>0</v>
      </c>
      <c r="W61" s="144"/>
      <c r="X61" s="411">
        <v>0.10902000000000001</v>
      </c>
      <c r="Y61" s="144"/>
      <c r="Z61" s="411">
        <v>9.3180000000000016E-3</v>
      </c>
      <c r="AA61" s="144"/>
      <c r="AB61" s="411">
        <v>0</v>
      </c>
      <c r="AC61" s="144"/>
      <c r="AD61" s="411">
        <v>0</v>
      </c>
      <c r="AE61" s="144"/>
      <c r="AF61" s="411">
        <v>0</v>
      </c>
      <c r="AG61" s="144"/>
      <c r="AH61" s="411">
        <v>0</v>
      </c>
      <c r="AI61" s="144"/>
      <c r="AJ61" s="411">
        <v>0</v>
      </c>
      <c r="AK61" s="144"/>
      <c r="AL61" s="411">
        <v>0</v>
      </c>
      <c r="AM61" s="144"/>
      <c r="AN61" s="411">
        <v>0</v>
      </c>
      <c r="AO61" s="144"/>
      <c r="AP61" s="411">
        <v>0</v>
      </c>
      <c r="AQ61" s="144"/>
      <c r="AR61" s="411">
        <v>0</v>
      </c>
      <c r="AS61" s="144"/>
      <c r="AT61" s="411">
        <v>2.1256000000000001E-2</v>
      </c>
      <c r="AU61" s="144"/>
      <c r="AV61" s="411">
        <v>0</v>
      </c>
      <c r="AW61" s="144"/>
      <c r="AX61" s="411">
        <v>0</v>
      </c>
      <c r="AY61" s="144"/>
      <c r="AZ61" s="411">
        <v>0</v>
      </c>
      <c r="BA61" s="144"/>
      <c r="BB61" s="411">
        <v>0</v>
      </c>
      <c r="BC61" s="144"/>
      <c r="BD61" s="411">
        <v>0</v>
      </c>
      <c r="BE61" s="144"/>
      <c r="BF61" s="411">
        <v>0</v>
      </c>
      <c r="BG61" s="144"/>
      <c r="BH61" s="411">
        <v>0</v>
      </c>
      <c r="BI61" s="144"/>
      <c r="BJ61" s="411">
        <v>0</v>
      </c>
      <c r="BK61" s="144"/>
    </row>
    <row r="62" spans="1:63" s="145" customFormat="1" x14ac:dyDescent="0.35">
      <c r="A62" s="146" t="s">
        <v>1664</v>
      </c>
      <c r="B62" s="411">
        <v>3.4426080000000003</v>
      </c>
      <c r="C62" s="144"/>
      <c r="D62" s="411">
        <v>0.62017199999999983</v>
      </c>
      <c r="E62" s="144"/>
      <c r="F62" s="411">
        <v>6.570479999999999</v>
      </c>
      <c r="G62" s="144"/>
      <c r="H62" s="411">
        <v>1.5684390000000012</v>
      </c>
      <c r="I62" s="144"/>
      <c r="J62" s="411">
        <v>1.5929560000000014</v>
      </c>
      <c r="K62" s="144"/>
      <c r="L62" s="411">
        <v>1.0929939999999996</v>
      </c>
      <c r="M62" s="144"/>
      <c r="N62" s="411">
        <v>1.1349779999999996</v>
      </c>
      <c r="O62" s="144"/>
      <c r="P62" s="411">
        <v>0.93829499999999966</v>
      </c>
      <c r="Q62" s="144"/>
      <c r="R62" s="411">
        <v>3.9692519999999973</v>
      </c>
      <c r="S62" s="144"/>
      <c r="T62" s="411">
        <v>6.9599360000000008</v>
      </c>
      <c r="U62" s="144"/>
      <c r="V62" s="411">
        <v>5.7458699999999956</v>
      </c>
      <c r="W62" s="144"/>
      <c r="X62" s="411">
        <v>2.7255000000000007</v>
      </c>
      <c r="Y62" s="144"/>
      <c r="Z62" s="411">
        <v>1.2113400000000003</v>
      </c>
      <c r="AA62" s="144"/>
      <c r="AB62" s="411">
        <v>4.6160099999999975</v>
      </c>
      <c r="AC62" s="144"/>
      <c r="AD62" s="411">
        <v>4.1186989999999977</v>
      </c>
      <c r="AE62" s="144"/>
      <c r="AF62" s="411">
        <v>2.6054160000000008</v>
      </c>
      <c r="AG62" s="144"/>
      <c r="AH62" s="411">
        <v>9.6150000000000013E-2</v>
      </c>
      <c r="AI62" s="144"/>
      <c r="AJ62" s="411">
        <v>74.083380800000029</v>
      </c>
      <c r="AK62" s="144"/>
      <c r="AL62" s="411">
        <v>3.01</v>
      </c>
      <c r="AM62" s="144"/>
      <c r="AN62" s="411">
        <v>3.698</v>
      </c>
      <c r="AO62" s="144"/>
      <c r="AP62" s="411">
        <v>11.007</v>
      </c>
      <c r="AQ62" s="144"/>
      <c r="AR62" s="411">
        <v>1.3406199999999995</v>
      </c>
      <c r="AS62" s="144"/>
      <c r="AT62" s="411">
        <v>5.2874299999999996</v>
      </c>
      <c r="AU62" s="144"/>
      <c r="AV62" s="411">
        <v>1.798</v>
      </c>
      <c r="AW62" s="144"/>
      <c r="AX62" s="411">
        <v>2.0327759999999997</v>
      </c>
      <c r="AY62" s="144"/>
      <c r="AZ62" s="411">
        <v>1.6950000000000001</v>
      </c>
      <c r="BA62" s="144"/>
      <c r="BB62" s="411">
        <v>1.633</v>
      </c>
      <c r="BC62" s="144"/>
      <c r="BD62" s="411">
        <v>2.1680000000000001</v>
      </c>
      <c r="BE62" s="144"/>
      <c r="BF62" s="411">
        <v>6.1849999999999996</v>
      </c>
      <c r="BG62" s="144"/>
      <c r="BH62" s="411">
        <v>3.8029999999999999</v>
      </c>
      <c r="BI62" s="144"/>
      <c r="BJ62" s="411">
        <v>2.4740000000000002</v>
      </c>
      <c r="BK62" s="144"/>
    </row>
    <row r="63" spans="1:63" s="145" customFormat="1" x14ac:dyDescent="0.35">
      <c r="A63" s="146" t="s">
        <v>2123</v>
      </c>
      <c r="B63" s="540">
        <v>22.425999999999998</v>
      </c>
      <c r="C63" s="144"/>
      <c r="D63" s="540">
        <v>11.238</v>
      </c>
      <c r="E63" s="144"/>
      <c r="F63" s="540">
        <v>12.497999999999999</v>
      </c>
      <c r="G63" s="144"/>
      <c r="H63" s="540">
        <v>26.132999999999999</v>
      </c>
      <c r="I63" s="144"/>
      <c r="J63" s="540">
        <v>25.95</v>
      </c>
      <c r="K63" s="144"/>
      <c r="L63" s="540">
        <v>7.01</v>
      </c>
      <c r="M63" s="144"/>
      <c r="N63" s="540">
        <v>7.1210000000000004</v>
      </c>
      <c r="O63" s="144"/>
      <c r="P63" s="540">
        <v>7.0469999999999997</v>
      </c>
      <c r="Q63" s="144"/>
      <c r="R63" s="540">
        <v>14.93</v>
      </c>
      <c r="S63" s="144"/>
      <c r="T63" s="540">
        <v>20.181000000000001</v>
      </c>
      <c r="U63" s="144"/>
      <c r="V63" s="540">
        <v>24.581</v>
      </c>
      <c r="W63" s="144"/>
      <c r="X63" s="540">
        <v>21.178000000000001</v>
      </c>
      <c r="Y63" s="144"/>
      <c r="Z63" s="540">
        <v>13.691000000000001</v>
      </c>
      <c r="AA63" s="144"/>
      <c r="AB63" s="540">
        <v>10.157</v>
      </c>
      <c r="AC63" s="144"/>
      <c r="AD63" s="540">
        <v>12.196</v>
      </c>
      <c r="AE63" s="144"/>
      <c r="AF63" s="540">
        <v>3.2010000000000001</v>
      </c>
      <c r="AG63" s="144"/>
      <c r="AH63" s="540">
        <v>0</v>
      </c>
      <c r="AI63" s="144"/>
      <c r="AJ63" s="540">
        <v>0</v>
      </c>
      <c r="AK63" s="144"/>
      <c r="AL63" s="540">
        <v>0</v>
      </c>
      <c r="AM63" s="144"/>
      <c r="AN63" s="540">
        <v>0</v>
      </c>
      <c r="AO63" s="144"/>
      <c r="AP63" s="540">
        <v>0</v>
      </c>
      <c r="AQ63" s="144"/>
      <c r="AR63" s="540">
        <v>0</v>
      </c>
      <c r="AS63" s="144"/>
      <c r="AT63" s="540">
        <v>0</v>
      </c>
      <c r="AU63" s="144"/>
      <c r="AV63" s="540">
        <v>0</v>
      </c>
      <c r="AW63" s="144"/>
      <c r="AX63" s="540">
        <v>0</v>
      </c>
      <c r="AY63" s="144"/>
      <c r="AZ63" s="540">
        <v>0</v>
      </c>
      <c r="BA63" s="144"/>
      <c r="BB63" s="540">
        <v>0</v>
      </c>
      <c r="BC63" s="144"/>
      <c r="BD63" s="540">
        <v>0</v>
      </c>
      <c r="BE63" s="144"/>
      <c r="BF63" s="540">
        <v>0</v>
      </c>
      <c r="BG63" s="144"/>
      <c r="BH63" s="540">
        <v>0</v>
      </c>
      <c r="BI63" s="144"/>
      <c r="BJ63" s="540">
        <v>0</v>
      </c>
      <c r="BK63" s="144"/>
    </row>
    <row r="64" spans="1:63" s="145" customFormat="1" x14ac:dyDescent="0.35">
      <c r="A64" s="146" t="s">
        <v>2122</v>
      </c>
      <c r="B64" s="540">
        <v>21.93</v>
      </c>
      <c r="C64" s="144"/>
      <c r="D64" s="540">
        <v>38.286999999999999</v>
      </c>
      <c r="E64" s="144"/>
      <c r="F64" s="540">
        <v>21.268000000000001</v>
      </c>
      <c r="G64" s="144"/>
      <c r="H64" s="540">
        <v>16.498000000000001</v>
      </c>
      <c r="I64" s="144"/>
      <c r="J64" s="540">
        <v>17.228000000000002</v>
      </c>
      <c r="K64" s="144"/>
      <c r="L64" s="540">
        <v>34.253</v>
      </c>
      <c r="M64" s="144"/>
      <c r="N64" s="540">
        <v>34.902000000000001</v>
      </c>
      <c r="O64" s="144"/>
      <c r="P64" s="540">
        <v>34.576999999999998</v>
      </c>
      <c r="Q64" s="144"/>
      <c r="R64" s="540">
        <v>15.603</v>
      </c>
      <c r="S64" s="144"/>
      <c r="T64" s="540">
        <v>19.896000000000001</v>
      </c>
      <c r="U64" s="144"/>
      <c r="V64" s="540">
        <v>4.657</v>
      </c>
      <c r="W64" s="144"/>
      <c r="X64" s="540">
        <v>8.8770000000000007</v>
      </c>
      <c r="Y64" s="144"/>
      <c r="Z64" s="540">
        <v>26.672999999999998</v>
      </c>
      <c r="AA64" s="144"/>
      <c r="AB64" s="540">
        <v>16.832000000000001</v>
      </c>
      <c r="AC64" s="144"/>
      <c r="AD64" s="540">
        <v>15.459</v>
      </c>
      <c r="AE64" s="144"/>
      <c r="AF64" s="540">
        <v>15.971</v>
      </c>
      <c r="AG64" s="144"/>
      <c r="AH64" s="540">
        <v>0</v>
      </c>
      <c r="AI64" s="144"/>
      <c r="AJ64" s="540">
        <v>0</v>
      </c>
      <c r="AK64" s="144"/>
      <c r="AL64" s="540">
        <v>0</v>
      </c>
      <c r="AM64" s="144"/>
      <c r="AN64" s="540">
        <v>0</v>
      </c>
      <c r="AO64" s="144"/>
      <c r="AP64" s="540">
        <v>0</v>
      </c>
      <c r="AQ64" s="144"/>
      <c r="AR64" s="540">
        <v>0</v>
      </c>
      <c r="AS64" s="144"/>
      <c r="AT64" s="540">
        <v>0</v>
      </c>
      <c r="AU64" s="144"/>
      <c r="AV64" s="540">
        <v>0</v>
      </c>
      <c r="AW64" s="144"/>
      <c r="AX64" s="540">
        <v>0</v>
      </c>
      <c r="AY64" s="144"/>
      <c r="AZ64" s="540">
        <v>0</v>
      </c>
      <c r="BA64" s="144"/>
      <c r="BB64" s="540">
        <v>0</v>
      </c>
      <c r="BC64" s="144"/>
      <c r="BD64" s="540">
        <v>0</v>
      </c>
      <c r="BE64" s="144"/>
      <c r="BF64" s="540">
        <v>0</v>
      </c>
      <c r="BG64" s="144"/>
      <c r="BH64" s="540">
        <v>0</v>
      </c>
      <c r="BI64" s="144"/>
      <c r="BJ64" s="540">
        <v>0</v>
      </c>
      <c r="BK64" s="144"/>
    </row>
    <row r="65" spans="1:63" s="145" customFormat="1" x14ac:dyDescent="0.35">
      <c r="A65" s="241" t="s">
        <v>1537</v>
      </c>
      <c r="B65" s="237">
        <v>78.008937925517444</v>
      </c>
      <c r="C65" s="156"/>
      <c r="D65" s="237">
        <v>63.078163471496246</v>
      </c>
      <c r="E65" s="156"/>
      <c r="F65" s="237">
        <v>108.37768464470679</v>
      </c>
      <c r="G65" s="156"/>
      <c r="H65" s="237">
        <v>73.033177745208803</v>
      </c>
      <c r="I65" s="156"/>
      <c r="J65" s="237">
        <v>73.340894488482704</v>
      </c>
      <c r="K65" s="156"/>
      <c r="L65" s="237">
        <v>58.691152143470362</v>
      </c>
      <c r="M65" s="156"/>
      <c r="N65" s="237">
        <v>63.306671165508106</v>
      </c>
      <c r="O65" s="156"/>
      <c r="P65" s="237">
        <v>58.529975134350593</v>
      </c>
      <c r="Q65" s="156"/>
      <c r="R65" s="237">
        <v>95.352376161614899</v>
      </c>
      <c r="S65" s="156"/>
      <c r="T65" s="237">
        <v>107.37371313283458</v>
      </c>
      <c r="U65" s="156"/>
      <c r="V65" s="237">
        <v>84.48567359517628</v>
      </c>
      <c r="W65" s="156"/>
      <c r="X65" s="237">
        <v>55.415326618552356</v>
      </c>
      <c r="Y65" s="156"/>
      <c r="Z65" s="237">
        <v>55.643365069813676</v>
      </c>
      <c r="AA65" s="156"/>
      <c r="AB65" s="237">
        <v>64.047775336041425</v>
      </c>
      <c r="AC65" s="156"/>
      <c r="AD65" s="237">
        <v>61.235002491288874</v>
      </c>
      <c r="AE65" s="156"/>
      <c r="AF65" s="237">
        <v>43.794571291218446</v>
      </c>
      <c r="AG65" s="156"/>
      <c r="AH65" s="237">
        <v>0.82454835375243851</v>
      </c>
      <c r="AI65" s="156"/>
      <c r="AJ65" s="237">
        <v>511.49284804975179</v>
      </c>
      <c r="AK65" s="156"/>
      <c r="AL65" s="237">
        <v>6.2383801190039465</v>
      </c>
      <c r="AM65" s="156"/>
      <c r="AN65" s="237">
        <v>7.6642955747762791</v>
      </c>
      <c r="AO65" s="156"/>
      <c r="AP65" s="237">
        <v>22.81257474082274</v>
      </c>
      <c r="AQ65" s="156"/>
      <c r="AR65" s="237">
        <v>10.150047987329692</v>
      </c>
      <c r="AS65" s="156"/>
      <c r="AT65" s="237">
        <v>10.9897350123903</v>
      </c>
      <c r="AU65" s="156"/>
      <c r="AV65" s="237">
        <v>3.7264476591259461</v>
      </c>
      <c r="AW65" s="156"/>
      <c r="AX65" s="237">
        <v>8.887266637471896</v>
      </c>
      <c r="AY65" s="156"/>
      <c r="AZ65" s="237">
        <v>3.5129748510670069</v>
      </c>
      <c r="BA65" s="156"/>
      <c r="BB65" s="237">
        <v>3.3844766559247335</v>
      </c>
      <c r="BC65" s="156"/>
      <c r="BD65" s="237">
        <v>4.4932917269104848</v>
      </c>
      <c r="BE65" s="156"/>
      <c r="BF65" s="237">
        <v>12.818731241209109</v>
      </c>
      <c r="BG65" s="156"/>
      <c r="BH65" s="237">
        <v>7.8819134859043229</v>
      </c>
      <c r="BI65" s="156"/>
      <c r="BJ65" s="237">
        <v>5.1274924964836437</v>
      </c>
      <c r="BK65" s="156"/>
    </row>
    <row r="66" spans="1:63" s="145" customFormat="1" x14ac:dyDescent="0.35">
      <c r="A66" s="146" t="s">
        <v>1536</v>
      </c>
      <c r="B66" s="232">
        <v>76.509509707346112</v>
      </c>
      <c r="C66" s="144"/>
      <c r="D66" s="232">
        <v>62.750586913244057</v>
      </c>
      <c r="E66" s="144"/>
      <c r="F66" s="232">
        <v>105.61946202454754</v>
      </c>
      <c r="G66" s="144"/>
      <c r="H66" s="232">
        <v>72.26475786392308</v>
      </c>
      <c r="I66" s="144"/>
      <c r="J66" s="232">
        <v>72.563015600445084</v>
      </c>
      <c r="K66" s="144"/>
      <c r="L66" s="232">
        <v>58.19346361206383</v>
      </c>
      <c r="M66" s="144"/>
      <c r="N66" s="232">
        <v>62.789569036669718</v>
      </c>
      <c r="O66" s="144"/>
      <c r="P66" s="232">
        <v>58.093867384255113</v>
      </c>
      <c r="Q66" s="144"/>
      <c r="R66" s="232">
        <v>93.60367208689631</v>
      </c>
      <c r="S66" s="144"/>
      <c r="T66" s="232">
        <v>104.42527995054135</v>
      </c>
      <c r="U66" s="144"/>
      <c r="V66" s="232">
        <v>82.030565167478514</v>
      </c>
      <c r="W66" s="144"/>
      <c r="X66" s="232">
        <v>54.210469859809933</v>
      </c>
      <c r="Y66" s="144"/>
      <c r="Z66" s="232">
        <v>55.076447113413479</v>
      </c>
      <c r="AA66" s="144"/>
      <c r="AB66" s="232">
        <v>62.125010630131094</v>
      </c>
      <c r="AC66" s="144"/>
      <c r="AD66" s="232">
        <v>59.499586539917814</v>
      </c>
      <c r="AE66" s="144"/>
      <c r="AF66" s="232">
        <v>42.721340496521222</v>
      </c>
      <c r="AG66" s="144"/>
      <c r="AH66" s="232">
        <v>0.78352107886805344</v>
      </c>
      <c r="AI66" s="144"/>
      <c r="AJ66" s="232">
        <v>481.63757218506521</v>
      </c>
      <c r="AK66" s="144"/>
      <c r="AL66" s="232">
        <v>5.0418474350479432</v>
      </c>
      <c r="AM66" s="144"/>
      <c r="AN66" s="232">
        <v>6.1942697059160441</v>
      </c>
      <c r="AO66" s="144"/>
      <c r="AP66" s="232">
        <v>18.437081301519175</v>
      </c>
      <c r="AQ66" s="144"/>
      <c r="AR66" s="232">
        <v>9.597085527304289</v>
      </c>
      <c r="AS66" s="144"/>
      <c r="AT66" s="232">
        <v>8.8877729499580411</v>
      </c>
      <c r="AU66" s="144"/>
      <c r="AV66" s="232">
        <v>3.0117082020651833</v>
      </c>
      <c r="AW66" s="144"/>
      <c r="AX66" s="232">
        <v>8.076204372018152</v>
      </c>
      <c r="AY66" s="144"/>
      <c r="AZ66" s="232">
        <v>2.8391798679090581</v>
      </c>
      <c r="BA66" s="144"/>
      <c r="BB66" s="232">
        <v>2.7353278609412928</v>
      </c>
      <c r="BC66" s="144"/>
      <c r="BD66" s="232">
        <v>3.6314701791308779</v>
      </c>
      <c r="BE66" s="144"/>
      <c r="BF66" s="232">
        <v>10.360075211219776</v>
      </c>
      <c r="BG66" s="144"/>
      <c r="BH66" s="232">
        <v>6.3701481048130653</v>
      </c>
      <c r="BI66" s="144"/>
      <c r="BJ66" s="232">
        <v>4.1440300844879117</v>
      </c>
      <c r="BK66" s="144"/>
    </row>
    <row r="67" spans="1:63" s="145" customFormat="1" x14ac:dyDescent="0.35">
      <c r="A67" s="146" t="s">
        <v>1535</v>
      </c>
      <c r="B67" s="232">
        <v>4.9518377050672004</v>
      </c>
      <c r="C67" s="144"/>
      <c r="D67" s="232">
        <v>0.78683263290874161</v>
      </c>
      <c r="E67" s="144"/>
      <c r="F67" s="232">
        <v>6.6523594288877543</v>
      </c>
      <c r="G67" s="144"/>
      <c r="H67" s="232">
        <v>1.8455926899857746</v>
      </c>
      <c r="I67" s="144"/>
      <c r="J67" s="232">
        <v>1.8684811635585539</v>
      </c>
      <c r="K67" s="144"/>
      <c r="L67" s="232">
        <v>1.1990514204122675</v>
      </c>
      <c r="M67" s="144"/>
      <c r="N67" s="232">
        <v>1.2459318182203951</v>
      </c>
      <c r="O67" s="144"/>
      <c r="P67" s="232">
        <v>1.0503657093133192</v>
      </c>
      <c r="Q67" s="144"/>
      <c r="R67" s="232">
        <v>4.2121215024926411</v>
      </c>
      <c r="S67" s="144"/>
      <c r="T67" s="232">
        <v>7.1081890525352032</v>
      </c>
      <c r="U67" s="144"/>
      <c r="V67" s="232">
        <v>6.2998238968401115</v>
      </c>
      <c r="W67" s="144"/>
      <c r="X67" s="232">
        <v>3.6097784072744115</v>
      </c>
      <c r="Y67" s="144"/>
      <c r="Z67" s="232">
        <v>1.3638186284402747</v>
      </c>
      <c r="AA67" s="144"/>
      <c r="AB67" s="232">
        <v>5.4258405677923607</v>
      </c>
      <c r="AC67" s="144"/>
      <c r="AD67" s="232">
        <v>5.2818812988186963</v>
      </c>
      <c r="AE67" s="144"/>
      <c r="AF67" s="232">
        <v>3.030870988224958</v>
      </c>
      <c r="AG67" s="144"/>
      <c r="AH67" s="232">
        <v>9.8870270207399802E-2</v>
      </c>
      <c r="AI67" s="144"/>
      <c r="AJ67" s="232">
        <v>89.502683774187972</v>
      </c>
      <c r="AK67" s="144"/>
      <c r="AL67" s="232">
        <v>2.8892662086107355</v>
      </c>
      <c r="AM67" s="144"/>
      <c r="AN67" s="232">
        <v>3.549669913436047</v>
      </c>
      <c r="AO67" s="144"/>
      <c r="AP67" s="232">
        <v>10.565499388099125</v>
      </c>
      <c r="AQ67" s="144"/>
      <c r="AR67" s="232">
        <v>1.3339710623336247</v>
      </c>
      <c r="AS67" s="144"/>
      <c r="AT67" s="232">
        <v>5.0756012243516508</v>
      </c>
      <c r="AU67" s="144"/>
      <c r="AV67" s="232">
        <v>1.7258806123196355</v>
      </c>
      <c r="AW67" s="144"/>
      <c r="AX67" s="232">
        <v>1.9584652901260808</v>
      </c>
      <c r="AY67" s="144"/>
      <c r="AZ67" s="232">
        <v>1.6270120344170089</v>
      </c>
      <c r="BA67" s="144"/>
      <c r="BB67" s="232">
        <v>1.5674989098542631</v>
      </c>
      <c r="BC67" s="144"/>
      <c r="BD67" s="232">
        <v>2.0810395814844105</v>
      </c>
      <c r="BE67" s="144"/>
      <c r="BF67" s="232">
        <v>5.9369141196868442</v>
      </c>
      <c r="BG67" s="144"/>
      <c r="BH67" s="232">
        <v>3.6504582695503749</v>
      </c>
      <c r="BI67" s="144"/>
      <c r="BJ67" s="232">
        <v>2.3747656478747374</v>
      </c>
      <c r="BK67" s="144"/>
    </row>
    <row r="68" spans="1:63" s="145" customFormat="1" x14ac:dyDescent="0.35">
      <c r="A68" s="146" t="s">
        <v>1534</v>
      </c>
      <c r="B68" s="232">
        <v>47.106223870982717</v>
      </c>
      <c r="C68" s="144"/>
      <c r="D68" s="232">
        <v>49.973101412898522</v>
      </c>
      <c r="E68" s="144"/>
      <c r="F68" s="232">
        <v>76.003740038391996</v>
      </c>
      <c r="G68" s="144"/>
      <c r="H68" s="232">
        <v>41.898261313102196</v>
      </c>
      <c r="I68" s="144"/>
      <c r="J68" s="232">
        <v>42.310176066661214</v>
      </c>
      <c r="K68" s="144"/>
      <c r="L68" s="232">
        <v>49.152428467257025</v>
      </c>
      <c r="M68" s="144"/>
      <c r="N68" s="232">
        <v>53.70692368093124</v>
      </c>
      <c r="O68" s="144"/>
      <c r="P68" s="232">
        <v>49.244808930725981</v>
      </c>
      <c r="Q68" s="144"/>
      <c r="R68" s="232">
        <v>59.175336495651862</v>
      </c>
      <c r="S68" s="144"/>
      <c r="T68" s="232">
        <v>64.369015791734341</v>
      </c>
      <c r="U68" s="144"/>
      <c r="V68" s="232">
        <v>41.572414272135859</v>
      </c>
      <c r="W68" s="144"/>
      <c r="X68" s="232">
        <v>25.610934690522736</v>
      </c>
      <c r="Y68" s="144"/>
      <c r="Z68" s="232">
        <v>38.970191273349045</v>
      </c>
      <c r="AA68" s="144"/>
      <c r="AB68" s="232">
        <v>42.199617457610906</v>
      </c>
      <c r="AC68" s="144"/>
      <c r="AD68" s="232">
        <v>36.793930405736091</v>
      </c>
      <c r="AE68" s="144"/>
      <c r="AF68" s="232">
        <v>35.898304167901905</v>
      </c>
      <c r="AG68" s="144"/>
      <c r="AH68" s="232">
        <v>0.11199341528878581</v>
      </c>
      <c r="AI68" s="144"/>
      <c r="AJ68" s="232">
        <v>347.04231534960724</v>
      </c>
      <c r="AK68" s="144"/>
      <c r="AL68" s="232">
        <v>2.0544006037982601</v>
      </c>
      <c r="AM68" s="144"/>
      <c r="AN68" s="232">
        <v>2.5239778846664329</v>
      </c>
      <c r="AO68" s="144"/>
      <c r="AP68" s="232">
        <v>7.5125539687732399</v>
      </c>
      <c r="AQ68" s="144"/>
      <c r="AR68" s="232">
        <v>4.5799463393657698</v>
      </c>
      <c r="AS68" s="144"/>
      <c r="AT68" s="232">
        <v>3.627173111336659</v>
      </c>
      <c r="AU68" s="144"/>
      <c r="AV68" s="232">
        <v>1.2271801613386282</v>
      </c>
      <c r="AW68" s="144"/>
      <c r="AX68" s="232">
        <v>6.0342194209302464</v>
      </c>
      <c r="AY68" s="144"/>
      <c r="AZ68" s="232">
        <v>1.156880074231911</v>
      </c>
      <c r="BA68" s="144"/>
      <c r="BB68" s="232">
        <v>1.1145635169443713</v>
      </c>
      <c r="BC68" s="144"/>
      <c r="BD68" s="232">
        <v>1.4797144548287802</v>
      </c>
      <c r="BE68" s="144"/>
      <c r="BF68" s="232">
        <v>4.2214178519907755</v>
      </c>
      <c r="BG68" s="144"/>
      <c r="BH68" s="232">
        <v>2.5956430220082325</v>
      </c>
      <c r="BI68" s="144"/>
      <c r="BJ68" s="232">
        <v>1.6885671407963116</v>
      </c>
      <c r="BK68" s="144"/>
    </row>
    <row r="69" spans="1:63" s="145" customFormat="1" x14ac:dyDescent="0.35">
      <c r="A69" s="143" t="s">
        <v>1533</v>
      </c>
      <c r="B69" s="231">
        <v>24.451448131296193</v>
      </c>
      <c r="C69" s="141"/>
      <c r="D69" s="231">
        <v>11.990652867436793</v>
      </c>
      <c r="E69" s="141"/>
      <c r="F69" s="231">
        <v>22.963362557267796</v>
      </c>
      <c r="G69" s="141"/>
      <c r="H69" s="231">
        <v>28.520903860835105</v>
      </c>
      <c r="I69" s="141"/>
      <c r="J69" s="231">
        <v>28.384358370225311</v>
      </c>
      <c r="K69" s="141"/>
      <c r="L69" s="231">
        <v>7.8419837243945381</v>
      </c>
      <c r="M69" s="141"/>
      <c r="N69" s="231">
        <v>7.8367135375180812</v>
      </c>
      <c r="O69" s="141"/>
      <c r="P69" s="231">
        <v>7.7986927442158098</v>
      </c>
      <c r="Q69" s="141"/>
      <c r="R69" s="231">
        <v>30.216214088751812</v>
      </c>
      <c r="S69" s="141"/>
      <c r="T69" s="231">
        <v>32.948075106271808</v>
      </c>
      <c r="U69" s="141"/>
      <c r="V69" s="231">
        <v>34.158326998502545</v>
      </c>
      <c r="W69" s="141"/>
      <c r="X69" s="231">
        <v>24.989756762012785</v>
      </c>
      <c r="Y69" s="141"/>
      <c r="Z69" s="231">
        <v>14.742437211624161</v>
      </c>
      <c r="AA69" s="141"/>
      <c r="AB69" s="231">
        <v>14.499552604727825</v>
      </c>
      <c r="AC69" s="141"/>
      <c r="AD69" s="231">
        <v>17.423774835363027</v>
      </c>
      <c r="AE69" s="141"/>
      <c r="AF69" s="231">
        <v>3.7921653403943547</v>
      </c>
      <c r="AG69" s="141"/>
      <c r="AH69" s="231">
        <v>0.57265739337186783</v>
      </c>
      <c r="AI69" s="141"/>
      <c r="AJ69" s="231">
        <v>45.092573061270024</v>
      </c>
      <c r="AK69" s="141"/>
      <c r="AL69" s="231">
        <v>9.818062263894764E-2</v>
      </c>
      <c r="AM69" s="141"/>
      <c r="AN69" s="231">
        <v>0.12062190781356424</v>
      </c>
      <c r="AO69" s="141"/>
      <c r="AP69" s="231">
        <v>0.35902794464680954</v>
      </c>
      <c r="AQ69" s="141"/>
      <c r="AR69" s="231">
        <v>3.6831681256048947</v>
      </c>
      <c r="AS69" s="141"/>
      <c r="AT69" s="231">
        <v>0.18499861426973147</v>
      </c>
      <c r="AU69" s="141"/>
      <c r="AV69" s="231">
        <v>5.8647428406919555E-2</v>
      </c>
      <c r="AW69" s="141"/>
      <c r="AX69" s="231">
        <v>8.3519660961824976E-2</v>
      </c>
      <c r="AY69" s="141"/>
      <c r="AZ69" s="231">
        <v>5.5287759260138292E-2</v>
      </c>
      <c r="BA69" s="141"/>
      <c r="BB69" s="231">
        <v>5.3265434142658302E-2</v>
      </c>
      <c r="BC69" s="141"/>
      <c r="BD69" s="231">
        <v>7.0716142817687219E-2</v>
      </c>
      <c r="BE69" s="141"/>
      <c r="BF69" s="231">
        <v>0.20174323954215651</v>
      </c>
      <c r="BG69" s="141"/>
      <c r="BH69" s="231">
        <v>0.12404681325445777</v>
      </c>
      <c r="BI69" s="141"/>
      <c r="BJ69" s="231">
        <v>8.0697295816862621E-2</v>
      </c>
      <c r="BK69" s="141"/>
    </row>
    <row r="70" spans="1:63" s="145" customFormat="1" x14ac:dyDescent="0.35">
      <c r="A70" s="146" t="s">
        <v>1532</v>
      </c>
      <c r="B70" s="49">
        <v>1257.2191971471905</v>
      </c>
      <c r="C70" s="47"/>
      <c r="D70" s="49">
        <v>480.24826641421384</v>
      </c>
      <c r="E70" s="47"/>
      <c r="F70" s="49">
        <v>1940.6845297696957</v>
      </c>
      <c r="G70" s="47"/>
      <c r="H70" s="49">
        <v>942.12048920780398</v>
      </c>
      <c r="I70" s="47"/>
      <c r="J70" s="49">
        <v>945.77477857937401</v>
      </c>
      <c r="K70" s="47"/>
      <c r="L70" s="49">
        <v>497.11107342106243</v>
      </c>
      <c r="M70" s="47"/>
      <c r="N70" s="49">
        <v>518.07713338623694</v>
      </c>
      <c r="O70" s="47"/>
      <c r="P70" s="49">
        <v>466.04268848188019</v>
      </c>
      <c r="Q70" s="47"/>
      <c r="R70" s="49">
        <v>1519.9314904266298</v>
      </c>
      <c r="S70" s="47"/>
      <c r="T70" s="49">
        <v>2166.8783307909403</v>
      </c>
      <c r="U70" s="47"/>
      <c r="V70" s="49">
        <v>1879.3964750058469</v>
      </c>
      <c r="W70" s="47"/>
      <c r="X70" s="49">
        <v>1066.3789447692261</v>
      </c>
      <c r="Y70" s="47"/>
      <c r="Z70" s="49">
        <v>614.88896627105635</v>
      </c>
      <c r="AA70" s="47"/>
      <c r="AB70" s="49">
        <v>1299.9964902854942</v>
      </c>
      <c r="AC70" s="47"/>
      <c r="AD70" s="49">
        <v>1243.5050658412692</v>
      </c>
      <c r="AE70" s="47"/>
      <c r="AF70" s="49">
        <v>685.94984217350657</v>
      </c>
      <c r="AG70" s="47"/>
      <c r="AH70" s="49">
        <v>30.616969891200746</v>
      </c>
      <c r="AI70" s="47"/>
      <c r="AJ70" s="49">
        <v>16527.116015635584</v>
      </c>
      <c r="AK70" s="47"/>
      <c r="AL70" s="49">
        <v>600.12982206011611</v>
      </c>
      <c r="AM70" s="47"/>
      <c r="AN70" s="49">
        <v>737.30235281671423</v>
      </c>
      <c r="AO70" s="47"/>
      <c r="AP70" s="49">
        <v>2194.5611134271426</v>
      </c>
      <c r="AQ70" s="47"/>
      <c r="AR70" s="49">
        <v>350.05315641761661</v>
      </c>
      <c r="AS70" s="47"/>
      <c r="AT70" s="49">
        <v>1054.5447350905345</v>
      </c>
      <c r="AU70" s="47"/>
      <c r="AV70" s="49">
        <v>358.48286380866745</v>
      </c>
      <c r="AW70" s="47"/>
      <c r="AX70" s="49">
        <v>418.89554284677064</v>
      </c>
      <c r="AY70" s="47"/>
      <c r="AZ70" s="49">
        <v>337.94685993086279</v>
      </c>
      <c r="BA70" s="47"/>
      <c r="BB70" s="49">
        <v>325.58538186849495</v>
      </c>
      <c r="BC70" s="47"/>
      <c r="BD70" s="49">
        <v>432.25297482602394</v>
      </c>
      <c r="BE70" s="47"/>
      <c r="BF70" s="49">
        <v>1233.1571260604048</v>
      </c>
      <c r="BG70" s="47"/>
      <c r="BH70" s="49">
        <v>758.23711405136942</v>
      </c>
      <c r="BI70" s="47"/>
      <c r="BJ70" s="49">
        <v>493.26285042416197</v>
      </c>
      <c r="BK70" s="47"/>
    </row>
    <row r="71" spans="1:63" s="145" customFormat="1" ht="13.15" x14ac:dyDescent="0.4">
      <c r="A71" s="158" t="s">
        <v>1663</v>
      </c>
      <c r="B71" s="387"/>
      <c r="C71" s="381"/>
      <c r="D71" s="387"/>
      <c r="E71" s="381"/>
      <c r="F71" s="387"/>
      <c r="G71" s="381"/>
      <c r="H71" s="387"/>
      <c r="I71" s="381"/>
      <c r="J71" s="387"/>
      <c r="K71" s="381"/>
      <c r="L71" s="387"/>
      <c r="M71" s="381"/>
      <c r="N71" s="387"/>
      <c r="O71" s="381"/>
      <c r="P71" s="387"/>
      <c r="Q71" s="381"/>
      <c r="R71" s="387"/>
      <c r="S71" s="381"/>
      <c r="T71" s="387"/>
      <c r="U71" s="381"/>
      <c r="V71" s="387"/>
      <c r="W71" s="381"/>
      <c r="X71" s="387"/>
      <c r="Y71" s="381"/>
      <c r="Z71" s="387"/>
      <c r="AA71" s="381"/>
      <c r="AB71" s="387"/>
      <c r="AC71" s="381"/>
      <c r="AD71" s="387"/>
      <c r="AE71" s="381"/>
      <c r="AF71" s="387"/>
      <c r="AG71" s="381"/>
      <c r="AH71" s="387"/>
      <c r="AI71" s="381"/>
      <c r="AJ71" s="387"/>
      <c r="AK71" s="381"/>
      <c r="AL71" s="387"/>
      <c r="AM71" s="381"/>
      <c r="AN71" s="387"/>
      <c r="AO71" s="381"/>
      <c r="AP71" s="387"/>
      <c r="AQ71" s="381"/>
      <c r="AR71" s="387"/>
      <c r="AS71" s="381"/>
      <c r="AT71" s="387"/>
      <c r="AU71" s="381"/>
      <c r="AV71" s="387"/>
      <c r="AW71" s="381"/>
      <c r="AX71" s="387"/>
      <c r="AY71" s="381"/>
      <c r="AZ71" s="387"/>
      <c r="BA71" s="381"/>
      <c r="BB71" s="387"/>
      <c r="BC71" s="381"/>
      <c r="BD71" s="387"/>
      <c r="BE71" s="381"/>
      <c r="BF71" s="387"/>
      <c r="BG71" s="381"/>
      <c r="BH71" s="387"/>
      <c r="BI71" s="381"/>
      <c r="BJ71" s="387"/>
      <c r="BK71" s="381"/>
    </row>
    <row r="72" spans="1:63" s="145" customFormat="1" x14ac:dyDescent="0.35">
      <c r="A72" s="146" t="s">
        <v>1525</v>
      </c>
      <c r="B72" s="232">
        <v>630.82274398673678</v>
      </c>
      <c r="C72" s="321">
        <v>453.59199999999998</v>
      </c>
      <c r="D72" s="232">
        <v>547.76155268193145</v>
      </c>
      <c r="E72" s="321">
        <v>627.38099999999997</v>
      </c>
      <c r="F72" s="232">
        <v>979.80075609020548</v>
      </c>
      <c r="G72" s="321">
        <v>7.6779999999999999</v>
      </c>
      <c r="H72" s="232">
        <v>573.77669312249543</v>
      </c>
      <c r="I72" s="321">
        <v>344.73</v>
      </c>
      <c r="J72" s="232">
        <v>576.37548865813881</v>
      </c>
      <c r="K72" s="321">
        <v>362.87400000000002</v>
      </c>
      <c r="L72" s="232">
        <v>538.20398558910097</v>
      </c>
      <c r="M72" s="321">
        <v>662.245</v>
      </c>
      <c r="N72" s="232">
        <v>594.12139221567384</v>
      </c>
      <c r="O72" s="321">
        <v>680.38900000000001</v>
      </c>
      <c r="P72" s="232">
        <v>543.25234788523608</v>
      </c>
      <c r="Q72" s="321">
        <v>671.31700000000001</v>
      </c>
      <c r="R72" s="232">
        <v>813.20185680284703</v>
      </c>
      <c r="S72" s="321">
        <v>18.434999999999999</v>
      </c>
      <c r="T72" s="232">
        <v>887.46099974389813</v>
      </c>
      <c r="U72" s="321">
        <v>19.611999999999998</v>
      </c>
      <c r="V72" s="232">
        <v>650.94933208384828</v>
      </c>
      <c r="W72" s="144"/>
      <c r="X72" s="232">
        <v>405.73782657667164</v>
      </c>
      <c r="Y72" s="321">
        <v>163.29300000000001</v>
      </c>
      <c r="Z72" s="232">
        <v>465.69785307514883</v>
      </c>
      <c r="AA72" s="321">
        <v>535.23900000000003</v>
      </c>
      <c r="AB72" s="232">
        <v>565.04011826752333</v>
      </c>
      <c r="AC72" s="321">
        <v>331.15</v>
      </c>
      <c r="AD72" s="232">
        <v>725.2409609692794</v>
      </c>
      <c r="AE72" s="321">
        <v>294.86599999999999</v>
      </c>
      <c r="AF72" s="232">
        <v>427.15345568366052</v>
      </c>
      <c r="AG72" s="321">
        <v>308.44299999999998</v>
      </c>
      <c r="AH72" s="232">
        <v>5.0724676380287033</v>
      </c>
      <c r="AI72" s="144"/>
      <c r="AJ72" s="232">
        <v>4957.3652469177878</v>
      </c>
      <c r="AK72" s="144"/>
      <c r="AL72" s="232">
        <v>45.315963452231536</v>
      </c>
      <c r="AM72" s="144"/>
      <c r="AN72" s="232">
        <v>55.673897955598747</v>
      </c>
      <c r="AO72" s="144"/>
      <c r="AP72" s="232">
        <v>165.7118969165158</v>
      </c>
      <c r="AQ72" s="144"/>
      <c r="AR72" s="232">
        <v>82.824715133606261</v>
      </c>
      <c r="AS72" s="144"/>
      <c r="AT72" s="232">
        <v>80.048210930063789</v>
      </c>
      <c r="AU72" s="144"/>
      <c r="AV72" s="232">
        <v>27.069136972462562</v>
      </c>
      <c r="AW72" s="144"/>
      <c r="AX72" s="232">
        <v>85.152787207324451</v>
      </c>
      <c r="AY72" s="144"/>
      <c r="AZ72" s="232">
        <v>25.51845782442939</v>
      </c>
      <c r="BA72" s="144"/>
      <c r="BB72" s="232">
        <v>24.585039308137578</v>
      </c>
      <c r="BC72" s="144"/>
      <c r="BD72" s="232">
        <v>32.639537795494348</v>
      </c>
      <c r="BE72" s="144"/>
      <c r="BF72" s="232">
        <v>93.116024568788063</v>
      </c>
      <c r="BG72" s="144"/>
      <c r="BH72" s="232">
        <v>57.254687378351015</v>
      </c>
      <c r="BI72" s="144"/>
      <c r="BJ72" s="232">
        <v>37.24640982751523</v>
      </c>
      <c r="BK72" s="144"/>
    </row>
    <row r="73" spans="1:63" s="145" customFormat="1" x14ac:dyDescent="0.35">
      <c r="A73" s="146" t="s">
        <v>1524</v>
      </c>
      <c r="B73" s="232">
        <v>2197.9232510431348</v>
      </c>
      <c r="C73" s="321">
        <v>8327.9560000000001</v>
      </c>
      <c r="D73" s="232">
        <v>1776.7456762546099</v>
      </c>
      <c r="E73" s="321">
        <v>3452.942</v>
      </c>
      <c r="F73" s="232">
        <v>3827.5498825633858</v>
      </c>
      <c r="G73" s="321">
        <v>356.61599999999999</v>
      </c>
      <c r="H73" s="232">
        <v>2072.9262300263863</v>
      </c>
      <c r="I73" s="321">
        <v>9062.7759999999998</v>
      </c>
      <c r="J73" s="232">
        <v>2076.5929242288453</v>
      </c>
      <c r="K73" s="321">
        <v>9017.4159999999993</v>
      </c>
      <c r="L73" s="232">
        <v>1804.8467179694201</v>
      </c>
      <c r="M73" s="321">
        <v>2685.2669999999998</v>
      </c>
      <c r="N73" s="232">
        <v>2029.8504001250362</v>
      </c>
      <c r="O73" s="321">
        <v>2685.2669999999998</v>
      </c>
      <c r="P73" s="232">
        <v>1818.9096077630436</v>
      </c>
      <c r="Q73" s="321">
        <v>2648.9789999999998</v>
      </c>
      <c r="R73" s="232">
        <v>3319.8059384215444</v>
      </c>
      <c r="S73" s="321">
        <v>5050.0559999999996</v>
      </c>
      <c r="T73" s="232">
        <v>3425.5789812033076</v>
      </c>
      <c r="U73" s="321">
        <v>1565.2940000000001</v>
      </c>
      <c r="V73" s="232">
        <v>2532.6286366591548</v>
      </c>
      <c r="W73" s="144"/>
      <c r="X73" s="232">
        <v>1674.7804253539894</v>
      </c>
      <c r="Y73" s="321">
        <v>12065.557000000001</v>
      </c>
      <c r="Z73" s="232">
        <v>1527.7179375397905</v>
      </c>
      <c r="AA73" s="321">
        <v>5252.6</v>
      </c>
      <c r="AB73" s="232">
        <v>2357.8130761926341</v>
      </c>
      <c r="AC73" s="321">
        <v>4041.6770000000001</v>
      </c>
      <c r="AD73" s="232">
        <v>2719.4910231786744</v>
      </c>
      <c r="AE73" s="321">
        <v>4566.5159999999996</v>
      </c>
      <c r="AF73" s="232">
        <v>1628.7474938448845</v>
      </c>
      <c r="AG73" s="321">
        <v>1188.412</v>
      </c>
      <c r="AH73" s="232">
        <v>30.085729211884779</v>
      </c>
      <c r="AI73" s="144"/>
      <c r="AJ73" s="232">
        <v>19968.675723926419</v>
      </c>
      <c r="AK73" s="144"/>
      <c r="AL73" s="232">
        <v>126.54174221451572</v>
      </c>
      <c r="AM73" s="144"/>
      <c r="AN73" s="232">
        <v>155.46556900640505</v>
      </c>
      <c r="AO73" s="144"/>
      <c r="AP73" s="232">
        <v>462.73918822431051</v>
      </c>
      <c r="AQ73" s="144"/>
      <c r="AR73" s="232">
        <v>388.9057959279466</v>
      </c>
      <c r="AS73" s="144"/>
      <c r="AT73" s="232">
        <v>226.54361533680043</v>
      </c>
      <c r="AU73" s="144"/>
      <c r="AV73" s="232">
        <v>75.588721761361896</v>
      </c>
      <c r="AW73" s="144"/>
      <c r="AX73" s="232">
        <v>315.32592151050471</v>
      </c>
      <c r="AY73" s="144"/>
      <c r="AZ73" s="232">
        <v>71.25855583176218</v>
      </c>
      <c r="BA73" s="144"/>
      <c r="BB73" s="232">
        <v>68.652048184818668</v>
      </c>
      <c r="BC73" s="144"/>
      <c r="BD73" s="232">
        <v>91.143686751186095</v>
      </c>
      <c r="BE73" s="144"/>
      <c r="BF73" s="232">
        <v>260.02015800557467</v>
      </c>
      <c r="BG73" s="144"/>
      <c r="BH73" s="232">
        <v>159.87981582784164</v>
      </c>
      <c r="BI73" s="144"/>
      <c r="BJ73" s="232">
        <v>104.00806320222989</v>
      </c>
      <c r="BK73" s="144"/>
    </row>
    <row r="74" spans="1:63" s="145" customFormat="1" x14ac:dyDescent="0.35">
      <c r="A74" s="146" t="s">
        <v>1523</v>
      </c>
      <c r="B74" s="232">
        <v>3612.4610932904375</v>
      </c>
      <c r="C74" s="321">
        <v>816.46600000000001</v>
      </c>
      <c r="D74" s="232">
        <v>2471.5680561980748</v>
      </c>
      <c r="E74" s="321">
        <v>85.652000000000001</v>
      </c>
      <c r="F74" s="232">
        <v>6554.8152966444341</v>
      </c>
      <c r="G74" s="321">
        <v>794.39499999999998</v>
      </c>
      <c r="H74" s="232">
        <v>3383.1734062056962</v>
      </c>
      <c r="I74" s="321">
        <v>390.089</v>
      </c>
      <c r="J74" s="232">
        <v>3387.1287289579418</v>
      </c>
      <c r="K74" s="321">
        <v>381.01799999999997</v>
      </c>
      <c r="L74" s="232">
        <v>2517.1303482670569</v>
      </c>
      <c r="M74" s="321">
        <v>88.903999999999996</v>
      </c>
      <c r="N74" s="232">
        <v>2820.0934284888394</v>
      </c>
      <c r="O74" s="321">
        <v>65.316999999999993</v>
      </c>
      <c r="P74" s="232">
        <v>2510.9482924215608</v>
      </c>
      <c r="Q74" s="321">
        <v>90.718000000000004</v>
      </c>
      <c r="R74" s="232">
        <v>6264.0453229850309</v>
      </c>
      <c r="S74" s="321">
        <v>7470.0879999999997</v>
      </c>
      <c r="T74" s="232">
        <v>6284.4011257888387</v>
      </c>
      <c r="U74" s="321">
        <v>1620.85</v>
      </c>
      <c r="V74" s="232">
        <v>4837.1174441361736</v>
      </c>
      <c r="W74" s="144"/>
      <c r="X74" s="232">
        <v>3402.2607150115996</v>
      </c>
      <c r="Y74" s="321">
        <v>217.72399999999999</v>
      </c>
      <c r="Z74" s="232">
        <v>2230.4479233379147</v>
      </c>
      <c r="AA74" s="321">
        <v>136.078</v>
      </c>
      <c r="AB74" s="232">
        <v>4421.5744447037578</v>
      </c>
      <c r="AC74" s="321">
        <v>257.33</v>
      </c>
      <c r="AD74" s="232">
        <v>4402.3920093228062</v>
      </c>
      <c r="AE74" s="321">
        <v>492.38200000000001</v>
      </c>
      <c r="AF74" s="232">
        <v>2563.1241980448558</v>
      </c>
      <c r="AG74" s="321">
        <v>59.874000000000002</v>
      </c>
      <c r="AH74" s="232">
        <v>99.789009885430005</v>
      </c>
      <c r="AI74" s="144"/>
      <c r="AJ74" s="232">
        <v>36370.142974755974</v>
      </c>
      <c r="AK74" s="144"/>
      <c r="AL74" s="232">
        <v>284.20213312741657</v>
      </c>
      <c r="AM74" s="144"/>
      <c r="AN74" s="232">
        <v>349.16262069939756</v>
      </c>
      <c r="AO74" s="144"/>
      <c r="AP74" s="232">
        <v>1039.2733818383635</v>
      </c>
      <c r="AQ74" s="144"/>
      <c r="AR74" s="232">
        <v>939.28314499276462</v>
      </c>
      <c r="AS74" s="144"/>
      <c r="AT74" s="232">
        <v>512.80007038321776</v>
      </c>
      <c r="AU74" s="144"/>
      <c r="AV74" s="232">
        <v>169.76592536979902</v>
      </c>
      <c r="AW74" s="144"/>
      <c r="AX74" s="232">
        <v>516.02799412835907</v>
      </c>
      <c r="AY74" s="144"/>
      <c r="AZ74" s="232">
        <v>160.04073609666816</v>
      </c>
      <c r="BA74" s="144"/>
      <c r="BB74" s="232">
        <v>154.18673867012336</v>
      </c>
      <c r="BC74" s="144"/>
      <c r="BD74" s="232">
        <v>204.70107130240507</v>
      </c>
      <c r="BE74" s="144"/>
      <c r="BF74" s="232">
        <v>583.98345295450883</v>
      </c>
      <c r="BG74" s="144"/>
      <c r="BH74" s="232">
        <v>359.07664859919117</v>
      </c>
      <c r="BI74" s="144"/>
      <c r="BJ74" s="232">
        <v>233.59338118180358</v>
      </c>
      <c r="BK74" s="144"/>
    </row>
    <row r="75" spans="1:63" s="145" customFormat="1" x14ac:dyDescent="0.35">
      <c r="A75" s="146" t="s">
        <v>1522</v>
      </c>
      <c r="B75" s="232">
        <v>233.08858159688572</v>
      </c>
      <c r="C75" s="321">
        <v>67.132000000000005</v>
      </c>
      <c r="D75" s="232">
        <v>82.146954062234954</v>
      </c>
      <c r="E75" s="321">
        <v>90.718000000000004</v>
      </c>
      <c r="F75" s="232">
        <v>657.25034185901643</v>
      </c>
      <c r="G75" s="321">
        <v>6175.3040000000001</v>
      </c>
      <c r="H75" s="232">
        <v>209.28298411517011</v>
      </c>
      <c r="I75" s="321">
        <v>50.802</v>
      </c>
      <c r="J75" s="232">
        <v>210.02674116410549</v>
      </c>
      <c r="K75" s="321">
        <v>62.595999999999997</v>
      </c>
      <c r="L75" s="232">
        <v>100.54878796659939</v>
      </c>
      <c r="M75" s="321">
        <v>127.006</v>
      </c>
      <c r="N75" s="232">
        <v>111.18836321222874</v>
      </c>
      <c r="O75" s="321">
        <v>117.934</v>
      </c>
      <c r="P75" s="232">
        <v>95.260959119400724</v>
      </c>
      <c r="Q75" s="321">
        <v>99.79</v>
      </c>
      <c r="R75" s="232">
        <v>755.18763350674351</v>
      </c>
      <c r="S75" s="321">
        <v>156.33500000000001</v>
      </c>
      <c r="T75" s="232">
        <v>711.70085366164017</v>
      </c>
      <c r="U75" s="321">
        <v>211.42400000000001</v>
      </c>
      <c r="V75" s="232">
        <v>561.90308770516197</v>
      </c>
      <c r="W75" s="144"/>
      <c r="X75" s="232">
        <v>255.38127577711984</v>
      </c>
      <c r="Y75" s="321">
        <v>18.143999999999998</v>
      </c>
      <c r="Z75" s="232">
        <v>104.01523066979475</v>
      </c>
      <c r="AA75" s="321">
        <v>90.718000000000004</v>
      </c>
      <c r="AB75" s="232">
        <v>328.52293717881918</v>
      </c>
      <c r="AC75" s="321">
        <v>102.21599999999999</v>
      </c>
      <c r="AD75" s="232">
        <v>350.2360874897775</v>
      </c>
      <c r="AE75" s="321">
        <v>91.331999999999994</v>
      </c>
      <c r="AF75" s="232">
        <v>135.87996550410935</v>
      </c>
      <c r="AG75" s="321">
        <v>53.524000000000001</v>
      </c>
      <c r="AH75" s="232">
        <v>22.008081464829601</v>
      </c>
      <c r="AI75" s="144"/>
      <c r="AJ75" s="232">
        <v>4005.6140647919497</v>
      </c>
      <c r="AK75" s="144"/>
      <c r="AL75" s="232">
        <v>51.329770247671334</v>
      </c>
      <c r="AM75" s="144"/>
      <c r="AN75" s="232">
        <v>63.062289161424786</v>
      </c>
      <c r="AO75" s="144"/>
      <c r="AP75" s="232">
        <v>187.70324954023866</v>
      </c>
      <c r="AQ75" s="144"/>
      <c r="AR75" s="232">
        <v>164.82010792077028</v>
      </c>
      <c r="AS75" s="144"/>
      <c r="AT75" s="232">
        <v>90.575173393054158</v>
      </c>
      <c r="AU75" s="144"/>
      <c r="AV75" s="232">
        <v>30.661437510070787</v>
      </c>
      <c r="AW75" s="144"/>
      <c r="AX75" s="232">
        <v>51.549048634876215</v>
      </c>
      <c r="AY75" s="144"/>
      <c r="AZ75" s="232">
        <v>28.904970288971068</v>
      </c>
      <c r="BA75" s="144"/>
      <c r="BB75" s="232">
        <v>27.847679340347938</v>
      </c>
      <c r="BC75" s="144"/>
      <c r="BD75" s="232">
        <v>36.971077042176567</v>
      </c>
      <c r="BE75" s="144"/>
      <c r="BF75" s="232">
        <v>105.47329866506551</v>
      </c>
      <c r="BG75" s="144"/>
      <c r="BH75" s="232">
        <v>64.85286254215751</v>
      </c>
      <c r="BI75" s="144"/>
      <c r="BJ75" s="232">
        <v>42.189319466026213</v>
      </c>
      <c r="BK75" s="144"/>
    </row>
    <row r="76" spans="1:63" s="145" customFormat="1" x14ac:dyDescent="0.35">
      <c r="A76" s="146" t="s">
        <v>1521</v>
      </c>
      <c r="B76" s="232">
        <v>160.10118829580301</v>
      </c>
      <c r="C76" s="321">
        <v>4.8079999999999998</v>
      </c>
      <c r="D76" s="232">
        <v>66.093372952185433</v>
      </c>
      <c r="E76" s="144">
        <v>9.0717999999999996</v>
      </c>
      <c r="F76" s="232">
        <v>405.54379801496418</v>
      </c>
      <c r="G76" s="144">
        <v>617.53039999999999</v>
      </c>
      <c r="H76" s="232">
        <v>157.08011294926163</v>
      </c>
      <c r="I76" s="321">
        <v>7.0759999999999996</v>
      </c>
      <c r="J76" s="232">
        <v>156.68713467953648</v>
      </c>
      <c r="K76" s="321">
        <v>6.6219999999999999</v>
      </c>
      <c r="L76" s="232">
        <v>78.218475743693489</v>
      </c>
      <c r="M76" s="321">
        <v>10.885999999999999</v>
      </c>
      <c r="N76" s="232">
        <v>91.077216510061916</v>
      </c>
      <c r="O76" s="321">
        <v>4.99</v>
      </c>
      <c r="P76" s="232">
        <v>76.13690298371931</v>
      </c>
      <c r="Q76" s="321">
        <v>9.0719999999999992</v>
      </c>
      <c r="R76" s="232">
        <v>436.9598613335537</v>
      </c>
      <c r="S76" s="144">
        <v>15.633500000000002</v>
      </c>
      <c r="T76" s="232">
        <v>414.02802536201443</v>
      </c>
      <c r="U76" s="144">
        <v>105.712</v>
      </c>
      <c r="V76" s="232">
        <v>331.84801487340826</v>
      </c>
      <c r="W76" s="144"/>
      <c r="X76" s="232">
        <v>166.25178139355188</v>
      </c>
      <c r="Y76" s="144">
        <v>1.8143999999999998</v>
      </c>
      <c r="Z76" s="232">
        <v>77.071197060830173</v>
      </c>
      <c r="AA76" s="321">
        <v>8.9999999999999993E-3</v>
      </c>
      <c r="AB76" s="232">
        <v>212.18426579693102</v>
      </c>
      <c r="AC76" s="321">
        <v>6.7530000000000001</v>
      </c>
      <c r="AD76" s="232">
        <v>227.66182627225217</v>
      </c>
      <c r="AE76" s="321">
        <v>9.0719999999999992</v>
      </c>
      <c r="AF76" s="232">
        <v>103.00006461698074</v>
      </c>
      <c r="AG76" s="321">
        <v>0.998</v>
      </c>
      <c r="AH76" s="232">
        <v>10.462966783109167</v>
      </c>
      <c r="AI76" s="144"/>
      <c r="AJ76" s="232">
        <v>2377.3569956102788</v>
      </c>
      <c r="AK76" s="144"/>
      <c r="AL76" s="232">
        <v>22.339545243371024</v>
      </c>
      <c r="AM76" s="144"/>
      <c r="AN76" s="232">
        <v>27.445727013284401</v>
      </c>
      <c r="AO76" s="144"/>
      <c r="AP76" s="232">
        <v>81.691486542785668</v>
      </c>
      <c r="AQ76" s="144"/>
      <c r="AR76" s="232">
        <v>84.121609188148483</v>
      </c>
      <c r="AS76" s="144"/>
      <c r="AT76" s="232">
        <v>39.640809791376277</v>
      </c>
      <c r="AU76" s="144"/>
      <c r="AV76" s="232">
        <v>13.344352939395716</v>
      </c>
      <c r="AW76" s="144"/>
      <c r="AX76" s="232">
        <v>31.750410024825769</v>
      </c>
      <c r="AY76" s="144"/>
      <c r="AZ76" s="232">
        <v>12.579910029074382</v>
      </c>
      <c r="BA76" s="144"/>
      <c r="BB76" s="232">
        <v>12.119759927715908</v>
      </c>
      <c r="BC76" s="144"/>
      <c r="BD76" s="232">
        <v>16.090409995889829</v>
      </c>
      <c r="BE76" s="144"/>
      <c r="BF76" s="232">
        <v>45.903683498421856</v>
      </c>
      <c r="BG76" s="144"/>
      <c r="BH76" s="232">
        <v>28.225013475262461</v>
      </c>
      <c r="BI76" s="144"/>
      <c r="BJ76" s="232">
        <v>18.361473399368744</v>
      </c>
      <c r="BK76" s="144"/>
    </row>
    <row r="77" spans="1:63" s="145" customFormat="1" x14ac:dyDescent="0.35">
      <c r="A77" s="146" t="s">
        <v>1520</v>
      </c>
      <c r="B77" s="232">
        <v>3131.0977856235836</v>
      </c>
      <c r="C77" s="321">
        <v>15422.141</v>
      </c>
      <c r="D77" s="232">
        <v>982.95328407684804</v>
      </c>
      <c r="E77" s="321">
        <v>20126.427</v>
      </c>
      <c r="F77" s="232">
        <v>9095.4627188661125</v>
      </c>
      <c r="G77" s="321">
        <v>596.721</v>
      </c>
      <c r="H77" s="232">
        <v>2144.8092112828913</v>
      </c>
      <c r="I77" s="321">
        <v>12337.712</v>
      </c>
      <c r="J77" s="232">
        <v>2186.4106550330521</v>
      </c>
      <c r="K77" s="321">
        <v>12791.305</v>
      </c>
      <c r="L77" s="232">
        <v>1148.6010287855024</v>
      </c>
      <c r="M77" s="321">
        <v>21137.403999999999</v>
      </c>
      <c r="N77" s="232">
        <v>1106.6647374363397</v>
      </c>
      <c r="O77" s="321">
        <v>21590.996999999999</v>
      </c>
      <c r="P77" s="232">
        <v>1049.0962973214384</v>
      </c>
      <c r="Q77" s="321">
        <v>21409.56</v>
      </c>
      <c r="R77" s="232">
        <v>11571.620332098826</v>
      </c>
      <c r="S77" s="321">
        <v>440.05399999999997</v>
      </c>
      <c r="T77" s="232">
        <v>10610.947863907069</v>
      </c>
      <c r="U77" s="321">
        <v>402.33</v>
      </c>
      <c r="V77" s="232">
        <v>8219.6858082321887</v>
      </c>
      <c r="W77" s="144"/>
      <c r="X77" s="232">
        <v>3395.5130876350877</v>
      </c>
      <c r="Y77" s="321">
        <v>6431.94</v>
      </c>
      <c r="Z77" s="232">
        <v>1223.8434300621891</v>
      </c>
      <c r="AA77" s="321">
        <v>17599.383999999998</v>
      </c>
      <c r="AB77" s="232">
        <v>4339.339773297057</v>
      </c>
      <c r="AC77" s="321">
        <v>11026.148999999999</v>
      </c>
      <c r="AD77" s="232">
        <v>4650.1375202609443</v>
      </c>
      <c r="AE77" s="321">
        <v>9885.8610000000008</v>
      </c>
      <c r="AF77" s="232">
        <v>1381.8063410684904</v>
      </c>
      <c r="AG77" s="321">
        <v>9797.5949999999993</v>
      </c>
      <c r="AH77" s="232">
        <v>404.82815537283335</v>
      </c>
      <c r="AI77" s="144"/>
      <c r="AJ77" s="232">
        <v>59360.004433998067</v>
      </c>
      <c r="AK77" s="144"/>
      <c r="AL77" s="232">
        <v>771.80610570300541</v>
      </c>
      <c r="AM77" s="144"/>
      <c r="AN77" s="232">
        <v>948.21892986369244</v>
      </c>
      <c r="AO77" s="144"/>
      <c r="AP77" s="232">
        <v>2822.3487725823857</v>
      </c>
      <c r="AQ77" s="144"/>
      <c r="AR77" s="232">
        <v>2801.4194591112223</v>
      </c>
      <c r="AS77" s="144"/>
      <c r="AT77" s="232">
        <v>1356.3049261508652</v>
      </c>
      <c r="AU77" s="144"/>
      <c r="AV77" s="232">
        <v>461.03235151295809</v>
      </c>
      <c r="AW77" s="144"/>
      <c r="AX77" s="232">
        <v>571.6406882725305</v>
      </c>
      <c r="AY77" s="144"/>
      <c r="AZ77" s="232">
        <v>434.62171068657619</v>
      </c>
      <c r="BA77" s="144"/>
      <c r="BB77" s="232">
        <v>418.72404339302585</v>
      </c>
      <c r="BC77" s="144"/>
      <c r="BD77" s="232">
        <v>555.90552729704848</v>
      </c>
      <c r="BE77" s="144"/>
      <c r="BF77" s="232">
        <v>1585.9205195259431</v>
      </c>
      <c r="BG77" s="144"/>
      <c r="BH77" s="232">
        <v>975.14239866728565</v>
      </c>
      <c r="BI77" s="144"/>
      <c r="BJ77" s="232">
        <v>634.36820781037727</v>
      </c>
      <c r="BK77" s="144"/>
    </row>
    <row r="78" spans="1:63" s="145" customFormat="1" x14ac:dyDescent="0.35">
      <c r="A78" s="146" t="s">
        <v>1519</v>
      </c>
      <c r="B78" s="232">
        <v>27.759311974448288</v>
      </c>
      <c r="C78" s="144"/>
      <c r="D78" s="232">
        <v>14.785620568450419</v>
      </c>
      <c r="E78" s="144"/>
      <c r="F78" s="232">
        <v>51.335251453162492</v>
      </c>
      <c r="G78" s="144"/>
      <c r="H78" s="232">
        <v>29.853573533037029</v>
      </c>
      <c r="I78" s="144"/>
      <c r="J78" s="232">
        <v>29.652261350800831</v>
      </c>
      <c r="K78" s="144"/>
      <c r="L78" s="232">
        <v>15.850479453463686</v>
      </c>
      <c r="M78" s="144"/>
      <c r="N78" s="232">
        <v>18.898349146916004</v>
      </c>
      <c r="O78" s="144"/>
      <c r="P78" s="232">
        <v>16.062662729656513</v>
      </c>
      <c r="Q78" s="144"/>
      <c r="R78" s="232">
        <v>49.703543877717507</v>
      </c>
      <c r="S78" s="144"/>
      <c r="T78" s="232">
        <v>48.457523769507169</v>
      </c>
      <c r="U78" s="144"/>
      <c r="V78" s="232">
        <v>39.340260293320235</v>
      </c>
      <c r="W78" s="144"/>
      <c r="X78" s="232">
        <v>37.845952020496945</v>
      </c>
      <c r="Y78" s="144"/>
      <c r="Z78" s="232">
        <v>14.956607578105656</v>
      </c>
      <c r="AA78" s="144"/>
      <c r="AB78" s="232">
        <v>46.703007743707765</v>
      </c>
      <c r="AC78" s="144"/>
      <c r="AD78" s="232">
        <v>49.749135406294542</v>
      </c>
      <c r="AE78" s="144"/>
      <c r="AF78" s="232">
        <v>23.217816255008042</v>
      </c>
      <c r="AG78" s="144"/>
      <c r="AH78" s="232">
        <v>0.76614802910879209</v>
      </c>
      <c r="AI78" s="144"/>
      <c r="AJ78" s="232">
        <v>285.92468978525471</v>
      </c>
      <c r="AK78" s="144"/>
      <c r="AL78" s="232">
        <v>1.6546730169771491</v>
      </c>
      <c r="AM78" s="144"/>
      <c r="AN78" s="232">
        <v>2.0328839922862119</v>
      </c>
      <c r="AO78" s="144"/>
      <c r="AP78" s="232">
        <v>6.0508258796901933</v>
      </c>
      <c r="AQ78" s="144"/>
      <c r="AR78" s="232">
        <v>7.464280096958583</v>
      </c>
      <c r="AS78" s="144"/>
      <c r="AT78" s="232">
        <v>3.1590203011749471</v>
      </c>
      <c r="AU78" s="144"/>
      <c r="AV78" s="232">
        <v>0.9884060081478121</v>
      </c>
      <c r="AW78" s="144"/>
      <c r="AX78" s="232">
        <v>4.1302859839907411</v>
      </c>
      <c r="AY78" s="144"/>
      <c r="AZ78" s="232">
        <v>0.93178430690241465</v>
      </c>
      <c r="BA78" s="144"/>
      <c r="BB78" s="232">
        <v>0.89770134110421418</v>
      </c>
      <c r="BC78" s="144"/>
      <c r="BD78" s="232">
        <v>1.1918043524273954</v>
      </c>
      <c r="BE78" s="144"/>
      <c r="BF78" s="232">
        <v>3.4000507009978964</v>
      </c>
      <c r="BG78" s="144"/>
      <c r="BH78" s="232">
        <v>2.0906051440412288</v>
      </c>
      <c r="BI78" s="144"/>
      <c r="BJ78" s="232">
        <v>1.3600202803991588</v>
      </c>
      <c r="BK78" s="144"/>
    </row>
    <row r="79" spans="1:63" s="145" customFormat="1" x14ac:dyDescent="0.35">
      <c r="A79" s="146" t="s">
        <v>1518</v>
      </c>
      <c r="B79" s="232">
        <v>48.746458123528143</v>
      </c>
      <c r="C79" s="144"/>
      <c r="D79" s="232">
        <v>22.461175825220369</v>
      </c>
      <c r="E79" s="144"/>
      <c r="F79" s="232">
        <v>98.608584637810523</v>
      </c>
      <c r="G79" s="144"/>
      <c r="H79" s="232">
        <v>49.759271091462836</v>
      </c>
      <c r="I79" s="144"/>
      <c r="J79" s="232">
        <v>49.269841444374308</v>
      </c>
      <c r="K79" s="144"/>
      <c r="L79" s="232">
        <v>26.290785019687185</v>
      </c>
      <c r="M79" s="144"/>
      <c r="N79" s="232">
        <v>32.304820304632671</v>
      </c>
      <c r="O79" s="144"/>
      <c r="P79" s="232">
        <v>26.07019280905633</v>
      </c>
      <c r="Q79" s="144"/>
      <c r="R79" s="232">
        <v>87.105720322931674</v>
      </c>
      <c r="S79" s="144"/>
      <c r="T79" s="232">
        <v>87.812219581358491</v>
      </c>
      <c r="U79" s="144"/>
      <c r="V79" s="232">
        <v>73.996283084279511</v>
      </c>
      <c r="W79" s="144"/>
      <c r="X79" s="232">
        <v>40.154722078909458</v>
      </c>
      <c r="Y79" s="144"/>
      <c r="Z79" s="232">
        <v>24.508034952004515</v>
      </c>
      <c r="AA79" s="144"/>
      <c r="AB79" s="232">
        <v>52.089183780590183</v>
      </c>
      <c r="AC79" s="144"/>
      <c r="AD79" s="232">
        <v>53.578843796957145</v>
      </c>
      <c r="AE79" s="144"/>
      <c r="AF79" s="232">
        <v>34.239976298931111</v>
      </c>
      <c r="AG79" s="144"/>
      <c r="AH79" s="232">
        <v>0.81397574170330456</v>
      </c>
      <c r="AI79" s="144"/>
      <c r="AJ79" s="232">
        <v>595.85702173788002</v>
      </c>
      <c r="AK79" s="144"/>
      <c r="AL79" s="232">
        <v>3.8845350352043297</v>
      </c>
      <c r="AM79" s="144"/>
      <c r="AN79" s="232">
        <v>4.7724287575367486</v>
      </c>
      <c r="AO79" s="144"/>
      <c r="AP79" s="232">
        <v>14.205009014117627</v>
      </c>
      <c r="AQ79" s="144"/>
      <c r="AR79" s="232">
        <v>11.204967142091412</v>
      </c>
      <c r="AS79" s="144"/>
      <c r="AT79" s="232">
        <v>6.9201422847805443</v>
      </c>
      <c r="AU79" s="144"/>
      <c r="AV79" s="232">
        <v>2.3203966755140817</v>
      </c>
      <c r="AW79" s="144"/>
      <c r="AX79" s="232">
        <v>9.6306176534964756</v>
      </c>
      <c r="AY79" s="144"/>
      <c r="AZ79" s="232">
        <v>2.1874707258044319</v>
      </c>
      <c r="BA79" s="144"/>
      <c r="BB79" s="232">
        <v>2.1074570473384289</v>
      </c>
      <c r="BC79" s="144"/>
      <c r="BD79" s="232">
        <v>2.7978976599079695</v>
      </c>
      <c r="BE79" s="144"/>
      <c r="BF79" s="232">
        <v>7.9820096985843119</v>
      </c>
      <c r="BG79" s="144"/>
      <c r="BH79" s="232">
        <v>4.9079357936485275</v>
      </c>
      <c r="BI79" s="144"/>
      <c r="BJ79" s="232">
        <v>3.1928038794337255</v>
      </c>
      <c r="BK79" s="144"/>
    </row>
    <row r="80" spans="1:63" s="145" customFormat="1" x14ac:dyDescent="0.35">
      <c r="A80" s="146" t="s">
        <v>1531</v>
      </c>
      <c r="B80" s="232">
        <v>12173.692666085863</v>
      </c>
      <c r="C80" s="321">
        <v>10160.468999999999</v>
      </c>
      <c r="D80" s="232">
        <v>11149.030090885706</v>
      </c>
      <c r="E80" s="321">
        <v>12299.587</v>
      </c>
      <c r="F80" s="232">
        <v>18121.742812411328</v>
      </c>
      <c r="G80" s="321">
        <v>1593.4059999999999</v>
      </c>
      <c r="H80" s="232">
        <v>11032.845361868403</v>
      </c>
      <c r="I80" s="321">
        <v>8545.68</v>
      </c>
      <c r="J80" s="232">
        <v>11107.336485371592</v>
      </c>
      <c r="K80" s="321">
        <v>8817.8359999999993</v>
      </c>
      <c r="L80" s="232">
        <v>10702.435616415947</v>
      </c>
      <c r="M80" s="321">
        <v>12791.305</v>
      </c>
      <c r="N80" s="232">
        <v>11628.020243003486</v>
      </c>
      <c r="O80" s="321">
        <v>12972.742</v>
      </c>
      <c r="P80" s="232">
        <v>10697.571555666475</v>
      </c>
      <c r="Q80" s="321">
        <v>12882.022999999999</v>
      </c>
      <c r="R80" s="232">
        <v>15013.931490313818</v>
      </c>
      <c r="S80" s="321">
        <v>2246.8270000000002</v>
      </c>
      <c r="T80" s="232">
        <v>16652.697085299471</v>
      </c>
      <c r="U80" s="321">
        <v>2024.299</v>
      </c>
      <c r="V80" s="232">
        <v>12049.110305051796</v>
      </c>
      <c r="W80" s="144"/>
      <c r="X80" s="232">
        <v>7705.3178863564135</v>
      </c>
      <c r="Y80" s="321">
        <v>5787.8389999999999</v>
      </c>
      <c r="Z80" s="232">
        <v>9237.3756581937505</v>
      </c>
      <c r="AA80" s="321">
        <v>11158.371999999999</v>
      </c>
      <c r="AB80" s="232">
        <v>10433.849687432788</v>
      </c>
      <c r="AC80" s="321">
        <v>7700.4660000000003</v>
      </c>
      <c r="AD80" s="232">
        <v>9569.7798701752563</v>
      </c>
      <c r="AE80" s="321">
        <v>6446.79</v>
      </c>
      <c r="AF80" s="232">
        <v>7956.2331723339748</v>
      </c>
      <c r="AG80" s="321">
        <v>5923.9160000000002</v>
      </c>
      <c r="AH80" s="232">
        <v>84.074966759477761</v>
      </c>
      <c r="AI80" s="144"/>
      <c r="AJ80" s="232">
        <v>85955.125550216064</v>
      </c>
      <c r="AK80" s="144"/>
      <c r="AL80" s="232">
        <v>800.49167592506478</v>
      </c>
      <c r="AM80" s="144"/>
      <c r="AN80" s="232">
        <v>983.46120185079383</v>
      </c>
      <c r="AO80" s="144"/>
      <c r="AP80" s="232">
        <v>2927.2464707332852</v>
      </c>
      <c r="AQ80" s="144"/>
      <c r="AR80" s="232">
        <v>1412.2337932587322</v>
      </c>
      <c r="AS80" s="144"/>
      <c r="AT80" s="232">
        <v>1411.0160347268068</v>
      </c>
      <c r="AU80" s="144"/>
      <c r="AV80" s="232">
        <v>478.1674529279955</v>
      </c>
      <c r="AW80" s="144"/>
      <c r="AX80" s="232">
        <v>1482.6424485945054</v>
      </c>
      <c r="AY80" s="144"/>
      <c r="AZ80" s="232">
        <v>450.77521285481225</v>
      </c>
      <c r="BA80" s="144"/>
      <c r="BB80" s="232">
        <v>434.28667999522617</v>
      </c>
      <c r="BC80" s="144"/>
      <c r="BD80" s="232">
        <v>576.56676192875102</v>
      </c>
      <c r="BE80" s="144"/>
      <c r="BF80" s="232">
        <v>1644.8641247828989</v>
      </c>
      <c r="BG80" s="144"/>
      <c r="BH80" s="232">
        <v>1011.385330080738</v>
      </c>
      <c r="BI80" s="144"/>
      <c r="BJ80" s="232">
        <v>657.94564991315963</v>
      </c>
      <c r="BK80" s="144"/>
    </row>
    <row r="81" spans="1:79" s="145" customFormat="1" x14ac:dyDescent="0.35">
      <c r="A81" s="146" t="s">
        <v>1530</v>
      </c>
      <c r="B81" s="232">
        <v>83.033792826760916</v>
      </c>
      <c r="C81" s="144"/>
      <c r="D81" s="232">
        <v>71.238769612268527</v>
      </c>
      <c r="E81" s="144"/>
      <c r="F81" s="232">
        <v>155.91525848683804</v>
      </c>
      <c r="G81" s="144">
        <v>3.0000000000000001E-3</v>
      </c>
      <c r="H81" s="232">
        <v>74.759420637289679</v>
      </c>
      <c r="I81" s="144"/>
      <c r="J81" s="232">
        <v>75.124085138330642</v>
      </c>
      <c r="K81" s="144"/>
      <c r="L81" s="232">
        <v>73.23679429511283</v>
      </c>
      <c r="M81" s="144"/>
      <c r="N81" s="232">
        <v>81.500378848668234</v>
      </c>
      <c r="O81" s="144">
        <v>0.90700000000000003</v>
      </c>
      <c r="P81" s="232">
        <v>72.861745325518768</v>
      </c>
      <c r="Q81" s="144">
        <v>15.422000000000001</v>
      </c>
      <c r="R81" s="232">
        <v>132.96232594322487</v>
      </c>
      <c r="S81" s="144">
        <v>7809.8329999999996</v>
      </c>
      <c r="T81" s="232">
        <v>137.96599186872302</v>
      </c>
      <c r="U81" s="144">
        <v>662.08299999999997</v>
      </c>
      <c r="V81" s="232">
        <v>98.505442577866546</v>
      </c>
      <c r="W81" s="144"/>
      <c r="X81" s="232">
        <v>52.279771218022475</v>
      </c>
      <c r="Y81" s="144"/>
      <c r="Z81" s="232">
        <v>59.159069212588768</v>
      </c>
      <c r="AA81" s="144">
        <v>4.0819999999999999</v>
      </c>
      <c r="AB81" s="232">
        <v>81.088372179832618</v>
      </c>
      <c r="AC81" s="144">
        <v>6.4500000000000002E-2</v>
      </c>
      <c r="AD81" s="232">
        <v>72.305775691992906</v>
      </c>
      <c r="AE81" s="144"/>
      <c r="AF81" s="232">
        <v>61.815144205485502</v>
      </c>
      <c r="AG81" s="144"/>
      <c r="AH81" s="232">
        <v>1.2411871048957752</v>
      </c>
      <c r="AI81" s="144"/>
      <c r="AJ81" s="232">
        <v>829.56242896235517</v>
      </c>
      <c r="AK81" s="144"/>
      <c r="AL81" s="232">
        <v>6.4819112064976219</v>
      </c>
      <c r="AM81" s="144"/>
      <c r="AN81" s="232">
        <v>7.9634909108399361</v>
      </c>
      <c r="AO81" s="144"/>
      <c r="AP81" s="232">
        <v>23.703121810604429</v>
      </c>
      <c r="AQ81" s="144"/>
      <c r="AR81" s="232">
        <v>16.136041561363879</v>
      </c>
      <c r="AS81" s="144"/>
      <c r="AT81" s="232">
        <v>11.516160457846645</v>
      </c>
      <c r="AU81" s="144"/>
      <c r="AV81" s="232">
        <v>3.8719190529178493</v>
      </c>
      <c r="AW81" s="144"/>
      <c r="AX81" s="232">
        <v>13.566269773055879</v>
      </c>
      <c r="AY81" s="144"/>
      <c r="AZ81" s="232">
        <v>3.6501127890410201</v>
      </c>
      <c r="BA81" s="144"/>
      <c r="BB81" s="232">
        <v>3.5165983389404047</v>
      </c>
      <c r="BC81" s="144"/>
      <c r="BD81" s="232">
        <v>4.668698835776361</v>
      </c>
      <c r="BE81" s="144"/>
      <c r="BF81" s="232">
        <v>13.319143126972689</v>
      </c>
      <c r="BG81" s="144"/>
      <c r="BH81" s="232">
        <v>8.1896040924619466</v>
      </c>
      <c r="BI81" s="144"/>
      <c r="BJ81" s="232">
        <v>5.327657250789076</v>
      </c>
      <c r="BK81" s="144"/>
    </row>
    <row r="82" spans="1:79" s="48" customFormat="1" x14ac:dyDescent="0.35">
      <c r="A82" s="152" t="s">
        <v>1529</v>
      </c>
      <c r="B82" s="389">
        <v>2185891.1667295443</v>
      </c>
      <c r="C82" s="539">
        <v>235868.03200000001</v>
      </c>
      <c r="D82" s="389">
        <v>845456.19979419722</v>
      </c>
      <c r="E82" s="539">
        <v>65708.429999999993</v>
      </c>
      <c r="F82" s="389">
        <v>4821488.8227239698</v>
      </c>
      <c r="G82" s="539">
        <v>293928.196</v>
      </c>
      <c r="H82" s="389">
        <v>1924382.5731752205</v>
      </c>
      <c r="I82" s="539">
        <v>303906.88799999998</v>
      </c>
      <c r="J82" s="389">
        <v>1911528.5822313996</v>
      </c>
      <c r="K82" s="539">
        <v>288484.74699999997</v>
      </c>
      <c r="L82" s="389">
        <v>1079225.4111910285</v>
      </c>
      <c r="M82" s="539">
        <v>69762.506999999998</v>
      </c>
      <c r="N82" s="389">
        <v>1305284.6823406287</v>
      </c>
      <c r="O82" s="539">
        <v>80104.413</v>
      </c>
      <c r="P82" s="389">
        <v>1043521.6956241044</v>
      </c>
      <c r="Q82" s="539">
        <v>116119.647</v>
      </c>
      <c r="R82" s="389">
        <v>4332779.1085737962</v>
      </c>
      <c r="S82" s="539">
        <v>1043225.845</v>
      </c>
      <c r="T82" s="389">
        <v>4465944.8747405102</v>
      </c>
      <c r="U82" s="539">
        <v>835981.451</v>
      </c>
      <c r="V82" s="389">
        <v>3670183.1101445775</v>
      </c>
      <c r="W82" s="150"/>
      <c r="X82" s="389">
        <v>1701761.6136653544</v>
      </c>
      <c r="Y82" s="539">
        <v>268526.68300000002</v>
      </c>
      <c r="Z82" s="389">
        <v>969184.61270142091</v>
      </c>
      <c r="AA82" s="539">
        <v>73754.119000000006</v>
      </c>
      <c r="AB82" s="389">
        <v>2425537.4104405581</v>
      </c>
      <c r="AC82" s="539">
        <v>156840.32000000001</v>
      </c>
      <c r="AD82" s="389">
        <v>2245918.7567292145</v>
      </c>
      <c r="AE82" s="539">
        <v>201689.71100000001</v>
      </c>
      <c r="AF82" s="389">
        <v>1535823.7679989117</v>
      </c>
      <c r="AG82" s="539">
        <v>83098.122000000003</v>
      </c>
      <c r="AH82" s="389">
        <v>65674.550065190968</v>
      </c>
      <c r="AI82" s="150"/>
      <c r="AJ82" s="389">
        <v>33394439.572631307</v>
      </c>
      <c r="AK82" s="150"/>
      <c r="AL82" s="389">
        <v>419406.0292527827</v>
      </c>
      <c r="AM82" s="150"/>
      <c r="AN82" s="389">
        <v>515270.26451056165</v>
      </c>
      <c r="AO82" s="150"/>
      <c r="AP82" s="389">
        <v>1533688.4265732158</v>
      </c>
      <c r="AQ82" s="150"/>
      <c r="AR82" s="389">
        <v>721038.89449218416</v>
      </c>
      <c r="AS82" s="150"/>
      <c r="AT82" s="389">
        <v>738917.65458871028</v>
      </c>
      <c r="AU82" s="150"/>
      <c r="AV82" s="389">
        <v>250528.91714169548</v>
      </c>
      <c r="AW82" s="150"/>
      <c r="AX82" s="389">
        <v>560860.52549015847</v>
      </c>
      <c r="AY82" s="150"/>
      <c r="AZ82" s="389">
        <v>236177.149363278</v>
      </c>
      <c r="BA82" s="150"/>
      <c r="BB82" s="389">
        <v>227538.22118597815</v>
      </c>
      <c r="BC82" s="150"/>
      <c r="BD82" s="389">
        <v>302083.811103001</v>
      </c>
      <c r="BE82" s="150"/>
      <c r="BF82" s="389">
        <v>861802.75446128275</v>
      </c>
      <c r="BG82" s="150"/>
      <c r="BH82" s="389">
        <v>529900.70739147265</v>
      </c>
      <c r="BI82" s="150"/>
      <c r="BJ82" s="389">
        <v>344721.10178451316</v>
      </c>
      <c r="BK82" s="150"/>
    </row>
    <row r="83" spans="1:79" s="145" customFormat="1" ht="13.15" x14ac:dyDescent="0.4">
      <c r="A83" s="149" t="s">
        <v>1662</v>
      </c>
      <c r="B83" s="411"/>
      <c r="C83" s="147"/>
      <c r="D83" s="411"/>
      <c r="E83" s="147"/>
      <c r="F83" s="411"/>
      <c r="G83" s="147"/>
      <c r="H83" s="411"/>
      <c r="I83" s="147"/>
      <c r="J83" s="411"/>
      <c r="K83" s="147"/>
      <c r="L83" s="411"/>
      <c r="M83" s="147"/>
      <c r="N83" s="411"/>
      <c r="O83" s="147"/>
      <c r="P83" s="411"/>
      <c r="Q83" s="147"/>
      <c r="R83" s="411"/>
      <c r="S83" s="147"/>
      <c r="T83" s="411"/>
      <c r="U83" s="147"/>
      <c r="V83" s="411"/>
      <c r="W83" s="147"/>
      <c r="X83" s="411"/>
      <c r="Y83" s="147"/>
      <c r="Z83" s="411"/>
      <c r="AA83" s="147"/>
      <c r="AB83" s="411"/>
      <c r="AC83" s="147"/>
      <c r="AD83" s="411"/>
      <c r="AE83" s="147"/>
      <c r="AF83" s="411"/>
      <c r="AG83" s="147"/>
      <c r="AH83" s="411"/>
      <c r="AI83" s="147"/>
      <c r="AJ83" s="411"/>
      <c r="AK83" s="147"/>
      <c r="AL83" s="411"/>
      <c r="AM83" s="147"/>
      <c r="AN83" s="411"/>
      <c r="AO83" s="147"/>
      <c r="AP83" s="411"/>
      <c r="AQ83" s="147"/>
      <c r="AR83" s="411"/>
      <c r="AS83" s="147"/>
      <c r="AT83" s="411"/>
      <c r="AU83" s="147"/>
      <c r="AV83" s="411"/>
      <c r="AW83" s="147"/>
      <c r="AX83" s="411"/>
      <c r="AY83" s="147"/>
      <c r="AZ83" s="411"/>
      <c r="BA83" s="147"/>
      <c r="BB83" s="411"/>
      <c r="BC83" s="147"/>
      <c r="BD83" s="411"/>
      <c r="BE83" s="147"/>
      <c r="BF83" s="411"/>
      <c r="BG83" s="147"/>
      <c r="BH83" s="411"/>
      <c r="BI83" s="147"/>
      <c r="BJ83" s="411"/>
      <c r="BK83" s="147"/>
    </row>
    <row r="84" spans="1:79" s="145" customFormat="1" x14ac:dyDescent="0.35">
      <c r="A84" s="146" t="s">
        <v>1525</v>
      </c>
      <c r="B84" s="232">
        <v>45.539898955072537</v>
      </c>
      <c r="C84" s="147">
        <v>0</v>
      </c>
      <c r="D84" s="232">
        <v>36.103190324145601</v>
      </c>
      <c r="E84" s="147">
        <v>0</v>
      </c>
      <c r="F84" s="232">
        <v>69.073820228636023</v>
      </c>
      <c r="G84" s="147">
        <v>0</v>
      </c>
      <c r="H84" s="232">
        <v>44.348607605499957</v>
      </c>
      <c r="I84" s="147">
        <v>0</v>
      </c>
      <c r="J84" s="232">
        <v>44.534984360067199</v>
      </c>
      <c r="K84" s="147">
        <v>0</v>
      </c>
      <c r="L84" s="232">
        <v>33.4130887122557</v>
      </c>
      <c r="M84" s="147">
        <v>0</v>
      </c>
      <c r="N84" s="232">
        <v>35.910369041146964</v>
      </c>
      <c r="O84" s="147">
        <v>0</v>
      </c>
      <c r="P84" s="232">
        <v>33.413185984938366</v>
      </c>
      <c r="Q84" s="147">
        <v>0</v>
      </c>
      <c r="R84" s="232">
        <v>67.033638249675136</v>
      </c>
      <c r="S84" s="147">
        <v>0</v>
      </c>
      <c r="T84" s="232">
        <v>71.332875255944174</v>
      </c>
      <c r="U84" s="147">
        <v>0</v>
      </c>
      <c r="V84" s="232">
        <v>56.197525975194424</v>
      </c>
      <c r="W84" s="147">
        <v>0</v>
      </c>
      <c r="X84" s="232">
        <v>35.757028404144428</v>
      </c>
      <c r="Y84" s="147">
        <v>0</v>
      </c>
      <c r="Z84" s="232">
        <v>32.605125245079989</v>
      </c>
      <c r="AA84" s="147">
        <v>0</v>
      </c>
      <c r="AB84" s="232">
        <v>39.960540496240213</v>
      </c>
      <c r="AC84" s="147">
        <v>0</v>
      </c>
      <c r="AD84" s="232">
        <v>44.346403013489777</v>
      </c>
      <c r="AE84" s="147">
        <v>0</v>
      </c>
      <c r="AF84" s="232">
        <v>24.601425528543462</v>
      </c>
      <c r="AG84" s="147">
        <v>0</v>
      </c>
      <c r="AH84" s="232">
        <v>0.98349324685255479</v>
      </c>
      <c r="AI84" s="147">
        <v>0</v>
      </c>
      <c r="AJ84" s="232">
        <v>305.01354574358436</v>
      </c>
      <c r="AK84" s="147">
        <v>0</v>
      </c>
      <c r="AL84" s="232">
        <v>3.2264857678886791</v>
      </c>
      <c r="AM84" s="147">
        <v>0</v>
      </c>
      <c r="AN84" s="232">
        <v>3.9639682291203777</v>
      </c>
      <c r="AO84" s="147">
        <v>0</v>
      </c>
      <c r="AP84" s="232">
        <v>11.798647457525147</v>
      </c>
      <c r="AQ84" s="147">
        <v>0</v>
      </c>
      <c r="AR84" s="232">
        <v>8.8881972402022846</v>
      </c>
      <c r="AS84" s="147">
        <v>0</v>
      </c>
      <c r="AT84" s="232">
        <v>5.7236978369359326</v>
      </c>
      <c r="AU84" s="147">
        <v>0</v>
      </c>
      <c r="AV84" s="232">
        <v>1.9273160832770251</v>
      </c>
      <c r="AW84" s="147">
        <v>0</v>
      </c>
      <c r="AX84" s="232">
        <v>4.7221783566277127</v>
      </c>
      <c r="AY84" s="147">
        <v>0</v>
      </c>
      <c r="AZ84" s="232">
        <v>1.816908098528675</v>
      </c>
      <c r="BA84" s="147">
        <v>0</v>
      </c>
      <c r="BB84" s="232">
        <v>1.7504489232432603</v>
      </c>
      <c r="BC84" s="147">
        <v>0</v>
      </c>
      <c r="BD84" s="232">
        <v>2.3239272906254675</v>
      </c>
      <c r="BE84" s="147">
        <v>0</v>
      </c>
      <c r="BF84" s="232">
        <v>6.6298386958111228</v>
      </c>
      <c r="BG84" s="147">
        <v>0</v>
      </c>
      <c r="BH84" s="232">
        <v>4.0765200582327736</v>
      </c>
      <c r="BI84" s="147">
        <v>0</v>
      </c>
      <c r="BJ84" s="232">
        <v>2.6519354783244498</v>
      </c>
      <c r="BK84" s="147">
        <v>0</v>
      </c>
    </row>
    <row r="85" spans="1:79" s="145" customFormat="1" x14ac:dyDescent="0.35">
      <c r="A85" s="146" t="s">
        <v>1524</v>
      </c>
      <c r="B85" s="232">
        <v>153.06526142394682</v>
      </c>
      <c r="C85" s="147">
        <v>0</v>
      </c>
      <c r="D85" s="232">
        <v>138.42125794321336</v>
      </c>
      <c r="E85" s="147">
        <v>0</v>
      </c>
      <c r="F85" s="232">
        <v>257.85992093722655</v>
      </c>
      <c r="G85" s="147">
        <v>0</v>
      </c>
      <c r="H85" s="232">
        <v>128.03943013966759</v>
      </c>
      <c r="I85" s="147">
        <v>0</v>
      </c>
      <c r="J85" s="232">
        <v>129.30650330943541</v>
      </c>
      <c r="K85" s="147">
        <v>0</v>
      </c>
      <c r="L85" s="232">
        <v>138.72262803369438</v>
      </c>
      <c r="M85" s="147">
        <v>0</v>
      </c>
      <c r="N85" s="232">
        <v>150.86842672495635</v>
      </c>
      <c r="O85" s="147">
        <v>0</v>
      </c>
      <c r="P85" s="232">
        <v>137.87850763096719</v>
      </c>
      <c r="Q85" s="147">
        <v>0</v>
      </c>
      <c r="R85" s="232">
        <v>202.85227844637981</v>
      </c>
      <c r="S85" s="147">
        <v>0</v>
      </c>
      <c r="T85" s="232">
        <v>233.95361127677455</v>
      </c>
      <c r="U85" s="147">
        <v>0</v>
      </c>
      <c r="V85" s="232">
        <v>162.9663593107741</v>
      </c>
      <c r="W85" s="147">
        <v>0</v>
      </c>
      <c r="X85" s="232">
        <v>93.967441765054033</v>
      </c>
      <c r="Y85" s="147">
        <v>0</v>
      </c>
      <c r="Z85" s="232">
        <v>114.15746869314795</v>
      </c>
      <c r="AA85" s="147">
        <v>0</v>
      </c>
      <c r="AB85" s="232">
        <v>148.7538402982897</v>
      </c>
      <c r="AC85" s="147">
        <v>0</v>
      </c>
      <c r="AD85" s="232">
        <v>133.34445865278838</v>
      </c>
      <c r="AE85" s="147">
        <v>0</v>
      </c>
      <c r="AF85" s="232">
        <v>112.95657794579847</v>
      </c>
      <c r="AG85" s="147">
        <v>0</v>
      </c>
      <c r="AH85" s="232">
        <v>1.6226180833912403</v>
      </c>
      <c r="AI85" s="147">
        <v>0</v>
      </c>
      <c r="AJ85" s="232">
        <v>1455.1838331190957</v>
      </c>
      <c r="AK85" s="147">
        <v>0</v>
      </c>
      <c r="AL85" s="232">
        <v>25.251300483777115</v>
      </c>
      <c r="AM85" s="147">
        <v>0</v>
      </c>
      <c r="AN85" s="232">
        <v>31.023026308640457</v>
      </c>
      <c r="AO85" s="147">
        <v>0</v>
      </c>
      <c r="AP85" s="232">
        <v>92.339224061440106</v>
      </c>
      <c r="AQ85" s="147">
        <v>0</v>
      </c>
      <c r="AR85" s="232">
        <v>25.319890459383334</v>
      </c>
      <c r="AS85" s="147">
        <v>0</v>
      </c>
      <c r="AT85" s="232">
        <v>44.431815664725036</v>
      </c>
      <c r="AU85" s="147">
        <v>0</v>
      </c>
      <c r="AV85" s="232">
        <v>15.083667199279487</v>
      </c>
      <c r="AW85" s="147">
        <v>0</v>
      </c>
      <c r="AX85" s="232">
        <v>29.294208853959134</v>
      </c>
      <c r="AY85" s="147">
        <v>0</v>
      </c>
      <c r="AZ85" s="232">
        <v>14.219586152824656</v>
      </c>
      <c r="BA85" s="147">
        <v>0</v>
      </c>
      <c r="BB85" s="232">
        <v>13.699459697677087</v>
      </c>
      <c r="BC85" s="147">
        <v>0</v>
      </c>
      <c r="BD85" s="232">
        <v>18.187647657418204</v>
      </c>
      <c r="BE85" s="147">
        <v>0</v>
      </c>
      <c r="BF85" s="232">
        <v>51.886808469156634</v>
      </c>
      <c r="BG85" s="147">
        <v>0</v>
      </c>
      <c r="BH85" s="232">
        <v>31.903885627841984</v>
      </c>
      <c r="BI85" s="147">
        <v>0</v>
      </c>
      <c r="BJ85" s="232">
        <v>20.754723387662654</v>
      </c>
      <c r="BK85" s="147">
        <v>0</v>
      </c>
    </row>
    <row r="86" spans="1:79" s="145" customFormat="1" x14ac:dyDescent="0.35">
      <c r="A86" s="146" t="s">
        <v>1523</v>
      </c>
      <c r="B86" s="232">
        <v>239.82162934905941</v>
      </c>
      <c r="C86" s="147">
        <v>0</v>
      </c>
      <c r="D86" s="232">
        <v>180.07492701463059</v>
      </c>
      <c r="E86" s="147">
        <v>0</v>
      </c>
      <c r="F86" s="232">
        <v>405.25326505991472</v>
      </c>
      <c r="G86" s="147">
        <v>0</v>
      </c>
      <c r="H86" s="232">
        <v>189.35742993038355</v>
      </c>
      <c r="I86" s="147">
        <v>0</v>
      </c>
      <c r="J86" s="232">
        <v>191.11001603949452</v>
      </c>
      <c r="K86" s="147">
        <v>0</v>
      </c>
      <c r="L86" s="232">
        <v>183.73409283602439</v>
      </c>
      <c r="M86" s="147">
        <v>0</v>
      </c>
      <c r="N86" s="232">
        <v>198.68109902444334</v>
      </c>
      <c r="O86" s="147">
        <v>0</v>
      </c>
      <c r="P86" s="232">
        <v>180.8173033219594</v>
      </c>
      <c r="Q86" s="147">
        <v>0</v>
      </c>
      <c r="R86" s="232">
        <v>315.35274612957994</v>
      </c>
      <c r="S86" s="147">
        <v>0</v>
      </c>
      <c r="T86" s="232">
        <v>388.31490882388334</v>
      </c>
      <c r="U86" s="147">
        <v>0</v>
      </c>
      <c r="V86" s="232">
        <v>288.20284967860215</v>
      </c>
      <c r="W86" s="147">
        <v>0</v>
      </c>
      <c r="X86" s="232">
        <v>161.69245725044374</v>
      </c>
      <c r="Y86" s="147">
        <v>0</v>
      </c>
      <c r="Z86" s="232">
        <v>159.87046742308971</v>
      </c>
      <c r="AA86" s="147">
        <v>0</v>
      </c>
      <c r="AB86" s="232">
        <v>243.97971894842425</v>
      </c>
      <c r="AC86" s="147">
        <v>0</v>
      </c>
      <c r="AD86" s="232">
        <v>222.18084747850594</v>
      </c>
      <c r="AE86" s="147">
        <v>0</v>
      </c>
      <c r="AF86" s="232">
        <v>168.79103146284771</v>
      </c>
      <c r="AG86" s="147">
        <v>0</v>
      </c>
      <c r="AH86" s="232">
        <v>3.7268045012277478</v>
      </c>
      <c r="AI86" s="147">
        <v>0</v>
      </c>
      <c r="AJ86" s="232">
        <v>2681.7817687301172</v>
      </c>
      <c r="AK86" s="147">
        <v>0</v>
      </c>
      <c r="AL86" s="232">
        <v>66.133146818417103</v>
      </c>
      <c r="AM86" s="147">
        <v>0</v>
      </c>
      <c r="AN86" s="232">
        <v>81.249294662626724</v>
      </c>
      <c r="AO86" s="147">
        <v>0</v>
      </c>
      <c r="AP86" s="232">
        <v>241.83639436223157</v>
      </c>
      <c r="AQ86" s="147">
        <v>0</v>
      </c>
      <c r="AR86" s="232">
        <v>50.354805141102275</v>
      </c>
      <c r="AS86" s="147">
        <v>0</v>
      </c>
      <c r="AT86" s="232">
        <v>116.28285089323431</v>
      </c>
      <c r="AU86" s="147">
        <v>0</v>
      </c>
      <c r="AV86" s="232">
        <v>39.50411893007108</v>
      </c>
      <c r="AW86" s="147">
        <v>0</v>
      </c>
      <c r="AX86" s="232">
        <v>59.306789404298101</v>
      </c>
      <c r="AY86" s="147">
        <v>0</v>
      </c>
      <c r="AZ86" s="232">
        <v>37.241090982464115</v>
      </c>
      <c r="BA86" s="147">
        <v>0</v>
      </c>
      <c r="BB86" s="232">
        <v>35.878879984875454</v>
      </c>
      <c r="BC86" s="147">
        <v>0</v>
      </c>
      <c r="BD86" s="232">
        <v>47.633442625358235</v>
      </c>
      <c r="BE86" s="147">
        <v>0</v>
      </c>
      <c r="BF86" s="232">
        <v>135.89153258202981</v>
      </c>
      <c r="BG86" s="147">
        <v>0</v>
      </c>
      <c r="BH86" s="232">
        <v>83.556264900478482</v>
      </c>
      <c r="BI86" s="147">
        <v>0</v>
      </c>
      <c r="BJ86" s="232">
        <v>54.356613032811936</v>
      </c>
      <c r="BK86" s="147">
        <v>0</v>
      </c>
    </row>
    <row r="87" spans="1:79" s="145" customFormat="1" x14ac:dyDescent="0.35">
      <c r="A87" s="146" t="s">
        <v>1522</v>
      </c>
      <c r="B87" s="232">
        <v>12.269337909464772</v>
      </c>
      <c r="C87" s="147">
        <v>0</v>
      </c>
      <c r="D87" s="232">
        <v>3.3912756585528956</v>
      </c>
      <c r="E87" s="147">
        <v>0</v>
      </c>
      <c r="F87" s="232">
        <v>23.978836518541918</v>
      </c>
      <c r="G87" s="147">
        <v>0</v>
      </c>
      <c r="H87" s="232">
        <v>7.5432787272993203</v>
      </c>
      <c r="I87" s="147">
        <v>0</v>
      </c>
      <c r="J87" s="232">
        <v>7.6219752888127879</v>
      </c>
      <c r="K87" s="147">
        <v>0</v>
      </c>
      <c r="L87" s="232">
        <v>4.4050524427215079</v>
      </c>
      <c r="M87" s="147">
        <v>0</v>
      </c>
      <c r="N87" s="232">
        <v>4.5366889445684304</v>
      </c>
      <c r="O87" s="147">
        <v>0</v>
      </c>
      <c r="P87" s="232">
        <v>3.9635595733404561</v>
      </c>
      <c r="Q87" s="147">
        <v>0</v>
      </c>
      <c r="R87" s="232">
        <v>19.034513674405389</v>
      </c>
      <c r="S87" s="147">
        <v>0</v>
      </c>
      <c r="T87" s="232">
        <v>26.383025897326416</v>
      </c>
      <c r="U87" s="147">
        <v>0</v>
      </c>
      <c r="V87" s="232">
        <v>21.748582295727811</v>
      </c>
      <c r="W87" s="147">
        <v>0</v>
      </c>
      <c r="X87" s="232">
        <v>10.807187344456118</v>
      </c>
      <c r="Y87" s="147">
        <v>0</v>
      </c>
      <c r="Z87" s="232">
        <v>5.1325141950918081</v>
      </c>
      <c r="AA87" s="147">
        <v>0</v>
      </c>
      <c r="AB87" s="232">
        <v>15.600410408995499</v>
      </c>
      <c r="AC87" s="147">
        <v>0</v>
      </c>
      <c r="AD87" s="232">
        <v>14.911118995291815</v>
      </c>
      <c r="AE87" s="147">
        <v>0</v>
      </c>
      <c r="AF87" s="232">
        <v>7.9696387544533343</v>
      </c>
      <c r="AG87" s="147">
        <v>0</v>
      </c>
      <c r="AH87" s="232">
        <v>0.50823866261997375</v>
      </c>
      <c r="AI87" s="147">
        <v>0</v>
      </c>
      <c r="AJ87" s="232">
        <v>223.3649867044644</v>
      </c>
      <c r="AK87" s="147">
        <v>0</v>
      </c>
      <c r="AL87" s="232">
        <v>8.1501308413945406</v>
      </c>
      <c r="AM87" s="147">
        <v>0</v>
      </c>
      <c r="AN87" s="232">
        <v>10.013017890856151</v>
      </c>
      <c r="AO87" s="147">
        <v>0</v>
      </c>
      <c r="AP87" s="232">
        <v>29.803485106720835</v>
      </c>
      <c r="AQ87" s="147">
        <v>0</v>
      </c>
      <c r="AR87" s="232">
        <v>5.2570384468884335</v>
      </c>
      <c r="AS87" s="147">
        <v>0</v>
      </c>
      <c r="AT87" s="232">
        <v>14.32617820601526</v>
      </c>
      <c r="AU87" s="147">
        <v>0</v>
      </c>
      <c r="AV87" s="232">
        <v>4.8684170275174043</v>
      </c>
      <c r="AW87" s="147">
        <v>0</v>
      </c>
      <c r="AX87" s="232">
        <v>5.5708074181947627</v>
      </c>
      <c r="AY87" s="147">
        <v>0</v>
      </c>
      <c r="AZ87" s="232">
        <v>4.589525507031146</v>
      </c>
      <c r="BA87" s="147">
        <v>0</v>
      </c>
      <c r="BB87" s="232">
        <v>4.4216490578064072</v>
      </c>
      <c r="BC87" s="147">
        <v>0</v>
      </c>
      <c r="BD87" s="232">
        <v>5.8702603535360023</v>
      </c>
      <c r="BE87" s="147">
        <v>0</v>
      </c>
      <c r="BF87" s="232">
        <v>16.747029652500078</v>
      </c>
      <c r="BG87" s="147">
        <v>0</v>
      </c>
      <c r="BH87" s="232">
        <v>10.297324780672239</v>
      </c>
      <c r="BI87" s="147">
        <v>0</v>
      </c>
      <c r="BJ87" s="232">
        <v>6.6988118610000322</v>
      </c>
      <c r="BK87" s="147">
        <v>0</v>
      </c>
    </row>
    <row r="88" spans="1:79" s="145" customFormat="1" x14ac:dyDescent="0.35">
      <c r="A88" s="146" t="s">
        <v>1521</v>
      </c>
      <c r="B88" s="232">
        <v>9.333654335243315</v>
      </c>
      <c r="C88" s="147">
        <v>0</v>
      </c>
      <c r="D88" s="232">
        <v>2.6857232085608018</v>
      </c>
      <c r="E88" s="147">
        <v>0</v>
      </c>
      <c r="F88" s="232">
        <v>18.192816387733217</v>
      </c>
      <c r="G88" s="147">
        <v>0</v>
      </c>
      <c r="H88" s="232">
        <v>5.8810183014709807</v>
      </c>
      <c r="I88" s="147">
        <v>0</v>
      </c>
      <c r="J88" s="232">
        <v>5.939841039983782</v>
      </c>
      <c r="K88" s="147">
        <v>0</v>
      </c>
      <c r="L88" s="232">
        <v>3.4026903664006509</v>
      </c>
      <c r="M88" s="147">
        <v>0</v>
      </c>
      <c r="N88" s="232">
        <v>3.5045743955502826</v>
      </c>
      <c r="O88" s="147">
        <v>0</v>
      </c>
      <c r="P88" s="232">
        <v>3.0760476576797369</v>
      </c>
      <c r="Q88" s="147">
        <v>0</v>
      </c>
      <c r="R88" s="232">
        <v>14.7013472128003</v>
      </c>
      <c r="S88" s="147">
        <v>0</v>
      </c>
      <c r="T88" s="232">
        <v>20.068399812383969</v>
      </c>
      <c r="U88" s="147">
        <v>0</v>
      </c>
      <c r="V88" s="232">
        <v>16.549349107530279</v>
      </c>
      <c r="W88" s="147">
        <v>0</v>
      </c>
      <c r="X88" s="232">
        <v>8.2647340224516235</v>
      </c>
      <c r="Y88" s="147">
        <v>0</v>
      </c>
      <c r="Z88" s="232">
        <v>3.973528062870149</v>
      </c>
      <c r="AA88" s="147">
        <v>0</v>
      </c>
      <c r="AB88" s="232">
        <v>11.757445053721201</v>
      </c>
      <c r="AC88" s="147">
        <v>0</v>
      </c>
      <c r="AD88" s="232">
        <v>11.295676810430651</v>
      </c>
      <c r="AE88" s="147">
        <v>0</v>
      </c>
      <c r="AF88" s="232">
        <v>5.9660617629638883</v>
      </c>
      <c r="AG88" s="147">
        <v>0</v>
      </c>
      <c r="AH88" s="232">
        <v>0.39248357499660141</v>
      </c>
      <c r="AI88" s="147">
        <v>0</v>
      </c>
      <c r="AJ88" s="232">
        <v>166.38597323836427</v>
      </c>
      <c r="AK88" s="147">
        <v>0</v>
      </c>
      <c r="AL88" s="232">
        <v>5.9991230688848001</v>
      </c>
      <c r="AM88" s="147">
        <v>0</v>
      </c>
      <c r="AN88" s="232">
        <v>7.3703511989156114</v>
      </c>
      <c r="AO88" s="147">
        <v>0</v>
      </c>
      <c r="AP88" s="232">
        <v>21.937657016350496</v>
      </c>
      <c r="AQ88" s="147">
        <v>0</v>
      </c>
      <c r="AR88" s="232">
        <v>3.9929948126467165</v>
      </c>
      <c r="AS88" s="147">
        <v>0</v>
      </c>
      <c r="AT88" s="232">
        <v>10.545746382549535</v>
      </c>
      <c r="AU88" s="147">
        <v>0</v>
      </c>
      <c r="AV88" s="232">
        <v>3.5835293281909872</v>
      </c>
      <c r="AW88" s="147">
        <v>0</v>
      </c>
      <c r="AX88" s="232">
        <v>4.1093037732074489</v>
      </c>
      <c r="AY88" s="147">
        <v>0</v>
      </c>
      <c r="AZ88" s="232">
        <v>3.3782437215148629</v>
      </c>
      <c r="BA88" s="147">
        <v>0</v>
      </c>
      <c r="BB88" s="232">
        <v>3.2546737446806908</v>
      </c>
      <c r="BC88" s="147">
        <v>0</v>
      </c>
      <c r="BD88" s="232">
        <v>4.3209630609110459</v>
      </c>
      <c r="BE88" s="147">
        <v>0</v>
      </c>
      <c r="BF88" s="232">
        <v>12.327101721279897</v>
      </c>
      <c r="BG88" s="147">
        <v>0</v>
      </c>
      <c r="BH88" s="232">
        <v>7.5796229338767098</v>
      </c>
      <c r="BI88" s="147">
        <v>0</v>
      </c>
      <c r="BJ88" s="232">
        <v>4.9308406885119593</v>
      </c>
      <c r="BK88" s="147">
        <v>0</v>
      </c>
    </row>
    <row r="89" spans="1:79" s="145" customFormat="1" x14ac:dyDescent="0.35">
      <c r="A89" s="146" t="s">
        <v>1520</v>
      </c>
      <c r="B89" s="232">
        <v>356.37816860094767</v>
      </c>
      <c r="C89" s="147">
        <v>0</v>
      </c>
      <c r="D89" s="232">
        <v>84.179530306637147</v>
      </c>
      <c r="E89" s="147">
        <v>0</v>
      </c>
      <c r="F89" s="232">
        <v>661.86613549142339</v>
      </c>
      <c r="G89" s="147">
        <v>0</v>
      </c>
      <c r="H89" s="232">
        <v>190.62634474886559</v>
      </c>
      <c r="I89" s="147">
        <v>0</v>
      </c>
      <c r="J89" s="232">
        <v>192.88248550311494</v>
      </c>
      <c r="K89" s="147">
        <v>0</v>
      </c>
      <c r="L89" s="232">
        <v>122.14776001432141</v>
      </c>
      <c r="M89" s="147">
        <v>0</v>
      </c>
      <c r="N89" s="232">
        <v>126.87089222845488</v>
      </c>
      <c r="O89" s="147">
        <v>0</v>
      </c>
      <c r="P89" s="232">
        <v>107.97894534737794</v>
      </c>
      <c r="Q89" s="147">
        <v>0</v>
      </c>
      <c r="R89" s="232">
        <v>440.32395179974583</v>
      </c>
      <c r="S89" s="147">
        <v>0</v>
      </c>
      <c r="T89" s="232">
        <v>710.47355566375973</v>
      </c>
      <c r="U89" s="147">
        <v>0</v>
      </c>
      <c r="V89" s="232">
        <v>589.80846222473303</v>
      </c>
      <c r="W89" s="147">
        <v>0</v>
      </c>
      <c r="X89" s="232">
        <v>290.75739875341907</v>
      </c>
      <c r="Y89" s="147">
        <v>0</v>
      </c>
      <c r="Z89" s="232">
        <v>138.77168091031987</v>
      </c>
      <c r="AA89" s="147">
        <v>0</v>
      </c>
      <c r="AB89" s="232">
        <v>455.08928742554275</v>
      </c>
      <c r="AC89" s="147">
        <v>0</v>
      </c>
      <c r="AD89" s="232">
        <v>414.99366666443518</v>
      </c>
      <c r="AE89" s="147">
        <v>0</v>
      </c>
      <c r="AF89" s="232">
        <v>250.86906474672949</v>
      </c>
      <c r="AG89" s="147">
        <v>0</v>
      </c>
      <c r="AH89" s="232">
        <v>10.564608440027621</v>
      </c>
      <c r="AI89" s="147">
        <v>0</v>
      </c>
      <c r="AJ89" s="232">
        <v>6942.4480229928622</v>
      </c>
      <c r="AK89" s="147">
        <v>0</v>
      </c>
      <c r="AL89" s="232">
        <v>273.40218018170066</v>
      </c>
      <c r="AM89" s="147">
        <v>0</v>
      </c>
      <c r="AN89" s="232">
        <v>335.89410708037514</v>
      </c>
      <c r="AO89" s="147">
        <v>0</v>
      </c>
      <c r="AP89" s="232">
        <v>999.77999908969412</v>
      </c>
      <c r="AQ89" s="147">
        <v>0</v>
      </c>
      <c r="AR89" s="232">
        <v>134.31282231123268</v>
      </c>
      <c r="AS89" s="147">
        <v>0</v>
      </c>
      <c r="AT89" s="232">
        <v>480.33540180231165</v>
      </c>
      <c r="AU89" s="147">
        <v>0</v>
      </c>
      <c r="AV89" s="232">
        <v>163.31465779624511</v>
      </c>
      <c r="AW89" s="147">
        <v>0</v>
      </c>
      <c r="AX89" s="232">
        <v>185.85435133741152</v>
      </c>
      <c r="AY89" s="147">
        <v>0</v>
      </c>
      <c r="AZ89" s="232">
        <v>153.95903501926335</v>
      </c>
      <c r="BA89" s="147">
        <v>0</v>
      </c>
      <c r="BB89" s="232">
        <v>148.32749509525487</v>
      </c>
      <c r="BC89" s="147">
        <v>0</v>
      </c>
      <c r="BD89" s="232">
        <v>196.92223476210202</v>
      </c>
      <c r="BE89" s="147">
        <v>0</v>
      </c>
      <c r="BF89" s="232">
        <v>561.79152306439153</v>
      </c>
      <c r="BG89" s="147">
        <v>0</v>
      </c>
      <c r="BH89" s="232">
        <v>345.43139243555072</v>
      </c>
      <c r="BI89" s="147">
        <v>0</v>
      </c>
      <c r="BJ89" s="232">
        <v>224.71660922575666</v>
      </c>
      <c r="BK89" s="147">
        <v>0</v>
      </c>
    </row>
    <row r="90" spans="1:79" s="145" customFormat="1" x14ac:dyDescent="0.35">
      <c r="A90" s="146" t="s">
        <v>1519</v>
      </c>
      <c r="B90" s="232">
        <v>0.75628382293946284</v>
      </c>
      <c r="C90" s="147">
        <v>0</v>
      </c>
      <c r="D90" s="232">
        <v>0.29793526807748716</v>
      </c>
      <c r="E90" s="147">
        <v>0</v>
      </c>
      <c r="F90" s="232">
        <v>1.4461812928883138</v>
      </c>
      <c r="G90" s="147">
        <v>0</v>
      </c>
      <c r="H90" s="232">
        <v>0.56733307992790782</v>
      </c>
      <c r="I90" s="147">
        <v>0</v>
      </c>
      <c r="J90" s="232">
        <v>0.57157848673814138</v>
      </c>
      <c r="K90" s="147">
        <v>0</v>
      </c>
      <c r="L90" s="232">
        <v>0.32293609139890228</v>
      </c>
      <c r="M90" s="147">
        <v>0</v>
      </c>
      <c r="N90" s="232">
        <v>0.33447442889234225</v>
      </c>
      <c r="O90" s="147">
        <v>0</v>
      </c>
      <c r="P90" s="232">
        <v>0.30278260805809321</v>
      </c>
      <c r="Q90" s="147">
        <v>0</v>
      </c>
      <c r="R90" s="232">
        <v>1.3205862145126441</v>
      </c>
      <c r="S90" s="147">
        <v>0</v>
      </c>
      <c r="T90" s="232">
        <v>1.6153177844830144</v>
      </c>
      <c r="U90" s="147">
        <v>0</v>
      </c>
      <c r="V90" s="232">
        <v>1.3279532777089378</v>
      </c>
      <c r="W90" s="147">
        <v>0</v>
      </c>
      <c r="X90" s="232">
        <v>0.6932777368672377</v>
      </c>
      <c r="Y90" s="147">
        <v>0</v>
      </c>
      <c r="Z90" s="232">
        <v>0.37242261514702901</v>
      </c>
      <c r="AA90" s="147">
        <v>0</v>
      </c>
      <c r="AB90" s="232">
        <v>0.89059226849062434</v>
      </c>
      <c r="AC90" s="147">
        <v>0</v>
      </c>
      <c r="AD90" s="232">
        <v>0.89017518574514864</v>
      </c>
      <c r="AE90" s="147">
        <v>0</v>
      </c>
      <c r="AF90" s="232">
        <v>0.43388591738370796</v>
      </c>
      <c r="AG90" s="147">
        <v>0</v>
      </c>
      <c r="AH90" s="232">
        <v>3.4595484933858341E-2</v>
      </c>
      <c r="AI90" s="147">
        <v>0</v>
      </c>
      <c r="AJ90" s="232">
        <v>11.219067917754426</v>
      </c>
      <c r="AK90" s="147">
        <v>0</v>
      </c>
      <c r="AL90" s="232">
        <v>0.35740574041843115</v>
      </c>
      <c r="AM90" s="147">
        <v>0</v>
      </c>
      <c r="AN90" s="232">
        <v>0.4390984810855012</v>
      </c>
      <c r="AO90" s="147">
        <v>0</v>
      </c>
      <c r="AP90" s="232">
        <v>1.3069651112244758</v>
      </c>
      <c r="AQ90" s="147">
        <v>0</v>
      </c>
      <c r="AR90" s="232">
        <v>0.31477778900729059</v>
      </c>
      <c r="AS90" s="147">
        <v>0</v>
      </c>
      <c r="AT90" s="232">
        <v>0.62863268011863105</v>
      </c>
      <c r="AU90" s="147">
        <v>0</v>
      </c>
      <c r="AV90" s="232">
        <v>0.21349352866190674</v>
      </c>
      <c r="AW90" s="147">
        <v>0</v>
      </c>
      <c r="AX90" s="232">
        <v>0.25237722775772831</v>
      </c>
      <c r="AY90" s="147">
        <v>0</v>
      </c>
      <c r="AZ90" s="232">
        <v>0.20126336545157505</v>
      </c>
      <c r="BA90" s="147">
        <v>0</v>
      </c>
      <c r="BB90" s="232">
        <v>0.19390151963564722</v>
      </c>
      <c r="BC90" s="147">
        <v>0</v>
      </c>
      <c r="BD90" s="232">
        <v>0.25742712466018569</v>
      </c>
      <c r="BE90" s="147">
        <v>0</v>
      </c>
      <c r="BF90" s="232">
        <v>0.73440348986312187</v>
      </c>
      <c r="BG90" s="147">
        <v>0</v>
      </c>
      <c r="BH90" s="232">
        <v>0.45156612319312089</v>
      </c>
      <c r="BI90" s="147">
        <v>0</v>
      </c>
      <c r="BJ90" s="232">
        <v>0.2937613959452488</v>
      </c>
      <c r="BK90" s="147">
        <v>0</v>
      </c>
    </row>
    <row r="91" spans="1:79" s="145" customFormat="1" x14ac:dyDescent="0.35">
      <c r="A91" s="143" t="s">
        <v>1518</v>
      </c>
      <c r="B91" s="231">
        <v>1.7414546704342961</v>
      </c>
      <c r="C91" s="443">
        <v>0</v>
      </c>
      <c r="D91" s="231">
        <v>0.60714055667977496</v>
      </c>
      <c r="E91" s="443">
        <v>0</v>
      </c>
      <c r="F91" s="231">
        <v>3.1037713576665391</v>
      </c>
      <c r="G91" s="443">
        <v>0</v>
      </c>
      <c r="H91" s="231">
        <v>1.2216246371992803</v>
      </c>
      <c r="I91" s="443">
        <v>0</v>
      </c>
      <c r="J91" s="231">
        <v>1.230112049869589</v>
      </c>
      <c r="K91" s="443">
        <v>0</v>
      </c>
      <c r="L91" s="231">
        <v>0.67858791580408273</v>
      </c>
      <c r="M91" s="443">
        <v>0</v>
      </c>
      <c r="N91" s="231">
        <v>0.70281522918452755</v>
      </c>
      <c r="O91" s="443">
        <v>0</v>
      </c>
      <c r="P91" s="231">
        <v>0.62866373793961206</v>
      </c>
      <c r="Q91" s="443">
        <v>0</v>
      </c>
      <c r="R91" s="231">
        <v>2.5963872094137708</v>
      </c>
      <c r="S91" s="443">
        <v>0</v>
      </c>
      <c r="T91" s="231">
        <v>3.452037024973559</v>
      </c>
      <c r="U91" s="443">
        <v>0</v>
      </c>
      <c r="V91" s="231">
        <v>2.8927417559382533</v>
      </c>
      <c r="W91" s="443">
        <v>0</v>
      </c>
      <c r="X91" s="231">
        <v>1.5322612393364945</v>
      </c>
      <c r="Y91" s="443">
        <v>0</v>
      </c>
      <c r="Z91" s="231">
        <v>0.80646599905323069</v>
      </c>
      <c r="AA91" s="443">
        <v>0</v>
      </c>
      <c r="AB91" s="231">
        <v>2.0053183248613835</v>
      </c>
      <c r="AC91" s="443">
        <v>0</v>
      </c>
      <c r="AD91" s="231">
        <v>1.9514925696939298</v>
      </c>
      <c r="AE91" s="443">
        <v>0</v>
      </c>
      <c r="AF91" s="231">
        <v>1.0161632547367623</v>
      </c>
      <c r="AG91" s="443">
        <v>0</v>
      </c>
      <c r="AH91" s="231">
        <v>6.4291043821090604E-2</v>
      </c>
      <c r="AI91" s="443">
        <v>0</v>
      </c>
      <c r="AJ91" s="231">
        <v>26.603464492385335</v>
      </c>
      <c r="AK91" s="443">
        <v>0</v>
      </c>
      <c r="AL91" s="231">
        <v>0.91958383334944127</v>
      </c>
      <c r="AM91" s="443">
        <v>0</v>
      </c>
      <c r="AN91" s="231">
        <v>1.1297744238293137</v>
      </c>
      <c r="AO91" s="443">
        <v>0</v>
      </c>
      <c r="AP91" s="231">
        <v>3.3627439380987711</v>
      </c>
      <c r="AQ91" s="443">
        <v>0</v>
      </c>
      <c r="AR91" s="231">
        <v>0.64475262615998696</v>
      </c>
      <c r="AS91" s="443">
        <v>0</v>
      </c>
      <c r="AT91" s="231">
        <v>1.6166011821265505</v>
      </c>
      <c r="AU91" s="443">
        <v>0</v>
      </c>
      <c r="AV91" s="231">
        <v>0.54930622337617796</v>
      </c>
      <c r="AW91" s="443">
        <v>0</v>
      </c>
      <c r="AX91" s="231">
        <v>0.63870922626604965</v>
      </c>
      <c r="AY91" s="443">
        <v>0</v>
      </c>
      <c r="AZ91" s="231">
        <v>0.51783873672003422</v>
      </c>
      <c r="BA91" s="443">
        <v>0</v>
      </c>
      <c r="BB91" s="231">
        <v>0.4988971428105109</v>
      </c>
      <c r="BC91" s="443">
        <v>0</v>
      </c>
      <c r="BD91" s="231">
        <v>0.66234476767494654</v>
      </c>
      <c r="BE91" s="443">
        <v>0</v>
      </c>
      <c r="BF91" s="231">
        <v>1.8895767472645497</v>
      </c>
      <c r="BG91" s="443">
        <v>0</v>
      </c>
      <c r="BH91" s="231">
        <v>1.1618529296438291</v>
      </c>
      <c r="BI91" s="443">
        <v>0</v>
      </c>
      <c r="BJ91" s="231">
        <v>0.75583069890582</v>
      </c>
      <c r="BK91" s="443">
        <v>0</v>
      </c>
    </row>
    <row r="92" spans="1:79" s="145" customFormat="1" x14ac:dyDescent="0.35"/>
    <row r="93" spans="1:79" s="145" customFormat="1" ht="13.9" x14ac:dyDescent="0.4">
      <c r="A93" s="386" t="s">
        <v>1927</v>
      </c>
    </row>
    <row r="94" spans="1:79" s="145" customFormat="1" ht="13.15" x14ac:dyDescent="0.4">
      <c r="A94" s="400" t="s">
        <v>2121</v>
      </c>
    </row>
    <row r="95" spans="1:79" s="400" customFormat="1" ht="38.25" customHeight="1" x14ac:dyDescent="0.4">
      <c r="A95" s="158"/>
      <c r="B95" s="385" t="s">
        <v>2120</v>
      </c>
      <c r="C95" s="385" t="s">
        <v>2119</v>
      </c>
      <c r="D95" s="385" t="s">
        <v>2118</v>
      </c>
      <c r="E95" s="385" t="s">
        <v>2117</v>
      </c>
      <c r="F95" s="385" t="s">
        <v>2116</v>
      </c>
      <c r="G95" s="385" t="s">
        <v>2115</v>
      </c>
      <c r="H95" s="385" t="s">
        <v>2114</v>
      </c>
      <c r="I95" s="385" t="s">
        <v>2113</v>
      </c>
      <c r="J95" s="385" t="s">
        <v>2112</v>
      </c>
      <c r="K95" s="385" t="s">
        <v>2111</v>
      </c>
      <c r="L95" s="385" t="s">
        <v>2110</v>
      </c>
      <c r="M95" s="385" t="s">
        <v>2109</v>
      </c>
      <c r="N95" s="385" t="s">
        <v>2108</v>
      </c>
      <c r="O95" s="385" t="s">
        <v>1391</v>
      </c>
      <c r="P95" s="385" t="s">
        <v>1390</v>
      </c>
      <c r="Q95" s="385" t="s">
        <v>2107</v>
      </c>
      <c r="R95" s="385" t="s">
        <v>1240</v>
      </c>
      <c r="S95" s="385" t="s">
        <v>1388</v>
      </c>
      <c r="T95" s="385" t="s">
        <v>330</v>
      </c>
      <c r="U95" s="385" t="s">
        <v>2106</v>
      </c>
      <c r="V95" s="385" t="s">
        <v>2105</v>
      </c>
      <c r="W95" s="385" t="s">
        <v>2104</v>
      </c>
      <c r="X95" s="385" t="s">
        <v>1886</v>
      </c>
      <c r="Y95" s="385" t="s">
        <v>1235</v>
      </c>
      <c r="Z95" s="385" t="s">
        <v>1234</v>
      </c>
      <c r="AA95" s="385" t="s">
        <v>1226</v>
      </c>
      <c r="AB95" s="385" t="s">
        <v>1233</v>
      </c>
      <c r="AC95" s="385" t="s">
        <v>1232</v>
      </c>
      <c r="AD95" s="385" t="s">
        <v>1231</v>
      </c>
      <c r="AE95" s="385" t="s">
        <v>1230</v>
      </c>
      <c r="AF95" s="385" t="s">
        <v>1225</v>
      </c>
      <c r="AG95" s="385" t="s">
        <v>1229</v>
      </c>
      <c r="AH95" s="2205" t="s">
        <v>2103</v>
      </c>
      <c r="AI95" s="2205"/>
      <c r="AJ95" s="2205" t="s">
        <v>2102</v>
      </c>
      <c r="AK95" s="2205"/>
      <c r="AL95" s="2205" t="s">
        <v>2101</v>
      </c>
      <c r="AM95" s="2205"/>
      <c r="AN95" s="2205" t="s">
        <v>2100</v>
      </c>
      <c r="AO95" s="2205"/>
      <c r="AP95" s="2205" t="s">
        <v>2099</v>
      </c>
      <c r="AQ95" s="2205"/>
      <c r="AR95" s="2205" t="s">
        <v>2098</v>
      </c>
      <c r="AS95" s="2205"/>
      <c r="AT95" s="2205" t="s">
        <v>2097</v>
      </c>
      <c r="AU95" s="2205"/>
      <c r="AV95" s="2205" t="s">
        <v>2096</v>
      </c>
      <c r="AW95" s="2205"/>
      <c r="AX95" s="2205" t="s">
        <v>2095</v>
      </c>
      <c r="AY95" s="2205"/>
      <c r="AZ95" s="2205" t="s">
        <v>2094</v>
      </c>
      <c r="BA95" s="2205"/>
      <c r="BB95" s="2205" t="s">
        <v>2093</v>
      </c>
      <c r="BC95" s="2205"/>
      <c r="BD95" s="2205" t="s">
        <v>2092</v>
      </c>
      <c r="BE95" s="2205"/>
      <c r="BF95" s="2205" t="s">
        <v>2091</v>
      </c>
      <c r="BG95" s="2205"/>
      <c r="BH95" s="2205" t="s">
        <v>2090</v>
      </c>
      <c r="BI95" s="2205"/>
      <c r="BJ95" s="2205" t="s">
        <v>2089</v>
      </c>
      <c r="BK95" s="2205"/>
      <c r="BL95" s="2205" t="s">
        <v>2088</v>
      </c>
      <c r="BM95" s="2205"/>
      <c r="BN95" s="2205" t="s">
        <v>2087</v>
      </c>
      <c r="BO95" s="2205"/>
      <c r="BP95" s="2205" t="s">
        <v>2086</v>
      </c>
      <c r="BQ95" s="2205"/>
      <c r="BR95" s="2205" t="s">
        <v>2085</v>
      </c>
      <c r="BS95" s="2205"/>
      <c r="BT95" s="2205" t="s">
        <v>2084</v>
      </c>
      <c r="BU95" s="2205"/>
      <c r="BV95" s="2205" t="s">
        <v>2083</v>
      </c>
      <c r="BW95" s="2205"/>
      <c r="BX95" s="2205" t="s">
        <v>2082</v>
      </c>
      <c r="BY95" s="2205"/>
      <c r="BZ95" s="2205" t="s">
        <v>2081</v>
      </c>
      <c r="CA95" s="2205"/>
    </row>
    <row r="96" spans="1:79" s="145" customFormat="1" ht="13.15" x14ac:dyDescent="0.4">
      <c r="A96" s="158" t="s">
        <v>1632</v>
      </c>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5" t="s">
        <v>1873</v>
      </c>
      <c r="AI96" s="55" t="s">
        <v>1872</v>
      </c>
      <c r="AJ96" s="55" t="s">
        <v>1873</v>
      </c>
      <c r="AK96" s="55" t="s">
        <v>1872</v>
      </c>
      <c r="AL96" s="55" t="s">
        <v>1873</v>
      </c>
      <c r="AM96" s="55" t="s">
        <v>1872</v>
      </c>
      <c r="AN96" s="55" t="s">
        <v>1873</v>
      </c>
      <c r="AO96" s="55" t="s">
        <v>1872</v>
      </c>
      <c r="AP96" s="55" t="s">
        <v>1873</v>
      </c>
      <c r="AQ96" s="55" t="s">
        <v>1872</v>
      </c>
      <c r="AR96" s="55" t="s">
        <v>1873</v>
      </c>
      <c r="AS96" s="55" t="s">
        <v>1872</v>
      </c>
      <c r="AT96" s="55" t="s">
        <v>1873</v>
      </c>
      <c r="AU96" s="55" t="s">
        <v>1872</v>
      </c>
      <c r="AV96" s="55" t="s">
        <v>1873</v>
      </c>
      <c r="AW96" s="55" t="s">
        <v>1872</v>
      </c>
      <c r="AX96" s="55" t="s">
        <v>1873</v>
      </c>
      <c r="AY96" s="55" t="s">
        <v>1872</v>
      </c>
      <c r="AZ96" s="55" t="s">
        <v>1873</v>
      </c>
      <c r="BA96" s="55" t="s">
        <v>1872</v>
      </c>
      <c r="BB96" s="55" t="s">
        <v>1873</v>
      </c>
      <c r="BC96" s="55" t="s">
        <v>1872</v>
      </c>
      <c r="BD96" s="55" t="s">
        <v>1873</v>
      </c>
      <c r="BE96" s="55" t="s">
        <v>1872</v>
      </c>
      <c r="BF96" s="55" t="s">
        <v>1873</v>
      </c>
      <c r="BG96" s="55" t="s">
        <v>1872</v>
      </c>
      <c r="BH96" s="55" t="s">
        <v>1873</v>
      </c>
      <c r="BI96" s="55" t="s">
        <v>1872</v>
      </c>
      <c r="BJ96" s="55" t="s">
        <v>1873</v>
      </c>
      <c r="BK96" s="55" t="s">
        <v>1872</v>
      </c>
      <c r="BL96" s="55" t="s">
        <v>1873</v>
      </c>
      <c r="BM96" s="55" t="s">
        <v>1872</v>
      </c>
      <c r="BN96" s="55" t="s">
        <v>1873</v>
      </c>
      <c r="BO96" s="55" t="s">
        <v>1872</v>
      </c>
      <c r="BP96" s="55" t="s">
        <v>1873</v>
      </c>
      <c r="BQ96" s="55" t="s">
        <v>1872</v>
      </c>
      <c r="BR96" s="55" t="s">
        <v>1873</v>
      </c>
      <c r="BS96" s="55" t="s">
        <v>1872</v>
      </c>
      <c r="BT96" s="55" t="s">
        <v>1873</v>
      </c>
      <c r="BU96" s="55" t="s">
        <v>1872</v>
      </c>
      <c r="BV96" s="55" t="s">
        <v>1873</v>
      </c>
      <c r="BW96" s="55" t="s">
        <v>1872</v>
      </c>
      <c r="BX96" s="55" t="s">
        <v>1873</v>
      </c>
      <c r="BY96" s="55" t="s">
        <v>1872</v>
      </c>
      <c r="BZ96" s="55" t="s">
        <v>1873</v>
      </c>
      <c r="CA96" s="55" t="s">
        <v>1872</v>
      </c>
    </row>
    <row r="97" spans="1:79" s="145" customFormat="1" x14ac:dyDescent="0.35">
      <c r="A97" s="146" t="s">
        <v>1537</v>
      </c>
      <c r="B97" s="145">
        <v>78.008937925517444</v>
      </c>
      <c r="C97" s="145">
        <v>63.078163471496246</v>
      </c>
      <c r="D97" s="145">
        <v>108.37768464470679</v>
      </c>
      <c r="E97" s="145">
        <v>73.033177745208803</v>
      </c>
      <c r="F97" s="145">
        <v>73.340894488482704</v>
      </c>
      <c r="G97" s="145">
        <v>58.691152143470362</v>
      </c>
      <c r="H97" s="145">
        <v>63.306671165508106</v>
      </c>
      <c r="I97" s="145">
        <v>58.529975134350593</v>
      </c>
      <c r="J97" s="145">
        <v>95.352376161614899</v>
      </c>
      <c r="K97" s="145">
        <v>107.37371313283458</v>
      </c>
      <c r="L97" s="145">
        <v>84.48567359517628</v>
      </c>
      <c r="M97" s="145">
        <v>55.415326618552356</v>
      </c>
      <c r="N97" s="145">
        <v>55.643365069813676</v>
      </c>
      <c r="O97" s="145">
        <v>64.047775336041425</v>
      </c>
      <c r="P97" s="145">
        <v>61.235002491288874</v>
      </c>
      <c r="Q97" s="145">
        <v>43.794571291218446</v>
      </c>
      <c r="R97" s="145">
        <v>0.82454835375243851</v>
      </c>
      <c r="S97" s="145">
        <v>22.855042515915414</v>
      </c>
      <c r="T97" s="145">
        <v>511.49284804975179</v>
      </c>
      <c r="U97" s="145">
        <v>6.2383801190039465</v>
      </c>
      <c r="V97" s="145">
        <v>7.6642955747762791</v>
      </c>
      <c r="W97" s="145">
        <v>22.81257474082274</v>
      </c>
      <c r="X97" s="145">
        <v>10.150047987329692</v>
      </c>
      <c r="Y97" s="145">
        <v>10.9897350123903</v>
      </c>
      <c r="Z97" s="145">
        <v>3.7264476591259461</v>
      </c>
      <c r="AA97" s="145">
        <v>8.887266637471896</v>
      </c>
      <c r="AB97" s="145">
        <v>3.5129748510670069</v>
      </c>
      <c r="AC97" s="145">
        <v>3.3844766559247335</v>
      </c>
      <c r="AD97" s="145">
        <v>4.4932917269104848</v>
      </c>
      <c r="AE97" s="145">
        <v>12.818731241209109</v>
      </c>
      <c r="AF97" s="145">
        <v>7.8819134859043229</v>
      </c>
      <c r="AG97" s="145">
        <v>5.1274924964836437</v>
      </c>
      <c r="AH97" s="146">
        <v>89.38888710592397</v>
      </c>
      <c r="AI97" s="146">
        <v>4.4694443552961982E-2</v>
      </c>
      <c r="AJ97" s="146">
        <v>71.590022187079626</v>
      </c>
      <c r="AK97" s="146">
        <v>3.5795011093539816E-2</v>
      </c>
      <c r="AL97" s="146">
        <v>108.37768464470679</v>
      </c>
      <c r="AM97" s="146">
        <v>5.4188842322353395E-2</v>
      </c>
      <c r="AN97" s="146">
        <v>73.033177745208803</v>
      </c>
      <c r="AO97" s="146">
        <v>3.6516588872604401E-2</v>
      </c>
      <c r="AP97" s="146">
        <v>73.340894488482704</v>
      </c>
      <c r="AQ97" s="146">
        <v>3.6670447244241351E-2</v>
      </c>
      <c r="AR97" s="146">
        <v>69.620581404653379</v>
      </c>
      <c r="AS97" s="146">
        <v>3.4810290702326691E-2</v>
      </c>
      <c r="AT97" s="146">
        <v>74.230191408463156</v>
      </c>
      <c r="AU97" s="146">
        <v>3.7115095704231577E-2</v>
      </c>
      <c r="AV97" s="146">
        <v>69.459610742399533</v>
      </c>
      <c r="AW97" s="146">
        <v>3.4729805371199768E-2</v>
      </c>
      <c r="AX97" s="146">
        <v>106.74850552524904</v>
      </c>
      <c r="AY97" s="146">
        <v>5.3374252762624523E-2</v>
      </c>
      <c r="AZ97" s="146">
        <v>116.92586358713879</v>
      </c>
      <c r="BA97" s="146">
        <v>5.8462931793569393E-2</v>
      </c>
      <c r="BB97" s="146">
        <v>99.62002278148762</v>
      </c>
      <c r="BC97" s="146">
        <v>4.9810011390743807E-2</v>
      </c>
      <c r="BD97" s="146">
        <v>66.282383684512297</v>
      </c>
      <c r="BE97" s="146">
        <v>3.3141191842256147E-2</v>
      </c>
      <c r="BF97" s="146">
        <v>67.580445737797021</v>
      </c>
      <c r="BG97" s="146">
        <v>3.379022286889851E-2</v>
      </c>
      <c r="BH97" s="146">
        <v>64.047775336041425</v>
      </c>
      <c r="BI97" s="146">
        <v>3.2023887668020716E-2</v>
      </c>
      <c r="BJ97" s="146">
        <v>61.235002491288874</v>
      </c>
      <c r="BK97" s="146">
        <v>3.0617501245644437E-2</v>
      </c>
      <c r="BL97" s="146">
        <v>50.32070917461963</v>
      </c>
      <c r="BM97" s="146">
        <v>2.5160354587309815E-2</v>
      </c>
      <c r="BN97" s="146">
        <v>75.54977588422112</v>
      </c>
      <c r="BO97" s="146">
        <v>3.7774887942110563E-2</v>
      </c>
      <c r="BP97" s="146">
        <v>51.495966857247844</v>
      </c>
      <c r="BQ97" s="146">
        <v>2.5747983428623923E-2</v>
      </c>
      <c r="BR97" s="146">
        <v>72.717368853648708</v>
      </c>
      <c r="BS97" s="146">
        <v>3.6358684426824356E-2</v>
      </c>
      <c r="BT97" s="146">
        <v>97.615229222377394</v>
      </c>
      <c r="BU97" s="146">
        <v>4.8807614611188696E-2</v>
      </c>
      <c r="BV97" s="146">
        <v>73.942854977757989</v>
      </c>
      <c r="BW97" s="146">
        <v>3.6971427488878994E-2</v>
      </c>
      <c r="BX97" s="146">
        <v>271.5659943668208</v>
      </c>
      <c r="BY97" s="146">
        <v>0.13578299718341041</v>
      </c>
      <c r="BZ97" s="146">
        <v>455.38650887952133</v>
      </c>
      <c r="CA97" s="146">
        <v>0.22769325443976066</v>
      </c>
    </row>
    <row r="98" spans="1:79" s="145" customFormat="1" x14ac:dyDescent="0.35">
      <c r="A98" s="146" t="s">
        <v>1536</v>
      </c>
      <c r="B98" s="145">
        <v>76.509509707346112</v>
      </c>
      <c r="C98" s="145">
        <v>62.750586913244057</v>
      </c>
      <c r="D98" s="145">
        <v>105.61946202454754</v>
      </c>
      <c r="E98" s="145">
        <v>72.26475786392308</v>
      </c>
      <c r="F98" s="145">
        <v>72.563015600445084</v>
      </c>
      <c r="G98" s="145">
        <v>58.19346361206383</v>
      </c>
      <c r="H98" s="145">
        <v>62.789569036669718</v>
      </c>
      <c r="I98" s="145">
        <v>58.093867384255113</v>
      </c>
      <c r="J98" s="145">
        <v>93.60367208689631</v>
      </c>
      <c r="K98" s="145">
        <v>104.42527995054135</v>
      </c>
      <c r="L98" s="145">
        <v>82.030565167478514</v>
      </c>
      <c r="M98" s="145">
        <v>54.210469859809933</v>
      </c>
      <c r="N98" s="145">
        <v>55.076447113413479</v>
      </c>
      <c r="O98" s="145">
        <v>62.125010630131094</v>
      </c>
      <c r="P98" s="145">
        <v>59.499586539917814</v>
      </c>
      <c r="Q98" s="145">
        <v>42.721340496521222</v>
      </c>
      <c r="R98" s="145">
        <v>0.78352107886805344</v>
      </c>
      <c r="S98" s="145">
        <v>20.97305445643871</v>
      </c>
      <c r="T98" s="145">
        <v>481.63757218506521</v>
      </c>
      <c r="U98" s="145">
        <v>5.0418474350479432</v>
      </c>
      <c r="V98" s="145">
        <v>6.1942697059160441</v>
      </c>
      <c r="W98" s="145">
        <v>18.437081301519175</v>
      </c>
      <c r="X98" s="145">
        <v>9.597085527304289</v>
      </c>
      <c r="Y98" s="145">
        <v>8.8877729499580411</v>
      </c>
      <c r="Z98" s="145">
        <v>3.0117082020651833</v>
      </c>
      <c r="AA98" s="145">
        <v>8.076204372018152</v>
      </c>
      <c r="AB98" s="145">
        <v>2.8391798679090581</v>
      </c>
      <c r="AC98" s="145">
        <v>2.7353278609412928</v>
      </c>
      <c r="AD98" s="145">
        <v>3.6314701791308779</v>
      </c>
      <c r="AE98" s="145">
        <v>10.360075211219776</v>
      </c>
      <c r="AF98" s="145">
        <v>6.3701481048130653</v>
      </c>
      <c r="AG98" s="145">
        <v>4.1440300844879117</v>
      </c>
      <c r="AH98" s="146">
        <v>86.892808451421558</v>
      </c>
      <c r="AI98" s="146">
        <v>4.3446404225710777E-2</v>
      </c>
      <c r="AJ98" s="146">
        <v>70.405484572441182</v>
      </c>
      <c r="AK98" s="146">
        <v>3.5202742286220591E-2</v>
      </c>
      <c r="AL98" s="146">
        <v>105.61946202454754</v>
      </c>
      <c r="AM98" s="146">
        <v>5.2809731012273771E-2</v>
      </c>
      <c r="AN98" s="146">
        <v>72.26475786392308</v>
      </c>
      <c r="AO98" s="146">
        <v>3.6132378931961542E-2</v>
      </c>
      <c r="AP98" s="146">
        <v>72.563015600445084</v>
      </c>
      <c r="AQ98" s="146">
        <v>3.6281507800222539E-2</v>
      </c>
      <c r="AR98" s="146">
        <v>67.229515143731632</v>
      </c>
      <c r="AS98" s="146">
        <v>3.3614757571865814E-2</v>
      </c>
      <c r="AT98" s="146">
        <v>71.81973640436766</v>
      </c>
      <c r="AU98" s="146">
        <v>3.590986820218383E-2</v>
      </c>
      <c r="AV98" s="146">
        <v>67.130046423993562</v>
      </c>
      <c r="AW98" s="146">
        <v>3.3565023211996781E-2</v>
      </c>
      <c r="AX98" s="146">
        <v>103.64294967889622</v>
      </c>
      <c r="AY98" s="146">
        <v>5.1821474839448108E-2</v>
      </c>
      <c r="AZ98" s="146">
        <v>113.04634877090864</v>
      </c>
      <c r="BA98" s="146">
        <v>5.6523174385454317E-2</v>
      </c>
      <c r="BB98" s="146">
        <v>95.952622622930292</v>
      </c>
      <c r="BC98" s="146">
        <v>4.7976311311465146E-2</v>
      </c>
      <c r="BD98" s="146">
        <v>64.096346313798733</v>
      </c>
      <c r="BE98" s="146">
        <v>3.2048173156899368E-2</v>
      </c>
      <c r="BF98" s="146">
        <v>65.897769026321271</v>
      </c>
      <c r="BG98" s="146">
        <v>3.2948884513160637E-2</v>
      </c>
      <c r="BH98" s="146">
        <v>62.125010630131094</v>
      </c>
      <c r="BI98" s="146">
        <v>3.1062505315065547E-2</v>
      </c>
      <c r="BJ98" s="146">
        <v>59.499586539917814</v>
      </c>
      <c r="BK98" s="146">
        <v>2.9749793269958906E-2</v>
      </c>
      <c r="BL98" s="146">
        <v>48.290125092893561</v>
      </c>
      <c r="BM98" s="146">
        <v>2.4145062546446782E-2</v>
      </c>
      <c r="BN98" s="146">
        <v>73.378263201096345</v>
      </c>
      <c r="BO98" s="146">
        <v>3.6689131600548174E-2</v>
      </c>
      <c r="BP98" s="146">
        <v>48.693773683509065</v>
      </c>
      <c r="BQ98" s="146">
        <v>2.4346886841754532E-2</v>
      </c>
      <c r="BR98" s="146">
        <v>68.702313637313807</v>
      </c>
      <c r="BS98" s="146">
        <v>3.4351156818656907E-2</v>
      </c>
      <c r="BT98" s="146">
        <v>90.594815695681334</v>
      </c>
      <c r="BU98" s="146">
        <v>4.5297407847840664E-2</v>
      </c>
      <c r="BV98" s="146">
        <v>69.330301005501397</v>
      </c>
      <c r="BW98" s="146">
        <v>3.4665150502750701E-2</v>
      </c>
      <c r="BX98" s="146">
        <v>258.60146591018554</v>
      </c>
      <c r="BY98" s="146">
        <v>0.12930073295509276</v>
      </c>
      <c r="BZ98" s="146">
        <v>430.06572414338149</v>
      </c>
      <c r="CA98" s="146">
        <v>0.21503286207169076</v>
      </c>
    </row>
    <row r="99" spans="1:79" s="145" customFormat="1" x14ac:dyDescent="0.35">
      <c r="A99" s="146" t="s">
        <v>1535</v>
      </c>
      <c r="B99" s="145">
        <v>4.9518377050672004</v>
      </c>
      <c r="C99" s="145">
        <v>0.78683263290874161</v>
      </c>
      <c r="D99" s="145">
        <v>6.6523594288877543</v>
      </c>
      <c r="E99" s="145">
        <v>1.8455926899857746</v>
      </c>
      <c r="F99" s="145">
        <v>1.8684811635585539</v>
      </c>
      <c r="G99" s="145">
        <v>1.1990514204122675</v>
      </c>
      <c r="H99" s="145">
        <v>1.2459318182203951</v>
      </c>
      <c r="I99" s="145">
        <v>1.0503657093133192</v>
      </c>
      <c r="J99" s="145">
        <v>4.2121215024926411</v>
      </c>
      <c r="K99" s="145">
        <v>7.1081890525352032</v>
      </c>
      <c r="L99" s="145">
        <v>6.2998238968401115</v>
      </c>
      <c r="M99" s="145">
        <v>3.6097784072744115</v>
      </c>
      <c r="N99" s="145">
        <v>1.3638186284402747</v>
      </c>
      <c r="O99" s="145">
        <v>5.4258405677923607</v>
      </c>
      <c r="P99" s="145">
        <v>5.2818812988186963</v>
      </c>
      <c r="Q99" s="145">
        <v>3.030870988224958</v>
      </c>
      <c r="R99" s="145">
        <v>9.8870270207399802E-2</v>
      </c>
      <c r="S99" s="145">
        <v>4.6091793751989307</v>
      </c>
      <c r="T99" s="145">
        <v>89.502683774187972</v>
      </c>
      <c r="U99" s="145">
        <v>2.8892662086107355</v>
      </c>
      <c r="V99" s="145">
        <v>3.549669913436047</v>
      </c>
      <c r="W99" s="145">
        <v>10.565499388099125</v>
      </c>
      <c r="X99" s="145">
        <v>1.3339710623336247</v>
      </c>
      <c r="Y99" s="145">
        <v>5.0756012243516508</v>
      </c>
      <c r="Z99" s="145">
        <v>1.7258806123196355</v>
      </c>
      <c r="AA99" s="145">
        <v>1.9584652901260808</v>
      </c>
      <c r="AB99" s="145">
        <v>1.6270120344170089</v>
      </c>
      <c r="AC99" s="145">
        <v>1.5674989098542631</v>
      </c>
      <c r="AD99" s="145">
        <v>2.0810395814844105</v>
      </c>
      <c r="AE99" s="145">
        <v>5.9369141196868442</v>
      </c>
      <c r="AF99" s="145">
        <v>3.6504582695503749</v>
      </c>
      <c r="AG99" s="145">
        <v>2.3747656478747374</v>
      </c>
      <c r="AH99" s="146">
        <v>7.4546927744593408</v>
      </c>
      <c r="AI99" s="146">
        <v>3.7273463872296705E-3</v>
      </c>
      <c r="AJ99" s="146">
        <v>2.8559600694849423</v>
      </c>
      <c r="AK99" s="146">
        <v>1.4279800347424712E-3</v>
      </c>
      <c r="AL99" s="146">
        <v>6.6523594288877543</v>
      </c>
      <c r="AM99" s="146">
        <v>3.3261797144438772E-3</v>
      </c>
      <c r="AN99" s="146">
        <v>1.8455926899857746</v>
      </c>
      <c r="AO99" s="146">
        <v>9.2279634499288737E-4</v>
      </c>
      <c r="AP99" s="146">
        <v>1.8684811635585539</v>
      </c>
      <c r="AQ99" s="146">
        <v>9.3424058177927691E-4</v>
      </c>
      <c r="AR99" s="146">
        <v>5.7709906704621847</v>
      </c>
      <c r="AS99" s="146">
        <v>2.8854953352310925E-3</v>
      </c>
      <c r="AT99" s="146">
        <v>5.8178110496410183</v>
      </c>
      <c r="AU99" s="146">
        <v>2.9089055248205089E-3</v>
      </c>
      <c r="AV99" s="146">
        <v>5.6224953142448708</v>
      </c>
      <c r="AW99" s="146">
        <v>2.8112476571224352E-3</v>
      </c>
      <c r="AX99" s="146">
        <v>7.4882391330592517</v>
      </c>
      <c r="AY99" s="146">
        <v>3.7441195665296259E-3</v>
      </c>
      <c r="AZ99" s="146">
        <v>9.3560851151198854</v>
      </c>
      <c r="BA99" s="146">
        <v>4.678042557559943E-3</v>
      </c>
      <c r="BB99" s="146">
        <v>9.2675045316974103</v>
      </c>
      <c r="BC99" s="146">
        <v>4.6337522658487056E-3</v>
      </c>
      <c r="BD99" s="146">
        <v>6.0278149423414842</v>
      </c>
      <c r="BE99" s="146">
        <v>3.0139074711707419E-3</v>
      </c>
      <c r="BF99" s="146">
        <v>4.0575140313744713</v>
      </c>
      <c r="BG99" s="146">
        <v>2.0287570156872358E-3</v>
      </c>
      <c r="BH99" s="146">
        <v>5.4258405677923607</v>
      </c>
      <c r="BI99" s="146">
        <v>2.7129202838961802E-3</v>
      </c>
      <c r="BJ99" s="146">
        <v>5.2818812988186963</v>
      </c>
      <c r="BK99" s="146">
        <v>2.640940649409348E-3</v>
      </c>
      <c r="BL99" s="146">
        <v>5.3594391427608317</v>
      </c>
      <c r="BM99" s="146">
        <v>2.6797195713804157E-3</v>
      </c>
      <c r="BN99" s="146">
        <v>5.6608844726036827</v>
      </c>
      <c r="BO99" s="146">
        <v>2.8304422363018412E-3</v>
      </c>
      <c r="BP99" s="146">
        <v>6.7857973228229556</v>
      </c>
      <c r="BQ99" s="146">
        <v>3.3928986614114778E-3</v>
      </c>
      <c r="BR99" s="146">
        <v>9.7358245056449313</v>
      </c>
      <c r="BS99" s="146">
        <v>4.8679122528224655E-3</v>
      </c>
      <c r="BT99" s="146">
        <v>16.984576506428535</v>
      </c>
      <c r="BU99" s="146">
        <v>8.4922882532142679E-3</v>
      </c>
      <c r="BV99" s="146">
        <v>11.168732778298809</v>
      </c>
      <c r="BW99" s="146">
        <v>5.584366389149404E-3</v>
      </c>
      <c r="BX99" s="146">
        <v>37.252471737358341</v>
      </c>
      <c r="BY99" s="146">
        <v>1.8626235868679172E-2</v>
      </c>
      <c r="BZ99" s="146">
        <v>75.032219638815235</v>
      </c>
      <c r="CA99" s="146">
        <v>3.7516109819407617E-2</v>
      </c>
    </row>
    <row r="100" spans="1:79" s="145" customFormat="1" x14ac:dyDescent="0.35">
      <c r="A100" s="146" t="s">
        <v>1534</v>
      </c>
      <c r="B100" s="145">
        <v>47.106223870982717</v>
      </c>
      <c r="C100" s="145">
        <v>49.973101412898522</v>
      </c>
      <c r="D100" s="145">
        <v>76.003740038391996</v>
      </c>
      <c r="E100" s="145">
        <v>41.898261313102196</v>
      </c>
      <c r="F100" s="145">
        <v>42.310176066661214</v>
      </c>
      <c r="G100" s="145">
        <v>49.152428467257025</v>
      </c>
      <c r="H100" s="145">
        <v>53.70692368093124</v>
      </c>
      <c r="I100" s="145">
        <v>49.244808930725981</v>
      </c>
      <c r="J100" s="145">
        <v>59.175336495651862</v>
      </c>
      <c r="K100" s="145">
        <v>64.369015791734341</v>
      </c>
      <c r="L100" s="145">
        <v>41.572414272135859</v>
      </c>
      <c r="M100" s="145">
        <v>25.610934690522736</v>
      </c>
      <c r="N100" s="145">
        <v>38.970191273349045</v>
      </c>
      <c r="O100" s="145">
        <v>42.199617457610906</v>
      </c>
      <c r="P100" s="145">
        <v>36.793930405736091</v>
      </c>
      <c r="Q100" s="145">
        <v>35.898304167901905</v>
      </c>
      <c r="R100" s="145">
        <v>0.11199341528878581</v>
      </c>
      <c r="S100" s="145">
        <v>15.665413308040414</v>
      </c>
      <c r="T100" s="145">
        <v>347.04231534960724</v>
      </c>
      <c r="U100" s="145">
        <v>2.0544006037982601</v>
      </c>
      <c r="V100" s="145">
        <v>2.5239778846664329</v>
      </c>
      <c r="W100" s="145">
        <v>7.5125539687732399</v>
      </c>
      <c r="X100" s="145">
        <v>4.5799463393657698</v>
      </c>
      <c r="Y100" s="145">
        <v>3.627173111336659</v>
      </c>
      <c r="Z100" s="145">
        <v>1.2271801613386282</v>
      </c>
      <c r="AA100" s="145">
        <v>6.0342194209302464</v>
      </c>
      <c r="AB100" s="145">
        <v>1.156880074231911</v>
      </c>
      <c r="AC100" s="145">
        <v>1.1145635169443713</v>
      </c>
      <c r="AD100" s="145">
        <v>1.4797144548287802</v>
      </c>
      <c r="AE100" s="145">
        <v>4.2214178519907755</v>
      </c>
      <c r="AF100" s="145">
        <v>2.5956430220082325</v>
      </c>
      <c r="AG100" s="145">
        <v>1.6885671407963116</v>
      </c>
      <c r="AH100" s="146">
        <v>53.141866373632375</v>
      </c>
      <c r="AI100" s="146">
        <v>2.6570933186816189E-2</v>
      </c>
      <c r="AJ100" s="146">
        <v>54.984511600369544</v>
      </c>
      <c r="AK100" s="146">
        <v>2.7492255800184773E-2</v>
      </c>
      <c r="AL100" s="146">
        <v>76.003740038391996</v>
      </c>
      <c r="AM100" s="146">
        <v>3.8001870019195999E-2</v>
      </c>
      <c r="AN100" s="146">
        <v>41.898261313102196</v>
      </c>
      <c r="AO100" s="146">
        <v>2.0949130656551098E-2</v>
      </c>
      <c r="AP100" s="146">
        <v>42.310176066661214</v>
      </c>
      <c r="AQ100" s="146">
        <v>2.1155088033330608E-2</v>
      </c>
      <c r="AR100" s="146">
        <v>53.46705355872772</v>
      </c>
      <c r="AS100" s="146">
        <v>2.6733526779363859E-2</v>
      </c>
      <c r="AT100" s="146">
        <v>58.015717879904628</v>
      </c>
      <c r="AU100" s="146">
        <v>2.9007858939952315E-2</v>
      </c>
      <c r="AV100" s="146">
        <v>53.559315752108319</v>
      </c>
      <c r="AW100" s="146">
        <v>2.6779657876054158E-2</v>
      </c>
      <c r="AX100" s="146">
        <v>65.049192927690655</v>
      </c>
      <c r="AY100" s="146">
        <v>3.2524596463845326E-2</v>
      </c>
      <c r="AZ100" s="146">
        <v>69.557984665292651</v>
      </c>
      <c r="BA100" s="146">
        <v>3.4778992332646322E-2</v>
      </c>
      <c r="BB100" s="146">
        <v>48.734034014886284</v>
      </c>
      <c r="BC100" s="146">
        <v>2.4367017007443141E-2</v>
      </c>
      <c r="BD100" s="146">
        <v>31.256129572580925</v>
      </c>
      <c r="BE100" s="146">
        <v>1.5628064786290464E-2</v>
      </c>
      <c r="BF100" s="146">
        <v>45.495521316735449</v>
      </c>
      <c r="BG100" s="146">
        <v>2.2747760658367724E-2</v>
      </c>
      <c r="BH100" s="146">
        <v>42.199617457610906</v>
      </c>
      <c r="BI100" s="146">
        <v>2.1099808728805451E-2</v>
      </c>
      <c r="BJ100" s="146">
        <v>36.793930405736091</v>
      </c>
      <c r="BK100" s="146">
        <v>1.8396965202868047E-2</v>
      </c>
      <c r="BL100" s="146">
        <v>38.917662907729586</v>
      </c>
      <c r="BM100" s="146">
        <v>1.9458831453864792E-2</v>
      </c>
      <c r="BN100" s="146">
        <v>49.818552172978649</v>
      </c>
      <c r="BO100" s="146">
        <v>2.4909276086489324E-2</v>
      </c>
      <c r="BP100" s="146">
        <v>33.456320045649825</v>
      </c>
      <c r="BQ100" s="146">
        <v>1.6728160022824911E-2</v>
      </c>
      <c r="BR100" s="146">
        <v>47.896826044872824</v>
      </c>
      <c r="BS100" s="146">
        <v>2.3948413022436412E-2</v>
      </c>
      <c r="BT100" s="146">
        <v>59.763971376239709</v>
      </c>
      <c r="BU100" s="146">
        <v>2.9881985688119856E-2</v>
      </c>
      <c r="BV100" s="146">
        <v>47.039039155587453</v>
      </c>
      <c r="BW100" s="146">
        <v>2.3519519577793725E-2</v>
      </c>
      <c r="BX100" s="146">
        <v>183.91940273956823</v>
      </c>
      <c r="BY100" s="146">
        <v>9.1959701369784111E-2</v>
      </c>
      <c r="BZ100" s="146">
        <v>307.51299308148236</v>
      </c>
      <c r="CA100" s="146">
        <v>0.15375649654074119</v>
      </c>
    </row>
    <row r="101" spans="1:79" s="145" customFormat="1" x14ac:dyDescent="0.35">
      <c r="A101" s="146" t="s">
        <v>1533</v>
      </c>
      <c r="B101" s="145">
        <v>24.451448131296193</v>
      </c>
      <c r="C101" s="145">
        <v>11.990652867436793</v>
      </c>
      <c r="D101" s="145">
        <v>22.963362557267796</v>
      </c>
      <c r="E101" s="145">
        <v>28.520903860835105</v>
      </c>
      <c r="F101" s="145">
        <v>28.384358370225311</v>
      </c>
      <c r="G101" s="145">
        <v>7.8419837243945381</v>
      </c>
      <c r="H101" s="145">
        <v>7.8367135375180812</v>
      </c>
      <c r="I101" s="145">
        <v>7.7986927442158098</v>
      </c>
      <c r="J101" s="145">
        <v>30.216214088751812</v>
      </c>
      <c r="K101" s="145">
        <v>32.948075106271808</v>
      </c>
      <c r="L101" s="145">
        <v>34.158326998502545</v>
      </c>
      <c r="M101" s="145">
        <v>24.989756762012785</v>
      </c>
      <c r="N101" s="145">
        <v>14.742437211624161</v>
      </c>
      <c r="O101" s="145">
        <v>14.499552604727825</v>
      </c>
      <c r="P101" s="145">
        <v>17.423774835363027</v>
      </c>
      <c r="Q101" s="145">
        <v>3.7921653403943547</v>
      </c>
      <c r="R101" s="145">
        <v>0.57265739337186783</v>
      </c>
      <c r="S101" s="145">
        <v>0.69846177319936742</v>
      </c>
      <c r="T101" s="145">
        <v>45.092573061270024</v>
      </c>
      <c r="U101" s="145">
        <v>9.818062263894764E-2</v>
      </c>
      <c r="V101" s="145">
        <v>0.12062190781356424</v>
      </c>
      <c r="W101" s="145">
        <v>0.35902794464680954</v>
      </c>
      <c r="X101" s="145">
        <v>3.6831681256048947</v>
      </c>
      <c r="Y101" s="145">
        <v>0.18499861426973147</v>
      </c>
      <c r="Z101" s="145">
        <v>5.8647428406919555E-2</v>
      </c>
      <c r="AA101" s="145">
        <v>8.3519660961824976E-2</v>
      </c>
      <c r="AB101" s="145">
        <v>5.5287759260138292E-2</v>
      </c>
      <c r="AC101" s="145">
        <v>5.3265434142658302E-2</v>
      </c>
      <c r="AD101" s="145">
        <v>7.0716142817687219E-2</v>
      </c>
      <c r="AE101" s="145">
        <v>0.20174323954215651</v>
      </c>
      <c r="AF101" s="145">
        <v>0.12404681325445777</v>
      </c>
      <c r="AG101" s="145">
        <v>8.0697295816862621E-2</v>
      </c>
      <c r="AH101" s="146">
        <v>26.296249303329851</v>
      </c>
      <c r="AI101" s="146">
        <v>1.3148124651664926E-2</v>
      </c>
      <c r="AJ101" s="146">
        <v>12.565012902586689</v>
      </c>
      <c r="AK101" s="146">
        <v>6.2825064512933449E-3</v>
      </c>
      <c r="AL101" s="146">
        <v>22.963362557267796</v>
      </c>
      <c r="AM101" s="146">
        <v>1.1481681278633898E-2</v>
      </c>
      <c r="AN101" s="146">
        <v>28.520903860835105</v>
      </c>
      <c r="AO101" s="146">
        <v>1.4260451930417552E-2</v>
      </c>
      <c r="AP101" s="146">
        <v>28.384358370225311</v>
      </c>
      <c r="AQ101" s="146">
        <v>1.4192179185112655E-2</v>
      </c>
      <c r="AR101" s="146">
        <v>7.991470914541722</v>
      </c>
      <c r="AS101" s="146">
        <v>3.9957354572708612E-3</v>
      </c>
      <c r="AT101" s="146">
        <v>7.9862074748220131</v>
      </c>
      <c r="AU101" s="146">
        <v>3.9931037374110068E-3</v>
      </c>
      <c r="AV101" s="146">
        <v>7.9482353576403675</v>
      </c>
      <c r="AW101" s="146">
        <v>3.9741176788201833E-3</v>
      </c>
      <c r="AX101" s="146">
        <v>31.105517618146312</v>
      </c>
      <c r="AY101" s="146">
        <v>1.5552758809073156E-2</v>
      </c>
      <c r="AZ101" s="146">
        <v>34.132278990496104</v>
      </c>
      <c r="BA101" s="146">
        <v>1.7066139495248052E-2</v>
      </c>
      <c r="BB101" s="146">
        <v>37.951084076346596</v>
      </c>
      <c r="BC101" s="146">
        <v>1.8975542038173299E-2</v>
      </c>
      <c r="BD101" s="146">
        <v>26.812401798876319</v>
      </c>
      <c r="BE101" s="146">
        <v>1.3406200899438159E-2</v>
      </c>
      <c r="BF101" s="146">
        <v>16.344733678211355</v>
      </c>
      <c r="BG101" s="146">
        <v>8.1723668391056777E-3</v>
      </c>
      <c r="BH101" s="146">
        <v>14.499552604727825</v>
      </c>
      <c r="BI101" s="146">
        <v>7.249776302363912E-3</v>
      </c>
      <c r="BJ101" s="146">
        <v>17.423774835363027</v>
      </c>
      <c r="BK101" s="146">
        <v>8.7118874176815141E-3</v>
      </c>
      <c r="BL101" s="146">
        <v>4.0130230424031375</v>
      </c>
      <c r="BM101" s="146">
        <v>2.0065115212015688E-3</v>
      </c>
      <c r="BN101" s="146">
        <v>17.898826555514017</v>
      </c>
      <c r="BO101" s="146">
        <v>8.9494132777570082E-3</v>
      </c>
      <c r="BP101" s="146">
        <v>8.4516563150362884</v>
      </c>
      <c r="BQ101" s="146">
        <v>4.2258281575181444E-3</v>
      </c>
      <c r="BR101" s="146">
        <v>11.069663086796048</v>
      </c>
      <c r="BS101" s="146">
        <v>5.5348315433980241E-3</v>
      </c>
      <c r="BT101" s="146">
        <v>13.846267813013091</v>
      </c>
      <c r="BU101" s="146">
        <v>6.9231339065065458E-3</v>
      </c>
      <c r="BV101" s="146">
        <v>11.122529071615142</v>
      </c>
      <c r="BW101" s="146">
        <v>5.5612645358075708E-3</v>
      </c>
      <c r="BX101" s="146">
        <v>37.429591433258942</v>
      </c>
      <c r="BY101" s="146">
        <v>1.871479571662947E-2</v>
      </c>
      <c r="BZ101" s="146">
        <v>47.520511423083953</v>
      </c>
      <c r="CA101" s="146">
        <v>2.3760255711541976E-2</v>
      </c>
    </row>
    <row r="102" spans="1:79" s="145" customFormat="1" x14ac:dyDescent="0.35">
      <c r="A102" s="146" t="s">
        <v>1532</v>
      </c>
      <c r="B102" s="48">
        <v>1257.2191971471905</v>
      </c>
      <c r="C102" s="48">
        <v>480.24826641421384</v>
      </c>
      <c r="D102" s="48">
        <v>1940.6845297696957</v>
      </c>
      <c r="E102" s="48">
        <v>942.12048920780398</v>
      </c>
      <c r="F102" s="48">
        <v>945.77477857937401</v>
      </c>
      <c r="G102" s="48">
        <v>497.11107342106243</v>
      </c>
      <c r="H102" s="48">
        <v>518.07713338623694</v>
      </c>
      <c r="I102" s="48">
        <v>466.04268848188019</v>
      </c>
      <c r="J102" s="48">
        <v>1519.9314904266298</v>
      </c>
      <c r="K102" s="48">
        <v>2166.8783307909403</v>
      </c>
      <c r="L102" s="48">
        <v>1879.3964750058469</v>
      </c>
      <c r="M102" s="48">
        <v>1066.3789447692261</v>
      </c>
      <c r="N102" s="48">
        <v>614.88896627105635</v>
      </c>
      <c r="O102" s="48">
        <v>1299.9964902854942</v>
      </c>
      <c r="P102" s="48">
        <v>1243.5050658412692</v>
      </c>
      <c r="Q102" s="48">
        <v>685.94984217350657</v>
      </c>
      <c r="R102" s="48">
        <v>30.616969891200746</v>
      </c>
      <c r="S102" s="48">
        <v>10047.508477458519</v>
      </c>
      <c r="T102" s="48">
        <v>16527.116015635584</v>
      </c>
      <c r="U102" s="48">
        <v>600.12982206011611</v>
      </c>
      <c r="V102" s="48">
        <v>737.30235281671423</v>
      </c>
      <c r="W102" s="48">
        <v>2194.5611134271426</v>
      </c>
      <c r="X102" s="48">
        <v>350.05315641761661</v>
      </c>
      <c r="Y102" s="48">
        <v>1054.5447350905345</v>
      </c>
      <c r="Z102" s="48">
        <v>358.48286380866745</v>
      </c>
      <c r="AA102" s="48">
        <v>418.89554284677064</v>
      </c>
      <c r="AB102" s="48">
        <v>337.94685993086279</v>
      </c>
      <c r="AC102" s="48">
        <v>325.58538186849495</v>
      </c>
      <c r="AD102" s="48">
        <v>432.25297482602394</v>
      </c>
      <c r="AE102" s="48">
        <v>1233.1571260604048</v>
      </c>
      <c r="AF102" s="48">
        <v>758.23711405136942</v>
      </c>
      <c r="AG102" s="48">
        <v>493.26285042416197</v>
      </c>
      <c r="AH102" s="383">
        <v>1796.501289536063</v>
      </c>
      <c r="AI102" s="528">
        <v>0.89825064476803151</v>
      </c>
      <c r="AJ102" s="383">
        <v>927.09197965762212</v>
      </c>
      <c r="AK102" s="528">
        <v>0.46354598982881107</v>
      </c>
      <c r="AL102" s="383">
        <v>1940.6845297696957</v>
      </c>
      <c r="AM102" s="528">
        <v>0.97034226488484787</v>
      </c>
      <c r="AN102" s="383">
        <v>942.12048920780398</v>
      </c>
      <c r="AO102" s="528">
        <v>0.471060244603902</v>
      </c>
      <c r="AP102" s="383">
        <v>945.77477857937401</v>
      </c>
      <c r="AQ102" s="528">
        <v>0.47288738928968699</v>
      </c>
      <c r="AR102" s="383">
        <v>1449.3663894834312</v>
      </c>
      <c r="AS102" s="528">
        <v>0.72468319474171561</v>
      </c>
      <c r="AT102" s="383">
        <v>1470.3056076503353</v>
      </c>
      <c r="AU102" s="528">
        <v>0.73515280382516768</v>
      </c>
      <c r="AV102" s="383">
        <v>1418.3377798440672</v>
      </c>
      <c r="AW102" s="528">
        <v>0.70916888992203364</v>
      </c>
      <c r="AX102" s="383">
        <v>2222.4383808521607</v>
      </c>
      <c r="AY102" s="528">
        <v>1.1112191904260804</v>
      </c>
      <c r="AZ102" s="383">
        <v>2661.2034285970649</v>
      </c>
      <c r="BA102" s="528">
        <v>1.3306017142985325</v>
      </c>
      <c r="BB102" s="383">
        <v>2560.5024623582681</v>
      </c>
      <c r="BC102" s="528">
        <v>1.2802512311791341</v>
      </c>
      <c r="BD102" s="383">
        <v>1596.731434907869</v>
      </c>
      <c r="BE102" s="528">
        <v>0.79836571745393448</v>
      </c>
      <c r="BF102" s="383">
        <v>1210.2837264139077</v>
      </c>
      <c r="BG102" s="528">
        <v>0.60514186320695385</v>
      </c>
      <c r="BH102" s="383">
        <v>1299.9964902854942</v>
      </c>
      <c r="BI102" s="528">
        <v>0.64999824514274718</v>
      </c>
      <c r="BJ102" s="383">
        <v>1243.5050658412692</v>
      </c>
      <c r="BK102" s="528">
        <v>0.62175253292063459</v>
      </c>
      <c r="BL102" s="383">
        <v>1171.9617001199567</v>
      </c>
      <c r="BM102" s="528">
        <v>0.58598085005997835</v>
      </c>
      <c r="BN102" s="383">
        <v>1495.0895883150197</v>
      </c>
      <c r="BO102" s="528">
        <v>0.74754479415750985</v>
      </c>
      <c r="BP102" s="383">
        <v>4714.053168802553</v>
      </c>
      <c r="BQ102" s="528">
        <v>2.3570265844012765</v>
      </c>
      <c r="BR102" s="383">
        <v>8494.7502969733214</v>
      </c>
      <c r="BS102" s="528">
        <v>4.2473751484866611</v>
      </c>
      <c r="BT102" s="383">
        <v>9027.8311275472242</v>
      </c>
      <c r="BU102" s="528">
        <v>4.5139155637736117</v>
      </c>
      <c r="BV102" s="383">
        <v>7412.2115311076996</v>
      </c>
      <c r="BW102" s="528">
        <v>3.7061057655538496</v>
      </c>
      <c r="BX102" s="383">
        <v>7550.9930885212034</v>
      </c>
      <c r="BY102" s="528">
        <v>3.7754965442606019</v>
      </c>
      <c r="BZ102" s="383">
        <v>14202.405846076046</v>
      </c>
      <c r="CA102" s="528">
        <v>7.1012029230380227</v>
      </c>
    </row>
    <row r="103" spans="1:79" s="145" customFormat="1" ht="13.15" x14ac:dyDescent="0.4">
      <c r="A103" s="158" t="s">
        <v>1663</v>
      </c>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46" t="s">
        <v>1873</v>
      </c>
      <c r="AI103" s="146" t="s">
        <v>1872</v>
      </c>
      <c r="AJ103" s="146" t="s">
        <v>1873</v>
      </c>
      <c r="AK103" s="146" t="s">
        <v>1872</v>
      </c>
      <c r="AL103" s="146" t="s">
        <v>1873</v>
      </c>
      <c r="AM103" s="146" t="s">
        <v>1872</v>
      </c>
      <c r="AN103" s="146" t="s">
        <v>1873</v>
      </c>
      <c r="AO103" s="146" t="s">
        <v>1872</v>
      </c>
      <c r="AP103" s="146" t="s">
        <v>1873</v>
      </c>
      <c r="AQ103" s="146" t="s">
        <v>1872</v>
      </c>
      <c r="AR103" s="146" t="s">
        <v>1873</v>
      </c>
      <c r="AS103" s="146" t="s">
        <v>1872</v>
      </c>
      <c r="AT103" s="146" t="s">
        <v>1873</v>
      </c>
      <c r="AU103" s="146" t="s">
        <v>1872</v>
      </c>
      <c r="AV103" s="146" t="s">
        <v>1873</v>
      </c>
      <c r="AW103" s="146" t="s">
        <v>1872</v>
      </c>
      <c r="AX103" s="146" t="s">
        <v>1873</v>
      </c>
      <c r="AY103" s="146" t="s">
        <v>1872</v>
      </c>
      <c r="AZ103" s="146" t="s">
        <v>1873</v>
      </c>
      <c r="BA103" s="146" t="s">
        <v>1872</v>
      </c>
      <c r="BB103" s="146" t="s">
        <v>1873</v>
      </c>
      <c r="BC103" s="146" t="s">
        <v>1872</v>
      </c>
      <c r="BD103" s="146" t="s">
        <v>1873</v>
      </c>
      <c r="BE103" s="146" t="s">
        <v>1872</v>
      </c>
      <c r="BF103" s="146" t="s">
        <v>1873</v>
      </c>
      <c r="BG103" s="146" t="s">
        <v>1872</v>
      </c>
      <c r="BH103" s="146" t="s">
        <v>1873</v>
      </c>
      <c r="BI103" s="146" t="s">
        <v>1872</v>
      </c>
      <c r="BJ103" s="146" t="s">
        <v>1873</v>
      </c>
      <c r="BK103" s="146" t="s">
        <v>1872</v>
      </c>
      <c r="BL103" s="146" t="s">
        <v>1873</v>
      </c>
      <c r="BM103" s="146" t="s">
        <v>1872</v>
      </c>
      <c r="BN103" s="146" t="s">
        <v>1873</v>
      </c>
      <c r="BO103" s="146" t="s">
        <v>1872</v>
      </c>
      <c r="BP103" s="146" t="s">
        <v>1873</v>
      </c>
      <c r="BQ103" s="146" t="s">
        <v>1872</v>
      </c>
      <c r="BR103" s="146" t="s">
        <v>1873</v>
      </c>
      <c r="BS103" s="146" t="s">
        <v>1872</v>
      </c>
      <c r="BT103" s="146" t="s">
        <v>1873</v>
      </c>
      <c r="BU103" s="146" t="s">
        <v>1872</v>
      </c>
      <c r="BV103" s="146" t="s">
        <v>1873</v>
      </c>
      <c r="BW103" s="146" t="s">
        <v>1872</v>
      </c>
      <c r="BX103" s="146" t="s">
        <v>1873</v>
      </c>
      <c r="BY103" s="146" t="s">
        <v>1872</v>
      </c>
      <c r="BZ103" s="146" t="s">
        <v>1873</v>
      </c>
      <c r="CA103" s="146" t="s">
        <v>1872</v>
      </c>
    </row>
    <row r="104" spans="1:79" s="145" customFormat="1" x14ac:dyDescent="0.35">
      <c r="A104" s="146" t="s">
        <v>1525</v>
      </c>
      <c r="B104" s="145">
        <v>1084.4147439867368</v>
      </c>
      <c r="C104" s="145">
        <v>1175.1425526819314</v>
      </c>
      <c r="D104" s="145">
        <v>987.47875609020548</v>
      </c>
      <c r="E104" s="145">
        <v>918.50669312249545</v>
      </c>
      <c r="F104" s="145">
        <v>939.24948865813883</v>
      </c>
      <c r="G104" s="145">
        <v>1200.4489855891011</v>
      </c>
      <c r="H104" s="145">
        <v>1274.5103922156738</v>
      </c>
      <c r="I104" s="145">
        <v>1214.5693478852361</v>
      </c>
      <c r="J104" s="145">
        <v>831.63685680284698</v>
      </c>
      <c r="K104" s="145">
        <v>907.07299974389809</v>
      </c>
      <c r="L104" s="145">
        <v>650.94933208384828</v>
      </c>
      <c r="M104" s="145">
        <v>569.03082657667164</v>
      </c>
      <c r="N104" s="145">
        <v>1000.9368530751489</v>
      </c>
      <c r="O104" s="145">
        <v>896.1901182675233</v>
      </c>
      <c r="P104" s="145">
        <v>1020.1069609692794</v>
      </c>
      <c r="Q104" s="145">
        <v>735.59645568366045</v>
      </c>
      <c r="R104" s="145">
        <v>5.0724676380287033</v>
      </c>
      <c r="S104" s="145">
        <v>245.04537150999496</v>
      </c>
      <c r="T104" s="145">
        <v>4957.3652469177878</v>
      </c>
      <c r="U104" s="145">
        <v>45.315963452231536</v>
      </c>
      <c r="V104" s="145">
        <v>55.673897955598747</v>
      </c>
      <c r="W104" s="145">
        <v>165.7118969165158</v>
      </c>
      <c r="X104" s="145">
        <v>82.824715133606261</v>
      </c>
      <c r="Y104" s="145">
        <v>80.048210930063789</v>
      </c>
      <c r="Z104" s="145">
        <v>27.069136972462562</v>
      </c>
      <c r="AA104" s="145">
        <v>85.152787207324451</v>
      </c>
      <c r="AB104" s="145">
        <v>25.51845782442939</v>
      </c>
      <c r="AC104" s="145">
        <v>24.585039308137578</v>
      </c>
      <c r="AD104" s="145">
        <v>32.639537795494348</v>
      </c>
      <c r="AE104" s="145">
        <v>93.116024568788063</v>
      </c>
      <c r="AF104" s="145">
        <v>57.254687378351015</v>
      </c>
      <c r="AG104" s="145">
        <v>37.24640982751523</v>
      </c>
      <c r="AH104" s="146">
        <v>1209.4154010839377</v>
      </c>
      <c r="AI104" s="146">
        <v>0.60470770054196887</v>
      </c>
      <c r="AJ104" s="146">
        <v>1273.4238539462003</v>
      </c>
      <c r="AK104" s="146">
        <v>0.6367119269731002</v>
      </c>
      <c r="AL104" s="146">
        <v>987.47875609020548</v>
      </c>
      <c r="AM104" s="146">
        <v>0.49373937804510276</v>
      </c>
      <c r="AN104" s="146">
        <v>918.50669312249545</v>
      </c>
      <c r="AO104" s="146">
        <v>0.45925334656124772</v>
      </c>
      <c r="AP104" s="146">
        <v>939.24948865813883</v>
      </c>
      <c r="AQ104" s="146">
        <v>0.46962474432906942</v>
      </c>
      <c r="AR104" s="146">
        <v>1283.8442753600805</v>
      </c>
      <c r="AS104" s="146">
        <v>0.64192213768004025</v>
      </c>
      <c r="AT104" s="146">
        <v>1357.8108648708196</v>
      </c>
      <c r="AU104" s="146">
        <v>0.67890543243540979</v>
      </c>
      <c r="AV104" s="146">
        <v>1297.946560062386</v>
      </c>
      <c r="AW104" s="146">
        <v>0.64897328003119303</v>
      </c>
      <c r="AX104" s="146">
        <v>927.38758888266591</v>
      </c>
      <c r="AY104" s="146">
        <v>0.46369379444133296</v>
      </c>
      <c r="AZ104" s="146">
        <v>987.80710348063633</v>
      </c>
      <c r="BA104" s="146">
        <v>0.49390355174031819</v>
      </c>
      <c r="BB104" s="146">
        <v>769.46339366315999</v>
      </c>
      <c r="BC104" s="146">
        <v>0.38473169683157998</v>
      </c>
      <c r="BD104" s="146">
        <v>669.86342216515663</v>
      </c>
      <c r="BE104" s="146">
        <v>0.3349317110825783</v>
      </c>
      <c r="BF104" s="146">
        <v>1152.0184251084038</v>
      </c>
      <c r="BG104" s="146">
        <v>0.5760092125542019</v>
      </c>
      <c r="BH104" s="146">
        <v>896.1901182675233</v>
      </c>
      <c r="BI104" s="146">
        <v>0.44809505913376163</v>
      </c>
      <c r="BJ104" s="146">
        <v>1020.1069609692794</v>
      </c>
      <c r="BK104" s="146">
        <v>0.51005348048463972</v>
      </c>
      <c r="BL104" s="146">
        <v>799.32115469146834</v>
      </c>
      <c r="BM104" s="146">
        <v>0.39966057734573418</v>
      </c>
      <c r="BN104" s="146">
        <v>1020.303521960272</v>
      </c>
      <c r="BO104" s="146">
        <v>0.51015176098013593</v>
      </c>
      <c r="BP104" s="146">
        <v>469.15226033444111</v>
      </c>
      <c r="BQ104" s="146">
        <v>0.23457613016722056</v>
      </c>
      <c r="BR104" s="146">
        <v>673.57524484556893</v>
      </c>
      <c r="BS104" s="146">
        <v>0.33678762242278448</v>
      </c>
      <c r="BT104" s="146">
        <v>868.25064964862997</v>
      </c>
      <c r="BU104" s="146">
        <v>0.43412532482431498</v>
      </c>
      <c r="BV104" s="146">
        <v>670.32605160954665</v>
      </c>
      <c r="BW104" s="146">
        <v>0.33516302580477331</v>
      </c>
      <c r="BX104" s="146">
        <v>2566.2516769394738</v>
      </c>
      <c r="BY104" s="146">
        <v>1.2831258384697368</v>
      </c>
      <c r="BZ104" s="146">
        <v>4376.5199167568508</v>
      </c>
      <c r="CA104" s="146">
        <v>2.1882599583784255</v>
      </c>
    </row>
    <row r="105" spans="1:79" s="145" customFormat="1" x14ac:dyDescent="0.35">
      <c r="A105" s="146" t="s">
        <v>1524</v>
      </c>
      <c r="B105" s="145">
        <v>10525.879251043134</v>
      </c>
      <c r="C105" s="145">
        <v>5229.6876762546099</v>
      </c>
      <c r="D105" s="145">
        <v>4184.1658825633858</v>
      </c>
      <c r="E105" s="145">
        <v>11135.702230026385</v>
      </c>
      <c r="F105" s="145">
        <v>11094.008924228845</v>
      </c>
      <c r="G105" s="145">
        <v>4490.1137179694197</v>
      </c>
      <c r="H105" s="145">
        <v>4715.1174001250365</v>
      </c>
      <c r="I105" s="145">
        <v>4467.8886077630432</v>
      </c>
      <c r="J105" s="145">
        <v>8369.8619384215435</v>
      </c>
      <c r="K105" s="145">
        <v>4990.872981203308</v>
      </c>
      <c r="L105" s="145">
        <v>2532.6286366591548</v>
      </c>
      <c r="M105" s="145">
        <v>13740.33742535399</v>
      </c>
      <c r="N105" s="145">
        <v>6780.3179375397904</v>
      </c>
      <c r="O105" s="145">
        <v>6399.4900761926347</v>
      </c>
      <c r="P105" s="145">
        <v>7286.007023178674</v>
      </c>
      <c r="Q105" s="145">
        <v>2817.1594938448843</v>
      </c>
      <c r="R105" s="145">
        <v>30.085729211884779</v>
      </c>
      <c r="S105" s="145">
        <v>886.4934216374279</v>
      </c>
      <c r="T105" s="145">
        <v>19968.675723926419</v>
      </c>
      <c r="U105" s="145">
        <v>126.54174221451572</v>
      </c>
      <c r="V105" s="145">
        <v>155.46556900640505</v>
      </c>
      <c r="W105" s="145">
        <v>462.73918822431051</v>
      </c>
      <c r="X105" s="145">
        <v>388.9057959279466</v>
      </c>
      <c r="Y105" s="145">
        <v>226.54361533680043</v>
      </c>
      <c r="Z105" s="145">
        <v>75.588721761361896</v>
      </c>
      <c r="AA105" s="145">
        <v>315.32592151050471</v>
      </c>
      <c r="AB105" s="145">
        <v>71.25855583176218</v>
      </c>
      <c r="AC105" s="145">
        <v>68.652048184818668</v>
      </c>
      <c r="AD105" s="145">
        <v>91.143686751186095</v>
      </c>
      <c r="AE105" s="145">
        <v>260.02015800557467</v>
      </c>
      <c r="AF105" s="145">
        <v>159.87981582784164</v>
      </c>
      <c r="AG105" s="145">
        <v>104.00806320222989</v>
      </c>
      <c r="AH105" s="146">
        <v>11435.487711990121</v>
      </c>
      <c r="AI105" s="146">
        <v>5.7177438559950602</v>
      </c>
      <c r="AJ105" s="146">
        <v>5610.0645136075427</v>
      </c>
      <c r="AK105" s="146">
        <v>2.8050322568037713</v>
      </c>
      <c r="AL105" s="146">
        <v>4184.1658825633858</v>
      </c>
      <c r="AM105" s="146">
        <v>2.092082941281693</v>
      </c>
      <c r="AN105" s="146">
        <v>11135.702230026385</v>
      </c>
      <c r="AO105" s="146">
        <v>5.5678511150131929</v>
      </c>
      <c r="AP105" s="146">
        <v>11094.008924228845</v>
      </c>
      <c r="AQ105" s="146">
        <v>5.5470044621144226</v>
      </c>
      <c r="AR105" s="146">
        <v>4740.3366073364323</v>
      </c>
      <c r="AS105" s="146">
        <v>2.370168303668216</v>
      </c>
      <c r="AT105" s="146">
        <v>4965.0522285279694</v>
      </c>
      <c r="AU105" s="146">
        <v>2.4825261142639845</v>
      </c>
      <c r="AV105" s="146">
        <v>4718.1399508273971</v>
      </c>
      <c r="AW105" s="146">
        <v>2.3590699754136986</v>
      </c>
      <c r="AX105" s="146">
        <v>8827.5230009764146</v>
      </c>
      <c r="AY105" s="146">
        <v>4.4137615004882074</v>
      </c>
      <c r="AZ105" s="146">
        <v>5325.7309458936807</v>
      </c>
      <c r="BA105" s="146">
        <v>2.6628654729468404</v>
      </c>
      <c r="BB105" s="146">
        <v>2958.3068605767689</v>
      </c>
      <c r="BC105" s="146">
        <v>1.4791534302883844</v>
      </c>
      <c r="BD105" s="146">
        <v>14907.018919386262</v>
      </c>
      <c r="BE105" s="146">
        <v>7.4535094596931311</v>
      </c>
      <c r="BF105" s="146">
        <v>7623.0362907090985</v>
      </c>
      <c r="BG105" s="146">
        <v>3.8115181453545492</v>
      </c>
      <c r="BH105" s="146">
        <v>6399.4900761926347</v>
      </c>
      <c r="BI105" s="146">
        <v>3.1997450380963173</v>
      </c>
      <c r="BJ105" s="146">
        <v>7286.007023178674</v>
      </c>
      <c r="BK105" s="146">
        <v>3.6430035115893369</v>
      </c>
      <c r="BL105" s="146">
        <v>3025.531891679856</v>
      </c>
      <c r="BM105" s="146">
        <v>1.5127659458399281</v>
      </c>
      <c r="BN105" s="146">
        <v>6322.7263317325851</v>
      </c>
      <c r="BO105" s="146">
        <v>3.1613631658662924</v>
      </c>
      <c r="BP105" s="146">
        <v>1874.4263167718134</v>
      </c>
      <c r="BQ105" s="146">
        <v>0.93721315838590669</v>
      </c>
      <c r="BR105" s="146">
        <v>2669.8067118553095</v>
      </c>
      <c r="BS105" s="146">
        <v>1.3349033559276546</v>
      </c>
      <c r="BT105" s="146">
        <v>3353.0149916187738</v>
      </c>
      <c r="BU105" s="146">
        <v>1.6765074958093868</v>
      </c>
      <c r="BV105" s="146">
        <v>2632.4160067486323</v>
      </c>
      <c r="BW105" s="146">
        <v>1.3162080033743162</v>
      </c>
      <c r="BX105" s="146">
        <v>10557.157267796363</v>
      </c>
      <c r="BY105" s="146">
        <v>5.2785786338981815</v>
      </c>
      <c r="BZ105" s="146">
        <v>17754.893755457902</v>
      </c>
      <c r="CA105" s="146">
        <v>8.8774468777289517</v>
      </c>
    </row>
    <row r="106" spans="1:79" s="145" customFormat="1" x14ac:dyDescent="0.35">
      <c r="A106" s="146" t="s">
        <v>1563</v>
      </c>
      <c r="B106" s="145">
        <v>4428.9270932904374</v>
      </c>
      <c r="C106" s="145">
        <v>2557.2200561980749</v>
      </c>
      <c r="D106" s="145">
        <v>7349.2102966444345</v>
      </c>
      <c r="E106" s="145">
        <v>3773.2624062056962</v>
      </c>
      <c r="F106" s="145">
        <v>3768.1467289579418</v>
      </c>
      <c r="G106" s="145">
        <v>2606.0343482670569</v>
      </c>
      <c r="H106" s="145">
        <v>2885.4104284888394</v>
      </c>
      <c r="I106" s="145">
        <v>2601.6662924215607</v>
      </c>
      <c r="J106" s="145">
        <v>13734.133322985032</v>
      </c>
      <c r="K106" s="145">
        <v>7905.2511257888382</v>
      </c>
      <c r="L106" s="145">
        <v>4837.1174441361736</v>
      </c>
      <c r="M106" s="145">
        <v>3619.9847150115997</v>
      </c>
      <c r="N106" s="145">
        <v>2366.5259233379147</v>
      </c>
      <c r="O106" s="145">
        <v>4678.9044447037577</v>
      </c>
      <c r="P106" s="145">
        <v>4894.7740093228058</v>
      </c>
      <c r="Q106" s="145">
        <v>2622.9981980448556</v>
      </c>
      <c r="R106" s="145">
        <v>99.789009885430005</v>
      </c>
      <c r="S106" s="145">
        <v>3752.7104306287661</v>
      </c>
      <c r="T106" s="145">
        <v>36370.142974755974</v>
      </c>
      <c r="U106" s="145">
        <v>284.20213312741657</v>
      </c>
      <c r="V106" s="145">
        <v>349.16262069939756</v>
      </c>
      <c r="W106" s="145">
        <v>1039.2733818383635</v>
      </c>
      <c r="X106" s="145">
        <v>939.28314499276462</v>
      </c>
      <c r="Y106" s="145">
        <v>512.80007038321776</v>
      </c>
      <c r="Z106" s="145">
        <v>169.76592536979902</v>
      </c>
      <c r="AA106" s="145">
        <v>516.02799412835907</v>
      </c>
      <c r="AB106" s="145">
        <v>160.04073609666816</v>
      </c>
      <c r="AC106" s="145">
        <v>154.18673867012336</v>
      </c>
      <c r="AD106" s="145">
        <v>204.70107130240507</v>
      </c>
      <c r="AE106" s="145">
        <v>583.98345295450883</v>
      </c>
      <c r="AF106" s="145">
        <v>359.07664859919117</v>
      </c>
      <c r="AG106" s="145">
        <v>233.59338118180358</v>
      </c>
      <c r="AH106" s="146">
        <v>5037.0867145918701</v>
      </c>
      <c r="AI106" s="146">
        <v>2.5185433572959353</v>
      </c>
      <c r="AJ106" s="146">
        <v>2967.2636861796573</v>
      </c>
      <c r="AK106" s="146">
        <v>1.4836318430898285</v>
      </c>
      <c r="AL106" s="146">
        <v>7349.2102966444345</v>
      </c>
      <c r="AM106" s="146">
        <v>3.6746051483222173</v>
      </c>
      <c r="AN106" s="146">
        <v>3773.2624062056962</v>
      </c>
      <c r="AO106" s="146">
        <v>1.886631203102848</v>
      </c>
      <c r="AP106" s="146">
        <v>3768.1467289579418</v>
      </c>
      <c r="AQ106" s="146">
        <v>1.8840733644789709</v>
      </c>
      <c r="AR106" s="146">
        <v>3130.9875256725054</v>
      </c>
      <c r="AS106" s="146">
        <v>1.5654937628362526</v>
      </c>
      <c r="AT106" s="146">
        <v>3410.0059346675839</v>
      </c>
      <c r="AU106" s="146">
        <v>1.7050029673337919</v>
      </c>
      <c r="AV106" s="146">
        <v>3126.625062030505</v>
      </c>
      <c r="AW106" s="146">
        <v>1.5633125310152525</v>
      </c>
      <c r="AX106" s="146">
        <v>14547.279009157066</v>
      </c>
      <c r="AY106" s="146">
        <v>7.2736395045785329</v>
      </c>
      <c r="AZ106" s="146">
        <v>8480.0829171376226</v>
      </c>
      <c r="BA106" s="146">
        <v>4.2400414585688111</v>
      </c>
      <c r="BB106" s="146">
        <v>5658.4185989413918</v>
      </c>
      <c r="BC106" s="146">
        <v>2.8292092994706959</v>
      </c>
      <c r="BD106" s="146">
        <v>4246.9273380672385</v>
      </c>
      <c r="BE106" s="146">
        <v>2.1234636690336193</v>
      </c>
      <c r="BF106" s="146">
        <v>2911.2295433720074</v>
      </c>
      <c r="BG106" s="146">
        <v>1.4556147716860037</v>
      </c>
      <c r="BH106" s="146">
        <v>4678.9044447037577</v>
      </c>
      <c r="BI106" s="146">
        <v>2.3394522223518788</v>
      </c>
      <c r="BJ106" s="146">
        <v>4894.7740093228058</v>
      </c>
      <c r="BK106" s="146">
        <v>2.4473870046614028</v>
      </c>
      <c r="BL106" s="146">
        <v>2946.0542275457128</v>
      </c>
      <c r="BM106" s="146">
        <v>1.4730271137728563</v>
      </c>
      <c r="BN106" s="146">
        <v>4663.9727841254244</v>
      </c>
      <c r="BO106" s="146">
        <v>2.3319863920627122</v>
      </c>
      <c r="BP106" s="146">
        <v>4126.5628103626068</v>
      </c>
      <c r="BQ106" s="146">
        <v>2.0632814051813035</v>
      </c>
      <c r="BR106" s="146">
        <v>6267.2564505193359</v>
      </c>
      <c r="BS106" s="146">
        <v>3.1336282252596681</v>
      </c>
      <c r="BT106" s="146">
        <v>7367.3681963840863</v>
      </c>
      <c r="BU106" s="146">
        <v>3.6836840981920433</v>
      </c>
      <c r="BV106" s="146">
        <v>5920.3958190886769</v>
      </c>
      <c r="BW106" s="146">
        <v>2.9601979095443385</v>
      </c>
      <c r="BX106" s="146">
        <v>19242.541859081568</v>
      </c>
      <c r="BY106" s="146">
        <v>9.6212709295407848</v>
      </c>
      <c r="BZ106" s="146">
        <v>32476.087160300427</v>
      </c>
      <c r="CA106" s="146">
        <v>16.238043580150215</v>
      </c>
    </row>
    <row r="107" spans="1:79" s="145" customFormat="1" x14ac:dyDescent="0.35">
      <c r="A107" s="146" t="s">
        <v>1522</v>
      </c>
      <c r="B107" s="145">
        <v>300.22058159688572</v>
      </c>
      <c r="C107" s="145">
        <v>172.86495406223497</v>
      </c>
      <c r="D107" s="145">
        <v>6832.5543418590169</v>
      </c>
      <c r="E107" s="145">
        <v>260.08498411517013</v>
      </c>
      <c r="F107" s="145">
        <v>272.62274116410549</v>
      </c>
      <c r="G107" s="145">
        <v>227.55478796659941</v>
      </c>
      <c r="H107" s="145">
        <v>229.12236321222872</v>
      </c>
      <c r="I107" s="145">
        <v>195.05095911940072</v>
      </c>
      <c r="J107" s="145">
        <v>911.52263350674355</v>
      </c>
      <c r="K107" s="145">
        <v>923.12485366164015</v>
      </c>
      <c r="L107" s="145">
        <v>561.90308770516197</v>
      </c>
      <c r="M107" s="145">
        <v>273.52527577711982</v>
      </c>
      <c r="N107" s="145">
        <v>194.73323066979475</v>
      </c>
      <c r="O107" s="145">
        <v>430.73893717881919</v>
      </c>
      <c r="P107" s="145">
        <v>441.5680874897775</v>
      </c>
      <c r="Q107" s="145">
        <v>189.40396550410935</v>
      </c>
      <c r="R107" s="145">
        <v>22.008081464829601</v>
      </c>
      <c r="S107" s="145">
        <v>1409.0034629288416</v>
      </c>
      <c r="T107" s="145">
        <v>4005.6140647919497</v>
      </c>
      <c r="U107" s="145">
        <v>51.329770247671334</v>
      </c>
      <c r="V107" s="145">
        <v>63.062289161424786</v>
      </c>
      <c r="W107" s="145">
        <v>187.70324954023866</v>
      </c>
      <c r="X107" s="145">
        <v>164.82010792077028</v>
      </c>
      <c r="Y107" s="145">
        <v>90.575173393054158</v>
      </c>
      <c r="Z107" s="145">
        <v>30.661437510070787</v>
      </c>
      <c r="AA107" s="145">
        <v>51.549048634876215</v>
      </c>
      <c r="AB107" s="145">
        <v>28.904970288971068</v>
      </c>
      <c r="AC107" s="145">
        <v>27.847679340347938</v>
      </c>
      <c r="AD107" s="145">
        <v>36.971077042176567</v>
      </c>
      <c r="AE107" s="145">
        <v>105.47329866506551</v>
      </c>
      <c r="AF107" s="145">
        <v>64.85286254215751</v>
      </c>
      <c r="AG107" s="145">
        <v>42.189319466026213</v>
      </c>
      <c r="AH107" s="146">
        <v>364.01918390149893</v>
      </c>
      <c r="AI107" s="146">
        <v>0.18200959195074948</v>
      </c>
      <c r="AJ107" s="146">
        <v>221.59154852432619</v>
      </c>
      <c r="AK107" s="146">
        <v>0.1107957742621631</v>
      </c>
      <c r="AL107" s="146">
        <v>6832.5543418590169</v>
      </c>
      <c r="AM107" s="146">
        <v>3.4162771709295083</v>
      </c>
      <c r="AN107" s="146">
        <v>260.08498411517013</v>
      </c>
      <c r="AO107" s="146">
        <v>0.13004249205758506</v>
      </c>
      <c r="AP107" s="146">
        <v>272.62274116410549</v>
      </c>
      <c r="AQ107" s="146">
        <v>0.13631137058205275</v>
      </c>
      <c r="AR107" s="146">
        <v>312.57755860726104</v>
      </c>
      <c r="AS107" s="146">
        <v>0.15628877930363053</v>
      </c>
      <c r="AT107" s="146">
        <v>314.14312696468215</v>
      </c>
      <c r="AU107" s="146">
        <v>0.15707156348234108</v>
      </c>
      <c r="AV107" s="146">
        <v>280.11534278694398</v>
      </c>
      <c r="AW107" s="146">
        <v>0.140057671393472</v>
      </c>
      <c r="AX107" s="146">
        <v>998.78272783468788</v>
      </c>
      <c r="AY107" s="146">
        <v>0.49939136391734396</v>
      </c>
      <c r="AZ107" s="146">
        <v>995.65584708549102</v>
      </c>
      <c r="BA107" s="146">
        <v>0.49782792354274552</v>
      </c>
      <c r="BB107" s="146">
        <v>667.20456567985184</v>
      </c>
      <c r="BC107" s="146">
        <v>0.33360228283992593</v>
      </c>
      <c r="BD107" s="146">
        <v>339.44549528544741</v>
      </c>
      <c r="BE107" s="146">
        <v>0.16972274764272371</v>
      </c>
      <c r="BF107" s="146">
        <v>262.67863071235934</v>
      </c>
      <c r="BG107" s="146">
        <v>0.13133931535617968</v>
      </c>
      <c r="BH107" s="146">
        <v>430.73893717881919</v>
      </c>
      <c r="BI107" s="146">
        <v>0.21536946858940959</v>
      </c>
      <c r="BJ107" s="146">
        <v>441.5680874897775</v>
      </c>
      <c r="BK107" s="146">
        <v>0.22078404374488875</v>
      </c>
      <c r="BL107" s="146">
        <v>236.22240802344578</v>
      </c>
      <c r="BM107" s="146">
        <v>0.11811120401172288</v>
      </c>
      <c r="BN107" s="146">
        <v>1084.6272564462513</v>
      </c>
      <c r="BO107" s="146">
        <v>0.54231362822312568</v>
      </c>
      <c r="BP107" s="146">
        <v>2879.9782246330806</v>
      </c>
      <c r="BQ107" s="146">
        <v>1.4399891123165403</v>
      </c>
      <c r="BR107" s="146">
        <v>4142.4654376924645</v>
      </c>
      <c r="BS107" s="146">
        <v>2.0712327188462321</v>
      </c>
      <c r="BT107" s="146">
        <v>4885.391198269318</v>
      </c>
      <c r="BU107" s="146">
        <v>2.4426955991346588</v>
      </c>
      <c r="BV107" s="146">
        <v>3969.2782868649542</v>
      </c>
      <c r="BW107" s="146">
        <v>1.984639143432477</v>
      </c>
      <c r="BX107" s="146">
        <v>6987.118482883111</v>
      </c>
      <c r="BY107" s="146">
        <v>3.4935592414415555</v>
      </c>
      <c r="BZ107" s="146">
        <v>5698.0337165405281</v>
      </c>
      <c r="CA107" s="146">
        <v>2.849016858270264</v>
      </c>
    </row>
    <row r="108" spans="1:79" s="145" customFormat="1" x14ac:dyDescent="0.35">
      <c r="A108" s="146" t="s">
        <v>1521</v>
      </c>
      <c r="B108" s="145">
        <v>164.90918829580301</v>
      </c>
      <c r="C108" s="145">
        <v>75.165172952185429</v>
      </c>
      <c r="D108" s="145">
        <v>1023.0741980149642</v>
      </c>
      <c r="E108" s="145">
        <v>164.15611294926163</v>
      </c>
      <c r="F108" s="145">
        <v>163.3091346795365</v>
      </c>
      <c r="G108" s="145">
        <v>89.104475743693484</v>
      </c>
      <c r="H108" s="145">
        <v>96.067216510061911</v>
      </c>
      <c r="I108" s="145">
        <v>85.208902983719312</v>
      </c>
      <c r="J108" s="145">
        <v>452.59336133355373</v>
      </c>
      <c r="K108" s="145">
        <v>519.74002536201442</v>
      </c>
      <c r="L108" s="145">
        <v>331.84801487340826</v>
      </c>
      <c r="M108" s="145">
        <v>168.06618139355189</v>
      </c>
      <c r="N108" s="145">
        <v>77.080197060830173</v>
      </c>
      <c r="O108" s="145">
        <v>218.937265796931</v>
      </c>
      <c r="P108" s="145">
        <v>236.73382627225217</v>
      </c>
      <c r="Q108" s="145">
        <v>103.99806461698074</v>
      </c>
      <c r="R108" s="145">
        <v>10.462966783109167</v>
      </c>
      <c r="S108" s="145">
        <v>729.10378395498151</v>
      </c>
      <c r="T108" s="145">
        <v>2377.3569956102788</v>
      </c>
      <c r="U108" s="145">
        <v>22.339545243371024</v>
      </c>
      <c r="V108" s="145">
        <v>27.445727013284401</v>
      </c>
      <c r="W108" s="145">
        <v>81.691486542785668</v>
      </c>
      <c r="X108" s="145">
        <v>84.121609188148483</v>
      </c>
      <c r="Y108" s="145">
        <v>39.640809791376277</v>
      </c>
      <c r="Z108" s="145">
        <v>13.344352939395716</v>
      </c>
      <c r="AA108" s="145">
        <v>31.750410024825769</v>
      </c>
      <c r="AB108" s="145">
        <v>12.579910029074382</v>
      </c>
      <c r="AC108" s="145">
        <v>12.119759927715908</v>
      </c>
      <c r="AD108" s="145">
        <v>16.090409995889829</v>
      </c>
      <c r="AE108" s="145">
        <v>45.903683498421856</v>
      </c>
      <c r="AF108" s="145">
        <v>28.225013475262461</v>
      </c>
      <c r="AG108" s="145">
        <v>18.361473399368744</v>
      </c>
      <c r="AH108" s="146">
        <v>197.3686531907168</v>
      </c>
      <c r="AI108" s="146">
        <v>9.8684326595358404E-2</v>
      </c>
      <c r="AJ108" s="146">
        <v>99.340543836097069</v>
      </c>
      <c r="AK108" s="146">
        <v>4.9670271918048535E-2</v>
      </c>
      <c r="AL108" s="146">
        <v>1023.0741980149642</v>
      </c>
      <c r="AM108" s="146">
        <v>0.51153709900748212</v>
      </c>
      <c r="AN108" s="146">
        <v>164.15611294926163</v>
      </c>
      <c r="AO108" s="146">
        <v>8.2078056474630817E-2</v>
      </c>
      <c r="AP108" s="146">
        <v>163.3091346795365</v>
      </c>
      <c r="AQ108" s="146">
        <v>8.1654567339768253E-2</v>
      </c>
      <c r="AR108" s="146">
        <v>128.37946537378281</v>
      </c>
      <c r="AS108" s="146">
        <v>6.4189732686891404E-2</v>
      </c>
      <c r="AT108" s="146">
        <v>135.33329209128507</v>
      </c>
      <c r="AU108" s="146">
        <v>6.7666646045642542E-2</v>
      </c>
      <c r="AV108" s="146">
        <v>124.48887992083458</v>
      </c>
      <c r="AW108" s="146">
        <v>6.2244439960417286E-2</v>
      </c>
      <c r="AX108" s="146">
        <v>496.30293205517341</v>
      </c>
      <c r="AY108" s="146">
        <v>0.2481514660275867</v>
      </c>
      <c r="AZ108" s="146">
        <v>558.47707712073191</v>
      </c>
      <c r="BA108" s="146">
        <v>0.27923853856036596</v>
      </c>
      <c r="BB108" s="146">
        <v>389.21166853843283</v>
      </c>
      <c r="BC108" s="146">
        <v>0.1946058342692164</v>
      </c>
      <c r="BD108" s="146">
        <v>204.82793263971001</v>
      </c>
      <c r="BE108" s="146">
        <v>0.10241396631985501</v>
      </c>
      <c r="BF108" s="146">
        <v>107.31291735064545</v>
      </c>
      <c r="BG108" s="146">
        <v>5.3656458675322725E-2</v>
      </c>
      <c r="BH108" s="146">
        <v>218.937265796931</v>
      </c>
      <c r="BI108" s="146">
        <v>0.10946863289846551</v>
      </c>
      <c r="BJ108" s="146">
        <v>236.73382627225217</v>
      </c>
      <c r="BK108" s="146">
        <v>0.11836691313612609</v>
      </c>
      <c r="BL108" s="146">
        <v>125.3409863008886</v>
      </c>
      <c r="BM108" s="146">
        <v>6.2670493150444304E-2</v>
      </c>
      <c r="BN108" s="146">
        <v>291.79859042883737</v>
      </c>
      <c r="BO108" s="146">
        <v>0.14589929521441869</v>
      </c>
      <c r="BP108" s="146">
        <v>626.35552793019019</v>
      </c>
      <c r="BQ108" s="146">
        <v>0.31317776396509511</v>
      </c>
      <c r="BR108" s="146">
        <v>992.67454953331537</v>
      </c>
      <c r="BS108" s="146">
        <v>0.49633727476665768</v>
      </c>
      <c r="BT108" s="146">
        <v>1080.4329362656547</v>
      </c>
      <c r="BU108" s="146">
        <v>0.54021646813282731</v>
      </c>
      <c r="BV108" s="146">
        <v>899.82100457638683</v>
      </c>
      <c r="BW108" s="146">
        <v>0.4499105022881934</v>
      </c>
      <c r="BX108" s="146">
        <v>1713.5909117028054</v>
      </c>
      <c r="BY108" s="146">
        <v>0.85679545585140271</v>
      </c>
      <c r="BZ108" s="146">
        <v>2331.1438674062683</v>
      </c>
      <c r="CA108" s="146">
        <v>1.1655719337031341</v>
      </c>
    </row>
    <row r="109" spans="1:79" s="145" customFormat="1" x14ac:dyDescent="0.35">
      <c r="A109" s="146" t="s">
        <v>1520</v>
      </c>
      <c r="B109" s="145">
        <v>18553.238785623584</v>
      </c>
      <c r="C109" s="145">
        <v>21109.380284076848</v>
      </c>
      <c r="D109" s="145">
        <v>9692.183718866112</v>
      </c>
      <c r="E109" s="145">
        <v>14482.52121128289</v>
      </c>
      <c r="F109" s="145">
        <v>14977.715655033053</v>
      </c>
      <c r="G109" s="145">
        <v>22286.005028785501</v>
      </c>
      <c r="H109" s="145">
        <v>22697.661737436338</v>
      </c>
      <c r="I109" s="145">
        <v>22458.656297321439</v>
      </c>
      <c r="J109" s="145">
        <v>12011.674332098826</v>
      </c>
      <c r="K109" s="145">
        <v>11013.277863907069</v>
      </c>
      <c r="L109" s="145">
        <v>8219.6858082321887</v>
      </c>
      <c r="M109" s="145">
        <v>9827.4530876350873</v>
      </c>
      <c r="N109" s="145">
        <v>18823.227430062187</v>
      </c>
      <c r="O109" s="145">
        <v>15365.488773297056</v>
      </c>
      <c r="P109" s="145">
        <v>14535.998520260946</v>
      </c>
      <c r="Q109" s="145">
        <v>11179.401341068489</v>
      </c>
      <c r="R109" s="145">
        <v>404.82815537283335</v>
      </c>
      <c r="S109" s="145">
        <v>2919.0636629967007</v>
      </c>
      <c r="T109" s="145">
        <v>59360.004433998067</v>
      </c>
      <c r="U109" s="145">
        <v>771.80610570300541</v>
      </c>
      <c r="V109" s="145">
        <v>948.21892986369244</v>
      </c>
      <c r="W109" s="145">
        <v>2822.3487725823857</v>
      </c>
      <c r="X109" s="145">
        <v>2801.4194591112223</v>
      </c>
      <c r="Y109" s="145">
        <v>1356.3049261508652</v>
      </c>
      <c r="Z109" s="145">
        <v>461.03235151295809</v>
      </c>
      <c r="AA109" s="145">
        <v>571.6406882725305</v>
      </c>
      <c r="AB109" s="145">
        <v>434.62171068657619</v>
      </c>
      <c r="AC109" s="145">
        <v>418.72404339302585</v>
      </c>
      <c r="AD109" s="145">
        <v>555.90552729704848</v>
      </c>
      <c r="AE109" s="145">
        <v>1585.9205195259431</v>
      </c>
      <c r="AF109" s="145">
        <v>975.14239866728565</v>
      </c>
      <c r="AG109" s="145">
        <v>634.36820781037727</v>
      </c>
      <c r="AH109" s="146">
        <v>20479.151056169929</v>
      </c>
      <c r="AI109" s="146">
        <v>10.239575528084965</v>
      </c>
      <c r="AJ109" s="146">
        <v>22548.61121073944</v>
      </c>
      <c r="AK109" s="146">
        <v>11.274305605369721</v>
      </c>
      <c r="AL109" s="146">
        <v>9692.183718866112</v>
      </c>
      <c r="AM109" s="146">
        <v>4.8460918594330558</v>
      </c>
      <c r="AN109" s="146">
        <v>14482.52121128289</v>
      </c>
      <c r="AO109" s="146">
        <v>7.241260605641445</v>
      </c>
      <c r="AP109" s="146">
        <v>14977.715655033053</v>
      </c>
      <c r="AQ109" s="146">
        <v>7.4888578275165267</v>
      </c>
      <c r="AR109" s="146">
        <v>23490.935891476747</v>
      </c>
      <c r="AS109" s="146">
        <v>11.745467945738374</v>
      </c>
      <c r="AT109" s="146">
        <v>23902.065576626333</v>
      </c>
      <c r="AU109" s="146">
        <v>11.951032788313167</v>
      </c>
      <c r="AV109" s="146">
        <v>23663.366123226144</v>
      </c>
      <c r="AW109" s="146">
        <v>11.831683061613072</v>
      </c>
      <c r="AX109" s="146">
        <v>13186.188061023991</v>
      </c>
      <c r="AY109" s="146">
        <v>6.5930940305119954</v>
      </c>
      <c r="AZ109" s="146">
        <v>11937.482207583502</v>
      </c>
      <c r="BA109" s="146">
        <v>5.9687411037917508</v>
      </c>
      <c r="BB109" s="146">
        <v>9733.3557035519007</v>
      </c>
      <c r="BC109" s="146">
        <v>4.8666778517759504</v>
      </c>
      <c r="BD109" s="146">
        <v>11114.939643230326</v>
      </c>
      <c r="BE109" s="146">
        <v>5.5574698216151628</v>
      </c>
      <c r="BF109" s="146">
        <v>21443.131176687501</v>
      </c>
      <c r="BG109" s="146">
        <v>10.721565588343751</v>
      </c>
      <c r="BH109" s="146">
        <v>15365.488773297056</v>
      </c>
      <c r="BI109" s="146">
        <v>7.6827443866485279</v>
      </c>
      <c r="BJ109" s="146">
        <v>14535.998520260946</v>
      </c>
      <c r="BK109" s="146">
        <v>7.2679992601304733</v>
      </c>
      <c r="BL109" s="146">
        <v>12199.825260088273</v>
      </c>
      <c r="BM109" s="146">
        <v>6.0999126300441366</v>
      </c>
      <c r="BN109" s="146">
        <v>16031.28267281938</v>
      </c>
      <c r="BO109" s="146">
        <v>8.0156413364096899</v>
      </c>
      <c r="BP109" s="146">
        <v>5269.454349150099</v>
      </c>
      <c r="BQ109" s="146">
        <v>2.6347271745750493</v>
      </c>
      <c r="BR109" s="146">
        <v>7364.4942511563822</v>
      </c>
      <c r="BS109" s="146">
        <v>3.6822471255781912</v>
      </c>
      <c r="BT109" s="146">
        <v>10010.759780244189</v>
      </c>
      <c r="BU109" s="146">
        <v>5.0053798901220947</v>
      </c>
      <c r="BV109" s="146">
        <v>7548.2361268502236</v>
      </c>
      <c r="BW109" s="146">
        <v>3.7741180634251119</v>
      </c>
      <c r="BX109" s="146">
        <v>30836.903583193714</v>
      </c>
      <c r="BY109" s="146">
        <v>15.418451791596857</v>
      </c>
      <c r="BZ109" s="146">
        <v>53485.429829293884</v>
      </c>
      <c r="CA109" s="146">
        <v>26.742714914646943</v>
      </c>
    </row>
    <row r="110" spans="1:79" s="145" customFormat="1" x14ac:dyDescent="0.35">
      <c r="A110" s="146" t="s">
        <v>1519</v>
      </c>
      <c r="B110" s="145">
        <v>27.759311974448288</v>
      </c>
      <c r="C110" s="145">
        <v>14.785620568450419</v>
      </c>
      <c r="D110" s="145">
        <v>51.335251453162492</v>
      </c>
      <c r="E110" s="145">
        <v>29.853573533037029</v>
      </c>
      <c r="F110" s="145">
        <v>29.652261350800831</v>
      </c>
      <c r="G110" s="145">
        <v>15.850479453463686</v>
      </c>
      <c r="H110" s="145">
        <v>18.898349146916004</v>
      </c>
      <c r="I110" s="145">
        <v>16.062662729656513</v>
      </c>
      <c r="J110" s="145">
        <v>49.703543877717507</v>
      </c>
      <c r="K110" s="145">
        <v>48.457523769507169</v>
      </c>
      <c r="L110" s="145">
        <v>39.340260293320235</v>
      </c>
      <c r="M110" s="145">
        <v>37.845952020496945</v>
      </c>
      <c r="N110" s="145">
        <v>14.956607578105656</v>
      </c>
      <c r="O110" s="145">
        <v>46.703007743707765</v>
      </c>
      <c r="P110" s="145">
        <v>49.749135406294542</v>
      </c>
      <c r="Q110" s="145">
        <v>23.217816255008042</v>
      </c>
      <c r="R110" s="145">
        <v>0.76614802910879209</v>
      </c>
      <c r="S110" s="145">
        <v>14.322255517981176</v>
      </c>
      <c r="T110" s="145">
        <v>285.92468978525471</v>
      </c>
      <c r="U110" s="145">
        <v>1.6546730169771491</v>
      </c>
      <c r="V110" s="145">
        <v>2.0328839922862119</v>
      </c>
      <c r="W110" s="145">
        <v>6.0508258796901933</v>
      </c>
      <c r="X110" s="145">
        <v>7.464280096958583</v>
      </c>
      <c r="Y110" s="145">
        <v>3.1590203011749471</v>
      </c>
      <c r="Z110" s="145">
        <v>0.9884060081478121</v>
      </c>
      <c r="AA110" s="145">
        <v>4.1302859839907411</v>
      </c>
      <c r="AB110" s="145">
        <v>0.93178430690241465</v>
      </c>
      <c r="AC110" s="145">
        <v>0.89770134110421418</v>
      </c>
      <c r="AD110" s="145">
        <v>1.1918043524273954</v>
      </c>
      <c r="AE110" s="145">
        <v>3.4000507009978964</v>
      </c>
      <c r="AF110" s="145">
        <v>2.0906051440412288</v>
      </c>
      <c r="AG110" s="145">
        <v>1.3600202803991588</v>
      </c>
      <c r="AH110" s="146">
        <v>31.710756867592082</v>
      </c>
      <c r="AI110" s="146">
        <v>1.5855378433796041E-2</v>
      </c>
      <c r="AJ110" s="146">
        <v>17.527830245321731</v>
      </c>
      <c r="AK110" s="146">
        <v>8.7639151226608647E-3</v>
      </c>
      <c r="AL110" s="146">
        <v>51.335251453162492</v>
      </c>
      <c r="AM110" s="146">
        <v>2.5667625726581246E-2</v>
      </c>
      <c r="AN110" s="146">
        <v>29.853573533037029</v>
      </c>
      <c r="AO110" s="146">
        <v>1.4926786766518515E-2</v>
      </c>
      <c r="AP110" s="146">
        <v>29.652261350800831</v>
      </c>
      <c r="AQ110" s="146">
        <v>1.4826130675400416E-2</v>
      </c>
      <c r="AR110" s="146">
        <v>19.179004992813219</v>
      </c>
      <c r="AS110" s="146">
        <v>9.58950249640661E-3</v>
      </c>
      <c r="AT110" s="146">
        <v>22.222972651090494</v>
      </c>
      <c r="AU110" s="146">
        <v>1.1111486325545247E-2</v>
      </c>
      <c r="AV110" s="146">
        <v>19.390916621366699</v>
      </c>
      <c r="AW110" s="146">
        <v>9.6954583106833494E-3</v>
      </c>
      <c r="AX110" s="146">
        <v>54.241642488615298</v>
      </c>
      <c r="AY110" s="146">
        <v>2.712082124430765E-2</v>
      </c>
      <c r="AZ110" s="146">
        <v>52.272406207290608</v>
      </c>
      <c r="BA110" s="146">
        <v>2.6136203103645304E-2</v>
      </c>
      <c r="BB110" s="146">
        <v>45.584215670419958</v>
      </c>
      <c r="BC110" s="146">
        <v>2.279210783520998E-2</v>
      </c>
      <c r="BD110" s="146">
        <v>43.227075710919507</v>
      </c>
      <c r="BE110" s="146">
        <v>2.1613537855459754E-2</v>
      </c>
      <c r="BF110" s="146">
        <v>18.437343972486719</v>
      </c>
      <c r="BG110" s="146">
        <v>9.218671986243359E-3</v>
      </c>
      <c r="BH110" s="146">
        <v>46.703007743707765</v>
      </c>
      <c r="BI110" s="146">
        <v>2.3351503871853883E-2</v>
      </c>
      <c r="BJ110" s="146">
        <v>49.749135406294542</v>
      </c>
      <c r="BK110" s="146">
        <v>2.487456770314727E-2</v>
      </c>
      <c r="BL110" s="146">
        <v>25.420322438532665</v>
      </c>
      <c r="BM110" s="146">
        <v>1.2710161219266332E-2</v>
      </c>
      <c r="BN110" s="146">
        <v>35.314871483579431</v>
      </c>
      <c r="BO110" s="146">
        <v>1.7657435741789716E-2</v>
      </c>
      <c r="BP110" s="146">
        <v>24.458903902381891</v>
      </c>
      <c r="BQ110" s="146">
        <v>1.2229451951190946E-2</v>
      </c>
      <c r="BR110" s="146">
        <v>35.238181429227424</v>
      </c>
      <c r="BS110" s="146">
        <v>1.7619090714613712E-2</v>
      </c>
      <c r="BT110" s="146">
        <v>43.475604853242089</v>
      </c>
      <c r="BU110" s="146">
        <v>2.1737802426621045E-2</v>
      </c>
      <c r="BV110" s="146">
        <v>34.390896728283799</v>
      </c>
      <c r="BW110" s="146">
        <v>1.7195448364141899E-2</v>
      </c>
      <c r="BX110" s="146">
        <v>146.21605466313935</v>
      </c>
      <c r="BY110" s="146">
        <v>7.3108027331569667E-2</v>
      </c>
      <c r="BZ110" s="146">
        <v>253.18883854257339</v>
      </c>
      <c r="CA110" s="146">
        <v>0.1265944192712867</v>
      </c>
    </row>
    <row r="111" spans="1:79" s="145" customFormat="1" x14ac:dyDescent="0.35">
      <c r="A111" s="146" t="s">
        <v>1518</v>
      </c>
      <c r="B111" s="145">
        <v>48.746458123528143</v>
      </c>
      <c r="C111" s="145">
        <v>22.461175825220369</v>
      </c>
      <c r="D111" s="145">
        <v>98.608584637810523</v>
      </c>
      <c r="E111" s="145">
        <v>49.759271091462836</v>
      </c>
      <c r="F111" s="145">
        <v>49.269841444374308</v>
      </c>
      <c r="G111" s="145">
        <v>26.290785019687185</v>
      </c>
      <c r="H111" s="145">
        <v>32.304820304632671</v>
      </c>
      <c r="I111" s="145">
        <v>26.07019280905633</v>
      </c>
      <c r="J111" s="145">
        <v>87.105720322931674</v>
      </c>
      <c r="K111" s="145">
        <v>87.812219581358491</v>
      </c>
      <c r="L111" s="145">
        <v>73.996283084279511</v>
      </c>
      <c r="M111" s="145">
        <v>40.154722078909458</v>
      </c>
      <c r="N111" s="145">
        <v>24.508034952004515</v>
      </c>
      <c r="O111" s="145">
        <v>52.089183780590183</v>
      </c>
      <c r="P111" s="145">
        <v>53.578843796957145</v>
      </c>
      <c r="Q111" s="145">
        <v>34.239976298931111</v>
      </c>
      <c r="R111" s="145">
        <v>0.81397574170330456</v>
      </c>
      <c r="S111" s="145">
        <v>29.058386815957803</v>
      </c>
      <c r="T111" s="145">
        <v>595.85702173788002</v>
      </c>
      <c r="U111" s="145">
        <v>3.8845350352043297</v>
      </c>
      <c r="V111" s="145">
        <v>4.7724287575367486</v>
      </c>
      <c r="W111" s="145">
        <v>14.205009014117627</v>
      </c>
      <c r="X111" s="145">
        <v>11.204967142091412</v>
      </c>
      <c r="Y111" s="145">
        <v>6.9201422847805443</v>
      </c>
      <c r="Z111" s="145">
        <v>2.3203966755140817</v>
      </c>
      <c r="AA111" s="145">
        <v>9.6306176534964756</v>
      </c>
      <c r="AB111" s="145">
        <v>2.1874707258044319</v>
      </c>
      <c r="AC111" s="145">
        <v>2.1074570473384289</v>
      </c>
      <c r="AD111" s="145">
        <v>2.7978976599079695</v>
      </c>
      <c r="AE111" s="145">
        <v>7.9820096985843119</v>
      </c>
      <c r="AF111" s="145">
        <v>4.9079357936485275</v>
      </c>
      <c r="AG111" s="145">
        <v>3.1928038794337255</v>
      </c>
      <c r="AH111" s="146">
        <v>56.819975295967751</v>
      </c>
      <c r="AI111" s="146">
        <v>2.8409987647983876E-2</v>
      </c>
      <c r="AJ111" s="146">
        <v>28.367319305728337</v>
      </c>
      <c r="AK111" s="146">
        <v>1.4183659652864168E-2</v>
      </c>
      <c r="AL111" s="146">
        <v>98.608584637810523</v>
      </c>
      <c r="AM111" s="146">
        <v>4.9304292318905263E-2</v>
      </c>
      <c r="AN111" s="146">
        <v>49.759271091462836</v>
      </c>
      <c r="AO111" s="146">
        <v>2.4879635545731419E-2</v>
      </c>
      <c r="AP111" s="146">
        <v>49.269841444374308</v>
      </c>
      <c r="AQ111" s="146">
        <v>2.4634920722187155E-2</v>
      </c>
      <c r="AR111" s="146">
        <v>34.102928514834105</v>
      </c>
      <c r="AS111" s="146">
        <v>1.7051464257417052E-2</v>
      </c>
      <c r="AT111" s="146">
        <v>40.10926433110604</v>
      </c>
      <c r="AU111" s="146">
        <v>2.0054632165553019E-2</v>
      </c>
      <c r="AV111" s="146">
        <v>33.882618717380907</v>
      </c>
      <c r="AW111" s="146">
        <v>1.6941309358690454E-2</v>
      </c>
      <c r="AX111" s="146">
        <v>96.795911265054556</v>
      </c>
      <c r="AY111" s="146">
        <v>4.839795563252728E-2</v>
      </c>
      <c r="AZ111" s="146">
        <v>95.871299992825087</v>
      </c>
      <c r="BA111" s="146">
        <v>4.7935649996412547E-2</v>
      </c>
      <c r="BB111" s="146">
        <v>86.645398136246357</v>
      </c>
      <c r="BC111" s="146">
        <v>4.332269906812318E-2</v>
      </c>
      <c r="BD111" s="146">
        <v>49.363209238170597</v>
      </c>
      <c r="BE111" s="146">
        <v>2.46816046190853E-2</v>
      </c>
      <c r="BF111" s="146">
        <v>31.536339385749638</v>
      </c>
      <c r="BG111" s="146">
        <v>1.5768169692874819E-2</v>
      </c>
      <c r="BH111" s="146">
        <v>52.089183780590183</v>
      </c>
      <c r="BI111" s="146">
        <v>2.604459189029509E-2</v>
      </c>
      <c r="BJ111" s="146">
        <v>53.578843796957145</v>
      </c>
      <c r="BK111" s="146">
        <v>2.6789421898478574E-2</v>
      </c>
      <c r="BL111" s="146">
        <v>38.632428527820636</v>
      </c>
      <c r="BM111" s="146">
        <v>1.9316214263910319E-2</v>
      </c>
      <c r="BN111" s="146">
        <v>54.346935881653188</v>
      </c>
      <c r="BO111" s="146">
        <v>2.7173467940826593E-2</v>
      </c>
      <c r="BP111" s="146">
        <v>47.917812210609803</v>
      </c>
      <c r="BQ111" s="146">
        <v>2.3958906105304902E-2</v>
      </c>
      <c r="BR111" s="146">
        <v>69.613879934493468</v>
      </c>
      <c r="BS111" s="146">
        <v>3.4806939967246736E-2</v>
      </c>
      <c r="BT111" s="146">
        <v>86.975182742765554</v>
      </c>
      <c r="BU111" s="146">
        <v>4.3487591371382778E-2</v>
      </c>
      <c r="BV111" s="146">
        <v>68.168958295956273</v>
      </c>
      <c r="BW111" s="146">
        <v>3.4084479147978138E-2</v>
      </c>
      <c r="BX111" s="146">
        <v>293.67771911741914</v>
      </c>
      <c r="BY111" s="146">
        <v>0.14683885955870957</v>
      </c>
      <c r="BZ111" s="146">
        <v>520.42300643505075</v>
      </c>
      <c r="CA111" s="146">
        <v>0.2602115032175254</v>
      </c>
    </row>
    <row r="112" spans="1:79" s="145" customFormat="1" x14ac:dyDescent="0.35">
      <c r="A112" s="146" t="s">
        <v>1531</v>
      </c>
      <c r="B112" s="145">
        <v>22334.161666085864</v>
      </c>
      <c r="C112" s="145">
        <v>23448.617090885706</v>
      </c>
      <c r="D112" s="145">
        <v>19715.148812411328</v>
      </c>
      <c r="E112" s="145">
        <v>19578.525361868404</v>
      </c>
      <c r="F112" s="145">
        <v>19925.172485371593</v>
      </c>
      <c r="G112" s="145">
        <v>23493.740616415947</v>
      </c>
      <c r="H112" s="145">
        <v>24600.762243003486</v>
      </c>
      <c r="I112" s="145">
        <v>23579.594555666474</v>
      </c>
      <c r="J112" s="145">
        <v>17260.758490313819</v>
      </c>
      <c r="K112" s="145">
        <v>18676.99608529947</v>
      </c>
      <c r="L112" s="145">
        <v>12049.110305051796</v>
      </c>
      <c r="M112" s="145">
        <v>13493.156886356413</v>
      </c>
      <c r="N112" s="145">
        <v>20395.747658193752</v>
      </c>
      <c r="O112" s="145">
        <v>18134.315687432791</v>
      </c>
      <c r="P112" s="145">
        <v>16016.569870175255</v>
      </c>
      <c r="Q112" s="145">
        <v>13880.149172333975</v>
      </c>
      <c r="R112" s="145">
        <v>84.074966759477761</v>
      </c>
      <c r="S112" s="145">
        <v>3828.7074613900077</v>
      </c>
      <c r="T112" s="145">
        <v>85955.125550216064</v>
      </c>
      <c r="U112" s="145">
        <v>800.49167592506478</v>
      </c>
      <c r="V112" s="145">
        <v>983.46120185079383</v>
      </c>
      <c r="W112" s="145">
        <v>2927.2464707332852</v>
      </c>
      <c r="X112" s="145">
        <v>1412.2337932587322</v>
      </c>
      <c r="Y112" s="145">
        <v>1411.0160347268068</v>
      </c>
      <c r="Z112" s="145">
        <v>478.1674529279955</v>
      </c>
      <c r="AA112" s="145">
        <v>1482.6424485945054</v>
      </c>
      <c r="AB112" s="145">
        <v>450.77521285481225</v>
      </c>
      <c r="AC112" s="145">
        <v>434.28667999522617</v>
      </c>
      <c r="AD112" s="145">
        <v>576.56676192875102</v>
      </c>
      <c r="AE112" s="145">
        <v>1644.8641247828989</v>
      </c>
      <c r="AF112" s="145">
        <v>1011.385330080738</v>
      </c>
      <c r="AG112" s="145">
        <v>657.94564991315963</v>
      </c>
      <c r="AH112" s="146">
        <v>24766.925950716643</v>
      </c>
      <c r="AI112" s="146">
        <v>12.383462975358322</v>
      </c>
      <c r="AJ112" s="146">
        <v>25289.967647086229</v>
      </c>
      <c r="AK112" s="146">
        <v>12.644983823543114</v>
      </c>
      <c r="AL112" s="146">
        <v>19715.148812411328</v>
      </c>
      <c r="AM112" s="146">
        <v>9.8575744062056643</v>
      </c>
      <c r="AN112" s="146">
        <v>19578.525361868404</v>
      </c>
      <c r="AO112" s="146">
        <v>9.7892626809342023</v>
      </c>
      <c r="AP112" s="146">
        <v>19925.172485371593</v>
      </c>
      <c r="AQ112" s="146">
        <v>9.9625862426857967</v>
      </c>
      <c r="AR112" s="146">
        <v>24958.734898945648</v>
      </c>
      <c r="AS112" s="146">
        <v>12.479367449472823</v>
      </c>
      <c r="AT112" s="146">
        <v>26064.339261095745</v>
      </c>
      <c r="AU112" s="146">
        <v>13.032169630547873</v>
      </c>
      <c r="AV112" s="146">
        <v>25044.478923690447</v>
      </c>
      <c r="AW112" s="146">
        <v>12.522239461845224</v>
      </c>
      <c r="AX112" s="146">
        <v>19006.724087429153</v>
      </c>
      <c r="AY112" s="146">
        <v>9.503362043714576</v>
      </c>
      <c r="AZ112" s="146">
        <v>20185.162144079924</v>
      </c>
      <c r="BA112" s="146">
        <v>10.092581072039962</v>
      </c>
      <c r="BB112" s="146">
        <v>14197.67328175995</v>
      </c>
      <c r="BC112" s="146">
        <v>7.0988366408799743</v>
      </c>
      <c r="BD112" s="146">
        <v>15503.249312744971</v>
      </c>
      <c r="BE112" s="146">
        <v>7.7516246563724858</v>
      </c>
      <c r="BF112" s="146">
        <v>23339.333672293335</v>
      </c>
      <c r="BG112" s="146">
        <v>11.669666836146668</v>
      </c>
      <c r="BH112" s="146">
        <v>18134.315687432791</v>
      </c>
      <c r="BI112" s="146">
        <v>9.0671578437163944</v>
      </c>
      <c r="BJ112" s="146">
        <v>16016.569870175255</v>
      </c>
      <c r="BK112" s="146">
        <v>8.0082849350876284</v>
      </c>
      <c r="BL112" s="146">
        <v>15039.481965828994</v>
      </c>
      <c r="BM112" s="146">
        <v>7.519740982914497</v>
      </c>
      <c r="BN112" s="146">
        <v>19881.552269230728</v>
      </c>
      <c r="BO112" s="146">
        <v>9.9407761346153638</v>
      </c>
      <c r="BP112" s="146">
        <v>8890.828706407443</v>
      </c>
      <c r="BQ112" s="146">
        <v>4.4454143532037218</v>
      </c>
      <c r="BR112" s="146">
        <v>12592.404963901125</v>
      </c>
      <c r="BS112" s="146">
        <v>6.2962024819505622</v>
      </c>
      <c r="BT112" s="146">
        <v>16347.244546800046</v>
      </c>
      <c r="BU112" s="146">
        <v>8.1736222734000226</v>
      </c>
      <c r="BV112" s="146">
        <v>12610.159405702871</v>
      </c>
      <c r="BW112" s="146">
        <v>6.3050797028514349</v>
      </c>
      <c r="BX112" s="146">
        <v>46541.575483736866</v>
      </c>
      <c r="BY112" s="146">
        <v>23.270787741868432</v>
      </c>
      <c r="BZ112" s="146">
        <v>76747.004876175793</v>
      </c>
      <c r="CA112" s="146">
        <v>38.373502438087897</v>
      </c>
    </row>
    <row r="113" spans="1:79" s="145" customFormat="1" x14ac:dyDescent="0.35">
      <c r="A113" s="146" t="s">
        <v>1530</v>
      </c>
      <c r="B113" s="145">
        <v>83.033792826760916</v>
      </c>
      <c r="C113" s="145">
        <v>71.238769612268527</v>
      </c>
      <c r="D113" s="145">
        <v>155.91825848683803</v>
      </c>
      <c r="E113" s="145">
        <v>74.759420637289679</v>
      </c>
      <c r="F113" s="145">
        <v>75.124085138330642</v>
      </c>
      <c r="G113" s="145">
        <v>73.23679429511283</v>
      </c>
      <c r="H113" s="145">
        <v>82.40737884866823</v>
      </c>
      <c r="I113" s="145">
        <v>88.283745325518765</v>
      </c>
      <c r="J113" s="145">
        <v>7942.7953259432243</v>
      </c>
      <c r="K113" s="145">
        <v>800.04899186872296</v>
      </c>
      <c r="L113" s="145">
        <v>98.505442577866546</v>
      </c>
      <c r="M113" s="145">
        <v>52.279771218022475</v>
      </c>
      <c r="N113" s="145">
        <v>63.241069212588769</v>
      </c>
      <c r="O113" s="145">
        <v>81.152872179832613</v>
      </c>
      <c r="P113" s="145">
        <v>72.305775691992906</v>
      </c>
      <c r="Q113" s="145">
        <v>61.815144205485502</v>
      </c>
      <c r="R113" s="145">
        <v>1.2411871048957752</v>
      </c>
      <c r="S113" s="145">
        <v>35.058466709087128</v>
      </c>
      <c r="T113" s="145">
        <v>829.56242896235517</v>
      </c>
      <c r="U113" s="145">
        <v>6.4819112064976219</v>
      </c>
      <c r="V113" s="145">
        <v>7.9634909108399361</v>
      </c>
      <c r="W113" s="145">
        <v>23.703121810604429</v>
      </c>
      <c r="X113" s="145">
        <v>16.136041561363879</v>
      </c>
      <c r="Y113" s="145">
        <v>11.516160457846645</v>
      </c>
      <c r="Z113" s="145">
        <v>3.8719190529178493</v>
      </c>
      <c r="AA113" s="145">
        <v>13.566269773055879</v>
      </c>
      <c r="AB113" s="145">
        <v>3.6501127890410201</v>
      </c>
      <c r="AC113" s="145">
        <v>3.5165983389404047</v>
      </c>
      <c r="AD113" s="145">
        <v>4.668698835776361</v>
      </c>
      <c r="AE113" s="145">
        <v>13.319143126972689</v>
      </c>
      <c r="AF113" s="145">
        <v>8.1896040924619466</v>
      </c>
      <c r="AG113" s="145">
        <v>5.327657250789076</v>
      </c>
      <c r="AH113" s="146">
        <v>96.032145652486918</v>
      </c>
      <c r="AI113" s="146">
        <v>4.8016072826243456E-2</v>
      </c>
      <c r="AJ113" s="146">
        <v>81.702330342210999</v>
      </c>
      <c r="AK113" s="146">
        <v>4.08511651711055E-2</v>
      </c>
      <c r="AL113" s="146">
        <v>155.91825848683803</v>
      </c>
      <c r="AM113" s="146">
        <v>7.7959129243419009E-2</v>
      </c>
      <c r="AN113" s="146">
        <v>74.759420637289679</v>
      </c>
      <c r="AO113" s="146">
        <v>3.7379710318644836E-2</v>
      </c>
      <c r="AP113" s="146">
        <v>75.124085138330642</v>
      </c>
      <c r="AQ113" s="146">
        <v>3.7562042569165323E-2</v>
      </c>
      <c r="AR113" s="146">
        <v>85.627718921605691</v>
      </c>
      <c r="AS113" s="146">
        <v>4.2813859460802843E-2</v>
      </c>
      <c r="AT113" s="146">
        <v>94.7865628342864</v>
      </c>
      <c r="AU113" s="146">
        <v>4.7393281417143197E-2</v>
      </c>
      <c r="AV113" s="146">
        <v>100.65540609295495</v>
      </c>
      <c r="AW113" s="146">
        <v>5.0327703046477476E-2</v>
      </c>
      <c r="AX113" s="146">
        <v>8156.3537944765922</v>
      </c>
      <c r="AY113" s="146">
        <v>4.0781768972382961</v>
      </c>
      <c r="AZ113" s="146">
        <v>834.65735812811567</v>
      </c>
      <c r="BA113" s="146">
        <v>0.41732867906405785</v>
      </c>
      <c r="BB113" s="146">
        <v>116.34860494140983</v>
      </c>
      <c r="BC113" s="146">
        <v>5.8174302470704917E-2</v>
      </c>
      <c r="BD113" s="146">
        <v>65.368020795280216</v>
      </c>
      <c r="BE113" s="146">
        <v>3.2684010397640108E-2</v>
      </c>
      <c r="BF113" s="146">
        <v>76.873571274807162</v>
      </c>
      <c r="BG113" s="146">
        <v>3.8436785637403582E-2</v>
      </c>
      <c r="BH113" s="146">
        <v>81.152872179832613</v>
      </c>
      <c r="BI113" s="146">
        <v>4.0576436089916304E-2</v>
      </c>
      <c r="BJ113" s="146">
        <v>72.305775691992906</v>
      </c>
      <c r="BK113" s="146">
        <v>3.6152887845996455E-2</v>
      </c>
      <c r="BL113" s="146">
        <v>69.286534134571099</v>
      </c>
      <c r="BM113" s="146">
        <v>3.4643267067285551E-2</v>
      </c>
      <c r="BN113" s="146">
        <v>229.85986518449221</v>
      </c>
      <c r="BO113" s="146">
        <v>0.1149299325922461</v>
      </c>
      <c r="BP113" s="146">
        <v>72.361932543336493</v>
      </c>
      <c r="BQ113" s="146">
        <v>3.6180966271668245E-2</v>
      </c>
      <c r="BR113" s="146">
        <v>103.04220800985367</v>
      </c>
      <c r="BS113" s="146">
        <v>5.1521104004926835E-2</v>
      </c>
      <c r="BT113" s="146">
        <v>132.55985517228174</v>
      </c>
      <c r="BU113" s="146">
        <v>6.6279927586140874E-2</v>
      </c>
      <c r="BV113" s="146">
        <v>102.65466524182398</v>
      </c>
      <c r="BW113" s="146">
        <v>5.1327332620911992E-2</v>
      </c>
      <c r="BX113" s="146">
        <v>424.26916253898611</v>
      </c>
      <c r="BY113" s="146">
        <v>0.21213458126949306</v>
      </c>
      <c r="BZ113" s="146">
        <v>731.45090427582181</v>
      </c>
      <c r="CA113" s="146">
        <v>0.36572545213791091</v>
      </c>
    </row>
    <row r="114" spans="1:79" s="48" customFormat="1" x14ac:dyDescent="0.35">
      <c r="A114" s="155" t="s">
        <v>1529</v>
      </c>
      <c r="B114" s="154">
        <v>2421759.1987295444</v>
      </c>
      <c r="C114" s="154">
        <v>911164.62979419716</v>
      </c>
      <c r="D114" s="154">
        <v>5115417.0187239703</v>
      </c>
      <c r="E114" s="154">
        <v>2228289.4611752206</v>
      </c>
      <c r="F114" s="154">
        <v>2200013.3292313996</v>
      </c>
      <c r="G114" s="154">
        <v>1148987.9181910285</v>
      </c>
      <c r="H114" s="154">
        <v>1385389.0953406286</v>
      </c>
      <c r="I114" s="154">
        <v>1159641.3426241043</v>
      </c>
      <c r="J114" s="154">
        <v>5376004.953573796</v>
      </c>
      <c r="K114" s="154">
        <v>5301926.3257405106</v>
      </c>
      <c r="L114" s="154">
        <v>3670183.1101445775</v>
      </c>
      <c r="M114" s="154">
        <v>1970288.2966653544</v>
      </c>
      <c r="N114" s="154">
        <v>1042938.7317014209</v>
      </c>
      <c r="O114" s="154">
        <v>2582377.7304405579</v>
      </c>
      <c r="P114" s="154">
        <v>2447608.4677292146</v>
      </c>
      <c r="Q114" s="154">
        <v>1618921.8899989116</v>
      </c>
      <c r="R114" s="154">
        <v>65674.550065190968</v>
      </c>
      <c r="S114" s="154">
        <v>1601012.350409877</v>
      </c>
      <c r="T114" s="154">
        <v>33394439.572631307</v>
      </c>
      <c r="U114" s="154">
        <v>419406.0292527827</v>
      </c>
      <c r="V114" s="154">
        <v>515270.26451056165</v>
      </c>
      <c r="W114" s="154">
        <v>1533688.4265732158</v>
      </c>
      <c r="X114" s="154">
        <v>721038.89449218416</v>
      </c>
      <c r="Y114" s="154">
        <v>738917.65458871028</v>
      </c>
      <c r="Z114" s="154">
        <v>250528.91714169548</v>
      </c>
      <c r="AA114" s="154">
        <v>560860.52549015847</v>
      </c>
      <c r="AB114" s="154">
        <v>236177.149363278</v>
      </c>
      <c r="AC114" s="154">
        <v>227538.22118597815</v>
      </c>
      <c r="AD114" s="154">
        <v>302083.811103001</v>
      </c>
      <c r="AE114" s="154">
        <v>861802.75446128275</v>
      </c>
      <c r="AF114" s="154">
        <v>529900.70739147265</v>
      </c>
      <c r="AG114" s="154">
        <v>344721.10178451316</v>
      </c>
      <c r="AH114" s="155">
        <v>2974023.3565651486</v>
      </c>
      <c r="AI114" s="155">
        <v>1487.0116782825744</v>
      </c>
      <c r="AJ114" s="155">
        <v>1332960.4136149227</v>
      </c>
      <c r="AK114" s="155">
        <v>666.48020680746129</v>
      </c>
      <c r="AL114" s="155">
        <v>5115417.0187239703</v>
      </c>
      <c r="AM114" s="155">
        <v>2557.7085093619853</v>
      </c>
      <c r="AN114" s="155">
        <v>2228289.4611752206</v>
      </c>
      <c r="AO114" s="155">
        <v>1114.1447305876102</v>
      </c>
      <c r="AP114" s="155">
        <v>2200013.3292313996</v>
      </c>
      <c r="AQ114" s="155">
        <v>1100.0066646156997</v>
      </c>
      <c r="AR114" s="155">
        <v>1878470.8218729841</v>
      </c>
      <c r="AS114" s="155">
        <v>939.23541093649203</v>
      </c>
      <c r="AT114" s="155">
        <v>2114569.3464155383</v>
      </c>
      <c r="AU114" s="155">
        <v>1057.2846732077692</v>
      </c>
      <c r="AV114" s="155">
        <v>1889110.6072594295</v>
      </c>
      <c r="AW114" s="155">
        <v>944.55530362971479</v>
      </c>
      <c r="AX114" s="155">
        <v>6099223.6618683049</v>
      </c>
      <c r="AY114" s="155">
        <v>3049.6118309341523</v>
      </c>
      <c r="AZ114" s="155">
        <v>5866969.0627384493</v>
      </c>
      <c r="BA114" s="155">
        <v>2933.4845313692244</v>
      </c>
      <c r="BB114" s="155">
        <v>4461234.9607939813</v>
      </c>
      <c r="BC114" s="155">
        <v>2230.6174803969907</v>
      </c>
      <c r="BD114" s="155">
        <v>2560309.6901654322</v>
      </c>
      <c r="BE114" s="155">
        <v>1280.1548450827161</v>
      </c>
      <c r="BF114" s="155">
        <v>1563197.9355590099</v>
      </c>
      <c r="BG114" s="155">
        <v>781.59896777950496</v>
      </c>
      <c r="BH114" s="155">
        <v>2582377.7304405579</v>
      </c>
      <c r="BI114" s="155">
        <v>1291.188865220279</v>
      </c>
      <c r="BJ114" s="155">
        <v>2447608.4677292146</v>
      </c>
      <c r="BK114" s="155">
        <v>1223.8042338646073</v>
      </c>
      <c r="BL114" s="155">
        <v>2006297.3438430263</v>
      </c>
      <c r="BM114" s="155">
        <v>1003.1486719215131</v>
      </c>
      <c r="BN114" s="155">
        <v>2817592.1240492933</v>
      </c>
      <c r="BO114" s="155">
        <v>1408.7960620246467</v>
      </c>
      <c r="BP114" s="155">
        <v>2746372.4683262855</v>
      </c>
      <c r="BQ114" s="155">
        <v>1373.1862341631427</v>
      </c>
      <c r="BR114" s="155">
        <v>3942992.8727290472</v>
      </c>
      <c r="BS114" s="155">
        <v>1971.4964363645236</v>
      </c>
      <c r="BT114" s="155">
        <v>5362053.1669795085</v>
      </c>
      <c r="BU114" s="155">
        <v>2681.0265834897541</v>
      </c>
      <c r="BV114" s="155">
        <v>4017139.5026782802</v>
      </c>
      <c r="BW114" s="155">
        <v>2008.5697513391401</v>
      </c>
      <c r="BX114" s="155">
        <v>16224040.00927382</v>
      </c>
      <c r="BY114" s="155">
        <v>8112.02000463691</v>
      </c>
      <c r="BZ114" s="155">
        <v>29119274.293855563</v>
      </c>
      <c r="CA114" s="155">
        <v>14559.637146927782</v>
      </c>
    </row>
    <row r="115" spans="1:79" s="48" customFormat="1" x14ac:dyDescent="0.35">
      <c r="A115" s="155" t="s">
        <v>1528</v>
      </c>
      <c r="B115" s="154">
        <v>2441679.6254094662</v>
      </c>
      <c r="C115" s="154">
        <v>923045.23805083684</v>
      </c>
      <c r="D115" s="154">
        <v>5125069.7786625745</v>
      </c>
      <c r="E115" s="154">
        <v>2248651.1010159701</v>
      </c>
      <c r="F115" s="154">
        <v>2220374.0993996011</v>
      </c>
      <c r="G115" s="154">
        <v>1159785.2105148283</v>
      </c>
      <c r="H115" s="154">
        <v>1396770.7895965639</v>
      </c>
      <c r="I115" s="154">
        <v>1170447.7182372124</v>
      </c>
      <c r="J115" s="154">
        <v>5391749.528633113</v>
      </c>
      <c r="K115" s="154">
        <v>5312596.1703220792</v>
      </c>
      <c r="L115" s="154">
        <v>3676191.7472300366</v>
      </c>
      <c r="M115" s="154">
        <v>1993653.7348861222</v>
      </c>
      <c r="N115" s="154">
        <v>1056713.1035572581</v>
      </c>
      <c r="O115" s="154">
        <v>2595227.1978574609</v>
      </c>
      <c r="P115" s="154">
        <v>2462237.2406987543</v>
      </c>
      <c r="Q115" s="154">
        <v>1625641.4638713582</v>
      </c>
      <c r="R115" s="154">
        <v>65737.63683047198</v>
      </c>
      <c r="S115" s="154">
        <v>1603169.1362422276</v>
      </c>
      <c r="T115" s="154">
        <v>33441269.375217035</v>
      </c>
      <c r="U115" s="154">
        <v>419746.11531473638</v>
      </c>
      <c r="V115" s="154">
        <v>515688.08452953334</v>
      </c>
      <c r="W115" s="154">
        <v>1534932.0569001008</v>
      </c>
      <c r="X115" s="154">
        <v>721908.16920033249</v>
      </c>
      <c r="Y115" s="154">
        <v>739523.13528925728</v>
      </c>
      <c r="Z115" s="154">
        <v>250732.06489564656</v>
      </c>
      <c r="AA115" s="154">
        <v>561621.43050599494</v>
      </c>
      <c r="AB115" s="154">
        <v>236368.65962075692</v>
      </c>
      <c r="AC115" s="154">
        <v>227722.72634849325</v>
      </c>
      <c r="AD115" s="154">
        <v>302328.76345592976</v>
      </c>
      <c r="AE115" s="154">
        <v>862501.56917662616</v>
      </c>
      <c r="AF115" s="154">
        <v>530330.39087772183</v>
      </c>
      <c r="AG115" s="154">
        <v>345000.62767065055</v>
      </c>
      <c r="AH115" s="155">
        <v>2995762.7533507021</v>
      </c>
      <c r="AI115" s="155">
        <v>1497.881376675351</v>
      </c>
      <c r="AJ115" s="155">
        <v>1345745.0669572956</v>
      </c>
      <c r="AK115" s="155">
        <v>672.87253347864782</v>
      </c>
      <c r="AL115" s="155">
        <v>5125069.7786625745</v>
      </c>
      <c r="AM115" s="155">
        <v>2562.5348893312871</v>
      </c>
      <c r="AN115" s="155">
        <v>2248651.1010159701</v>
      </c>
      <c r="AO115" s="155">
        <v>1124.3255505079851</v>
      </c>
      <c r="AP115" s="155">
        <v>2220374.0993996011</v>
      </c>
      <c r="AQ115" s="155">
        <v>1110.1870496998006</v>
      </c>
      <c r="AR115" s="155">
        <v>1889921.2369141469</v>
      </c>
      <c r="AS115" s="155">
        <v>944.96061845707345</v>
      </c>
      <c r="AT115" s="155">
        <v>2126603.4152082633</v>
      </c>
      <c r="AU115" s="155">
        <v>1063.3017076041317</v>
      </c>
      <c r="AV115" s="155">
        <v>1900570.0939610195</v>
      </c>
      <c r="AW115" s="155">
        <v>950.28504698050972</v>
      </c>
      <c r="AX115" s="155">
        <v>6115985.8417123333</v>
      </c>
      <c r="AY115" s="155">
        <v>3057.9929208561666</v>
      </c>
      <c r="AZ115" s="155">
        <v>5878416.7339830818</v>
      </c>
      <c r="BA115" s="155">
        <v>2939.208366991541</v>
      </c>
      <c r="BB115" s="155">
        <v>4468281.889627995</v>
      </c>
      <c r="BC115" s="155">
        <v>2234.1409448139975</v>
      </c>
      <c r="BD115" s="155">
        <v>2585822.7466092631</v>
      </c>
      <c r="BE115" s="155">
        <v>1292.9113733046315</v>
      </c>
      <c r="BF115" s="155">
        <v>1578767.4500121884</v>
      </c>
      <c r="BG115" s="155">
        <v>789.38372500609421</v>
      </c>
      <c r="BH115" s="155">
        <v>2595227.1978574609</v>
      </c>
      <c r="BI115" s="155">
        <v>1297.6135989287304</v>
      </c>
      <c r="BJ115" s="155">
        <v>2462237.2406987543</v>
      </c>
      <c r="BK115" s="155">
        <v>1231.1186203493771</v>
      </c>
      <c r="BL115" s="155">
        <v>2013542.9687001689</v>
      </c>
      <c r="BM115" s="155">
        <v>1006.7714843500844</v>
      </c>
      <c r="BN115" s="155">
        <v>2830707.7828330775</v>
      </c>
      <c r="BO115" s="155">
        <v>1415.3538914165388</v>
      </c>
      <c r="BP115" s="155">
        <v>2750780.1866068742</v>
      </c>
      <c r="BQ115" s="155">
        <v>1375.3900933034372</v>
      </c>
      <c r="BR115" s="155">
        <v>3949287.5927893501</v>
      </c>
      <c r="BS115" s="155">
        <v>1974.6437963946751</v>
      </c>
      <c r="BT115" s="155">
        <v>5370028.2383958381</v>
      </c>
      <c r="BU115" s="155">
        <v>2685.0141191979192</v>
      </c>
      <c r="BV115" s="155">
        <v>4023365.3392640208</v>
      </c>
      <c r="BW115" s="155">
        <v>2011.6826696320104</v>
      </c>
      <c r="BX115" s="155">
        <v>16248627.978897294</v>
      </c>
      <c r="BY115" s="155">
        <v>8124.3139894486467</v>
      </c>
      <c r="BZ115" s="155">
        <v>29160814.994926121</v>
      </c>
      <c r="CA115" s="155">
        <v>14580.40749746306</v>
      </c>
    </row>
    <row r="116" spans="1:79" s="48" customFormat="1" x14ac:dyDescent="0.35">
      <c r="A116" s="152" t="s">
        <v>1527</v>
      </c>
      <c r="B116" s="151">
        <v>3133708.4304911336</v>
      </c>
      <c r="C116" s="151">
        <v>1645382.024724659</v>
      </c>
      <c r="D116" s="151">
        <v>5757842.5815339265</v>
      </c>
      <c r="E116" s="151">
        <v>2855818.1083409041</v>
      </c>
      <c r="F116" s="151">
        <v>2838037.1565224063</v>
      </c>
      <c r="G116" s="151">
        <v>1884005.1794955116</v>
      </c>
      <c r="H116" s="151">
        <v>2156631.6122815656</v>
      </c>
      <c r="I116" s="151">
        <v>1901230.7474184691</v>
      </c>
      <c r="J116" s="151">
        <v>8014413.0447174823</v>
      </c>
      <c r="K116" s="151">
        <v>6084919.0357262753</v>
      </c>
      <c r="L116" s="151">
        <v>4063768.9986647251</v>
      </c>
      <c r="M116" s="151">
        <v>2412302.5808495907</v>
      </c>
      <c r="N116" s="151">
        <v>1685344.4166444067</v>
      </c>
      <c r="O116" s="151">
        <v>3160762.1796081001</v>
      </c>
      <c r="P116" s="151">
        <v>2961895.3673623903</v>
      </c>
      <c r="Q116" s="151">
        <v>2058426.9522558311</v>
      </c>
      <c r="R116" s="151">
        <v>68588.800416053695</v>
      </c>
      <c r="S116" s="151">
        <v>1727320.853761836</v>
      </c>
      <c r="T116" s="151">
        <v>36239757.185398541</v>
      </c>
      <c r="U116" s="151">
        <v>445478.57206221018</v>
      </c>
      <c r="V116" s="151">
        <v>547302.24567642971</v>
      </c>
      <c r="W116" s="151">
        <v>1629030.7783019096</v>
      </c>
      <c r="X116" s="151">
        <v>768551.23401185591</v>
      </c>
      <c r="Y116" s="151">
        <v>784905.39885239082</v>
      </c>
      <c r="Z116" s="151">
        <v>266103.14703250967</v>
      </c>
      <c r="AA116" s="151">
        <v>609695.76545368996</v>
      </c>
      <c r="AB116" s="151">
        <v>250859.19589549716</v>
      </c>
      <c r="AC116" s="151">
        <v>241683.22530816923</v>
      </c>
      <c r="AD116" s="151">
        <v>320862.97150527302</v>
      </c>
      <c r="AE116" s="151">
        <v>915377.06584876089</v>
      </c>
      <c r="AF116" s="151">
        <v>562842.19586464635</v>
      </c>
      <c r="AG116" s="151">
        <v>366150.82633950445</v>
      </c>
      <c r="AH116" s="152">
        <v>3764219.0504701105</v>
      </c>
      <c r="AI116" s="152">
        <v>1882.1095252350551</v>
      </c>
      <c r="AJ116" s="152">
        <v>2126095.2139105685</v>
      </c>
      <c r="AK116" s="152">
        <v>1063.0476069552842</v>
      </c>
      <c r="AL116" s="152">
        <v>5757842.5815339265</v>
      </c>
      <c r="AM116" s="152">
        <v>2878.921290766963</v>
      </c>
      <c r="AN116" s="152">
        <v>2855818.1083409041</v>
      </c>
      <c r="AO116" s="152">
        <v>1427.909054170452</v>
      </c>
      <c r="AP116" s="152">
        <v>2838037.1565224063</v>
      </c>
      <c r="AQ116" s="152">
        <v>1419.0185782612034</v>
      </c>
      <c r="AR116" s="152">
        <v>2661374.6293967417</v>
      </c>
      <c r="AS116" s="152">
        <v>1330.687314698371</v>
      </c>
      <c r="AT116" s="152">
        <v>2933652.0321922218</v>
      </c>
      <c r="AU116" s="152">
        <v>1466.8260160961108</v>
      </c>
      <c r="AV116" s="152">
        <v>2678578.1442863662</v>
      </c>
      <c r="AW116" s="152">
        <v>1339.2890721431829</v>
      </c>
      <c r="AX116" s="152">
        <v>8847621.3198715039</v>
      </c>
      <c r="AY116" s="152">
        <v>4423.8106599357525</v>
      </c>
      <c r="AZ116" s="152">
        <v>6705155.7982094306</v>
      </c>
      <c r="BA116" s="152">
        <v>3352.577899104715</v>
      </c>
      <c r="BB116" s="152">
        <v>4925044.4683902673</v>
      </c>
      <c r="BC116" s="152">
        <v>2462.5222341951335</v>
      </c>
      <c r="BD116" s="152">
        <v>3068242.7515023616</v>
      </c>
      <c r="BE116" s="152">
        <v>1534.1213757511807</v>
      </c>
      <c r="BF116" s="152">
        <v>2299318.9565688125</v>
      </c>
      <c r="BG116" s="152">
        <v>1149.6594782844063</v>
      </c>
      <c r="BH116" s="152">
        <v>3160762.1796081001</v>
      </c>
      <c r="BI116" s="152">
        <v>1580.3810898040501</v>
      </c>
      <c r="BJ116" s="152">
        <v>2961895.3673623903</v>
      </c>
      <c r="BK116" s="152">
        <v>1480.947683681195</v>
      </c>
      <c r="BL116" s="152">
        <v>2483088.3592206999</v>
      </c>
      <c r="BM116" s="152">
        <v>1241.5441796103501</v>
      </c>
      <c r="BN116" s="152">
        <v>3488067.21518389</v>
      </c>
      <c r="BO116" s="152">
        <v>1744.0336075919449</v>
      </c>
      <c r="BP116" s="152">
        <v>3036680.9599230816</v>
      </c>
      <c r="BQ116" s="152">
        <v>1518.3404799615407</v>
      </c>
      <c r="BR116" s="152">
        <v>4354365.9268289953</v>
      </c>
      <c r="BS116" s="152">
        <v>2177.1829634144979</v>
      </c>
      <c r="BT116" s="152">
        <v>5895573.9364204938</v>
      </c>
      <c r="BU116" s="152">
        <v>2947.7869682102469</v>
      </c>
      <c r="BV116" s="152">
        <v>4428873.6077241898</v>
      </c>
      <c r="BW116" s="152">
        <v>2214.4368038620951</v>
      </c>
      <c r="BX116" s="152">
        <v>17757306.57148223</v>
      </c>
      <c r="BY116" s="152">
        <v>8878.6532857411148</v>
      </c>
      <c r="BZ116" s="152">
        <v>31657059.630844489</v>
      </c>
      <c r="CA116" s="152">
        <v>15828.529815422244</v>
      </c>
    </row>
    <row r="117" spans="1:79" s="145" customFormat="1" ht="13.15" x14ac:dyDescent="0.4">
      <c r="A117" s="158" t="s">
        <v>1662</v>
      </c>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46" t="s">
        <v>1873</v>
      </c>
      <c r="AI117" s="146" t="s">
        <v>1872</v>
      </c>
      <c r="AJ117" s="146" t="s">
        <v>1873</v>
      </c>
      <c r="AK117" s="146" t="s">
        <v>1872</v>
      </c>
      <c r="AL117" s="146" t="s">
        <v>1873</v>
      </c>
      <c r="AM117" s="146" t="s">
        <v>1872</v>
      </c>
      <c r="AN117" s="146" t="s">
        <v>1873</v>
      </c>
      <c r="AO117" s="146" t="s">
        <v>1872</v>
      </c>
      <c r="AP117" s="146" t="s">
        <v>1873</v>
      </c>
      <c r="AQ117" s="146" t="s">
        <v>1872</v>
      </c>
      <c r="AR117" s="146" t="s">
        <v>1873</v>
      </c>
      <c r="AS117" s="146" t="s">
        <v>1872</v>
      </c>
      <c r="AT117" s="146" t="s">
        <v>1873</v>
      </c>
      <c r="AU117" s="146" t="s">
        <v>1872</v>
      </c>
      <c r="AV117" s="146" t="s">
        <v>1873</v>
      </c>
      <c r="AW117" s="146" t="s">
        <v>1872</v>
      </c>
      <c r="AX117" s="146" t="s">
        <v>1873</v>
      </c>
      <c r="AY117" s="146" t="s">
        <v>1872</v>
      </c>
      <c r="AZ117" s="146" t="s">
        <v>1873</v>
      </c>
      <c r="BA117" s="146" t="s">
        <v>1872</v>
      </c>
      <c r="BB117" s="146" t="s">
        <v>1873</v>
      </c>
      <c r="BC117" s="146" t="s">
        <v>1872</v>
      </c>
      <c r="BD117" s="146" t="s">
        <v>1873</v>
      </c>
      <c r="BE117" s="146" t="s">
        <v>1872</v>
      </c>
      <c r="BF117" s="146" t="s">
        <v>1873</v>
      </c>
      <c r="BG117" s="146" t="s">
        <v>1872</v>
      </c>
      <c r="BH117" s="146" t="s">
        <v>1873</v>
      </c>
      <c r="BI117" s="146" t="s">
        <v>1872</v>
      </c>
      <c r="BJ117" s="146" t="s">
        <v>1873</v>
      </c>
      <c r="BK117" s="146" t="s">
        <v>1872</v>
      </c>
      <c r="BL117" s="146" t="s">
        <v>1873</v>
      </c>
      <c r="BM117" s="146" t="s">
        <v>1872</v>
      </c>
      <c r="BN117" s="146" t="s">
        <v>1873</v>
      </c>
      <c r="BO117" s="146" t="s">
        <v>1872</v>
      </c>
      <c r="BP117" s="146" t="s">
        <v>1873</v>
      </c>
      <c r="BQ117" s="146" t="s">
        <v>1872</v>
      </c>
      <c r="BR117" s="146" t="s">
        <v>1873</v>
      </c>
      <c r="BS117" s="146" t="s">
        <v>1872</v>
      </c>
      <c r="BT117" s="146" t="s">
        <v>1873</v>
      </c>
      <c r="BU117" s="146" t="s">
        <v>1872</v>
      </c>
      <c r="BV117" s="146" t="s">
        <v>1873</v>
      </c>
      <c r="BW117" s="146" t="s">
        <v>1872</v>
      </c>
      <c r="BX117" s="146" t="s">
        <v>1873</v>
      </c>
      <c r="BY117" s="146" t="s">
        <v>1872</v>
      </c>
      <c r="BZ117" s="146" t="s">
        <v>1873</v>
      </c>
      <c r="CA117" s="146" t="s">
        <v>1872</v>
      </c>
    </row>
    <row r="118" spans="1:79" s="145" customFormat="1" x14ac:dyDescent="0.35">
      <c r="A118" s="146" t="s">
        <v>1525</v>
      </c>
      <c r="B118" s="145">
        <v>45.539898955072537</v>
      </c>
      <c r="C118" s="145">
        <v>36.103190324145601</v>
      </c>
      <c r="D118" s="145">
        <v>69.073820228636023</v>
      </c>
      <c r="E118" s="145">
        <v>44.348607605499957</v>
      </c>
      <c r="F118" s="145">
        <v>44.534984360067199</v>
      </c>
      <c r="G118" s="145">
        <v>33.4130887122557</v>
      </c>
      <c r="H118" s="145">
        <v>35.910369041146964</v>
      </c>
      <c r="I118" s="145">
        <v>33.413185984938366</v>
      </c>
      <c r="J118" s="145">
        <v>67.033638249675136</v>
      </c>
      <c r="K118" s="145">
        <v>71.332875255944174</v>
      </c>
      <c r="L118" s="145">
        <v>56.197525975194424</v>
      </c>
      <c r="M118" s="145">
        <v>35.757028404144428</v>
      </c>
      <c r="N118" s="145">
        <v>32.605125245079989</v>
      </c>
      <c r="O118" s="145">
        <v>39.960540496240213</v>
      </c>
      <c r="P118" s="145">
        <v>44.346403013489777</v>
      </c>
      <c r="Q118" s="145">
        <v>24.601425528543462</v>
      </c>
      <c r="R118" s="145">
        <v>0.98349324685255479</v>
      </c>
      <c r="S118" s="145">
        <v>13.167989797909833</v>
      </c>
      <c r="T118" s="145">
        <v>305.01354574358436</v>
      </c>
      <c r="U118" s="145">
        <v>3.2264857678886791</v>
      </c>
      <c r="V118" s="145">
        <v>3.9639682291203777</v>
      </c>
      <c r="W118" s="145">
        <v>11.798647457525147</v>
      </c>
      <c r="X118" s="145">
        <v>8.8881972402022846</v>
      </c>
      <c r="Y118" s="145">
        <v>5.7236978369359326</v>
      </c>
      <c r="Z118" s="145">
        <v>1.9273160832770251</v>
      </c>
      <c r="AA118" s="145">
        <v>4.7221783566277127</v>
      </c>
      <c r="AB118" s="145">
        <v>1.816908098528675</v>
      </c>
      <c r="AC118" s="145">
        <v>1.7504489232432603</v>
      </c>
      <c r="AD118" s="145">
        <v>2.3239272906254675</v>
      </c>
      <c r="AE118" s="145">
        <v>6.6298386958111228</v>
      </c>
      <c r="AF118" s="145">
        <v>4.0765200582327736</v>
      </c>
      <c r="AG118" s="145">
        <v>2.6519354783244498</v>
      </c>
      <c r="AH118" s="146">
        <v>51.831030005258967</v>
      </c>
      <c r="AI118" s="146">
        <v>2.5915515002629484E-2</v>
      </c>
      <c r="AJ118" s="146">
        <v>40.690620348491784</v>
      </c>
      <c r="AK118" s="146">
        <v>2.034531017424589E-2</v>
      </c>
      <c r="AL118" s="146">
        <v>69.073820228636023</v>
      </c>
      <c r="AM118" s="146">
        <v>3.453691011431801E-2</v>
      </c>
      <c r="AN118" s="146">
        <v>44.348607605499957</v>
      </c>
      <c r="AO118" s="146">
        <v>2.2174303802749977E-2</v>
      </c>
      <c r="AP118" s="146">
        <v>44.534984360067199</v>
      </c>
      <c r="AQ118" s="146">
        <v>2.2267492180033599E-2</v>
      </c>
      <c r="AR118" s="146">
        <v>39.092346588742359</v>
      </c>
      <c r="AS118" s="146">
        <v>1.954617329437118E-2</v>
      </c>
      <c r="AT118" s="146">
        <v>41.586429774492558</v>
      </c>
      <c r="AU118" s="146">
        <v>2.0793214887246277E-2</v>
      </c>
      <c r="AV118" s="146">
        <v>39.092443736891674</v>
      </c>
      <c r="AW118" s="146">
        <v>1.9546221868445839E-2</v>
      </c>
      <c r="AX118" s="146">
        <v>73.450382583669423</v>
      </c>
      <c r="AY118" s="146">
        <v>3.6725191291834713E-2</v>
      </c>
      <c r="AZ118" s="146">
        <v>76.848685087403865</v>
      </c>
      <c r="BA118" s="146">
        <v>3.8424342543701931E-2</v>
      </c>
      <c r="BB118" s="146">
        <v>65.411000874054366</v>
      </c>
      <c r="BC118" s="146">
        <v>3.2705500437027184E-2</v>
      </c>
      <c r="BD118" s="146">
        <v>41.93456234996917</v>
      </c>
      <c r="BE118" s="146">
        <v>2.0967281174984583E-2</v>
      </c>
      <c r="BF118" s="146">
        <v>39.194285311357234</v>
      </c>
      <c r="BG118" s="146">
        <v>1.9597142655678617E-2</v>
      </c>
      <c r="BH118" s="146">
        <v>39.960540496240213</v>
      </c>
      <c r="BI118" s="146">
        <v>1.9980270248120106E-2</v>
      </c>
      <c r="BJ118" s="146">
        <v>44.346403013489777</v>
      </c>
      <c r="BK118" s="146">
        <v>2.2173201506744889E-2</v>
      </c>
      <c r="BL118" s="146">
        <v>28.053439799257085</v>
      </c>
      <c r="BM118" s="146">
        <v>1.4026719899628542E-2</v>
      </c>
      <c r="BN118" s="146">
        <v>46.692617093606657</v>
      </c>
      <c r="BO118" s="146">
        <v>2.3346308546803328E-2</v>
      </c>
      <c r="BP118" s="146">
        <v>31.801657717532123</v>
      </c>
      <c r="BQ118" s="146">
        <v>1.5900828858766061E-2</v>
      </c>
      <c r="BR118" s="146">
        <v>44.468535275148724</v>
      </c>
      <c r="BS118" s="146">
        <v>2.2234267637574363E-2</v>
      </c>
      <c r="BT118" s="146">
        <v>58.676479172656286</v>
      </c>
      <c r="BU118" s="146">
        <v>2.9338239586328144E-2</v>
      </c>
      <c r="BV118" s="146">
        <v>44.982224055112376</v>
      </c>
      <c r="BW118" s="146">
        <v>2.2491112027556187E-2</v>
      </c>
      <c r="BX118" s="146">
        <v>168.32373842695966</v>
      </c>
      <c r="BY118" s="146">
        <v>8.4161869213479831E-2</v>
      </c>
      <c r="BZ118" s="146">
        <v>275.91225326177607</v>
      </c>
      <c r="CA118" s="146">
        <v>0.13795612663088805</v>
      </c>
    </row>
    <row r="119" spans="1:79" s="145" customFormat="1" x14ac:dyDescent="0.35">
      <c r="A119" s="146" t="s">
        <v>1524</v>
      </c>
      <c r="B119" s="145">
        <v>153.06526142394682</v>
      </c>
      <c r="C119" s="145">
        <v>138.42125794321336</v>
      </c>
      <c r="D119" s="145">
        <v>257.85992093722655</v>
      </c>
      <c r="E119" s="145">
        <v>128.03943013966759</v>
      </c>
      <c r="F119" s="145">
        <v>129.30650330943541</v>
      </c>
      <c r="G119" s="145">
        <v>138.72262803369438</v>
      </c>
      <c r="H119" s="145">
        <v>150.86842672495635</v>
      </c>
      <c r="I119" s="145">
        <v>137.87850763096719</v>
      </c>
      <c r="J119" s="145">
        <v>202.85227844637981</v>
      </c>
      <c r="K119" s="145">
        <v>233.95361127677455</v>
      </c>
      <c r="L119" s="145">
        <v>162.9663593107741</v>
      </c>
      <c r="M119" s="145">
        <v>93.967441765054033</v>
      </c>
      <c r="N119" s="145">
        <v>114.15746869314795</v>
      </c>
      <c r="O119" s="145">
        <v>148.7538402982897</v>
      </c>
      <c r="P119" s="145">
        <v>133.34445865278838</v>
      </c>
      <c r="Q119" s="145">
        <v>112.95657794579847</v>
      </c>
      <c r="R119" s="145">
        <v>1.6226180833912403</v>
      </c>
      <c r="S119" s="145">
        <v>73.378741416138652</v>
      </c>
      <c r="T119" s="145">
        <v>1455.1838331190957</v>
      </c>
      <c r="U119" s="145">
        <v>25.251300483777115</v>
      </c>
      <c r="V119" s="145">
        <v>31.023026308640457</v>
      </c>
      <c r="W119" s="145">
        <v>92.339224061440106</v>
      </c>
      <c r="X119" s="145">
        <v>25.319890459383334</v>
      </c>
      <c r="Y119" s="145">
        <v>44.431815664725036</v>
      </c>
      <c r="Z119" s="145">
        <v>15.083667199279487</v>
      </c>
      <c r="AA119" s="145">
        <v>29.294208853959134</v>
      </c>
      <c r="AB119" s="145">
        <v>14.219586152824656</v>
      </c>
      <c r="AC119" s="145">
        <v>13.699459697677087</v>
      </c>
      <c r="AD119" s="145">
        <v>18.187647657418204</v>
      </c>
      <c r="AE119" s="145">
        <v>51.886808469156634</v>
      </c>
      <c r="AF119" s="145">
        <v>31.903885627841984</v>
      </c>
      <c r="AG119" s="145">
        <v>20.754723387662654</v>
      </c>
      <c r="AH119" s="146">
        <v>185.775596641861</v>
      </c>
      <c r="AI119" s="146">
        <v>9.2887798320930498E-2</v>
      </c>
      <c r="AJ119" s="146">
        <v>165.87207716997875</v>
      </c>
      <c r="AK119" s="146">
        <v>8.293603858498938E-2</v>
      </c>
      <c r="AL119" s="146">
        <v>257.85992093722655</v>
      </c>
      <c r="AM119" s="146">
        <v>0.12892996046861327</v>
      </c>
      <c r="AN119" s="146">
        <v>128.03943013966759</v>
      </c>
      <c r="AO119" s="146">
        <v>6.4019715069833796E-2</v>
      </c>
      <c r="AP119" s="146">
        <v>129.30650330943541</v>
      </c>
      <c r="AQ119" s="146">
        <v>6.4653251654717706E-2</v>
      </c>
      <c r="AR119" s="146">
        <v>181.46891338736478</v>
      </c>
      <c r="AS119" s="146">
        <v>9.0734456693682394E-2</v>
      </c>
      <c r="AT119" s="146">
        <v>193.59916241985226</v>
      </c>
      <c r="AU119" s="146">
        <v>9.6799581209926128E-2</v>
      </c>
      <c r="AV119" s="146">
        <v>180.62587366978318</v>
      </c>
      <c r="AW119" s="146">
        <v>9.0312936834891583E-2</v>
      </c>
      <c r="AX119" s="146">
        <v>241.2673739679378</v>
      </c>
      <c r="AY119" s="146">
        <v>0.1206336869839689</v>
      </c>
      <c r="AZ119" s="146">
        <v>263.56608814771437</v>
      </c>
      <c r="BA119" s="146">
        <v>0.13178304407385719</v>
      </c>
      <c r="BB119" s="146">
        <v>203.30671630557481</v>
      </c>
      <c r="BC119" s="146">
        <v>0.10165335815278741</v>
      </c>
      <c r="BD119" s="146">
        <v>125.53674020480094</v>
      </c>
      <c r="BE119" s="146">
        <v>6.2768370102400467E-2</v>
      </c>
      <c r="BF119" s="146">
        <v>150.05706919062874</v>
      </c>
      <c r="BG119" s="146">
        <v>7.5028534595314375E-2</v>
      </c>
      <c r="BH119" s="146">
        <v>148.7538402982897</v>
      </c>
      <c r="BI119" s="146">
        <v>7.4376920149144848E-2</v>
      </c>
      <c r="BJ119" s="146">
        <v>133.34445865278838</v>
      </c>
      <c r="BK119" s="146">
        <v>6.6672229326394189E-2</v>
      </c>
      <c r="BL119" s="146">
        <v>136.80615774813376</v>
      </c>
      <c r="BM119" s="146">
        <v>6.840307887406688E-2</v>
      </c>
      <c r="BN119" s="146">
        <v>173.07694314198002</v>
      </c>
      <c r="BO119" s="146">
        <v>8.6538471570990011E-2</v>
      </c>
      <c r="BP119" s="146">
        <v>139.27483685465441</v>
      </c>
      <c r="BQ119" s="146">
        <v>6.9637418427327208E-2</v>
      </c>
      <c r="BR119" s="146">
        <v>198.7982093846546</v>
      </c>
      <c r="BS119" s="146">
        <v>9.9399104692327295E-2</v>
      </c>
      <c r="BT119" s="146">
        <v>281.14526160285828</v>
      </c>
      <c r="BU119" s="146">
        <v>0.14057263080142915</v>
      </c>
      <c r="BV119" s="146">
        <v>206.40610261405575</v>
      </c>
      <c r="BW119" s="146">
        <v>0.10320305130702788</v>
      </c>
      <c r="BX119" s="146">
        <v>728.76497829402081</v>
      </c>
      <c r="BY119" s="146">
        <v>0.36438248914701038</v>
      </c>
      <c r="BZ119" s="146">
        <v>1274.7446822489528</v>
      </c>
      <c r="CA119" s="146">
        <v>0.63737234112447638</v>
      </c>
    </row>
    <row r="120" spans="1:79" s="145" customFormat="1" x14ac:dyDescent="0.35">
      <c r="A120" s="146" t="s">
        <v>1523</v>
      </c>
      <c r="B120" s="145">
        <v>239.82162934905941</v>
      </c>
      <c r="C120" s="145">
        <v>180.07492701463059</v>
      </c>
      <c r="D120" s="145">
        <v>405.25326505991472</v>
      </c>
      <c r="E120" s="145">
        <v>189.35742993038355</v>
      </c>
      <c r="F120" s="145">
        <v>191.11001603949452</v>
      </c>
      <c r="G120" s="145">
        <v>183.73409283602439</v>
      </c>
      <c r="H120" s="145">
        <v>198.68109902444334</v>
      </c>
      <c r="I120" s="145">
        <v>180.8173033219594</v>
      </c>
      <c r="J120" s="145">
        <v>315.35274612957994</v>
      </c>
      <c r="K120" s="145">
        <v>388.31490882388334</v>
      </c>
      <c r="L120" s="145">
        <v>288.20284967860215</v>
      </c>
      <c r="M120" s="145">
        <v>161.69245725044374</v>
      </c>
      <c r="N120" s="145">
        <v>159.87046742308971</v>
      </c>
      <c r="O120" s="145">
        <v>243.97971894842425</v>
      </c>
      <c r="P120" s="145">
        <v>222.18084747850594</v>
      </c>
      <c r="Q120" s="145">
        <v>168.79103146284771</v>
      </c>
      <c r="R120" s="145">
        <v>3.7268045012277478</v>
      </c>
      <c r="S120" s="145">
        <v>146.84568874076047</v>
      </c>
      <c r="T120" s="145">
        <v>2681.7817687301172</v>
      </c>
      <c r="U120" s="145">
        <v>66.133146818417103</v>
      </c>
      <c r="V120" s="145">
        <v>81.249294662626724</v>
      </c>
      <c r="W120" s="145">
        <v>241.83639436223157</v>
      </c>
      <c r="X120" s="145">
        <v>50.354805141102275</v>
      </c>
      <c r="Y120" s="145">
        <v>116.28285089323431</v>
      </c>
      <c r="Z120" s="145">
        <v>39.50411893007108</v>
      </c>
      <c r="AA120" s="145">
        <v>59.306789404298101</v>
      </c>
      <c r="AB120" s="145">
        <v>37.241090982464115</v>
      </c>
      <c r="AC120" s="145">
        <v>35.878879984875454</v>
      </c>
      <c r="AD120" s="145">
        <v>47.633442625358235</v>
      </c>
      <c r="AE120" s="145">
        <v>135.89153258202981</v>
      </c>
      <c r="AF120" s="145">
        <v>83.556264900478482</v>
      </c>
      <c r="AG120" s="145">
        <v>54.356613032811936</v>
      </c>
      <c r="AH120" s="146">
        <v>309.70065551601812</v>
      </c>
      <c r="AI120" s="146">
        <v>0.15485032775800905</v>
      </c>
      <c r="AJ120" s="146">
        <v>238.8090945766948</v>
      </c>
      <c r="AK120" s="146">
        <v>0.1194045472883474</v>
      </c>
      <c r="AL120" s="146">
        <v>405.25326505991472</v>
      </c>
      <c r="AM120" s="146">
        <v>0.20262663252995736</v>
      </c>
      <c r="AN120" s="146">
        <v>189.35742993038355</v>
      </c>
      <c r="AO120" s="146">
        <v>9.4678714965191771E-2</v>
      </c>
      <c r="AP120" s="146">
        <v>191.11001603949452</v>
      </c>
      <c r="AQ120" s="146">
        <v>9.5555008019747256E-2</v>
      </c>
      <c r="AR120" s="146">
        <v>291.69343377714108</v>
      </c>
      <c r="AS120" s="146">
        <v>0.14584671688857054</v>
      </c>
      <c r="AT120" s="146">
        <v>306.62130406088738</v>
      </c>
      <c r="AU120" s="146">
        <v>0.15331065203044369</v>
      </c>
      <c r="AV120" s="146">
        <v>288.78037848285152</v>
      </c>
      <c r="AW120" s="146">
        <v>0.14439018924142577</v>
      </c>
      <c r="AX120" s="146">
        <v>402.52733836764247</v>
      </c>
      <c r="AY120" s="146">
        <v>0.20126366918382124</v>
      </c>
      <c r="AZ120" s="146">
        <v>452.33557963951858</v>
      </c>
      <c r="BA120" s="146">
        <v>0.2261677898197593</v>
      </c>
      <c r="BB120" s="146">
        <v>374.96289394211988</v>
      </c>
      <c r="BC120" s="146">
        <v>0.18748144697105995</v>
      </c>
      <c r="BD120" s="146">
        <v>229.78603811649216</v>
      </c>
      <c r="BE120" s="146">
        <v>0.11489301905824609</v>
      </c>
      <c r="BF120" s="146">
        <v>236.94930284557964</v>
      </c>
      <c r="BG120" s="146">
        <v>0.11847465142278982</v>
      </c>
      <c r="BH120" s="146">
        <v>243.97971894842425</v>
      </c>
      <c r="BI120" s="146">
        <v>0.12198985947421212</v>
      </c>
      <c r="BJ120" s="146">
        <v>222.18084747850594</v>
      </c>
      <c r="BK120" s="146">
        <v>0.11109042373925297</v>
      </c>
      <c r="BL120" s="146">
        <v>226.11992250483218</v>
      </c>
      <c r="BM120" s="146">
        <v>0.11305996125241609</v>
      </c>
      <c r="BN120" s="146">
        <v>281.68963101855115</v>
      </c>
      <c r="BO120" s="146">
        <v>0.14084481550927558</v>
      </c>
      <c r="BP120" s="146">
        <v>256.65041187080789</v>
      </c>
      <c r="BQ120" s="146">
        <v>0.12832520593540395</v>
      </c>
      <c r="BR120" s="146">
        <v>366.48723462862796</v>
      </c>
      <c r="BS120" s="146">
        <v>0.18324361731431399</v>
      </c>
      <c r="BT120" s="146">
        <v>556.53279802861641</v>
      </c>
      <c r="BU120" s="146">
        <v>0.27826639901430822</v>
      </c>
      <c r="BV120" s="146">
        <v>393.22348150935073</v>
      </c>
      <c r="BW120" s="146">
        <v>0.19661174075467536</v>
      </c>
      <c r="BX120" s="146">
        <v>1290.9162755646144</v>
      </c>
      <c r="BY120" s="146">
        <v>0.64545813778230721</v>
      </c>
      <c r="BZ120" s="146">
        <v>2329.0132732382262</v>
      </c>
      <c r="CA120" s="146">
        <v>1.164506636619113</v>
      </c>
    </row>
    <row r="121" spans="1:79" s="145" customFormat="1" x14ac:dyDescent="0.35">
      <c r="A121" s="146" t="s">
        <v>1522</v>
      </c>
      <c r="B121" s="145">
        <v>12.269337909464772</v>
      </c>
      <c r="C121" s="145">
        <v>3.3912756585528956</v>
      </c>
      <c r="D121" s="145">
        <v>23.978836518541918</v>
      </c>
      <c r="E121" s="145">
        <v>7.5432787272993203</v>
      </c>
      <c r="F121" s="145">
        <v>7.6219752888127879</v>
      </c>
      <c r="G121" s="145">
        <v>4.4050524427215079</v>
      </c>
      <c r="H121" s="145">
        <v>4.5366889445684304</v>
      </c>
      <c r="I121" s="145">
        <v>3.9635595733404561</v>
      </c>
      <c r="J121" s="145">
        <v>19.034513674405389</v>
      </c>
      <c r="K121" s="145">
        <v>26.383025897326416</v>
      </c>
      <c r="L121" s="145">
        <v>21.748582295727811</v>
      </c>
      <c r="M121" s="145">
        <v>10.807187344456118</v>
      </c>
      <c r="N121" s="145">
        <v>5.1325141950918081</v>
      </c>
      <c r="O121" s="145">
        <v>15.600410408995499</v>
      </c>
      <c r="P121" s="145">
        <v>14.911118995291815</v>
      </c>
      <c r="Q121" s="145">
        <v>7.9696387544533343</v>
      </c>
      <c r="R121" s="145">
        <v>0.50823866261997375</v>
      </c>
      <c r="S121" s="145">
        <v>13.363377964653566</v>
      </c>
      <c r="T121" s="145">
        <v>223.3649867044644</v>
      </c>
      <c r="U121" s="145">
        <v>8.1501308413945406</v>
      </c>
      <c r="V121" s="145">
        <v>10.013017890856151</v>
      </c>
      <c r="W121" s="145">
        <v>29.803485106720835</v>
      </c>
      <c r="X121" s="145">
        <v>5.2570384468884335</v>
      </c>
      <c r="Y121" s="145">
        <v>14.32617820601526</v>
      </c>
      <c r="Z121" s="145">
        <v>4.8684170275174043</v>
      </c>
      <c r="AA121" s="145">
        <v>5.5708074181947627</v>
      </c>
      <c r="AB121" s="145">
        <v>4.589525507031146</v>
      </c>
      <c r="AC121" s="145">
        <v>4.4216490578064072</v>
      </c>
      <c r="AD121" s="145">
        <v>5.8702603535360023</v>
      </c>
      <c r="AE121" s="145">
        <v>16.747029652500078</v>
      </c>
      <c r="AF121" s="145">
        <v>10.297324780672239</v>
      </c>
      <c r="AG121" s="145">
        <v>6.6988118610000322</v>
      </c>
      <c r="AH121" s="146">
        <v>19.217652362927552</v>
      </c>
      <c r="AI121" s="146">
        <v>9.6088261814637754E-3</v>
      </c>
      <c r="AJ121" s="146">
        <v>9.291542959236466</v>
      </c>
      <c r="AK121" s="146">
        <v>4.6457714796182331E-3</v>
      </c>
      <c r="AL121" s="146">
        <v>23.978836518541918</v>
      </c>
      <c r="AM121" s="146">
        <v>1.1989418259270959E-2</v>
      </c>
      <c r="AN121" s="146">
        <v>7.5432787272993203</v>
      </c>
      <c r="AO121" s="146">
        <v>3.7716393636496601E-3</v>
      </c>
      <c r="AP121" s="146">
        <v>7.6219752888127879</v>
      </c>
      <c r="AQ121" s="146">
        <v>3.8109876444063938E-3</v>
      </c>
      <c r="AR121" s="146">
        <v>17.311639501556879</v>
      </c>
      <c r="AS121" s="146">
        <v>8.6558197507784398E-3</v>
      </c>
      <c r="AT121" s="146">
        <v>17.443107475772312</v>
      </c>
      <c r="AU121" s="146">
        <v>8.7215537378861566E-3</v>
      </c>
      <c r="AV121" s="146">
        <v>16.870711853421852</v>
      </c>
      <c r="AW121" s="146">
        <v>8.4353559267109253E-3</v>
      </c>
      <c r="AX121" s="146">
        <v>28.482225848232346</v>
      </c>
      <c r="AY121" s="146">
        <v>1.4241112924116173E-2</v>
      </c>
      <c r="AZ121" s="146">
        <v>32.953192097679114</v>
      </c>
      <c r="BA121" s="146">
        <v>1.6476596048839557E-2</v>
      </c>
      <c r="BB121" s="146">
        <v>30.562303640070695</v>
      </c>
      <c r="BC121" s="146">
        <v>1.5281151820035348E-2</v>
      </c>
      <c r="BD121" s="146">
        <v>17.694717582594883</v>
      </c>
      <c r="BE121" s="146">
        <v>8.8473587912974421E-3</v>
      </c>
      <c r="BF121" s="146">
        <v>12.870690893067369</v>
      </c>
      <c r="BG121" s="146">
        <v>6.4353454465336845E-3</v>
      </c>
      <c r="BH121" s="146">
        <v>15.600410408995499</v>
      </c>
      <c r="BI121" s="146">
        <v>7.8002052044977496E-3</v>
      </c>
      <c r="BJ121" s="146">
        <v>14.911118995291815</v>
      </c>
      <c r="BK121" s="146">
        <v>7.4555594976459076E-3</v>
      </c>
      <c r="BL121" s="146">
        <v>14.516590056613602</v>
      </c>
      <c r="BM121" s="146">
        <v>7.258295028306801E-3</v>
      </c>
      <c r="BN121" s="146">
        <v>17.471232949199422</v>
      </c>
      <c r="BO121" s="146">
        <v>8.7356164745997101E-3</v>
      </c>
      <c r="BP121" s="146">
        <v>21.152925024802101</v>
      </c>
      <c r="BQ121" s="146">
        <v>1.057646251240105E-2</v>
      </c>
      <c r="BR121" s="146">
        <v>30.087917871134302</v>
      </c>
      <c r="BS121" s="146">
        <v>1.5043958935567151E-2</v>
      </c>
      <c r="BT121" s="146">
        <v>51.088547362142258</v>
      </c>
      <c r="BU121" s="146">
        <v>2.5544273681071129E-2</v>
      </c>
      <c r="BV121" s="146">
        <v>34.109796752692887</v>
      </c>
      <c r="BW121" s="146">
        <v>1.7054898376346442E-2</v>
      </c>
      <c r="BX121" s="146">
        <v>100.78297544161171</v>
      </c>
      <c r="BY121" s="146">
        <v>5.0391487720805858E-2</v>
      </c>
      <c r="BZ121" s="146">
        <v>191.70305992639234</v>
      </c>
      <c r="CA121" s="146">
        <v>9.5851529963196166E-2</v>
      </c>
    </row>
    <row r="122" spans="1:79" s="145" customFormat="1" x14ac:dyDescent="0.35">
      <c r="A122" s="146" t="s">
        <v>1521</v>
      </c>
      <c r="B122" s="145">
        <v>9.333654335243315</v>
      </c>
      <c r="C122" s="145">
        <v>2.6857232085608018</v>
      </c>
      <c r="D122" s="145">
        <v>18.192816387733217</v>
      </c>
      <c r="E122" s="145">
        <v>5.8810183014709807</v>
      </c>
      <c r="F122" s="145">
        <v>5.939841039983782</v>
      </c>
      <c r="G122" s="145">
        <v>3.4026903664006509</v>
      </c>
      <c r="H122" s="145">
        <v>3.5045743955502826</v>
      </c>
      <c r="I122" s="145">
        <v>3.0760476576797369</v>
      </c>
      <c r="J122" s="145">
        <v>14.7013472128003</v>
      </c>
      <c r="K122" s="145">
        <v>20.068399812383969</v>
      </c>
      <c r="L122" s="145">
        <v>16.549349107530279</v>
      </c>
      <c r="M122" s="145">
        <v>8.2647340224516235</v>
      </c>
      <c r="N122" s="145">
        <v>3.973528062870149</v>
      </c>
      <c r="O122" s="145">
        <v>11.757445053721201</v>
      </c>
      <c r="P122" s="145">
        <v>11.295676810430651</v>
      </c>
      <c r="Q122" s="145">
        <v>5.9660617629638883</v>
      </c>
      <c r="R122" s="145">
        <v>0.39248357499660141</v>
      </c>
      <c r="S122" s="145">
        <v>9.9048280017973642</v>
      </c>
      <c r="T122" s="145">
        <v>166.38597323836427</v>
      </c>
      <c r="U122" s="145">
        <v>5.9991230688848001</v>
      </c>
      <c r="V122" s="145">
        <v>7.3703511989156114</v>
      </c>
      <c r="W122" s="145">
        <v>21.937657016350496</v>
      </c>
      <c r="X122" s="145">
        <v>3.9929948126467165</v>
      </c>
      <c r="Y122" s="145">
        <v>10.545746382549535</v>
      </c>
      <c r="Z122" s="145">
        <v>3.5835293281909872</v>
      </c>
      <c r="AA122" s="145">
        <v>4.1093037732074489</v>
      </c>
      <c r="AB122" s="145">
        <v>3.3782437215148629</v>
      </c>
      <c r="AC122" s="145">
        <v>3.2546737446806908</v>
      </c>
      <c r="AD122" s="145">
        <v>4.3209630609110459</v>
      </c>
      <c r="AE122" s="145">
        <v>12.327101721279897</v>
      </c>
      <c r="AF122" s="145">
        <v>7.5796229338767098</v>
      </c>
      <c r="AG122" s="145">
        <v>4.9308406885119593</v>
      </c>
      <c r="AH122" s="146">
        <v>14.472102910973337</v>
      </c>
      <c r="AI122" s="146">
        <v>7.2360514554866686E-3</v>
      </c>
      <c r="AJ122" s="146">
        <v>7.0394658327697792</v>
      </c>
      <c r="AK122" s="146">
        <v>3.5197329163848897E-3</v>
      </c>
      <c r="AL122" s="146">
        <v>18.192816387733217</v>
      </c>
      <c r="AM122" s="146">
        <v>9.0964081938666088E-3</v>
      </c>
      <c r="AN122" s="146">
        <v>5.8810183014709807</v>
      </c>
      <c r="AO122" s="146">
        <v>2.9405091507354905E-3</v>
      </c>
      <c r="AP122" s="146">
        <v>5.939841039983782</v>
      </c>
      <c r="AQ122" s="146">
        <v>2.9699205199918912E-3</v>
      </c>
      <c r="AR122" s="146">
        <v>12.90485042595313</v>
      </c>
      <c r="AS122" s="146">
        <v>6.4524252129765656E-3</v>
      </c>
      <c r="AT122" s="146">
        <v>13.006604018074443</v>
      </c>
      <c r="AU122" s="146">
        <v>6.5033020090372214E-3</v>
      </c>
      <c r="AV122" s="146">
        <v>12.578625901560056</v>
      </c>
      <c r="AW122" s="146">
        <v>6.2893129507800277E-3</v>
      </c>
      <c r="AX122" s="146">
        <v>21.677358576856566</v>
      </c>
      <c r="AY122" s="146">
        <v>1.0838679288428283E-2</v>
      </c>
      <c r="AZ122" s="146">
        <v>24.929401474892909</v>
      </c>
      <c r="BA122" s="146">
        <v>1.2464700737446455E-2</v>
      </c>
      <c r="BB122" s="146">
        <v>23.097604652604844</v>
      </c>
      <c r="BC122" s="146">
        <v>1.1548802326302421E-2</v>
      </c>
      <c r="BD122" s="146">
        <v>13.360444977975083</v>
      </c>
      <c r="BE122" s="146">
        <v>6.6802224889875418E-3</v>
      </c>
      <c r="BF122" s="146">
        <v>9.6908754714296546</v>
      </c>
      <c r="BG122" s="146">
        <v>4.8454377357148269E-3</v>
      </c>
      <c r="BH122" s="146">
        <v>11.757445053721201</v>
      </c>
      <c r="BI122" s="146">
        <v>5.8787225268606006E-3</v>
      </c>
      <c r="BJ122" s="146">
        <v>11.295676810430651</v>
      </c>
      <c r="BK122" s="146">
        <v>5.6478384052153253E-3</v>
      </c>
      <c r="BL122" s="146">
        <v>10.789079837064003</v>
      </c>
      <c r="BM122" s="146">
        <v>5.3945399185320016E-3</v>
      </c>
      <c r="BN122" s="146">
        <v>13.174621448538705</v>
      </c>
      <c r="BO122" s="146">
        <v>6.5873107242693527E-3</v>
      </c>
      <c r="BP122" s="146">
        <v>15.787489960302707</v>
      </c>
      <c r="BQ122" s="146">
        <v>7.8937449801513536E-3</v>
      </c>
      <c r="BR122" s="146">
        <v>22.441177824951353</v>
      </c>
      <c r="BS122" s="146">
        <v>1.1220588912475677E-2</v>
      </c>
      <c r="BT122" s="146">
        <v>37.953314318382922</v>
      </c>
      <c r="BU122" s="146">
        <v>1.897665715919146E-2</v>
      </c>
      <c r="BV122" s="146">
        <v>25.39399403454566</v>
      </c>
      <c r="BW122" s="146">
        <v>1.2696997017272831E-2</v>
      </c>
      <c r="BX122" s="146">
        <v>75.414865137578403</v>
      </c>
      <c r="BY122" s="146">
        <v>3.7707432568789202E-2</v>
      </c>
      <c r="BZ122" s="146">
        <v>142.99094466146616</v>
      </c>
      <c r="CA122" s="146">
        <v>7.1495472330733084E-2</v>
      </c>
    </row>
    <row r="123" spans="1:79" s="145" customFormat="1" x14ac:dyDescent="0.35">
      <c r="A123" s="146" t="s">
        <v>1520</v>
      </c>
      <c r="B123" s="145">
        <v>356.37816860094767</v>
      </c>
      <c r="C123" s="145">
        <v>84.179530306637147</v>
      </c>
      <c r="D123" s="145">
        <v>661.86613549142339</v>
      </c>
      <c r="E123" s="145">
        <v>190.62634474886559</v>
      </c>
      <c r="F123" s="145">
        <v>192.88248550311494</v>
      </c>
      <c r="G123" s="145">
        <v>122.14776001432141</v>
      </c>
      <c r="H123" s="145">
        <v>126.87089222845488</v>
      </c>
      <c r="I123" s="145">
        <v>107.97894534737794</v>
      </c>
      <c r="J123" s="145">
        <v>440.32395179974583</v>
      </c>
      <c r="K123" s="145">
        <v>710.47355566375973</v>
      </c>
      <c r="L123" s="145">
        <v>589.80846222473303</v>
      </c>
      <c r="M123" s="145">
        <v>290.75739875341907</v>
      </c>
      <c r="N123" s="145">
        <v>138.77168091031987</v>
      </c>
      <c r="O123" s="145">
        <v>455.08928742554275</v>
      </c>
      <c r="P123" s="145">
        <v>414.99366666443518</v>
      </c>
      <c r="Q123" s="145">
        <v>250.86906474672949</v>
      </c>
      <c r="R123" s="145">
        <v>10.564608440027621</v>
      </c>
      <c r="S123" s="145">
        <v>434.00160974129551</v>
      </c>
      <c r="T123" s="145">
        <v>6942.4480229928622</v>
      </c>
      <c r="U123" s="145">
        <v>273.40218018170066</v>
      </c>
      <c r="V123" s="145">
        <v>335.89410708037514</v>
      </c>
      <c r="W123" s="145">
        <v>999.77999908969412</v>
      </c>
      <c r="X123" s="145">
        <v>134.31282231123268</v>
      </c>
      <c r="Y123" s="145">
        <v>480.33540180231165</v>
      </c>
      <c r="Z123" s="145">
        <v>163.31465779624511</v>
      </c>
      <c r="AA123" s="145">
        <v>185.85435133741152</v>
      </c>
      <c r="AB123" s="145">
        <v>153.95903501926335</v>
      </c>
      <c r="AC123" s="145">
        <v>148.32749509525487</v>
      </c>
      <c r="AD123" s="145">
        <v>196.92223476210202</v>
      </c>
      <c r="AE123" s="145">
        <v>561.79152306439153</v>
      </c>
      <c r="AF123" s="145">
        <v>345.43139243555072</v>
      </c>
      <c r="AG123" s="145">
        <v>224.71660922575666</v>
      </c>
      <c r="AH123" s="146">
        <v>585.22969675806007</v>
      </c>
      <c r="AI123" s="146">
        <v>0.29261484837903001</v>
      </c>
      <c r="AJ123" s="146">
        <v>280.5492060772051</v>
      </c>
      <c r="AK123" s="146">
        <v>0.14027460303860256</v>
      </c>
      <c r="AL123" s="146">
        <v>661.86613549142339</v>
      </c>
      <c r="AM123" s="146">
        <v>0.33093306774571168</v>
      </c>
      <c r="AN123" s="146">
        <v>190.62634474886559</v>
      </c>
      <c r="AO123" s="146">
        <v>9.5313172374432792E-2</v>
      </c>
      <c r="AP123" s="146">
        <v>192.88248550311494</v>
      </c>
      <c r="AQ123" s="146">
        <v>9.6441242751557466E-2</v>
      </c>
      <c r="AR123" s="146">
        <v>554.8936341209876</v>
      </c>
      <c r="AS123" s="146">
        <v>0.27744681706049379</v>
      </c>
      <c r="AT123" s="146">
        <v>559.61071954510396</v>
      </c>
      <c r="AU123" s="146">
        <v>0.279805359772552</v>
      </c>
      <c r="AV123" s="146">
        <v>540.74295907902149</v>
      </c>
      <c r="AW123" s="146">
        <v>0.27037147953951074</v>
      </c>
      <c r="AX123" s="146">
        <v>751.65377683799454</v>
      </c>
      <c r="AY123" s="146">
        <v>0.37582688841899725</v>
      </c>
      <c r="AZ123" s="146">
        <v>924.64223649382939</v>
      </c>
      <c r="BA123" s="146">
        <v>0.46232111824691469</v>
      </c>
      <c r="BB123" s="146">
        <v>870.06042336961991</v>
      </c>
      <c r="BC123" s="146">
        <v>0.43503021168480993</v>
      </c>
      <c r="BD123" s="146">
        <v>516.29413185817884</v>
      </c>
      <c r="BE123" s="146">
        <v>0.25814706592908943</v>
      </c>
      <c r="BF123" s="146">
        <v>394.74985745635627</v>
      </c>
      <c r="BG123" s="146">
        <v>0.19737492872817813</v>
      </c>
      <c r="BH123" s="146">
        <v>455.08928742554275</v>
      </c>
      <c r="BI123" s="146">
        <v>0.22754464371277139</v>
      </c>
      <c r="BJ123" s="146">
        <v>414.99366666443518</v>
      </c>
      <c r="BK123" s="146">
        <v>0.20749683333221758</v>
      </c>
      <c r="BL123" s="146">
        <v>469.84413373226846</v>
      </c>
      <c r="BM123" s="146">
        <v>0.23492206686613423</v>
      </c>
      <c r="BN123" s="146">
        <v>513.24478748582783</v>
      </c>
      <c r="BO123" s="146">
        <v>0.2566223937429139</v>
      </c>
      <c r="BP123" s="146">
        <v>653.00641049994306</v>
      </c>
      <c r="BQ123" s="146">
        <v>0.32650320524997151</v>
      </c>
      <c r="BR123" s="146">
        <v>934.56216592751025</v>
      </c>
      <c r="BS123" s="146">
        <v>0.46728108296375515</v>
      </c>
      <c r="BT123" s="146">
        <v>1624.4246138723438</v>
      </c>
      <c r="BU123" s="146">
        <v>0.81221230693617186</v>
      </c>
      <c r="BV123" s="146">
        <v>1070.6643967665989</v>
      </c>
      <c r="BW123" s="146">
        <v>0.53533219838329948</v>
      </c>
      <c r="BX123" s="146">
        <v>3036.7992222969478</v>
      </c>
      <c r="BY123" s="146">
        <v>1.5183996111484739</v>
      </c>
      <c r="BZ123" s="146">
        <v>5900.7445629976028</v>
      </c>
      <c r="CA123" s="146">
        <v>2.9503722814988014</v>
      </c>
    </row>
    <row r="124" spans="1:79" s="145" customFormat="1" x14ac:dyDescent="0.35">
      <c r="A124" s="146" t="s">
        <v>1519</v>
      </c>
      <c r="B124" s="145">
        <v>0.75628382293946284</v>
      </c>
      <c r="C124" s="145">
        <v>0.29793526807748716</v>
      </c>
      <c r="D124" s="145">
        <v>1.4461812928883138</v>
      </c>
      <c r="E124" s="145">
        <v>0.56733307992790782</v>
      </c>
      <c r="F124" s="145">
        <v>0.57157848673814138</v>
      </c>
      <c r="G124" s="145">
        <v>0.32293609139890228</v>
      </c>
      <c r="H124" s="145">
        <v>0.33447442889234225</v>
      </c>
      <c r="I124" s="145">
        <v>0.30278260805809321</v>
      </c>
      <c r="J124" s="145">
        <v>1.3205862145126441</v>
      </c>
      <c r="K124" s="145">
        <v>1.6153177844830144</v>
      </c>
      <c r="L124" s="145">
        <v>1.3279532777089378</v>
      </c>
      <c r="M124" s="145">
        <v>0.6932777368672377</v>
      </c>
      <c r="N124" s="145">
        <v>0.37242261514702901</v>
      </c>
      <c r="O124" s="145">
        <v>0.89059226849062434</v>
      </c>
      <c r="P124" s="145">
        <v>0.89017518574514864</v>
      </c>
      <c r="Q124" s="145">
        <v>0.43388591738370796</v>
      </c>
      <c r="R124" s="145">
        <v>3.4595484933858341E-2</v>
      </c>
      <c r="S124" s="145">
        <v>0.63594354286456334</v>
      </c>
      <c r="T124" s="145">
        <v>11.219067917754426</v>
      </c>
      <c r="U124" s="145">
        <v>0.35740574041843115</v>
      </c>
      <c r="V124" s="145">
        <v>0.4390984810855012</v>
      </c>
      <c r="W124" s="145">
        <v>1.3069651112244758</v>
      </c>
      <c r="X124" s="145">
        <v>0.31477778900729059</v>
      </c>
      <c r="Y124" s="145">
        <v>0.62863268011863105</v>
      </c>
      <c r="Z124" s="145">
        <v>0.21349352866190674</v>
      </c>
      <c r="AA124" s="145">
        <v>0.25237722775772831</v>
      </c>
      <c r="AB124" s="145">
        <v>0.20126336545157505</v>
      </c>
      <c r="AC124" s="145">
        <v>0.19390151963564722</v>
      </c>
      <c r="AD124" s="145">
        <v>0.25742712466018569</v>
      </c>
      <c r="AE124" s="145">
        <v>0.73440348986312187</v>
      </c>
      <c r="AF124" s="145">
        <v>0.45156612319312089</v>
      </c>
      <c r="AG124" s="145">
        <v>0.2937613959452488</v>
      </c>
      <c r="AH124" s="146">
        <v>1.0786891619723287</v>
      </c>
      <c r="AI124" s="146">
        <v>5.3934458098616432E-4</v>
      </c>
      <c r="AJ124" s="146">
        <v>0.56547559146867044</v>
      </c>
      <c r="AK124" s="146">
        <v>2.8273779573433522E-4</v>
      </c>
      <c r="AL124" s="146">
        <v>1.4461812928883138</v>
      </c>
      <c r="AM124" s="146">
        <v>7.230906464441569E-4</v>
      </c>
      <c r="AN124" s="146">
        <v>0.56733307992790782</v>
      </c>
      <c r="AO124" s="146">
        <v>2.8366653996395394E-4</v>
      </c>
      <c r="AP124" s="146">
        <v>0.57157848673814138</v>
      </c>
      <c r="AQ124" s="146">
        <v>2.8578924336907072E-4</v>
      </c>
      <c r="AR124" s="146">
        <v>0.89071931226238465</v>
      </c>
      <c r="AS124" s="146">
        <v>4.4535965613119234E-4</v>
      </c>
      <c r="AT124" s="146">
        <v>0.90224287779924861</v>
      </c>
      <c r="AU124" s="146">
        <v>4.5112143889962429E-4</v>
      </c>
      <c r="AV124" s="146">
        <v>0.87059163041862275</v>
      </c>
      <c r="AW124" s="146">
        <v>4.3529581520931139E-4</v>
      </c>
      <c r="AX124" s="146">
        <v>1.7510768476165479</v>
      </c>
      <c r="AY124" s="146">
        <v>8.7553842380827399E-4</v>
      </c>
      <c r="AZ124" s="146">
        <v>1.9216532093938137</v>
      </c>
      <c r="BA124" s="146">
        <v>9.6082660469690682E-4</v>
      </c>
      <c r="BB124" s="146">
        <v>1.756897592089119</v>
      </c>
      <c r="BC124" s="146">
        <v>8.7844879604455947E-4</v>
      </c>
      <c r="BD124" s="146">
        <v>1.0146338430915294</v>
      </c>
      <c r="BE124" s="146">
        <v>5.0731692154576467E-4</v>
      </c>
      <c r="BF124" s="146">
        <v>0.72814763140862104</v>
      </c>
      <c r="BG124" s="146">
        <v>3.6407381570431054E-4</v>
      </c>
      <c r="BH124" s="146">
        <v>0.89059226849062434</v>
      </c>
      <c r="BI124" s="146">
        <v>4.4529613424531216E-4</v>
      </c>
      <c r="BJ124" s="146">
        <v>0.89017518574514864</v>
      </c>
      <c r="BK124" s="146">
        <v>4.4508759287257432E-4</v>
      </c>
      <c r="BL124" s="146">
        <v>0.72434550277443521</v>
      </c>
      <c r="BM124" s="146">
        <v>3.621727513872176E-4</v>
      </c>
      <c r="BN124" s="146">
        <v>0.99831741610375802</v>
      </c>
      <c r="BO124" s="146">
        <v>4.9915870805187904E-4</v>
      </c>
      <c r="BP124" s="146">
        <v>1.0852679753757544</v>
      </c>
      <c r="BQ124" s="146">
        <v>5.4263398768787717E-4</v>
      </c>
      <c r="BR124" s="146">
        <v>1.5335425339619335</v>
      </c>
      <c r="BS124" s="146">
        <v>7.6677126698096671E-4</v>
      </c>
      <c r="BT124" s="146">
        <v>2.4937762676036153</v>
      </c>
      <c r="BU124" s="146">
        <v>1.2468881338018076E-3</v>
      </c>
      <c r="BV124" s="146">
        <v>1.7041955923137675</v>
      </c>
      <c r="BW124" s="146">
        <v>8.520977961568837E-4</v>
      </c>
      <c r="BX124" s="146">
        <v>5.3057516886041789</v>
      </c>
      <c r="BY124" s="146">
        <v>2.6528758443020895E-3</v>
      </c>
      <c r="BZ124" s="146">
        <v>9.7621879895431238</v>
      </c>
      <c r="CA124" s="146">
        <v>4.8810939947715615E-3</v>
      </c>
    </row>
    <row r="125" spans="1:79" s="145" customFormat="1" x14ac:dyDescent="0.35">
      <c r="A125" s="143" t="s">
        <v>1518</v>
      </c>
      <c r="B125" s="142">
        <v>1.7414546704342961</v>
      </c>
      <c r="C125" s="142">
        <v>0.60714055667977496</v>
      </c>
      <c r="D125" s="142">
        <v>3.1037713576665391</v>
      </c>
      <c r="E125" s="142">
        <v>1.2216246371992803</v>
      </c>
      <c r="F125" s="142">
        <v>1.230112049869589</v>
      </c>
      <c r="G125" s="142">
        <v>0.67858791580408273</v>
      </c>
      <c r="H125" s="142">
        <v>0.70281522918452755</v>
      </c>
      <c r="I125" s="142">
        <v>0.62866373793961206</v>
      </c>
      <c r="J125" s="142">
        <v>2.5963872094137708</v>
      </c>
      <c r="K125" s="142">
        <v>3.452037024973559</v>
      </c>
      <c r="L125" s="142">
        <v>2.8927417559382533</v>
      </c>
      <c r="M125" s="142">
        <v>1.5322612393364945</v>
      </c>
      <c r="N125" s="142">
        <v>0.80646599905323069</v>
      </c>
      <c r="O125" s="142">
        <v>2.0053183248613835</v>
      </c>
      <c r="P125" s="142">
        <v>1.9514925696939298</v>
      </c>
      <c r="Q125" s="142">
        <v>1.0161632547367623</v>
      </c>
      <c r="R125" s="142">
        <v>6.4291043821090604E-2</v>
      </c>
      <c r="S125" s="142">
        <v>1.5951480394194095</v>
      </c>
      <c r="T125" s="142">
        <v>26.603464492385335</v>
      </c>
      <c r="U125" s="142">
        <v>0.91958383334944127</v>
      </c>
      <c r="V125" s="142">
        <v>1.1297744238293137</v>
      </c>
      <c r="W125" s="142">
        <v>3.3627439380987711</v>
      </c>
      <c r="X125" s="142">
        <v>0.64475262615998696</v>
      </c>
      <c r="Y125" s="142">
        <v>1.6166011821265505</v>
      </c>
      <c r="Z125" s="142">
        <v>0.54930622337617796</v>
      </c>
      <c r="AA125" s="142">
        <v>0.63870922626604965</v>
      </c>
      <c r="AB125" s="142">
        <v>0.51783873672003422</v>
      </c>
      <c r="AC125" s="142">
        <v>0.4988971428105109</v>
      </c>
      <c r="AD125" s="142">
        <v>0.66234476767494654</v>
      </c>
      <c r="AE125" s="142">
        <v>1.8895767472645497</v>
      </c>
      <c r="AF125" s="142">
        <v>1.1618529296438291</v>
      </c>
      <c r="AG125" s="142">
        <v>0.75583069890582</v>
      </c>
      <c r="AH125" s="143">
        <v>2.5536718244692103</v>
      </c>
      <c r="AI125" s="143">
        <v>1.2768359122346052E-3</v>
      </c>
      <c r="AJ125" s="143">
        <v>1.2854663024758834</v>
      </c>
      <c r="AK125" s="143">
        <v>6.427331512379417E-4</v>
      </c>
      <c r="AL125" s="143">
        <v>3.1037713576665391</v>
      </c>
      <c r="AM125" s="143">
        <v>1.5518856788332696E-3</v>
      </c>
      <c r="AN125" s="143">
        <v>1.2216246371992803</v>
      </c>
      <c r="AO125" s="143">
        <v>6.1081231859964012E-4</v>
      </c>
      <c r="AP125" s="143">
        <v>1.230112049869589</v>
      </c>
      <c r="AQ125" s="143">
        <v>6.1505602493479446E-4</v>
      </c>
      <c r="AR125" s="143">
        <v>2.1370747610719203</v>
      </c>
      <c r="AS125" s="143">
        <v>1.0685373805359602E-3</v>
      </c>
      <c r="AT125" s="143">
        <v>2.1612710574344098</v>
      </c>
      <c r="AU125" s="143">
        <v>1.0806355287172049E-3</v>
      </c>
      <c r="AV125" s="143">
        <v>2.0872144986361607</v>
      </c>
      <c r="AW125" s="143">
        <v>1.0436072493180803E-3</v>
      </c>
      <c r="AX125" s="143">
        <v>3.6784739074821324</v>
      </c>
      <c r="AY125" s="143">
        <v>1.8392369537410661E-3</v>
      </c>
      <c r="AZ125" s="143">
        <v>4.2128466715713344</v>
      </c>
      <c r="BA125" s="143">
        <v>2.1064233357856671E-3</v>
      </c>
      <c r="BB125" s="143">
        <v>3.9371136936130391</v>
      </c>
      <c r="BC125" s="143">
        <v>1.9685568468065196E-3</v>
      </c>
      <c r="BD125" s="143">
        <v>2.3362531972422165</v>
      </c>
      <c r="BE125" s="143">
        <v>1.1681265986211082E-3</v>
      </c>
      <c r="BF125" s="143">
        <v>1.7044555306106681</v>
      </c>
      <c r="BG125" s="143">
        <v>8.5222776530533408E-4</v>
      </c>
      <c r="BH125" s="143">
        <v>2.0053183248613835</v>
      </c>
      <c r="BI125" s="143">
        <v>1.0026591624306917E-3</v>
      </c>
      <c r="BJ125" s="143">
        <v>1.9514925696939298</v>
      </c>
      <c r="BK125" s="143">
        <v>9.7574628484696491E-4</v>
      </c>
      <c r="BL125" s="143">
        <v>1.7594964109632287</v>
      </c>
      <c r="BM125" s="143">
        <v>8.7974820548161433E-4</v>
      </c>
      <c r="BN125" s="143">
        <v>2.2592273957481561</v>
      </c>
      <c r="BO125" s="143">
        <v>1.129613697874078E-3</v>
      </c>
      <c r="BP125" s="143">
        <v>2.5559309831352532</v>
      </c>
      <c r="BQ125" s="143">
        <v>1.2779654915676267E-3</v>
      </c>
      <c r="BR125" s="143">
        <v>3.6361754218881317</v>
      </c>
      <c r="BS125" s="143">
        <v>1.8180877109440659E-3</v>
      </c>
      <c r="BT125" s="143">
        <v>6.0411279944377618</v>
      </c>
      <c r="BU125" s="143">
        <v>3.0205639972188808E-3</v>
      </c>
      <c r="BV125" s="143">
        <v>4.0777447998203824</v>
      </c>
      <c r="BW125" s="143">
        <v>2.0388723999101911E-3</v>
      </c>
      <c r="BX125" s="143">
        <v>12.219947025973671</v>
      </c>
      <c r="BY125" s="143">
        <v>6.1099735129868356E-3</v>
      </c>
      <c r="BZ125" s="143">
        <v>22.93580709540544</v>
      </c>
      <c r="CA125" s="143">
        <v>1.146790354770272E-2</v>
      </c>
    </row>
    <row r="126" spans="1:79" ht="12.75" customHeight="1" x14ac:dyDescent="0.35"/>
  </sheetData>
  <mergeCells count="5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X95:BY95"/>
    <mergeCell ref="BZ95:CA95"/>
    <mergeCell ref="BL95:BM95"/>
    <mergeCell ref="BN95:BO95"/>
    <mergeCell ref="BP95:BQ95"/>
    <mergeCell ref="BR95:BS95"/>
    <mergeCell ref="BT95:BU95"/>
    <mergeCell ref="BV95:BW95"/>
  </mergeCells>
  <pageMargins left="0.75" right="0.75" top="1" bottom="1" header="0.5" footer="0.5"/>
  <pageSetup orientation="landscape" r:id="rId1"/>
  <headerFooter alignWithMargins="0">
    <oddHeader>&amp;A</oddHeader>
    <oddFooter>Page &amp;P</oddFooter>
  </headerFooter>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J93"/>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2.796875" style="39" bestFit="1" customWidth="1"/>
    <col min="3" max="3" width="11.1328125" style="39" customWidth="1"/>
    <col min="4" max="4" width="11.19921875" style="39" bestFit="1" customWidth="1"/>
    <col min="5" max="5" width="12.796875" style="39" bestFit="1" customWidth="1"/>
    <col min="6" max="6" width="11.19921875" style="39" bestFit="1" customWidth="1"/>
    <col min="7" max="7" width="12.796875" style="39" bestFit="1" customWidth="1"/>
    <col min="8" max="8" width="9.46484375" style="39" bestFit="1" customWidth="1"/>
    <col min="9" max="9" width="12.796875" style="39" bestFit="1" customWidth="1"/>
    <col min="10" max="10" width="9.46484375" style="39" bestFit="1" customWidth="1"/>
    <col min="11" max="16384" width="9.1328125" style="39"/>
  </cols>
  <sheetData>
    <row r="1" spans="1:7" ht="15" x14ac:dyDescent="0.4">
      <c r="A1" s="140" t="s">
        <v>239</v>
      </c>
      <c r="G1" s="230" t="s">
        <v>1626</v>
      </c>
    </row>
    <row r="2" spans="1:7" ht="13.15" x14ac:dyDescent="0.4">
      <c r="A2" s="41"/>
    </row>
    <row r="3" spans="1:7" ht="13.9" x14ac:dyDescent="0.4">
      <c r="A3" s="72" t="s">
        <v>2140</v>
      </c>
    </row>
    <row r="4" spans="1:7" ht="13.15" x14ac:dyDescent="0.4">
      <c r="A4" s="559" t="s">
        <v>2139</v>
      </c>
      <c r="B4" s="197"/>
    </row>
    <row r="5" spans="1:7" ht="25.5" x14ac:dyDescent="0.35">
      <c r="A5" s="87" t="s">
        <v>1226</v>
      </c>
      <c r="B5" s="86" t="s">
        <v>1225</v>
      </c>
    </row>
    <row r="6" spans="1:7" x14ac:dyDescent="0.35">
      <c r="A6" s="558">
        <v>1</v>
      </c>
      <c r="B6" s="557">
        <v>1.0306999999999999</v>
      </c>
    </row>
    <row r="7" spans="1:7" ht="13.15" x14ac:dyDescent="0.4">
      <c r="A7" s="41"/>
      <c r="B7" s="197"/>
    </row>
    <row r="8" spans="1:7" ht="13.15" x14ac:dyDescent="0.4">
      <c r="A8" s="41" t="s">
        <v>2138</v>
      </c>
    </row>
    <row r="9" spans="1:7" ht="25.5" x14ac:dyDescent="0.35">
      <c r="A9" s="87" t="s">
        <v>1226</v>
      </c>
      <c r="B9" s="86" t="s">
        <v>1225</v>
      </c>
    </row>
    <row r="10" spans="1:7" x14ac:dyDescent="0.35">
      <c r="A10" s="412">
        <v>0.89</v>
      </c>
      <c r="B10" s="193">
        <v>0.10999999999999999</v>
      </c>
    </row>
    <row r="11" spans="1:7" ht="13.15" x14ac:dyDescent="0.4">
      <c r="A11" s="41"/>
    </row>
    <row r="12" spans="1:7" ht="13.9" x14ac:dyDescent="0.4">
      <c r="A12" s="72" t="s">
        <v>1734</v>
      </c>
    </row>
    <row r="13" spans="1:7" x14ac:dyDescent="0.35">
      <c r="A13" s="61" t="s">
        <v>1717</v>
      </c>
      <c r="B13" s="417">
        <v>1</v>
      </c>
    </row>
    <row r="14" spans="1:7" x14ac:dyDescent="0.35">
      <c r="A14" s="59" t="s">
        <v>1909</v>
      </c>
      <c r="B14" s="196">
        <v>1</v>
      </c>
    </row>
    <row r="15" spans="1:7" x14ac:dyDescent="0.35">
      <c r="A15" s="57" t="s">
        <v>1703</v>
      </c>
      <c r="B15" s="193">
        <v>1</v>
      </c>
    </row>
    <row r="17" spans="1:7" ht="13.9" x14ac:dyDescent="0.4">
      <c r="A17" s="72" t="s">
        <v>1701</v>
      </c>
    </row>
    <row r="18" spans="1:7" ht="24" customHeight="1" x14ac:dyDescent="0.4">
      <c r="A18" s="131"/>
      <c r="B18" s="2191" t="s">
        <v>1227</v>
      </c>
      <c r="C18" s="2192"/>
      <c r="D18" s="2196" t="s">
        <v>1226</v>
      </c>
      <c r="E18" s="2196"/>
      <c r="F18" s="2191" t="s">
        <v>1225</v>
      </c>
      <c r="G18" s="2192"/>
    </row>
    <row r="19" spans="1:7" ht="70.5" customHeight="1" x14ac:dyDescent="0.4">
      <c r="A19" s="128"/>
      <c r="B19" s="416" t="s">
        <v>1674</v>
      </c>
      <c r="C19" s="415" t="s">
        <v>1673</v>
      </c>
      <c r="D19" s="478" t="s">
        <v>1674</v>
      </c>
      <c r="E19" s="478" t="s">
        <v>1673</v>
      </c>
      <c r="F19" s="416" t="s">
        <v>1674</v>
      </c>
      <c r="G19" s="415" t="s">
        <v>1673</v>
      </c>
    </row>
    <row r="20" spans="1:7" ht="26.25" x14ac:dyDescent="0.4">
      <c r="A20" s="414" t="s">
        <v>1940</v>
      </c>
      <c r="B20" s="277">
        <v>33.854999999999997</v>
      </c>
      <c r="C20" s="99"/>
      <c r="D20" s="120">
        <v>6.274</v>
      </c>
      <c r="F20" s="277">
        <v>3.8029999999999999</v>
      </c>
      <c r="G20" s="99"/>
    </row>
    <row r="21" spans="1:7" ht="13.15" x14ac:dyDescent="0.4">
      <c r="A21" s="128" t="s">
        <v>1671</v>
      </c>
      <c r="B21" s="413">
        <v>0</v>
      </c>
      <c r="C21" s="99"/>
      <c r="D21" s="197">
        <v>0</v>
      </c>
      <c r="F21" s="413">
        <v>0</v>
      </c>
      <c r="G21" s="99"/>
    </row>
    <row r="22" spans="1:7" ht="13.15" x14ac:dyDescent="0.4">
      <c r="A22" s="131" t="s">
        <v>1670</v>
      </c>
      <c r="B22" s="61"/>
      <c r="C22" s="60"/>
      <c r="D22" s="101"/>
      <c r="E22" s="101"/>
      <c r="F22" s="61"/>
      <c r="G22" s="60"/>
    </row>
    <row r="23" spans="1:7" x14ac:dyDescent="0.35">
      <c r="A23" s="59" t="s">
        <v>1668</v>
      </c>
      <c r="B23" s="477">
        <v>0.495</v>
      </c>
      <c r="C23" s="99"/>
      <c r="D23" s="254">
        <v>0</v>
      </c>
      <c r="F23" s="477">
        <v>0</v>
      </c>
      <c r="G23" s="99"/>
    </row>
    <row r="24" spans="1:7" x14ac:dyDescent="0.35">
      <c r="A24" s="59" t="s">
        <v>1667</v>
      </c>
      <c r="B24" s="477">
        <v>0</v>
      </c>
      <c r="C24" s="99"/>
      <c r="D24" s="254">
        <v>0</v>
      </c>
      <c r="F24" s="477">
        <v>0</v>
      </c>
      <c r="G24" s="99"/>
    </row>
    <row r="25" spans="1:7" x14ac:dyDescent="0.35">
      <c r="A25" s="59" t="s">
        <v>1534</v>
      </c>
      <c r="B25" s="477">
        <v>0.495</v>
      </c>
      <c r="C25" s="99"/>
      <c r="D25" s="254">
        <v>0.67600000000000005</v>
      </c>
      <c r="F25" s="477">
        <v>0</v>
      </c>
      <c r="G25" s="99"/>
    </row>
    <row r="26" spans="1:7" x14ac:dyDescent="0.35">
      <c r="A26" s="59" t="s">
        <v>1535</v>
      </c>
      <c r="B26" s="477">
        <v>0</v>
      </c>
      <c r="C26" s="99"/>
      <c r="D26" s="254">
        <v>0</v>
      </c>
      <c r="F26" s="477">
        <v>0</v>
      </c>
      <c r="G26" s="99"/>
    </row>
    <row r="27" spans="1:7" x14ac:dyDescent="0.35">
      <c r="A27" s="57" t="s">
        <v>1664</v>
      </c>
      <c r="B27" s="556">
        <v>1.0000000000000009E-2</v>
      </c>
      <c r="C27" s="100"/>
      <c r="D27" s="252">
        <v>0.32399999999999995</v>
      </c>
      <c r="E27" s="77"/>
      <c r="F27" s="556">
        <v>1</v>
      </c>
      <c r="G27" s="100"/>
    </row>
    <row r="28" spans="1:7" ht="13.15" x14ac:dyDescent="0.4">
      <c r="A28" s="131" t="s">
        <v>1669</v>
      </c>
      <c r="B28" s="61"/>
      <c r="C28" s="60"/>
      <c r="D28" s="101"/>
      <c r="E28" s="101"/>
      <c r="F28" s="61"/>
      <c r="G28" s="60"/>
    </row>
    <row r="29" spans="1:7" s="145" customFormat="1" x14ac:dyDescent="0.35">
      <c r="A29" s="232" t="s">
        <v>1668</v>
      </c>
      <c r="B29" s="494">
        <v>16.758224999999999</v>
      </c>
      <c r="C29" s="144"/>
      <c r="D29" s="493">
        <v>0</v>
      </c>
      <c r="F29" s="494">
        <v>0</v>
      </c>
      <c r="G29" s="144"/>
    </row>
    <row r="30" spans="1:7" s="145" customFormat="1" x14ac:dyDescent="0.35">
      <c r="A30" s="232" t="s">
        <v>1667</v>
      </c>
      <c r="B30" s="494">
        <v>0</v>
      </c>
      <c r="C30" s="144"/>
      <c r="D30" s="493">
        <v>0</v>
      </c>
      <c r="F30" s="494">
        <v>0</v>
      </c>
      <c r="G30" s="144"/>
    </row>
    <row r="31" spans="1:7" s="145" customFormat="1" x14ac:dyDescent="0.35">
      <c r="A31" s="232" t="s">
        <v>1534</v>
      </c>
      <c r="B31" s="494">
        <v>16.758224999999999</v>
      </c>
      <c r="C31" s="144"/>
      <c r="D31" s="493">
        <v>4.2412239999999999</v>
      </c>
      <c r="F31" s="494">
        <v>0</v>
      </c>
      <c r="G31" s="144"/>
    </row>
    <row r="32" spans="1:7" s="145" customFormat="1" x14ac:dyDescent="0.35">
      <c r="A32" s="232" t="s">
        <v>1535</v>
      </c>
      <c r="B32" s="494">
        <v>0</v>
      </c>
      <c r="C32" s="144"/>
      <c r="D32" s="493">
        <v>0</v>
      </c>
      <c r="F32" s="494">
        <v>0</v>
      </c>
      <c r="G32" s="144"/>
    </row>
    <row r="33" spans="1:7" s="145" customFormat="1" x14ac:dyDescent="0.35">
      <c r="A33" s="231" t="s">
        <v>1664</v>
      </c>
      <c r="B33" s="554">
        <v>0.3385500000000003</v>
      </c>
      <c r="C33" s="141"/>
      <c r="D33" s="555">
        <v>2.0327759999999997</v>
      </c>
      <c r="E33" s="142"/>
      <c r="F33" s="554">
        <v>3.8029999999999999</v>
      </c>
      <c r="G33" s="141"/>
    </row>
    <row r="34" spans="1:7" s="145" customFormat="1" x14ac:dyDescent="0.35">
      <c r="A34" s="237" t="s">
        <v>1537</v>
      </c>
      <c r="B34" s="237">
        <v>38.402646571882769</v>
      </c>
      <c r="C34" s="156"/>
      <c r="D34" s="157">
        <v>8.887266637471896</v>
      </c>
      <c r="E34" s="157"/>
      <c r="F34" s="237">
        <v>7.8819134859043229</v>
      </c>
      <c r="G34" s="156"/>
    </row>
    <row r="35" spans="1:7" s="145" customFormat="1" x14ac:dyDescent="0.35">
      <c r="A35" s="232" t="s">
        <v>1536</v>
      </c>
      <c r="B35" s="232">
        <v>38.169933376212683</v>
      </c>
      <c r="C35" s="144"/>
      <c r="D35" s="145">
        <v>8.076204372018152</v>
      </c>
      <c r="F35" s="232">
        <v>6.3701481048130653</v>
      </c>
      <c r="G35" s="144"/>
    </row>
    <row r="36" spans="1:7" s="145" customFormat="1" x14ac:dyDescent="0.35">
      <c r="A36" s="232" t="s">
        <v>1535</v>
      </c>
      <c r="B36" s="232">
        <v>0.55581138523464202</v>
      </c>
      <c r="C36" s="144"/>
      <c r="D36" s="145">
        <v>1.9584652901260808</v>
      </c>
      <c r="F36" s="232">
        <v>3.6504582695503749</v>
      </c>
      <c r="G36" s="144"/>
    </row>
    <row r="37" spans="1:7" s="145" customFormat="1" x14ac:dyDescent="0.35">
      <c r="A37" s="232" t="s">
        <v>1534</v>
      </c>
      <c r="B37" s="232">
        <v>20.018012645930227</v>
      </c>
      <c r="C37" s="144"/>
      <c r="D37" s="145">
        <v>6.0342194209302464</v>
      </c>
      <c r="F37" s="232">
        <v>2.5956430220082325</v>
      </c>
      <c r="G37" s="144"/>
    </row>
    <row r="38" spans="1:7" s="145" customFormat="1" x14ac:dyDescent="0.35">
      <c r="A38" s="232" t="s">
        <v>1533</v>
      </c>
      <c r="B38" s="232">
        <v>17.596109345047815</v>
      </c>
      <c r="C38" s="144"/>
      <c r="D38" s="145">
        <v>8.3519660961824976E-2</v>
      </c>
      <c r="F38" s="232">
        <v>0.12404681325445777</v>
      </c>
      <c r="G38" s="144"/>
    </row>
    <row r="39" spans="1:7" s="48" customFormat="1" x14ac:dyDescent="0.35">
      <c r="A39" s="59" t="s">
        <v>1532</v>
      </c>
      <c r="B39" s="49">
        <v>473.3223796254764</v>
      </c>
      <c r="C39" s="43"/>
      <c r="D39" s="48">
        <v>418.89554284677064</v>
      </c>
      <c r="E39" s="44"/>
      <c r="F39" s="49">
        <v>758.23711405136942</v>
      </c>
      <c r="G39" s="43"/>
    </row>
    <row r="40" spans="1:7" s="145" customFormat="1" ht="13.15" x14ac:dyDescent="0.4">
      <c r="A40" s="390" t="s">
        <v>1663</v>
      </c>
      <c r="B40" s="387"/>
      <c r="C40" s="381"/>
      <c r="D40" s="382"/>
      <c r="E40" s="382"/>
      <c r="F40" s="387"/>
      <c r="G40" s="381"/>
    </row>
    <row r="41" spans="1:7" s="145" customFormat="1" x14ac:dyDescent="0.35">
      <c r="A41" s="232" t="s">
        <v>1525</v>
      </c>
      <c r="B41" s="232">
        <v>332.12841840389672</v>
      </c>
      <c r="C41" s="321">
        <v>5266.4</v>
      </c>
      <c r="D41" s="145">
        <v>85.152787207324451</v>
      </c>
      <c r="F41" s="232">
        <v>57.254687378351015</v>
      </c>
      <c r="G41" s="144"/>
    </row>
    <row r="42" spans="1:7" s="145" customFormat="1" x14ac:dyDescent="0.35">
      <c r="A42" s="232" t="s">
        <v>1524</v>
      </c>
      <c r="B42" s="232">
        <v>1723.5342707747895</v>
      </c>
      <c r="C42" s="144"/>
      <c r="D42" s="145">
        <v>315.32592151050471</v>
      </c>
      <c r="F42" s="232">
        <v>159.87981582784164</v>
      </c>
      <c r="G42" s="144"/>
    </row>
    <row r="43" spans="1:7" s="145" customFormat="1" x14ac:dyDescent="0.35">
      <c r="A43" s="232" t="s">
        <v>1523</v>
      </c>
      <c r="B43" s="232">
        <v>4102.582787518756</v>
      </c>
      <c r="C43" s="144"/>
      <c r="D43" s="145">
        <v>516.02799412835907</v>
      </c>
      <c r="F43" s="232">
        <v>359.07664859919117</v>
      </c>
      <c r="G43" s="144"/>
    </row>
    <row r="44" spans="1:7" s="145" customFormat="1" x14ac:dyDescent="0.35">
      <c r="A44" s="232" t="s">
        <v>1522</v>
      </c>
      <c r="B44" s="232">
        <v>698.9683706344631</v>
      </c>
      <c r="C44" s="144"/>
      <c r="D44" s="145">
        <v>51.549048634876215</v>
      </c>
      <c r="F44" s="232">
        <v>64.85286254215751</v>
      </c>
      <c r="G44" s="144"/>
    </row>
    <row r="45" spans="1:7" s="145" customFormat="1" x14ac:dyDescent="0.35">
      <c r="A45" s="232" t="s">
        <v>1521</v>
      </c>
      <c r="B45" s="232">
        <v>368.2211026998865</v>
      </c>
      <c r="C45" s="144"/>
      <c r="D45" s="145">
        <v>31.750410024825769</v>
      </c>
      <c r="F45" s="232">
        <v>28.225013475262461</v>
      </c>
      <c r="G45" s="144"/>
    </row>
    <row r="46" spans="1:7" s="145" customFormat="1" x14ac:dyDescent="0.35">
      <c r="A46" s="232" t="s">
        <v>1520</v>
      </c>
      <c r="B46" s="232">
        <v>11979.187604134375</v>
      </c>
      <c r="C46" s="144"/>
      <c r="D46" s="145">
        <v>571.6406882725305</v>
      </c>
      <c r="F46" s="232">
        <v>975.14239866728565</v>
      </c>
      <c r="G46" s="144"/>
    </row>
    <row r="47" spans="1:7" s="145" customFormat="1" x14ac:dyDescent="0.35">
      <c r="A47" s="232" t="s">
        <v>1519</v>
      </c>
      <c r="B47" s="232">
        <v>34.029646826450261</v>
      </c>
      <c r="C47" s="144"/>
      <c r="D47" s="145">
        <v>4.1302859839907411</v>
      </c>
      <c r="F47" s="232">
        <v>2.0906051440412288</v>
      </c>
      <c r="G47" s="144"/>
    </row>
    <row r="48" spans="1:7" s="145" customFormat="1" x14ac:dyDescent="0.35">
      <c r="A48" s="232" t="s">
        <v>1518</v>
      </c>
      <c r="B48" s="232">
        <v>49.343680445498634</v>
      </c>
      <c r="C48" s="144"/>
      <c r="D48" s="145">
        <v>9.6306176534964756</v>
      </c>
      <c r="F48" s="232">
        <v>4.9079357936485275</v>
      </c>
      <c r="G48" s="144"/>
    </row>
    <row r="49" spans="1:10" s="145" customFormat="1" x14ac:dyDescent="0.35">
      <c r="A49" s="232" t="s">
        <v>1531</v>
      </c>
      <c r="B49" s="232">
        <v>5611.732104758371</v>
      </c>
      <c r="C49" s="144"/>
      <c r="D49" s="145">
        <v>1482.6424485945054</v>
      </c>
      <c r="F49" s="232">
        <v>1011.385330080738</v>
      </c>
      <c r="G49" s="144"/>
    </row>
    <row r="50" spans="1:10" s="145" customFormat="1" x14ac:dyDescent="0.35">
      <c r="A50" s="232" t="s">
        <v>1530</v>
      </c>
      <c r="B50" s="232">
        <v>68.843692277610842</v>
      </c>
      <c r="C50" s="144"/>
      <c r="D50" s="145">
        <v>13.566269773055879</v>
      </c>
      <c r="F50" s="232">
        <v>8.1896040924619466</v>
      </c>
      <c r="G50" s="144"/>
    </row>
    <row r="51" spans="1:10" s="48" customFormat="1" x14ac:dyDescent="0.35">
      <c r="A51" s="45" t="s">
        <v>1529</v>
      </c>
      <c r="B51" s="389">
        <v>2752036.0681218887</v>
      </c>
      <c r="C51" s="43"/>
      <c r="D51" s="151">
        <v>560860.52549015847</v>
      </c>
      <c r="E51" s="44"/>
      <c r="F51" s="389">
        <v>529900.70739147265</v>
      </c>
      <c r="G51" s="43"/>
    </row>
    <row r="52" spans="1:10" s="145" customFormat="1" ht="13.15" x14ac:dyDescent="0.4">
      <c r="A52" s="388" t="s">
        <v>1662</v>
      </c>
      <c r="B52" s="411"/>
      <c r="C52" s="144"/>
      <c r="D52" s="148"/>
      <c r="F52" s="411"/>
      <c r="G52" s="144"/>
    </row>
    <row r="53" spans="1:10" s="145" customFormat="1" x14ac:dyDescent="0.35">
      <c r="A53" s="232" t="s">
        <v>1525</v>
      </c>
      <c r="B53" s="232">
        <v>37.491537922202191</v>
      </c>
      <c r="C53" s="144">
        <v>0</v>
      </c>
      <c r="D53" s="145">
        <v>4.7221783566277127</v>
      </c>
      <c r="E53" s="145">
        <v>0</v>
      </c>
      <c r="F53" s="232">
        <v>4.0765200582327736</v>
      </c>
      <c r="G53" s="144">
        <v>0</v>
      </c>
    </row>
    <row r="54" spans="1:10" s="145" customFormat="1" x14ac:dyDescent="0.35">
      <c r="A54" s="232" t="s">
        <v>1524</v>
      </c>
      <c r="B54" s="232">
        <v>76.305747963240748</v>
      </c>
      <c r="C54" s="144">
        <v>0</v>
      </c>
      <c r="D54" s="145">
        <v>29.294208853959134</v>
      </c>
      <c r="E54" s="145">
        <v>0</v>
      </c>
      <c r="F54" s="232">
        <v>31.903885627841984</v>
      </c>
      <c r="G54" s="144">
        <v>0</v>
      </c>
    </row>
    <row r="55" spans="1:10" s="145" customFormat="1" x14ac:dyDescent="0.35">
      <c r="A55" s="232" t="s">
        <v>1523</v>
      </c>
      <c r="B55" s="232">
        <v>114.95340232481092</v>
      </c>
      <c r="C55" s="144">
        <v>0</v>
      </c>
      <c r="D55" s="145">
        <v>59.306789404298101</v>
      </c>
      <c r="E55" s="145">
        <v>0</v>
      </c>
      <c r="F55" s="232">
        <v>83.556264900478482</v>
      </c>
      <c r="G55" s="144">
        <v>0</v>
      </c>
    </row>
    <row r="56" spans="1:10" s="145" customFormat="1" x14ac:dyDescent="0.35">
      <c r="A56" s="232" t="s">
        <v>1522</v>
      </c>
      <c r="B56" s="232">
        <v>8.8048251856592259</v>
      </c>
      <c r="C56" s="144">
        <v>0</v>
      </c>
      <c r="D56" s="145">
        <v>5.5708074181947627</v>
      </c>
      <c r="E56" s="145">
        <v>0</v>
      </c>
      <c r="F56" s="232">
        <v>10.297324780672239</v>
      </c>
      <c r="G56" s="144">
        <v>0</v>
      </c>
    </row>
    <row r="57" spans="1:10" s="145" customFormat="1" x14ac:dyDescent="0.35">
      <c r="A57" s="232" t="s">
        <v>1521</v>
      </c>
      <c r="B57" s="232">
        <v>7.0809944864501588</v>
      </c>
      <c r="C57" s="144">
        <v>0</v>
      </c>
      <c r="D57" s="145">
        <v>4.1093037732074489</v>
      </c>
      <c r="E57" s="145">
        <v>0</v>
      </c>
      <c r="F57" s="232">
        <v>7.5796229338767098</v>
      </c>
      <c r="G57" s="144">
        <v>0</v>
      </c>
    </row>
    <row r="58" spans="1:10" s="145" customFormat="1" x14ac:dyDescent="0.35">
      <c r="A58" s="232" t="s">
        <v>1520</v>
      </c>
      <c r="B58" s="232">
        <v>91.873012012120256</v>
      </c>
      <c r="C58" s="144">
        <v>0</v>
      </c>
      <c r="D58" s="145">
        <v>185.85435133741152</v>
      </c>
      <c r="E58" s="145">
        <v>0</v>
      </c>
      <c r="F58" s="232">
        <v>345.43139243555072</v>
      </c>
      <c r="G58" s="144">
        <v>0</v>
      </c>
    </row>
    <row r="59" spans="1:10" s="145" customFormat="1" x14ac:dyDescent="0.35">
      <c r="A59" s="232" t="s">
        <v>1519</v>
      </c>
      <c r="B59" s="232">
        <v>0.79660751911869598</v>
      </c>
      <c r="C59" s="144">
        <v>0</v>
      </c>
      <c r="D59" s="145">
        <v>0.25237722775772831</v>
      </c>
      <c r="E59" s="145">
        <v>0</v>
      </c>
      <c r="F59" s="232">
        <v>0.45156612319312089</v>
      </c>
      <c r="G59" s="144">
        <v>0</v>
      </c>
    </row>
    <row r="60" spans="1:10" s="145" customFormat="1" x14ac:dyDescent="0.35">
      <c r="A60" s="231" t="s">
        <v>1518</v>
      </c>
      <c r="B60" s="231">
        <v>1.2472137439993594</v>
      </c>
      <c r="C60" s="141">
        <v>0</v>
      </c>
      <c r="D60" s="142">
        <v>0.63870922626604965</v>
      </c>
      <c r="E60" s="142">
        <v>0</v>
      </c>
      <c r="F60" s="231">
        <v>1.1618529296438291</v>
      </c>
      <c r="G60" s="141">
        <v>0</v>
      </c>
    </row>
    <row r="61" spans="1:10" s="145" customFormat="1" x14ac:dyDescent="0.35"/>
    <row r="62" spans="1:10" s="145" customFormat="1" ht="13.9" x14ac:dyDescent="0.4">
      <c r="A62" s="386" t="s">
        <v>2137</v>
      </c>
    </row>
    <row r="63" spans="1:10" s="145" customFormat="1" ht="39.4" x14ac:dyDescent="0.4">
      <c r="A63" s="237"/>
      <c r="B63" s="398" t="s">
        <v>1227</v>
      </c>
      <c r="C63" s="398" t="s">
        <v>1226</v>
      </c>
      <c r="D63" s="384" t="s">
        <v>1225</v>
      </c>
      <c r="E63" s="2248" t="s">
        <v>2136</v>
      </c>
      <c r="F63" s="2248"/>
      <c r="G63" s="2250" t="s">
        <v>2135</v>
      </c>
      <c r="H63" s="2249"/>
      <c r="I63" s="2248" t="s">
        <v>331</v>
      </c>
      <c r="J63" s="2249"/>
    </row>
    <row r="64" spans="1:10" s="145" customFormat="1" ht="13.15" x14ac:dyDescent="0.4">
      <c r="A64" s="390" t="s">
        <v>2050</v>
      </c>
      <c r="B64" s="533"/>
      <c r="C64" s="237"/>
      <c r="D64" s="156"/>
      <c r="E64" s="461" t="s">
        <v>1873</v>
      </c>
      <c r="F64" s="382" t="s">
        <v>1872</v>
      </c>
      <c r="G64" s="407" t="s">
        <v>1873</v>
      </c>
      <c r="H64" s="381" t="s">
        <v>1872</v>
      </c>
      <c r="I64" s="461" t="s">
        <v>1873</v>
      </c>
      <c r="J64" s="381" t="s">
        <v>1872</v>
      </c>
    </row>
    <row r="65" spans="1:10" s="145" customFormat="1" x14ac:dyDescent="0.35">
      <c r="A65" s="232" t="s">
        <v>1537</v>
      </c>
      <c r="B65" s="232">
        <v>38.402646571882769</v>
      </c>
      <c r="C65" s="232">
        <v>8.887266637471896</v>
      </c>
      <c r="D65" s="144">
        <v>7.8819134859043229</v>
      </c>
      <c r="E65" s="144">
        <v>47.289913209354665</v>
      </c>
      <c r="F65" s="145">
        <v>2.3644956604677334E-2</v>
      </c>
      <c r="G65" s="146">
        <v>47.705496051561148</v>
      </c>
      <c r="H65" s="144">
        <v>2.3852748025780576E-2</v>
      </c>
      <c r="I65" s="144">
        <v>47.335627321997379</v>
      </c>
      <c r="J65" s="144">
        <v>2.3667813660998689E-2</v>
      </c>
    </row>
    <row r="66" spans="1:10" s="145" customFormat="1" x14ac:dyDescent="0.35">
      <c r="A66" s="232" t="s">
        <v>1536</v>
      </c>
      <c r="B66" s="232">
        <v>38.169933376212683</v>
      </c>
      <c r="C66" s="232">
        <v>8.076204372018152</v>
      </c>
      <c r="D66" s="144">
        <v>6.3701481048130653</v>
      </c>
      <c r="E66" s="144">
        <v>46.246137748230836</v>
      </c>
      <c r="F66" s="145">
        <v>2.3123068874115419E-2</v>
      </c>
      <c r="G66" s="146">
        <v>45.907461982493238</v>
      </c>
      <c r="H66" s="144">
        <v>2.2953730991246618E-2</v>
      </c>
      <c r="I66" s="144">
        <v>46.2088834139997</v>
      </c>
      <c r="J66" s="144">
        <v>2.3104441706999851E-2</v>
      </c>
    </row>
    <row r="67" spans="1:10" s="145" customFormat="1" x14ac:dyDescent="0.35">
      <c r="A67" s="232" t="s">
        <v>1535</v>
      </c>
      <c r="B67" s="232">
        <v>0.55581138523464202</v>
      </c>
      <c r="C67" s="232">
        <v>1.9584652901260808</v>
      </c>
      <c r="D67" s="144">
        <v>3.6504582695503749</v>
      </c>
      <c r="E67" s="144">
        <v>2.5142766753607226</v>
      </c>
      <c r="F67" s="145">
        <v>1.2571383376803614E-3</v>
      </c>
      <c r="G67" s="146">
        <v>4.3354021331869168</v>
      </c>
      <c r="H67" s="144">
        <v>2.1677010665934584E-3</v>
      </c>
      <c r="I67" s="144">
        <v>2.7146004757216042</v>
      </c>
      <c r="J67" s="144">
        <v>1.3573002378608021E-3</v>
      </c>
    </row>
    <row r="68" spans="1:10" s="145" customFormat="1" x14ac:dyDescent="0.35">
      <c r="A68" s="232" t="s">
        <v>1534</v>
      </c>
      <c r="B68" s="232">
        <v>20.018012645930227</v>
      </c>
      <c r="C68" s="232">
        <v>6.0342194209302464</v>
      </c>
      <c r="D68" s="144">
        <v>2.5956430220082325</v>
      </c>
      <c r="E68" s="144">
        <v>26.052232066860473</v>
      </c>
      <c r="F68" s="145">
        <v>1.3026116033430239E-2</v>
      </c>
      <c r="G68" s="146">
        <v>23.30789489694417</v>
      </c>
      <c r="H68" s="144">
        <v>1.1653947448472085E-2</v>
      </c>
      <c r="I68" s="144">
        <v>25.750354978169682</v>
      </c>
      <c r="J68" s="144">
        <v>1.2875177489084838E-2</v>
      </c>
    </row>
    <row r="69" spans="1:10" s="145" customFormat="1" x14ac:dyDescent="0.35">
      <c r="A69" s="232" t="s">
        <v>1533</v>
      </c>
      <c r="B69" s="232">
        <v>17.596109345047815</v>
      </c>
      <c r="C69" s="232">
        <v>8.3519660961824976E-2</v>
      </c>
      <c r="D69" s="144">
        <v>0.12404681325445777</v>
      </c>
      <c r="E69" s="144">
        <v>17.679629006009641</v>
      </c>
      <c r="F69" s="145">
        <v>8.8398145030048197E-3</v>
      </c>
      <c r="G69" s="146">
        <v>18.264164952362151</v>
      </c>
      <c r="H69" s="144">
        <v>9.1320824761810752E-3</v>
      </c>
      <c r="I69" s="144">
        <v>17.743927960108419</v>
      </c>
      <c r="J69" s="144">
        <v>8.8719639800542097E-3</v>
      </c>
    </row>
    <row r="70" spans="1:10" s="145" customFormat="1" x14ac:dyDescent="0.35">
      <c r="A70" s="231" t="s">
        <v>1532</v>
      </c>
      <c r="B70" s="49">
        <v>473.3223796254764</v>
      </c>
      <c r="C70" s="49">
        <v>418.89554284677064</v>
      </c>
      <c r="D70" s="47">
        <v>758.23711405136942</v>
      </c>
      <c r="E70" s="47">
        <v>892.21792247224698</v>
      </c>
      <c r="F70" s="48">
        <v>0.44610896123612348</v>
      </c>
      <c r="G70" s="155">
        <v>1269.368370132725</v>
      </c>
      <c r="H70" s="144">
        <v>0.63468418506636248</v>
      </c>
      <c r="I70" s="47">
        <v>933.70447171489957</v>
      </c>
      <c r="J70" s="144">
        <v>0.46685223585744978</v>
      </c>
    </row>
    <row r="71" spans="1:10" s="145" customFormat="1" ht="13.15" x14ac:dyDescent="0.4">
      <c r="A71" s="390" t="s">
        <v>1564</v>
      </c>
      <c r="B71" s="390"/>
      <c r="C71" s="390"/>
      <c r="D71" s="553"/>
      <c r="E71" s="381" t="s">
        <v>1873</v>
      </c>
      <c r="F71" s="382" t="s">
        <v>1872</v>
      </c>
      <c r="G71" s="429" t="s">
        <v>1873</v>
      </c>
      <c r="H71" s="381" t="s">
        <v>1872</v>
      </c>
      <c r="I71" s="381" t="s">
        <v>1873</v>
      </c>
      <c r="J71" s="381" t="s">
        <v>1872</v>
      </c>
    </row>
    <row r="72" spans="1:10" s="145" customFormat="1" x14ac:dyDescent="0.35">
      <c r="A72" s="232" t="s">
        <v>1525</v>
      </c>
      <c r="B72" s="232">
        <v>5598.5284184038965</v>
      </c>
      <c r="C72" s="232">
        <v>85.152787207324451</v>
      </c>
      <c r="D72" s="144">
        <v>57.254687378351015</v>
      </c>
      <c r="E72" s="144">
        <v>5683.6812056112212</v>
      </c>
      <c r="F72" s="145">
        <v>2.8418406028056107</v>
      </c>
      <c r="G72" s="146">
        <v>5829.415647129762</v>
      </c>
      <c r="H72" s="144">
        <v>2.9147078235648811</v>
      </c>
      <c r="I72" s="144">
        <v>5699.7119941782603</v>
      </c>
      <c r="J72" s="144">
        <v>2.8498559970891302</v>
      </c>
    </row>
    <row r="73" spans="1:10" s="145" customFormat="1" x14ac:dyDescent="0.35">
      <c r="A73" s="232" t="s">
        <v>1524</v>
      </c>
      <c r="B73" s="232">
        <v>1723.5342707747895</v>
      </c>
      <c r="C73" s="232">
        <v>315.32592151050471</v>
      </c>
      <c r="D73" s="144">
        <v>159.87981582784164</v>
      </c>
      <c r="E73" s="144">
        <v>2038.8601922852943</v>
      </c>
      <c r="F73" s="145">
        <v>1.0194300961426472</v>
      </c>
      <c r="G73" s="146">
        <v>1941.2348990613318</v>
      </c>
      <c r="H73" s="144">
        <v>0.97061744953066587</v>
      </c>
      <c r="I73" s="144">
        <v>2028.1214100306586</v>
      </c>
      <c r="J73" s="144">
        <v>1.0140607050153292</v>
      </c>
    </row>
    <row r="74" spans="1:10" s="145" customFormat="1" x14ac:dyDescent="0.35">
      <c r="A74" s="232" t="s">
        <v>1563</v>
      </c>
      <c r="B74" s="232">
        <v>4102.582787518756</v>
      </c>
      <c r="C74" s="232">
        <v>516.02799412835907</v>
      </c>
      <c r="D74" s="144">
        <v>359.07664859919117</v>
      </c>
      <c r="E74" s="144">
        <v>4618.6107816471149</v>
      </c>
      <c r="F74" s="145">
        <v>2.3093053908235572</v>
      </c>
      <c r="G74" s="146">
        <v>4598.6323808067682</v>
      </c>
      <c r="H74" s="144">
        <v>2.2993161904033843</v>
      </c>
      <c r="I74" s="144">
        <v>4616.4131575546771</v>
      </c>
      <c r="J74" s="144">
        <v>2.3082065787773387</v>
      </c>
    </row>
    <row r="75" spans="1:10" s="145" customFormat="1" x14ac:dyDescent="0.35">
      <c r="A75" s="232" t="s">
        <v>1522</v>
      </c>
      <c r="B75" s="232">
        <v>698.9683706344631</v>
      </c>
      <c r="C75" s="232">
        <v>51.549048634876215</v>
      </c>
      <c r="D75" s="144">
        <v>64.85286254215751</v>
      </c>
      <c r="E75" s="144">
        <v>750.51741926933937</v>
      </c>
      <c r="F75" s="145">
        <v>0.37525870963466967</v>
      </c>
      <c r="G75" s="146">
        <v>787.27054503514285</v>
      </c>
      <c r="H75" s="144">
        <v>0.39363527251757141</v>
      </c>
      <c r="I75" s="144">
        <v>754.56026310357777</v>
      </c>
      <c r="J75" s="144">
        <v>0.37728013155178891</v>
      </c>
    </row>
    <row r="76" spans="1:10" s="145" customFormat="1" x14ac:dyDescent="0.35">
      <c r="A76" s="232" t="s">
        <v>1521</v>
      </c>
      <c r="B76" s="232">
        <v>368.2211026998865</v>
      </c>
      <c r="C76" s="232">
        <v>31.750410024825769</v>
      </c>
      <c r="D76" s="144">
        <v>28.225013475262461</v>
      </c>
      <c r="E76" s="144">
        <v>399.97151272471228</v>
      </c>
      <c r="F76" s="145">
        <v>0.19998575636235613</v>
      </c>
      <c r="G76" s="146">
        <v>408.61701194172605</v>
      </c>
      <c r="H76" s="144">
        <v>0.20430850597086303</v>
      </c>
      <c r="I76" s="144">
        <v>400.92251763858383</v>
      </c>
      <c r="J76" s="144">
        <v>0.20046125881929192</v>
      </c>
    </row>
    <row r="77" spans="1:10" s="145" customFormat="1" x14ac:dyDescent="0.35">
      <c r="A77" s="232" t="s">
        <v>1520</v>
      </c>
      <c r="B77" s="232">
        <v>11979.187604134375</v>
      </c>
      <c r="C77" s="232">
        <v>571.6406882725305</v>
      </c>
      <c r="D77" s="144">
        <v>975.14239866728565</v>
      </c>
      <c r="E77" s="144">
        <v>12550.828292406906</v>
      </c>
      <c r="F77" s="145">
        <v>6.2754141462034534</v>
      </c>
      <c r="G77" s="146">
        <v>13352.02793388767</v>
      </c>
      <c r="H77" s="144">
        <v>6.6760139669438345</v>
      </c>
      <c r="I77" s="144">
        <v>12638.960252969791</v>
      </c>
      <c r="J77" s="144">
        <v>6.3194801264848959</v>
      </c>
    </row>
    <row r="78" spans="1:10" s="145" customFormat="1" x14ac:dyDescent="0.35">
      <c r="A78" s="232" t="s">
        <v>1519</v>
      </c>
      <c r="B78" s="232">
        <v>34.029646826450261</v>
      </c>
      <c r="C78" s="232">
        <v>4.1302859839907411</v>
      </c>
      <c r="D78" s="144">
        <v>2.0906051440412288</v>
      </c>
      <c r="E78" s="144">
        <v>38.159932810440999</v>
      </c>
      <c r="F78" s="145">
        <v>1.90799664052205E-2</v>
      </c>
      <c r="G78" s="146">
        <v>37.229143705985578</v>
      </c>
      <c r="H78" s="144">
        <v>1.8614571852992787E-2</v>
      </c>
      <c r="I78" s="144">
        <v>38.057546008950908</v>
      </c>
      <c r="J78" s="144">
        <v>1.9028773004475454E-2</v>
      </c>
    </row>
    <row r="79" spans="1:10" s="145" customFormat="1" x14ac:dyDescent="0.35">
      <c r="A79" s="232" t="s">
        <v>1518</v>
      </c>
      <c r="B79" s="232">
        <v>49.343680445498634</v>
      </c>
      <c r="C79" s="232">
        <v>9.6306176534964756</v>
      </c>
      <c r="D79" s="144">
        <v>4.9079357936485275</v>
      </c>
      <c r="E79" s="144">
        <v>58.974298098995106</v>
      </c>
      <c r="F79" s="145">
        <v>2.9487149049497553E-2</v>
      </c>
      <c r="G79" s="146">
        <v>55.917140857688977</v>
      </c>
      <c r="H79" s="144">
        <v>2.795857042884449E-2</v>
      </c>
      <c r="I79" s="144">
        <v>58.638010802451433</v>
      </c>
      <c r="J79" s="144">
        <v>2.9319005401225718E-2</v>
      </c>
    </row>
    <row r="80" spans="1:10" s="145" customFormat="1" x14ac:dyDescent="0.35">
      <c r="A80" s="232" t="s">
        <v>1531</v>
      </c>
      <c r="B80" s="232">
        <v>5611.732104758371</v>
      </c>
      <c r="C80" s="232">
        <v>1482.6424485945054</v>
      </c>
      <c r="D80" s="144">
        <v>1011.385330080738</v>
      </c>
      <c r="E80" s="144">
        <v>7094.3745533528763</v>
      </c>
      <c r="F80" s="145">
        <v>3.5471872766764383</v>
      </c>
      <c r="G80" s="146">
        <v>6826.4471400886687</v>
      </c>
      <c r="H80" s="144">
        <v>3.4132235700443343</v>
      </c>
      <c r="I80" s="144">
        <v>7064.9025378938131</v>
      </c>
      <c r="J80" s="144">
        <v>3.5324512689469065</v>
      </c>
    </row>
    <row r="81" spans="1:10" s="145" customFormat="1" x14ac:dyDescent="0.35">
      <c r="A81" s="232" t="s">
        <v>1530</v>
      </c>
      <c r="B81" s="411">
        <v>68.843692277610842</v>
      </c>
      <c r="C81" s="411">
        <v>13.566269773055879</v>
      </c>
      <c r="D81" s="147">
        <v>8.1896040924619466</v>
      </c>
      <c r="E81" s="144">
        <v>82.409962050666721</v>
      </c>
      <c r="F81" s="145">
        <v>4.1204981025333362E-2</v>
      </c>
      <c r="G81" s="146">
        <v>79.398218568634022</v>
      </c>
      <c r="H81" s="144">
        <v>3.9699109284317011E-2</v>
      </c>
      <c r="I81" s="144">
        <v>82.078670267643119</v>
      </c>
      <c r="J81" s="144">
        <v>4.1039335133821561E-2</v>
      </c>
    </row>
    <row r="82" spans="1:10" s="48" customFormat="1" x14ac:dyDescent="0.35">
      <c r="A82" s="49" t="s">
        <v>1529</v>
      </c>
      <c r="B82" s="240">
        <v>2752036.0681218887</v>
      </c>
      <c r="C82" s="240">
        <v>560860.52549015847</v>
      </c>
      <c r="D82" s="153">
        <v>529900.70739147265</v>
      </c>
      <c r="E82" s="153">
        <v>3312896.5936120469</v>
      </c>
      <c r="F82" s="154">
        <v>1656.4482968060236</v>
      </c>
      <c r="G82" s="239">
        <v>3382692.2345216209</v>
      </c>
      <c r="H82" s="153">
        <v>1691.3461172608104</v>
      </c>
      <c r="I82" s="153">
        <v>3320574.1141121001</v>
      </c>
      <c r="J82" s="153">
        <v>1660.2870570560501</v>
      </c>
    </row>
    <row r="83" spans="1:10" s="48" customFormat="1" x14ac:dyDescent="0.35">
      <c r="A83" s="49" t="s">
        <v>1528</v>
      </c>
      <c r="B83" s="240">
        <v>2772193.2260228456</v>
      </c>
      <c r="C83" s="240">
        <v>561621.43050599494</v>
      </c>
      <c r="D83" s="153">
        <v>530330.39087772183</v>
      </c>
      <c r="E83" s="153">
        <v>3333814.6565288408</v>
      </c>
      <c r="F83" s="154">
        <v>1666.9073282644204</v>
      </c>
      <c r="G83" s="239">
        <v>3403911.0919394149</v>
      </c>
      <c r="H83" s="153">
        <v>1701.9555459697074</v>
      </c>
      <c r="I83" s="153">
        <v>3341525.2644240041</v>
      </c>
      <c r="J83" s="153">
        <v>1670.762632212002</v>
      </c>
    </row>
    <row r="84" spans="1:10" s="48" customFormat="1" x14ac:dyDescent="0.35">
      <c r="A84" s="45" t="s">
        <v>1527</v>
      </c>
      <c r="B84" s="240">
        <v>2958788.7676191637</v>
      </c>
      <c r="C84" s="240">
        <v>609695.76545368996</v>
      </c>
      <c r="D84" s="153">
        <v>562842.19586464635</v>
      </c>
      <c r="E84" s="150">
        <v>3568484.5330728539</v>
      </c>
      <c r="F84" s="151">
        <v>1784.2422665364268</v>
      </c>
      <c r="G84" s="435">
        <v>3629745.0340627627</v>
      </c>
      <c r="H84" s="150">
        <v>1814.8725170313814</v>
      </c>
      <c r="I84" s="150">
        <v>3575223.188181744</v>
      </c>
      <c r="J84" s="150">
        <v>1787.6115940908719</v>
      </c>
    </row>
    <row r="85" spans="1:10" s="145" customFormat="1" ht="13.15" x14ac:dyDescent="0.4">
      <c r="A85" s="388" t="s">
        <v>1562</v>
      </c>
      <c r="B85" s="237"/>
      <c r="C85" s="237"/>
      <c r="D85" s="156"/>
      <c r="E85" s="381" t="s">
        <v>1873</v>
      </c>
      <c r="F85" s="403" t="s">
        <v>1872</v>
      </c>
      <c r="G85" s="429" t="s">
        <v>1873</v>
      </c>
      <c r="H85" s="402" t="s">
        <v>1872</v>
      </c>
      <c r="I85" s="381" t="s">
        <v>1873</v>
      </c>
      <c r="J85" s="402" t="s">
        <v>1872</v>
      </c>
    </row>
    <row r="86" spans="1:10" s="145" customFormat="1" x14ac:dyDescent="0.35">
      <c r="A86" s="232" t="s">
        <v>1525</v>
      </c>
      <c r="B86" s="232">
        <v>37.491537922202191</v>
      </c>
      <c r="C86" s="232">
        <v>4.7221783566277127</v>
      </c>
      <c r="D86" s="144">
        <v>4.0765200582327736</v>
      </c>
      <c r="E86" s="144">
        <v>42.213716278829907</v>
      </c>
      <c r="F86" s="145">
        <v>2.1106858139414954E-2</v>
      </c>
      <c r="G86" s="146">
        <v>42.844197360434315</v>
      </c>
      <c r="H86" s="144">
        <v>2.1422098680217157E-2</v>
      </c>
      <c r="I86" s="144">
        <v>42.283069197806391</v>
      </c>
      <c r="J86" s="144">
        <v>2.1141534598903194E-2</v>
      </c>
    </row>
    <row r="87" spans="1:10" s="145" customFormat="1" x14ac:dyDescent="0.35">
      <c r="A87" s="232" t="s">
        <v>1524</v>
      </c>
      <c r="B87" s="232">
        <v>76.305747963240748</v>
      </c>
      <c r="C87" s="232">
        <v>29.294208853959134</v>
      </c>
      <c r="D87" s="144">
        <v>31.903885627841984</v>
      </c>
      <c r="E87" s="144">
        <v>105.59995681719988</v>
      </c>
      <c r="F87" s="145">
        <v>5.2799978408599943E-2</v>
      </c>
      <c r="G87" s="146">
        <v>111.53166934232897</v>
      </c>
      <c r="H87" s="144">
        <v>5.5765834671164485E-2</v>
      </c>
      <c r="I87" s="144">
        <v>106.25244519496408</v>
      </c>
      <c r="J87" s="144">
        <v>5.3126222597482044E-2</v>
      </c>
    </row>
    <row r="88" spans="1:10" s="145" customFormat="1" x14ac:dyDescent="0.35">
      <c r="A88" s="232" t="s">
        <v>1523</v>
      </c>
      <c r="B88" s="232">
        <v>114.95340232481092</v>
      </c>
      <c r="C88" s="232">
        <v>59.306789404298101</v>
      </c>
      <c r="D88" s="144">
        <v>83.556264900478482</v>
      </c>
      <c r="E88" s="144">
        <v>174.26019172910901</v>
      </c>
      <c r="F88" s="145">
        <v>8.7130095864554502E-2</v>
      </c>
      <c r="G88" s="146">
        <v>204.60391400910578</v>
      </c>
      <c r="H88" s="144">
        <v>0.10230195700455288</v>
      </c>
      <c r="I88" s="144">
        <v>177.59800117990866</v>
      </c>
      <c r="J88" s="144">
        <v>8.8799000589954338E-2</v>
      </c>
    </row>
    <row r="89" spans="1:10" s="145" customFormat="1" x14ac:dyDescent="0.35">
      <c r="A89" s="232" t="s">
        <v>1522</v>
      </c>
      <c r="B89" s="232">
        <v>8.8048251856592259</v>
      </c>
      <c r="C89" s="232">
        <v>5.5708074181947627</v>
      </c>
      <c r="D89" s="144">
        <v>10.297324780672239</v>
      </c>
      <c r="E89" s="144">
        <v>14.375632603853989</v>
      </c>
      <c r="F89" s="145">
        <v>7.1878163019269943E-3</v>
      </c>
      <c r="G89" s="146">
        <v>19.68858597029784</v>
      </c>
      <c r="H89" s="144">
        <v>9.8442929851489201E-3</v>
      </c>
      <c r="I89" s="144">
        <v>14.960057474162811</v>
      </c>
      <c r="J89" s="144">
        <v>7.480028737081406E-3</v>
      </c>
    </row>
    <row r="90" spans="1:10" s="145" customFormat="1" x14ac:dyDescent="0.35">
      <c r="A90" s="232" t="s">
        <v>1521</v>
      </c>
      <c r="B90" s="232">
        <v>7.0809944864501588</v>
      </c>
      <c r="C90" s="232">
        <v>4.1093037732074489</v>
      </c>
      <c r="D90" s="144">
        <v>7.5796229338767098</v>
      </c>
      <c r="E90" s="144">
        <v>11.190298259657608</v>
      </c>
      <c r="F90" s="145">
        <v>5.5951491298288037E-3</v>
      </c>
      <c r="G90" s="146">
        <v>15.110698375130902</v>
      </c>
      <c r="H90" s="144">
        <v>7.5553491875654504E-3</v>
      </c>
      <c r="I90" s="144">
        <v>11.621542272359671</v>
      </c>
      <c r="J90" s="144">
        <v>5.8107711361798349E-3</v>
      </c>
    </row>
    <row r="91" spans="1:10" s="145" customFormat="1" x14ac:dyDescent="0.35">
      <c r="A91" s="232" t="s">
        <v>1520</v>
      </c>
      <c r="B91" s="232">
        <v>91.873012012120256</v>
      </c>
      <c r="C91" s="232">
        <v>185.85435133741152</v>
      </c>
      <c r="D91" s="144">
        <v>345.43139243555072</v>
      </c>
      <c r="E91" s="144">
        <v>277.72736334953174</v>
      </c>
      <c r="F91" s="145">
        <v>0.13886368167476587</v>
      </c>
      <c r="G91" s="146">
        <v>450.72964966421449</v>
      </c>
      <c r="H91" s="144">
        <v>0.22536482483210724</v>
      </c>
      <c r="I91" s="144">
        <v>296.75761484414687</v>
      </c>
      <c r="J91" s="144">
        <v>0.14837880742207343</v>
      </c>
    </row>
    <row r="92" spans="1:10" s="145" customFormat="1" x14ac:dyDescent="0.35">
      <c r="A92" s="232" t="s">
        <v>1519</v>
      </c>
      <c r="B92" s="232">
        <v>0.79660751911869598</v>
      </c>
      <c r="C92" s="232">
        <v>0.25237722775772831</v>
      </c>
      <c r="D92" s="144">
        <v>0.45156612319312089</v>
      </c>
      <c r="E92" s="144">
        <v>1.0489847468764242</v>
      </c>
      <c r="F92" s="145">
        <v>5.2449237343821209E-4</v>
      </c>
      <c r="G92" s="146">
        <v>1.2864925731307895</v>
      </c>
      <c r="H92" s="144">
        <v>6.4324628656539477E-4</v>
      </c>
      <c r="I92" s="144">
        <v>1.0751106077644044</v>
      </c>
      <c r="J92" s="144">
        <v>5.3755530388220217E-4</v>
      </c>
    </row>
    <row r="93" spans="1:10" s="145" customFormat="1" x14ac:dyDescent="0.35">
      <c r="A93" s="231" t="s">
        <v>1518</v>
      </c>
      <c r="B93" s="231">
        <v>1.2472137439993594</v>
      </c>
      <c r="C93" s="231">
        <v>0.63870922626604965</v>
      </c>
      <c r="D93" s="141">
        <v>1.1618529296438291</v>
      </c>
      <c r="E93" s="141">
        <v>1.885922970265409</v>
      </c>
      <c r="F93" s="142">
        <v>9.4296148513270449E-4</v>
      </c>
      <c r="G93" s="143">
        <v>2.4830250205240345</v>
      </c>
      <c r="H93" s="141">
        <v>1.2415125102620173E-3</v>
      </c>
      <c r="I93" s="141">
        <v>1.9516041957938577</v>
      </c>
      <c r="J93" s="141">
        <v>9.7580209789692885E-4</v>
      </c>
    </row>
  </sheetData>
  <mergeCells count="6">
    <mergeCell ref="I63:J63"/>
    <mergeCell ref="B18:C18"/>
    <mergeCell ref="D18:E18"/>
    <mergeCell ref="F18:G18"/>
    <mergeCell ref="E63:F63"/>
    <mergeCell ref="G63:H63"/>
  </mergeCells>
  <pageMargins left="0.75" right="0.75" top="1" bottom="1" header="0.5" footer="0.5"/>
  <pageSetup orientation="landscape" r:id="rId1"/>
  <headerFooter alignWithMargins="0">
    <oddHeader>&amp;A</oddHeader>
    <oddFooter>Page &amp;P</odd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I255"/>
  <sheetViews>
    <sheetView showGridLines="0" zoomScale="85" zoomScaleNormal="85" workbookViewId="0">
      <selection activeCell="G1" sqref="G1"/>
    </sheetView>
  </sheetViews>
  <sheetFormatPr defaultColWidth="9.1328125" defaultRowHeight="12.75" x14ac:dyDescent="0.35"/>
  <cols>
    <col min="1" max="1" width="30.46484375" style="39" customWidth="1"/>
    <col min="2" max="4" width="12.796875" style="39" bestFit="1" customWidth="1"/>
    <col min="5" max="5" width="10.46484375" style="39" customWidth="1"/>
    <col min="6" max="11" width="12.796875" style="39" bestFit="1" customWidth="1"/>
    <col min="12" max="12" width="10.19921875" style="39" bestFit="1" customWidth="1"/>
    <col min="13" max="13" width="9.46484375" style="39" bestFit="1" customWidth="1"/>
    <col min="14" max="14" width="10.19921875" style="39" bestFit="1" customWidth="1"/>
    <col min="15" max="15" width="10.1328125" style="39" bestFit="1" customWidth="1"/>
    <col min="16" max="16" width="11.19921875" style="39" bestFit="1" customWidth="1"/>
    <col min="17" max="31" width="9.46484375" style="39" bestFit="1" customWidth="1"/>
    <col min="32" max="37" width="11.19921875" style="39" bestFit="1" customWidth="1"/>
    <col min="38" max="38" width="12.796875" style="39" bestFit="1" customWidth="1"/>
    <col min="39" max="47" width="11.19921875" style="39" bestFit="1" customWidth="1"/>
    <col min="48" max="48" width="12.796875" style="39" bestFit="1" customWidth="1"/>
    <col min="49" max="50" width="11.19921875" style="39" bestFit="1" customWidth="1"/>
    <col min="51" max="51" width="12.796875" style="39" bestFit="1" customWidth="1"/>
    <col min="52" max="56" width="11.19921875" style="39" bestFit="1" customWidth="1"/>
    <col min="57" max="57" width="12.796875" style="39" bestFit="1" customWidth="1"/>
    <col min="58" max="61" width="11.19921875" style="39" bestFit="1" customWidth="1"/>
    <col min="62" max="62" width="9.19921875" style="39" bestFit="1" customWidth="1"/>
    <col min="63" max="16384" width="9.1328125" style="39"/>
  </cols>
  <sheetData>
    <row r="1" spans="1:13" ht="15" x14ac:dyDescent="0.4">
      <c r="A1" s="140" t="s">
        <v>1918</v>
      </c>
      <c r="G1" s="230" t="s">
        <v>1626</v>
      </c>
    </row>
    <row r="2" spans="1:13" ht="13.15" x14ac:dyDescent="0.4">
      <c r="A2" s="41"/>
    </row>
    <row r="3" spans="1:13" ht="13.9" x14ac:dyDescent="0.4">
      <c r="A3" s="72" t="s">
        <v>1775</v>
      </c>
    </row>
    <row r="4" spans="1:13" ht="13.15" x14ac:dyDescent="0.4">
      <c r="A4" s="41" t="s">
        <v>1917</v>
      </c>
    </row>
    <row r="5" spans="1:13" ht="25.9" x14ac:dyDescent="0.4">
      <c r="A5" s="221"/>
      <c r="B5" s="134" t="s">
        <v>1429</v>
      </c>
      <c r="C5" s="133" t="s">
        <v>1428</v>
      </c>
    </row>
    <row r="6" spans="1:13" x14ac:dyDescent="0.35">
      <c r="A6" s="368" t="s">
        <v>234</v>
      </c>
      <c r="B6" s="426">
        <v>0.73599999999999999</v>
      </c>
      <c r="C6" s="425">
        <v>0.26400000000000001</v>
      </c>
    </row>
    <row r="7" spans="1:13" x14ac:dyDescent="0.35">
      <c r="A7" s="110" t="s">
        <v>289</v>
      </c>
      <c r="B7" s="420">
        <v>0.89</v>
      </c>
      <c r="C7" s="424">
        <v>0.10999999999999999</v>
      </c>
    </row>
    <row r="8" spans="1:13" x14ac:dyDescent="0.35">
      <c r="A8" s="110" t="s">
        <v>290</v>
      </c>
      <c r="B8" s="420">
        <v>0.15</v>
      </c>
      <c r="C8" s="424">
        <v>0.85</v>
      </c>
    </row>
    <row r="9" spans="1:13" x14ac:dyDescent="0.35">
      <c r="A9" s="110" t="s">
        <v>236</v>
      </c>
      <c r="B9" s="420">
        <v>0.27</v>
      </c>
      <c r="C9" s="424">
        <v>0.73</v>
      </c>
    </row>
    <row r="10" spans="1:13" x14ac:dyDescent="0.35">
      <c r="A10" s="108" t="s">
        <v>237</v>
      </c>
      <c r="B10" s="423">
        <v>0.56000000000000005</v>
      </c>
      <c r="C10" s="422">
        <v>0.43999999999999995</v>
      </c>
    </row>
    <row r="11" spans="1:13" x14ac:dyDescent="0.35">
      <c r="A11" s="216"/>
      <c r="B11" s="420"/>
      <c r="C11" s="420"/>
    </row>
    <row r="12" spans="1:13" ht="13.15" x14ac:dyDescent="0.4">
      <c r="A12" s="41" t="s">
        <v>1916</v>
      </c>
      <c r="H12" s="421"/>
    </row>
    <row r="13" spans="1:13" ht="25.5" x14ac:dyDescent="0.35">
      <c r="A13" s="87" t="s">
        <v>1415</v>
      </c>
      <c r="B13" s="103" t="s">
        <v>1414</v>
      </c>
      <c r="C13" s="86" t="s">
        <v>1425</v>
      </c>
      <c r="G13" s="421"/>
    </row>
    <row r="14" spans="1:13" x14ac:dyDescent="0.35">
      <c r="A14" s="412">
        <v>0.21099999999999999</v>
      </c>
      <c r="B14" s="194">
        <v>0.191</v>
      </c>
      <c r="C14" s="193">
        <v>0.59800000000000009</v>
      </c>
      <c r="G14" s="421"/>
    </row>
    <row r="15" spans="1:13" x14ac:dyDescent="0.35">
      <c r="A15" s="197"/>
      <c r="B15" s="197"/>
      <c r="C15" s="197"/>
      <c r="G15" s="421"/>
    </row>
    <row r="16" spans="1:13" ht="13.15" x14ac:dyDescent="0.4">
      <c r="A16" s="41" t="s">
        <v>1915</v>
      </c>
      <c r="F16" s="120"/>
      <c r="G16" s="120"/>
      <c r="H16" s="421"/>
      <c r="K16" s="120"/>
      <c r="L16" s="120"/>
      <c r="M16" s="120"/>
    </row>
    <row r="17" spans="1:16" x14ac:dyDescent="0.35">
      <c r="A17" s="87" t="s">
        <v>288</v>
      </c>
      <c r="B17" s="86" t="s">
        <v>1417</v>
      </c>
      <c r="C17" s="120"/>
      <c r="E17" s="120"/>
      <c r="F17" s="120"/>
      <c r="G17" s="421"/>
      <c r="J17" s="120"/>
      <c r="K17" s="120"/>
      <c r="L17" s="120"/>
    </row>
    <row r="18" spans="1:16" x14ac:dyDescent="0.35">
      <c r="A18" s="412">
        <v>0.85</v>
      </c>
      <c r="B18" s="193">
        <v>0.15000000000000002</v>
      </c>
      <c r="C18" s="120"/>
      <c r="E18" s="120"/>
      <c r="F18" s="120"/>
      <c r="G18" s="421"/>
      <c r="J18" s="120"/>
      <c r="K18" s="120"/>
      <c r="L18" s="120"/>
    </row>
    <row r="19" spans="1:16" x14ac:dyDescent="0.35">
      <c r="H19" s="421"/>
    </row>
    <row r="20" spans="1:16" ht="13.15" x14ac:dyDescent="0.4">
      <c r="A20" s="41" t="s">
        <v>1914</v>
      </c>
      <c r="H20" s="421"/>
    </row>
    <row r="21" spans="1:16" x14ac:dyDescent="0.35">
      <c r="A21" s="87" t="s">
        <v>1415</v>
      </c>
      <c r="B21" s="103" t="s">
        <v>1414</v>
      </c>
      <c r="C21" s="86" t="s">
        <v>1413</v>
      </c>
      <c r="G21" s="421"/>
    </row>
    <row r="22" spans="1:16" x14ac:dyDescent="0.35">
      <c r="A22" s="412">
        <v>0</v>
      </c>
      <c r="B22" s="194">
        <v>0.13</v>
      </c>
      <c r="C22" s="193">
        <v>0.87</v>
      </c>
      <c r="E22" s="120"/>
      <c r="G22" s="421"/>
    </row>
    <row r="23" spans="1:16" ht="13.15" x14ac:dyDescent="0.4">
      <c r="A23" s="41"/>
      <c r="H23" s="421"/>
    </row>
    <row r="24" spans="1:16" ht="13.15" x14ac:dyDescent="0.4">
      <c r="A24" s="41" t="s">
        <v>1913</v>
      </c>
      <c r="F24" s="120"/>
      <c r="H24" s="421"/>
    </row>
    <row r="25" spans="1:16" x14ac:dyDescent="0.35">
      <c r="A25" s="368" t="s">
        <v>242</v>
      </c>
      <c r="B25" s="218" t="s">
        <v>1388</v>
      </c>
    </row>
    <row r="26" spans="1:16" x14ac:dyDescent="0.35">
      <c r="A26" s="412">
        <v>0</v>
      </c>
      <c r="B26" s="193">
        <v>1</v>
      </c>
    </row>
    <row r="28" spans="1:16" ht="13.15" x14ac:dyDescent="0.4">
      <c r="A28" s="41" t="s">
        <v>1912</v>
      </c>
    </row>
    <row r="29" spans="1:16" ht="38.25" x14ac:dyDescent="0.35">
      <c r="A29" s="87" t="s">
        <v>1377</v>
      </c>
      <c r="B29" s="103" t="s">
        <v>1376</v>
      </c>
      <c r="C29" s="103" t="s">
        <v>1254</v>
      </c>
      <c r="D29" s="103" t="s">
        <v>1394</v>
      </c>
      <c r="E29" s="103" t="s">
        <v>1393</v>
      </c>
      <c r="F29" s="103" t="s">
        <v>1392</v>
      </c>
      <c r="G29" s="103" t="s">
        <v>1374</v>
      </c>
      <c r="H29" s="103" t="s">
        <v>1373</v>
      </c>
      <c r="I29" s="103" t="s">
        <v>1248</v>
      </c>
      <c r="J29" s="103" t="s">
        <v>1247</v>
      </c>
      <c r="K29" s="103" t="s">
        <v>1372</v>
      </c>
      <c r="L29" s="103" t="s">
        <v>1371</v>
      </c>
      <c r="M29" s="103" t="s">
        <v>1370</v>
      </c>
      <c r="N29" s="103" t="s">
        <v>1391</v>
      </c>
      <c r="O29" s="103" t="s">
        <v>1390</v>
      </c>
      <c r="P29" s="86" t="s">
        <v>1369</v>
      </c>
    </row>
    <row r="30" spans="1:16" x14ac:dyDescent="0.35">
      <c r="A30" s="412">
        <v>7.5999999999999998E-2</v>
      </c>
      <c r="B30" s="194">
        <v>7.0999999999999994E-2</v>
      </c>
      <c r="C30" s="194">
        <v>0.107</v>
      </c>
      <c r="D30" s="194">
        <v>7.0000000000000001E-3</v>
      </c>
      <c r="E30" s="194">
        <v>7.0000000000000001E-3</v>
      </c>
      <c r="F30" s="194">
        <v>1.4E-2</v>
      </c>
      <c r="G30" s="194">
        <v>1.4E-2</v>
      </c>
      <c r="H30" s="194">
        <v>1.4E-2</v>
      </c>
      <c r="I30" s="194">
        <v>1.0999999999999999E-2</v>
      </c>
      <c r="J30" s="194">
        <v>7.0000000000000007E-2</v>
      </c>
      <c r="K30" s="194">
        <v>3.5000000000000003E-2</v>
      </c>
      <c r="L30" s="194">
        <v>1.7000000000000001E-2</v>
      </c>
      <c r="M30" s="194">
        <v>0.18099999999999999</v>
      </c>
      <c r="N30" s="194">
        <v>0.122</v>
      </c>
      <c r="O30" s="194">
        <v>0.11600000000000001</v>
      </c>
      <c r="P30" s="193">
        <v>0.1379999999999999</v>
      </c>
    </row>
    <row r="31" spans="1:16" x14ac:dyDescent="0.35">
      <c r="A31" s="216"/>
      <c r="B31" s="420"/>
      <c r="C31" s="420"/>
    </row>
    <row r="32" spans="1:16" ht="13.15" x14ac:dyDescent="0.4">
      <c r="A32" s="41" t="s">
        <v>1911</v>
      </c>
    </row>
    <row r="33" spans="1:15" ht="38.25" x14ac:dyDescent="0.35">
      <c r="A33" s="104" t="s">
        <v>1380</v>
      </c>
      <c r="B33" s="87" t="s">
        <v>1368</v>
      </c>
      <c r="C33" s="103" t="s">
        <v>1367</v>
      </c>
      <c r="D33" s="103" t="s">
        <v>1366</v>
      </c>
      <c r="E33" s="103" t="s">
        <v>1234</v>
      </c>
      <c r="F33" s="103" t="s">
        <v>1226</v>
      </c>
      <c r="G33" s="103" t="s">
        <v>1233</v>
      </c>
      <c r="H33" s="103" t="s">
        <v>1232</v>
      </c>
      <c r="I33" s="103" t="s">
        <v>1231</v>
      </c>
      <c r="J33" s="103" t="s">
        <v>1230</v>
      </c>
      <c r="K33" s="103" t="s">
        <v>1225</v>
      </c>
      <c r="L33" s="86" t="s">
        <v>1229</v>
      </c>
      <c r="N33" s="419"/>
      <c r="O33" s="419"/>
    </row>
    <row r="34" spans="1:15" x14ac:dyDescent="0.35">
      <c r="A34" s="110" t="s">
        <v>1379</v>
      </c>
      <c r="B34" s="413">
        <v>1</v>
      </c>
      <c r="C34" s="197">
        <v>0</v>
      </c>
      <c r="D34" s="197">
        <v>0</v>
      </c>
      <c r="E34" s="197">
        <v>0</v>
      </c>
      <c r="F34" s="197">
        <v>0</v>
      </c>
      <c r="G34" s="197">
        <v>0</v>
      </c>
      <c r="H34" s="197">
        <v>0</v>
      </c>
      <c r="I34" s="197">
        <v>0</v>
      </c>
      <c r="J34" s="197">
        <v>0</v>
      </c>
      <c r="K34" s="197">
        <v>0</v>
      </c>
      <c r="L34" s="196">
        <v>0</v>
      </c>
      <c r="N34" s="419"/>
      <c r="O34" s="419"/>
    </row>
    <row r="35" spans="1:15" x14ac:dyDescent="0.35">
      <c r="A35" s="110" t="s">
        <v>1378</v>
      </c>
      <c r="B35" s="413">
        <v>0</v>
      </c>
      <c r="C35" s="197">
        <v>1</v>
      </c>
      <c r="D35" s="197">
        <v>0</v>
      </c>
      <c r="E35" s="197">
        <v>0</v>
      </c>
      <c r="F35" s="197">
        <v>0</v>
      </c>
      <c r="G35" s="197">
        <v>0</v>
      </c>
      <c r="H35" s="197">
        <v>0</v>
      </c>
      <c r="I35" s="197">
        <v>0</v>
      </c>
      <c r="J35" s="197">
        <v>0</v>
      </c>
      <c r="K35" s="197">
        <v>0</v>
      </c>
      <c r="L35" s="196">
        <v>0</v>
      </c>
      <c r="N35" s="419"/>
      <c r="O35" s="419"/>
    </row>
    <row r="36" spans="1:15" x14ac:dyDescent="0.35">
      <c r="A36" s="110" t="s">
        <v>1377</v>
      </c>
      <c r="B36" s="413">
        <v>0</v>
      </c>
      <c r="C36" s="197">
        <v>0</v>
      </c>
      <c r="D36" s="197">
        <v>0</v>
      </c>
      <c r="E36" s="197">
        <v>0</v>
      </c>
      <c r="F36" s="197">
        <v>0.23799999999999999</v>
      </c>
      <c r="G36" s="197">
        <v>0.17499999999999999</v>
      </c>
      <c r="H36" s="197">
        <v>0</v>
      </c>
      <c r="I36" s="197">
        <v>0</v>
      </c>
      <c r="J36" s="197">
        <v>0</v>
      </c>
      <c r="K36" s="197">
        <v>0</v>
      </c>
      <c r="L36" s="196">
        <v>0.58699999999999997</v>
      </c>
      <c r="N36" s="419"/>
      <c r="O36" s="419"/>
    </row>
    <row r="37" spans="1:15" x14ac:dyDescent="0.35">
      <c r="A37" s="110" t="s">
        <v>1376</v>
      </c>
      <c r="B37" s="413">
        <v>0</v>
      </c>
      <c r="C37" s="197">
        <v>0</v>
      </c>
      <c r="D37" s="197">
        <v>0</v>
      </c>
      <c r="E37" s="197">
        <v>0</v>
      </c>
      <c r="F37" s="197">
        <v>0.31900000000000001</v>
      </c>
      <c r="G37" s="197">
        <v>0.27500000000000002</v>
      </c>
      <c r="H37" s="197">
        <v>0</v>
      </c>
      <c r="I37" s="197">
        <v>0</v>
      </c>
      <c r="J37" s="197">
        <v>0</v>
      </c>
      <c r="K37" s="197">
        <v>0</v>
      </c>
      <c r="L37" s="196">
        <v>0.40599999999999992</v>
      </c>
      <c r="N37" s="419"/>
      <c r="O37" s="419"/>
    </row>
    <row r="38" spans="1:15" x14ac:dyDescent="0.35">
      <c r="A38" s="110" t="s">
        <v>1375</v>
      </c>
      <c r="B38" s="413">
        <v>0</v>
      </c>
      <c r="C38" s="197">
        <v>0</v>
      </c>
      <c r="D38" s="197">
        <v>0</v>
      </c>
      <c r="E38" s="197">
        <v>0</v>
      </c>
      <c r="F38" s="197">
        <v>0.24249999999999999</v>
      </c>
      <c r="G38" s="197">
        <v>9.2499999999999999E-2</v>
      </c>
      <c r="H38" s="197">
        <v>0</v>
      </c>
      <c r="I38" s="197">
        <v>0</v>
      </c>
      <c r="J38" s="197">
        <v>0.66500000000000004</v>
      </c>
      <c r="K38" s="197">
        <v>0</v>
      </c>
      <c r="L38" s="196">
        <v>0</v>
      </c>
      <c r="N38" s="419"/>
      <c r="O38" s="419"/>
    </row>
    <row r="39" spans="1:15" x14ac:dyDescent="0.35">
      <c r="A39" s="110" t="s">
        <v>1374</v>
      </c>
      <c r="B39" s="413">
        <v>0</v>
      </c>
      <c r="C39" s="197">
        <v>0</v>
      </c>
      <c r="D39" s="197">
        <v>0</v>
      </c>
      <c r="E39" s="197">
        <v>0</v>
      </c>
      <c r="F39" s="197">
        <v>0.24249999999999999</v>
      </c>
      <c r="G39" s="197">
        <v>9.2499999999999999E-2</v>
      </c>
      <c r="H39" s="197">
        <v>0</v>
      </c>
      <c r="I39" s="197">
        <v>0</v>
      </c>
      <c r="J39" s="197">
        <v>0.66500000000000004</v>
      </c>
      <c r="K39" s="197">
        <v>0</v>
      </c>
      <c r="L39" s="196">
        <v>0</v>
      </c>
      <c r="N39" s="419"/>
      <c r="O39" s="419"/>
    </row>
    <row r="40" spans="1:15" x14ac:dyDescent="0.35">
      <c r="A40" s="110" t="s">
        <v>1373</v>
      </c>
      <c r="B40" s="413">
        <v>0</v>
      </c>
      <c r="C40" s="197">
        <v>0</v>
      </c>
      <c r="D40" s="197">
        <v>0</v>
      </c>
      <c r="E40" s="197">
        <v>0</v>
      </c>
      <c r="F40" s="197">
        <v>0.24249999999999999</v>
      </c>
      <c r="G40" s="197">
        <v>9.2499999999999999E-2</v>
      </c>
      <c r="H40" s="197">
        <v>0</v>
      </c>
      <c r="I40" s="197">
        <v>0</v>
      </c>
      <c r="J40" s="197">
        <v>0.66500000000000004</v>
      </c>
      <c r="K40" s="197">
        <v>0</v>
      </c>
      <c r="L40" s="196">
        <v>0</v>
      </c>
      <c r="N40" s="419"/>
      <c r="O40" s="419"/>
    </row>
    <row r="41" spans="1:15" x14ac:dyDescent="0.35">
      <c r="A41" s="110" t="s">
        <v>1248</v>
      </c>
      <c r="B41" s="413">
        <v>0</v>
      </c>
      <c r="C41" s="197">
        <v>0</v>
      </c>
      <c r="D41" s="197">
        <v>0.36399999999999999</v>
      </c>
      <c r="E41" s="197">
        <v>0</v>
      </c>
      <c r="F41" s="197">
        <v>0.45400000000000001</v>
      </c>
      <c r="G41" s="197">
        <v>0</v>
      </c>
      <c r="H41" s="197">
        <v>0</v>
      </c>
      <c r="I41" s="197">
        <v>0</v>
      </c>
      <c r="J41" s="197">
        <v>0</v>
      </c>
      <c r="K41" s="197">
        <v>0</v>
      </c>
      <c r="L41" s="196">
        <v>0.18199999999999994</v>
      </c>
      <c r="N41" s="419"/>
      <c r="O41" s="419"/>
    </row>
    <row r="42" spans="1:15" x14ac:dyDescent="0.35">
      <c r="A42" s="110" t="s">
        <v>1247</v>
      </c>
      <c r="B42" s="413">
        <v>0</v>
      </c>
      <c r="C42" s="197">
        <v>0</v>
      </c>
      <c r="D42" s="197">
        <v>0</v>
      </c>
      <c r="E42" s="197">
        <v>0</v>
      </c>
      <c r="F42" s="197">
        <v>0.34300000000000003</v>
      </c>
      <c r="G42" s="197">
        <v>0.29899999999999999</v>
      </c>
      <c r="H42" s="197">
        <v>0</v>
      </c>
      <c r="I42" s="197">
        <v>0</v>
      </c>
      <c r="J42" s="197">
        <v>0</v>
      </c>
      <c r="K42" s="197">
        <v>0</v>
      </c>
      <c r="L42" s="196">
        <v>0.35799999999999998</v>
      </c>
      <c r="N42" s="419"/>
      <c r="O42" s="419"/>
    </row>
    <row r="43" spans="1:15" x14ac:dyDescent="0.35">
      <c r="A43" s="110" t="s">
        <v>1372</v>
      </c>
      <c r="B43" s="413">
        <v>0</v>
      </c>
      <c r="C43" s="197">
        <v>0</v>
      </c>
      <c r="D43" s="197">
        <v>0</v>
      </c>
      <c r="E43" s="197">
        <v>0</v>
      </c>
      <c r="F43" s="197">
        <v>0.22</v>
      </c>
      <c r="G43" s="197">
        <v>0</v>
      </c>
      <c r="H43" s="197">
        <v>0</v>
      </c>
      <c r="I43" s="197">
        <v>0</v>
      </c>
      <c r="J43" s="197">
        <v>0</v>
      </c>
      <c r="K43" s="197">
        <v>0</v>
      </c>
      <c r="L43" s="196">
        <v>0.78</v>
      </c>
      <c r="N43" s="419"/>
      <c r="O43" s="419"/>
    </row>
    <row r="44" spans="1:15" x14ac:dyDescent="0.35">
      <c r="A44" s="110" t="s">
        <v>1371</v>
      </c>
      <c r="B44" s="413">
        <v>0</v>
      </c>
      <c r="C44" s="197">
        <v>0</v>
      </c>
      <c r="D44" s="197">
        <v>0</v>
      </c>
      <c r="E44" s="197">
        <v>0</v>
      </c>
      <c r="F44" s="197">
        <v>0.5</v>
      </c>
      <c r="G44" s="197">
        <v>0</v>
      </c>
      <c r="H44" s="197">
        <v>0</v>
      </c>
      <c r="I44" s="197">
        <v>0</v>
      </c>
      <c r="J44" s="197">
        <v>0</v>
      </c>
      <c r="K44" s="197">
        <v>0</v>
      </c>
      <c r="L44" s="196">
        <v>0.5</v>
      </c>
      <c r="N44" s="419"/>
      <c r="O44" s="419"/>
    </row>
    <row r="45" spans="1:15" x14ac:dyDescent="0.35">
      <c r="A45" s="110" t="s">
        <v>1370</v>
      </c>
      <c r="B45" s="413">
        <v>0</v>
      </c>
      <c r="C45" s="197">
        <v>0</v>
      </c>
      <c r="D45" s="197">
        <v>9.1999999999999998E-2</v>
      </c>
      <c r="E45" s="197">
        <v>0</v>
      </c>
      <c r="F45" s="197">
        <v>0.15329999999999999</v>
      </c>
      <c r="G45" s="197">
        <v>0</v>
      </c>
      <c r="H45" s="197">
        <v>0</v>
      </c>
      <c r="I45" s="197">
        <v>1.9E-2</v>
      </c>
      <c r="J45" s="197">
        <v>0</v>
      </c>
      <c r="K45" s="197">
        <v>0</v>
      </c>
      <c r="L45" s="196">
        <v>0.73570000000000002</v>
      </c>
      <c r="N45" s="419"/>
      <c r="O45" s="419"/>
    </row>
    <row r="46" spans="1:15" x14ac:dyDescent="0.35">
      <c r="A46" s="108" t="s">
        <v>1369</v>
      </c>
      <c r="B46" s="412">
        <v>0</v>
      </c>
      <c r="C46" s="194">
        <v>0</v>
      </c>
      <c r="D46" s="194">
        <v>0</v>
      </c>
      <c r="E46" s="194">
        <v>0.18099999999999999</v>
      </c>
      <c r="F46" s="194">
        <v>1.4999999999999999E-2</v>
      </c>
      <c r="G46" s="194">
        <v>0</v>
      </c>
      <c r="H46" s="194">
        <v>0.51100000000000001</v>
      </c>
      <c r="I46" s="194">
        <v>0</v>
      </c>
      <c r="J46" s="194">
        <v>0</v>
      </c>
      <c r="K46" s="194">
        <v>0.29299999999999998</v>
      </c>
      <c r="L46" s="193">
        <v>0</v>
      </c>
      <c r="N46" s="419"/>
      <c r="O46" s="419"/>
    </row>
    <row r="47" spans="1:15" x14ac:dyDescent="0.35">
      <c r="B47" s="419"/>
      <c r="C47" s="419"/>
      <c r="D47" s="419"/>
      <c r="E47" s="419"/>
      <c r="F47" s="419"/>
      <c r="G47" s="419"/>
      <c r="H47" s="419"/>
      <c r="I47" s="419"/>
      <c r="J47" s="419"/>
      <c r="K47" s="419"/>
      <c r="L47" s="419"/>
      <c r="M47" s="419"/>
      <c r="N47" s="419"/>
      <c r="O47" s="419"/>
    </row>
    <row r="48" spans="1:15" ht="13.15" x14ac:dyDescent="0.4">
      <c r="A48" s="41" t="s">
        <v>1910</v>
      </c>
      <c r="B48" s="418"/>
      <c r="C48" s="197"/>
      <c r="D48" s="197"/>
      <c r="E48" s="197"/>
      <c r="F48" s="197"/>
      <c r="G48" s="197"/>
      <c r="H48" s="197"/>
      <c r="I48" s="197"/>
      <c r="J48" s="197"/>
      <c r="K48" s="197"/>
      <c r="L48" s="197"/>
      <c r="M48" s="197"/>
      <c r="N48" s="197"/>
      <c r="O48" s="197"/>
    </row>
    <row r="49" spans="1:17" ht="25.5" x14ac:dyDescent="0.35">
      <c r="A49" s="87" t="s">
        <v>1226</v>
      </c>
      <c r="B49" s="86" t="s">
        <v>1225</v>
      </c>
      <c r="C49" s="197"/>
      <c r="D49" s="197"/>
      <c r="E49" s="197"/>
      <c r="F49" s="197"/>
      <c r="G49" s="197"/>
      <c r="H49" s="197"/>
      <c r="I49" s="197"/>
      <c r="J49" s="197"/>
      <c r="K49" s="197"/>
      <c r="L49" s="197"/>
      <c r="M49" s="197"/>
      <c r="N49" s="197"/>
    </row>
    <row r="50" spans="1:17" x14ac:dyDescent="0.35">
      <c r="A50" s="412">
        <v>0.89</v>
      </c>
      <c r="B50" s="251">
        <v>0.10999999999999999</v>
      </c>
      <c r="C50" s="197"/>
      <c r="D50" s="197"/>
      <c r="E50" s="197"/>
      <c r="F50" s="197"/>
      <c r="G50" s="197"/>
      <c r="H50" s="197"/>
      <c r="I50" s="197"/>
      <c r="J50" s="197"/>
      <c r="K50" s="197"/>
      <c r="L50" s="197"/>
      <c r="M50" s="197"/>
      <c r="N50" s="197"/>
    </row>
    <row r="51" spans="1:17" x14ac:dyDescent="0.35">
      <c r="I51" s="197"/>
    </row>
    <row r="52" spans="1:17" ht="13.9" x14ac:dyDescent="0.4">
      <c r="A52" s="72" t="s">
        <v>1734</v>
      </c>
    </row>
    <row r="53" spans="1:17" x14ac:dyDescent="0.35">
      <c r="A53" s="61" t="s">
        <v>1717</v>
      </c>
      <c r="B53" s="417">
        <v>1</v>
      </c>
    </row>
    <row r="54" spans="1:17" x14ac:dyDescent="0.35">
      <c r="A54" s="59" t="s">
        <v>1909</v>
      </c>
      <c r="B54" s="196">
        <v>1</v>
      </c>
    </row>
    <row r="55" spans="1:17" x14ac:dyDescent="0.35">
      <c r="A55" s="57" t="s">
        <v>1703</v>
      </c>
      <c r="B55" s="193">
        <v>1</v>
      </c>
    </row>
    <row r="57" spans="1:17" ht="13.9" x14ac:dyDescent="0.4">
      <c r="A57" s="72" t="s">
        <v>1701</v>
      </c>
    </row>
    <row r="58" spans="1:17" ht="26.45" customHeight="1" x14ac:dyDescent="0.4">
      <c r="A58" s="131"/>
      <c r="B58" s="2191" t="s">
        <v>1786</v>
      </c>
      <c r="C58" s="2192"/>
      <c r="D58" s="2191" t="s">
        <v>1785</v>
      </c>
      <c r="E58" s="2192"/>
      <c r="F58" s="2191" t="s">
        <v>1784</v>
      </c>
      <c r="G58" s="2192"/>
      <c r="H58" s="2191" t="s">
        <v>1783</v>
      </c>
      <c r="I58" s="2192"/>
      <c r="J58" s="2191" t="s">
        <v>1782</v>
      </c>
      <c r="K58" s="2192"/>
      <c r="L58" s="2191" t="s">
        <v>1781</v>
      </c>
      <c r="M58" s="2192"/>
      <c r="N58" s="2191" t="s">
        <v>1780</v>
      </c>
      <c r="O58" s="2192"/>
      <c r="P58" s="2191" t="s">
        <v>1779</v>
      </c>
      <c r="Q58" s="2192"/>
    </row>
    <row r="59" spans="1:17" ht="70.5" customHeight="1" x14ac:dyDescent="0.4">
      <c r="A59" s="128"/>
      <c r="B59" s="416" t="s">
        <v>1674</v>
      </c>
      <c r="C59" s="415" t="s">
        <v>1673</v>
      </c>
      <c r="D59" s="416" t="s">
        <v>1674</v>
      </c>
      <c r="E59" s="415" t="s">
        <v>1673</v>
      </c>
      <c r="F59" s="416" t="s">
        <v>1674</v>
      </c>
      <c r="G59" s="415" t="s">
        <v>1673</v>
      </c>
      <c r="H59" s="416" t="s">
        <v>1674</v>
      </c>
      <c r="I59" s="415" t="s">
        <v>1673</v>
      </c>
      <c r="J59" s="416" t="s">
        <v>1674</v>
      </c>
      <c r="K59" s="415" t="s">
        <v>1673</v>
      </c>
      <c r="L59" s="416" t="s">
        <v>1674</v>
      </c>
      <c r="M59" s="415" t="s">
        <v>1673</v>
      </c>
      <c r="N59" s="416" t="s">
        <v>1674</v>
      </c>
      <c r="O59" s="415" t="s">
        <v>1673</v>
      </c>
      <c r="P59" s="416" t="s">
        <v>1674</v>
      </c>
      <c r="Q59" s="415" t="s">
        <v>1673</v>
      </c>
    </row>
    <row r="60" spans="1:17" ht="13.15" x14ac:dyDescent="0.4">
      <c r="A60" s="414" t="s">
        <v>1908</v>
      </c>
      <c r="B60" s="277">
        <v>0.28699999999999998</v>
      </c>
      <c r="C60" s="99"/>
      <c r="D60" s="277">
        <v>2.7589999999999999</v>
      </c>
      <c r="E60" s="99"/>
      <c r="F60" s="277">
        <v>0.99</v>
      </c>
      <c r="G60" s="99"/>
      <c r="H60" s="277">
        <v>2.9820000000000002</v>
      </c>
      <c r="I60" s="99"/>
      <c r="J60" s="277">
        <v>0.20499999999999999</v>
      </c>
      <c r="K60" s="99"/>
      <c r="L60" s="277">
        <v>0.27300000000000002</v>
      </c>
      <c r="M60" s="99"/>
      <c r="N60" s="277">
        <v>0.40899999999999997</v>
      </c>
      <c r="O60" s="99"/>
      <c r="P60" s="277">
        <v>1.4962315016000001</v>
      </c>
      <c r="Q60" s="99"/>
    </row>
    <row r="61" spans="1:17" ht="13.15" x14ac:dyDescent="0.4">
      <c r="A61" s="128" t="s">
        <v>1671</v>
      </c>
      <c r="B61" s="413">
        <v>0</v>
      </c>
      <c r="C61" s="99"/>
      <c r="D61" s="413">
        <v>0</v>
      </c>
      <c r="E61" s="99"/>
      <c r="F61" s="413">
        <v>0</v>
      </c>
      <c r="G61" s="99"/>
      <c r="H61" s="413">
        <v>0</v>
      </c>
      <c r="I61" s="99"/>
      <c r="J61" s="413">
        <v>0</v>
      </c>
      <c r="K61" s="99"/>
      <c r="L61" s="413">
        <v>0</v>
      </c>
      <c r="M61" s="99"/>
      <c r="N61" s="413">
        <v>0</v>
      </c>
      <c r="O61" s="99"/>
      <c r="P61" s="413">
        <v>0</v>
      </c>
      <c r="Q61" s="99"/>
    </row>
    <row r="62" spans="1:17" ht="13.15" x14ac:dyDescent="0.4">
      <c r="A62" s="131" t="s">
        <v>1670</v>
      </c>
      <c r="B62" s="61"/>
      <c r="C62" s="60"/>
      <c r="D62" s="61"/>
      <c r="E62" s="60"/>
      <c r="F62" s="61"/>
      <c r="G62" s="60"/>
      <c r="H62" s="61"/>
      <c r="I62" s="60"/>
      <c r="J62" s="61"/>
      <c r="K62" s="60"/>
      <c r="L62" s="61"/>
      <c r="M62" s="60"/>
      <c r="N62" s="61"/>
      <c r="O62" s="60"/>
      <c r="P62" s="61"/>
      <c r="Q62" s="60"/>
    </row>
    <row r="63" spans="1:17" x14ac:dyDescent="0.35">
      <c r="A63" s="59" t="s">
        <v>1668</v>
      </c>
      <c r="B63" s="413">
        <v>0</v>
      </c>
      <c r="C63" s="196"/>
      <c r="D63" s="413">
        <v>0</v>
      </c>
      <c r="E63" s="196"/>
      <c r="F63" s="413">
        <v>0</v>
      </c>
      <c r="G63" s="196"/>
      <c r="H63" s="413">
        <v>0</v>
      </c>
      <c r="I63" s="196"/>
      <c r="J63" s="413">
        <v>0</v>
      </c>
      <c r="K63" s="196"/>
      <c r="L63" s="413">
        <v>0</v>
      </c>
      <c r="M63" s="196"/>
      <c r="N63" s="413">
        <v>0</v>
      </c>
      <c r="O63" s="196"/>
      <c r="P63" s="413">
        <v>0</v>
      </c>
      <c r="Q63" s="196"/>
    </row>
    <row r="64" spans="1:17" x14ac:dyDescent="0.35">
      <c r="A64" s="59" t="s">
        <v>1667</v>
      </c>
      <c r="B64" s="413">
        <v>0</v>
      </c>
      <c r="C64" s="99"/>
      <c r="D64" s="413">
        <v>0</v>
      </c>
      <c r="E64" s="99"/>
      <c r="F64" s="413">
        <v>0</v>
      </c>
      <c r="G64" s="99"/>
      <c r="H64" s="413">
        <v>0</v>
      </c>
      <c r="I64" s="99"/>
      <c r="J64" s="413">
        <v>0</v>
      </c>
      <c r="K64" s="99"/>
      <c r="L64" s="413">
        <v>0</v>
      </c>
      <c r="M64" s="99"/>
      <c r="N64" s="413">
        <v>0</v>
      </c>
      <c r="O64" s="99"/>
      <c r="P64" s="413">
        <v>0</v>
      </c>
      <c r="Q64" s="99"/>
    </row>
    <row r="65" spans="1:17" x14ac:dyDescent="0.35">
      <c r="A65" s="59" t="s">
        <v>1534</v>
      </c>
      <c r="B65" s="413">
        <v>0</v>
      </c>
      <c r="C65" s="196"/>
      <c r="D65" s="413">
        <v>0.83399999999999996</v>
      </c>
      <c r="E65" s="196"/>
      <c r="F65" s="413">
        <v>0</v>
      </c>
      <c r="G65" s="196"/>
      <c r="H65" s="413">
        <v>1</v>
      </c>
      <c r="I65" s="196"/>
      <c r="J65" s="413">
        <v>0</v>
      </c>
      <c r="K65" s="196"/>
      <c r="L65" s="413">
        <v>0</v>
      </c>
      <c r="M65" s="196"/>
      <c r="N65" s="413">
        <v>0</v>
      </c>
      <c r="O65" s="196"/>
      <c r="P65" s="413">
        <v>0</v>
      </c>
      <c r="Q65" s="196"/>
    </row>
    <row r="66" spans="1:17" x14ac:dyDescent="0.35">
      <c r="A66" s="59" t="s">
        <v>1535</v>
      </c>
      <c r="B66" s="413">
        <v>0</v>
      </c>
      <c r="C66" s="196"/>
      <c r="D66" s="413">
        <v>0</v>
      </c>
      <c r="E66" s="196"/>
      <c r="F66" s="413">
        <v>0</v>
      </c>
      <c r="G66" s="196"/>
      <c r="H66" s="413">
        <v>0</v>
      </c>
      <c r="I66" s="196"/>
      <c r="J66" s="413">
        <v>0</v>
      </c>
      <c r="K66" s="196"/>
      <c r="L66" s="413">
        <v>0</v>
      </c>
      <c r="M66" s="196"/>
      <c r="N66" s="413">
        <v>0</v>
      </c>
      <c r="O66" s="196"/>
      <c r="P66" s="413">
        <v>0</v>
      </c>
      <c r="Q66" s="196"/>
    </row>
    <row r="67" spans="1:17" x14ac:dyDescent="0.35">
      <c r="A67" s="57" t="s">
        <v>1664</v>
      </c>
      <c r="B67" s="412">
        <v>1</v>
      </c>
      <c r="C67" s="193"/>
      <c r="D67" s="412">
        <v>0.16600000000000004</v>
      </c>
      <c r="E67" s="193"/>
      <c r="F67" s="412">
        <v>1</v>
      </c>
      <c r="G67" s="193"/>
      <c r="H67" s="412">
        <v>0</v>
      </c>
      <c r="I67" s="193"/>
      <c r="J67" s="412">
        <v>1</v>
      </c>
      <c r="K67" s="193"/>
      <c r="L67" s="412">
        <v>1</v>
      </c>
      <c r="M67" s="193"/>
      <c r="N67" s="412">
        <v>1</v>
      </c>
      <c r="O67" s="193"/>
      <c r="P67" s="412">
        <v>1</v>
      </c>
      <c r="Q67" s="193"/>
    </row>
    <row r="68" spans="1:17" ht="13.15" x14ac:dyDescent="0.4">
      <c r="A68" s="128" t="s">
        <v>1908</v>
      </c>
      <c r="B68" s="59"/>
      <c r="C68" s="99"/>
      <c r="D68" s="59"/>
      <c r="E68" s="99"/>
      <c r="F68" s="59"/>
      <c r="G68" s="99"/>
      <c r="H68" s="59"/>
      <c r="I68" s="99"/>
      <c r="J68" s="59"/>
      <c r="K68" s="99"/>
      <c r="L68" s="59"/>
      <c r="M68" s="99"/>
      <c r="N68" s="59"/>
      <c r="O68" s="99"/>
      <c r="P68" s="59"/>
      <c r="Q68" s="99"/>
    </row>
    <row r="69" spans="1:17" s="145" customFormat="1" x14ac:dyDescent="0.35">
      <c r="A69" s="232" t="s">
        <v>1668</v>
      </c>
      <c r="B69" s="411">
        <v>0</v>
      </c>
      <c r="C69" s="144"/>
      <c r="D69" s="411">
        <v>0</v>
      </c>
      <c r="E69" s="144"/>
      <c r="F69" s="411">
        <v>0</v>
      </c>
      <c r="G69" s="144"/>
      <c r="H69" s="411">
        <v>0</v>
      </c>
      <c r="I69" s="144"/>
      <c r="J69" s="411">
        <v>0</v>
      </c>
      <c r="K69" s="144"/>
      <c r="L69" s="411">
        <v>0</v>
      </c>
      <c r="M69" s="144"/>
      <c r="N69" s="411">
        <v>0</v>
      </c>
      <c r="O69" s="144"/>
      <c r="P69" s="411">
        <v>0</v>
      </c>
      <c r="Q69" s="144"/>
    </row>
    <row r="70" spans="1:17" s="145" customFormat="1" x14ac:dyDescent="0.35">
      <c r="A70" s="232" t="s">
        <v>1667</v>
      </c>
      <c r="B70" s="411">
        <v>0</v>
      </c>
      <c r="C70" s="144"/>
      <c r="D70" s="411">
        <v>0</v>
      </c>
      <c r="E70" s="144"/>
      <c r="F70" s="411">
        <v>0</v>
      </c>
      <c r="G70" s="144"/>
      <c r="H70" s="411">
        <v>0</v>
      </c>
      <c r="I70" s="144"/>
      <c r="J70" s="411">
        <v>0</v>
      </c>
      <c r="K70" s="144"/>
      <c r="L70" s="411">
        <v>0</v>
      </c>
      <c r="M70" s="144"/>
      <c r="N70" s="411">
        <v>0</v>
      </c>
      <c r="O70" s="144"/>
      <c r="P70" s="411">
        <v>0</v>
      </c>
      <c r="Q70" s="144"/>
    </row>
    <row r="71" spans="1:17" s="145" customFormat="1" x14ac:dyDescent="0.35">
      <c r="A71" s="232" t="s">
        <v>1534</v>
      </c>
      <c r="B71" s="411">
        <v>0</v>
      </c>
      <c r="C71" s="144"/>
      <c r="D71" s="411">
        <v>2.3010059999999997</v>
      </c>
      <c r="E71" s="144"/>
      <c r="F71" s="411">
        <v>0</v>
      </c>
      <c r="G71" s="144"/>
      <c r="H71" s="411">
        <v>2.9820000000000002</v>
      </c>
      <c r="I71" s="144"/>
      <c r="J71" s="411">
        <v>0</v>
      </c>
      <c r="K71" s="144"/>
      <c r="L71" s="411">
        <v>0</v>
      </c>
      <c r="M71" s="144"/>
      <c r="N71" s="411">
        <v>0</v>
      </c>
      <c r="O71" s="144"/>
      <c r="P71" s="411">
        <v>0</v>
      </c>
      <c r="Q71" s="144"/>
    </row>
    <row r="72" spans="1:17" s="145" customFormat="1" x14ac:dyDescent="0.35">
      <c r="A72" s="232" t="s">
        <v>1535</v>
      </c>
      <c r="B72" s="411">
        <v>0</v>
      </c>
      <c r="C72" s="144"/>
      <c r="D72" s="411">
        <v>0</v>
      </c>
      <c r="E72" s="144"/>
      <c r="F72" s="411">
        <v>0</v>
      </c>
      <c r="G72" s="144"/>
      <c r="H72" s="411">
        <v>0</v>
      </c>
      <c r="I72" s="144"/>
      <c r="J72" s="411">
        <v>0</v>
      </c>
      <c r="K72" s="144"/>
      <c r="L72" s="411">
        <v>0</v>
      </c>
      <c r="M72" s="144"/>
      <c r="N72" s="411">
        <v>0</v>
      </c>
      <c r="O72" s="144"/>
      <c r="P72" s="411">
        <v>0</v>
      </c>
      <c r="Q72" s="144"/>
    </row>
    <row r="73" spans="1:17" s="145" customFormat="1" x14ac:dyDescent="0.35">
      <c r="A73" s="232" t="s">
        <v>1664</v>
      </c>
      <c r="B73" s="411">
        <v>0.28699999999999998</v>
      </c>
      <c r="C73" s="144"/>
      <c r="D73" s="411">
        <v>0.45799400000000007</v>
      </c>
      <c r="E73" s="144"/>
      <c r="F73" s="411">
        <v>0.99</v>
      </c>
      <c r="G73" s="144"/>
      <c r="H73" s="411">
        <v>0</v>
      </c>
      <c r="I73" s="144"/>
      <c r="J73" s="411">
        <v>0.20499999999999999</v>
      </c>
      <c r="K73" s="144"/>
      <c r="L73" s="411">
        <v>0.27300000000000002</v>
      </c>
      <c r="M73" s="144"/>
      <c r="N73" s="411">
        <v>0.40899999999999997</v>
      </c>
      <c r="O73" s="144"/>
      <c r="P73" s="411">
        <v>1.4962315016000001</v>
      </c>
      <c r="Q73" s="144"/>
    </row>
    <row r="74" spans="1:17" s="145" customFormat="1" x14ac:dyDescent="0.35">
      <c r="A74" s="237" t="s">
        <v>1537</v>
      </c>
      <c r="B74" s="237">
        <v>0.59482229041665546</v>
      </c>
      <c r="C74" s="156"/>
      <c r="D74" s="237">
        <v>3.485144381480032</v>
      </c>
      <c r="E74" s="156"/>
      <c r="F74" s="237">
        <v>2.0518260192072786</v>
      </c>
      <c r="G74" s="156"/>
      <c r="H74" s="237">
        <v>3.286448594241306</v>
      </c>
      <c r="I74" s="156"/>
      <c r="J74" s="237">
        <v>0.4248730645833253</v>
      </c>
      <c r="K74" s="156"/>
      <c r="L74" s="237">
        <v>0.56580656893291625</v>
      </c>
      <c r="M74" s="156"/>
      <c r="N74" s="237">
        <v>0.84767357763209772</v>
      </c>
      <c r="O74" s="156"/>
      <c r="P74" s="237">
        <v>3.1010168946873304</v>
      </c>
      <c r="Q74" s="156"/>
    </row>
    <row r="75" spans="1:17" s="145" customFormat="1" x14ac:dyDescent="0.35">
      <c r="A75" s="232" t="s">
        <v>1536</v>
      </c>
      <c r="B75" s="232">
        <v>0.48073429031852477</v>
      </c>
      <c r="C75" s="144"/>
      <c r="D75" s="232">
        <v>3.3014581835306296</v>
      </c>
      <c r="E75" s="144"/>
      <c r="F75" s="232">
        <v>1.6582820467433435</v>
      </c>
      <c r="G75" s="144"/>
      <c r="H75" s="232">
        <v>3.2843429190685183</v>
      </c>
      <c r="I75" s="144"/>
      <c r="J75" s="232">
        <v>0.34338163594180338</v>
      </c>
      <c r="K75" s="144"/>
      <c r="L75" s="232">
        <v>0.4572838371322554</v>
      </c>
      <c r="M75" s="144"/>
      <c r="N75" s="232">
        <v>0.685088239513159</v>
      </c>
      <c r="O75" s="144"/>
      <c r="P75" s="232">
        <v>2.5062361988637516</v>
      </c>
      <c r="Q75" s="144"/>
    </row>
    <row r="76" spans="1:17" s="145" customFormat="1" x14ac:dyDescent="0.35">
      <c r="A76" s="232" t="s">
        <v>1535</v>
      </c>
      <c r="B76" s="232">
        <v>0.27548817337916315</v>
      </c>
      <c r="C76" s="144"/>
      <c r="D76" s="232">
        <v>0.44354366408764684</v>
      </c>
      <c r="E76" s="144"/>
      <c r="F76" s="232">
        <v>0.9502902147922353</v>
      </c>
      <c r="G76" s="144"/>
      <c r="H76" s="232">
        <v>5.0804191709875792E-3</v>
      </c>
      <c r="I76" s="144"/>
      <c r="J76" s="232">
        <v>0.19677726669940224</v>
      </c>
      <c r="K76" s="144"/>
      <c r="L76" s="232">
        <v>0.26204972589725278</v>
      </c>
      <c r="M76" s="144"/>
      <c r="N76" s="232">
        <v>0.39259464429295376</v>
      </c>
      <c r="O76" s="144"/>
      <c r="P76" s="232">
        <v>1.4362163182165384</v>
      </c>
      <c r="Q76" s="144"/>
    </row>
    <row r="77" spans="1:17" s="145" customFormat="1" x14ac:dyDescent="0.35">
      <c r="A77" s="232" t="s">
        <v>1534</v>
      </c>
      <c r="B77" s="232">
        <v>0.19588470873425265</v>
      </c>
      <c r="C77" s="144"/>
      <c r="D77" s="232">
        <v>2.8336362836364706</v>
      </c>
      <c r="E77" s="144"/>
      <c r="F77" s="232">
        <v>0.67569986636554069</v>
      </c>
      <c r="G77" s="144"/>
      <c r="H77" s="232">
        <v>3.2671591621712852</v>
      </c>
      <c r="I77" s="144"/>
      <c r="J77" s="232">
        <v>0.13991764909589474</v>
      </c>
      <c r="K77" s="144"/>
      <c r="L77" s="232">
        <v>0.18632935708867945</v>
      </c>
      <c r="M77" s="144"/>
      <c r="N77" s="232">
        <v>0.27915277307424857</v>
      </c>
      <c r="O77" s="144"/>
      <c r="P77" s="232">
        <v>1.0212155814980119</v>
      </c>
      <c r="Q77" s="144"/>
    </row>
    <row r="78" spans="1:17" s="145" customFormat="1" x14ac:dyDescent="0.35">
      <c r="A78" s="232" t="s">
        <v>1533</v>
      </c>
      <c r="B78" s="232">
        <v>9.3614082051089609E-3</v>
      </c>
      <c r="C78" s="144"/>
      <c r="D78" s="232">
        <v>2.4278235806512453E-2</v>
      </c>
      <c r="E78" s="144"/>
      <c r="F78" s="232">
        <v>3.2291965585567496E-2</v>
      </c>
      <c r="G78" s="144"/>
      <c r="H78" s="232">
        <v>1.2103337726245403E-2</v>
      </c>
      <c r="I78" s="144"/>
      <c r="J78" s="232">
        <v>6.6867201465064009E-3</v>
      </c>
      <c r="K78" s="144"/>
      <c r="L78" s="232">
        <v>8.9047541463231593E-3</v>
      </c>
      <c r="M78" s="144"/>
      <c r="N78" s="232">
        <v>1.3340822145956673E-2</v>
      </c>
      <c r="O78" s="144"/>
      <c r="P78" s="232">
        <v>4.8804299149201195E-2</v>
      </c>
      <c r="Q78" s="144"/>
    </row>
    <row r="79" spans="1:17" s="48" customFormat="1" x14ac:dyDescent="0.35">
      <c r="A79" s="59" t="s">
        <v>1532</v>
      </c>
      <c r="B79" s="49">
        <v>57.221680708057583</v>
      </c>
      <c r="C79" s="43"/>
      <c r="D79" s="49">
        <v>98.694511444418751</v>
      </c>
      <c r="E79" s="43"/>
      <c r="F79" s="49">
        <v>197.3848916410349</v>
      </c>
      <c r="G79" s="43"/>
      <c r="H79" s="49">
        <v>9.564500952697971</v>
      </c>
      <c r="I79" s="43"/>
      <c r="J79" s="49">
        <v>40.872629077183994</v>
      </c>
      <c r="K79" s="43"/>
      <c r="L79" s="49">
        <v>54.430379210103567</v>
      </c>
      <c r="M79" s="43"/>
      <c r="N79" s="49">
        <v>81.545879475942698</v>
      </c>
      <c r="O79" s="43"/>
      <c r="P79" s="49">
        <v>298.31665940729187</v>
      </c>
      <c r="Q79" s="43"/>
    </row>
    <row r="80" spans="1:17" s="145" customFormat="1" ht="13.15" x14ac:dyDescent="0.4">
      <c r="A80" s="390" t="s">
        <v>1663</v>
      </c>
      <c r="B80" s="237"/>
      <c r="C80" s="156"/>
      <c r="D80" s="237"/>
      <c r="E80" s="156"/>
      <c r="F80" s="237"/>
      <c r="G80" s="156"/>
      <c r="H80" s="237"/>
      <c r="I80" s="156"/>
      <c r="J80" s="237"/>
      <c r="K80" s="156"/>
      <c r="L80" s="237"/>
      <c r="M80" s="156"/>
      <c r="N80" s="237"/>
      <c r="O80" s="156"/>
      <c r="P80" s="237"/>
      <c r="Q80" s="156"/>
    </row>
    <row r="81" spans="1:17" s="145" customFormat="1" x14ac:dyDescent="0.35">
      <c r="A81" s="232" t="s">
        <v>1525</v>
      </c>
      <c r="B81" s="232">
        <v>4.3208244221895189</v>
      </c>
      <c r="C81" s="144"/>
      <c r="D81" s="232">
        <v>36.489856603038497</v>
      </c>
      <c r="E81" s="410">
        <v>1600</v>
      </c>
      <c r="F81" s="232">
        <v>14.904585985949909</v>
      </c>
      <c r="G81" s="144"/>
      <c r="H81" s="232">
        <v>38.353388725259826</v>
      </c>
      <c r="I81" s="144"/>
      <c r="J81" s="232">
        <v>3.0863031587067993</v>
      </c>
      <c r="K81" s="144"/>
      <c r="L81" s="232">
        <v>4.1100524991558842</v>
      </c>
      <c r="M81" s="144"/>
      <c r="N81" s="232">
        <v>6.1575511800540532</v>
      </c>
      <c r="O81" s="144"/>
      <c r="P81" s="232">
        <v>22.525970778266817</v>
      </c>
      <c r="Q81" s="144"/>
    </row>
    <row r="82" spans="1:17" s="145" customFormat="1" x14ac:dyDescent="0.35">
      <c r="A82" s="232" t="s">
        <v>1524</v>
      </c>
      <c r="B82" s="232">
        <v>12.065607978593359</v>
      </c>
      <c r="C82" s="144"/>
      <c r="D82" s="232">
        <v>143.96487533185007</v>
      </c>
      <c r="E82" s="410">
        <v>22.450000000000003</v>
      </c>
      <c r="F82" s="232">
        <v>41.620041459259326</v>
      </c>
      <c r="G82" s="144"/>
      <c r="H82" s="232">
        <v>161.61931745134314</v>
      </c>
      <c r="I82" s="144"/>
      <c r="J82" s="232">
        <v>8.6182914132809714</v>
      </c>
      <c r="K82" s="144"/>
      <c r="L82" s="232">
        <v>11.477041735735149</v>
      </c>
      <c r="M82" s="144"/>
      <c r="N82" s="232">
        <v>17.194542380643497</v>
      </c>
      <c r="O82" s="144"/>
      <c r="P82" s="232">
        <v>62.90223952448671</v>
      </c>
      <c r="Q82" s="144"/>
    </row>
    <row r="83" spans="1:17" s="145" customFormat="1" x14ac:dyDescent="0.35">
      <c r="A83" s="232" t="s">
        <v>1523</v>
      </c>
      <c r="B83" s="232">
        <v>27.098342926102511</v>
      </c>
      <c r="C83" s="144"/>
      <c r="D83" s="232">
        <v>219.07569237155269</v>
      </c>
      <c r="E83" s="410">
        <v>26.75</v>
      </c>
      <c r="F83" s="232">
        <v>93.475120198053972</v>
      </c>
      <c r="G83" s="144"/>
      <c r="H83" s="232">
        <v>227.87061846172023</v>
      </c>
      <c r="I83" s="144"/>
      <c r="J83" s="232">
        <v>19.355959232930367</v>
      </c>
      <c r="K83" s="144"/>
      <c r="L83" s="232">
        <v>25.77647253946337</v>
      </c>
      <c r="M83" s="144"/>
      <c r="N83" s="232">
        <v>38.617499152529362</v>
      </c>
      <c r="O83" s="144"/>
      <c r="P83" s="232">
        <v>141.27315096583311</v>
      </c>
      <c r="Q83" s="144"/>
    </row>
    <row r="84" spans="1:17" s="145" customFormat="1" x14ac:dyDescent="0.35">
      <c r="A84" s="232" t="s">
        <v>1522</v>
      </c>
      <c r="B84" s="232">
        <v>4.8942339073361039</v>
      </c>
      <c r="C84" s="144"/>
      <c r="D84" s="232">
        <v>16.970320260318683</v>
      </c>
      <c r="E84" s="410">
        <v>60</v>
      </c>
      <c r="F84" s="232">
        <v>16.882549018337084</v>
      </c>
      <c r="G84" s="144"/>
      <c r="H84" s="232">
        <v>11.871092058042329</v>
      </c>
      <c r="I84" s="144"/>
      <c r="J84" s="232">
        <v>3.4958813623829315</v>
      </c>
      <c r="K84" s="144"/>
      <c r="L84" s="232">
        <v>4.655490789905075</v>
      </c>
      <c r="M84" s="144"/>
      <c r="N84" s="232">
        <v>6.9747096449493604</v>
      </c>
      <c r="O84" s="144"/>
      <c r="P84" s="232">
        <v>25.515355220749598</v>
      </c>
      <c r="Q84" s="144"/>
    </row>
    <row r="85" spans="1:17" s="145" customFormat="1" x14ac:dyDescent="0.35">
      <c r="A85" s="232" t="s">
        <v>1521</v>
      </c>
      <c r="B85" s="232">
        <v>2.1300496627400278</v>
      </c>
      <c r="C85" s="144"/>
      <c r="D85" s="232">
        <v>12.439690849695562</v>
      </c>
      <c r="E85" s="144">
        <v>30</v>
      </c>
      <c r="F85" s="232">
        <v>7.3475580700788425</v>
      </c>
      <c r="G85" s="144"/>
      <c r="H85" s="232">
        <v>11.716160686223454</v>
      </c>
      <c r="I85" s="144"/>
      <c r="J85" s="232">
        <v>1.5214640448143055</v>
      </c>
      <c r="K85" s="144"/>
      <c r="L85" s="232">
        <v>2.0261448011429537</v>
      </c>
      <c r="M85" s="144"/>
      <c r="N85" s="232">
        <v>3.0355063138002487</v>
      </c>
      <c r="O85" s="144"/>
      <c r="P85" s="232">
        <v>11.104694792209358</v>
      </c>
      <c r="Q85" s="144"/>
    </row>
    <row r="86" spans="1:17" s="145" customFormat="1" x14ac:dyDescent="0.35">
      <c r="A86" s="232" t="s">
        <v>1520</v>
      </c>
      <c r="B86" s="232">
        <v>73.590814729821446</v>
      </c>
      <c r="C86" s="144"/>
      <c r="D86" s="232">
        <v>144.78435952887412</v>
      </c>
      <c r="E86" s="144"/>
      <c r="F86" s="232">
        <v>253.84984871959315</v>
      </c>
      <c r="G86" s="144"/>
      <c r="H86" s="232">
        <v>35.442152020502817</v>
      </c>
      <c r="I86" s="144"/>
      <c r="J86" s="232">
        <v>52.564867664158172</v>
      </c>
      <c r="K86" s="144"/>
      <c r="L86" s="232">
        <v>70.001018889342362</v>
      </c>
      <c r="M86" s="144"/>
      <c r="N86" s="232">
        <v>104.8733213397107</v>
      </c>
      <c r="O86" s="144"/>
      <c r="P86" s="232">
        <v>383.65468720267648</v>
      </c>
      <c r="Q86" s="144"/>
    </row>
    <row r="87" spans="1:17" s="145" customFormat="1" x14ac:dyDescent="0.35">
      <c r="A87" s="232" t="s">
        <v>1519</v>
      </c>
      <c r="B87" s="232">
        <v>0.15777114813037935</v>
      </c>
      <c r="C87" s="144"/>
      <c r="D87" s="232">
        <v>1.8863253170790502</v>
      </c>
      <c r="E87" s="144"/>
      <c r="F87" s="232">
        <v>0.5442280022615873</v>
      </c>
      <c r="G87" s="144"/>
      <c r="H87" s="232">
        <v>2.1183088466984148</v>
      </c>
      <c r="I87" s="144"/>
      <c r="J87" s="232">
        <v>0.11269367723598524</v>
      </c>
      <c r="K87" s="144"/>
      <c r="L87" s="232">
        <v>0.1500749945630438</v>
      </c>
      <c r="M87" s="144"/>
      <c r="N87" s="232">
        <v>0.2248376292171608</v>
      </c>
      <c r="O87" s="144"/>
      <c r="P87" s="232">
        <v>0.82251624347133634</v>
      </c>
      <c r="Q87" s="144"/>
    </row>
    <row r="88" spans="1:17" s="145" customFormat="1" x14ac:dyDescent="0.35">
      <c r="A88" s="232" t="s">
        <v>1518</v>
      </c>
      <c r="B88" s="232">
        <v>0.37038589870552913</v>
      </c>
      <c r="C88" s="144"/>
      <c r="D88" s="232">
        <v>4.3927191992575336</v>
      </c>
      <c r="E88" s="144"/>
      <c r="F88" s="232">
        <v>1.2776377690539158</v>
      </c>
      <c r="G88" s="144"/>
      <c r="H88" s="232">
        <v>4.9267775149094746</v>
      </c>
      <c r="I88" s="144"/>
      <c r="J88" s="232">
        <v>0.26456135621823507</v>
      </c>
      <c r="K88" s="144"/>
      <c r="L88" s="232">
        <v>0.3523182938906253</v>
      </c>
      <c r="M88" s="144"/>
      <c r="N88" s="232">
        <v>0.52783216923540555</v>
      </c>
      <c r="O88" s="144"/>
      <c r="P88" s="232">
        <v>1.9309513916084995</v>
      </c>
      <c r="Q88" s="144"/>
    </row>
    <row r="89" spans="1:17" s="145" customFormat="1" x14ac:dyDescent="0.35">
      <c r="A89" s="232" t="s">
        <v>1531</v>
      </c>
      <c r="B89" s="232">
        <v>76.325950495180592</v>
      </c>
      <c r="C89" s="144"/>
      <c r="D89" s="232">
        <v>632.88778504350523</v>
      </c>
      <c r="E89" s="144"/>
      <c r="F89" s="232">
        <v>263.28463759661599</v>
      </c>
      <c r="G89" s="144"/>
      <c r="H89" s="232">
        <v>662.34569251825258</v>
      </c>
      <c r="I89" s="144"/>
      <c r="J89" s="232">
        <v>54.518536067986133</v>
      </c>
      <c r="K89" s="144"/>
      <c r="L89" s="232">
        <v>72.60273339785472</v>
      </c>
      <c r="M89" s="144"/>
      <c r="N89" s="232">
        <v>108.77112805759185</v>
      </c>
      <c r="O89" s="144"/>
      <c r="P89" s="232">
        <v>397.9139077367642</v>
      </c>
      <c r="Q89" s="144"/>
    </row>
    <row r="90" spans="1:17" s="145" customFormat="1" x14ac:dyDescent="0.35">
      <c r="A90" s="232" t="s">
        <v>1530</v>
      </c>
      <c r="B90" s="232">
        <v>0.61804269643349419</v>
      </c>
      <c r="C90" s="144"/>
      <c r="D90" s="232">
        <v>5.9714867138457013</v>
      </c>
      <c r="E90" s="144"/>
      <c r="F90" s="232">
        <v>2.1319242838646666</v>
      </c>
      <c r="G90" s="144"/>
      <c r="H90" s="232">
        <v>6.4606144157730228</v>
      </c>
      <c r="I90" s="144"/>
      <c r="J90" s="232">
        <v>0.44145906888106728</v>
      </c>
      <c r="K90" s="144"/>
      <c r="L90" s="232">
        <v>0.58789427221722634</v>
      </c>
      <c r="M90" s="144"/>
      <c r="N90" s="232">
        <v>0.88076467888954402</v>
      </c>
      <c r="O90" s="144"/>
      <c r="P90" s="232">
        <v>3.2220730025700353</v>
      </c>
      <c r="Q90" s="144"/>
    </row>
    <row r="91" spans="1:17" s="48" customFormat="1" x14ac:dyDescent="0.35">
      <c r="A91" s="45" t="s">
        <v>1529</v>
      </c>
      <c r="B91" s="389">
        <v>39989.877207823469</v>
      </c>
      <c r="C91" s="43"/>
      <c r="D91" s="389">
        <v>214433.08981757087</v>
      </c>
      <c r="E91" s="43"/>
      <c r="F91" s="389">
        <v>137944.17573430395</v>
      </c>
      <c r="G91" s="43"/>
      <c r="H91" s="389">
        <v>195193.2633912634</v>
      </c>
      <c r="I91" s="43"/>
      <c r="J91" s="389">
        <v>28564.19800558819</v>
      </c>
      <c r="K91" s="43"/>
      <c r="L91" s="389">
        <v>38039.151490368669</v>
      </c>
      <c r="M91" s="43"/>
      <c r="N91" s="389">
        <v>56989.058459929613</v>
      </c>
      <c r="O91" s="43"/>
      <c r="P91" s="389">
        <v>208481.23353122413</v>
      </c>
      <c r="Q91" s="43"/>
    </row>
    <row r="92" spans="1:17" s="145" customFormat="1" ht="13.15" x14ac:dyDescent="0.4">
      <c r="A92" s="388" t="s">
        <v>1662</v>
      </c>
      <c r="B92" s="232"/>
      <c r="C92" s="144"/>
      <c r="D92" s="232"/>
      <c r="E92" s="144"/>
      <c r="F92" s="232"/>
      <c r="G92" s="144"/>
      <c r="H92" s="232"/>
      <c r="I92" s="144"/>
      <c r="J92" s="232"/>
      <c r="K92" s="144"/>
      <c r="L92" s="232"/>
      <c r="M92" s="144"/>
      <c r="N92" s="232"/>
      <c r="O92" s="144"/>
      <c r="P92" s="232"/>
      <c r="Q92" s="144"/>
    </row>
    <row r="93" spans="1:17" s="145" customFormat="1" x14ac:dyDescent="0.35">
      <c r="A93" s="232" t="s">
        <v>1525</v>
      </c>
      <c r="B93" s="232">
        <v>0.30764166624054851</v>
      </c>
      <c r="C93" s="144"/>
      <c r="D93" s="232">
        <v>1.8707054285856406</v>
      </c>
      <c r="E93" s="144">
        <v>0</v>
      </c>
      <c r="F93" s="232">
        <v>1.061202960202589</v>
      </c>
      <c r="G93" s="144"/>
      <c r="H93" s="232">
        <v>1.7881216369028621</v>
      </c>
      <c r="I93" s="144"/>
      <c r="J93" s="232">
        <v>0.21974404731467748</v>
      </c>
      <c r="K93" s="144"/>
      <c r="L93" s="232">
        <v>0.29263475569222908</v>
      </c>
      <c r="M93" s="144"/>
      <c r="N93" s="232">
        <v>0.43841617244733216</v>
      </c>
      <c r="O93" s="144"/>
      <c r="P93" s="232">
        <v>1.6038437360063482</v>
      </c>
      <c r="Q93" s="144"/>
    </row>
    <row r="94" spans="1:17" s="145" customFormat="1" x14ac:dyDescent="0.35">
      <c r="A94" s="232" t="s">
        <v>1524</v>
      </c>
      <c r="B94" s="232">
        <v>2.4076821391508414</v>
      </c>
      <c r="C94" s="144"/>
      <c r="D94" s="232">
        <v>10.483312177398483</v>
      </c>
      <c r="E94" s="144">
        <v>0</v>
      </c>
      <c r="F94" s="232">
        <v>8.305245009614401</v>
      </c>
      <c r="G94" s="144"/>
      <c r="H94" s="232">
        <v>8.6066153998347534</v>
      </c>
      <c r="I94" s="144"/>
      <c r="J94" s="232">
        <v>1.7197729565363151</v>
      </c>
      <c r="K94" s="144"/>
      <c r="L94" s="232">
        <v>2.2902342299239713</v>
      </c>
      <c r="M94" s="144"/>
      <c r="N94" s="232">
        <v>3.4311567766992823</v>
      </c>
      <c r="O94" s="144"/>
      <c r="P94" s="232">
        <v>12.552090113021476</v>
      </c>
      <c r="Q94" s="144"/>
    </row>
    <row r="95" spans="1:17" s="145" customFormat="1" x14ac:dyDescent="0.35">
      <c r="A95" s="232" t="s">
        <v>1523</v>
      </c>
      <c r="B95" s="232">
        <v>6.3057186501281413</v>
      </c>
      <c r="C95" s="144"/>
      <c r="D95" s="232">
        <v>18.007715178958406</v>
      </c>
      <c r="E95" s="144">
        <v>0</v>
      </c>
      <c r="F95" s="232">
        <v>21.751433671173732</v>
      </c>
      <c r="G95" s="144"/>
      <c r="H95" s="232">
        <v>10.296442727049429</v>
      </c>
      <c r="I95" s="144"/>
      <c r="J95" s="232">
        <v>4.50408475009153</v>
      </c>
      <c r="K95" s="144"/>
      <c r="L95" s="232">
        <v>5.9981226184145751</v>
      </c>
      <c r="M95" s="144"/>
      <c r="N95" s="232">
        <v>8.9861983550606617</v>
      </c>
      <c r="O95" s="144"/>
      <c r="P95" s="232">
        <v>32.873919458356639</v>
      </c>
      <c r="Q95" s="144"/>
    </row>
    <row r="96" spans="1:17" s="145" customFormat="1" x14ac:dyDescent="0.35">
      <c r="A96" s="232" t="s">
        <v>1522</v>
      </c>
      <c r="B96" s="232">
        <v>0.77710549883064228</v>
      </c>
      <c r="C96" s="144"/>
      <c r="D96" s="232">
        <v>1.276285439048515</v>
      </c>
      <c r="E96" s="144">
        <v>0</v>
      </c>
      <c r="F96" s="232">
        <v>2.6806078182659787</v>
      </c>
      <c r="G96" s="144"/>
      <c r="H96" s="232">
        <v>4.6890380955489634E-2</v>
      </c>
      <c r="I96" s="144"/>
      <c r="J96" s="232">
        <v>0.55507535630760163</v>
      </c>
      <c r="K96" s="144"/>
      <c r="L96" s="232">
        <v>0.73919791352183051</v>
      </c>
      <c r="M96" s="144"/>
      <c r="N96" s="232">
        <v>1.107443027950288</v>
      </c>
      <c r="O96" s="144"/>
      <c r="P96" s="232">
        <v>4.0513230920452576</v>
      </c>
      <c r="Q96" s="144"/>
    </row>
    <row r="97" spans="1:17" s="145" customFormat="1" x14ac:dyDescent="0.35">
      <c r="A97" s="232" t="s">
        <v>1521</v>
      </c>
      <c r="B97" s="232">
        <v>0.57200940889366692</v>
      </c>
      <c r="C97" s="144"/>
      <c r="D97" s="232">
        <v>0.94419742420948105</v>
      </c>
      <c r="E97" s="144">
        <v>0</v>
      </c>
      <c r="F97" s="232">
        <v>1.9731335010617781</v>
      </c>
      <c r="G97" s="144"/>
      <c r="H97" s="232">
        <v>4.0674847397320815E-2</v>
      </c>
      <c r="I97" s="144"/>
      <c r="J97" s="232">
        <v>0.40857814920976215</v>
      </c>
      <c r="K97" s="144"/>
      <c r="L97" s="232">
        <v>0.54410651089885398</v>
      </c>
      <c r="M97" s="144"/>
      <c r="N97" s="232">
        <v>0.81516323427703763</v>
      </c>
      <c r="O97" s="144"/>
      <c r="P97" s="232">
        <v>2.9820853546979089</v>
      </c>
      <c r="Q97" s="144"/>
    </row>
    <row r="98" spans="1:17" s="145" customFormat="1" x14ac:dyDescent="0.35">
      <c r="A98" s="232" t="s">
        <v>1520</v>
      </c>
      <c r="B98" s="232">
        <v>26.068579970813317</v>
      </c>
      <c r="C98" s="144"/>
      <c r="D98" s="232">
        <v>42.259193677322557</v>
      </c>
      <c r="E98" s="144">
        <v>0</v>
      </c>
      <c r="F98" s="232">
        <v>89.922976205941424</v>
      </c>
      <c r="G98" s="144"/>
      <c r="H98" s="232">
        <v>0.85404498178633159</v>
      </c>
      <c r="I98" s="144"/>
      <c r="J98" s="232">
        <v>18.620414264866657</v>
      </c>
      <c r="K98" s="144"/>
      <c r="L98" s="232">
        <v>24.796941923456576</v>
      </c>
      <c r="M98" s="144"/>
      <c r="N98" s="232">
        <v>37.149997240636402</v>
      </c>
      <c r="O98" s="144"/>
      <c r="P98" s="232">
        <v>135.90463607773415</v>
      </c>
      <c r="Q98" s="144"/>
    </row>
    <row r="99" spans="1:17" s="145" customFormat="1" x14ac:dyDescent="0.35">
      <c r="A99" s="232" t="s">
        <v>1519</v>
      </c>
      <c r="B99" s="232">
        <v>3.4078221760827157E-2</v>
      </c>
      <c r="C99" s="144"/>
      <c r="D99" s="232">
        <v>6.0353364017052248E-2</v>
      </c>
      <c r="E99" s="144">
        <v>0</v>
      </c>
      <c r="F99" s="232">
        <v>0.11755205415755711</v>
      </c>
      <c r="G99" s="144"/>
      <c r="H99" s="232">
        <v>7.7386767191541693E-3</v>
      </c>
      <c r="I99" s="144"/>
      <c r="J99" s="232">
        <v>2.4341586972019397E-2</v>
      </c>
      <c r="K99" s="144"/>
      <c r="L99" s="232">
        <v>3.2415869479811205E-2</v>
      </c>
      <c r="M99" s="144"/>
      <c r="N99" s="232">
        <v>4.8564434495394798E-2</v>
      </c>
      <c r="O99" s="144"/>
      <c r="P99" s="232">
        <v>0.17766170354376384</v>
      </c>
      <c r="Q99" s="144"/>
    </row>
    <row r="100" spans="1:17" s="145" customFormat="1" x14ac:dyDescent="0.35">
      <c r="A100" s="231" t="s">
        <v>1518</v>
      </c>
      <c r="B100" s="231">
        <v>8.7681249226342073E-2</v>
      </c>
      <c r="C100" s="141"/>
      <c r="D100" s="231">
        <v>0.14951174807302128</v>
      </c>
      <c r="E100" s="141">
        <v>0</v>
      </c>
      <c r="F100" s="231">
        <v>0.30245448339400233</v>
      </c>
      <c r="G100" s="141"/>
      <c r="H100" s="231">
        <v>1.2428458726563771E-2</v>
      </c>
      <c r="I100" s="141"/>
      <c r="J100" s="231">
        <v>6.2629463733101479E-2</v>
      </c>
      <c r="K100" s="141"/>
      <c r="L100" s="231">
        <v>8.3404115117740041E-2</v>
      </c>
      <c r="M100" s="141"/>
      <c r="N100" s="231">
        <v>0.12495341788701711</v>
      </c>
      <c r="O100" s="141"/>
      <c r="P100" s="231">
        <v>0.4571130564184448</v>
      </c>
      <c r="Q100" s="141"/>
    </row>
    <row r="101" spans="1:17" s="145" customFormat="1" x14ac:dyDescent="0.35"/>
    <row r="102" spans="1:17" s="145" customFormat="1" x14ac:dyDescent="0.35"/>
    <row r="103" spans="1:17" s="145" customFormat="1" ht="13.9" x14ac:dyDescent="0.4">
      <c r="A103" s="386" t="s">
        <v>1907</v>
      </c>
    </row>
    <row r="104" spans="1:17" s="145" customFormat="1" ht="51.4" x14ac:dyDescent="0.4">
      <c r="A104" s="397"/>
      <c r="B104" s="409" t="s">
        <v>1786</v>
      </c>
      <c r="C104" s="409" t="s">
        <v>1785</v>
      </c>
      <c r="D104" s="409" t="s">
        <v>1784</v>
      </c>
      <c r="E104" s="409" t="s">
        <v>1783</v>
      </c>
      <c r="F104" s="409" t="s">
        <v>1782</v>
      </c>
      <c r="G104" s="409" t="s">
        <v>1781</v>
      </c>
      <c r="H104" s="409" t="s">
        <v>1780</v>
      </c>
      <c r="I104" s="409" t="s">
        <v>1779</v>
      </c>
      <c r="J104" s="407" t="s">
        <v>1906</v>
      </c>
    </row>
    <row r="105" spans="1:17" s="145" customFormat="1" ht="13.15" x14ac:dyDescent="0.4">
      <c r="A105" s="388" t="s">
        <v>1862</v>
      </c>
      <c r="B105" s="408"/>
      <c r="C105" s="408"/>
      <c r="D105" s="408"/>
      <c r="E105" s="408"/>
      <c r="H105" s="408"/>
      <c r="I105" s="408"/>
      <c r="J105" s="407"/>
    </row>
    <row r="106" spans="1:17" s="145" customFormat="1" x14ac:dyDescent="0.35">
      <c r="A106" s="232" t="s">
        <v>1905</v>
      </c>
      <c r="B106" s="145">
        <v>0.59482229041665546</v>
      </c>
      <c r="C106" s="145">
        <v>3.485144381480032</v>
      </c>
      <c r="D106" s="145">
        <v>2.0518260192072786</v>
      </c>
      <c r="E106" s="145">
        <v>3.286448594241306</v>
      </c>
      <c r="F106" s="145">
        <v>0.4248730645833253</v>
      </c>
      <c r="G106" s="145">
        <v>0.56580656893291625</v>
      </c>
      <c r="H106" s="145">
        <v>0.84767357763209772</v>
      </c>
      <c r="I106" s="145">
        <v>3.1010168946873304</v>
      </c>
      <c r="J106" s="146">
        <v>14.35761139118094</v>
      </c>
    </row>
    <row r="107" spans="1:17" s="145" customFormat="1" x14ac:dyDescent="0.35">
      <c r="A107" s="232" t="s">
        <v>1536</v>
      </c>
      <c r="B107" s="145">
        <v>0.48073429031852477</v>
      </c>
      <c r="C107" s="145">
        <v>3.3014581835306296</v>
      </c>
      <c r="D107" s="145">
        <v>1.6582820467433435</v>
      </c>
      <c r="E107" s="145">
        <v>3.2843429190685183</v>
      </c>
      <c r="F107" s="145">
        <v>0.34338163594180338</v>
      </c>
      <c r="G107" s="145">
        <v>0.4572838371322554</v>
      </c>
      <c r="H107" s="145">
        <v>0.685088239513159</v>
      </c>
      <c r="I107" s="145">
        <v>2.5062361988637516</v>
      </c>
      <c r="J107" s="146">
        <v>12.716807351111987</v>
      </c>
    </row>
    <row r="108" spans="1:17" s="145" customFormat="1" x14ac:dyDescent="0.35">
      <c r="A108" s="232" t="s">
        <v>1535</v>
      </c>
      <c r="B108" s="145">
        <v>0.27548817337916315</v>
      </c>
      <c r="C108" s="145">
        <v>0.44354366408764684</v>
      </c>
      <c r="D108" s="145">
        <v>0.9502902147922353</v>
      </c>
      <c r="E108" s="145">
        <v>5.0804191709875792E-3</v>
      </c>
      <c r="F108" s="145">
        <v>0.19677726669940224</v>
      </c>
      <c r="G108" s="145">
        <v>0.26204972589725278</v>
      </c>
      <c r="H108" s="145">
        <v>0.39259464429295376</v>
      </c>
      <c r="I108" s="145">
        <v>1.4362163182165384</v>
      </c>
      <c r="J108" s="146">
        <v>3.9620404265361806</v>
      </c>
    </row>
    <row r="109" spans="1:17" s="145" customFormat="1" x14ac:dyDescent="0.35">
      <c r="A109" s="232" t="s">
        <v>1534</v>
      </c>
      <c r="B109" s="145">
        <v>0.19588470873425265</v>
      </c>
      <c r="C109" s="145">
        <v>2.8336362836364706</v>
      </c>
      <c r="D109" s="145">
        <v>0.67569986636554069</v>
      </c>
      <c r="E109" s="145">
        <v>3.2671591621712852</v>
      </c>
      <c r="F109" s="145">
        <v>0.13991764909589474</v>
      </c>
      <c r="G109" s="145">
        <v>0.18632935708867945</v>
      </c>
      <c r="H109" s="145">
        <v>0.27915277307424857</v>
      </c>
      <c r="I109" s="145">
        <v>1.0212155814980119</v>
      </c>
      <c r="J109" s="146">
        <v>8.598995381664384</v>
      </c>
    </row>
    <row r="110" spans="1:17" s="145" customFormat="1" x14ac:dyDescent="0.35">
      <c r="A110" s="231" t="s">
        <v>1533</v>
      </c>
      <c r="B110" s="142">
        <v>9.3614082051089609E-3</v>
      </c>
      <c r="C110" s="142">
        <v>2.4278235806512453E-2</v>
      </c>
      <c r="D110" s="142">
        <v>3.2291965585567496E-2</v>
      </c>
      <c r="E110" s="142">
        <v>1.2103337726245403E-2</v>
      </c>
      <c r="F110" s="142">
        <v>6.6867201465064009E-3</v>
      </c>
      <c r="G110" s="142">
        <v>8.9047541463231593E-3</v>
      </c>
      <c r="H110" s="142">
        <v>1.3340822145956673E-2</v>
      </c>
      <c r="I110" s="142">
        <v>4.8804299149201195E-2</v>
      </c>
      <c r="J110" s="143">
        <v>0.15577154291142176</v>
      </c>
    </row>
    <row r="111" spans="1:17" s="145" customFormat="1" x14ac:dyDescent="0.35">
      <c r="A111" s="231" t="s">
        <v>1532</v>
      </c>
      <c r="B111" s="44">
        <v>57.221680708057583</v>
      </c>
      <c r="C111" s="44">
        <v>98.694511444418751</v>
      </c>
      <c r="D111" s="44">
        <v>197.3848916410349</v>
      </c>
      <c r="E111" s="44">
        <v>9.564500952697971</v>
      </c>
      <c r="F111" s="44">
        <v>40.872629077183994</v>
      </c>
      <c r="G111" s="44">
        <v>54.430379210103567</v>
      </c>
      <c r="H111" s="44">
        <v>81.545879475942698</v>
      </c>
      <c r="I111" s="44">
        <v>298.31665940729187</v>
      </c>
      <c r="J111" s="152">
        <v>838.03113191673128</v>
      </c>
    </row>
    <row r="112" spans="1:17" s="145" customFormat="1" ht="13.15" x14ac:dyDescent="0.4">
      <c r="A112" s="390" t="s">
        <v>1904</v>
      </c>
      <c r="B112" s="157"/>
      <c r="C112" s="157"/>
      <c r="D112" s="157"/>
      <c r="E112" s="157"/>
      <c r="F112" s="157"/>
      <c r="G112" s="157"/>
      <c r="H112" s="157"/>
      <c r="I112" s="157"/>
      <c r="J112" s="241"/>
    </row>
    <row r="113" spans="1:12" s="145" customFormat="1" x14ac:dyDescent="0.35">
      <c r="A113" s="232" t="s">
        <v>1525</v>
      </c>
      <c r="B113" s="145">
        <v>4.3208244221895189</v>
      </c>
      <c r="C113" s="145">
        <v>1636.4898566030386</v>
      </c>
      <c r="D113" s="145">
        <v>14.904585985949909</v>
      </c>
      <c r="E113" s="145">
        <v>38.353388725259826</v>
      </c>
      <c r="F113" s="145">
        <v>3.0863031587067993</v>
      </c>
      <c r="G113" s="145">
        <v>4.1100524991558842</v>
      </c>
      <c r="H113" s="145">
        <v>6.1575511800540532</v>
      </c>
      <c r="I113" s="145">
        <v>22.525970778266817</v>
      </c>
      <c r="J113" s="146">
        <v>1729.9485333526216</v>
      </c>
    </row>
    <row r="114" spans="1:12" s="145" customFormat="1" x14ac:dyDescent="0.35">
      <c r="A114" s="232" t="s">
        <v>1524</v>
      </c>
      <c r="B114" s="145">
        <v>12.065607978593359</v>
      </c>
      <c r="C114" s="145">
        <v>166.41487533185006</v>
      </c>
      <c r="D114" s="145">
        <v>41.620041459259326</v>
      </c>
      <c r="E114" s="145">
        <v>161.61931745134314</v>
      </c>
      <c r="F114" s="145">
        <v>8.6182914132809714</v>
      </c>
      <c r="G114" s="145">
        <v>11.477041735735149</v>
      </c>
      <c r="H114" s="145">
        <v>17.194542380643497</v>
      </c>
      <c r="I114" s="145">
        <v>62.90223952448671</v>
      </c>
      <c r="J114" s="146">
        <v>481.91195727519226</v>
      </c>
    </row>
    <row r="115" spans="1:12" s="145" customFormat="1" x14ac:dyDescent="0.35">
      <c r="A115" s="232" t="s">
        <v>1563</v>
      </c>
      <c r="B115" s="145">
        <v>27.098342926102511</v>
      </c>
      <c r="C115" s="145">
        <v>245.82569237155269</v>
      </c>
      <c r="D115" s="145">
        <v>93.475120198053972</v>
      </c>
      <c r="E115" s="145">
        <v>227.87061846172023</v>
      </c>
      <c r="F115" s="145">
        <v>19.355959232930367</v>
      </c>
      <c r="G115" s="145">
        <v>25.77647253946337</v>
      </c>
      <c r="H115" s="145">
        <v>38.617499152529362</v>
      </c>
      <c r="I115" s="145">
        <v>141.27315096583311</v>
      </c>
      <c r="J115" s="146">
        <v>819.29285584818558</v>
      </c>
    </row>
    <row r="116" spans="1:12" s="145" customFormat="1" x14ac:dyDescent="0.35">
      <c r="A116" s="232" t="s">
        <v>1522</v>
      </c>
      <c r="B116" s="145">
        <v>4.8942339073361039</v>
      </c>
      <c r="C116" s="145">
        <v>76.970320260318687</v>
      </c>
      <c r="D116" s="145">
        <v>16.882549018337084</v>
      </c>
      <c r="E116" s="145">
        <v>11.871092058042329</v>
      </c>
      <c r="F116" s="145">
        <v>3.4958813623829315</v>
      </c>
      <c r="G116" s="145">
        <v>4.655490789905075</v>
      </c>
      <c r="H116" s="145">
        <v>6.9747096449493604</v>
      </c>
      <c r="I116" s="145">
        <v>25.515355220749598</v>
      </c>
      <c r="J116" s="146">
        <v>151.25963226202117</v>
      </c>
    </row>
    <row r="117" spans="1:12" s="145" customFormat="1" x14ac:dyDescent="0.35">
      <c r="A117" s="232" t="s">
        <v>1521</v>
      </c>
      <c r="B117" s="145">
        <v>2.1300496627400278</v>
      </c>
      <c r="C117" s="145">
        <v>42.439690849695566</v>
      </c>
      <c r="D117" s="145">
        <v>7.3475580700788425</v>
      </c>
      <c r="E117" s="145">
        <v>11.716160686223454</v>
      </c>
      <c r="F117" s="145">
        <v>1.5214640448143055</v>
      </c>
      <c r="G117" s="145">
        <v>2.0261448011429537</v>
      </c>
      <c r="H117" s="145">
        <v>3.0355063138002487</v>
      </c>
      <c r="I117" s="145">
        <v>11.104694792209358</v>
      </c>
      <c r="J117" s="146">
        <v>81.32126922070475</v>
      </c>
    </row>
    <row r="118" spans="1:12" s="145" customFormat="1" x14ac:dyDescent="0.35">
      <c r="A118" s="232" t="s">
        <v>1520</v>
      </c>
      <c r="B118" s="145">
        <v>73.590814729821446</v>
      </c>
      <c r="C118" s="145">
        <v>144.78435952887412</v>
      </c>
      <c r="D118" s="145">
        <v>253.84984871959315</v>
      </c>
      <c r="E118" s="145">
        <v>35.442152020502817</v>
      </c>
      <c r="F118" s="145">
        <v>52.564867664158172</v>
      </c>
      <c r="G118" s="145">
        <v>70.001018889342362</v>
      </c>
      <c r="H118" s="145">
        <v>104.8733213397107</v>
      </c>
      <c r="I118" s="145">
        <v>383.65468720267648</v>
      </c>
      <c r="J118" s="146">
        <v>1118.7610700946793</v>
      </c>
    </row>
    <row r="119" spans="1:12" s="145" customFormat="1" x14ac:dyDescent="0.35">
      <c r="A119" s="232" t="s">
        <v>1519</v>
      </c>
      <c r="B119" s="145">
        <v>0.15777114813037935</v>
      </c>
      <c r="C119" s="145">
        <v>1.8863253170790502</v>
      </c>
      <c r="D119" s="145">
        <v>0.5442280022615873</v>
      </c>
      <c r="E119" s="145">
        <v>2.1183088466984148</v>
      </c>
      <c r="F119" s="145">
        <v>0.11269367723598524</v>
      </c>
      <c r="G119" s="145">
        <v>0.1500749945630438</v>
      </c>
      <c r="H119" s="145">
        <v>0.2248376292171608</v>
      </c>
      <c r="I119" s="145">
        <v>0.82251624347133634</v>
      </c>
      <c r="J119" s="146">
        <v>6.0167558586569587</v>
      </c>
    </row>
    <row r="120" spans="1:12" s="145" customFormat="1" x14ac:dyDescent="0.35">
      <c r="A120" s="232" t="s">
        <v>1518</v>
      </c>
      <c r="B120" s="145">
        <v>0.37038589870552913</v>
      </c>
      <c r="C120" s="145">
        <v>4.3927191992575336</v>
      </c>
      <c r="D120" s="145">
        <v>1.2776377690539158</v>
      </c>
      <c r="E120" s="145">
        <v>4.9267775149094746</v>
      </c>
      <c r="F120" s="145">
        <v>0.26456135621823507</v>
      </c>
      <c r="G120" s="145">
        <v>0.3523182938906253</v>
      </c>
      <c r="H120" s="145">
        <v>0.52783216923540555</v>
      </c>
      <c r="I120" s="145">
        <v>1.9309513916084995</v>
      </c>
      <c r="J120" s="146">
        <v>14.04318359287922</v>
      </c>
    </row>
    <row r="121" spans="1:12" s="145" customFormat="1" x14ac:dyDescent="0.35">
      <c r="A121" s="232" t="s">
        <v>1531</v>
      </c>
      <c r="B121" s="145">
        <v>76.325950495180592</v>
      </c>
      <c r="C121" s="145">
        <v>632.88778504350523</v>
      </c>
      <c r="D121" s="145">
        <v>263.28463759661599</v>
      </c>
      <c r="E121" s="145">
        <v>662.34569251825258</v>
      </c>
      <c r="F121" s="145">
        <v>54.518536067986133</v>
      </c>
      <c r="G121" s="145">
        <v>72.60273339785472</v>
      </c>
      <c r="H121" s="145">
        <v>108.77112805759185</v>
      </c>
      <c r="I121" s="145">
        <v>397.9139077367642</v>
      </c>
      <c r="J121" s="146">
        <v>2268.6503709137514</v>
      </c>
    </row>
    <row r="122" spans="1:12" s="145" customFormat="1" x14ac:dyDescent="0.35">
      <c r="A122" s="232" t="s">
        <v>1530</v>
      </c>
      <c r="B122" s="145">
        <v>0.61804269643349419</v>
      </c>
      <c r="C122" s="145">
        <v>5.9714867138457013</v>
      </c>
      <c r="D122" s="145">
        <v>2.1319242838646666</v>
      </c>
      <c r="E122" s="145">
        <v>6.4606144157730228</v>
      </c>
      <c r="F122" s="145">
        <v>0.44145906888106728</v>
      </c>
      <c r="G122" s="145">
        <v>0.58789427221722634</v>
      </c>
      <c r="H122" s="145">
        <v>0.88076467888954402</v>
      </c>
      <c r="I122" s="145">
        <v>3.2220730025700353</v>
      </c>
      <c r="J122" s="146">
        <v>20.314259132474756</v>
      </c>
    </row>
    <row r="123" spans="1:12" s="48" customFormat="1" x14ac:dyDescent="0.35">
      <c r="A123" s="49" t="s">
        <v>1529</v>
      </c>
      <c r="B123" s="154">
        <v>39989.877207823469</v>
      </c>
      <c r="C123" s="154">
        <v>214433.08981757087</v>
      </c>
      <c r="D123" s="154">
        <v>137944.17573430395</v>
      </c>
      <c r="E123" s="154">
        <v>195193.2633912634</v>
      </c>
      <c r="F123" s="154">
        <v>28564.19800558819</v>
      </c>
      <c r="G123" s="154">
        <v>38039.151490368669</v>
      </c>
      <c r="H123" s="154">
        <v>56989.058459929613</v>
      </c>
      <c r="I123" s="154">
        <v>208481.23353122413</v>
      </c>
      <c r="J123" s="155">
        <v>919634.0476380724</v>
      </c>
      <c r="L123" s="154"/>
    </row>
    <row r="124" spans="1:12" s="48" customFormat="1" x14ac:dyDescent="0.35">
      <c r="A124" s="49" t="s">
        <v>1528</v>
      </c>
      <c r="B124" s="154">
        <v>40022.304018381845</v>
      </c>
      <c r="C124" s="154">
        <v>219794.99229379086</v>
      </c>
      <c r="D124" s="154">
        <v>138056.03128291995</v>
      </c>
      <c r="E124" s="154">
        <v>195566.77133259494</v>
      </c>
      <c r="F124" s="154">
        <v>28587.360013129884</v>
      </c>
      <c r="G124" s="154">
        <v>38069.996505290052</v>
      </c>
      <c r="H124" s="154">
        <v>57035.269489610364</v>
      </c>
      <c r="I124" s="154">
        <v>208650.28584987868</v>
      </c>
      <c r="J124" s="155">
        <v>925783.01078559656</v>
      </c>
      <c r="L124" s="154"/>
    </row>
    <row r="125" spans="1:12" s="48" customFormat="1" x14ac:dyDescent="0.35">
      <c r="A125" s="45" t="s">
        <v>1527</v>
      </c>
      <c r="B125" s="151">
        <v>42475.863847792141</v>
      </c>
      <c r="C125" s="151">
        <v>240364.06982426511</v>
      </c>
      <c r="D125" s="151">
        <v>146519.53034604256</v>
      </c>
      <c r="E125" s="151">
        <v>217149.20492832238</v>
      </c>
      <c r="F125" s="151">
        <v>30339.902748422952</v>
      </c>
      <c r="G125" s="151">
        <v>40403.87048936326</v>
      </c>
      <c r="H125" s="151">
        <v>60531.805971243848</v>
      </c>
      <c r="I125" s="151">
        <v>221441.55242766265</v>
      </c>
      <c r="J125" s="152">
        <v>999225.80058311485</v>
      </c>
    </row>
    <row r="126" spans="1:12" s="145" customFormat="1" ht="13.15" x14ac:dyDescent="0.4">
      <c r="A126" s="388" t="s">
        <v>1903</v>
      </c>
      <c r="C126" s="148"/>
      <c r="D126" s="148"/>
      <c r="E126" s="148"/>
      <c r="F126" s="148"/>
      <c r="G126" s="148"/>
      <c r="H126" s="148"/>
      <c r="I126" s="148"/>
      <c r="J126" s="146"/>
    </row>
    <row r="127" spans="1:12" s="145" customFormat="1" x14ac:dyDescent="0.35">
      <c r="A127" s="232" t="s">
        <v>1525</v>
      </c>
      <c r="B127" s="145">
        <v>0.30764166624054851</v>
      </c>
      <c r="C127" s="145">
        <v>1.8707054285856406</v>
      </c>
      <c r="D127" s="145">
        <v>1.061202960202589</v>
      </c>
      <c r="E127" s="145">
        <v>1.7881216369028621</v>
      </c>
      <c r="F127" s="145">
        <v>0.21974404731467748</v>
      </c>
      <c r="G127" s="145">
        <v>0.29263475569222908</v>
      </c>
      <c r="H127" s="145">
        <v>0.43841617244733216</v>
      </c>
      <c r="I127" s="145">
        <v>1.6038437360063482</v>
      </c>
      <c r="J127" s="146">
        <v>7.5823104033922277</v>
      </c>
    </row>
    <row r="128" spans="1:12" s="145" customFormat="1" x14ac:dyDescent="0.35">
      <c r="A128" s="232" t="s">
        <v>1524</v>
      </c>
      <c r="B128" s="145">
        <v>2.4076821391508414</v>
      </c>
      <c r="C128" s="145">
        <v>10.483312177398483</v>
      </c>
      <c r="D128" s="145">
        <v>8.305245009614401</v>
      </c>
      <c r="E128" s="145">
        <v>8.6066153998347534</v>
      </c>
      <c r="F128" s="145">
        <v>1.7197729565363151</v>
      </c>
      <c r="G128" s="145">
        <v>2.2902342299239713</v>
      </c>
      <c r="H128" s="145">
        <v>3.4311567766992823</v>
      </c>
      <c r="I128" s="145">
        <v>12.552090113021476</v>
      </c>
      <c r="J128" s="146">
        <v>49.796108802179525</v>
      </c>
    </row>
    <row r="129" spans="1:61" s="145" customFormat="1" x14ac:dyDescent="0.35">
      <c r="A129" s="232" t="s">
        <v>1523</v>
      </c>
      <c r="B129" s="145">
        <v>6.3057186501281413</v>
      </c>
      <c r="C129" s="145">
        <v>18.007715178958406</v>
      </c>
      <c r="D129" s="145">
        <v>21.751433671173732</v>
      </c>
      <c r="E129" s="145">
        <v>10.296442727049429</v>
      </c>
      <c r="F129" s="145">
        <v>4.50408475009153</v>
      </c>
      <c r="G129" s="145">
        <v>5.9981226184145751</v>
      </c>
      <c r="H129" s="145">
        <v>8.9861983550606617</v>
      </c>
      <c r="I129" s="145">
        <v>32.873919458356639</v>
      </c>
      <c r="J129" s="146">
        <v>108.72363540923311</v>
      </c>
    </row>
    <row r="130" spans="1:61" s="145" customFormat="1" x14ac:dyDescent="0.35">
      <c r="A130" s="232" t="s">
        <v>1522</v>
      </c>
      <c r="B130" s="145">
        <v>0.77710549883064228</v>
      </c>
      <c r="C130" s="145">
        <v>1.276285439048515</v>
      </c>
      <c r="D130" s="145">
        <v>2.6806078182659787</v>
      </c>
      <c r="E130" s="145">
        <v>4.6890380955489634E-2</v>
      </c>
      <c r="F130" s="145">
        <v>0.55507535630760163</v>
      </c>
      <c r="G130" s="145">
        <v>0.73919791352183051</v>
      </c>
      <c r="H130" s="145">
        <v>1.107443027950288</v>
      </c>
      <c r="I130" s="145">
        <v>4.0513230920452576</v>
      </c>
      <c r="J130" s="146">
        <v>11.233928526925602</v>
      </c>
    </row>
    <row r="131" spans="1:61" s="145" customFormat="1" x14ac:dyDescent="0.35">
      <c r="A131" s="232" t="s">
        <v>1521</v>
      </c>
      <c r="B131" s="145">
        <v>0.57200940889366692</v>
      </c>
      <c r="C131" s="145">
        <v>0.94419742420948105</v>
      </c>
      <c r="D131" s="145">
        <v>1.9731335010617781</v>
      </c>
      <c r="E131" s="145">
        <v>4.0674847397320815E-2</v>
      </c>
      <c r="F131" s="145">
        <v>0.40857814920976215</v>
      </c>
      <c r="G131" s="145">
        <v>0.54410651089885398</v>
      </c>
      <c r="H131" s="145">
        <v>0.81516323427703763</v>
      </c>
      <c r="I131" s="145">
        <v>2.9820853546979089</v>
      </c>
      <c r="J131" s="146">
        <v>8.2799484306458098</v>
      </c>
    </row>
    <row r="132" spans="1:61" s="145" customFormat="1" x14ac:dyDescent="0.35">
      <c r="A132" s="232" t="s">
        <v>1520</v>
      </c>
      <c r="B132" s="145">
        <v>26.068579970813317</v>
      </c>
      <c r="C132" s="145">
        <v>42.259193677322557</v>
      </c>
      <c r="D132" s="145">
        <v>89.922976205941424</v>
      </c>
      <c r="E132" s="145">
        <v>0.85404498178633159</v>
      </c>
      <c r="F132" s="145">
        <v>18.620414264866657</v>
      </c>
      <c r="G132" s="145">
        <v>24.796941923456576</v>
      </c>
      <c r="H132" s="145">
        <v>37.149997240636402</v>
      </c>
      <c r="I132" s="145">
        <v>135.90463607773415</v>
      </c>
      <c r="J132" s="146">
        <v>375.5767843425574</v>
      </c>
    </row>
    <row r="133" spans="1:61" s="145" customFormat="1" x14ac:dyDescent="0.35">
      <c r="A133" s="232" t="s">
        <v>1519</v>
      </c>
      <c r="B133" s="145">
        <v>3.4078221760827157E-2</v>
      </c>
      <c r="C133" s="145">
        <v>6.0353364017052248E-2</v>
      </c>
      <c r="D133" s="145">
        <v>0.11755205415755711</v>
      </c>
      <c r="E133" s="145">
        <v>7.7386767191541693E-3</v>
      </c>
      <c r="F133" s="145">
        <v>2.4341586972019397E-2</v>
      </c>
      <c r="G133" s="145">
        <v>3.2415869479811205E-2</v>
      </c>
      <c r="H133" s="145">
        <v>4.8564434495394798E-2</v>
      </c>
      <c r="I133" s="145">
        <v>0.17766170354376384</v>
      </c>
      <c r="J133" s="146">
        <v>0.50270591114557994</v>
      </c>
    </row>
    <row r="134" spans="1:61" s="145" customFormat="1" x14ac:dyDescent="0.35">
      <c r="A134" s="231" t="s">
        <v>1518</v>
      </c>
      <c r="B134" s="142">
        <v>8.7681249226342073E-2</v>
      </c>
      <c r="C134" s="142">
        <v>0.14951174807302128</v>
      </c>
      <c r="D134" s="142">
        <v>0.30245448339400233</v>
      </c>
      <c r="E134" s="142">
        <v>1.2428458726563771E-2</v>
      </c>
      <c r="F134" s="142">
        <v>6.2629463733101479E-2</v>
      </c>
      <c r="G134" s="142">
        <v>8.3404115117740041E-2</v>
      </c>
      <c r="H134" s="142">
        <v>0.12495341788701711</v>
      </c>
      <c r="I134" s="142">
        <v>0.4571130564184448</v>
      </c>
      <c r="J134" s="143">
        <v>1.2801759925762328</v>
      </c>
    </row>
    <row r="135" spans="1:61" s="145" customFormat="1" x14ac:dyDescent="0.35"/>
    <row r="136" spans="1:61" s="145" customFormat="1" ht="13.9" x14ac:dyDescent="0.4">
      <c r="A136" s="386" t="s">
        <v>1902</v>
      </c>
    </row>
    <row r="137" spans="1:61" s="145" customFormat="1" ht="13.15" x14ac:dyDescent="0.4">
      <c r="A137" s="400" t="s">
        <v>1901</v>
      </c>
    </row>
    <row r="138" spans="1:61" s="145" customFormat="1" ht="91.9" x14ac:dyDescent="0.4">
      <c r="A138" s="406"/>
      <c r="B138" s="405" t="s">
        <v>1900</v>
      </c>
      <c r="C138" s="405" t="s">
        <v>1899</v>
      </c>
      <c r="D138" s="405" t="s">
        <v>1898</v>
      </c>
      <c r="E138" s="405" t="s">
        <v>1897</v>
      </c>
      <c r="F138" s="405" t="s">
        <v>1896</v>
      </c>
      <c r="G138" s="405" t="s">
        <v>288</v>
      </c>
      <c r="H138" s="405" t="s">
        <v>1417</v>
      </c>
      <c r="I138" s="405" t="s">
        <v>1895</v>
      </c>
      <c r="J138" s="405" t="s">
        <v>1894</v>
      </c>
      <c r="K138" s="405" t="s">
        <v>1893</v>
      </c>
      <c r="L138" s="405" t="s">
        <v>1892</v>
      </c>
      <c r="M138" s="405" t="s">
        <v>1891</v>
      </c>
      <c r="N138" s="405" t="s">
        <v>1890</v>
      </c>
      <c r="O138" s="405" t="s">
        <v>1399</v>
      </c>
      <c r="P138" s="405" t="s">
        <v>1398</v>
      </c>
      <c r="Q138" s="405" t="s">
        <v>1889</v>
      </c>
      <c r="R138" s="405" t="s">
        <v>1888</v>
      </c>
      <c r="S138" s="405" t="s">
        <v>1887</v>
      </c>
      <c r="T138" s="405" t="s">
        <v>1886</v>
      </c>
      <c r="U138" s="405" t="s">
        <v>1885</v>
      </c>
      <c r="V138" s="405" t="s">
        <v>1884</v>
      </c>
      <c r="W138" s="405" t="s">
        <v>1883</v>
      </c>
      <c r="X138" s="405" t="s">
        <v>1882</v>
      </c>
      <c r="Y138" s="405" t="s">
        <v>1881</v>
      </c>
      <c r="Z138" s="405" t="s">
        <v>1880</v>
      </c>
      <c r="AA138" s="405" t="s">
        <v>1879</v>
      </c>
      <c r="AB138" s="405" t="s">
        <v>1878</v>
      </c>
      <c r="AC138" s="405" t="s">
        <v>1877</v>
      </c>
      <c r="AD138" s="405" t="s">
        <v>1876</v>
      </c>
      <c r="AE138" s="405" t="s">
        <v>1875</v>
      </c>
      <c r="AF138" s="405" t="s">
        <v>1900</v>
      </c>
      <c r="AG138" s="405" t="s">
        <v>1899</v>
      </c>
      <c r="AH138" s="405" t="s">
        <v>1898</v>
      </c>
      <c r="AI138" s="405" t="s">
        <v>1897</v>
      </c>
      <c r="AJ138" s="405" t="s">
        <v>1896</v>
      </c>
      <c r="AK138" s="405" t="s">
        <v>288</v>
      </c>
      <c r="AL138" s="405" t="s">
        <v>1417</v>
      </c>
      <c r="AM138" s="405" t="s">
        <v>1895</v>
      </c>
      <c r="AN138" s="405" t="s">
        <v>1894</v>
      </c>
      <c r="AO138" s="405" t="s">
        <v>1893</v>
      </c>
      <c r="AP138" s="405" t="s">
        <v>1892</v>
      </c>
      <c r="AQ138" s="405" t="s">
        <v>1891</v>
      </c>
      <c r="AR138" s="405" t="s">
        <v>1890</v>
      </c>
      <c r="AS138" s="405" t="s">
        <v>1399</v>
      </c>
      <c r="AT138" s="405" t="s">
        <v>1398</v>
      </c>
      <c r="AU138" s="405" t="s">
        <v>1889</v>
      </c>
      <c r="AV138" s="405" t="s">
        <v>1888</v>
      </c>
      <c r="AW138" s="405" t="s">
        <v>1887</v>
      </c>
      <c r="AX138" s="405" t="s">
        <v>1886</v>
      </c>
      <c r="AY138" s="405" t="s">
        <v>1885</v>
      </c>
      <c r="AZ138" s="405" t="s">
        <v>1884</v>
      </c>
      <c r="BA138" s="405" t="s">
        <v>1883</v>
      </c>
      <c r="BB138" s="405" t="s">
        <v>1882</v>
      </c>
      <c r="BC138" s="405" t="s">
        <v>1881</v>
      </c>
      <c r="BD138" s="405" t="s">
        <v>1880</v>
      </c>
      <c r="BE138" s="405" t="s">
        <v>1879</v>
      </c>
      <c r="BF138" s="405" t="s">
        <v>1878</v>
      </c>
      <c r="BG138" s="405" t="s">
        <v>1877</v>
      </c>
      <c r="BH138" s="405" t="s">
        <v>1876</v>
      </c>
      <c r="BI138" s="404" t="s">
        <v>1875</v>
      </c>
    </row>
    <row r="139" spans="1:61" s="145" customFormat="1" ht="13.15" x14ac:dyDescent="0.4">
      <c r="A139" s="149" t="s">
        <v>1874</v>
      </c>
      <c r="B139" s="403" t="s">
        <v>1872</v>
      </c>
      <c r="C139" s="403" t="s">
        <v>1872</v>
      </c>
      <c r="D139" s="403" t="s">
        <v>1872</v>
      </c>
      <c r="E139" s="403" t="s">
        <v>1872</v>
      </c>
      <c r="F139" s="403" t="s">
        <v>1872</v>
      </c>
      <c r="G139" s="403" t="s">
        <v>1872</v>
      </c>
      <c r="H139" s="403" t="s">
        <v>1872</v>
      </c>
      <c r="I139" s="403" t="s">
        <v>1872</v>
      </c>
      <c r="J139" s="403" t="s">
        <v>1872</v>
      </c>
      <c r="K139" s="403" t="s">
        <v>1872</v>
      </c>
      <c r="L139" s="403" t="s">
        <v>1872</v>
      </c>
      <c r="M139" s="403" t="s">
        <v>1872</v>
      </c>
      <c r="N139" s="403" t="s">
        <v>1872</v>
      </c>
      <c r="O139" s="403" t="s">
        <v>1872</v>
      </c>
      <c r="P139" s="403" t="s">
        <v>1872</v>
      </c>
      <c r="Q139" s="403" t="s">
        <v>1872</v>
      </c>
      <c r="R139" s="403" t="s">
        <v>1872</v>
      </c>
      <c r="S139" s="403" t="s">
        <v>1872</v>
      </c>
      <c r="T139" s="403" t="s">
        <v>1872</v>
      </c>
      <c r="U139" s="403" t="s">
        <v>1872</v>
      </c>
      <c r="V139" s="403" t="s">
        <v>1872</v>
      </c>
      <c r="W139" s="403" t="s">
        <v>1872</v>
      </c>
      <c r="X139" s="403" t="s">
        <v>1872</v>
      </c>
      <c r="Y139" s="403" t="s">
        <v>1872</v>
      </c>
      <c r="Z139" s="403" t="s">
        <v>1872</v>
      </c>
      <c r="AA139" s="403" t="s">
        <v>1872</v>
      </c>
      <c r="AB139" s="403" t="s">
        <v>1872</v>
      </c>
      <c r="AC139" s="403" t="s">
        <v>1872</v>
      </c>
      <c r="AD139" s="403" t="s">
        <v>1872</v>
      </c>
      <c r="AE139" s="403" t="s">
        <v>1872</v>
      </c>
      <c r="AF139" s="403" t="s">
        <v>1873</v>
      </c>
      <c r="AG139" s="403" t="s">
        <v>1873</v>
      </c>
      <c r="AH139" s="403" t="s">
        <v>1873</v>
      </c>
      <c r="AI139" s="403" t="s">
        <v>1873</v>
      </c>
      <c r="AJ139" s="403" t="s">
        <v>1873</v>
      </c>
      <c r="AK139" s="403" t="s">
        <v>1873</v>
      </c>
      <c r="AL139" s="403" t="s">
        <v>1873</v>
      </c>
      <c r="AM139" s="403" t="s">
        <v>1873</v>
      </c>
      <c r="AN139" s="403" t="s">
        <v>1873</v>
      </c>
      <c r="AO139" s="403" t="s">
        <v>1873</v>
      </c>
      <c r="AP139" s="403" t="s">
        <v>1873</v>
      </c>
      <c r="AQ139" s="403" t="s">
        <v>1873</v>
      </c>
      <c r="AR139" s="403" t="s">
        <v>1873</v>
      </c>
      <c r="AS139" s="403" t="s">
        <v>1873</v>
      </c>
      <c r="AT139" s="403" t="s">
        <v>1873</v>
      </c>
      <c r="AU139" s="403" t="s">
        <v>1873</v>
      </c>
      <c r="AV139" s="403" t="s">
        <v>1873</v>
      </c>
      <c r="AW139" s="403" t="s">
        <v>1873</v>
      </c>
      <c r="AX139" s="403" t="s">
        <v>1873</v>
      </c>
      <c r="AY139" s="403" t="s">
        <v>1873</v>
      </c>
      <c r="AZ139" s="403" t="s">
        <v>1873</v>
      </c>
      <c r="BA139" s="403" t="s">
        <v>1873</v>
      </c>
      <c r="BB139" s="403" t="s">
        <v>1873</v>
      </c>
      <c r="BC139" s="403" t="s">
        <v>1873</v>
      </c>
      <c r="BD139" s="403" t="s">
        <v>1873</v>
      </c>
      <c r="BE139" s="403" t="s">
        <v>1873</v>
      </c>
      <c r="BF139" s="403" t="s">
        <v>1873</v>
      </c>
      <c r="BG139" s="403" t="s">
        <v>1873</v>
      </c>
      <c r="BH139" s="403" t="s">
        <v>1873</v>
      </c>
      <c r="BI139" s="402" t="s">
        <v>1873</v>
      </c>
    </row>
    <row r="140" spans="1:61" s="145" customFormat="1" x14ac:dyDescent="0.35">
      <c r="A140" s="146" t="s">
        <v>1537</v>
      </c>
      <c r="B140" s="145">
        <v>8.9109893466649567E-4</v>
      </c>
      <c r="C140" s="145">
        <v>8.9109893466649567E-4</v>
      </c>
      <c r="D140" s="145">
        <v>8.9109893466649567E-4</v>
      </c>
      <c r="E140" s="145">
        <v>2.8638736827737003E-3</v>
      </c>
      <c r="F140" s="145">
        <v>2.8638736827737003E-3</v>
      </c>
      <c r="G140" s="145">
        <v>1.3047724694347907E-2</v>
      </c>
      <c r="H140" s="145">
        <v>1.9759594618087965E-2</v>
      </c>
      <c r="I140" s="145">
        <v>8.9109893466649589E-4</v>
      </c>
      <c r="J140" s="145">
        <v>8.9109893466649589E-4</v>
      </c>
      <c r="K140" s="145">
        <v>3.6072908387803459E-3</v>
      </c>
      <c r="L140" s="145">
        <v>8.9109893466649589E-4</v>
      </c>
      <c r="M140" s="145">
        <v>8.9109893466649589E-4</v>
      </c>
      <c r="N140" s="145">
        <v>3.6072908387803459E-3</v>
      </c>
      <c r="O140" s="145">
        <v>5.1767532766133573E-3</v>
      </c>
      <c r="P140" s="145">
        <v>5.1767532766133573E-3</v>
      </c>
      <c r="Q140" s="145">
        <v>2.1775399745975971E-3</v>
      </c>
      <c r="R140" s="145">
        <v>1.0127651181141731E-3</v>
      </c>
      <c r="S140" s="145">
        <v>3.5558766678322491E-3</v>
      </c>
      <c r="T140" s="145">
        <v>5.7855273527779244E-3</v>
      </c>
      <c r="U140" s="145">
        <v>5.4965159664470079E-3</v>
      </c>
      <c r="V140" s="145">
        <v>2.1527688126770591E-3</v>
      </c>
      <c r="W140" s="145">
        <v>4.443633318735948E-3</v>
      </c>
      <c r="X140" s="145">
        <v>1.6614614558121408E-3</v>
      </c>
      <c r="Y140" s="145">
        <v>1.6962996999494765E-3</v>
      </c>
      <c r="Z140" s="145">
        <v>2.2506898260094619E-3</v>
      </c>
      <c r="AA140" s="145">
        <v>6.4452580680799407E-3</v>
      </c>
      <c r="AB140" s="145">
        <v>4.0619441149607922E-3</v>
      </c>
      <c r="AC140" s="145">
        <v>2.9208761006219077E-3</v>
      </c>
      <c r="AD140" s="145">
        <v>4.443633318735948E-3</v>
      </c>
      <c r="AE140" s="145">
        <v>4.0619441149607922E-3</v>
      </c>
      <c r="AF140" s="145">
        <v>1.7821978693329914</v>
      </c>
      <c r="AG140" s="145">
        <v>1.7821978693329914</v>
      </c>
      <c r="AH140" s="145">
        <v>1.7821978693329914</v>
      </c>
      <c r="AI140" s="145">
        <v>5.7277473655474003</v>
      </c>
      <c r="AJ140" s="145">
        <v>5.7277473655474003</v>
      </c>
      <c r="AK140" s="145">
        <v>26.095449388695815</v>
      </c>
      <c r="AL140" s="145">
        <v>39.519189236175926</v>
      </c>
      <c r="AM140" s="145">
        <v>1.7821978693329918</v>
      </c>
      <c r="AN140" s="145">
        <v>1.7821978693329918</v>
      </c>
      <c r="AO140" s="145">
        <v>7.2145816775606919</v>
      </c>
      <c r="AP140" s="145">
        <v>1.7821978693329918</v>
      </c>
      <c r="AQ140" s="145">
        <v>1.7821978693329918</v>
      </c>
      <c r="AR140" s="145">
        <v>7.2145816775606919</v>
      </c>
      <c r="AS140" s="145">
        <v>10.353506553226715</v>
      </c>
      <c r="AT140" s="145">
        <v>10.353506553226715</v>
      </c>
      <c r="AU140" s="145">
        <v>4.3550799491951944</v>
      </c>
      <c r="AV140" s="145">
        <v>2.025530236228346</v>
      </c>
      <c r="AW140" s="145">
        <v>7.1117533356644982</v>
      </c>
      <c r="AX140" s="145">
        <v>11.571054705555849</v>
      </c>
      <c r="AY140" s="145">
        <v>10.993031932894016</v>
      </c>
      <c r="AZ140" s="145">
        <v>4.305537625354118</v>
      </c>
      <c r="BA140" s="145">
        <v>8.887266637471896</v>
      </c>
      <c r="BB140" s="145">
        <v>3.3229229116242816</v>
      </c>
      <c r="BC140" s="145">
        <v>3.3925993998989528</v>
      </c>
      <c r="BD140" s="145">
        <v>4.5013796520189242</v>
      </c>
      <c r="BE140" s="145">
        <v>12.890516136159881</v>
      </c>
      <c r="BF140" s="145">
        <v>8.1238882299215849</v>
      </c>
      <c r="BG140" s="145">
        <v>5.841752201243815</v>
      </c>
      <c r="BH140" s="145">
        <v>8.887266637471896</v>
      </c>
      <c r="BI140" s="144">
        <v>8.1238882299215849</v>
      </c>
    </row>
    <row r="141" spans="1:61" s="145" customFormat="1" x14ac:dyDescent="0.35">
      <c r="A141" s="146" t="s">
        <v>1536</v>
      </c>
      <c r="B141" s="145">
        <v>7.2018453387216286E-4</v>
      </c>
      <c r="C141" s="145">
        <v>7.2018453387216286E-4</v>
      </c>
      <c r="D141" s="145">
        <v>7.2018453387216286E-4</v>
      </c>
      <c r="E141" s="145">
        <v>2.5417665659384376E-3</v>
      </c>
      <c r="F141" s="145">
        <v>2.5417665659384376E-3</v>
      </c>
      <c r="G141" s="145">
        <v>1.288478783253694E-2</v>
      </c>
      <c r="H141" s="145">
        <v>1.9405608664354625E-2</v>
      </c>
      <c r="I141" s="145">
        <v>7.2018453387216307E-4</v>
      </c>
      <c r="J141" s="145">
        <v>7.2018453387216307E-4</v>
      </c>
      <c r="K141" s="145">
        <v>3.4786995346474969E-3</v>
      </c>
      <c r="L141" s="145">
        <v>7.2018453387216307E-4</v>
      </c>
      <c r="M141" s="145">
        <v>7.2018453387216307E-4</v>
      </c>
      <c r="N141" s="145">
        <v>3.4786995346474969E-3</v>
      </c>
      <c r="O141" s="145">
        <v>5.0664648182827459E-3</v>
      </c>
      <c r="P141" s="145">
        <v>5.0664648182827459E-3</v>
      </c>
      <c r="Q141" s="145">
        <v>1.8512630908756325E-3</v>
      </c>
      <c r="R141" s="145">
        <v>9.3492303750756329E-4</v>
      </c>
      <c r="S141" s="145">
        <v>2.8738530379773274E-3</v>
      </c>
      <c r="T141" s="145">
        <v>5.4703387505634438E-3</v>
      </c>
      <c r="U141" s="145">
        <v>4.445219640921514E-3</v>
      </c>
      <c r="V141" s="145">
        <v>1.7398638283330564E-3</v>
      </c>
      <c r="W141" s="145">
        <v>4.0381021860090762E-3</v>
      </c>
      <c r="X141" s="145">
        <v>1.342790118527589E-3</v>
      </c>
      <c r="Y141" s="145">
        <v>1.3709463239037758E-3</v>
      </c>
      <c r="Z141" s="145">
        <v>1.8190034127266567E-3</v>
      </c>
      <c r="AA141" s="145">
        <v>5.2090458162013034E-3</v>
      </c>
      <c r="AB141" s="145">
        <v>3.2828558258154129E-3</v>
      </c>
      <c r="AC141" s="145">
        <v>2.3606467376285386E-3</v>
      </c>
      <c r="AD141" s="145">
        <v>4.0381021860090762E-3</v>
      </c>
      <c r="AE141" s="145">
        <v>3.2828558258154129E-3</v>
      </c>
      <c r="AF141" s="145">
        <v>1.4403690677443257</v>
      </c>
      <c r="AG141" s="145">
        <v>1.4403690677443257</v>
      </c>
      <c r="AH141" s="145">
        <v>1.4403690677443257</v>
      </c>
      <c r="AI141" s="145">
        <v>5.0835331318768748</v>
      </c>
      <c r="AJ141" s="145">
        <v>5.0835331318768748</v>
      </c>
      <c r="AK141" s="145">
        <v>25.76957566507388</v>
      </c>
      <c r="AL141" s="145">
        <v>38.811217328709247</v>
      </c>
      <c r="AM141" s="145">
        <v>1.4403690677443262</v>
      </c>
      <c r="AN141" s="145">
        <v>1.4403690677443262</v>
      </c>
      <c r="AO141" s="145">
        <v>6.9573990692949934</v>
      </c>
      <c r="AP141" s="145">
        <v>1.4403690677443262</v>
      </c>
      <c r="AQ141" s="145">
        <v>1.4403690677443262</v>
      </c>
      <c r="AR141" s="145">
        <v>6.9573990692949934</v>
      </c>
      <c r="AS141" s="145">
        <v>10.132929636565493</v>
      </c>
      <c r="AT141" s="145">
        <v>10.132929636565493</v>
      </c>
      <c r="AU141" s="145">
        <v>3.7025261817512649</v>
      </c>
      <c r="AV141" s="145">
        <v>1.8698460750151267</v>
      </c>
      <c r="AW141" s="145">
        <v>5.747706075954655</v>
      </c>
      <c r="AX141" s="145">
        <v>10.940677501126888</v>
      </c>
      <c r="AY141" s="145">
        <v>8.8904392818430278</v>
      </c>
      <c r="AZ141" s="145">
        <v>3.4797276566661126</v>
      </c>
      <c r="BA141" s="145">
        <v>8.076204372018152</v>
      </c>
      <c r="BB141" s="145">
        <v>2.685580237055178</v>
      </c>
      <c r="BC141" s="145">
        <v>2.7418926478075516</v>
      </c>
      <c r="BD141" s="145">
        <v>3.6380068254533136</v>
      </c>
      <c r="BE141" s="145">
        <v>10.418091632402607</v>
      </c>
      <c r="BF141" s="145">
        <v>6.565711651630826</v>
      </c>
      <c r="BG141" s="145">
        <v>4.7212934752570774</v>
      </c>
      <c r="BH141" s="145">
        <v>8.076204372018152</v>
      </c>
      <c r="BI141" s="144">
        <v>6.565711651630826</v>
      </c>
    </row>
    <row r="142" spans="1:61" s="145" customFormat="1" x14ac:dyDescent="0.35">
      <c r="A142" s="146" t="s">
        <v>1535</v>
      </c>
      <c r="B142" s="145">
        <v>4.1270682314113445E-4</v>
      </c>
      <c r="C142" s="145">
        <v>4.1270682314113445E-4</v>
      </c>
      <c r="D142" s="145">
        <v>4.1270682314113445E-4</v>
      </c>
      <c r="E142" s="145">
        <v>7.7779021329386271E-4</v>
      </c>
      <c r="F142" s="145">
        <v>7.7779021329386271E-4</v>
      </c>
      <c r="G142" s="145">
        <v>1.2405564863348643E-2</v>
      </c>
      <c r="H142" s="145">
        <v>8.5474679841452338E-4</v>
      </c>
      <c r="I142" s="145">
        <v>4.1270682314113462E-4</v>
      </c>
      <c r="J142" s="145">
        <v>4.1270682314113462E-4</v>
      </c>
      <c r="K142" s="145">
        <v>3.1706866683003704E-4</v>
      </c>
      <c r="L142" s="145">
        <v>4.1270682314113462E-4</v>
      </c>
      <c r="M142" s="145">
        <v>4.1270682314113462E-4</v>
      </c>
      <c r="N142" s="145">
        <v>3.1706866683003704E-4</v>
      </c>
      <c r="O142" s="145">
        <v>2.6630759007276926E-4</v>
      </c>
      <c r="P142" s="145">
        <v>2.6630759007276926E-4</v>
      </c>
      <c r="Q142" s="145">
        <v>7.9391673025869366E-4</v>
      </c>
      <c r="R142" s="145">
        <v>6.7872623108844476E-4</v>
      </c>
      <c r="S142" s="145">
        <v>1.6468817389081191E-3</v>
      </c>
      <c r="T142" s="145">
        <v>7.6036350553016603E-4</v>
      </c>
      <c r="U142" s="145">
        <v>2.5385619523594781E-3</v>
      </c>
      <c r="V142" s="145">
        <v>9.9704122973705354E-4</v>
      </c>
      <c r="W142" s="145">
        <v>9.7923264506304033E-4</v>
      </c>
      <c r="X142" s="145">
        <v>7.694953416775243E-4</v>
      </c>
      <c r="Y142" s="145">
        <v>7.8563045361895669E-4</v>
      </c>
      <c r="Z142" s="145">
        <v>1.0423927263655413E-3</v>
      </c>
      <c r="AA142" s="145">
        <v>2.9850804193785455E-3</v>
      </c>
      <c r="AB142" s="145">
        <v>1.8812636692127854E-3</v>
      </c>
      <c r="AC142" s="145">
        <v>1.3527852513118442E-3</v>
      </c>
      <c r="AD142" s="145">
        <v>9.7923264506304033E-4</v>
      </c>
      <c r="AE142" s="145">
        <v>1.8812636692127854E-3</v>
      </c>
      <c r="AF142" s="145">
        <v>0.82541364628226888</v>
      </c>
      <c r="AG142" s="145">
        <v>0.82541364628226888</v>
      </c>
      <c r="AH142" s="145">
        <v>0.82541364628226888</v>
      </c>
      <c r="AI142" s="145">
        <v>1.5555804265877253</v>
      </c>
      <c r="AJ142" s="145">
        <v>1.5555804265877253</v>
      </c>
      <c r="AK142" s="145">
        <v>24.811129726697288</v>
      </c>
      <c r="AL142" s="145">
        <v>1.7094935968290468</v>
      </c>
      <c r="AM142" s="145">
        <v>0.82541364628226921</v>
      </c>
      <c r="AN142" s="145">
        <v>0.82541364628226921</v>
      </c>
      <c r="AO142" s="145">
        <v>0.63413733366007408</v>
      </c>
      <c r="AP142" s="145">
        <v>0.82541364628226921</v>
      </c>
      <c r="AQ142" s="145">
        <v>0.82541364628226921</v>
      </c>
      <c r="AR142" s="145">
        <v>0.63413733366007408</v>
      </c>
      <c r="AS142" s="145">
        <v>0.53261518014553855</v>
      </c>
      <c r="AT142" s="145">
        <v>0.53261518014553855</v>
      </c>
      <c r="AU142" s="145">
        <v>1.5878334605173874</v>
      </c>
      <c r="AV142" s="145">
        <v>1.3574524621768895</v>
      </c>
      <c r="AW142" s="145">
        <v>3.2937634778162383</v>
      </c>
      <c r="AX142" s="145">
        <v>1.5207270110603321</v>
      </c>
      <c r="AY142" s="145">
        <v>5.077123904718956</v>
      </c>
      <c r="AZ142" s="145">
        <v>1.9940824594741069</v>
      </c>
      <c r="BA142" s="145">
        <v>1.9584652901260808</v>
      </c>
      <c r="BB142" s="145">
        <v>1.5389906833550486</v>
      </c>
      <c r="BC142" s="145">
        <v>1.5712609072379133</v>
      </c>
      <c r="BD142" s="145">
        <v>2.0847854527310825</v>
      </c>
      <c r="BE142" s="145">
        <v>5.9701608387570912</v>
      </c>
      <c r="BF142" s="145">
        <v>3.7625273384255711</v>
      </c>
      <c r="BG142" s="145">
        <v>2.7055705026236883</v>
      </c>
      <c r="BH142" s="145">
        <v>1.9584652901260808</v>
      </c>
      <c r="BI142" s="144">
        <v>3.7625273384255711</v>
      </c>
    </row>
    <row r="143" spans="1:61" s="145" customFormat="1" x14ac:dyDescent="0.35">
      <c r="A143" s="146" t="s">
        <v>1534</v>
      </c>
      <c r="B143" s="145">
        <v>2.9345345338063978E-4</v>
      </c>
      <c r="C143" s="145">
        <v>2.9345345338063978E-4</v>
      </c>
      <c r="D143" s="145">
        <v>2.9345345338063978E-4</v>
      </c>
      <c r="E143" s="145">
        <v>1.7332316724307274E-3</v>
      </c>
      <c r="F143" s="145">
        <v>1.7332316724307274E-3</v>
      </c>
      <c r="G143" s="145">
        <v>2.9957085233075402E-4</v>
      </c>
      <c r="H143" s="145">
        <v>1.845656588444879E-2</v>
      </c>
      <c r="I143" s="145">
        <v>2.9345345338063983E-4</v>
      </c>
      <c r="J143" s="145">
        <v>2.9345345338063983E-4</v>
      </c>
      <c r="K143" s="145">
        <v>3.1390339457052379E-3</v>
      </c>
      <c r="L143" s="145">
        <v>2.9345345338063983E-4</v>
      </c>
      <c r="M143" s="145">
        <v>2.9345345338063983E-4</v>
      </c>
      <c r="N143" s="145">
        <v>3.1390339457052379E-3</v>
      </c>
      <c r="O143" s="145">
        <v>4.7743462287868979E-3</v>
      </c>
      <c r="P143" s="145">
        <v>4.7743462287868979E-3</v>
      </c>
      <c r="Q143" s="145">
        <v>5.9220475577140145E-4</v>
      </c>
      <c r="R143" s="145">
        <v>1.4383160692672014E-4</v>
      </c>
      <c r="S143" s="145">
        <v>1.1710083441650082E-3</v>
      </c>
      <c r="T143" s="145">
        <v>2.6105694134384875E-3</v>
      </c>
      <c r="U143" s="145">
        <v>1.8141306316350298E-3</v>
      </c>
      <c r="V143" s="145">
        <v>7.0894197920532537E-4</v>
      </c>
      <c r="W143" s="145">
        <v>3.0171097104651234E-3</v>
      </c>
      <c r="X143" s="145">
        <v>5.471464311079823E-4</v>
      </c>
      <c r="Y143" s="145">
        <v>5.5861923469251878E-4</v>
      </c>
      <c r="Z143" s="145">
        <v>7.4118897042373577E-4</v>
      </c>
      <c r="AA143" s="145">
        <v>2.1225288959809616E-3</v>
      </c>
      <c r="AB143" s="145">
        <v>1.3376646313919428E-3</v>
      </c>
      <c r="AC143" s="145">
        <v>9.618922717546187E-4</v>
      </c>
      <c r="AD143" s="145">
        <v>3.0171097104651234E-3</v>
      </c>
      <c r="AE143" s="145">
        <v>1.3376646313919428E-3</v>
      </c>
      <c r="AF143" s="145">
        <v>0.58690690676127955</v>
      </c>
      <c r="AG143" s="145">
        <v>0.58690690676127955</v>
      </c>
      <c r="AH143" s="145">
        <v>0.58690690676127955</v>
      </c>
      <c r="AI143" s="145">
        <v>3.4664633448614546</v>
      </c>
      <c r="AJ143" s="145">
        <v>3.4664633448614546</v>
      </c>
      <c r="AK143" s="145">
        <v>0.59914170466150407</v>
      </c>
      <c r="AL143" s="145">
        <v>36.913131768897578</v>
      </c>
      <c r="AM143" s="145">
        <v>0.58690690676127966</v>
      </c>
      <c r="AN143" s="145">
        <v>0.58690690676127966</v>
      </c>
      <c r="AO143" s="145">
        <v>6.2780678914104762</v>
      </c>
      <c r="AP143" s="145">
        <v>0.58690690676127966</v>
      </c>
      <c r="AQ143" s="145">
        <v>0.58690690676127966</v>
      </c>
      <c r="AR143" s="145">
        <v>6.2780678914104762</v>
      </c>
      <c r="AS143" s="145">
        <v>9.5486924575737984</v>
      </c>
      <c r="AT143" s="145">
        <v>9.5486924575737984</v>
      </c>
      <c r="AU143" s="145">
        <v>1.1844095115428028</v>
      </c>
      <c r="AV143" s="145">
        <v>0.2876632138534404</v>
      </c>
      <c r="AW143" s="145">
        <v>2.3420166883300162</v>
      </c>
      <c r="AX143" s="145">
        <v>5.2211388268769774</v>
      </c>
      <c r="AY143" s="145">
        <v>3.6282612632700597</v>
      </c>
      <c r="AZ143" s="145">
        <v>1.4178839584106511</v>
      </c>
      <c r="BA143" s="145">
        <v>6.0342194209302464</v>
      </c>
      <c r="BB143" s="145">
        <v>1.0942928622159644</v>
      </c>
      <c r="BC143" s="145">
        <v>1.1172384693850377</v>
      </c>
      <c r="BD143" s="145">
        <v>1.482377940847472</v>
      </c>
      <c r="BE143" s="145">
        <v>4.2450577919619237</v>
      </c>
      <c r="BF143" s="145">
        <v>2.6753292627838849</v>
      </c>
      <c r="BG143" s="145">
        <v>1.9237845435092378</v>
      </c>
      <c r="BH143" s="145">
        <v>6.0342194209302464</v>
      </c>
      <c r="BI143" s="144">
        <v>2.6753292627838849</v>
      </c>
    </row>
    <row r="144" spans="1:61" s="145" customFormat="1" x14ac:dyDescent="0.35">
      <c r="A144" s="143" t="s">
        <v>1533</v>
      </c>
      <c r="B144" s="142">
        <v>1.4024257350388639E-5</v>
      </c>
      <c r="C144" s="142">
        <v>1.4024257350388639E-5</v>
      </c>
      <c r="D144" s="142">
        <v>1.4024257350388639E-5</v>
      </c>
      <c r="E144" s="142">
        <v>3.0744680213847558E-5</v>
      </c>
      <c r="F144" s="142">
        <v>3.0744680213847558E-5</v>
      </c>
      <c r="G144" s="142">
        <v>1.7965211685754296E-4</v>
      </c>
      <c r="H144" s="142">
        <v>9.4295981491313114E-5</v>
      </c>
      <c r="I144" s="142">
        <v>1.4024257350388643E-5</v>
      </c>
      <c r="J144" s="142">
        <v>1.4024257350388643E-5</v>
      </c>
      <c r="K144" s="142">
        <v>2.2596922112221756E-5</v>
      </c>
      <c r="L144" s="142">
        <v>1.4024257350388643E-5</v>
      </c>
      <c r="M144" s="142">
        <v>1.4024257350388643E-5</v>
      </c>
      <c r="N144" s="142">
        <v>2.2596922112221756E-5</v>
      </c>
      <c r="O144" s="142">
        <v>2.5810999423078356E-5</v>
      </c>
      <c r="P144" s="142">
        <v>2.5810999423078356E-5</v>
      </c>
      <c r="Q144" s="142">
        <v>4.651416048455375E-4</v>
      </c>
      <c r="R144" s="142">
        <v>1.1236519949239839E-4</v>
      </c>
      <c r="S144" s="142">
        <v>5.596295490420015E-5</v>
      </c>
      <c r="T144" s="142">
        <v>2.0994058315947899E-3</v>
      </c>
      <c r="U144" s="142">
        <v>9.252705692700619E-5</v>
      </c>
      <c r="V144" s="142">
        <v>3.3880619390677427E-5</v>
      </c>
      <c r="W144" s="142">
        <v>4.1759830480912485E-5</v>
      </c>
      <c r="X144" s="142">
        <v>2.6148345742082402E-5</v>
      </c>
      <c r="Y144" s="142">
        <v>2.6696635592300342E-5</v>
      </c>
      <c r="Z144" s="142">
        <v>3.5421715937379529E-5</v>
      </c>
      <c r="AA144" s="142">
        <v>1.014365008417963E-4</v>
      </c>
      <c r="AB144" s="142">
        <v>6.3927525210684798E-5</v>
      </c>
      <c r="AC144" s="142">
        <v>4.5969214562075789E-5</v>
      </c>
      <c r="AD144" s="142">
        <v>4.1759830480912485E-5</v>
      </c>
      <c r="AE144" s="142">
        <v>6.3927525210684798E-5</v>
      </c>
      <c r="AF144" s="142">
        <v>2.804851470077728E-2</v>
      </c>
      <c r="AG144" s="142">
        <v>2.804851470077728E-2</v>
      </c>
      <c r="AH144" s="142">
        <v>2.804851470077728E-2</v>
      </c>
      <c r="AI144" s="142">
        <v>6.1489360427695122E-2</v>
      </c>
      <c r="AJ144" s="142">
        <v>6.1489360427695122E-2</v>
      </c>
      <c r="AK144" s="142">
        <v>0.35930423371508591</v>
      </c>
      <c r="AL144" s="142">
        <v>0.18859196298262623</v>
      </c>
      <c r="AM144" s="142">
        <v>2.8048514700777287E-2</v>
      </c>
      <c r="AN144" s="142">
        <v>2.8048514700777287E-2</v>
      </c>
      <c r="AO144" s="142">
        <v>4.5193844224443509E-2</v>
      </c>
      <c r="AP144" s="142">
        <v>2.8048514700777287E-2</v>
      </c>
      <c r="AQ144" s="142">
        <v>2.8048514700777287E-2</v>
      </c>
      <c r="AR144" s="142">
        <v>4.5193844224443509E-2</v>
      </c>
      <c r="AS144" s="142">
        <v>5.1621998846156709E-2</v>
      </c>
      <c r="AT144" s="142">
        <v>5.1621998846156709E-2</v>
      </c>
      <c r="AU144" s="142">
        <v>0.93028320969107503</v>
      </c>
      <c r="AV144" s="142">
        <v>0.22473039898479677</v>
      </c>
      <c r="AW144" s="142">
        <v>0.1119259098084003</v>
      </c>
      <c r="AX144" s="142">
        <v>4.1988116631895798</v>
      </c>
      <c r="AY144" s="142">
        <v>0.18505411385401238</v>
      </c>
      <c r="AZ144" s="142">
        <v>6.7761238781354857E-2</v>
      </c>
      <c r="BA144" s="142">
        <v>8.3519660961824976E-2</v>
      </c>
      <c r="BB144" s="142">
        <v>5.2296691484164805E-2</v>
      </c>
      <c r="BC144" s="142">
        <v>5.3393271184600681E-2</v>
      </c>
      <c r="BD144" s="142">
        <v>7.0843431874759055E-2</v>
      </c>
      <c r="BE144" s="142">
        <v>0.2028730016835926</v>
      </c>
      <c r="BF144" s="142">
        <v>0.1278550504213696</v>
      </c>
      <c r="BG144" s="142">
        <v>9.193842912415158E-2</v>
      </c>
      <c r="BH144" s="142">
        <v>8.3519660961824976E-2</v>
      </c>
      <c r="BI144" s="141">
        <v>0.1278550504213696</v>
      </c>
    </row>
    <row r="145" spans="1:61" s="145" customFormat="1" x14ac:dyDescent="0.35">
      <c r="A145" s="143" t="s">
        <v>1532</v>
      </c>
      <c r="B145" s="142">
        <v>8.5723382496408082E-2</v>
      </c>
      <c r="C145" s="142">
        <v>8.5723382496408082E-2</v>
      </c>
      <c r="D145" s="142">
        <v>8.5723382496408082E-2</v>
      </c>
      <c r="E145" s="142">
        <v>0.16463207096860152</v>
      </c>
      <c r="F145" s="142">
        <v>0.16463207096860152</v>
      </c>
      <c r="G145" s="142">
        <v>0.11994962529571675</v>
      </c>
      <c r="H145" s="142">
        <v>0.22407783784672497</v>
      </c>
      <c r="I145" s="142">
        <v>8.5723382496408096E-2</v>
      </c>
      <c r="J145" s="142">
        <v>8.5723382496408096E-2</v>
      </c>
      <c r="K145" s="142">
        <v>0.1299268929349135</v>
      </c>
      <c r="L145" s="142">
        <v>8.5723382496408096E-2</v>
      </c>
      <c r="M145" s="142">
        <v>8.5723382496408096E-2</v>
      </c>
      <c r="N145" s="142">
        <v>0.1299268929349135</v>
      </c>
      <c r="O145" s="142">
        <v>6.7269505823393236E-2</v>
      </c>
      <c r="P145" s="142">
        <v>6.7269505823393236E-2</v>
      </c>
      <c r="Q145" s="142">
        <v>0.17139740665215542</v>
      </c>
      <c r="R145" s="142">
        <v>1.0315021323255418</v>
      </c>
      <c r="S145" s="142">
        <v>0.34207399857426618</v>
      </c>
      <c r="T145" s="142">
        <v>0.19953029915804146</v>
      </c>
      <c r="U145" s="142">
        <v>0.52743054925553079</v>
      </c>
      <c r="V145" s="142">
        <v>0.20709555042226716</v>
      </c>
      <c r="W145" s="142">
        <v>0.20944777142338533</v>
      </c>
      <c r="X145" s="142">
        <v>0.15983196740430153</v>
      </c>
      <c r="Y145" s="142">
        <v>0.16318339339248966</v>
      </c>
      <c r="Z145" s="142">
        <v>0.21651551509035538</v>
      </c>
      <c r="AA145" s="142">
        <v>0.62003140298317161</v>
      </c>
      <c r="AB145" s="142">
        <v>0.39075749672637322</v>
      </c>
      <c r="AC145" s="142">
        <v>0.28098718274412388</v>
      </c>
      <c r="AD145" s="142">
        <v>0.20944777142338533</v>
      </c>
      <c r="AE145" s="142">
        <v>0.39075749672637322</v>
      </c>
      <c r="AF145" s="142">
        <v>171.44676499281616</v>
      </c>
      <c r="AG145" s="142">
        <v>171.44676499281616</v>
      </c>
      <c r="AH145" s="142">
        <v>171.44676499281616</v>
      </c>
      <c r="AI145" s="142">
        <v>329.26414193720302</v>
      </c>
      <c r="AJ145" s="142">
        <v>329.26414193720302</v>
      </c>
      <c r="AK145" s="142">
        <v>239.89925059143349</v>
      </c>
      <c r="AL145" s="142">
        <v>448.15567569344995</v>
      </c>
      <c r="AM145" s="142">
        <v>171.44676499281618</v>
      </c>
      <c r="AN145" s="142">
        <v>171.44676499281618</v>
      </c>
      <c r="AO145" s="142">
        <v>259.85378586982699</v>
      </c>
      <c r="AP145" s="142">
        <v>171.44676499281618</v>
      </c>
      <c r="AQ145" s="142">
        <v>171.44676499281618</v>
      </c>
      <c r="AR145" s="142">
        <v>259.85378586982699</v>
      </c>
      <c r="AS145" s="142">
        <v>134.53901164678646</v>
      </c>
      <c r="AT145" s="142">
        <v>134.53901164678646</v>
      </c>
      <c r="AU145" s="142">
        <v>342.79481330431082</v>
      </c>
      <c r="AV145" s="142">
        <v>2063.0042646510838</v>
      </c>
      <c r="AW145" s="142">
        <v>684.14799714853234</v>
      </c>
      <c r="AX145" s="142">
        <v>399.06059831608292</v>
      </c>
      <c r="AY145" s="142">
        <v>1054.8610985110615</v>
      </c>
      <c r="AZ145" s="142">
        <v>414.19110084453433</v>
      </c>
      <c r="BA145" s="142">
        <v>418.89554284677064</v>
      </c>
      <c r="BB145" s="142">
        <v>319.66393480860307</v>
      </c>
      <c r="BC145" s="142">
        <v>326.3667867849793</v>
      </c>
      <c r="BD145" s="142">
        <v>433.03103018071079</v>
      </c>
      <c r="BE145" s="142">
        <v>1240.0628059663431</v>
      </c>
      <c r="BF145" s="142">
        <v>781.51499345274647</v>
      </c>
      <c r="BG145" s="142">
        <v>561.97436548824771</v>
      </c>
      <c r="BH145" s="142">
        <v>418.89554284677064</v>
      </c>
      <c r="BI145" s="141">
        <v>781.51499345274647</v>
      </c>
    </row>
    <row r="146" spans="1:61" s="145" customFormat="1" ht="13.15" x14ac:dyDescent="0.4">
      <c r="A146" s="158" t="s">
        <v>1564</v>
      </c>
      <c r="B146" s="382" t="s">
        <v>1872</v>
      </c>
      <c r="C146" s="382" t="s">
        <v>1872</v>
      </c>
      <c r="D146" s="382" t="s">
        <v>1872</v>
      </c>
      <c r="E146" s="382" t="s">
        <v>1872</v>
      </c>
      <c r="F146" s="382" t="s">
        <v>1872</v>
      </c>
      <c r="G146" s="382" t="s">
        <v>1872</v>
      </c>
      <c r="H146" s="382" t="s">
        <v>1872</v>
      </c>
      <c r="I146" s="382" t="s">
        <v>1872</v>
      </c>
      <c r="J146" s="382" t="s">
        <v>1872</v>
      </c>
      <c r="K146" s="382" t="s">
        <v>1872</v>
      </c>
      <c r="L146" s="382" t="s">
        <v>1872</v>
      </c>
      <c r="M146" s="382" t="s">
        <v>1872</v>
      </c>
      <c r="N146" s="382" t="s">
        <v>1872</v>
      </c>
      <c r="O146" s="382" t="s">
        <v>1872</v>
      </c>
      <c r="P146" s="382" t="s">
        <v>1872</v>
      </c>
      <c r="Q146" s="382" t="s">
        <v>1872</v>
      </c>
      <c r="R146" s="382" t="s">
        <v>1872</v>
      </c>
      <c r="S146" s="382" t="s">
        <v>1872</v>
      </c>
      <c r="T146" s="382" t="s">
        <v>1872</v>
      </c>
      <c r="U146" s="382" t="s">
        <v>1872</v>
      </c>
      <c r="V146" s="382" t="s">
        <v>1872</v>
      </c>
      <c r="W146" s="382" t="s">
        <v>1872</v>
      </c>
      <c r="X146" s="382" t="s">
        <v>1872</v>
      </c>
      <c r="Y146" s="382" t="s">
        <v>1872</v>
      </c>
      <c r="Z146" s="382" t="s">
        <v>1872</v>
      </c>
      <c r="AA146" s="382" t="s">
        <v>1872</v>
      </c>
      <c r="AB146" s="382" t="s">
        <v>1872</v>
      </c>
      <c r="AC146" s="382" t="s">
        <v>1872</v>
      </c>
      <c r="AD146" s="382" t="s">
        <v>1872</v>
      </c>
      <c r="AE146" s="382" t="s">
        <v>1872</v>
      </c>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6"/>
    </row>
    <row r="147" spans="1:61" s="145" customFormat="1" x14ac:dyDescent="0.35">
      <c r="A147" s="146" t="s">
        <v>1525</v>
      </c>
      <c r="B147" s="145">
        <v>6.4729955509855693E-3</v>
      </c>
      <c r="C147" s="145">
        <v>6.4729955509855693E-3</v>
      </c>
      <c r="D147" s="145">
        <v>6.4729955509855693E-3</v>
      </c>
      <c r="E147" s="145">
        <v>2.6039865863034885E-2</v>
      </c>
      <c r="F147" s="145">
        <v>2.6039865863034885E-2</v>
      </c>
      <c r="G147" s="145">
        <v>1.1248476620427128</v>
      </c>
      <c r="H147" s="145">
        <v>0.22273040700168117</v>
      </c>
      <c r="I147" s="145">
        <v>6.472995550985571E-3</v>
      </c>
      <c r="J147" s="145">
        <v>6.472995550985571E-3</v>
      </c>
      <c r="K147" s="145">
        <v>0.16192835597609428</v>
      </c>
      <c r="L147" s="145">
        <v>6.472995550985571E-3</v>
      </c>
      <c r="M147" s="145">
        <v>6.472995550985571E-3</v>
      </c>
      <c r="N147" s="145">
        <v>0.16192835597609428</v>
      </c>
      <c r="O147" s="145">
        <v>5.7947944897686093E-2</v>
      </c>
      <c r="P147" s="145">
        <v>5.7947944897686093E-2</v>
      </c>
      <c r="Q147" s="145">
        <v>1.5115132211368659E-2</v>
      </c>
      <c r="R147" s="145">
        <v>1.3216869957828725E-2</v>
      </c>
      <c r="S147" s="145">
        <v>2.5830099167771972E-2</v>
      </c>
      <c r="T147" s="145">
        <v>4.7210087626155563E-2</v>
      </c>
      <c r="U147" s="145">
        <v>4.00361126966714E-2</v>
      </c>
      <c r="V147" s="145">
        <v>1.563784042899162E-2</v>
      </c>
      <c r="W147" s="145">
        <v>4.2576393603662228E-2</v>
      </c>
      <c r="X147" s="145">
        <v>1.206895462806388E-2</v>
      </c>
      <c r="Y147" s="145">
        <v>1.2322021701238552E-2</v>
      </c>
      <c r="Z147" s="145">
        <v>1.6349144481763118E-2</v>
      </c>
      <c r="AA147" s="145">
        <v>4.6818737153186636E-2</v>
      </c>
      <c r="AB147" s="145">
        <v>2.9506203140433195E-2</v>
      </c>
      <c r="AC147" s="145">
        <v>2.1217417358244048E-2</v>
      </c>
      <c r="AD147" s="145">
        <v>4.2576393603662228E-2</v>
      </c>
      <c r="AE147" s="145">
        <v>2.9506203140433195E-2</v>
      </c>
      <c r="AF147" s="145">
        <v>12.945991101971138</v>
      </c>
      <c r="AG147" s="145">
        <v>12.945991101971138</v>
      </c>
      <c r="AH147" s="145">
        <v>12.945991101971138</v>
      </c>
      <c r="AI147" s="145">
        <v>52.079731726069774</v>
      </c>
      <c r="AJ147" s="145">
        <v>52.079731726069774</v>
      </c>
      <c r="AK147" s="145">
        <v>2249.6953240854255</v>
      </c>
      <c r="AL147" s="145">
        <v>445.46081400336237</v>
      </c>
      <c r="AM147" s="145">
        <v>12.945991101971142</v>
      </c>
      <c r="AN147" s="145">
        <v>12.945991101971142</v>
      </c>
      <c r="AO147" s="145">
        <v>323.85671195218856</v>
      </c>
      <c r="AP147" s="145">
        <v>12.945991101971142</v>
      </c>
      <c r="AQ147" s="145">
        <v>12.945991101971142</v>
      </c>
      <c r="AR147" s="145">
        <v>323.85671195218856</v>
      </c>
      <c r="AS147" s="145">
        <v>115.89588979537218</v>
      </c>
      <c r="AT147" s="145">
        <v>115.89588979537218</v>
      </c>
      <c r="AU147" s="145">
        <v>30.230264422737317</v>
      </c>
      <c r="AV147" s="145">
        <v>26.433739915657451</v>
      </c>
      <c r="AW147" s="145">
        <v>51.660198335543946</v>
      </c>
      <c r="AX147" s="145">
        <v>94.420175252311125</v>
      </c>
      <c r="AY147" s="145">
        <v>80.072225393342805</v>
      </c>
      <c r="AZ147" s="145">
        <v>31.275680857983243</v>
      </c>
      <c r="BA147" s="145">
        <v>85.152787207324451</v>
      </c>
      <c r="BB147" s="145">
        <v>24.13790925612776</v>
      </c>
      <c r="BC147" s="145">
        <v>24.644043402477106</v>
      </c>
      <c r="BD147" s="145">
        <v>32.698288963526238</v>
      </c>
      <c r="BE147" s="145">
        <v>93.637474306373278</v>
      </c>
      <c r="BF147" s="145">
        <v>59.012406280866387</v>
      </c>
      <c r="BG147" s="145">
        <v>42.434834716488098</v>
      </c>
      <c r="BH147" s="145">
        <v>85.152787207324451</v>
      </c>
      <c r="BI147" s="144">
        <v>59.012406280866387</v>
      </c>
    </row>
    <row r="148" spans="1:61" s="145" customFormat="1" x14ac:dyDescent="0.35">
      <c r="A148" s="146" t="s">
        <v>1524</v>
      </c>
      <c r="B148" s="145">
        <v>1.8075399306735629E-2</v>
      </c>
      <c r="C148" s="145">
        <v>1.8075399306735629E-2</v>
      </c>
      <c r="D148" s="145">
        <v>1.8075399306735629E-2</v>
      </c>
      <c r="E148" s="145">
        <v>9.2430499042811559E-2</v>
      </c>
      <c r="F148" s="145">
        <v>9.2430499042811559E-2</v>
      </c>
      <c r="G148" s="145">
        <v>0.29586899273721995</v>
      </c>
      <c r="H148" s="145">
        <v>0.92013763418441663</v>
      </c>
      <c r="I148" s="145">
        <v>1.8075399306735632E-2</v>
      </c>
      <c r="J148" s="145">
        <v>1.8075399306735632E-2</v>
      </c>
      <c r="K148" s="145">
        <v>0.16606363673177096</v>
      </c>
      <c r="L148" s="145">
        <v>1.8075399306735632E-2</v>
      </c>
      <c r="M148" s="145">
        <v>1.8075399306735632E-2</v>
      </c>
      <c r="N148" s="145">
        <v>0.16606363673177096</v>
      </c>
      <c r="O148" s="145">
        <v>0.23841150917475079</v>
      </c>
      <c r="P148" s="145">
        <v>0.23841150917475079</v>
      </c>
      <c r="Q148" s="145">
        <v>5.4493579749182924E-2</v>
      </c>
      <c r="R148" s="145">
        <v>7.3682734328525165E-2</v>
      </c>
      <c r="S148" s="145">
        <v>7.212879306227396E-2</v>
      </c>
      <c r="T148" s="145">
        <v>0.22167630367892954</v>
      </c>
      <c r="U148" s="145">
        <v>0.11330578921070074</v>
      </c>
      <c r="V148" s="145">
        <v>4.3667604561538766E-2</v>
      </c>
      <c r="W148" s="145">
        <v>0.15766296075525235</v>
      </c>
      <c r="X148" s="145">
        <v>3.370173398063192E-2</v>
      </c>
      <c r="Y148" s="145">
        <v>3.4408406550231113E-2</v>
      </c>
      <c r="Z148" s="145">
        <v>4.5653872693669113E-2</v>
      </c>
      <c r="AA148" s="145">
        <v>0.13073813544520294</v>
      </c>
      <c r="AB148" s="145">
        <v>8.2394063086878189E-2</v>
      </c>
      <c r="AC148" s="145">
        <v>5.9248193203150258E-2</v>
      </c>
      <c r="AD148" s="145">
        <v>0.15766296075525235</v>
      </c>
      <c r="AE148" s="145">
        <v>8.2394063086878189E-2</v>
      </c>
      <c r="AF148" s="145">
        <v>36.15079861347126</v>
      </c>
      <c r="AG148" s="145">
        <v>36.15079861347126</v>
      </c>
      <c r="AH148" s="145">
        <v>36.15079861347126</v>
      </c>
      <c r="AI148" s="145">
        <v>184.86099808562312</v>
      </c>
      <c r="AJ148" s="145">
        <v>184.86099808562312</v>
      </c>
      <c r="AK148" s="145">
        <v>591.73798547443994</v>
      </c>
      <c r="AL148" s="145">
        <v>1840.2752683688332</v>
      </c>
      <c r="AM148" s="145">
        <v>36.150798613471267</v>
      </c>
      <c r="AN148" s="145">
        <v>36.150798613471267</v>
      </c>
      <c r="AO148" s="145">
        <v>332.12727346354194</v>
      </c>
      <c r="AP148" s="145">
        <v>36.150798613471267</v>
      </c>
      <c r="AQ148" s="145">
        <v>36.150798613471267</v>
      </c>
      <c r="AR148" s="145">
        <v>332.12727346354194</v>
      </c>
      <c r="AS148" s="145">
        <v>476.82301834950158</v>
      </c>
      <c r="AT148" s="145">
        <v>476.82301834950158</v>
      </c>
      <c r="AU148" s="145">
        <v>108.98715949836586</v>
      </c>
      <c r="AV148" s="145">
        <v>147.36546865705034</v>
      </c>
      <c r="AW148" s="145">
        <v>144.25758612454791</v>
      </c>
      <c r="AX148" s="145">
        <v>443.35260735785909</v>
      </c>
      <c r="AY148" s="145">
        <v>226.61157842140148</v>
      </c>
      <c r="AZ148" s="145">
        <v>87.335209123077533</v>
      </c>
      <c r="BA148" s="145">
        <v>315.32592151050471</v>
      </c>
      <c r="BB148" s="145">
        <v>67.403467961263843</v>
      </c>
      <c r="BC148" s="145">
        <v>68.816813100462227</v>
      </c>
      <c r="BD148" s="145">
        <v>91.30774538733823</v>
      </c>
      <c r="BE148" s="145">
        <v>261.47627089040589</v>
      </c>
      <c r="BF148" s="145">
        <v>164.78812617375638</v>
      </c>
      <c r="BG148" s="145">
        <v>118.49638640630052</v>
      </c>
      <c r="BH148" s="145">
        <v>315.32592151050471</v>
      </c>
      <c r="BI148" s="144">
        <v>164.78812617375638</v>
      </c>
    </row>
    <row r="149" spans="1:61" s="145" customFormat="1" x14ac:dyDescent="0.35">
      <c r="A149" s="146" t="s">
        <v>1563</v>
      </c>
      <c r="B149" s="145">
        <v>4.0595829883515032E-2</v>
      </c>
      <c r="C149" s="145">
        <v>4.0595829883515032E-2</v>
      </c>
      <c r="D149" s="145">
        <v>4.0595829883515032E-2</v>
      </c>
      <c r="E149" s="145">
        <v>0.15873068116844816</v>
      </c>
      <c r="F149" s="145">
        <v>0.15873068116844816</v>
      </c>
      <c r="G149" s="145">
        <v>0.47052912243423983</v>
      </c>
      <c r="H149" s="145">
        <v>1.3276007414625512</v>
      </c>
      <c r="I149" s="145">
        <v>4.0595829883515039E-2</v>
      </c>
      <c r="J149" s="145">
        <v>4.0595829883515039E-2</v>
      </c>
      <c r="K149" s="145">
        <v>0.23494287607040953</v>
      </c>
      <c r="L149" s="145">
        <v>4.0595829883515039E-2</v>
      </c>
      <c r="M149" s="145">
        <v>4.0595829883515039E-2</v>
      </c>
      <c r="N149" s="145">
        <v>0.23494287607040953</v>
      </c>
      <c r="O149" s="145">
        <v>0.34563091601268081</v>
      </c>
      <c r="P149" s="145">
        <v>0.34563091601268081</v>
      </c>
      <c r="Q149" s="145">
        <v>0.14765668884266284</v>
      </c>
      <c r="R149" s="145">
        <v>8.8981894091431493E-2</v>
      </c>
      <c r="S149" s="145">
        <v>0.16199521588262744</v>
      </c>
      <c r="T149" s="145">
        <v>0.53539139264587587</v>
      </c>
      <c r="U149" s="145">
        <v>0.2564769552021664</v>
      </c>
      <c r="V149" s="145">
        <v>9.8073775086132894E-2</v>
      </c>
      <c r="W149" s="145">
        <v>0.25801399706417955</v>
      </c>
      <c r="X149" s="145">
        <v>7.5691266136919191E-2</v>
      </c>
      <c r="Y149" s="145">
        <v>7.7278393421465821E-2</v>
      </c>
      <c r="Z149" s="145">
        <v>0.10253476661537471</v>
      </c>
      <c r="AA149" s="145">
        <v>0.29362688014552707</v>
      </c>
      <c r="AB149" s="145">
        <v>0.18505015085559315</v>
      </c>
      <c r="AC149" s="145">
        <v>0.1330664695902144</v>
      </c>
      <c r="AD149" s="145">
        <v>0.25801399706417955</v>
      </c>
      <c r="AE149" s="145">
        <v>0.18505015085559315</v>
      </c>
      <c r="AF149" s="145">
        <v>81.19165976703006</v>
      </c>
      <c r="AG149" s="145">
        <v>81.19165976703006</v>
      </c>
      <c r="AH149" s="145">
        <v>81.19165976703006</v>
      </c>
      <c r="AI149" s="145">
        <v>317.46136233689629</v>
      </c>
      <c r="AJ149" s="145">
        <v>317.46136233689629</v>
      </c>
      <c r="AK149" s="145">
        <v>941.05824486847962</v>
      </c>
      <c r="AL149" s="145">
        <v>2655.2014829251025</v>
      </c>
      <c r="AM149" s="145">
        <v>81.191659767030075</v>
      </c>
      <c r="AN149" s="145">
        <v>81.191659767030075</v>
      </c>
      <c r="AO149" s="145">
        <v>469.88575214081908</v>
      </c>
      <c r="AP149" s="145">
        <v>81.191659767030075</v>
      </c>
      <c r="AQ149" s="145">
        <v>81.191659767030075</v>
      </c>
      <c r="AR149" s="145">
        <v>469.88575214081908</v>
      </c>
      <c r="AS149" s="145">
        <v>691.26183202536163</v>
      </c>
      <c r="AT149" s="145">
        <v>691.26183202536163</v>
      </c>
      <c r="AU149" s="145">
        <v>295.31337768532569</v>
      </c>
      <c r="AV149" s="145">
        <v>177.963788182863</v>
      </c>
      <c r="AW149" s="145">
        <v>323.99043176525487</v>
      </c>
      <c r="AX149" s="145">
        <v>1070.7827852917517</v>
      </c>
      <c r="AY149" s="145">
        <v>512.95391040433276</v>
      </c>
      <c r="AZ149" s="145">
        <v>196.1475501722658</v>
      </c>
      <c r="BA149" s="145">
        <v>516.02799412835907</v>
      </c>
      <c r="BB149" s="145">
        <v>151.38253227383839</v>
      </c>
      <c r="BC149" s="145">
        <v>154.55678684293164</v>
      </c>
      <c r="BD149" s="145">
        <v>205.06953323074941</v>
      </c>
      <c r="BE149" s="145">
        <v>587.25376029105416</v>
      </c>
      <c r="BF149" s="145">
        <v>370.10030171118632</v>
      </c>
      <c r="BG149" s="145">
        <v>266.13293918042882</v>
      </c>
      <c r="BH149" s="145">
        <v>516.02799412835907</v>
      </c>
      <c r="BI149" s="144">
        <v>370.10030171118632</v>
      </c>
    </row>
    <row r="150" spans="1:61" s="145" customFormat="1" x14ac:dyDescent="0.35">
      <c r="A150" s="146" t="s">
        <v>1522</v>
      </c>
      <c r="B150" s="145">
        <v>7.3320161182609984E-3</v>
      </c>
      <c r="C150" s="145">
        <v>7.3320161182609984E-3</v>
      </c>
      <c r="D150" s="145">
        <v>7.3320161182609984E-3</v>
      </c>
      <c r="E150" s="145">
        <v>1.8078239834079135E-2</v>
      </c>
      <c r="F150" s="145">
        <v>1.8078239834079135E-2</v>
      </c>
      <c r="G150" s="145">
        <v>0.56965733940478969</v>
      </c>
      <c r="H150" s="145">
        <v>7.9616219055166582E-2</v>
      </c>
      <c r="I150" s="145">
        <v>7.3320161182610002E-3</v>
      </c>
      <c r="J150" s="145">
        <v>7.3320161182610002E-3</v>
      </c>
      <c r="K150" s="145">
        <v>1.6663314259707275E-2</v>
      </c>
      <c r="L150" s="145">
        <v>7.3320161182610002E-3</v>
      </c>
      <c r="M150" s="145">
        <v>7.3320161182610002E-3</v>
      </c>
      <c r="N150" s="145">
        <v>1.6663314259707275E-2</v>
      </c>
      <c r="O150" s="145">
        <v>2.1282147016009872E-2</v>
      </c>
      <c r="P150" s="145">
        <v>2.1282147016009872E-2</v>
      </c>
      <c r="Q150" s="145">
        <v>2.9655948349220567E-2</v>
      </c>
      <c r="R150" s="145">
        <v>2.2422279602263711E-2</v>
      </c>
      <c r="S150" s="145">
        <v>2.9257969041172657E-2</v>
      </c>
      <c r="T150" s="145">
        <v>9.3947461514839042E-2</v>
      </c>
      <c r="U150" s="145">
        <v>4.5301172972536038E-2</v>
      </c>
      <c r="V150" s="145">
        <v>1.7713112449567893E-2</v>
      </c>
      <c r="W150" s="145">
        <v>2.5774524317438107E-2</v>
      </c>
      <c r="X150" s="145">
        <v>1.3670605698168867E-2</v>
      </c>
      <c r="Y150" s="145">
        <v>1.3957256885382385E-2</v>
      </c>
      <c r="Z150" s="145">
        <v>1.8518812490426244E-2</v>
      </c>
      <c r="AA150" s="145">
        <v>5.3031974568794944E-2</v>
      </c>
      <c r="AB150" s="145">
        <v>3.3421922711100872E-2</v>
      </c>
      <c r="AC150" s="145">
        <v>2.403314583382183E-2</v>
      </c>
      <c r="AD150" s="145">
        <v>2.5774524317438107E-2</v>
      </c>
      <c r="AE150" s="145">
        <v>3.3421922711100872E-2</v>
      </c>
      <c r="AF150" s="145">
        <v>14.664032236521997</v>
      </c>
      <c r="AG150" s="145">
        <v>14.664032236521997</v>
      </c>
      <c r="AH150" s="145">
        <v>14.664032236521997</v>
      </c>
      <c r="AI150" s="145">
        <v>36.156479668158269</v>
      </c>
      <c r="AJ150" s="145">
        <v>36.156479668158269</v>
      </c>
      <c r="AK150" s="145">
        <v>1139.3146788095794</v>
      </c>
      <c r="AL150" s="145">
        <v>159.23243811033316</v>
      </c>
      <c r="AM150" s="145">
        <v>14.664032236522001</v>
      </c>
      <c r="AN150" s="145">
        <v>14.664032236522001</v>
      </c>
      <c r="AO150" s="145">
        <v>33.326628519414548</v>
      </c>
      <c r="AP150" s="145">
        <v>14.664032236522001</v>
      </c>
      <c r="AQ150" s="145">
        <v>14.664032236522001</v>
      </c>
      <c r="AR150" s="145">
        <v>33.326628519414548</v>
      </c>
      <c r="AS150" s="145">
        <v>42.564294032019745</v>
      </c>
      <c r="AT150" s="145">
        <v>42.564294032019745</v>
      </c>
      <c r="AU150" s="145">
        <v>59.311896698441132</v>
      </c>
      <c r="AV150" s="145">
        <v>44.844559204527421</v>
      </c>
      <c r="AW150" s="145">
        <v>58.515938082345315</v>
      </c>
      <c r="AX150" s="145">
        <v>187.8949230296781</v>
      </c>
      <c r="AY150" s="145">
        <v>90.602345945072074</v>
      </c>
      <c r="AZ150" s="145">
        <v>35.426224899135789</v>
      </c>
      <c r="BA150" s="145">
        <v>51.549048634876215</v>
      </c>
      <c r="BB150" s="145">
        <v>27.341211396337734</v>
      </c>
      <c r="BC150" s="145">
        <v>27.914513770764771</v>
      </c>
      <c r="BD150" s="145">
        <v>37.037624980852485</v>
      </c>
      <c r="BE150" s="145">
        <v>106.06394913758989</v>
      </c>
      <c r="BF150" s="145">
        <v>66.843845422201738</v>
      </c>
      <c r="BG150" s="145">
        <v>48.066291667643661</v>
      </c>
      <c r="BH150" s="145">
        <v>51.549048634876215</v>
      </c>
      <c r="BI150" s="144">
        <v>66.843845422201738</v>
      </c>
    </row>
    <row r="151" spans="1:61" s="145" customFormat="1" x14ac:dyDescent="0.35">
      <c r="A151" s="146" t="s">
        <v>1521</v>
      </c>
      <c r="B151" s="145">
        <v>3.1910118632656062E-3</v>
      </c>
      <c r="C151" s="145">
        <v>3.1910118632656062E-3</v>
      </c>
      <c r="D151" s="145">
        <v>3.1910118632656062E-3</v>
      </c>
      <c r="E151" s="145">
        <v>1.023648059153588E-2</v>
      </c>
      <c r="F151" s="145">
        <v>1.023648059153588E-2</v>
      </c>
      <c r="G151" s="145">
        <v>0.25383757977849303</v>
      </c>
      <c r="H151" s="145">
        <v>7.0471340393967227E-2</v>
      </c>
      <c r="I151" s="145">
        <v>3.1910118632656071E-3</v>
      </c>
      <c r="J151" s="145">
        <v>3.1910118632656071E-3</v>
      </c>
      <c r="K151" s="145">
        <v>1.3130452898600781E-2</v>
      </c>
      <c r="L151" s="145">
        <v>3.1910118632656071E-3</v>
      </c>
      <c r="M151" s="145">
        <v>3.1910118632656071E-3</v>
      </c>
      <c r="N151" s="145">
        <v>1.3130452898600781E-2</v>
      </c>
      <c r="O151" s="145">
        <v>1.8464030311864776E-2</v>
      </c>
      <c r="P151" s="145">
        <v>1.8464030311864776E-2</v>
      </c>
      <c r="Q151" s="145">
        <v>1.3581553835779452E-2</v>
      </c>
      <c r="R151" s="145">
        <v>1.3757444587652266E-2</v>
      </c>
      <c r="S151" s="145">
        <v>1.2733540788721482E-2</v>
      </c>
      <c r="T151" s="145">
        <v>4.7949317237244625E-2</v>
      </c>
      <c r="U151" s="145">
        <v>1.9826351017156844E-2</v>
      </c>
      <c r="V151" s="145">
        <v>7.7090326930889051E-3</v>
      </c>
      <c r="W151" s="145">
        <v>1.5875205012412883E-2</v>
      </c>
      <c r="X151" s="145">
        <v>5.949668448250729E-3</v>
      </c>
      <c r="Y151" s="145">
        <v>6.0744236757712131E-3</v>
      </c>
      <c r="Z151" s="145">
        <v>8.0596863669412169E-3</v>
      </c>
      <c r="AA151" s="145">
        <v>2.3080372063006512E-2</v>
      </c>
      <c r="AB151" s="145">
        <v>1.4545760694476507E-2</v>
      </c>
      <c r="AC151" s="145">
        <v>1.0459613321950405E-2</v>
      </c>
      <c r="AD151" s="145">
        <v>1.5875205012412883E-2</v>
      </c>
      <c r="AE151" s="145">
        <v>1.4545760694476507E-2</v>
      </c>
      <c r="AF151" s="145">
        <v>6.3820237265312123</v>
      </c>
      <c r="AG151" s="145">
        <v>6.3820237265312123</v>
      </c>
      <c r="AH151" s="145">
        <v>6.3820237265312123</v>
      </c>
      <c r="AI151" s="145">
        <v>20.47296118307176</v>
      </c>
      <c r="AJ151" s="145">
        <v>20.47296118307176</v>
      </c>
      <c r="AK151" s="145">
        <v>507.67515955698605</v>
      </c>
      <c r="AL151" s="145">
        <v>140.94268078793445</v>
      </c>
      <c r="AM151" s="145">
        <v>6.3820237265312141</v>
      </c>
      <c r="AN151" s="145">
        <v>6.3820237265312141</v>
      </c>
      <c r="AO151" s="145">
        <v>26.260905797201563</v>
      </c>
      <c r="AP151" s="145">
        <v>6.3820237265312141</v>
      </c>
      <c r="AQ151" s="145">
        <v>6.3820237265312141</v>
      </c>
      <c r="AR151" s="145">
        <v>26.260905797201563</v>
      </c>
      <c r="AS151" s="145">
        <v>36.92806062372955</v>
      </c>
      <c r="AT151" s="145">
        <v>36.92806062372955</v>
      </c>
      <c r="AU151" s="145">
        <v>27.163107671558905</v>
      </c>
      <c r="AV151" s="145">
        <v>27.514889175304532</v>
      </c>
      <c r="AW151" s="145">
        <v>25.467081577442965</v>
      </c>
      <c r="AX151" s="145">
        <v>95.898634474489256</v>
      </c>
      <c r="AY151" s="145">
        <v>39.652702034313691</v>
      </c>
      <c r="AZ151" s="145">
        <v>15.41806538617781</v>
      </c>
      <c r="BA151" s="145">
        <v>31.750410024825769</v>
      </c>
      <c r="BB151" s="145">
        <v>11.899336896501458</v>
      </c>
      <c r="BC151" s="145">
        <v>12.148847351542425</v>
      </c>
      <c r="BD151" s="145">
        <v>16.119372733882432</v>
      </c>
      <c r="BE151" s="145">
        <v>46.160744126013022</v>
      </c>
      <c r="BF151" s="145">
        <v>29.091521388953016</v>
      </c>
      <c r="BG151" s="145">
        <v>20.91922664390081</v>
      </c>
      <c r="BH151" s="145">
        <v>31.750410024825769</v>
      </c>
      <c r="BI151" s="144">
        <v>29.091521388953016</v>
      </c>
    </row>
    <row r="152" spans="1:61" s="145" customFormat="1" x14ac:dyDescent="0.35">
      <c r="A152" s="146" t="s">
        <v>1520</v>
      </c>
      <c r="B152" s="145">
        <v>0.11024586277869446</v>
      </c>
      <c r="C152" s="145">
        <v>0.11024586277869446</v>
      </c>
      <c r="D152" s="145">
        <v>0.11024586277869446</v>
      </c>
      <c r="E152" s="145">
        <v>0.22009620865683358</v>
      </c>
      <c r="F152" s="145">
        <v>0.22009620865683358</v>
      </c>
      <c r="G152" s="145">
        <v>1.6590849344911431</v>
      </c>
      <c r="H152" s="145">
        <v>0.41474331316522794</v>
      </c>
      <c r="I152" s="145">
        <v>0.11024586277869448</v>
      </c>
      <c r="J152" s="145">
        <v>0.11024586277869448</v>
      </c>
      <c r="K152" s="145">
        <v>0.120589664234071</v>
      </c>
      <c r="L152" s="145">
        <v>0.11024586277869448</v>
      </c>
      <c r="M152" s="145">
        <v>0.11024586277869448</v>
      </c>
      <c r="N152" s="145">
        <v>0.120589664234071</v>
      </c>
      <c r="O152" s="145">
        <v>0.11902480929240647</v>
      </c>
      <c r="P152" s="145">
        <v>0.11902480929240647</v>
      </c>
      <c r="Q152" s="145">
        <v>0.50516516483494878</v>
      </c>
      <c r="R152" s="145">
        <v>9.6435467889661022E-2</v>
      </c>
      <c r="S152" s="145">
        <v>0.43992948025071305</v>
      </c>
      <c r="T152" s="145">
        <v>1.5968090916933966</v>
      </c>
      <c r="U152" s="145">
        <v>0.67835590881435515</v>
      </c>
      <c r="V152" s="145">
        <v>0.26633838946903587</v>
      </c>
      <c r="W152" s="145">
        <v>0.28582034413626523</v>
      </c>
      <c r="X152" s="145">
        <v>0.20555433806921622</v>
      </c>
      <c r="Y152" s="145">
        <v>0.20986449054858455</v>
      </c>
      <c r="Z152" s="145">
        <v>0.2784530786230916</v>
      </c>
      <c r="AA152" s="145">
        <v>0.79740083721764432</v>
      </c>
      <c r="AB152" s="145">
        <v>0.50253963515318567</v>
      </c>
      <c r="AC152" s="145">
        <v>0.36136784957918139</v>
      </c>
      <c r="AD152" s="145">
        <v>0.28582034413626523</v>
      </c>
      <c r="AE152" s="145">
        <v>0.50253963515318567</v>
      </c>
      <c r="AF152" s="145">
        <v>220.49172555738892</v>
      </c>
      <c r="AG152" s="145">
        <v>220.49172555738892</v>
      </c>
      <c r="AH152" s="145">
        <v>220.49172555738892</v>
      </c>
      <c r="AI152" s="145">
        <v>440.19241731366714</v>
      </c>
      <c r="AJ152" s="145">
        <v>440.19241731366714</v>
      </c>
      <c r="AK152" s="145">
        <v>3318.1698689822861</v>
      </c>
      <c r="AL152" s="145">
        <v>829.48662633045592</v>
      </c>
      <c r="AM152" s="145">
        <v>220.49172555738897</v>
      </c>
      <c r="AN152" s="145">
        <v>220.49172555738897</v>
      </c>
      <c r="AO152" s="145">
        <v>241.17932846814199</v>
      </c>
      <c r="AP152" s="145">
        <v>220.49172555738897</v>
      </c>
      <c r="AQ152" s="145">
        <v>220.49172555738897</v>
      </c>
      <c r="AR152" s="145">
        <v>241.17932846814199</v>
      </c>
      <c r="AS152" s="145">
        <v>238.04961858481295</v>
      </c>
      <c r="AT152" s="145">
        <v>238.04961858481295</v>
      </c>
      <c r="AU152" s="145">
        <v>1010.3303296698975</v>
      </c>
      <c r="AV152" s="145">
        <v>192.87093577932205</v>
      </c>
      <c r="AW152" s="145">
        <v>879.85896050142605</v>
      </c>
      <c r="AX152" s="145">
        <v>3193.6181833867931</v>
      </c>
      <c r="AY152" s="145">
        <v>1356.7118176287104</v>
      </c>
      <c r="AZ152" s="145">
        <v>532.67677893807172</v>
      </c>
      <c r="BA152" s="145">
        <v>571.6406882725305</v>
      </c>
      <c r="BB152" s="145">
        <v>411.10867613843243</v>
      </c>
      <c r="BC152" s="145">
        <v>419.72898109716908</v>
      </c>
      <c r="BD152" s="145">
        <v>556.90615724618317</v>
      </c>
      <c r="BE152" s="145">
        <v>1594.8016744352885</v>
      </c>
      <c r="BF152" s="145">
        <v>1005.0792703063713</v>
      </c>
      <c r="BG152" s="145">
        <v>722.73569915836276</v>
      </c>
      <c r="BH152" s="145">
        <v>571.6406882725305</v>
      </c>
      <c r="BI152" s="144">
        <v>1005.0792703063713</v>
      </c>
    </row>
    <row r="153" spans="1:61" s="145" customFormat="1" x14ac:dyDescent="0.35">
      <c r="A153" s="146" t="s">
        <v>1519</v>
      </c>
      <c r="B153" s="145">
        <v>2.3635580623855232E-4</v>
      </c>
      <c r="C153" s="145">
        <v>2.3635580623855232E-4</v>
      </c>
      <c r="D153" s="145">
        <v>2.3635580623855232E-4</v>
      </c>
      <c r="E153" s="145">
        <v>1.2104237186619517E-3</v>
      </c>
      <c r="F153" s="145">
        <v>1.2104237186619517E-3</v>
      </c>
      <c r="G153" s="145">
        <v>1.6348861325159989E-3</v>
      </c>
      <c r="H153" s="145">
        <v>1.2058930559805949E-2</v>
      </c>
      <c r="I153" s="145">
        <v>2.3635580623855237E-4</v>
      </c>
      <c r="J153" s="145">
        <v>2.3635580623855237E-4</v>
      </c>
      <c r="K153" s="145">
        <v>2.0738083466310189E-3</v>
      </c>
      <c r="L153" s="145">
        <v>2.3635580623855237E-4</v>
      </c>
      <c r="M153" s="145">
        <v>2.3635580623855237E-4</v>
      </c>
      <c r="N153" s="145">
        <v>2.0738083466310189E-3</v>
      </c>
      <c r="O153" s="145">
        <v>3.1244590153698673E-3</v>
      </c>
      <c r="P153" s="145">
        <v>3.1244590153698673E-3</v>
      </c>
      <c r="Q153" s="145">
        <v>9.985702021318198E-4</v>
      </c>
      <c r="R153" s="145">
        <v>1.2588874196924401E-3</v>
      </c>
      <c r="S153" s="145">
        <v>9.4316361967697489E-4</v>
      </c>
      <c r="T153" s="145">
        <v>4.2546396552663925E-3</v>
      </c>
      <c r="U153" s="145">
        <v>1.5799840036326497E-3</v>
      </c>
      <c r="V153" s="145">
        <v>5.7100215090699104E-4</v>
      </c>
      <c r="W153" s="145">
        <v>2.0651429919953707E-3</v>
      </c>
      <c r="X153" s="145">
        <v>4.4068738794949695E-4</v>
      </c>
      <c r="Y153" s="145">
        <v>4.4992791216143214E-4</v>
      </c>
      <c r="Z153" s="145">
        <v>5.9697480013088235E-4</v>
      </c>
      <c r="AA153" s="145">
        <v>1.7095454924617424E-3</v>
      </c>
      <c r="AB153" s="145">
        <v>1.0773933609816472E-3</v>
      </c>
      <c r="AC153" s="145">
        <v>7.7473555272938074E-4</v>
      </c>
      <c r="AD153" s="145">
        <v>2.0651429919953707E-3</v>
      </c>
      <c r="AE153" s="145">
        <v>1.0773933609816472E-3</v>
      </c>
      <c r="AF153" s="145">
        <v>0.47271161247710464</v>
      </c>
      <c r="AG153" s="145">
        <v>0.47271161247710464</v>
      </c>
      <c r="AH153" s="145">
        <v>0.47271161247710464</v>
      </c>
      <c r="AI153" s="145">
        <v>2.4208474373239035</v>
      </c>
      <c r="AJ153" s="145">
        <v>2.4208474373239035</v>
      </c>
      <c r="AK153" s="145">
        <v>3.2697722650319978</v>
      </c>
      <c r="AL153" s="145">
        <v>24.117861119611899</v>
      </c>
      <c r="AM153" s="145">
        <v>0.47271161247710475</v>
      </c>
      <c r="AN153" s="145">
        <v>0.47271161247710475</v>
      </c>
      <c r="AO153" s="145">
        <v>4.1476166932620382</v>
      </c>
      <c r="AP153" s="145">
        <v>0.47271161247710475</v>
      </c>
      <c r="AQ153" s="145">
        <v>0.47271161247710475</v>
      </c>
      <c r="AR153" s="145">
        <v>4.1476166932620382</v>
      </c>
      <c r="AS153" s="145">
        <v>6.248918030739735</v>
      </c>
      <c r="AT153" s="145">
        <v>6.248918030739735</v>
      </c>
      <c r="AU153" s="145">
        <v>1.9971404042636398</v>
      </c>
      <c r="AV153" s="145">
        <v>2.51777483938488</v>
      </c>
      <c r="AW153" s="145">
        <v>1.8863272393539499</v>
      </c>
      <c r="AX153" s="145">
        <v>8.5092793105327846</v>
      </c>
      <c r="AY153" s="145">
        <v>3.1599680072652996</v>
      </c>
      <c r="AZ153" s="145">
        <v>1.142004301813982</v>
      </c>
      <c r="BA153" s="145">
        <v>4.1302859839907411</v>
      </c>
      <c r="BB153" s="145">
        <v>0.88137477589899393</v>
      </c>
      <c r="BC153" s="145">
        <v>0.89985582432286426</v>
      </c>
      <c r="BD153" s="145">
        <v>1.1939496002617647</v>
      </c>
      <c r="BE153" s="145">
        <v>3.4190909849234847</v>
      </c>
      <c r="BF153" s="145">
        <v>2.1547867219632946</v>
      </c>
      <c r="BG153" s="145">
        <v>1.5494711054587615</v>
      </c>
      <c r="BH153" s="145">
        <v>4.1302859839907411</v>
      </c>
      <c r="BI153" s="144">
        <v>2.1547867219632946</v>
      </c>
    </row>
    <row r="154" spans="1:61" s="145" customFormat="1" x14ac:dyDescent="0.35">
      <c r="A154" s="146" t="s">
        <v>1518</v>
      </c>
      <c r="B154" s="145">
        <v>5.5487241327287673E-4</v>
      </c>
      <c r="C154" s="145">
        <v>5.5487241327287673E-4</v>
      </c>
      <c r="D154" s="145">
        <v>5.5487241327287673E-4</v>
      </c>
      <c r="E154" s="145">
        <v>2.8249030671028382E-3</v>
      </c>
      <c r="F154" s="145">
        <v>2.8249030671028382E-3</v>
      </c>
      <c r="G154" s="145">
        <v>4.6219849562047482E-3</v>
      </c>
      <c r="H154" s="145">
        <v>2.8057073128364019E-2</v>
      </c>
      <c r="I154" s="145">
        <v>5.5487241327287684E-4</v>
      </c>
      <c r="J154" s="145">
        <v>5.5487241327287684E-4</v>
      </c>
      <c r="K154" s="145">
        <v>4.8240477111477246E-3</v>
      </c>
      <c r="L154" s="145">
        <v>5.5487241327287684E-4</v>
      </c>
      <c r="M154" s="145">
        <v>5.5487241327287684E-4</v>
      </c>
      <c r="N154" s="145">
        <v>4.8240477111477246E-3</v>
      </c>
      <c r="O154" s="145">
        <v>7.2701254644982364E-3</v>
      </c>
      <c r="P154" s="145">
        <v>7.2701254644982364E-3</v>
      </c>
      <c r="Q154" s="145">
        <v>1.5862920281046486E-3</v>
      </c>
      <c r="R154" s="145">
        <v>1.4172670681925697E-3</v>
      </c>
      <c r="S154" s="145">
        <v>2.2141849700664678E-3</v>
      </c>
      <c r="T154" s="145">
        <v>6.3868312709921046E-3</v>
      </c>
      <c r="U154" s="145">
        <v>3.4611091637329889E-3</v>
      </c>
      <c r="V154" s="145">
        <v>1.3404931594444849E-3</v>
      </c>
      <c r="W154" s="145">
        <v>4.8153088267482375E-3</v>
      </c>
      <c r="X154" s="145">
        <v>1.034564279769206E-3</v>
      </c>
      <c r="Y154" s="145">
        <v>1.0562574721260205E-3</v>
      </c>
      <c r="Z154" s="145">
        <v>1.4014669378479019E-3</v>
      </c>
      <c r="AA154" s="145">
        <v>4.0133544764481928E-3</v>
      </c>
      <c r="AB154" s="145">
        <v>2.5293047112567683E-3</v>
      </c>
      <c r="AC154" s="145">
        <v>1.8187807299194217E-3</v>
      </c>
      <c r="AD154" s="145">
        <v>4.8153088267482375E-3</v>
      </c>
      <c r="AE154" s="145">
        <v>2.5293047112567683E-3</v>
      </c>
      <c r="AF154" s="145">
        <v>1.1097448265457535</v>
      </c>
      <c r="AG154" s="145">
        <v>1.1097448265457535</v>
      </c>
      <c r="AH154" s="145">
        <v>1.1097448265457535</v>
      </c>
      <c r="AI154" s="145">
        <v>5.6498061342056767</v>
      </c>
      <c r="AJ154" s="145">
        <v>5.6498061342056767</v>
      </c>
      <c r="AK154" s="145">
        <v>9.2439699124094972</v>
      </c>
      <c r="AL154" s="145">
        <v>56.114146256728041</v>
      </c>
      <c r="AM154" s="145">
        <v>1.1097448265457537</v>
      </c>
      <c r="AN154" s="145">
        <v>1.1097448265457537</v>
      </c>
      <c r="AO154" s="145">
        <v>9.6480954222954498</v>
      </c>
      <c r="AP154" s="145">
        <v>1.1097448265457537</v>
      </c>
      <c r="AQ154" s="145">
        <v>1.1097448265457537</v>
      </c>
      <c r="AR154" s="145">
        <v>9.6480954222954498</v>
      </c>
      <c r="AS154" s="145">
        <v>14.540250928996473</v>
      </c>
      <c r="AT154" s="145">
        <v>14.540250928996473</v>
      </c>
      <c r="AU154" s="145">
        <v>3.1725840562092973</v>
      </c>
      <c r="AV154" s="145">
        <v>2.8345341363851393</v>
      </c>
      <c r="AW154" s="145">
        <v>4.4283699401329359</v>
      </c>
      <c r="AX154" s="145">
        <v>12.773662541984208</v>
      </c>
      <c r="AY154" s="145">
        <v>6.9222183274659779</v>
      </c>
      <c r="AZ154" s="145">
        <v>2.6809863188889698</v>
      </c>
      <c r="BA154" s="145">
        <v>9.6306176534964756</v>
      </c>
      <c r="BB154" s="145">
        <v>2.0691285595384121</v>
      </c>
      <c r="BC154" s="145">
        <v>2.112514944252041</v>
      </c>
      <c r="BD154" s="145">
        <v>2.8029338756958038</v>
      </c>
      <c r="BE154" s="145">
        <v>8.0267089528963851</v>
      </c>
      <c r="BF154" s="145">
        <v>5.0586094225135367</v>
      </c>
      <c r="BG154" s="145">
        <v>3.6375614598388433</v>
      </c>
      <c r="BH154" s="145">
        <v>9.6306176534964756</v>
      </c>
      <c r="BI154" s="144">
        <v>5.0586094225135367</v>
      </c>
    </row>
    <row r="155" spans="1:61" s="145" customFormat="1" x14ac:dyDescent="0.35">
      <c r="A155" s="146" t="s">
        <v>1531</v>
      </c>
      <c r="B155" s="145">
        <v>0.11434334971882329</v>
      </c>
      <c r="C155" s="145">
        <v>0.11434334971882329</v>
      </c>
      <c r="D155" s="145">
        <v>0.11434334971882329</v>
      </c>
      <c r="E155" s="145">
        <v>0.45450548050870343</v>
      </c>
      <c r="F155" s="145">
        <v>0.45450548050870343</v>
      </c>
      <c r="G155" s="145">
        <v>1.7091138260769976</v>
      </c>
      <c r="H155" s="145">
        <v>3.8515783575697662</v>
      </c>
      <c r="I155" s="145">
        <v>0.11434334971882332</v>
      </c>
      <c r="J155" s="145">
        <v>0.11434334971882332</v>
      </c>
      <c r="K155" s="145">
        <v>0.6782381336170783</v>
      </c>
      <c r="L155" s="145">
        <v>0.11434334971882332</v>
      </c>
      <c r="M155" s="145">
        <v>0.11434334971882332</v>
      </c>
      <c r="N155" s="145">
        <v>0.6782381336170783</v>
      </c>
      <c r="O155" s="145">
        <v>1.0023409613847813</v>
      </c>
      <c r="P155" s="145">
        <v>1.0023409613847813</v>
      </c>
      <c r="Q155" s="145">
        <v>0.26279947426923111</v>
      </c>
      <c r="R155" s="145">
        <v>0.13511998362067246</v>
      </c>
      <c r="S155" s="145">
        <v>0.45628025527728688</v>
      </c>
      <c r="T155" s="145">
        <v>0.80497326215747733</v>
      </c>
      <c r="U155" s="145">
        <v>0.70571966976861233</v>
      </c>
      <c r="V155" s="145">
        <v>0.27623733755650298</v>
      </c>
      <c r="W155" s="145">
        <v>0.74132122429725267</v>
      </c>
      <c r="X155" s="145">
        <v>0.21319413691968345</v>
      </c>
      <c r="Y155" s="145">
        <v>0.21766448401360733</v>
      </c>
      <c r="Z155" s="145">
        <v>0.2888022910501114</v>
      </c>
      <c r="AA155" s="145">
        <v>0.8270376819408416</v>
      </c>
      <c r="AB155" s="145">
        <v>0.52121742985710828</v>
      </c>
      <c r="AC155" s="145">
        <v>0.37479873947303138</v>
      </c>
      <c r="AD155" s="145">
        <v>0.74132122429725267</v>
      </c>
      <c r="AE155" s="145">
        <v>0.52121742985710828</v>
      </c>
      <c r="AF155" s="145">
        <v>228.68669943764658</v>
      </c>
      <c r="AG155" s="145">
        <v>228.68669943764658</v>
      </c>
      <c r="AH155" s="145">
        <v>228.68669943764658</v>
      </c>
      <c r="AI155" s="145">
        <v>909.01096101740688</v>
      </c>
      <c r="AJ155" s="145">
        <v>909.01096101740688</v>
      </c>
      <c r="AK155" s="145">
        <v>3418.2276521539952</v>
      </c>
      <c r="AL155" s="145">
        <v>7703.156715139532</v>
      </c>
      <c r="AM155" s="145">
        <v>228.68669943764664</v>
      </c>
      <c r="AN155" s="145">
        <v>228.68669943764664</v>
      </c>
      <c r="AO155" s="145">
        <v>1356.4762672341567</v>
      </c>
      <c r="AP155" s="145">
        <v>228.68669943764664</v>
      </c>
      <c r="AQ155" s="145">
        <v>228.68669943764664</v>
      </c>
      <c r="AR155" s="145">
        <v>1356.4762672341567</v>
      </c>
      <c r="AS155" s="145">
        <v>2004.6819227695628</v>
      </c>
      <c r="AT155" s="145">
        <v>2004.6819227695628</v>
      </c>
      <c r="AU155" s="145">
        <v>525.5989485384622</v>
      </c>
      <c r="AV155" s="145">
        <v>270.23996724134491</v>
      </c>
      <c r="AW155" s="145">
        <v>912.56051055457374</v>
      </c>
      <c r="AX155" s="145">
        <v>1609.9465243149546</v>
      </c>
      <c r="AY155" s="145">
        <v>1411.4393395372247</v>
      </c>
      <c r="AZ155" s="145">
        <v>552.47467511300601</v>
      </c>
      <c r="BA155" s="145">
        <v>1482.6424485945054</v>
      </c>
      <c r="BB155" s="145">
        <v>426.38827383936689</v>
      </c>
      <c r="BC155" s="145">
        <v>435.32896802721467</v>
      </c>
      <c r="BD155" s="145">
        <v>577.60458210022284</v>
      </c>
      <c r="BE155" s="145">
        <v>1654.0753638816832</v>
      </c>
      <c r="BF155" s="145">
        <v>1042.4348597142166</v>
      </c>
      <c r="BG155" s="145">
        <v>749.59747894606278</v>
      </c>
      <c r="BH155" s="145">
        <v>1482.6424485945054</v>
      </c>
      <c r="BI155" s="144">
        <v>1042.4348597142166</v>
      </c>
    </row>
    <row r="156" spans="1:61" s="145" customFormat="1" x14ac:dyDescent="0.35">
      <c r="A156" s="146" t="s">
        <v>1530</v>
      </c>
      <c r="B156" s="145">
        <v>9.2588525555173785E-4</v>
      </c>
      <c r="C156" s="145">
        <v>9.2588525555173785E-4</v>
      </c>
      <c r="D156" s="145">
        <v>9.2588525555173785E-4</v>
      </c>
      <c r="E156" s="145">
        <v>4.0771420087390813E-3</v>
      </c>
      <c r="F156" s="145">
        <v>4.0771420087390813E-3</v>
      </c>
      <c r="G156" s="145">
        <v>1.7480922940029192E-3</v>
      </c>
      <c r="H156" s="145">
        <v>3.71892624392402E-2</v>
      </c>
      <c r="I156" s="145">
        <v>9.2588525555173807E-4</v>
      </c>
      <c r="J156" s="145">
        <v>9.2588525555173807E-4</v>
      </c>
      <c r="K156" s="145">
        <v>6.4648046365448101E-3</v>
      </c>
      <c r="L156" s="145">
        <v>9.2588525555173807E-4</v>
      </c>
      <c r="M156" s="145">
        <v>9.2588525555173807E-4</v>
      </c>
      <c r="N156" s="145">
        <v>6.4648046365448101E-3</v>
      </c>
      <c r="O156" s="145">
        <v>9.6580154344786499E-3</v>
      </c>
      <c r="P156" s="145">
        <v>9.6580154344786499E-3</v>
      </c>
      <c r="Q156" s="145">
        <v>2.5574488019574969E-3</v>
      </c>
      <c r="R156" s="145">
        <v>5.4884721359424015E-4</v>
      </c>
      <c r="S156" s="145">
        <v>3.6946893877036441E-3</v>
      </c>
      <c r="T156" s="145">
        <v>9.1975436899774093E-3</v>
      </c>
      <c r="U156" s="145">
        <v>5.7598076529919995E-3</v>
      </c>
      <c r="V156" s="145">
        <v>2.2368076368706412E-3</v>
      </c>
      <c r="W156" s="145">
        <v>6.7831348865279393E-3</v>
      </c>
      <c r="X156" s="145">
        <v>1.7263208435769504E-3</v>
      </c>
      <c r="Y156" s="145">
        <v>1.7625190874769308E-3</v>
      </c>
      <c r="Z156" s="145">
        <v>2.3385512468403792E-3</v>
      </c>
      <c r="AA156" s="145">
        <v>6.6968651642418681E-3</v>
      </c>
      <c r="AB156" s="145">
        <v>4.220512469050264E-3</v>
      </c>
      <c r="AC156" s="145">
        <v>3.0348999529119969E-3</v>
      </c>
      <c r="AD156" s="145">
        <v>6.7831348865279393E-3</v>
      </c>
      <c r="AE156" s="145">
        <v>4.220512469050264E-3</v>
      </c>
      <c r="AF156" s="145">
        <v>1.8517705111034757</v>
      </c>
      <c r="AG156" s="145">
        <v>1.8517705111034757</v>
      </c>
      <c r="AH156" s="145">
        <v>1.8517705111034757</v>
      </c>
      <c r="AI156" s="145">
        <v>8.1542840174781617</v>
      </c>
      <c r="AJ156" s="145">
        <v>8.1542840174781617</v>
      </c>
      <c r="AK156" s="145">
        <v>3.4961845880058382</v>
      </c>
      <c r="AL156" s="145">
        <v>74.378524878480405</v>
      </c>
      <c r="AM156" s="145">
        <v>1.8517705111034761</v>
      </c>
      <c r="AN156" s="145">
        <v>1.8517705111034761</v>
      </c>
      <c r="AO156" s="145">
        <v>12.929609273089619</v>
      </c>
      <c r="AP156" s="145">
        <v>1.8517705111034761</v>
      </c>
      <c r="AQ156" s="145">
        <v>1.8517705111034761</v>
      </c>
      <c r="AR156" s="145">
        <v>12.929609273089619</v>
      </c>
      <c r="AS156" s="145">
        <v>19.316030868957299</v>
      </c>
      <c r="AT156" s="145">
        <v>19.316030868957299</v>
      </c>
      <c r="AU156" s="145">
        <v>5.1148976039149936</v>
      </c>
      <c r="AV156" s="145">
        <v>1.0976944271884803</v>
      </c>
      <c r="AW156" s="145">
        <v>7.3893787754072884</v>
      </c>
      <c r="AX156" s="145">
        <v>18.39508737995482</v>
      </c>
      <c r="AY156" s="145">
        <v>11.519615305983999</v>
      </c>
      <c r="AZ156" s="145">
        <v>4.4736152737412826</v>
      </c>
      <c r="BA156" s="145">
        <v>13.566269773055879</v>
      </c>
      <c r="BB156" s="145">
        <v>3.4526416871539007</v>
      </c>
      <c r="BC156" s="145">
        <v>3.5250381749538615</v>
      </c>
      <c r="BD156" s="145">
        <v>4.6771024936807581</v>
      </c>
      <c r="BE156" s="145">
        <v>13.393730328483736</v>
      </c>
      <c r="BF156" s="145">
        <v>8.4410249381005276</v>
      </c>
      <c r="BG156" s="145">
        <v>6.0697999058239942</v>
      </c>
      <c r="BH156" s="145">
        <v>13.566269773055879</v>
      </c>
      <c r="BI156" s="144">
        <v>8.4410249381005276</v>
      </c>
    </row>
    <row r="157" spans="1:61" s="48" customFormat="1" x14ac:dyDescent="0.35">
      <c r="A157" s="155" t="s">
        <v>1529</v>
      </c>
      <c r="B157" s="154">
        <v>59.908543360697273</v>
      </c>
      <c r="C157" s="154">
        <v>59.908543360697273</v>
      </c>
      <c r="D157" s="154">
        <v>59.908543360697273</v>
      </c>
      <c r="E157" s="154">
        <v>183.22456551280737</v>
      </c>
      <c r="F157" s="154">
        <v>183.22456551280737</v>
      </c>
      <c r="G157" s="154">
        <v>188.82247601532575</v>
      </c>
      <c r="H157" s="154">
        <v>1187.5814828592272</v>
      </c>
      <c r="I157" s="154">
        <v>59.908543360697287</v>
      </c>
      <c r="J157" s="154">
        <v>59.908543360697287</v>
      </c>
      <c r="K157" s="154">
        <v>219.78720797363485</v>
      </c>
      <c r="L157" s="154">
        <v>59.908543360697287</v>
      </c>
      <c r="M157" s="154">
        <v>59.908543360697287</v>
      </c>
      <c r="N157" s="154">
        <v>219.78720797363485</v>
      </c>
      <c r="O157" s="154">
        <v>311.85009865278852</v>
      </c>
      <c r="P157" s="154">
        <v>311.85009865278852</v>
      </c>
      <c r="Q157" s="154">
        <v>154.48393541938074</v>
      </c>
      <c r="R157" s="154">
        <v>100.34522754810114</v>
      </c>
      <c r="S157" s="154">
        <v>239.06143667408611</v>
      </c>
      <c r="T157" s="154">
        <v>410.99216986054495</v>
      </c>
      <c r="U157" s="154">
        <v>369.56966494254345</v>
      </c>
      <c r="V157" s="154">
        <v>144.73055543275748</v>
      </c>
      <c r="W157" s="154">
        <v>280.43026274507923</v>
      </c>
      <c r="X157" s="154">
        <v>111.69998279136233</v>
      </c>
      <c r="Y157" s="154">
        <v>114.04215645841224</v>
      </c>
      <c r="Z157" s="154">
        <v>151.31378098149321</v>
      </c>
      <c r="AA157" s="154">
        <v>433.31442494313296</v>
      </c>
      <c r="AB157" s="154">
        <v>273.08432955419539</v>
      </c>
      <c r="AC157" s="154">
        <v>196.37037563154792</v>
      </c>
      <c r="AD157" s="154">
        <v>280.43026274507923</v>
      </c>
      <c r="AE157" s="154">
        <v>273.08432955419539</v>
      </c>
      <c r="AF157" s="154">
        <v>119817.08672139455</v>
      </c>
      <c r="AG157" s="154">
        <v>119817.08672139455</v>
      </c>
      <c r="AH157" s="154">
        <v>119817.08672139455</v>
      </c>
      <c r="AI157" s="154">
        <v>366449.13102561474</v>
      </c>
      <c r="AJ157" s="154">
        <v>366449.13102561474</v>
      </c>
      <c r="AK157" s="154">
        <v>377644.9520306515</v>
      </c>
      <c r="AL157" s="154">
        <v>2375162.9657184542</v>
      </c>
      <c r="AM157" s="154">
        <v>119817.08672139457</v>
      </c>
      <c r="AN157" s="154">
        <v>119817.08672139457</v>
      </c>
      <c r="AO157" s="154">
        <v>439574.41594726971</v>
      </c>
      <c r="AP157" s="154">
        <v>119817.08672139457</v>
      </c>
      <c r="AQ157" s="154">
        <v>119817.08672139457</v>
      </c>
      <c r="AR157" s="154">
        <v>439574.41594726971</v>
      </c>
      <c r="AS157" s="154">
        <v>623700.19730557699</v>
      </c>
      <c r="AT157" s="154">
        <v>623700.19730557699</v>
      </c>
      <c r="AU157" s="154">
        <v>308967.8708387615</v>
      </c>
      <c r="AV157" s="154">
        <v>200690.45509620226</v>
      </c>
      <c r="AW157" s="154">
        <v>478122.87334817223</v>
      </c>
      <c r="AX157" s="154">
        <v>821984.33972108993</v>
      </c>
      <c r="AY157" s="154">
        <v>739139.32988508686</v>
      </c>
      <c r="AZ157" s="154">
        <v>289461.11086551496</v>
      </c>
      <c r="BA157" s="154">
        <v>560860.52549015847</v>
      </c>
      <c r="BB157" s="154">
        <v>223399.96558272466</v>
      </c>
      <c r="BC157" s="154">
        <v>228084.31291682448</v>
      </c>
      <c r="BD157" s="154">
        <v>302627.56196298642</v>
      </c>
      <c r="BE157" s="154">
        <v>866628.84988626593</v>
      </c>
      <c r="BF157" s="154">
        <v>546168.6591083908</v>
      </c>
      <c r="BG157" s="154">
        <v>392740.75126309582</v>
      </c>
      <c r="BH157" s="154">
        <v>560860.52549015847</v>
      </c>
      <c r="BI157" s="153">
        <v>546168.6591083908</v>
      </c>
    </row>
    <row r="158" spans="1:61" s="48" customFormat="1" x14ac:dyDescent="0.35">
      <c r="A158" s="155" t="s">
        <v>1528</v>
      </c>
      <c r="B158" s="154">
        <v>59.957121729075091</v>
      </c>
      <c r="C158" s="154">
        <v>59.957121729075091</v>
      </c>
      <c r="D158" s="154">
        <v>59.957121729075091</v>
      </c>
      <c r="E158" s="154">
        <v>183.45097102181444</v>
      </c>
      <c r="F158" s="154">
        <v>183.45097102181444</v>
      </c>
      <c r="G158" s="154">
        <v>192.79318821727927</v>
      </c>
      <c r="H158" s="154">
        <v>1189.7215898623865</v>
      </c>
      <c r="I158" s="154">
        <v>59.957121729075105</v>
      </c>
      <c r="J158" s="154">
        <v>59.957121729075105</v>
      </c>
      <c r="K158" s="154">
        <v>220.55284182652929</v>
      </c>
      <c r="L158" s="154">
        <v>59.957121729075105</v>
      </c>
      <c r="M158" s="154">
        <v>59.957121729075105</v>
      </c>
      <c r="N158" s="154">
        <v>220.55284182652929</v>
      </c>
      <c r="O158" s="154">
        <v>312.40534973832763</v>
      </c>
      <c r="P158" s="154">
        <v>312.40534973832763</v>
      </c>
      <c r="Q158" s="154">
        <v>154.61667701628346</v>
      </c>
      <c r="R158" s="154">
        <v>100.50220728008119</v>
      </c>
      <c r="S158" s="154">
        <v>239.2552857293997</v>
      </c>
      <c r="T158" s="154">
        <v>411.4876564441895</v>
      </c>
      <c r="U158" s="154">
        <v>369.872496114922</v>
      </c>
      <c r="V158" s="154">
        <v>144.84791389021501</v>
      </c>
      <c r="W158" s="154">
        <v>280.81071525299745</v>
      </c>
      <c r="X158" s="154">
        <v>111.79055756763698</v>
      </c>
      <c r="Y158" s="154">
        <v>114.13463044586481</v>
      </c>
      <c r="Z158" s="154">
        <v>151.4364776150752</v>
      </c>
      <c r="AA158" s="154">
        <v>433.66578898200765</v>
      </c>
      <c r="AB158" s="154">
        <v>273.30576693883393</v>
      </c>
      <c r="AC158" s="154">
        <v>196.52960755258607</v>
      </c>
      <c r="AD158" s="154">
        <v>280.81071525299745</v>
      </c>
      <c r="AE158" s="154">
        <v>273.30576693883393</v>
      </c>
      <c r="AF158" s="154">
        <v>119914.24345815019</v>
      </c>
      <c r="AG158" s="154">
        <v>119914.24345815019</v>
      </c>
      <c r="AH158" s="154">
        <v>119914.24345815019</v>
      </c>
      <c r="AI158" s="154">
        <v>366901.94204362889</v>
      </c>
      <c r="AJ158" s="154">
        <v>366901.94204362889</v>
      </c>
      <c r="AK158" s="154">
        <v>385586.37643455854</v>
      </c>
      <c r="AL158" s="154">
        <v>2379443.1797247729</v>
      </c>
      <c r="AM158" s="154">
        <v>119914.24345815022</v>
      </c>
      <c r="AN158" s="154">
        <v>119914.24345815022</v>
      </c>
      <c r="AO158" s="154">
        <v>441105.6836530586</v>
      </c>
      <c r="AP158" s="154">
        <v>119914.24345815022</v>
      </c>
      <c r="AQ158" s="154">
        <v>119914.24345815022</v>
      </c>
      <c r="AR158" s="154">
        <v>441105.6836530586</v>
      </c>
      <c r="AS158" s="154">
        <v>624810.69947665522</v>
      </c>
      <c r="AT158" s="154">
        <v>624810.69947665522</v>
      </c>
      <c r="AU158" s="154">
        <v>309233.35403256695</v>
      </c>
      <c r="AV158" s="154">
        <v>201004.41456016237</v>
      </c>
      <c r="AW158" s="154">
        <v>478510.57145879942</v>
      </c>
      <c r="AX158" s="154">
        <v>822975.31288837898</v>
      </c>
      <c r="AY158" s="154">
        <v>739744.99222984398</v>
      </c>
      <c r="AZ158" s="154">
        <v>289695.82778043003</v>
      </c>
      <c r="BA158" s="154">
        <v>561621.43050599494</v>
      </c>
      <c r="BB158" s="154">
        <v>223581.11513527395</v>
      </c>
      <c r="BC158" s="154">
        <v>228269.26089172962</v>
      </c>
      <c r="BD158" s="154">
        <v>302872.95523015043</v>
      </c>
      <c r="BE158" s="154">
        <v>867331.57796401531</v>
      </c>
      <c r="BF158" s="154">
        <v>546611.53387766785</v>
      </c>
      <c r="BG158" s="154">
        <v>393059.21510517213</v>
      </c>
      <c r="BH158" s="154">
        <v>561621.43050599494</v>
      </c>
      <c r="BI158" s="153">
        <v>546611.53387766785</v>
      </c>
    </row>
    <row r="159" spans="1:61" s="48" customFormat="1" x14ac:dyDescent="0.35">
      <c r="A159" s="152" t="s">
        <v>1527</v>
      </c>
      <c r="B159" s="151">
        <v>63.632781813361007</v>
      </c>
      <c r="C159" s="151">
        <v>63.632781813361007</v>
      </c>
      <c r="D159" s="151">
        <v>63.632781813361007</v>
      </c>
      <c r="E159" s="151">
        <v>198.16657806939139</v>
      </c>
      <c r="F159" s="151">
        <v>198.16657806939139</v>
      </c>
      <c r="G159" s="151">
        <v>244.52984745749998</v>
      </c>
      <c r="H159" s="151">
        <v>1315.1240951358784</v>
      </c>
      <c r="I159" s="151">
        <v>63.632781813361021</v>
      </c>
      <c r="J159" s="151">
        <v>63.632781813361021</v>
      </c>
      <c r="K159" s="151">
        <v>242.61315906372602</v>
      </c>
      <c r="L159" s="151">
        <v>63.632781813361021</v>
      </c>
      <c r="M159" s="151">
        <v>63.632781813361021</v>
      </c>
      <c r="N159" s="151">
        <v>242.61315906372602</v>
      </c>
      <c r="O159" s="151">
        <v>345.0349526700079</v>
      </c>
      <c r="P159" s="151">
        <v>345.0349526700079</v>
      </c>
      <c r="Q159" s="151">
        <v>163.17838517687915</v>
      </c>
      <c r="R159" s="151">
        <v>104.70125130030384</v>
      </c>
      <c r="S159" s="151">
        <v>253.92278607545978</v>
      </c>
      <c r="T159" s="151">
        <v>438.0742033867578</v>
      </c>
      <c r="U159" s="151">
        <v>392.57043523602329</v>
      </c>
      <c r="V159" s="151">
        <v>153.72778804068085</v>
      </c>
      <c r="W159" s="151">
        <v>304.847882726845</v>
      </c>
      <c r="X159" s="151">
        <v>118.64385669877537</v>
      </c>
      <c r="Y159" s="151">
        <v>121.13163252445442</v>
      </c>
      <c r="Z159" s="151">
        <v>160.72026242699124</v>
      </c>
      <c r="AA159" s="151">
        <v>460.25158870875703</v>
      </c>
      <c r="AB159" s="151">
        <v>290.0607256388455</v>
      </c>
      <c r="AC159" s="151">
        <v>208.57781822429871</v>
      </c>
      <c r="AD159" s="151">
        <v>304.847882726845</v>
      </c>
      <c r="AE159" s="151">
        <v>290.0607256388455</v>
      </c>
      <c r="AF159" s="151">
        <v>127265.56362672201</v>
      </c>
      <c r="AG159" s="151">
        <v>127265.56362672201</v>
      </c>
      <c r="AH159" s="151">
        <v>127265.56362672201</v>
      </c>
      <c r="AI159" s="151">
        <v>396333.1561387828</v>
      </c>
      <c r="AJ159" s="151">
        <v>396333.1561387828</v>
      </c>
      <c r="AK159" s="151">
        <v>489059.69491499994</v>
      </c>
      <c r="AL159" s="151">
        <v>2630248.1902717566</v>
      </c>
      <c r="AM159" s="151">
        <v>127265.56362672204</v>
      </c>
      <c r="AN159" s="151">
        <v>127265.56362672204</v>
      </c>
      <c r="AO159" s="151">
        <v>485226.31812745205</v>
      </c>
      <c r="AP159" s="151">
        <v>127265.56362672204</v>
      </c>
      <c r="AQ159" s="151">
        <v>127265.56362672204</v>
      </c>
      <c r="AR159" s="151">
        <v>485226.31812745205</v>
      </c>
      <c r="AS159" s="151">
        <v>690069.90534001577</v>
      </c>
      <c r="AT159" s="151">
        <v>690069.90534001577</v>
      </c>
      <c r="AU159" s="151">
        <v>326356.7703537583</v>
      </c>
      <c r="AV159" s="151">
        <v>209402.50260060767</v>
      </c>
      <c r="AW159" s="151">
        <v>507845.57215091959</v>
      </c>
      <c r="AX159" s="151">
        <v>876148.40677351563</v>
      </c>
      <c r="AY159" s="151">
        <v>785140.87047204655</v>
      </c>
      <c r="AZ159" s="151">
        <v>307455.57608136168</v>
      </c>
      <c r="BA159" s="151">
        <v>609695.76545368996</v>
      </c>
      <c r="BB159" s="151">
        <v>237287.71339755075</v>
      </c>
      <c r="BC159" s="151">
        <v>242263.26504890883</v>
      </c>
      <c r="BD159" s="151">
        <v>321440.5248539825</v>
      </c>
      <c r="BE159" s="151">
        <v>920503.17741751403</v>
      </c>
      <c r="BF159" s="151">
        <v>580121.45127769094</v>
      </c>
      <c r="BG159" s="151">
        <v>417155.63644859742</v>
      </c>
      <c r="BH159" s="151">
        <v>609695.76545368996</v>
      </c>
      <c r="BI159" s="150">
        <v>580121.45127769094</v>
      </c>
    </row>
    <row r="160" spans="1:61" s="145" customFormat="1" ht="13.15" x14ac:dyDescent="0.4">
      <c r="A160" s="149" t="s">
        <v>1562</v>
      </c>
      <c r="B160" s="401" t="s">
        <v>1872</v>
      </c>
      <c r="C160" s="401" t="s">
        <v>1872</v>
      </c>
      <c r="D160" s="401" t="s">
        <v>1872</v>
      </c>
      <c r="E160" s="401" t="s">
        <v>1872</v>
      </c>
      <c r="F160" s="401" t="s">
        <v>1872</v>
      </c>
      <c r="G160" s="401" t="s">
        <v>1872</v>
      </c>
      <c r="H160" s="401" t="s">
        <v>1872</v>
      </c>
      <c r="I160" s="401" t="s">
        <v>1872</v>
      </c>
      <c r="J160" s="401" t="s">
        <v>1872</v>
      </c>
      <c r="K160" s="401" t="s">
        <v>1872</v>
      </c>
      <c r="L160" s="401" t="s">
        <v>1872</v>
      </c>
      <c r="M160" s="401" t="s">
        <v>1872</v>
      </c>
      <c r="N160" s="401" t="s">
        <v>1872</v>
      </c>
      <c r="O160" s="401" t="s">
        <v>1872</v>
      </c>
      <c r="P160" s="401" t="s">
        <v>1872</v>
      </c>
      <c r="Q160" s="401" t="s">
        <v>1872</v>
      </c>
      <c r="R160" s="401" t="s">
        <v>1872</v>
      </c>
      <c r="S160" s="401" t="s">
        <v>1872</v>
      </c>
      <c r="T160" s="401" t="s">
        <v>1872</v>
      </c>
      <c r="U160" s="401" t="s">
        <v>1872</v>
      </c>
      <c r="V160" s="401" t="s">
        <v>1872</v>
      </c>
      <c r="W160" s="401" t="s">
        <v>1872</v>
      </c>
      <c r="X160" s="401" t="s">
        <v>1872</v>
      </c>
      <c r="Y160" s="401" t="s">
        <v>1872</v>
      </c>
      <c r="Z160" s="401" t="s">
        <v>1872</v>
      </c>
      <c r="AA160" s="401" t="s">
        <v>1872</v>
      </c>
      <c r="AB160" s="401" t="s">
        <v>1872</v>
      </c>
      <c r="AC160" s="401" t="s">
        <v>1872</v>
      </c>
      <c r="AD160" s="401" t="s">
        <v>1872</v>
      </c>
      <c r="AE160" s="401" t="s">
        <v>1872</v>
      </c>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7"/>
    </row>
    <row r="161" spans="1:61" s="145" customFormat="1" x14ac:dyDescent="0.35">
      <c r="A161" s="146" t="s">
        <v>1525</v>
      </c>
      <c r="B161" s="145">
        <v>4.6087573627066327E-4</v>
      </c>
      <c r="C161" s="145">
        <v>4.6087573627066327E-4</v>
      </c>
      <c r="D161" s="145">
        <v>4.6087573627066327E-4</v>
      </c>
      <c r="E161" s="145">
        <v>1.5131514262731363E-3</v>
      </c>
      <c r="F161" s="145">
        <v>1.5131514262731363E-3</v>
      </c>
      <c r="G161" s="145">
        <v>1.2450967339473948E-3</v>
      </c>
      <c r="H161" s="145">
        <v>1.070297149716316E-2</v>
      </c>
      <c r="I161" s="145">
        <v>4.6087573627066338E-4</v>
      </c>
      <c r="J161" s="145">
        <v>4.6087573627066338E-4</v>
      </c>
      <c r="K161" s="145">
        <v>1.9430390537085993E-3</v>
      </c>
      <c r="L161" s="145">
        <v>4.6087573627066338E-4</v>
      </c>
      <c r="M161" s="145">
        <v>4.6087573627066338E-4</v>
      </c>
      <c r="N161" s="145">
        <v>1.9430390537085993E-3</v>
      </c>
      <c r="O161" s="145">
        <v>2.801568886090755E-3</v>
      </c>
      <c r="P161" s="145">
        <v>2.801568886090755E-3</v>
      </c>
      <c r="Q161" s="145">
        <v>1.5522572885207384E-3</v>
      </c>
      <c r="R161" s="145">
        <v>4.6717726811178358E-4</v>
      </c>
      <c r="S161" s="145">
        <v>1.839096887696547E-3</v>
      </c>
      <c r="T161" s="145">
        <v>5.0662724269153019E-3</v>
      </c>
      <c r="U161" s="145">
        <v>2.8627074731435065E-3</v>
      </c>
      <c r="V161" s="145">
        <v>1.1134105013091372E-3</v>
      </c>
      <c r="W161" s="145">
        <v>2.3610891783138565E-3</v>
      </c>
      <c r="X161" s="145">
        <v>8.593066851991368E-4</v>
      </c>
      <c r="Y161" s="145">
        <v>8.7732500032952198E-4</v>
      </c>
      <c r="Z161" s="145">
        <v>1.1640551798742967E-3</v>
      </c>
      <c r="AA161" s="145">
        <v>3.3334828962538325E-3</v>
      </c>
      <c r="AB161" s="145">
        <v>2.1008346120102595E-3</v>
      </c>
      <c r="AC161" s="145">
        <v>1.5106750452275229E-3</v>
      </c>
      <c r="AD161" s="145">
        <v>2.3610891783138565E-3</v>
      </c>
      <c r="AE161" s="145">
        <v>2.1008346120102595E-3</v>
      </c>
      <c r="AF161" s="145">
        <v>0.9217514725413265</v>
      </c>
      <c r="AG161" s="145">
        <v>0.9217514725413265</v>
      </c>
      <c r="AH161" s="145">
        <v>0.9217514725413265</v>
      </c>
      <c r="AI161" s="145">
        <v>3.0263028525462725</v>
      </c>
      <c r="AJ161" s="145">
        <v>3.0263028525462725</v>
      </c>
      <c r="AK161" s="145">
        <v>2.4901934678947897</v>
      </c>
      <c r="AL161" s="145">
        <v>21.40594299432632</v>
      </c>
      <c r="AM161" s="145">
        <v>0.92175147254132672</v>
      </c>
      <c r="AN161" s="145">
        <v>0.92175147254132672</v>
      </c>
      <c r="AO161" s="145">
        <v>3.8860781074171986</v>
      </c>
      <c r="AP161" s="145">
        <v>0.92175147254132672</v>
      </c>
      <c r="AQ161" s="145">
        <v>0.92175147254132672</v>
      </c>
      <c r="AR161" s="145">
        <v>3.8860781074171986</v>
      </c>
      <c r="AS161" s="145">
        <v>5.6031377721815101</v>
      </c>
      <c r="AT161" s="145">
        <v>5.6031377721815101</v>
      </c>
      <c r="AU161" s="145">
        <v>3.1045145770414768</v>
      </c>
      <c r="AV161" s="145">
        <v>0.93435453622356712</v>
      </c>
      <c r="AW161" s="145">
        <v>3.678193775393094</v>
      </c>
      <c r="AX161" s="145">
        <v>10.132544853830604</v>
      </c>
      <c r="AY161" s="145">
        <v>5.725414946287013</v>
      </c>
      <c r="AZ161" s="145">
        <v>2.2268210026182746</v>
      </c>
      <c r="BA161" s="145">
        <v>4.7221783566277127</v>
      </c>
      <c r="BB161" s="145">
        <v>1.7186133703982736</v>
      </c>
      <c r="BC161" s="145">
        <v>1.754650000659044</v>
      </c>
      <c r="BD161" s="145">
        <v>2.3281103597485933</v>
      </c>
      <c r="BE161" s="145">
        <v>6.6669657925076651</v>
      </c>
      <c r="BF161" s="145">
        <v>4.2016692240205193</v>
      </c>
      <c r="BG161" s="145">
        <v>3.0213500904550457</v>
      </c>
      <c r="BH161" s="145">
        <v>4.7221783566277127</v>
      </c>
      <c r="BI161" s="144">
        <v>4.2016692240205193</v>
      </c>
    </row>
    <row r="162" spans="1:61" s="145" customFormat="1" x14ac:dyDescent="0.35">
      <c r="A162" s="146" t="s">
        <v>1524</v>
      </c>
      <c r="B162" s="145">
        <v>3.6069310511380069E-3</v>
      </c>
      <c r="C162" s="145">
        <v>3.6069310511380069E-3</v>
      </c>
      <c r="D162" s="145">
        <v>3.6069310511380069E-3</v>
      </c>
      <c r="E162" s="145">
        <v>9.8939772401234298E-3</v>
      </c>
      <c r="F162" s="145">
        <v>9.8939772401234298E-3</v>
      </c>
      <c r="G162" s="145">
        <v>4.8095506819444064E-3</v>
      </c>
      <c r="H162" s="145">
        <v>5.4298192604424297E-2</v>
      </c>
      <c r="I162" s="145">
        <v>3.6069310511380077E-3</v>
      </c>
      <c r="J162" s="145">
        <v>3.6069310511380077E-3</v>
      </c>
      <c r="K162" s="145">
        <v>1.037220794173852E-2</v>
      </c>
      <c r="L162" s="145">
        <v>3.6069310511380077E-3</v>
      </c>
      <c r="M162" s="145">
        <v>3.6069310511380077E-3</v>
      </c>
      <c r="N162" s="145">
        <v>1.037220794173852E-2</v>
      </c>
      <c r="O162" s="145">
        <v>1.4356586515843097E-2</v>
      </c>
      <c r="P162" s="145">
        <v>1.4356586515843097E-2</v>
      </c>
      <c r="Q162" s="145">
        <v>7.4690645549967466E-3</v>
      </c>
      <c r="R162" s="145">
        <v>1.8711398334089135E-3</v>
      </c>
      <c r="S162" s="145">
        <v>1.4393241275752955E-2</v>
      </c>
      <c r="T162" s="145">
        <v>1.4432337561848498E-2</v>
      </c>
      <c r="U162" s="145">
        <v>2.2222572604712228E-2</v>
      </c>
      <c r="V162" s="145">
        <v>8.7138345410237589E-3</v>
      </c>
      <c r="W162" s="145">
        <v>1.4647104426979567E-2</v>
      </c>
      <c r="X162" s="145">
        <v>6.7251532709784205E-3</v>
      </c>
      <c r="Y162" s="145">
        <v>6.866169200475755E-3</v>
      </c>
      <c r="Z162" s="145">
        <v>9.1101927116007779E-3</v>
      </c>
      <c r="AA162" s="145">
        <v>2.608868729829196E-2</v>
      </c>
      <c r="AB162" s="145">
        <v>1.6441667458308367E-2</v>
      </c>
      <c r="AC162" s="145">
        <v>1.182292817778203E-2</v>
      </c>
      <c r="AD162" s="145">
        <v>1.4647104426979567E-2</v>
      </c>
      <c r="AE162" s="145">
        <v>1.6441667458308367E-2</v>
      </c>
      <c r="AF162" s="145">
        <v>7.2138621022760141</v>
      </c>
      <c r="AG162" s="145">
        <v>7.2138621022760141</v>
      </c>
      <c r="AH162" s="145">
        <v>7.2138621022760141</v>
      </c>
      <c r="AI162" s="145">
        <v>19.78795448024686</v>
      </c>
      <c r="AJ162" s="145">
        <v>19.78795448024686</v>
      </c>
      <c r="AK162" s="145">
        <v>9.619101363888813</v>
      </c>
      <c r="AL162" s="145">
        <v>108.59638520884859</v>
      </c>
      <c r="AM162" s="145">
        <v>7.2138621022760159</v>
      </c>
      <c r="AN162" s="145">
        <v>7.2138621022760159</v>
      </c>
      <c r="AO162" s="145">
        <v>20.744415883477039</v>
      </c>
      <c r="AP162" s="145">
        <v>7.2138621022760159</v>
      </c>
      <c r="AQ162" s="145">
        <v>7.2138621022760159</v>
      </c>
      <c r="AR162" s="145">
        <v>20.744415883477039</v>
      </c>
      <c r="AS162" s="145">
        <v>28.713173031686193</v>
      </c>
      <c r="AT162" s="145">
        <v>28.713173031686193</v>
      </c>
      <c r="AU162" s="145">
        <v>14.938129109993493</v>
      </c>
      <c r="AV162" s="145">
        <v>3.7422796668178271</v>
      </c>
      <c r="AW162" s="145">
        <v>28.786482551505909</v>
      </c>
      <c r="AX162" s="145">
        <v>28.864675123696998</v>
      </c>
      <c r="AY162" s="145">
        <v>44.445145209424453</v>
      </c>
      <c r="AZ162" s="145">
        <v>17.427669082047519</v>
      </c>
      <c r="BA162" s="145">
        <v>29.294208853959134</v>
      </c>
      <c r="BB162" s="145">
        <v>13.450306541956841</v>
      </c>
      <c r="BC162" s="145">
        <v>13.732338400951511</v>
      </c>
      <c r="BD162" s="145">
        <v>18.220385423201556</v>
      </c>
      <c r="BE162" s="145">
        <v>52.177374596583917</v>
      </c>
      <c r="BF162" s="145">
        <v>32.883334916616732</v>
      </c>
      <c r="BG162" s="145">
        <v>23.64585635556406</v>
      </c>
      <c r="BH162" s="145">
        <v>29.294208853959134</v>
      </c>
      <c r="BI162" s="144">
        <v>32.883334916616732</v>
      </c>
    </row>
    <row r="163" spans="1:61" s="145" customFormat="1" x14ac:dyDescent="0.35">
      <c r="A163" s="146" t="s">
        <v>1523</v>
      </c>
      <c r="B163" s="145">
        <v>9.4465511161323217E-3</v>
      </c>
      <c r="C163" s="145">
        <v>9.4465511161323217E-3</v>
      </c>
      <c r="D163" s="145">
        <v>9.4465511161323217E-3</v>
      </c>
      <c r="E163" s="145">
        <v>2.148445840375755E-2</v>
      </c>
      <c r="F163" s="145">
        <v>2.148445840375755E-2</v>
      </c>
      <c r="G163" s="145">
        <v>1.6885554762176569E-2</v>
      </c>
      <c r="H163" s="145">
        <v>7.5241237033311023E-2</v>
      </c>
      <c r="I163" s="145">
        <v>9.4465511161323235E-3</v>
      </c>
      <c r="J163" s="145">
        <v>9.4465511161323235E-3</v>
      </c>
      <c r="K163" s="145">
        <v>1.6218420572646903E-2</v>
      </c>
      <c r="L163" s="145">
        <v>9.4465511161323235E-3</v>
      </c>
      <c r="M163" s="145">
        <v>9.4465511161323235E-3</v>
      </c>
      <c r="N163" s="145">
        <v>1.6218420572646903E-2</v>
      </c>
      <c r="O163" s="145">
        <v>2.0397784120362621E-2</v>
      </c>
      <c r="P163" s="145">
        <v>2.0397784120362621E-2</v>
      </c>
      <c r="Q163" s="145">
        <v>1.9161423720292645E-2</v>
      </c>
      <c r="R163" s="145">
        <v>4.9618879619910414E-3</v>
      </c>
      <c r="S163" s="145">
        <v>3.7695893686497749E-2</v>
      </c>
      <c r="T163" s="145">
        <v>2.8702238930428295E-2</v>
      </c>
      <c r="U163" s="145">
        <v>5.8158867874251133E-2</v>
      </c>
      <c r="V163" s="145">
        <v>2.2821529505902063E-2</v>
      </c>
      <c r="W163" s="145">
        <v>2.965339470214905E-2</v>
      </c>
      <c r="X163" s="145">
        <v>1.7613173980156403E-2</v>
      </c>
      <c r="Y163" s="145">
        <v>1.7982494648419577E-2</v>
      </c>
      <c r="Z163" s="145">
        <v>2.385959141104194E-2</v>
      </c>
      <c r="AA163" s="145">
        <v>6.8326262582244598E-2</v>
      </c>
      <c r="AB163" s="145">
        <v>4.3060721116461587E-2</v>
      </c>
      <c r="AC163" s="145">
        <v>3.096424461414132E-2</v>
      </c>
      <c r="AD163" s="145">
        <v>2.965339470214905E-2</v>
      </c>
      <c r="AE163" s="145">
        <v>4.3060721116461587E-2</v>
      </c>
      <c r="AF163" s="145">
        <v>18.893102232264642</v>
      </c>
      <c r="AG163" s="145">
        <v>18.893102232264642</v>
      </c>
      <c r="AH163" s="145">
        <v>18.893102232264642</v>
      </c>
      <c r="AI163" s="145">
        <v>42.9689168075151</v>
      </c>
      <c r="AJ163" s="145">
        <v>42.9689168075151</v>
      </c>
      <c r="AK163" s="145">
        <v>33.771109524353136</v>
      </c>
      <c r="AL163" s="145">
        <v>150.48247406662205</v>
      </c>
      <c r="AM163" s="145">
        <v>18.893102232264646</v>
      </c>
      <c r="AN163" s="145">
        <v>18.893102232264646</v>
      </c>
      <c r="AO163" s="145">
        <v>32.436841145293805</v>
      </c>
      <c r="AP163" s="145">
        <v>18.893102232264646</v>
      </c>
      <c r="AQ163" s="145">
        <v>18.893102232264646</v>
      </c>
      <c r="AR163" s="145">
        <v>32.436841145293805</v>
      </c>
      <c r="AS163" s="145">
        <v>40.795568240725245</v>
      </c>
      <c r="AT163" s="145">
        <v>40.795568240725245</v>
      </c>
      <c r="AU163" s="145">
        <v>38.322847440585292</v>
      </c>
      <c r="AV163" s="145">
        <v>9.9237759239820829</v>
      </c>
      <c r="AW163" s="145">
        <v>75.391787372995495</v>
      </c>
      <c r="AX163" s="145">
        <v>57.404477860856588</v>
      </c>
      <c r="AY163" s="145">
        <v>116.31773574850227</v>
      </c>
      <c r="AZ163" s="145">
        <v>45.643059011804127</v>
      </c>
      <c r="BA163" s="145">
        <v>59.306789404298101</v>
      </c>
      <c r="BB163" s="145">
        <v>35.226347960312808</v>
      </c>
      <c r="BC163" s="145">
        <v>35.96498929683915</v>
      </c>
      <c r="BD163" s="145">
        <v>47.71918282208388</v>
      </c>
      <c r="BE163" s="145">
        <v>136.65252516448919</v>
      </c>
      <c r="BF163" s="145">
        <v>86.121442232923172</v>
      </c>
      <c r="BG163" s="145">
        <v>61.928489228282636</v>
      </c>
      <c r="BH163" s="145">
        <v>59.306789404298101</v>
      </c>
      <c r="BI163" s="144">
        <v>86.121442232923172</v>
      </c>
    </row>
    <row r="164" spans="1:61" s="145" customFormat="1" x14ac:dyDescent="0.35">
      <c r="A164" s="146" t="s">
        <v>1522</v>
      </c>
      <c r="B164" s="145">
        <v>1.164176079626069E-3</v>
      </c>
      <c r="C164" s="145">
        <v>1.164176079626069E-3</v>
      </c>
      <c r="D164" s="145">
        <v>1.164176079626069E-3</v>
      </c>
      <c r="E164" s="145">
        <v>2.2057888733557057E-3</v>
      </c>
      <c r="F164" s="145">
        <v>2.2057888733557057E-3</v>
      </c>
      <c r="G164" s="145">
        <v>1.4137646112499689E-3</v>
      </c>
      <c r="H164" s="145">
        <v>2.5891678917907353E-3</v>
      </c>
      <c r="I164" s="145">
        <v>1.1641760796260692E-3</v>
      </c>
      <c r="J164" s="145">
        <v>1.1641760796260692E-3</v>
      </c>
      <c r="K164" s="145">
        <v>9.057053218413791E-4</v>
      </c>
      <c r="L164" s="145">
        <v>1.1641760796260692E-3</v>
      </c>
      <c r="M164" s="145">
        <v>1.1641760796260692E-3</v>
      </c>
      <c r="N164" s="145">
        <v>9.057053218413791E-4</v>
      </c>
      <c r="O164" s="145">
        <v>7.9695162274832519E-4</v>
      </c>
      <c r="P164" s="145">
        <v>7.9695162274832519E-4</v>
      </c>
      <c r="Q164" s="145">
        <v>2.3987256755121774E-3</v>
      </c>
      <c r="R164" s="145">
        <v>5.9047857431934346E-4</v>
      </c>
      <c r="S164" s="145">
        <v>4.6455745795948872E-3</v>
      </c>
      <c r="T164" s="145">
        <v>2.9965119147264069E-3</v>
      </c>
      <c r="U164" s="145">
        <v>7.1652380297385319E-3</v>
      </c>
      <c r="V164" s="145">
        <v>2.8124845167968046E-3</v>
      </c>
      <c r="W164" s="145">
        <v>2.7854037090973812E-3</v>
      </c>
      <c r="X164" s="145">
        <v>2.1706160885503803E-3</v>
      </c>
      <c r="Y164" s="145">
        <v>2.2161305077725711E-3</v>
      </c>
      <c r="Z164" s="145">
        <v>2.9404134110861836E-3</v>
      </c>
      <c r="AA164" s="145">
        <v>8.4204065092770407E-3</v>
      </c>
      <c r="AB164" s="145">
        <v>5.3067263257194387E-3</v>
      </c>
      <c r="AC164" s="145">
        <v>3.8159781766186683E-3</v>
      </c>
      <c r="AD164" s="145">
        <v>2.7854037090973812E-3</v>
      </c>
      <c r="AE164" s="145">
        <v>5.3067263257194387E-3</v>
      </c>
      <c r="AF164" s="145">
        <v>2.3283521592521379</v>
      </c>
      <c r="AG164" s="145">
        <v>2.3283521592521379</v>
      </c>
      <c r="AH164" s="145">
        <v>2.3283521592521379</v>
      </c>
      <c r="AI164" s="145">
        <v>4.4115777467114112</v>
      </c>
      <c r="AJ164" s="145">
        <v>4.4115777467114112</v>
      </c>
      <c r="AK164" s="145">
        <v>2.8275292224999378</v>
      </c>
      <c r="AL164" s="145">
        <v>5.1783357835814705</v>
      </c>
      <c r="AM164" s="145">
        <v>2.3283521592521383</v>
      </c>
      <c r="AN164" s="145">
        <v>2.3283521592521383</v>
      </c>
      <c r="AO164" s="145">
        <v>1.8114106436827582</v>
      </c>
      <c r="AP164" s="145">
        <v>2.3283521592521383</v>
      </c>
      <c r="AQ164" s="145">
        <v>2.3283521592521383</v>
      </c>
      <c r="AR164" s="145">
        <v>1.8114106436827582</v>
      </c>
      <c r="AS164" s="145">
        <v>1.5939032454966504</v>
      </c>
      <c r="AT164" s="145">
        <v>1.5939032454966504</v>
      </c>
      <c r="AU164" s="145">
        <v>4.797451351024355</v>
      </c>
      <c r="AV164" s="145">
        <v>1.1809571486386869</v>
      </c>
      <c r="AW164" s="145">
        <v>9.291149159189775</v>
      </c>
      <c r="AX164" s="145">
        <v>5.993023829452814</v>
      </c>
      <c r="AY164" s="145">
        <v>14.330476059477064</v>
      </c>
      <c r="AZ164" s="145">
        <v>5.6249690335936089</v>
      </c>
      <c r="BA164" s="145">
        <v>5.5708074181947627</v>
      </c>
      <c r="BB164" s="145">
        <v>4.3412321771007605</v>
      </c>
      <c r="BC164" s="145">
        <v>4.4322610155451425</v>
      </c>
      <c r="BD164" s="145">
        <v>5.8808268221723674</v>
      </c>
      <c r="BE164" s="145">
        <v>16.84081301855408</v>
      </c>
      <c r="BF164" s="145">
        <v>10.613452651438877</v>
      </c>
      <c r="BG164" s="145">
        <v>7.6319563532373369</v>
      </c>
      <c r="BH164" s="145">
        <v>5.5708074181947627</v>
      </c>
      <c r="BI164" s="144">
        <v>10.613452651438877</v>
      </c>
    </row>
    <row r="165" spans="1:61" s="145" customFormat="1" x14ac:dyDescent="0.35">
      <c r="A165" s="146" t="s">
        <v>1521</v>
      </c>
      <c r="B165" s="145">
        <v>8.569231232530254E-4</v>
      </c>
      <c r="C165" s="145">
        <v>8.569231232530254E-4</v>
      </c>
      <c r="D165" s="145">
        <v>8.569231232530254E-4</v>
      </c>
      <c r="E165" s="145">
        <v>1.6258578374598901E-3</v>
      </c>
      <c r="F165" s="145">
        <v>1.6258578374598901E-3</v>
      </c>
      <c r="G165" s="145">
        <v>1.0942012142148045E-3</v>
      </c>
      <c r="H165" s="145">
        <v>1.9395161680229869E-3</v>
      </c>
      <c r="I165" s="145">
        <v>8.5692312325302562E-4</v>
      </c>
      <c r="J165" s="145">
        <v>8.5692312325302562E-4</v>
      </c>
      <c r="K165" s="145">
        <v>6.7225711011031084E-4</v>
      </c>
      <c r="L165" s="145">
        <v>8.5692312325302562E-4</v>
      </c>
      <c r="M165" s="145">
        <v>8.5692312325302562E-4</v>
      </c>
      <c r="N165" s="145">
        <v>6.7225711011031084E-4</v>
      </c>
      <c r="O165" s="145">
        <v>5.9527181669154932E-4</v>
      </c>
      <c r="P165" s="145">
        <v>5.9527181669154932E-4</v>
      </c>
      <c r="Q165" s="145">
        <v>1.7798278631906402E-3</v>
      </c>
      <c r="R165" s="145">
        <v>4.3986645738521197E-4</v>
      </c>
      <c r="S165" s="145">
        <v>3.4195001492643359E-3</v>
      </c>
      <c r="T165" s="145">
        <v>2.2760070432086281E-3</v>
      </c>
      <c r="U165" s="145">
        <v>5.2744550532321495E-3</v>
      </c>
      <c r="V165" s="145">
        <v>2.0702048928959329E-3</v>
      </c>
      <c r="W165" s="145">
        <v>2.0546518866037243E-3</v>
      </c>
      <c r="X165" s="145">
        <v>1.5977403680904542E-3</v>
      </c>
      <c r="Y165" s="145">
        <v>1.631242480833962E-3</v>
      </c>
      <c r="Z165" s="145">
        <v>2.1643703972103428E-3</v>
      </c>
      <c r="AA165" s="145">
        <v>6.1980667454595321E-3</v>
      </c>
      <c r="AB165" s="145">
        <v>3.9061586789733622E-3</v>
      </c>
      <c r="AC165" s="145">
        <v>2.8088533982108376E-3</v>
      </c>
      <c r="AD165" s="145">
        <v>2.0546518866037243E-3</v>
      </c>
      <c r="AE165" s="145">
        <v>3.9061586789733622E-3</v>
      </c>
      <c r="AF165" s="145">
        <v>1.7138462465060509</v>
      </c>
      <c r="AG165" s="145">
        <v>1.7138462465060509</v>
      </c>
      <c r="AH165" s="145">
        <v>1.7138462465060509</v>
      </c>
      <c r="AI165" s="145">
        <v>3.2517156749197804</v>
      </c>
      <c r="AJ165" s="145">
        <v>3.2517156749197804</v>
      </c>
      <c r="AK165" s="145">
        <v>2.1884024284296091</v>
      </c>
      <c r="AL165" s="145">
        <v>3.8790323360459738</v>
      </c>
      <c r="AM165" s="145">
        <v>1.7138462465060513</v>
      </c>
      <c r="AN165" s="145">
        <v>1.7138462465060513</v>
      </c>
      <c r="AO165" s="145">
        <v>1.3445142202206217</v>
      </c>
      <c r="AP165" s="145">
        <v>1.7138462465060513</v>
      </c>
      <c r="AQ165" s="145">
        <v>1.7138462465060513</v>
      </c>
      <c r="AR165" s="145">
        <v>1.3445142202206217</v>
      </c>
      <c r="AS165" s="145">
        <v>1.1905436333830985</v>
      </c>
      <c r="AT165" s="145">
        <v>1.1905436333830985</v>
      </c>
      <c r="AU165" s="145">
        <v>3.5596557263812802</v>
      </c>
      <c r="AV165" s="145">
        <v>0.87973291477042392</v>
      </c>
      <c r="AW165" s="145">
        <v>6.8390002985286715</v>
      </c>
      <c r="AX165" s="145">
        <v>4.5520140864172562</v>
      </c>
      <c r="AY165" s="145">
        <v>10.5489101064643</v>
      </c>
      <c r="AZ165" s="145">
        <v>4.1404097857918662</v>
      </c>
      <c r="BA165" s="145">
        <v>4.1093037732074489</v>
      </c>
      <c r="BB165" s="145">
        <v>3.1954807361809086</v>
      </c>
      <c r="BC165" s="145">
        <v>3.2624849616679241</v>
      </c>
      <c r="BD165" s="145">
        <v>4.3287407944206855</v>
      </c>
      <c r="BE165" s="145">
        <v>12.396133490919064</v>
      </c>
      <c r="BF165" s="145">
        <v>7.812317357946724</v>
      </c>
      <c r="BG165" s="145">
        <v>5.6177067964216754</v>
      </c>
      <c r="BH165" s="145">
        <v>4.1093037732074489</v>
      </c>
      <c r="BI165" s="144">
        <v>7.812317357946724</v>
      </c>
    </row>
    <row r="166" spans="1:61" s="145" customFormat="1" x14ac:dyDescent="0.35">
      <c r="A166" s="146" t="s">
        <v>1520</v>
      </c>
      <c r="B166" s="145">
        <v>3.9053149511240386E-2</v>
      </c>
      <c r="C166" s="145">
        <v>3.9053149511240386E-2</v>
      </c>
      <c r="D166" s="145">
        <v>3.9053149511240386E-2</v>
      </c>
      <c r="E166" s="145">
        <v>7.373483898789894E-2</v>
      </c>
      <c r="F166" s="145">
        <v>7.373483898789894E-2</v>
      </c>
      <c r="G166" s="145">
        <v>3.776565818178234E-2</v>
      </c>
      <c r="H166" s="145">
        <v>8.2923638686763002E-2</v>
      </c>
      <c r="I166" s="145">
        <v>3.9053149511240393E-2</v>
      </c>
      <c r="J166" s="145">
        <v>3.9053149511240393E-2</v>
      </c>
      <c r="K166" s="145">
        <v>2.9718786379333548E-2</v>
      </c>
      <c r="L166" s="145">
        <v>3.9053149511240393E-2</v>
      </c>
      <c r="M166" s="145">
        <v>3.9053149511240393E-2</v>
      </c>
      <c r="N166" s="145">
        <v>2.9718786379333548E-2</v>
      </c>
      <c r="O166" s="145">
        <v>2.5724304357159271E-2</v>
      </c>
      <c r="P166" s="145">
        <v>2.5724304357159271E-2</v>
      </c>
      <c r="Q166" s="145">
        <v>7.5469247709365361E-2</v>
      </c>
      <c r="R166" s="145">
        <v>1.8072398173200298E-2</v>
      </c>
      <c r="S166" s="145">
        <v>0.15583924270356936</v>
      </c>
      <c r="T166" s="145">
        <v>7.6558308717402629E-2</v>
      </c>
      <c r="U166" s="145">
        <v>0.24023975121142616</v>
      </c>
      <c r="V166" s="145">
        <v>9.4346877808890797E-2</v>
      </c>
      <c r="W166" s="145">
        <v>9.2927175668705758E-2</v>
      </c>
      <c r="X166" s="145">
        <v>7.2814925612360595E-2</v>
      </c>
      <c r="Y166" s="145">
        <v>7.4341740541741738E-2</v>
      </c>
      <c r="Z166" s="145">
        <v>9.8638347392336914E-2</v>
      </c>
      <c r="AA166" s="145">
        <v>0.28246877779677609</v>
      </c>
      <c r="AB166" s="145">
        <v>0.17801806809166107</v>
      </c>
      <c r="AC166" s="145">
        <v>0.12800981644545228</v>
      </c>
      <c r="AD166" s="145">
        <v>9.2927175668705758E-2</v>
      </c>
      <c r="AE166" s="145">
        <v>0.17801806809166107</v>
      </c>
      <c r="AF166" s="145">
        <v>78.106299022480769</v>
      </c>
      <c r="AG166" s="145">
        <v>78.106299022480769</v>
      </c>
      <c r="AH166" s="145">
        <v>78.106299022480769</v>
      </c>
      <c r="AI166" s="145">
        <v>147.46967797579788</v>
      </c>
      <c r="AJ166" s="145">
        <v>147.46967797579788</v>
      </c>
      <c r="AK166" s="145">
        <v>75.531316363564684</v>
      </c>
      <c r="AL166" s="145">
        <v>165.847277373526</v>
      </c>
      <c r="AM166" s="145">
        <v>78.106299022480783</v>
      </c>
      <c r="AN166" s="145">
        <v>78.106299022480783</v>
      </c>
      <c r="AO166" s="145">
        <v>59.437572758667095</v>
      </c>
      <c r="AP166" s="145">
        <v>78.106299022480783</v>
      </c>
      <c r="AQ166" s="145">
        <v>78.106299022480783</v>
      </c>
      <c r="AR166" s="145">
        <v>59.437572758667095</v>
      </c>
      <c r="AS166" s="145">
        <v>51.448608714318539</v>
      </c>
      <c r="AT166" s="145">
        <v>51.448608714318539</v>
      </c>
      <c r="AU166" s="145">
        <v>150.93849541873072</v>
      </c>
      <c r="AV166" s="145">
        <v>36.144796346400597</v>
      </c>
      <c r="AW166" s="145">
        <v>311.67848540713874</v>
      </c>
      <c r="AX166" s="145">
        <v>153.11661743480525</v>
      </c>
      <c r="AY166" s="145">
        <v>480.47950242285231</v>
      </c>
      <c r="AZ166" s="145">
        <v>188.69375561778159</v>
      </c>
      <c r="BA166" s="145">
        <v>185.85435133741152</v>
      </c>
      <c r="BB166" s="145">
        <v>145.62985122472119</v>
      </c>
      <c r="BC166" s="145">
        <v>148.68348108348349</v>
      </c>
      <c r="BD166" s="145">
        <v>197.27669478467382</v>
      </c>
      <c r="BE166" s="145">
        <v>564.93755559355213</v>
      </c>
      <c r="BF166" s="145">
        <v>356.03613618332213</v>
      </c>
      <c r="BG166" s="145">
        <v>256.01963289090457</v>
      </c>
      <c r="BH166" s="145">
        <v>185.85435133741152</v>
      </c>
      <c r="BI166" s="144">
        <v>356.03613618332213</v>
      </c>
    </row>
    <row r="167" spans="1:61" s="145" customFormat="1" x14ac:dyDescent="0.35">
      <c r="A167" s="146" t="s">
        <v>1519</v>
      </c>
      <c r="B167" s="145">
        <v>5.1052335454897691E-5</v>
      </c>
      <c r="C167" s="145">
        <v>5.1052335454897691E-5</v>
      </c>
      <c r="D167" s="145">
        <v>5.1052335454897691E-5</v>
      </c>
      <c r="E167" s="145">
        <v>9.8784844167981972E-5</v>
      </c>
      <c r="F167" s="145">
        <v>9.8784844167981972E-5</v>
      </c>
      <c r="G167" s="145">
        <v>7.5192256605168396E-5</v>
      </c>
      <c r="H167" s="145">
        <v>1.4462003755676004E-4</v>
      </c>
      <c r="I167" s="145">
        <v>5.1052335454897704E-5</v>
      </c>
      <c r="J167" s="145">
        <v>5.1052335454897704E-5</v>
      </c>
      <c r="K167" s="145">
        <v>4.4827750368119639E-5</v>
      </c>
      <c r="L167" s="145">
        <v>5.1052335454897704E-5</v>
      </c>
      <c r="M167" s="145">
        <v>5.1052335454897704E-5</v>
      </c>
      <c r="N167" s="145">
        <v>4.4827750368119639E-5</v>
      </c>
      <c r="O167" s="145">
        <v>4.2931795131970533E-5</v>
      </c>
      <c r="P167" s="145">
        <v>4.2931795131970533E-5</v>
      </c>
      <c r="Q167" s="145">
        <v>1.1467358125820702E-4</v>
      </c>
      <c r="R167" s="145">
        <v>2.9072976096509496E-5</v>
      </c>
      <c r="S167" s="145">
        <v>2.0372127203850573E-4</v>
      </c>
      <c r="T167" s="145">
        <v>1.7942333973415561E-4</v>
      </c>
      <c r="U167" s="145">
        <v>3.1441063496133329E-4</v>
      </c>
      <c r="V167" s="145">
        <v>1.2333521150798352E-4</v>
      </c>
      <c r="W167" s="145">
        <v>1.2618861387886414E-4</v>
      </c>
      <c r="X167" s="145">
        <v>9.5187508690322418E-5</v>
      </c>
      <c r="Y167" s="145">
        <v>9.7183441641386379E-5</v>
      </c>
      <c r="Z167" s="145">
        <v>1.2894524674228702E-4</v>
      </c>
      <c r="AA167" s="145">
        <v>3.6925807470317769E-4</v>
      </c>
      <c r="AB167" s="145">
        <v>2.3271460158757484E-4</v>
      </c>
      <c r="AC167" s="145">
        <v>1.6734117920021095E-4</v>
      </c>
      <c r="AD167" s="145">
        <v>1.2618861387886414E-4</v>
      </c>
      <c r="AE167" s="145">
        <v>2.3271460158757484E-4</v>
      </c>
      <c r="AF167" s="145">
        <v>0.10210467090979539</v>
      </c>
      <c r="AG167" s="145">
        <v>0.10210467090979539</v>
      </c>
      <c r="AH167" s="145">
        <v>0.10210467090979539</v>
      </c>
      <c r="AI167" s="145">
        <v>0.19756968833596394</v>
      </c>
      <c r="AJ167" s="145">
        <v>0.19756968833596394</v>
      </c>
      <c r="AK167" s="145">
        <v>0.1503845132103368</v>
      </c>
      <c r="AL167" s="145">
        <v>0.28924007511352007</v>
      </c>
      <c r="AM167" s="145">
        <v>0.10210467090979541</v>
      </c>
      <c r="AN167" s="145">
        <v>0.10210467090979541</v>
      </c>
      <c r="AO167" s="145">
        <v>8.9655500736239277E-2</v>
      </c>
      <c r="AP167" s="145">
        <v>0.10210467090979541</v>
      </c>
      <c r="AQ167" s="145">
        <v>0.10210467090979541</v>
      </c>
      <c r="AR167" s="145">
        <v>8.9655500736239277E-2</v>
      </c>
      <c r="AS167" s="145">
        <v>8.5863590263941067E-2</v>
      </c>
      <c r="AT167" s="145">
        <v>8.5863590263941067E-2</v>
      </c>
      <c r="AU167" s="145">
        <v>0.22934716251641404</v>
      </c>
      <c r="AV167" s="145">
        <v>5.814595219301899E-2</v>
      </c>
      <c r="AW167" s="145">
        <v>0.40744254407701147</v>
      </c>
      <c r="AX167" s="145">
        <v>0.35884667946831122</v>
      </c>
      <c r="AY167" s="145">
        <v>0.62882126992266663</v>
      </c>
      <c r="AZ167" s="145">
        <v>0.24667042301596703</v>
      </c>
      <c r="BA167" s="145">
        <v>0.25237722775772831</v>
      </c>
      <c r="BB167" s="145">
        <v>0.19037501738064483</v>
      </c>
      <c r="BC167" s="145">
        <v>0.19436688328277277</v>
      </c>
      <c r="BD167" s="145">
        <v>0.25789049348457405</v>
      </c>
      <c r="BE167" s="145">
        <v>0.73851614940635535</v>
      </c>
      <c r="BF167" s="145">
        <v>0.46542920317514969</v>
      </c>
      <c r="BG167" s="145">
        <v>0.33468235840042193</v>
      </c>
      <c r="BH167" s="145">
        <v>0.25237722775772831</v>
      </c>
      <c r="BI167" s="144">
        <v>0.46542920317514969</v>
      </c>
    </row>
    <row r="168" spans="1:61" s="145" customFormat="1" x14ac:dyDescent="0.35">
      <c r="A168" s="143" t="s">
        <v>1518</v>
      </c>
      <c r="B168" s="142">
        <v>1.3135463992294453E-4</v>
      </c>
      <c r="C168" s="142">
        <v>1.3135463992294453E-4</v>
      </c>
      <c r="D168" s="142">
        <v>1.3135463992294453E-4</v>
      </c>
      <c r="E168" s="142">
        <v>2.5146161470357919E-4</v>
      </c>
      <c r="F168" s="142">
        <v>2.5146161470357919E-4</v>
      </c>
      <c r="G168" s="142">
        <v>3.1950601182308889E-4</v>
      </c>
      <c r="H168" s="142">
        <v>3.3117485890419635E-4</v>
      </c>
      <c r="I168" s="142">
        <v>1.3135463992294458E-4</v>
      </c>
      <c r="J168" s="142">
        <v>1.3135463992294458E-4</v>
      </c>
      <c r="K168" s="142">
        <v>1.0869156463640742E-4</v>
      </c>
      <c r="L168" s="142">
        <v>1.3135463992294458E-4</v>
      </c>
      <c r="M168" s="142">
        <v>1.3135463992294458E-4</v>
      </c>
      <c r="N168" s="142">
        <v>1.0869156463640742E-4</v>
      </c>
      <c r="O168" s="142">
        <v>9.9948451829579975E-5</v>
      </c>
      <c r="P168" s="142">
        <v>9.9948451829579975E-5</v>
      </c>
      <c r="Q168" s="142">
        <v>2.7608866261436373E-4</v>
      </c>
      <c r="R168" s="142">
        <v>7.5121223938632179E-5</v>
      </c>
      <c r="S168" s="142">
        <v>5.2416278500918147E-4</v>
      </c>
      <c r="T168" s="142">
        <v>3.6750899691119255E-4</v>
      </c>
      <c r="U168" s="142">
        <v>8.0854308124059411E-4</v>
      </c>
      <c r="V168" s="142">
        <v>3.1733420524441804E-4</v>
      </c>
      <c r="W168" s="142">
        <v>3.1935461313302481E-4</v>
      </c>
      <c r="X168" s="142">
        <v>2.4491183053174017E-4</v>
      </c>
      <c r="Y168" s="142">
        <v>2.5004724797662804E-4</v>
      </c>
      <c r="Z168" s="142">
        <v>3.3176849412838071E-4</v>
      </c>
      <c r="AA168" s="142">
        <v>9.5007918852461556E-4</v>
      </c>
      <c r="AB168" s="142">
        <v>5.9876090729194735E-4</v>
      </c>
      <c r="AC168" s="142">
        <v>4.3055895763170039E-4</v>
      </c>
      <c r="AD168" s="142">
        <v>3.1935461313302481E-4</v>
      </c>
      <c r="AE168" s="142">
        <v>5.9876090729194735E-4</v>
      </c>
      <c r="AF168" s="142">
        <v>0.26270927984588904</v>
      </c>
      <c r="AG168" s="142">
        <v>0.26270927984588904</v>
      </c>
      <c r="AH168" s="142">
        <v>0.26270927984588904</v>
      </c>
      <c r="AI168" s="142">
        <v>0.50292322940715839</v>
      </c>
      <c r="AJ168" s="142">
        <v>0.50292322940715839</v>
      </c>
      <c r="AK168" s="142">
        <v>0.63901202364617782</v>
      </c>
      <c r="AL168" s="142">
        <v>0.66234971780839269</v>
      </c>
      <c r="AM168" s="142">
        <v>0.26270927984588915</v>
      </c>
      <c r="AN168" s="142">
        <v>0.26270927984588915</v>
      </c>
      <c r="AO168" s="142">
        <v>0.21738312927281483</v>
      </c>
      <c r="AP168" s="142">
        <v>0.26270927984588915</v>
      </c>
      <c r="AQ168" s="142">
        <v>0.26270927984588915</v>
      </c>
      <c r="AR168" s="142">
        <v>0.21738312927281483</v>
      </c>
      <c r="AS168" s="142">
        <v>0.19989690365915996</v>
      </c>
      <c r="AT168" s="142">
        <v>0.19989690365915996</v>
      </c>
      <c r="AU168" s="142">
        <v>0.55217732522872742</v>
      </c>
      <c r="AV168" s="142">
        <v>0.15024244787726435</v>
      </c>
      <c r="AW168" s="142">
        <v>1.0483255700183629</v>
      </c>
      <c r="AX168" s="142">
        <v>0.73501799382238509</v>
      </c>
      <c r="AY168" s="142">
        <v>1.6170861624811883</v>
      </c>
      <c r="AZ168" s="142">
        <v>0.63466841048883604</v>
      </c>
      <c r="BA168" s="142">
        <v>0.63870922626604965</v>
      </c>
      <c r="BB168" s="142">
        <v>0.48982366106348035</v>
      </c>
      <c r="BC168" s="142">
        <v>0.50009449595325606</v>
      </c>
      <c r="BD168" s="142">
        <v>0.66353698825676144</v>
      </c>
      <c r="BE168" s="142">
        <v>1.9001583770492312</v>
      </c>
      <c r="BF168" s="142">
        <v>1.1975218145838946</v>
      </c>
      <c r="BG168" s="142">
        <v>0.86111791526340076</v>
      </c>
      <c r="BH168" s="142">
        <v>0.63870922626604965</v>
      </c>
      <c r="BI168" s="141">
        <v>1.1975218145838946</v>
      </c>
    </row>
    <row r="169" spans="1:61" s="145" customFormat="1" x14ac:dyDescent="0.35"/>
    <row r="170" spans="1:61" s="145" customFormat="1" ht="13.15" x14ac:dyDescent="0.4">
      <c r="A170" s="400" t="s">
        <v>1871</v>
      </c>
      <c r="C170" s="399"/>
      <c r="D170" s="399"/>
      <c r="E170" s="399"/>
      <c r="H170" s="399"/>
    </row>
    <row r="171" spans="1:61" s="145" customFormat="1" ht="39.4" x14ac:dyDescent="0.4">
      <c r="A171" s="237"/>
      <c r="B171" s="398" t="s">
        <v>1481</v>
      </c>
      <c r="C171" s="385" t="s">
        <v>1480</v>
      </c>
      <c r="D171" s="385" t="s">
        <v>1479</v>
      </c>
      <c r="E171" s="385" t="s">
        <v>1478</v>
      </c>
      <c r="F171" s="385" t="s">
        <v>1477</v>
      </c>
      <c r="G171" s="385" t="s">
        <v>1476</v>
      </c>
      <c r="H171" s="385" t="s">
        <v>1475</v>
      </c>
      <c r="I171" s="385" t="s">
        <v>1474</v>
      </c>
      <c r="J171" s="385" t="s">
        <v>1473</v>
      </c>
      <c r="K171" s="384" t="s">
        <v>1472</v>
      </c>
    </row>
    <row r="172" spans="1:61" s="145" customFormat="1" ht="13.15" x14ac:dyDescent="0.4">
      <c r="A172" s="397" t="s">
        <v>1870</v>
      </c>
      <c r="B172" s="290">
        <v>3053.9316231000003</v>
      </c>
      <c r="C172" s="291">
        <v>2575.5290831000002</v>
      </c>
      <c r="D172" s="291">
        <v>3246.55009565</v>
      </c>
      <c r="E172" s="291">
        <v>2677.75813565</v>
      </c>
      <c r="F172" s="291">
        <v>3422.91969565</v>
      </c>
      <c r="G172" s="291">
        <v>2768.1475556499995</v>
      </c>
      <c r="H172" s="291">
        <v>2830.1735771311996</v>
      </c>
      <c r="I172" s="291">
        <v>2294.4509171311997</v>
      </c>
      <c r="J172" s="291">
        <v>3460.6948971311999</v>
      </c>
      <c r="K172" s="289">
        <v>2766.2395971312003</v>
      </c>
    </row>
    <row r="173" spans="1:61" s="145" customFormat="1" ht="13.15" x14ac:dyDescent="0.4">
      <c r="A173" s="390" t="s">
        <v>1869</v>
      </c>
      <c r="B173" s="396"/>
      <c r="C173" s="395"/>
      <c r="D173" s="395"/>
      <c r="E173" s="395"/>
      <c r="F173" s="395"/>
      <c r="G173" s="395"/>
      <c r="H173" s="395"/>
      <c r="I173" s="395"/>
      <c r="J173" s="395"/>
      <c r="K173" s="394"/>
    </row>
    <row r="174" spans="1:61" s="186" customFormat="1" x14ac:dyDescent="0.35">
      <c r="A174" s="393" t="s">
        <v>234</v>
      </c>
      <c r="B174" s="393">
        <v>2002.3655301403146</v>
      </c>
      <c r="C174" s="186">
        <v>870.72864533693655</v>
      </c>
      <c r="D174" s="186">
        <v>2183.4422894219938</v>
      </c>
      <c r="E174" s="186">
        <v>965.07494904241844</v>
      </c>
      <c r="F174" s="186">
        <v>2281.2486615237403</v>
      </c>
      <c r="G174" s="186">
        <v>1021.697275726684</v>
      </c>
      <c r="H174" s="186">
        <v>1933.5429905895985</v>
      </c>
      <c r="I174" s="186">
        <v>576.86568549358162</v>
      </c>
      <c r="J174" s="186">
        <v>2125.4614964147831</v>
      </c>
      <c r="K174" s="190">
        <v>631.23835533063004</v>
      </c>
    </row>
    <row r="175" spans="1:61" s="186" customFormat="1" x14ac:dyDescent="0.35">
      <c r="A175" s="393" t="s">
        <v>1868</v>
      </c>
      <c r="B175" s="393">
        <v>0</v>
      </c>
      <c r="C175" s="186">
        <v>26.532858227563175</v>
      </c>
      <c r="D175" s="186">
        <v>0</v>
      </c>
      <c r="E175" s="186">
        <v>21.973984580186563</v>
      </c>
      <c r="F175" s="186">
        <v>0</v>
      </c>
      <c r="G175" s="186">
        <v>22.070149377200956</v>
      </c>
      <c r="H175" s="186">
        <v>0</v>
      </c>
      <c r="I175" s="186">
        <v>0</v>
      </c>
      <c r="J175" s="186">
        <v>114.0947666847554</v>
      </c>
      <c r="K175" s="190">
        <v>73.978153344274119</v>
      </c>
    </row>
    <row r="176" spans="1:61" s="186" customFormat="1" x14ac:dyDescent="0.35">
      <c r="A176" s="393" t="s">
        <v>1867</v>
      </c>
      <c r="B176" s="393">
        <v>314.25002125850216</v>
      </c>
      <c r="C176" s="186">
        <v>90.598600454521232</v>
      </c>
      <c r="D176" s="186">
        <v>230.33462358040046</v>
      </c>
      <c r="E176" s="186">
        <v>89.350704513528754</v>
      </c>
      <c r="F176" s="186">
        <v>245.15212105438079</v>
      </c>
      <c r="G176" s="186">
        <v>95.439026327824322</v>
      </c>
      <c r="H176" s="186">
        <v>56.436491301573255</v>
      </c>
      <c r="I176" s="186">
        <v>65.85991912533396</v>
      </c>
      <c r="J176" s="186">
        <v>59.907880087599999</v>
      </c>
      <c r="K176" s="190">
        <v>68.846430790233896</v>
      </c>
    </row>
    <row r="177" spans="1:11" s="186" customFormat="1" x14ac:dyDescent="0.35">
      <c r="A177" s="393" t="s">
        <v>289</v>
      </c>
      <c r="B177" s="393">
        <v>57.994249761343944</v>
      </c>
      <c r="C177" s="186">
        <v>173.47877748733995</v>
      </c>
      <c r="D177" s="186">
        <v>41.890811271524363</v>
      </c>
      <c r="E177" s="186">
        <v>156.52158117699307</v>
      </c>
      <c r="F177" s="186">
        <v>41.545139763203707</v>
      </c>
      <c r="G177" s="186">
        <v>133.33946515961992</v>
      </c>
      <c r="H177" s="186">
        <v>41.84138810053809</v>
      </c>
      <c r="I177" s="186">
        <v>158.30341195380964</v>
      </c>
      <c r="J177" s="186">
        <v>79.078719879691292</v>
      </c>
      <c r="K177" s="190">
        <v>175.270169980052</v>
      </c>
    </row>
    <row r="178" spans="1:11" s="186" customFormat="1" x14ac:dyDescent="0.35">
      <c r="A178" s="393" t="s">
        <v>290</v>
      </c>
      <c r="B178" s="393">
        <v>136.3009760970983</v>
      </c>
      <c r="C178" s="186">
        <v>362.46610738933322</v>
      </c>
      <c r="D178" s="186">
        <v>190.47264593421272</v>
      </c>
      <c r="E178" s="186">
        <v>379.05947842882875</v>
      </c>
      <c r="F178" s="186">
        <v>229.68913636004069</v>
      </c>
      <c r="G178" s="186">
        <v>418.92056281609683</v>
      </c>
      <c r="H178" s="186">
        <v>159.86260667571688</v>
      </c>
      <c r="I178" s="186">
        <v>364.34885453217026</v>
      </c>
      <c r="J178" s="186">
        <v>121.08924476921426</v>
      </c>
      <c r="K178" s="190">
        <v>356.87799220189919</v>
      </c>
    </row>
    <row r="179" spans="1:11" s="186" customFormat="1" x14ac:dyDescent="0.35">
      <c r="A179" s="393" t="s">
        <v>291</v>
      </c>
      <c r="B179" s="393">
        <v>57.411235669854676</v>
      </c>
      <c r="C179" s="186">
        <v>79.590642497518502</v>
      </c>
      <c r="D179" s="186">
        <v>128.17792065885953</v>
      </c>
      <c r="E179" s="186">
        <v>129.1128328639488</v>
      </c>
      <c r="F179" s="186">
        <v>155.45326673149938</v>
      </c>
      <c r="G179" s="186">
        <v>140.99617037251051</v>
      </c>
      <c r="H179" s="186">
        <v>164.00762466344014</v>
      </c>
      <c r="I179" s="186">
        <v>166.92361618305625</v>
      </c>
      <c r="J179" s="186">
        <v>115.90355017292835</v>
      </c>
      <c r="K179" s="190">
        <v>120.23755721681087</v>
      </c>
    </row>
    <row r="180" spans="1:11" s="186" customFormat="1" x14ac:dyDescent="0.35">
      <c r="A180" s="393" t="s">
        <v>1427</v>
      </c>
      <c r="B180" s="393">
        <v>0.56368450790676206</v>
      </c>
      <c r="C180" s="186">
        <v>9.7859827798183154</v>
      </c>
      <c r="D180" s="186">
        <v>0.54472253945473836</v>
      </c>
      <c r="E180" s="186">
        <v>9.384333614045957</v>
      </c>
      <c r="F180" s="186">
        <v>0.52291881272638108</v>
      </c>
      <c r="G180" s="186">
        <v>8.9253129589571607</v>
      </c>
      <c r="H180" s="186">
        <v>0.53768337533953336</v>
      </c>
      <c r="I180" s="186">
        <v>8.8745583365929441</v>
      </c>
      <c r="J180" s="186">
        <v>0.65531171826066659</v>
      </c>
      <c r="K180" s="190">
        <v>11.772291350051104</v>
      </c>
    </row>
    <row r="181" spans="1:11" s="186" customFormat="1" x14ac:dyDescent="0.35">
      <c r="A181" s="393" t="s">
        <v>242</v>
      </c>
      <c r="B181" s="393">
        <v>91.598732534848821</v>
      </c>
      <c r="C181" s="186">
        <v>83.724519338445575</v>
      </c>
      <c r="D181" s="186">
        <v>88.517412661394985</v>
      </c>
      <c r="E181" s="186">
        <v>78.202780117049642</v>
      </c>
      <c r="F181" s="186">
        <v>84.974307068036921</v>
      </c>
      <c r="G181" s="186">
        <v>72.39420511154141</v>
      </c>
      <c r="H181" s="186">
        <v>87.373548492674175</v>
      </c>
      <c r="I181" s="186">
        <v>70.996466692743553</v>
      </c>
      <c r="J181" s="186">
        <v>106.48815421735831</v>
      </c>
      <c r="K181" s="190">
        <v>94.17833080040883</v>
      </c>
    </row>
    <row r="182" spans="1:11" s="186" customFormat="1" x14ac:dyDescent="0.35">
      <c r="A182" s="393" t="s">
        <v>1490</v>
      </c>
      <c r="B182" s="393">
        <v>346.38590785192702</v>
      </c>
      <c r="C182" s="186">
        <v>364.7234903970247</v>
      </c>
      <c r="D182" s="186">
        <v>336.44413027786391</v>
      </c>
      <c r="E182" s="186">
        <v>334.14592897161083</v>
      </c>
      <c r="F182" s="186">
        <v>335.60267869741955</v>
      </c>
      <c r="G182" s="186">
        <v>340.79145325177296</v>
      </c>
      <c r="H182" s="186">
        <v>338.11108200260446</v>
      </c>
      <c r="I182" s="186">
        <v>353.04895385652327</v>
      </c>
      <c r="J182" s="186">
        <v>413.59614049673684</v>
      </c>
      <c r="K182" s="190">
        <v>379.44058519056546</v>
      </c>
    </row>
    <row r="183" spans="1:11" s="186" customFormat="1" x14ac:dyDescent="0.35">
      <c r="A183" s="393" t="s">
        <v>239</v>
      </c>
      <c r="B183" s="393">
        <v>226.87718104790926</v>
      </c>
      <c r="C183" s="186">
        <v>234.90802360559468</v>
      </c>
      <c r="D183" s="186">
        <v>220.13211610755923</v>
      </c>
      <c r="E183" s="186">
        <v>226.45951037075139</v>
      </c>
      <c r="F183" s="186">
        <v>223.56082318223889</v>
      </c>
      <c r="G183" s="186">
        <v>227.56047212043978</v>
      </c>
      <c r="H183" s="186">
        <v>208.96779831742191</v>
      </c>
      <c r="I183" s="186">
        <v>219.38714135210392</v>
      </c>
      <c r="J183" s="186">
        <v>229.56513827444022</v>
      </c>
      <c r="K183" s="190">
        <v>234.85530683445393</v>
      </c>
    </row>
    <row r="184" spans="1:11" s="186" customFormat="1" x14ac:dyDescent="0.35">
      <c r="A184" s="393" t="s">
        <v>1384</v>
      </c>
      <c r="B184" s="393">
        <v>0</v>
      </c>
      <c r="C184" s="186">
        <v>414.27327101230873</v>
      </c>
      <c r="D184" s="186">
        <v>0</v>
      </c>
      <c r="E184" s="186">
        <v>413.95338275291618</v>
      </c>
      <c r="F184" s="186">
        <v>0</v>
      </c>
      <c r="G184" s="186">
        <v>408.58099323226105</v>
      </c>
      <c r="H184" s="186">
        <v>0</v>
      </c>
      <c r="I184" s="186">
        <v>420.06242793206599</v>
      </c>
      <c r="J184" s="186">
        <v>0</v>
      </c>
      <c r="K184" s="190">
        <v>553.29769345240197</v>
      </c>
    </row>
    <row r="185" spans="1:11" s="186" customFormat="1" x14ac:dyDescent="0.35">
      <c r="A185" s="393" t="s">
        <v>1368</v>
      </c>
      <c r="B185" s="393">
        <v>0</v>
      </c>
      <c r="C185" s="186">
        <v>46.20499175081401</v>
      </c>
      <c r="D185" s="186">
        <v>0</v>
      </c>
      <c r="E185" s="186">
        <v>51.171957972271493</v>
      </c>
      <c r="F185" s="186">
        <v>0</v>
      </c>
      <c r="G185" s="186">
        <v>56.691661939711992</v>
      </c>
      <c r="H185" s="186">
        <v>0</v>
      </c>
      <c r="I185" s="186">
        <v>59.417100950029557</v>
      </c>
      <c r="J185" s="186">
        <v>20.865454364269159</v>
      </c>
      <c r="K185" s="190">
        <v>75.495267958868368</v>
      </c>
    </row>
    <row r="186" spans="1:11" s="186" customFormat="1" x14ac:dyDescent="0.35">
      <c r="A186" s="393" t="s">
        <v>237</v>
      </c>
      <c r="B186" s="393">
        <v>0</v>
      </c>
      <c r="C186" s="186">
        <v>0</v>
      </c>
      <c r="D186" s="186">
        <v>0</v>
      </c>
      <c r="E186" s="186">
        <v>0</v>
      </c>
      <c r="F186" s="186">
        <v>0</v>
      </c>
      <c r="G186" s="186">
        <v>0</v>
      </c>
      <c r="H186" s="186">
        <v>0</v>
      </c>
      <c r="I186" s="186">
        <v>0</v>
      </c>
      <c r="J186" s="186">
        <v>5.4819171167786694E-3</v>
      </c>
      <c r="K186" s="190">
        <v>3.5471228402685511E-3</v>
      </c>
    </row>
    <row r="187" spans="1:11" s="186" customFormat="1" x14ac:dyDescent="0.35">
      <c r="A187" s="393" t="s">
        <v>1866</v>
      </c>
      <c r="B187" s="393">
        <v>0</v>
      </c>
      <c r="C187" s="186">
        <v>0</v>
      </c>
      <c r="D187" s="186">
        <v>0</v>
      </c>
      <c r="E187" s="186">
        <v>0</v>
      </c>
      <c r="F187" s="186">
        <v>0</v>
      </c>
      <c r="G187" s="186">
        <v>0</v>
      </c>
      <c r="H187" s="186">
        <v>0</v>
      </c>
      <c r="I187" s="186">
        <v>0</v>
      </c>
      <c r="J187" s="186">
        <v>1.7765908229799692</v>
      </c>
      <c r="K187" s="190">
        <v>1.1495587678105683</v>
      </c>
    </row>
    <row r="188" spans="1:11" s="186" customFormat="1" x14ac:dyDescent="0.35">
      <c r="A188" s="393" t="s">
        <v>1488</v>
      </c>
      <c r="B188" s="393">
        <v>0</v>
      </c>
      <c r="C188" s="186">
        <v>0</v>
      </c>
      <c r="D188" s="186">
        <v>0</v>
      </c>
      <c r="E188" s="186">
        <v>0</v>
      </c>
      <c r="F188" s="186">
        <v>0</v>
      </c>
      <c r="G188" s="186">
        <v>0</v>
      </c>
      <c r="H188" s="186">
        <v>0</v>
      </c>
      <c r="I188" s="186">
        <v>0</v>
      </c>
      <c r="J188" s="186">
        <v>6.1338801820645035</v>
      </c>
      <c r="K188" s="190">
        <v>3.9689812942770319</v>
      </c>
    </row>
    <row r="189" spans="1:11" s="186" customFormat="1" x14ac:dyDescent="0.35">
      <c r="A189" s="393" t="s">
        <v>1865</v>
      </c>
      <c r="B189" s="393">
        <v>0</v>
      </c>
      <c r="C189" s="186">
        <v>0</v>
      </c>
      <c r="D189" s="186">
        <v>0</v>
      </c>
      <c r="E189" s="186">
        <v>0</v>
      </c>
      <c r="F189" s="186">
        <v>0</v>
      </c>
      <c r="G189" s="186">
        <v>0</v>
      </c>
      <c r="H189" s="186">
        <v>0</v>
      </c>
      <c r="I189" s="186">
        <v>0</v>
      </c>
      <c r="J189" s="186">
        <v>7.3520520964636802</v>
      </c>
      <c r="K189" s="190">
        <v>4.7572101800647344</v>
      </c>
    </row>
    <row r="190" spans="1:11" s="186" customFormat="1" x14ac:dyDescent="0.35">
      <c r="A190" s="393" t="s">
        <v>1864</v>
      </c>
      <c r="B190" s="393">
        <v>0</v>
      </c>
      <c r="C190" s="186">
        <v>0</v>
      </c>
      <c r="D190" s="186">
        <v>0</v>
      </c>
      <c r="E190" s="186">
        <v>0</v>
      </c>
      <c r="F190" s="186">
        <v>0</v>
      </c>
      <c r="G190" s="186">
        <v>0</v>
      </c>
      <c r="H190" s="186">
        <v>0</v>
      </c>
      <c r="I190" s="186">
        <v>0</v>
      </c>
      <c r="J190" s="186">
        <v>0</v>
      </c>
      <c r="K190" s="190">
        <v>0</v>
      </c>
    </row>
    <row r="191" spans="1:11" s="186" customFormat="1" x14ac:dyDescent="0.35">
      <c r="A191" s="393" t="s">
        <v>1486</v>
      </c>
      <c r="B191" s="393">
        <v>1.5087962516712199E-2</v>
      </c>
      <c r="C191" s="186">
        <v>2.211071518963598E-2</v>
      </c>
      <c r="D191" s="186">
        <v>1.4620974517786435E-2</v>
      </c>
      <c r="E191" s="186">
        <v>1.3733740362616603E-2</v>
      </c>
      <c r="F191" s="186">
        <v>1.634587173363317E-2</v>
      </c>
      <c r="G191" s="186">
        <v>1.4713432918133972E-2</v>
      </c>
      <c r="H191" s="186">
        <v>0</v>
      </c>
      <c r="I191" s="186">
        <v>0</v>
      </c>
      <c r="J191" s="186">
        <v>5.0640173596113919E-2</v>
      </c>
      <c r="K191" s="190">
        <v>3.2767171150426655E-2</v>
      </c>
    </row>
    <row r="192" spans="1:11" s="186" customFormat="1" x14ac:dyDescent="0.35">
      <c r="A192" s="392" t="s">
        <v>292</v>
      </c>
      <c r="B192" s="392">
        <v>60.169016267778147</v>
      </c>
      <c r="C192" s="188">
        <v>58.491062107592413</v>
      </c>
      <c r="D192" s="188">
        <v>66.578802222219053</v>
      </c>
      <c r="E192" s="188">
        <v>63.332977505087428</v>
      </c>
      <c r="F192" s="188">
        <v>65.154296584979974</v>
      </c>
      <c r="G192" s="188">
        <v>60.726093822460172</v>
      </c>
      <c r="H192" s="188">
        <v>79.492363612292777</v>
      </c>
      <c r="I192" s="188">
        <v>70.36278072318882</v>
      </c>
      <c r="J192" s="188">
        <v>97.928407521565816</v>
      </c>
      <c r="K192" s="187">
        <v>89.693843934525688</v>
      </c>
    </row>
    <row r="193" spans="1:11" s="145" customFormat="1" ht="13.15" x14ac:dyDescent="0.4">
      <c r="A193" s="388" t="s">
        <v>320</v>
      </c>
      <c r="B193" s="232"/>
      <c r="K193" s="144"/>
    </row>
    <row r="194" spans="1:11" s="145" customFormat="1" x14ac:dyDescent="0.35">
      <c r="A194" s="232" t="s">
        <v>1537</v>
      </c>
      <c r="B194" s="232">
        <v>10.075496653670465</v>
      </c>
      <c r="C194" s="145">
        <v>8.8112749863625996</v>
      </c>
      <c r="D194" s="145">
        <v>9.4803958091558727</v>
      </c>
      <c r="E194" s="145">
        <v>8.9736187478552658</v>
      </c>
      <c r="F194" s="145">
        <v>10.097776942930132</v>
      </c>
      <c r="G194" s="145">
        <v>9.3218229100863024</v>
      </c>
      <c r="H194" s="145">
        <v>6.5560768192429899</v>
      </c>
      <c r="I194" s="145">
        <v>8.1147410957541588</v>
      </c>
      <c r="J194" s="145">
        <v>7.4061521133410011</v>
      </c>
      <c r="K194" s="144">
        <v>9.073509548893643</v>
      </c>
    </row>
    <row r="195" spans="1:11" s="145" customFormat="1" x14ac:dyDescent="0.35">
      <c r="A195" s="232" t="s">
        <v>1536</v>
      </c>
      <c r="B195" s="232">
        <v>9.3243594376380603</v>
      </c>
      <c r="C195" s="145">
        <v>7.9789891196393015</v>
      </c>
      <c r="D195" s="145">
        <v>8.6869166112779119</v>
      </c>
      <c r="E195" s="145">
        <v>8.1207757507810765</v>
      </c>
      <c r="F195" s="145">
        <v>9.2666932516965304</v>
      </c>
      <c r="G195" s="145">
        <v>8.4502860090048699</v>
      </c>
      <c r="H195" s="145">
        <v>5.8447974420251425</v>
      </c>
      <c r="I195" s="145">
        <v>7.334842063382486</v>
      </c>
      <c r="J195" s="145">
        <v>6.5888264185831709</v>
      </c>
      <c r="K195" s="144">
        <v>8.1578278848681585</v>
      </c>
    </row>
    <row r="196" spans="1:11" s="145" customFormat="1" x14ac:dyDescent="0.35">
      <c r="A196" s="232" t="s">
        <v>1535</v>
      </c>
      <c r="B196" s="232">
        <v>5.0679865771965744</v>
      </c>
      <c r="C196" s="145">
        <v>2.9772827815671832</v>
      </c>
      <c r="D196" s="145">
        <v>4.3122524782167622</v>
      </c>
      <c r="E196" s="145">
        <v>3.0116702888855715</v>
      </c>
      <c r="F196" s="145">
        <v>4.5527712200035824</v>
      </c>
      <c r="G196" s="145">
        <v>3.116058837635777</v>
      </c>
      <c r="H196" s="145">
        <v>2.3378682515488207</v>
      </c>
      <c r="I196" s="145">
        <v>2.5923815264960632</v>
      </c>
      <c r="J196" s="145">
        <v>2.6386688020936484</v>
      </c>
      <c r="K196" s="144">
        <v>2.9619279680426556</v>
      </c>
    </row>
    <row r="197" spans="1:11" s="145" customFormat="1" x14ac:dyDescent="0.35">
      <c r="A197" s="232" t="s">
        <v>1534</v>
      </c>
      <c r="B197" s="232">
        <v>4.1050710976950802</v>
      </c>
      <c r="C197" s="145">
        <v>4.7689403507595154</v>
      </c>
      <c r="D197" s="145">
        <v>4.2009919372088316</v>
      </c>
      <c r="E197" s="145">
        <v>4.8433304345611479</v>
      </c>
      <c r="F197" s="145">
        <v>4.5225537301700003</v>
      </c>
      <c r="G197" s="145">
        <v>5.0494526925995649</v>
      </c>
      <c r="H197" s="145">
        <v>3.351577755008238</v>
      </c>
      <c r="I197" s="145">
        <v>4.4541085797614741</v>
      </c>
      <c r="J197" s="145">
        <v>3.7606790606217468</v>
      </c>
      <c r="K197" s="144">
        <v>4.880043158836977</v>
      </c>
    </row>
    <row r="198" spans="1:11" s="145" customFormat="1" x14ac:dyDescent="0.35">
      <c r="A198" s="232" t="s">
        <v>1533</v>
      </c>
      <c r="B198" s="232">
        <v>0.15130176274640469</v>
      </c>
      <c r="C198" s="145">
        <v>0.23276598731260156</v>
      </c>
      <c r="D198" s="145">
        <v>0.17367219585231938</v>
      </c>
      <c r="E198" s="145">
        <v>0.26577502733435487</v>
      </c>
      <c r="F198" s="145">
        <v>0.19136830152294948</v>
      </c>
      <c r="G198" s="145">
        <v>0.28477447876952888</v>
      </c>
      <c r="H198" s="145">
        <v>0.15535143546808489</v>
      </c>
      <c r="I198" s="145">
        <v>0.28835195712494854</v>
      </c>
      <c r="J198" s="145">
        <v>0.18947855586777462</v>
      </c>
      <c r="K198" s="144">
        <v>0.31585675798852619</v>
      </c>
    </row>
    <row r="199" spans="1:11" s="145" customFormat="1" x14ac:dyDescent="0.35">
      <c r="A199" s="391" t="s">
        <v>1532</v>
      </c>
      <c r="B199" s="290">
        <v>488.53982615156474</v>
      </c>
      <c r="C199" s="291">
        <v>523.18141254080388</v>
      </c>
      <c r="D199" s="291">
        <v>503.78876497553023</v>
      </c>
      <c r="E199" s="291">
        <v>527.77910705218846</v>
      </c>
      <c r="F199" s="291">
        <v>520.47585437122916</v>
      </c>
      <c r="G199" s="291">
        <v>531.16573415945038</v>
      </c>
      <c r="H199" s="291">
        <v>454.20841685134411</v>
      </c>
      <c r="I199" s="291">
        <v>483.26808355663024</v>
      </c>
      <c r="J199" s="291">
        <v>529.32803325363091</v>
      </c>
      <c r="K199" s="289">
        <v>576.05213419697907</v>
      </c>
    </row>
    <row r="200" spans="1:11" s="145" customFormat="1" ht="13.15" x14ac:dyDescent="0.4">
      <c r="A200" s="390" t="s">
        <v>1564</v>
      </c>
      <c r="B200" s="387"/>
      <c r="C200" s="382"/>
      <c r="D200" s="382"/>
      <c r="E200" s="382"/>
      <c r="F200" s="382"/>
      <c r="G200" s="382"/>
      <c r="H200" s="382"/>
      <c r="I200" s="382"/>
      <c r="J200" s="382"/>
      <c r="K200" s="381"/>
    </row>
    <row r="201" spans="1:11" s="145" customFormat="1" x14ac:dyDescent="0.35">
      <c r="A201" s="232" t="s">
        <v>1525</v>
      </c>
      <c r="B201" s="232">
        <v>367.48095437339225</v>
      </c>
      <c r="C201" s="145">
        <v>176.90819835341486</v>
      </c>
      <c r="D201" s="145">
        <v>287.99681424610714</v>
      </c>
      <c r="E201" s="145">
        <v>175.26329260722824</v>
      </c>
      <c r="F201" s="145">
        <v>306.51371314052216</v>
      </c>
      <c r="G201" s="145">
        <v>181.35296520101235</v>
      </c>
      <c r="H201" s="145">
        <v>111.3246353832599</v>
      </c>
      <c r="I201" s="145">
        <v>147.37082635886605</v>
      </c>
      <c r="J201" s="145">
        <v>125.59207115434268</v>
      </c>
      <c r="K201" s="144">
        <v>159.72777923130508</v>
      </c>
    </row>
    <row r="202" spans="1:11" s="145" customFormat="1" x14ac:dyDescent="0.35">
      <c r="A202" s="232" t="s">
        <v>1524</v>
      </c>
      <c r="B202" s="232">
        <v>300.26620187607773</v>
      </c>
      <c r="C202" s="145">
        <v>286.69476260069519</v>
      </c>
      <c r="D202" s="145">
        <v>287.07568581925773</v>
      </c>
      <c r="E202" s="145">
        <v>291.36649248491051</v>
      </c>
      <c r="F202" s="145">
        <v>307.52869532885785</v>
      </c>
      <c r="G202" s="145">
        <v>303.5388776673924</v>
      </c>
      <c r="H202" s="145">
        <v>202.89827617986461</v>
      </c>
      <c r="I202" s="145">
        <v>266.00340987743436</v>
      </c>
      <c r="J202" s="145">
        <v>228.57702333668391</v>
      </c>
      <c r="K202" s="144">
        <v>292.7532950849893</v>
      </c>
    </row>
    <row r="203" spans="1:11" s="145" customFormat="1" x14ac:dyDescent="0.35">
      <c r="A203" s="232" t="s">
        <v>1563</v>
      </c>
      <c r="B203" s="232">
        <v>499.92803519542889</v>
      </c>
      <c r="C203" s="145">
        <v>489.60313295872436</v>
      </c>
      <c r="D203" s="145">
        <v>485.47562383054401</v>
      </c>
      <c r="E203" s="145">
        <v>501.28310875073913</v>
      </c>
      <c r="F203" s="145">
        <v>519.33893212879821</v>
      </c>
      <c r="G203" s="145">
        <v>522.20223555263794</v>
      </c>
      <c r="H203" s="145">
        <v>355.33395552899287</v>
      </c>
      <c r="I203" s="145">
        <v>461.64914488963149</v>
      </c>
      <c r="J203" s="145">
        <v>402.32083531404777</v>
      </c>
      <c r="K203" s="144">
        <v>511.97763800518737</v>
      </c>
    </row>
    <row r="204" spans="1:11" s="145" customFormat="1" x14ac:dyDescent="0.35">
      <c r="A204" s="232" t="s">
        <v>1522</v>
      </c>
      <c r="B204" s="232">
        <v>195.33143730526049</v>
      </c>
      <c r="C204" s="145">
        <v>97.381834883966661</v>
      </c>
      <c r="D204" s="145">
        <v>158.1354431784996</v>
      </c>
      <c r="E204" s="145">
        <v>98.825890308491267</v>
      </c>
      <c r="F204" s="145">
        <v>168.11844783789206</v>
      </c>
      <c r="G204" s="145">
        <v>103.63195225886993</v>
      </c>
      <c r="H204" s="145">
        <v>69.428294484110836</v>
      </c>
      <c r="I204" s="145">
        <v>84.563329819427267</v>
      </c>
      <c r="J204" s="145">
        <v>77.615827615333586</v>
      </c>
      <c r="K204" s="144">
        <v>93.410374871486681</v>
      </c>
    </row>
    <row r="205" spans="1:11" s="145" customFormat="1" x14ac:dyDescent="0.35">
      <c r="A205" s="232" t="s">
        <v>1521</v>
      </c>
      <c r="B205" s="232">
        <v>92.631850655055501</v>
      </c>
      <c r="C205" s="145">
        <v>50.057512627608119</v>
      </c>
      <c r="D205" s="145">
        <v>76.101822187932214</v>
      </c>
      <c r="E205" s="145">
        <v>50.780557343467194</v>
      </c>
      <c r="F205" s="145">
        <v>81.03888663241635</v>
      </c>
      <c r="G205" s="145">
        <v>53.251663910535541</v>
      </c>
      <c r="H205" s="145">
        <v>35.222687994128179</v>
      </c>
      <c r="I205" s="145">
        <v>43.944661443536674</v>
      </c>
      <c r="J205" s="145">
        <v>39.36719673103201</v>
      </c>
      <c r="K205" s="144">
        <v>48.307744557922632</v>
      </c>
    </row>
    <row r="206" spans="1:11" s="145" customFormat="1" x14ac:dyDescent="0.35">
      <c r="A206" s="232" t="s">
        <v>1520</v>
      </c>
      <c r="B206" s="232">
        <v>950.43439020450421</v>
      </c>
      <c r="C206" s="145">
        <v>783.15138372360752</v>
      </c>
      <c r="D206" s="145">
        <v>887.75009892902051</v>
      </c>
      <c r="E206" s="145">
        <v>816.20320013008745</v>
      </c>
      <c r="F206" s="145">
        <v>942.12350211421631</v>
      </c>
      <c r="G206" s="145">
        <v>848.77797939727975</v>
      </c>
      <c r="H206" s="145">
        <v>608.15607402881085</v>
      </c>
      <c r="I206" s="145">
        <v>757.49087197695439</v>
      </c>
      <c r="J206" s="145">
        <v>699.09396750856286</v>
      </c>
      <c r="K206" s="144">
        <v>860.52280139638856</v>
      </c>
    </row>
    <row r="207" spans="1:11" s="145" customFormat="1" x14ac:dyDescent="0.35">
      <c r="A207" s="232" t="s">
        <v>1519</v>
      </c>
      <c r="B207" s="232">
        <v>3.372898395940068</v>
      </c>
      <c r="C207" s="145">
        <v>3.6772215179375483</v>
      </c>
      <c r="D207" s="145">
        <v>3.3805332309226843</v>
      </c>
      <c r="E207" s="145">
        <v>3.7614321787963121</v>
      </c>
      <c r="F207" s="145">
        <v>3.6270149148033353</v>
      </c>
      <c r="G207" s="145">
        <v>3.920525123178074</v>
      </c>
      <c r="H207" s="145">
        <v>2.6188692626220154</v>
      </c>
      <c r="I207" s="145">
        <v>3.4937047332077</v>
      </c>
      <c r="J207" s="145">
        <v>2.9653644292039676</v>
      </c>
      <c r="K207" s="144">
        <v>3.8519060991179264</v>
      </c>
    </row>
    <row r="208" spans="1:11" s="145" customFormat="1" x14ac:dyDescent="0.35">
      <c r="A208" s="232" t="s">
        <v>1518</v>
      </c>
      <c r="B208" s="232">
        <v>7.9015801905735525</v>
      </c>
      <c r="C208" s="145">
        <v>8.2893614329451406</v>
      </c>
      <c r="D208" s="145">
        <v>7.8144682061167128</v>
      </c>
      <c r="E208" s="145">
        <v>8.4391094092148755</v>
      </c>
      <c r="F208" s="145">
        <v>8.3841441554098743</v>
      </c>
      <c r="G208" s="145">
        <v>8.7944371950519837</v>
      </c>
      <c r="H208" s="145">
        <v>5.895097002421263</v>
      </c>
      <c r="I208" s="145">
        <v>7.7515537411250355</v>
      </c>
      <c r="J208" s="145">
        <v>6.6396535587155965</v>
      </c>
      <c r="K208" s="144">
        <v>8.5338314559737185</v>
      </c>
    </row>
    <row r="209" spans="1:11" s="145" customFormat="1" x14ac:dyDescent="0.35">
      <c r="A209" s="232" t="s">
        <v>1531</v>
      </c>
      <c r="B209" s="232">
        <v>1508.6986644803144</v>
      </c>
      <c r="C209" s="145">
        <v>1374.2082330418227</v>
      </c>
      <c r="D209" s="145">
        <v>1430.3075057250028</v>
      </c>
      <c r="E209" s="145">
        <v>1396.473258505421</v>
      </c>
      <c r="F209" s="145">
        <v>1528.3652561299896</v>
      </c>
      <c r="G209" s="145">
        <v>1453.406888882776</v>
      </c>
      <c r="H209" s="145">
        <v>997.21921891933812</v>
      </c>
      <c r="I209" s="145">
        <v>1264.6417158953836</v>
      </c>
      <c r="J209" s="145">
        <v>1122.2616338551627</v>
      </c>
      <c r="K209" s="144">
        <v>1401.5130522211575</v>
      </c>
    </row>
    <row r="210" spans="1:11" s="145" customFormat="1" x14ac:dyDescent="0.35">
      <c r="A210" s="232" t="s">
        <v>1530</v>
      </c>
      <c r="B210" s="232">
        <v>9.9053367283649312</v>
      </c>
      <c r="C210" s="145">
        <v>11.396980008716362</v>
      </c>
      <c r="D210" s="145">
        <v>10.1727333224985</v>
      </c>
      <c r="E210" s="145">
        <v>11.636960242187074</v>
      </c>
      <c r="F210" s="145">
        <v>10.914152861437994</v>
      </c>
      <c r="G210" s="145">
        <v>12.113167743559989</v>
      </c>
      <c r="H210" s="145">
        <v>8.2315612460261942</v>
      </c>
      <c r="I210" s="145">
        <v>10.758411130664371</v>
      </c>
      <c r="J210" s="145">
        <v>9.2952702525589093</v>
      </c>
      <c r="K210" s="144">
        <v>11.900354395993192</v>
      </c>
    </row>
    <row r="211" spans="1:11" s="48" customFormat="1" x14ac:dyDescent="0.35">
      <c r="A211" s="49" t="s">
        <v>1529</v>
      </c>
      <c r="B211" s="240">
        <v>474782.09160722868</v>
      </c>
      <c r="C211" s="154">
        <v>518215.02632360632</v>
      </c>
      <c r="D211" s="154">
        <v>484165.97110288817</v>
      </c>
      <c r="E211" s="154">
        <v>529971.42594525893</v>
      </c>
      <c r="F211" s="154">
        <v>515089.16208210331</v>
      </c>
      <c r="G211" s="154">
        <v>548563.27142568922</v>
      </c>
      <c r="H211" s="154">
        <v>395143.44327218976</v>
      </c>
      <c r="I211" s="154">
        <v>488453.26260020904</v>
      </c>
      <c r="J211" s="154">
        <v>449498.8780340855</v>
      </c>
      <c r="K211" s="153">
        <v>550624.17111233238</v>
      </c>
    </row>
    <row r="212" spans="1:11" s="48" customFormat="1" x14ac:dyDescent="0.35">
      <c r="A212" s="49" t="s">
        <v>1528</v>
      </c>
      <c r="B212" s="240">
        <v>476399.25413702155</v>
      </c>
      <c r="C212" s="154">
        <v>519216.91054970416</v>
      </c>
      <c r="D212" s="154">
        <v>485514.68010881403</v>
      </c>
      <c r="E212" s="154">
        <v>530975.52483826573</v>
      </c>
      <c r="F212" s="154">
        <v>516527.72253309854</v>
      </c>
      <c r="G212" s="154">
        <v>549605.47783213831</v>
      </c>
      <c r="H212" s="154">
        <v>395809.24520075024</v>
      </c>
      <c r="I212" s="154">
        <v>489330.57370073959</v>
      </c>
      <c r="J212" s="154">
        <v>450249.49912109313</v>
      </c>
      <c r="K212" s="153">
        <v>551582.03024987958</v>
      </c>
    </row>
    <row r="213" spans="1:11" s="48" customFormat="1" x14ac:dyDescent="0.35">
      <c r="A213" s="45" t="s">
        <v>1527</v>
      </c>
      <c r="B213" s="389">
        <v>524285.12830444769</v>
      </c>
      <c r="C213" s="151">
        <v>563463.35724326863</v>
      </c>
      <c r="D213" s="151">
        <v>531119.67961102608</v>
      </c>
      <c r="E213" s="151">
        <v>575953.517057608</v>
      </c>
      <c r="F213" s="151">
        <v>565270.93072527926</v>
      </c>
      <c r="G213" s="151">
        <v>596417.67395066493</v>
      </c>
      <c r="H213" s="151">
        <v>427907.18549852737</v>
      </c>
      <c r="I213" s="151">
        <v>530120.80412722728</v>
      </c>
      <c r="J213" s="151">
        <v>486380.59475367621</v>
      </c>
      <c r="K213" s="150">
        <v>596781.01573145262</v>
      </c>
    </row>
    <row r="214" spans="1:11" s="145" customFormat="1" ht="13.15" x14ac:dyDescent="0.4">
      <c r="A214" s="388" t="s">
        <v>1562</v>
      </c>
      <c r="B214" s="387"/>
      <c r="C214" s="382"/>
      <c r="D214" s="382"/>
      <c r="E214" s="382"/>
      <c r="F214" s="382"/>
      <c r="G214" s="382"/>
      <c r="H214" s="382"/>
      <c r="I214" s="382"/>
      <c r="J214" s="382"/>
      <c r="K214" s="381"/>
    </row>
    <row r="215" spans="1:11" s="145" customFormat="1" x14ac:dyDescent="0.35">
      <c r="A215" s="232" t="s">
        <v>1525</v>
      </c>
      <c r="B215" s="232">
        <v>3.8364202515134487</v>
      </c>
      <c r="C215" s="145">
        <v>4.3460035641029968</v>
      </c>
      <c r="D215" s="145">
        <v>3.9521151856467176</v>
      </c>
      <c r="E215" s="145">
        <v>4.4682689931857347</v>
      </c>
      <c r="F215" s="145">
        <v>4.220863224070337</v>
      </c>
      <c r="G215" s="145">
        <v>4.6411481278090863</v>
      </c>
      <c r="H215" s="145">
        <v>3.2493023354404302</v>
      </c>
      <c r="I215" s="145">
        <v>4.1599328996543088</v>
      </c>
      <c r="J215" s="145">
        <v>3.699410799843724</v>
      </c>
      <c r="K215" s="144">
        <v>4.6583194377713735</v>
      </c>
    </row>
    <row r="216" spans="1:11" s="145" customFormat="1" x14ac:dyDescent="0.35">
      <c r="A216" s="232" t="s">
        <v>1524</v>
      </c>
      <c r="B216" s="232">
        <v>23.637889574859823</v>
      </c>
      <c r="C216" s="145">
        <v>26.594220185522726</v>
      </c>
      <c r="D216" s="145">
        <v>24.532995059512736</v>
      </c>
      <c r="E216" s="145">
        <v>27.16448000194605</v>
      </c>
      <c r="F216" s="145">
        <v>26.030361035370163</v>
      </c>
      <c r="G216" s="145">
        <v>28.040087906883468</v>
      </c>
      <c r="H216" s="145">
        <v>20.762740789074009</v>
      </c>
      <c r="I216" s="145">
        <v>24.943008287920708</v>
      </c>
      <c r="J216" s="145">
        <v>23.629204534653855</v>
      </c>
      <c r="K216" s="144">
        <v>28.336909378299829</v>
      </c>
    </row>
    <row r="217" spans="1:11" s="145" customFormat="1" x14ac:dyDescent="0.35">
      <c r="A217" s="232" t="s">
        <v>1523</v>
      </c>
      <c r="B217" s="232">
        <v>52.503420235368743</v>
      </c>
      <c r="C217" s="145">
        <v>57.3802072800773</v>
      </c>
      <c r="D217" s="145">
        <v>54.429172394201068</v>
      </c>
      <c r="E217" s="145">
        <v>58.701351537167554</v>
      </c>
      <c r="F217" s="145">
        <v>57.433535099851099</v>
      </c>
      <c r="G217" s="145">
        <v>60.352928239647383</v>
      </c>
      <c r="H217" s="145">
        <v>46.557071450179421</v>
      </c>
      <c r="I217" s="145">
        <v>53.764310438113633</v>
      </c>
      <c r="J217" s="145">
        <v>53.213103443115223</v>
      </c>
      <c r="K217" s="144">
        <v>61.934650915292508</v>
      </c>
    </row>
    <row r="218" spans="1:11" s="145" customFormat="1" x14ac:dyDescent="0.35">
      <c r="A218" s="232" t="s">
        <v>1522</v>
      </c>
      <c r="B218" s="232">
        <v>5.2412274278379432</v>
      </c>
      <c r="C218" s="145">
        <v>5.7832643816473777</v>
      </c>
      <c r="D218" s="145">
        <v>5.520462910944957</v>
      </c>
      <c r="E218" s="145">
        <v>5.9358434951546775</v>
      </c>
      <c r="F218" s="145">
        <v>5.7875794155109146</v>
      </c>
      <c r="G218" s="145">
        <v>6.0727875222210184</v>
      </c>
      <c r="H218" s="145">
        <v>4.9148401287667642</v>
      </c>
      <c r="I218" s="145">
        <v>5.4433499597155759</v>
      </c>
      <c r="J218" s="145">
        <v>5.6503413273327636</v>
      </c>
      <c r="K218" s="144">
        <v>6.3774411401087701</v>
      </c>
    </row>
    <row r="219" spans="1:11" s="145" customFormat="1" x14ac:dyDescent="0.35">
      <c r="A219" s="232" t="s">
        <v>1521</v>
      </c>
      <c r="B219" s="232">
        <v>3.8788514005026116</v>
      </c>
      <c r="C219" s="145">
        <v>4.2719972633684495</v>
      </c>
      <c r="D219" s="145">
        <v>4.0815982892140363</v>
      </c>
      <c r="E219" s="145">
        <v>4.3853234130429666</v>
      </c>
      <c r="F219" s="145">
        <v>4.2797424553712631</v>
      </c>
      <c r="G219" s="145">
        <v>4.487232893760372</v>
      </c>
      <c r="H219" s="145">
        <v>3.6270648516095538</v>
      </c>
      <c r="I219" s="145">
        <v>4.022287706787063</v>
      </c>
      <c r="J219" s="145">
        <v>4.1698463188591663</v>
      </c>
      <c r="K219" s="144">
        <v>4.710881483747686</v>
      </c>
    </row>
    <row r="220" spans="1:11" s="145" customFormat="1" x14ac:dyDescent="0.35">
      <c r="A220" s="232" t="s">
        <v>1520</v>
      </c>
      <c r="B220" s="232">
        <v>172.17425428453498</v>
      </c>
      <c r="C220" s="145">
        <v>190.89204485634025</v>
      </c>
      <c r="D220" s="145">
        <v>181.87750825690063</v>
      </c>
      <c r="E220" s="145">
        <v>195.65810499550062</v>
      </c>
      <c r="F220" s="145">
        <v>190.52992853170986</v>
      </c>
      <c r="G220" s="145">
        <v>199.98510912482615</v>
      </c>
      <c r="H220" s="145">
        <v>162.96788413064954</v>
      </c>
      <c r="I220" s="145">
        <v>179.01789211891804</v>
      </c>
      <c r="J220" s="145">
        <v>187.27792528822062</v>
      </c>
      <c r="K220" s="144">
        <v>210.10019486970569</v>
      </c>
    </row>
    <row r="221" spans="1:11" s="145" customFormat="1" x14ac:dyDescent="0.35">
      <c r="A221" s="232" t="s">
        <v>1519</v>
      </c>
      <c r="B221" s="232">
        <v>0.23909318962592446</v>
      </c>
      <c r="C221" s="145">
        <v>0.26351385987656217</v>
      </c>
      <c r="D221" s="145">
        <v>0.25109711568360948</v>
      </c>
      <c r="E221" s="145">
        <v>0.27092845019418754</v>
      </c>
      <c r="F221" s="145">
        <v>0.26367005565679696</v>
      </c>
      <c r="G221" s="145">
        <v>0.27764320098954182</v>
      </c>
      <c r="H221" s="145">
        <v>0.22169453884873017</v>
      </c>
      <c r="I221" s="145">
        <v>0.24930882808125612</v>
      </c>
      <c r="J221" s="145">
        <v>0.25491730939437074</v>
      </c>
      <c r="K221" s="144">
        <v>0.29098821283994775</v>
      </c>
    </row>
    <row r="222" spans="1:11" s="145" customFormat="1" x14ac:dyDescent="0.35">
      <c r="A222" s="231" t="s">
        <v>1518</v>
      </c>
      <c r="B222" s="231">
        <v>0.64134301341111177</v>
      </c>
      <c r="C222" s="142">
        <v>0.67445610801162692</v>
      </c>
      <c r="D222" s="142">
        <v>0.66184357384860759</v>
      </c>
      <c r="E222" s="142">
        <v>0.69192845934527503</v>
      </c>
      <c r="F222" s="142">
        <v>0.69467545305584755</v>
      </c>
      <c r="G222" s="142">
        <v>0.70873785043833204</v>
      </c>
      <c r="H222" s="142">
        <v>0.56850210682508928</v>
      </c>
      <c r="I222" s="142">
        <v>0.63293641889219499</v>
      </c>
      <c r="J222" s="142">
        <v>0.65288447027605523</v>
      </c>
      <c r="K222" s="141">
        <v>0.73950583993546071</v>
      </c>
    </row>
    <row r="223" spans="1:11" s="145" customFormat="1" x14ac:dyDescent="0.35"/>
    <row r="224" spans="1:11" s="145" customFormat="1" ht="13.9" x14ac:dyDescent="0.4">
      <c r="A224" s="386" t="s">
        <v>1863</v>
      </c>
    </row>
    <row r="225" spans="1:11" s="145" customFormat="1" ht="39.4" x14ac:dyDescent="0.4">
      <c r="A225" s="241"/>
      <c r="B225" s="385" t="s">
        <v>1481</v>
      </c>
      <c r="C225" s="385" t="s">
        <v>1480</v>
      </c>
      <c r="D225" s="385" t="s">
        <v>1479</v>
      </c>
      <c r="E225" s="385" t="s">
        <v>1478</v>
      </c>
      <c r="F225" s="385" t="s">
        <v>1477</v>
      </c>
      <c r="G225" s="385" t="s">
        <v>1476</v>
      </c>
      <c r="H225" s="385" t="s">
        <v>1475</v>
      </c>
      <c r="I225" s="385" t="s">
        <v>1474</v>
      </c>
      <c r="J225" s="385" t="s">
        <v>1473</v>
      </c>
      <c r="K225" s="384" t="s">
        <v>1472</v>
      </c>
    </row>
    <row r="226" spans="1:11" s="145" customFormat="1" ht="13.15" x14ac:dyDescent="0.4">
      <c r="A226" s="158" t="s">
        <v>1862</v>
      </c>
      <c r="B226" s="157"/>
      <c r="C226" s="157"/>
      <c r="D226" s="157"/>
      <c r="E226" s="157"/>
      <c r="F226" s="157"/>
      <c r="G226" s="157"/>
      <c r="H226" s="157"/>
      <c r="I226" s="157"/>
      <c r="J226" s="157"/>
      <c r="K226" s="156"/>
    </row>
    <row r="227" spans="1:11" s="145" customFormat="1" x14ac:dyDescent="0.35">
      <c r="A227" s="146" t="s">
        <v>1537</v>
      </c>
      <c r="B227" s="145">
        <v>20.73726885974742</v>
      </c>
      <c r="C227" s="145">
        <v>19.473047192439555</v>
      </c>
      <c r="D227" s="145">
        <v>20.142168015232826</v>
      </c>
      <c r="E227" s="145">
        <v>19.635390953932223</v>
      </c>
      <c r="F227" s="145">
        <v>20.759549149007086</v>
      </c>
      <c r="G227" s="145">
        <v>19.983595116163258</v>
      </c>
      <c r="H227" s="145">
        <v>17.217849025319946</v>
      </c>
      <c r="I227" s="145">
        <v>18.776513301831116</v>
      </c>
      <c r="J227" s="145">
        <v>18.067924319417955</v>
      </c>
      <c r="K227" s="144">
        <v>19.7352817549706</v>
      </c>
    </row>
    <row r="228" spans="1:11" s="145" customFormat="1" x14ac:dyDescent="0.35">
      <c r="A228" s="146" t="s">
        <v>1536</v>
      </c>
      <c r="B228" s="145">
        <v>19.054196299567771</v>
      </c>
      <c r="C228" s="145">
        <v>17.70882598156901</v>
      </c>
      <c r="D228" s="145">
        <v>18.416753473207621</v>
      </c>
      <c r="E228" s="145">
        <v>17.850612612710783</v>
      </c>
      <c r="F228" s="145">
        <v>18.996530113626239</v>
      </c>
      <c r="G228" s="145">
        <v>18.180122870934579</v>
      </c>
      <c r="H228" s="145">
        <v>15.574634303954852</v>
      </c>
      <c r="I228" s="145">
        <v>17.064678925312194</v>
      </c>
      <c r="J228" s="145">
        <v>16.31866328051288</v>
      </c>
      <c r="K228" s="144">
        <v>17.887664746797867</v>
      </c>
    </row>
    <row r="229" spans="1:11" s="145" customFormat="1" x14ac:dyDescent="0.35">
      <c r="A229" s="146" t="s">
        <v>1535</v>
      </c>
      <c r="B229" s="145">
        <v>7.318322512137053</v>
      </c>
      <c r="C229" s="145">
        <v>5.2276187165076617</v>
      </c>
      <c r="D229" s="145">
        <v>6.5625884131572407</v>
      </c>
      <c r="E229" s="145">
        <v>5.2620062238260505</v>
      </c>
      <c r="F229" s="145">
        <v>6.8031071549440609</v>
      </c>
      <c r="G229" s="145">
        <v>5.3663947725762551</v>
      </c>
      <c r="H229" s="145">
        <v>4.5882041864892997</v>
      </c>
      <c r="I229" s="145">
        <v>4.8427174614365418</v>
      </c>
      <c r="J229" s="145">
        <v>4.889004737034127</v>
      </c>
      <c r="K229" s="144">
        <v>5.2122639029831337</v>
      </c>
    </row>
    <row r="230" spans="1:11" s="145" customFormat="1" x14ac:dyDescent="0.35">
      <c r="A230" s="146" t="s">
        <v>1534</v>
      </c>
      <c r="B230" s="145">
        <v>11.486966189127198</v>
      </c>
      <c r="C230" s="145">
        <v>12.150835442191635</v>
      </c>
      <c r="D230" s="145">
        <v>11.58288702864095</v>
      </c>
      <c r="E230" s="145">
        <v>12.225225525993267</v>
      </c>
      <c r="F230" s="145">
        <v>11.90444882160212</v>
      </c>
      <c r="G230" s="145">
        <v>12.431347784031683</v>
      </c>
      <c r="H230" s="145">
        <v>10.733472846440357</v>
      </c>
      <c r="I230" s="145">
        <v>11.836003671193593</v>
      </c>
      <c r="J230" s="145">
        <v>11.142574152053866</v>
      </c>
      <c r="K230" s="144">
        <v>12.261938250269097</v>
      </c>
    </row>
    <row r="231" spans="1:11" s="145" customFormat="1" x14ac:dyDescent="0.35">
      <c r="A231" s="146" t="s">
        <v>1533</v>
      </c>
      <c r="B231" s="145">
        <v>0.24890759830351628</v>
      </c>
      <c r="C231" s="145">
        <v>0.33037182286971312</v>
      </c>
      <c r="D231" s="145">
        <v>0.27127803140943096</v>
      </c>
      <c r="E231" s="145">
        <v>0.36338086289146643</v>
      </c>
      <c r="F231" s="145">
        <v>0.28897413708006103</v>
      </c>
      <c r="G231" s="145">
        <v>0.38238031432664044</v>
      </c>
      <c r="H231" s="145">
        <v>0.2529572710251965</v>
      </c>
      <c r="I231" s="145">
        <v>0.3859577926820601</v>
      </c>
      <c r="J231" s="145">
        <v>0.28708439142488618</v>
      </c>
      <c r="K231" s="144">
        <v>0.41346259354563775</v>
      </c>
    </row>
    <row r="232" spans="1:11" s="145" customFormat="1" x14ac:dyDescent="0.35">
      <c r="A232" s="383" t="s">
        <v>1532</v>
      </c>
      <c r="B232" s="291">
        <v>971.03261795294657</v>
      </c>
      <c r="C232" s="291">
        <v>1005.6742043421857</v>
      </c>
      <c r="D232" s="291">
        <v>986.28155677691211</v>
      </c>
      <c r="E232" s="291">
        <v>1010.2718988535703</v>
      </c>
      <c r="F232" s="291">
        <v>1002.968646172611</v>
      </c>
      <c r="G232" s="291">
        <v>1013.6585259608323</v>
      </c>
      <c r="H232" s="291">
        <v>936.701208652726</v>
      </c>
      <c r="I232" s="291">
        <v>965.76087535801207</v>
      </c>
      <c r="J232" s="291">
        <v>1011.8208250550128</v>
      </c>
      <c r="K232" s="289">
        <v>1058.5449259983609</v>
      </c>
    </row>
    <row r="233" spans="1:11" s="145" customFormat="1" ht="13.15" x14ac:dyDescent="0.4">
      <c r="A233" s="158" t="s">
        <v>1564</v>
      </c>
      <c r="B233" s="382"/>
      <c r="C233" s="382"/>
      <c r="D233" s="382"/>
      <c r="E233" s="382"/>
      <c r="F233" s="382"/>
      <c r="G233" s="382"/>
      <c r="H233" s="382"/>
      <c r="I233" s="382"/>
      <c r="J233" s="382"/>
      <c r="K233" s="381"/>
    </row>
    <row r="234" spans="1:11" s="145" customFormat="1" x14ac:dyDescent="0.35">
      <c r="A234" s="146" t="s">
        <v>1525</v>
      </c>
      <c r="B234" s="145">
        <v>2070.5826925255574</v>
      </c>
      <c r="C234" s="145">
        <v>1880.0099365055801</v>
      </c>
      <c r="D234" s="145">
        <v>1991.0985523982722</v>
      </c>
      <c r="E234" s="145">
        <v>1878.3650307593934</v>
      </c>
      <c r="F234" s="145">
        <v>2009.6154512926873</v>
      </c>
      <c r="G234" s="145">
        <v>1884.4547033531776</v>
      </c>
      <c r="H234" s="145">
        <v>1814.426373535425</v>
      </c>
      <c r="I234" s="145">
        <v>1850.4725645110311</v>
      </c>
      <c r="J234" s="145">
        <v>1828.6938093065078</v>
      </c>
      <c r="K234" s="144">
        <v>1862.8295173834701</v>
      </c>
    </row>
    <row r="235" spans="1:11" s="145" customFormat="1" x14ac:dyDescent="0.35">
      <c r="A235" s="146" t="s">
        <v>1524</v>
      </c>
      <c r="B235" s="145">
        <v>707.21031164818987</v>
      </c>
      <c r="C235" s="145">
        <v>693.63887237280733</v>
      </c>
      <c r="D235" s="145">
        <v>694.01979559136987</v>
      </c>
      <c r="E235" s="145">
        <v>698.31060225702265</v>
      </c>
      <c r="F235" s="145">
        <v>714.47280510096994</v>
      </c>
      <c r="G235" s="145">
        <v>710.48298743950454</v>
      </c>
      <c r="H235" s="145">
        <v>609.84238595197678</v>
      </c>
      <c r="I235" s="145">
        <v>672.94751964954651</v>
      </c>
      <c r="J235" s="145">
        <v>635.52113310879599</v>
      </c>
      <c r="K235" s="144">
        <v>699.69740485710145</v>
      </c>
    </row>
    <row r="236" spans="1:11" s="145" customFormat="1" x14ac:dyDescent="0.35">
      <c r="A236" s="146" t="s">
        <v>1563</v>
      </c>
      <c r="B236" s="145">
        <v>1150.8493971516789</v>
      </c>
      <c r="C236" s="145">
        <v>1140.5244949149742</v>
      </c>
      <c r="D236" s="145">
        <v>1136.3969857867939</v>
      </c>
      <c r="E236" s="145">
        <v>1152.204470706989</v>
      </c>
      <c r="F236" s="145">
        <v>1170.2602940850481</v>
      </c>
      <c r="G236" s="145">
        <v>1173.123597508888</v>
      </c>
      <c r="H236" s="145">
        <v>1006.2553174852428</v>
      </c>
      <c r="I236" s="145">
        <v>1112.5705068458815</v>
      </c>
      <c r="J236" s="145">
        <v>1053.2421972702978</v>
      </c>
      <c r="K236" s="144">
        <v>1162.8989999614373</v>
      </c>
    </row>
    <row r="237" spans="1:11" s="145" customFormat="1" x14ac:dyDescent="0.35">
      <c r="A237" s="146" t="s">
        <v>1522</v>
      </c>
      <c r="B237" s="145">
        <v>316.18148043919598</v>
      </c>
      <c r="C237" s="145">
        <v>218.23187801790212</v>
      </c>
      <c r="D237" s="145">
        <v>278.98548631243506</v>
      </c>
      <c r="E237" s="145">
        <v>219.67593344242673</v>
      </c>
      <c r="F237" s="145">
        <v>288.96849097182752</v>
      </c>
      <c r="G237" s="145">
        <v>224.4819953928054</v>
      </c>
      <c r="H237" s="145">
        <v>190.27833761804629</v>
      </c>
      <c r="I237" s="145">
        <v>205.41337295336274</v>
      </c>
      <c r="J237" s="145">
        <v>198.46587074926904</v>
      </c>
      <c r="K237" s="144">
        <v>214.26041800542214</v>
      </c>
    </row>
    <row r="238" spans="1:11" s="145" customFormat="1" x14ac:dyDescent="0.35">
      <c r="A238" s="146" t="s">
        <v>1521</v>
      </c>
      <c r="B238" s="145">
        <v>160.71837542081087</v>
      </c>
      <c r="C238" s="145">
        <v>118.14403739336349</v>
      </c>
      <c r="D238" s="145">
        <v>144.18834695368759</v>
      </c>
      <c r="E238" s="145">
        <v>118.86708210922257</v>
      </c>
      <c r="F238" s="145">
        <v>149.12541139817171</v>
      </c>
      <c r="G238" s="145">
        <v>121.33818867629091</v>
      </c>
      <c r="H238" s="145">
        <v>103.30921275988355</v>
      </c>
      <c r="I238" s="145">
        <v>112.03118620929204</v>
      </c>
      <c r="J238" s="145">
        <v>107.45372149678738</v>
      </c>
      <c r="K238" s="144">
        <v>116.394269323678</v>
      </c>
    </row>
    <row r="239" spans="1:11" s="145" customFormat="1" x14ac:dyDescent="0.35">
      <c r="A239" s="146" t="s">
        <v>1520</v>
      </c>
      <c r="B239" s="145">
        <v>1611.9499583666857</v>
      </c>
      <c r="C239" s="145">
        <v>1444.6669518857889</v>
      </c>
      <c r="D239" s="145">
        <v>1549.265667091202</v>
      </c>
      <c r="E239" s="145">
        <v>1477.7187682922688</v>
      </c>
      <c r="F239" s="145">
        <v>1603.6390702763977</v>
      </c>
      <c r="G239" s="145">
        <v>1510.2935475594611</v>
      </c>
      <c r="H239" s="145">
        <v>1269.6716421909923</v>
      </c>
      <c r="I239" s="145">
        <v>1419.0064401391357</v>
      </c>
      <c r="J239" s="145">
        <v>1360.6095356707442</v>
      </c>
      <c r="K239" s="144">
        <v>1522.0383695585699</v>
      </c>
    </row>
    <row r="240" spans="1:11" s="145" customFormat="1" x14ac:dyDescent="0.35">
      <c r="A240" s="146" t="s">
        <v>1519</v>
      </c>
      <c r="B240" s="145">
        <v>8.4093668629953111</v>
      </c>
      <c r="C240" s="145">
        <v>8.71368998499279</v>
      </c>
      <c r="D240" s="145">
        <v>8.417001697977927</v>
      </c>
      <c r="E240" s="145">
        <v>8.7979006458515556</v>
      </c>
      <c r="F240" s="145">
        <v>8.6634833818585779</v>
      </c>
      <c r="G240" s="145">
        <v>8.9569935902333171</v>
      </c>
      <c r="H240" s="145">
        <v>7.6553377296772585</v>
      </c>
      <c r="I240" s="145">
        <v>8.5301732002629436</v>
      </c>
      <c r="J240" s="145">
        <v>8.0018328962592093</v>
      </c>
      <c r="K240" s="144">
        <v>8.8883745661731695</v>
      </c>
    </row>
    <row r="241" spans="1:11" s="145" customFormat="1" x14ac:dyDescent="0.35">
      <c r="A241" s="146" t="s">
        <v>1518</v>
      </c>
      <c r="B241" s="145">
        <v>19.643426493138744</v>
      </c>
      <c r="C241" s="145">
        <v>20.031207735510332</v>
      </c>
      <c r="D241" s="145">
        <v>19.556314508681904</v>
      </c>
      <c r="E241" s="145">
        <v>20.180955711780065</v>
      </c>
      <c r="F241" s="145">
        <v>20.125990457975064</v>
      </c>
      <c r="G241" s="145">
        <v>20.536283497617177</v>
      </c>
      <c r="H241" s="145">
        <v>17.636943304986453</v>
      </c>
      <c r="I241" s="145">
        <v>19.493400043690226</v>
      </c>
      <c r="J241" s="145">
        <v>18.381499861280787</v>
      </c>
      <c r="K241" s="144">
        <v>20.275677758538912</v>
      </c>
    </row>
    <row r="242" spans="1:11" s="145" customFormat="1" x14ac:dyDescent="0.35">
      <c r="A242" s="146" t="s">
        <v>1531</v>
      </c>
      <c r="B242" s="145">
        <v>3303.1091771621209</v>
      </c>
      <c r="C242" s="145">
        <v>3168.6187457236292</v>
      </c>
      <c r="D242" s="145">
        <v>3224.7180184068093</v>
      </c>
      <c r="E242" s="145">
        <v>3190.8837711872275</v>
      </c>
      <c r="F242" s="145">
        <v>3322.7757688117963</v>
      </c>
      <c r="G242" s="145">
        <v>3247.8174015645827</v>
      </c>
      <c r="H242" s="145">
        <v>2791.6297316011446</v>
      </c>
      <c r="I242" s="145">
        <v>3059.0522285771904</v>
      </c>
      <c r="J242" s="145">
        <v>2916.6721465369692</v>
      </c>
      <c r="K242" s="144">
        <v>3195.9235649029642</v>
      </c>
    </row>
    <row r="243" spans="1:11" s="145" customFormat="1" x14ac:dyDescent="0.35">
      <c r="A243" s="146" t="s">
        <v>1530</v>
      </c>
      <c r="B243" s="145">
        <v>26.379480161836163</v>
      </c>
      <c r="C243" s="145">
        <v>27.871123442187592</v>
      </c>
      <c r="D243" s="145">
        <v>26.646876755969728</v>
      </c>
      <c r="E243" s="145">
        <v>28.111103675658306</v>
      </c>
      <c r="F243" s="145">
        <v>27.388296294909225</v>
      </c>
      <c r="G243" s="145">
        <v>28.587311177031218</v>
      </c>
      <c r="H243" s="145">
        <v>24.705704679497423</v>
      </c>
      <c r="I243" s="145">
        <v>27.232554564135601</v>
      </c>
      <c r="J243" s="145">
        <v>25.769413686030141</v>
      </c>
      <c r="K243" s="144">
        <v>28.374497829464424</v>
      </c>
    </row>
    <row r="244" spans="1:11" s="48" customFormat="1" x14ac:dyDescent="0.35">
      <c r="A244" s="155" t="s">
        <v>1529</v>
      </c>
      <c r="B244" s="154">
        <v>1145945.0285062534</v>
      </c>
      <c r="C244" s="154">
        <v>1189377.963222631</v>
      </c>
      <c r="D244" s="154">
        <v>1155328.9080019128</v>
      </c>
      <c r="E244" s="154">
        <v>1201134.3628442837</v>
      </c>
      <c r="F244" s="154">
        <v>1186252.0989811281</v>
      </c>
      <c r="G244" s="154">
        <v>1219726.2083247139</v>
      </c>
      <c r="H244" s="154">
        <v>1066306.3801712145</v>
      </c>
      <c r="I244" s="154">
        <v>1159616.1994992336</v>
      </c>
      <c r="J244" s="154">
        <v>1120661.81493311</v>
      </c>
      <c r="K244" s="153">
        <v>1221787.108011357</v>
      </c>
    </row>
    <row r="245" spans="1:11" s="48" customFormat="1" x14ac:dyDescent="0.35">
      <c r="A245" s="155" t="s">
        <v>1528</v>
      </c>
      <c r="B245" s="154">
        <v>1153509.6750543576</v>
      </c>
      <c r="C245" s="154">
        <v>1196327.3314670401</v>
      </c>
      <c r="D245" s="154">
        <v>1162625.1010261499</v>
      </c>
      <c r="E245" s="154">
        <v>1208085.9457556019</v>
      </c>
      <c r="F245" s="154">
        <v>1193638.1434504346</v>
      </c>
      <c r="G245" s="154">
        <v>1226715.8987494744</v>
      </c>
      <c r="H245" s="154">
        <v>1072919.6661180863</v>
      </c>
      <c r="I245" s="154">
        <v>1166440.9946180757</v>
      </c>
      <c r="J245" s="154">
        <v>1127359.9200384291</v>
      </c>
      <c r="K245" s="153">
        <v>1228692.4511672156</v>
      </c>
    </row>
    <row r="246" spans="1:11" s="48" customFormat="1" x14ac:dyDescent="0.35">
      <c r="A246" s="152" t="s">
        <v>1527</v>
      </c>
      <c r="B246" s="151">
        <v>1259593.5126121077</v>
      </c>
      <c r="C246" s="151">
        <v>1298771.7415509287</v>
      </c>
      <c r="D246" s="151">
        <v>1266428.063918686</v>
      </c>
      <c r="E246" s="151">
        <v>1311261.901365268</v>
      </c>
      <c r="F246" s="151">
        <v>1300579.3150329394</v>
      </c>
      <c r="G246" s="151">
        <v>1331726.0582583249</v>
      </c>
      <c r="H246" s="151">
        <v>1163215.5698061874</v>
      </c>
      <c r="I246" s="151">
        <v>1265429.1884348872</v>
      </c>
      <c r="J246" s="151">
        <v>1221688.9790613363</v>
      </c>
      <c r="K246" s="150">
        <v>1332089.4000391127</v>
      </c>
    </row>
    <row r="247" spans="1:11" s="145" customFormat="1" ht="13.15" x14ac:dyDescent="0.4">
      <c r="A247" s="149" t="s">
        <v>1562</v>
      </c>
      <c r="B247" s="382"/>
      <c r="C247" s="382"/>
      <c r="D247" s="382"/>
      <c r="E247" s="382"/>
      <c r="F247" s="382"/>
      <c r="G247" s="382"/>
      <c r="H247" s="382"/>
      <c r="I247" s="382"/>
      <c r="J247" s="382"/>
      <c r="K247" s="381"/>
    </row>
    <row r="248" spans="1:11" s="145" customFormat="1" x14ac:dyDescent="0.35">
      <c r="A248" s="146" t="s">
        <v>1525</v>
      </c>
      <c r="B248" s="145">
        <v>9.5072452526587803</v>
      </c>
      <c r="C248" s="145">
        <v>10.016828565248328</v>
      </c>
      <c r="D248" s="145">
        <v>9.6229401867920483</v>
      </c>
      <c r="E248" s="145">
        <v>10.139093994331066</v>
      </c>
      <c r="F248" s="145">
        <v>9.8916882252156668</v>
      </c>
      <c r="G248" s="145">
        <v>10.311973128954417</v>
      </c>
      <c r="H248" s="145">
        <v>8.920127336585761</v>
      </c>
      <c r="I248" s="145">
        <v>9.8307579007996395</v>
      </c>
      <c r="J248" s="145">
        <v>9.3702358009890538</v>
      </c>
      <c r="K248" s="144">
        <v>10.329144438916703</v>
      </c>
    </row>
    <row r="249" spans="1:11" s="145" customFormat="1" x14ac:dyDescent="0.35">
      <c r="A249" s="146" t="s">
        <v>1524</v>
      </c>
      <c r="B249" s="145">
        <v>58.47422612486703</v>
      </c>
      <c r="C249" s="145">
        <v>61.430556735529933</v>
      </c>
      <c r="D249" s="145">
        <v>59.369331609519939</v>
      </c>
      <c r="E249" s="145">
        <v>62.00081655195325</v>
      </c>
      <c r="F249" s="145">
        <v>60.866697585377366</v>
      </c>
      <c r="G249" s="145">
        <v>62.876424456890675</v>
      </c>
      <c r="H249" s="145">
        <v>55.599077339081212</v>
      </c>
      <c r="I249" s="145">
        <v>59.779344837927908</v>
      </c>
      <c r="J249" s="145">
        <v>58.465541084661055</v>
      </c>
      <c r="K249" s="144">
        <v>63.173245928307033</v>
      </c>
    </row>
    <row r="250" spans="1:11" s="145" customFormat="1" x14ac:dyDescent="0.35">
      <c r="A250" s="146" t="s">
        <v>1523</v>
      </c>
      <c r="B250" s="145">
        <v>122.04741753611708</v>
      </c>
      <c r="C250" s="145">
        <v>126.92420458082563</v>
      </c>
      <c r="D250" s="145">
        <v>123.97316969494941</v>
      </c>
      <c r="E250" s="145">
        <v>128.24534883791588</v>
      </c>
      <c r="F250" s="145">
        <v>126.97753240059943</v>
      </c>
      <c r="G250" s="145">
        <v>129.89692554039573</v>
      </c>
      <c r="H250" s="145">
        <v>116.10106875092775</v>
      </c>
      <c r="I250" s="145">
        <v>123.30830773886197</v>
      </c>
      <c r="J250" s="145">
        <v>122.75710074386356</v>
      </c>
      <c r="K250" s="144">
        <v>131.47864821604082</v>
      </c>
    </row>
    <row r="251" spans="1:11" s="145" customFormat="1" x14ac:dyDescent="0.35">
      <c r="A251" s="146" t="s">
        <v>1522</v>
      </c>
      <c r="B251" s="145">
        <v>11.646727363887646</v>
      </c>
      <c r="C251" s="145">
        <v>12.188764317697082</v>
      </c>
      <c r="D251" s="145">
        <v>11.925962846994661</v>
      </c>
      <c r="E251" s="145">
        <v>12.341343431204381</v>
      </c>
      <c r="F251" s="145">
        <v>12.193079351560618</v>
      </c>
      <c r="G251" s="145">
        <v>12.478287458270721</v>
      </c>
      <c r="H251" s="145">
        <v>11.320340064816467</v>
      </c>
      <c r="I251" s="145">
        <v>11.84884989576528</v>
      </c>
      <c r="J251" s="145">
        <v>12.055841263382467</v>
      </c>
      <c r="K251" s="144">
        <v>12.782941076158473</v>
      </c>
    </row>
    <row r="252" spans="1:11" s="145" customFormat="1" x14ac:dyDescent="0.35">
      <c r="A252" s="146" t="s">
        <v>1521</v>
      </c>
      <c r="B252" s="145">
        <v>8.6047050675568464</v>
      </c>
      <c r="C252" s="145">
        <v>8.9978509304226826</v>
      </c>
      <c r="D252" s="145">
        <v>8.8074519562682703</v>
      </c>
      <c r="E252" s="145">
        <v>9.1111770800971996</v>
      </c>
      <c r="F252" s="145">
        <v>9.0055961224254979</v>
      </c>
      <c r="G252" s="145">
        <v>9.213086560814606</v>
      </c>
      <c r="H252" s="145">
        <v>8.3529185186637882</v>
      </c>
      <c r="I252" s="145">
        <v>8.7481413738412961</v>
      </c>
      <c r="J252" s="145">
        <v>8.8956999859133994</v>
      </c>
      <c r="K252" s="144">
        <v>9.436735150801919</v>
      </c>
    </row>
    <row r="253" spans="1:11" s="145" customFormat="1" x14ac:dyDescent="0.35">
      <c r="A253" s="146" t="s">
        <v>1520</v>
      </c>
      <c r="B253" s="145">
        <v>385.77782257854494</v>
      </c>
      <c r="C253" s="145">
        <v>404.49561315035021</v>
      </c>
      <c r="D253" s="145">
        <v>395.48107655091059</v>
      </c>
      <c r="E253" s="145">
        <v>409.26167328951055</v>
      </c>
      <c r="F253" s="145">
        <v>404.13349682571982</v>
      </c>
      <c r="G253" s="145">
        <v>413.58867741883614</v>
      </c>
      <c r="H253" s="145">
        <v>376.57145242465947</v>
      </c>
      <c r="I253" s="145">
        <v>392.621460412928</v>
      </c>
      <c r="J253" s="145">
        <v>400.88149358223058</v>
      </c>
      <c r="K253" s="144">
        <v>423.70376316371562</v>
      </c>
    </row>
    <row r="254" spans="1:11" s="145" customFormat="1" x14ac:dyDescent="0.35">
      <c r="A254" s="146" t="s">
        <v>1519</v>
      </c>
      <c r="B254" s="145">
        <v>0.5300591754669135</v>
      </c>
      <c r="C254" s="145">
        <v>0.55447984571755116</v>
      </c>
      <c r="D254" s="145">
        <v>0.54206310152459847</v>
      </c>
      <c r="E254" s="145">
        <v>0.56189443603517653</v>
      </c>
      <c r="F254" s="145">
        <v>0.554636041497786</v>
      </c>
      <c r="G254" s="145">
        <v>0.56860918683053074</v>
      </c>
      <c r="H254" s="145">
        <v>0.51266052468971912</v>
      </c>
      <c r="I254" s="145">
        <v>0.54027481392224508</v>
      </c>
      <c r="J254" s="145">
        <v>0.54588329523535972</v>
      </c>
      <c r="K254" s="144">
        <v>0.58195419868093667</v>
      </c>
    </row>
    <row r="255" spans="1:11" s="145" customFormat="1" x14ac:dyDescent="0.35">
      <c r="A255" s="143" t="s">
        <v>1518</v>
      </c>
      <c r="B255" s="142">
        <v>1.3767247003425578</v>
      </c>
      <c r="C255" s="142">
        <v>1.4098377949430729</v>
      </c>
      <c r="D255" s="142">
        <v>1.3972252607800537</v>
      </c>
      <c r="E255" s="142">
        <v>1.427310146276721</v>
      </c>
      <c r="F255" s="142">
        <v>1.4300571399872934</v>
      </c>
      <c r="G255" s="142">
        <v>1.4441195373697782</v>
      </c>
      <c r="H255" s="142">
        <v>1.3038837937565353</v>
      </c>
      <c r="I255" s="142">
        <v>1.3683181058236409</v>
      </c>
      <c r="J255" s="142">
        <v>1.3882661572075012</v>
      </c>
      <c r="K255" s="141">
        <v>1.4748875268669068</v>
      </c>
    </row>
  </sheetData>
  <mergeCells count="8">
    <mergeCell ref="N58:O58"/>
    <mergeCell ref="P58:Q58"/>
    <mergeCell ref="B58:C58"/>
    <mergeCell ref="D58:E58"/>
    <mergeCell ref="F58:G58"/>
    <mergeCell ref="H58:I58"/>
    <mergeCell ref="J58:K58"/>
    <mergeCell ref="L58:M58"/>
  </mergeCells>
  <pageMargins left="0.75" right="0.75" top="1" bottom="1" header="0.5" footer="0.5"/>
  <pageSetup orientation="landscape" r:id="rId1"/>
  <headerFooter alignWithMargins="0">
    <oddHeader>&amp;A</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AE144"/>
  <sheetViews>
    <sheetView showGridLines="0" zoomScale="85" zoomScaleNormal="85" workbookViewId="0">
      <pane xSplit="2" ySplit="3" topLeftCell="C4" activePane="bottomRight" state="frozen"/>
      <selection sqref="A1:AB1"/>
      <selection pane="topRight" sqref="A1:AB1"/>
      <selection pane="bottomLeft" sqref="A1:AB1"/>
      <selection pane="bottomRight" activeCell="O7" sqref="O7"/>
    </sheetView>
  </sheetViews>
  <sheetFormatPr defaultColWidth="0" defaultRowHeight="14.25" zeroHeight="1" x14ac:dyDescent="0.45"/>
  <cols>
    <col min="1" max="1" width="29" style="1447" customWidth="1"/>
    <col min="2" max="2" width="19.3984375" style="1966" customWidth="1"/>
    <col min="3" max="3" width="14.19921875" style="1966" customWidth="1"/>
    <col min="4" max="6" width="11.53125" style="1966" customWidth="1"/>
    <col min="7" max="7" width="10.19921875" style="1966" customWidth="1"/>
    <col min="8" max="8" width="10.86328125" style="1966" customWidth="1"/>
    <col min="9" max="9" width="12.53125" style="1966" customWidth="1"/>
    <col min="10" max="10" width="11.19921875" style="1966" customWidth="1"/>
    <col min="11" max="12" width="11.796875" style="1966" customWidth="1"/>
    <col min="13" max="16" width="12.46484375" style="1966" customWidth="1"/>
    <col min="17" max="28" width="13.46484375" style="1966" customWidth="1"/>
    <col min="29" max="31" width="0" style="1966" hidden="1" customWidth="1"/>
    <col min="32" max="16384" width="8.86328125" style="1966" hidden="1"/>
  </cols>
  <sheetData>
    <row r="1" spans="1:31" s="2053" customFormat="1" ht="18" customHeight="1" x14ac:dyDescent="0.45">
      <c r="A1" s="2154" t="s">
        <v>3575</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6"/>
    </row>
    <row r="2" spans="1:31" s="1414" customFormat="1" ht="52.5"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45">
      <c r="A3" s="1438" t="s">
        <v>15</v>
      </c>
      <c r="B3" s="1953"/>
      <c r="C3" s="1953"/>
      <c r="D3" s="1953"/>
      <c r="E3" s="1953"/>
      <c r="F3" s="1953"/>
      <c r="G3" s="1953"/>
      <c r="H3" s="1953"/>
      <c r="I3" s="1953"/>
      <c r="J3" s="1953"/>
      <c r="K3" s="1953"/>
      <c r="L3" s="1953"/>
      <c r="M3" s="1953"/>
      <c r="N3" s="1953"/>
      <c r="O3" s="1953"/>
      <c r="P3" s="1953"/>
      <c r="Q3" s="1953"/>
      <c r="R3" s="1953"/>
      <c r="S3" s="1953"/>
      <c r="T3" s="1953"/>
      <c r="U3" s="1953"/>
      <c r="V3" s="1953"/>
      <c r="W3" s="1954"/>
      <c r="X3" s="1953"/>
      <c r="Y3" s="1953"/>
      <c r="Z3" s="1953"/>
      <c r="AA3" s="1953"/>
      <c r="AB3" s="1953"/>
    </row>
    <row r="4" spans="1:31" ht="14" customHeight="1" x14ac:dyDescent="0.45">
      <c r="A4" s="1439"/>
      <c r="B4" s="1953"/>
      <c r="C4" s="1953"/>
      <c r="D4" s="1953"/>
      <c r="E4" s="1953"/>
      <c r="F4" s="1953"/>
      <c r="G4" s="1953"/>
      <c r="H4" s="1953"/>
      <c r="I4" s="1953"/>
      <c r="J4" s="1953"/>
      <c r="K4" s="1953"/>
      <c r="L4" s="1953"/>
      <c r="M4" s="1953"/>
      <c r="N4" s="1953"/>
      <c r="O4" s="1953"/>
      <c r="P4" s="1953"/>
      <c r="Q4" s="1953"/>
      <c r="R4" s="1953"/>
      <c r="S4" s="1953"/>
      <c r="T4" s="1953"/>
      <c r="U4" s="1953"/>
      <c r="V4" s="1953"/>
      <c r="W4" s="1954"/>
      <c r="X4" s="1953"/>
      <c r="Y4" s="1953"/>
      <c r="Z4" s="1953"/>
      <c r="AA4" s="1953"/>
      <c r="AB4" s="1953"/>
    </row>
    <row r="5" spans="1:31" x14ac:dyDescent="0.45">
      <c r="A5" s="1439" t="s">
        <v>8</v>
      </c>
      <c r="B5" s="1953" t="s">
        <v>9</v>
      </c>
      <c r="C5" s="1955">
        <f>'Base inputs'!C16</f>
        <v>99</v>
      </c>
      <c r="D5" s="1955">
        <f>'Base inputs'!D16</f>
        <v>83.3</v>
      </c>
      <c r="E5" s="1955">
        <f>'Base inputs'!E16</f>
        <v>104.4</v>
      </c>
      <c r="F5" s="1955">
        <f>'Base inputs'!F16</f>
        <v>83</v>
      </c>
      <c r="G5" s="1955">
        <f>'Base inputs'!G16</f>
        <v>99</v>
      </c>
      <c r="H5" s="1955">
        <f>'Base inputs'!H16</f>
        <v>83.3</v>
      </c>
      <c r="I5" s="1955">
        <f>'Base inputs'!I16</f>
        <v>104.4</v>
      </c>
      <c r="J5" s="1955">
        <f>'Base inputs'!J16</f>
        <v>83</v>
      </c>
      <c r="K5" s="1955">
        <f>'Base inputs'!K16</f>
        <v>350</v>
      </c>
      <c r="L5" s="1955">
        <f>'Base inputs'!L16</f>
        <v>300</v>
      </c>
      <c r="M5" s="1955">
        <f>'Base inputs'!M16</f>
        <v>6805</v>
      </c>
      <c r="N5" s="1955">
        <f>'Base inputs'!N16</f>
        <v>9950</v>
      </c>
      <c r="O5" s="1955">
        <f>'Base inputs'!O16</f>
        <v>6805</v>
      </c>
      <c r="P5" s="1955">
        <f>'Base inputs'!P16</f>
        <v>9950</v>
      </c>
      <c r="Q5" s="1955">
        <f>'Base inputs'!Q16</f>
        <v>8500</v>
      </c>
      <c r="R5" s="1955">
        <f>'Base inputs'!R16</f>
        <v>10800</v>
      </c>
      <c r="S5" s="1955">
        <f>'Base inputs'!S16</f>
        <v>8500</v>
      </c>
      <c r="T5" s="1955">
        <f>'Base inputs'!T16</f>
        <v>10800</v>
      </c>
      <c r="U5" s="1955">
        <f>'Base inputs'!U16</f>
        <v>9950</v>
      </c>
      <c r="V5" s="1955">
        <f>'Base inputs'!V16</f>
        <v>10800</v>
      </c>
      <c r="W5" s="1955">
        <f>'Base inputs'!W16</f>
        <v>9950</v>
      </c>
      <c r="X5" s="1955">
        <f>'Base inputs'!X16</f>
        <v>1300</v>
      </c>
      <c r="Y5" s="1955">
        <f>'Base inputs'!Y16</f>
        <v>1240</v>
      </c>
      <c r="Z5" s="1955">
        <f>'Base inputs'!Z16</f>
        <v>1300</v>
      </c>
      <c r="AA5" s="1955">
        <f>'Base inputs'!AA16</f>
        <v>1240</v>
      </c>
      <c r="AB5" s="1955">
        <f>'Base inputs'!AB16</f>
        <v>186000</v>
      </c>
    </row>
    <row r="6" spans="1:31" x14ac:dyDescent="0.45">
      <c r="A6" s="1440" t="s">
        <v>10</v>
      </c>
      <c r="B6" s="2016" t="s">
        <v>11</v>
      </c>
      <c r="C6" s="2031"/>
      <c r="D6" s="2031">
        <f>'Base inputs'!D34</f>
        <v>3.7</v>
      </c>
      <c r="E6" s="2031"/>
      <c r="F6" s="2031">
        <f>'Base inputs'!F34</f>
        <v>4</v>
      </c>
      <c r="G6" s="2031"/>
      <c r="H6" s="2031">
        <f>'Base inputs'!H34</f>
        <v>3.7</v>
      </c>
      <c r="I6" s="2031"/>
      <c r="J6" s="2031">
        <f>'Base inputs'!J34</f>
        <v>3.7</v>
      </c>
      <c r="K6" s="2031"/>
      <c r="L6" s="2031">
        <f>'Base inputs'!L34</f>
        <v>10</v>
      </c>
      <c r="M6" s="2031"/>
      <c r="N6" s="2031"/>
      <c r="O6" s="2031"/>
      <c r="P6" s="2031"/>
      <c r="Q6" s="2031">
        <f>'Base inputs'!Q34</f>
        <v>180</v>
      </c>
      <c r="R6" s="2031">
        <f>'Base inputs'!R34</f>
        <v>324</v>
      </c>
      <c r="S6" s="2031">
        <f>'Base inputs'!S34</f>
        <v>180</v>
      </c>
      <c r="T6" s="2031">
        <f>'Base inputs'!T34</f>
        <v>324</v>
      </c>
      <c r="U6" s="2031"/>
      <c r="V6" s="2031">
        <f>'Base inputs'!V34</f>
        <v>365</v>
      </c>
      <c r="W6" s="2031">
        <f>'Base inputs'!W34</f>
        <v>24</v>
      </c>
      <c r="X6" s="2031"/>
      <c r="Y6" s="2031">
        <f>'Base inputs'!Y34</f>
        <v>40</v>
      </c>
      <c r="Z6" s="2031"/>
      <c r="AA6" s="2031">
        <f>'Base inputs'!AA34</f>
        <v>50</v>
      </c>
      <c r="AB6" s="2031"/>
    </row>
    <row r="7" spans="1:31" ht="57" x14ac:dyDescent="0.45">
      <c r="A7" s="1440" t="s">
        <v>49</v>
      </c>
      <c r="B7" s="2016"/>
      <c r="C7" s="2016" t="str">
        <f>'Base variables computation'!C16</f>
        <v>With Al smelting mostly from coal</v>
      </c>
      <c r="D7" s="2016" t="str">
        <f>'Base variables computation'!D16</f>
        <v>With Al smelting mostly from coal</v>
      </c>
      <c r="E7" s="2016" t="str">
        <f>'Base variables computation'!E16</f>
        <v>With Al smelting mostly from coal</v>
      </c>
      <c r="F7" s="2016" t="str">
        <f>'Base variables computation'!F16</f>
        <v>With Al smelting mostly from coal</v>
      </c>
      <c r="G7" s="2016" t="str">
        <f>'Base variables computation'!G16</f>
        <v>With Al smelting mostly from coal</v>
      </c>
      <c r="H7" s="2016" t="str">
        <f>'Base variables computation'!H16</f>
        <v>With Al smelting mostly from coal</v>
      </c>
      <c r="I7" s="2016" t="str">
        <f>'Base variables computation'!I16</f>
        <v>With Al smelting mostly from coal</v>
      </c>
      <c r="J7" s="2016" t="str">
        <f>'Base variables computation'!J16</f>
        <v>With Al smelting mostly from coal</v>
      </c>
      <c r="K7" s="2016" t="str">
        <f>'Base variables computation'!K16</f>
        <v>With Al smelting mostly from coal</v>
      </c>
      <c r="L7" s="2016" t="str">
        <f>'Base variables computation'!L16</f>
        <v>With Al smelting mostly from coal</v>
      </c>
      <c r="M7" s="2016" t="str">
        <f>'Base variables computation'!M16</f>
        <v>With Al smelting mostly from coal</v>
      </c>
      <c r="N7" s="2016" t="str">
        <f>'Base variables computation'!N16</f>
        <v>With Al smelting mostly from coal</v>
      </c>
      <c r="O7" s="2016" t="str">
        <f>'Base variables computation'!O16</f>
        <v>With Al smelting mostly from coal</v>
      </c>
      <c r="P7" s="2016" t="str">
        <f>'Base variables computation'!P16</f>
        <v>With Al smelting mostly from coal</v>
      </c>
      <c r="Q7" s="2016" t="str">
        <f>'Base variables computation'!Q16</f>
        <v>With Al smelting mostly from coal</v>
      </c>
      <c r="R7" s="2016" t="str">
        <f>'Base variables computation'!R16</f>
        <v>With Al smelting mostly from coal</v>
      </c>
      <c r="S7" s="2016" t="str">
        <f>'Base variables computation'!S16</f>
        <v>With Al smelting mostly from coal</v>
      </c>
      <c r="T7" s="2016" t="str">
        <f>'Base variables computation'!T16</f>
        <v>With Al smelting mostly from coal</v>
      </c>
      <c r="U7" s="2016" t="str">
        <f>'Base variables computation'!X16</f>
        <v>With Al smelting mostly from coal</v>
      </c>
      <c r="V7" s="2016" t="str">
        <f>'Base variables computation'!Y16</f>
        <v>With Al smelting mostly from coal</v>
      </c>
      <c r="W7" s="2016" t="str">
        <f>'Base variables computation'!Z16</f>
        <v>With Al smelting mostly from coal</v>
      </c>
      <c r="X7" s="2016" t="str">
        <f>'Base variables computation'!X16</f>
        <v>With Al smelting mostly from coal</v>
      </c>
      <c r="Y7" s="2016" t="str">
        <f>'Base variables computation'!Y16</f>
        <v>With Al smelting mostly from coal</v>
      </c>
      <c r="Z7" s="2016" t="str">
        <f>'Base variables computation'!Z16</f>
        <v>With Al smelting mostly from coal</v>
      </c>
      <c r="AA7" s="2016" t="str">
        <f>'Base variables computation'!AA16</f>
        <v>With Al smelting mostly from coal</v>
      </c>
      <c r="AB7" s="2016" t="str">
        <f>'Base variables computation'!AB16</f>
        <v>With Al smelting mostly from coal</v>
      </c>
    </row>
    <row r="8" spans="1:31" x14ac:dyDescent="0.45">
      <c r="A8" s="1439"/>
      <c r="B8" s="1953"/>
      <c r="C8" s="1953"/>
      <c r="D8" s="1955"/>
      <c r="E8" s="1955"/>
      <c r="F8" s="1955"/>
      <c r="G8" s="1953"/>
      <c r="H8" s="1953"/>
      <c r="I8" s="1953"/>
      <c r="J8" s="1953"/>
      <c r="K8" s="1953"/>
      <c r="L8" s="1953"/>
      <c r="M8" s="1953"/>
      <c r="N8" s="1953"/>
      <c r="O8" s="1953"/>
      <c r="P8" s="1953"/>
      <c r="Q8" s="1953"/>
      <c r="R8" s="1953"/>
      <c r="S8" s="1953"/>
      <c r="T8" s="1953"/>
      <c r="U8" s="1953"/>
      <c r="V8" s="1953"/>
      <c r="W8" s="1954"/>
      <c r="X8" s="1953"/>
      <c r="Y8" s="1953"/>
      <c r="Z8" s="1953"/>
      <c r="AA8" s="1953"/>
      <c r="AB8" s="1953"/>
    </row>
    <row r="9" spans="1:31" ht="28.5" x14ac:dyDescent="0.45">
      <c r="A9" s="1441" t="s">
        <v>50</v>
      </c>
      <c r="B9" s="1953" t="s">
        <v>26</v>
      </c>
      <c r="C9" s="1953"/>
      <c r="D9" s="1955"/>
      <c r="E9" s="1955"/>
      <c r="F9" s="1955"/>
      <c r="G9" s="1953"/>
      <c r="H9" s="1953"/>
      <c r="I9" s="1953"/>
      <c r="J9" s="1953"/>
      <c r="K9" s="1953"/>
      <c r="L9" s="1953"/>
      <c r="M9" s="1953"/>
      <c r="N9" s="1953"/>
      <c r="O9" s="1953"/>
      <c r="P9" s="1953"/>
      <c r="Q9" s="1953"/>
      <c r="R9" s="1953"/>
      <c r="S9" s="1953"/>
      <c r="T9" s="1953"/>
      <c r="U9" s="1953"/>
      <c r="V9" s="1953"/>
      <c r="W9" s="1954"/>
      <c r="X9" s="1953"/>
      <c r="Y9" s="1953"/>
      <c r="Z9" s="1953"/>
      <c r="AA9" s="1953"/>
      <c r="AB9" s="1953"/>
    </row>
    <row r="10" spans="1:31" x14ac:dyDescent="0.45">
      <c r="A10" s="1440" t="s">
        <v>51</v>
      </c>
      <c r="B10" s="2016"/>
      <c r="C10" s="2054">
        <f>'Base inputs'!C18</f>
        <v>0.38181818181818183</v>
      </c>
      <c r="D10" s="2054">
        <f>'Base inputs'!D18</f>
        <v>0.45378151260504196</v>
      </c>
      <c r="E10" s="2054">
        <f>'Base inputs'!E18</f>
        <v>0.45951219512195118</v>
      </c>
      <c r="F10" s="2054">
        <f>'Base inputs'!F18</f>
        <v>0.41445783132530117</v>
      </c>
      <c r="G10" s="2054">
        <f>'Base inputs'!G18</f>
        <v>0.38181818181818183</v>
      </c>
      <c r="H10" s="2054">
        <f>'Base inputs'!H18</f>
        <v>0.45378151260504196</v>
      </c>
      <c r="I10" s="2054">
        <f>'Base inputs'!I18</f>
        <v>0.45951219512195118</v>
      </c>
      <c r="J10" s="2054">
        <f>'Base inputs'!J18</f>
        <v>0.41445783132530117</v>
      </c>
      <c r="K10" s="2054">
        <f>'Base inputs'!K18</f>
        <v>0.67046855733662147</v>
      </c>
      <c r="L10" s="2054">
        <f>'Base inputs'!L18</f>
        <v>0.67674418604651154</v>
      </c>
      <c r="M10" s="2054">
        <f>'Base inputs'!M18</f>
        <v>0.53747902293492456</v>
      </c>
      <c r="N10" s="2054">
        <f>'Base inputs'!N18</f>
        <v>0.53747902293492456</v>
      </c>
      <c r="O10" s="2054">
        <f>'Base inputs'!O18</f>
        <v>0.53747902293492456</v>
      </c>
      <c r="P10" s="2054">
        <f>'Base inputs'!P18</f>
        <v>0.53747902293492456</v>
      </c>
      <c r="Q10" s="2054">
        <f>'Base inputs'!Q18</f>
        <v>0.55105357066995209</v>
      </c>
      <c r="R10" s="2054">
        <f>'Base inputs'!R18</f>
        <v>0.55105357066995209</v>
      </c>
      <c r="S10" s="2054">
        <f>'Base inputs'!S18</f>
        <v>0.55105357066995209</v>
      </c>
      <c r="T10" s="2054">
        <f>'Base inputs'!T18</f>
        <v>0.55105357066995209</v>
      </c>
      <c r="U10" s="2054">
        <f>'Base inputs'!U18</f>
        <v>0.53747902293492456</v>
      </c>
      <c r="V10" s="2054">
        <f>'Base inputs'!V18</f>
        <v>0.55105357066995209</v>
      </c>
      <c r="W10" s="2054">
        <f>'Base inputs'!W18</f>
        <v>0.53747902293492456</v>
      </c>
      <c r="X10" s="2054">
        <f>'Base inputs'!X18</f>
        <v>0.68549411465831156</v>
      </c>
      <c r="Y10" s="2054">
        <f>'Base inputs'!Y18</f>
        <v>0.76330532212885149</v>
      </c>
      <c r="Z10" s="2054">
        <f>'Base inputs'!Z18</f>
        <v>0.68549411465831156</v>
      </c>
      <c r="AA10" s="2054">
        <f>'Base inputs'!AA18</f>
        <v>0.76330532212885149</v>
      </c>
      <c r="AB10" s="2054">
        <f>'Base inputs'!AB18</f>
        <v>0.69228294154366132</v>
      </c>
    </row>
    <row r="11" spans="1:31" x14ac:dyDescent="0.45">
      <c r="A11" s="1440" t="s">
        <v>52</v>
      </c>
      <c r="B11" s="2016"/>
      <c r="C11" s="2054">
        <f>'Base inputs'!C19</f>
        <v>6.464646464646466E-2</v>
      </c>
      <c r="D11" s="2054">
        <f>'Base inputs'!D19</f>
        <v>7.6830732292917175E-2</v>
      </c>
      <c r="E11" s="2054">
        <f>'Base inputs'!E19</f>
        <v>4.7804878048780489E-2</v>
      </c>
      <c r="F11" s="2054">
        <f>'Base inputs'!F19</f>
        <v>5.9036144578313257E-2</v>
      </c>
      <c r="G11" s="2054">
        <f>'Base inputs'!G19</f>
        <v>6.464646464646466E-2</v>
      </c>
      <c r="H11" s="2054">
        <f>'Base inputs'!H19</f>
        <v>7.6830732292917175E-2</v>
      </c>
      <c r="I11" s="2054">
        <f>'Base inputs'!I19</f>
        <v>4.7804878048780489E-2</v>
      </c>
      <c r="J11" s="2054">
        <f>'Base inputs'!J19</f>
        <v>5.9036144578313257E-2</v>
      </c>
      <c r="K11" s="2054">
        <f>'Base inputs'!K19</f>
        <v>8.6313193588162754E-3</v>
      </c>
      <c r="L11" s="2054">
        <f>'Base inputs'!L19</f>
        <v>9.3023255813953487E-3</v>
      </c>
      <c r="M11" s="2054">
        <f>'Base inputs'!M19</f>
        <v>9.2195495887459344E-3</v>
      </c>
      <c r="N11" s="2054">
        <f>'Base inputs'!N19</f>
        <v>9.2195495887459344E-3</v>
      </c>
      <c r="O11" s="2054">
        <f>'Base inputs'!O19</f>
        <v>9.2195495887459344E-3</v>
      </c>
      <c r="P11" s="2054">
        <f>'Base inputs'!P19</f>
        <v>9.2195495887459344E-3</v>
      </c>
      <c r="Q11" s="2054">
        <f>'Base inputs'!Q19</f>
        <v>8.3478482518373771E-3</v>
      </c>
      <c r="R11" s="2054">
        <f>'Base inputs'!R19</f>
        <v>8.3478482518373771E-3</v>
      </c>
      <c r="S11" s="2054">
        <f>'Base inputs'!S19</f>
        <v>8.3478482518373771E-3</v>
      </c>
      <c r="T11" s="2054">
        <f>'Base inputs'!T19</f>
        <v>8.3478482518373771E-3</v>
      </c>
      <c r="U11" s="2054">
        <f>'Base inputs'!U19</f>
        <v>9.2195495887459344E-3</v>
      </c>
      <c r="V11" s="2054">
        <f>'Base inputs'!V19</f>
        <v>8.3478482518373771E-3</v>
      </c>
      <c r="W11" s="2054">
        <f>'Base inputs'!W19</f>
        <v>9.2195495887459344E-3</v>
      </c>
      <c r="X11" s="2054">
        <f>'Base inputs'!X19</f>
        <v>1.7783046828689981E-2</v>
      </c>
      <c r="Y11" s="2054">
        <f>'Base inputs'!Y19</f>
        <v>1.4328808446455505E-2</v>
      </c>
      <c r="Z11" s="2054">
        <f>'Base inputs'!Z19</f>
        <v>1.7783046828689981E-2</v>
      </c>
      <c r="AA11" s="2054">
        <f>'Base inputs'!AA19</f>
        <v>1.4328808446455505E-2</v>
      </c>
      <c r="AB11" s="2054">
        <f>'Base inputs'!AB19</f>
        <v>0</v>
      </c>
    </row>
    <row r="12" spans="1:31" x14ac:dyDescent="0.45">
      <c r="A12" s="1440" t="s">
        <v>53</v>
      </c>
      <c r="B12" s="2016"/>
      <c r="C12" s="2054">
        <f>'Base inputs'!C20</f>
        <v>3.6363636363636369E-2</v>
      </c>
      <c r="D12" s="2054">
        <f>'Base inputs'!D20</f>
        <v>0</v>
      </c>
      <c r="E12" s="2054">
        <f>'Base inputs'!E20</f>
        <v>3.3170731707317068E-2</v>
      </c>
      <c r="F12" s="2054">
        <f>'Base inputs'!F20</f>
        <v>0</v>
      </c>
      <c r="G12" s="2054">
        <f>'Base inputs'!G20</f>
        <v>3.6363636363636369E-2</v>
      </c>
      <c r="H12" s="2054">
        <f>'Base inputs'!H20</f>
        <v>0</v>
      </c>
      <c r="I12" s="2054">
        <f>'Base inputs'!I20</f>
        <v>3.3170731707317068E-2</v>
      </c>
      <c r="J12" s="2054">
        <f>'Base inputs'!J20</f>
        <v>0</v>
      </c>
      <c r="K12" s="2054">
        <f>'Base inputs'!K20</f>
        <v>3.2675709001233046E-2</v>
      </c>
      <c r="L12" s="2054">
        <f>'Base inputs'!L20</f>
        <v>2.0930232558139535E-2</v>
      </c>
      <c r="M12" s="2054">
        <f>'Base inputs'!M20</f>
        <v>0.17243665444299419</v>
      </c>
      <c r="N12" s="2054">
        <f>'Base inputs'!N20</f>
        <v>0.17243665444299419</v>
      </c>
      <c r="O12" s="2054">
        <f>'Base inputs'!O20</f>
        <v>0.17243665444299419</v>
      </c>
      <c r="P12" s="2054">
        <f>'Base inputs'!P20</f>
        <v>0.17243665444299419</v>
      </c>
      <c r="Q12" s="2054">
        <f>'Base inputs'!Q20</f>
        <v>0.13995921661922767</v>
      </c>
      <c r="R12" s="2054">
        <f>'Base inputs'!R20</f>
        <v>0.13995921661922767</v>
      </c>
      <c r="S12" s="2054">
        <f>'Base inputs'!S20</f>
        <v>0.13995921661922767</v>
      </c>
      <c r="T12" s="2054">
        <f>'Base inputs'!T20</f>
        <v>0.13995921661922767</v>
      </c>
      <c r="U12" s="2054">
        <f>'Base inputs'!U20</f>
        <v>0.17243665444299419</v>
      </c>
      <c r="V12" s="2054">
        <f>'Base inputs'!V20</f>
        <v>0.13995921661922767</v>
      </c>
      <c r="W12" s="2054">
        <f>'Base inputs'!W20</f>
        <v>0.17243665444299419</v>
      </c>
      <c r="X12" s="2054">
        <f>'Base inputs'!X20</f>
        <v>0.13100177830468288</v>
      </c>
      <c r="Y12" s="2054">
        <f>'Base inputs'!Y20</f>
        <v>4.686489980607627E-2</v>
      </c>
      <c r="Z12" s="2054">
        <f>'Base inputs'!Z20</f>
        <v>0.13100177830468288</v>
      </c>
      <c r="AA12" s="2054">
        <f>'Base inputs'!AA20</f>
        <v>4.686489980607627E-2</v>
      </c>
      <c r="AB12" s="2054">
        <f>'Base inputs'!AB20</f>
        <v>0</v>
      </c>
    </row>
    <row r="13" spans="1:31" x14ac:dyDescent="0.45">
      <c r="A13" s="1440" t="s">
        <v>54</v>
      </c>
      <c r="B13" s="2016"/>
      <c r="C13" s="2054">
        <f>'Base inputs'!C21</f>
        <v>0</v>
      </c>
      <c r="D13" s="2054">
        <f>'Base inputs'!D21</f>
        <v>0</v>
      </c>
      <c r="E13" s="2054">
        <f>'Base inputs'!E21</f>
        <v>0</v>
      </c>
      <c r="F13" s="2054">
        <f>'Base inputs'!F21</f>
        <v>0</v>
      </c>
      <c r="G13" s="2054">
        <f>'Base inputs'!G21</f>
        <v>0</v>
      </c>
      <c r="H13" s="2054">
        <f>'Base inputs'!H21</f>
        <v>0</v>
      </c>
      <c r="I13" s="2054">
        <f>'Base inputs'!I21</f>
        <v>0</v>
      </c>
      <c r="J13" s="2054">
        <f>'Base inputs'!J21</f>
        <v>0</v>
      </c>
      <c r="K13" s="2054">
        <f>'Base inputs'!K21</f>
        <v>0</v>
      </c>
      <c r="L13" s="2054">
        <f>'Base inputs'!L21</f>
        <v>0</v>
      </c>
      <c r="M13" s="2054">
        <f>'Base inputs'!M21</f>
        <v>0.18925974268133508</v>
      </c>
      <c r="N13" s="2054">
        <f>'Base inputs'!N21</f>
        <v>0.18925974268133508</v>
      </c>
      <c r="O13" s="2054">
        <f>'Base inputs'!O21</f>
        <v>0.18925974268133508</v>
      </c>
      <c r="P13" s="2054">
        <f>'Base inputs'!P21</f>
        <v>0.18925974268133508</v>
      </c>
      <c r="Q13" s="2054">
        <f>'Base inputs'!Q21</f>
        <v>0.19329623178554742</v>
      </c>
      <c r="R13" s="2054">
        <f>'Base inputs'!R21</f>
        <v>0.19329623178554742</v>
      </c>
      <c r="S13" s="2054">
        <f>'Base inputs'!S21</f>
        <v>0.19329623178554742</v>
      </c>
      <c r="T13" s="2054">
        <f>'Base inputs'!T21</f>
        <v>0.19329623178554742</v>
      </c>
      <c r="U13" s="2054">
        <f>'Base inputs'!U21</f>
        <v>0.18925974268133508</v>
      </c>
      <c r="V13" s="2054">
        <f>'Base inputs'!V21</f>
        <v>0.19329623178554742</v>
      </c>
      <c r="W13" s="2054">
        <f>'Base inputs'!W21</f>
        <v>0.18925974268133508</v>
      </c>
      <c r="X13" s="2054">
        <f>'Base inputs'!X21</f>
        <v>0</v>
      </c>
      <c r="Y13" s="2054">
        <f>'Base inputs'!Y21</f>
        <v>0</v>
      </c>
      <c r="Z13" s="2054">
        <f>'Base inputs'!Z21</f>
        <v>0</v>
      </c>
      <c r="AA13" s="2054">
        <f>'Base inputs'!AA21</f>
        <v>0</v>
      </c>
      <c r="AB13" s="2054">
        <f>'Base inputs'!AB21</f>
        <v>0.10783189729661412</v>
      </c>
    </row>
    <row r="14" spans="1:31" x14ac:dyDescent="0.45">
      <c r="A14" s="1440" t="s">
        <v>55</v>
      </c>
      <c r="B14" s="2016"/>
      <c r="C14" s="2054">
        <f>'Base inputs'!C22</f>
        <v>0.28888888888888897</v>
      </c>
      <c r="D14" s="2054">
        <f>'Base inputs'!D22</f>
        <v>0.24129651860744297</v>
      </c>
      <c r="E14" s="2054">
        <f>'Base inputs'!E22</f>
        <v>0.23121951219512193</v>
      </c>
      <c r="F14" s="2054">
        <f>'Base inputs'!F22</f>
        <v>0.29277108433734939</v>
      </c>
      <c r="G14" s="2054">
        <f>'Base inputs'!G22</f>
        <v>0.28888888888888897</v>
      </c>
      <c r="H14" s="2054">
        <f>'Base inputs'!H22</f>
        <v>0.24129651860744297</v>
      </c>
      <c r="I14" s="2054">
        <f>'Base inputs'!I22</f>
        <v>0.23121951219512193</v>
      </c>
      <c r="J14" s="2054">
        <f>'Base inputs'!J22</f>
        <v>0.29277108433734939</v>
      </c>
      <c r="K14" s="2054">
        <f>'Base inputs'!K22</f>
        <v>7.9839704069050554E-2</v>
      </c>
      <c r="L14" s="2054">
        <f>'Base inputs'!L22</f>
        <v>9.867109634551495E-2</v>
      </c>
      <c r="M14" s="2054">
        <f>'Base inputs'!M22</f>
        <v>1.1218845173721176E-2</v>
      </c>
      <c r="N14" s="2054">
        <f>'Base inputs'!N22</f>
        <v>1.1218845173721176E-2</v>
      </c>
      <c r="O14" s="2054">
        <f>'Base inputs'!O22</f>
        <v>1.1218845173721176E-2</v>
      </c>
      <c r="P14" s="2054">
        <f>'Base inputs'!P22</f>
        <v>1.1218845173721176E-2</v>
      </c>
      <c r="Q14" s="2054">
        <f>'Base inputs'!Q22</f>
        <v>9.8772250307999493E-3</v>
      </c>
      <c r="R14" s="2054">
        <f>'Base inputs'!R22</f>
        <v>9.8772250307999493E-3</v>
      </c>
      <c r="S14" s="2054">
        <f>'Base inputs'!S22</f>
        <v>9.8772250307999493E-3</v>
      </c>
      <c r="T14" s="2054">
        <f>'Base inputs'!T22</f>
        <v>9.8772250307999493E-3</v>
      </c>
      <c r="U14" s="2054">
        <f>'Base inputs'!U22</f>
        <v>1.1218845173721176E-2</v>
      </c>
      <c r="V14" s="2054">
        <f>'Base inputs'!V22</f>
        <v>9.8772250307999493E-3</v>
      </c>
      <c r="W14" s="2054">
        <f>'Base inputs'!W22</f>
        <v>1.1218845173721176E-2</v>
      </c>
      <c r="X14" s="2054">
        <f>'Base inputs'!X22</f>
        <v>3.7683123041747826E-2</v>
      </c>
      <c r="Y14" s="2054">
        <f>'Base inputs'!Y22</f>
        <v>3.0596854126265886E-2</v>
      </c>
      <c r="Z14" s="2054">
        <f>'Base inputs'!Z22</f>
        <v>3.7683123041747826E-2</v>
      </c>
      <c r="AA14" s="2054">
        <f>'Base inputs'!AA22</f>
        <v>3.0596854126265886E-2</v>
      </c>
      <c r="AB14" s="2054">
        <f>'Base inputs'!AB22</f>
        <v>0</v>
      </c>
    </row>
    <row r="15" spans="1:31" x14ac:dyDescent="0.45">
      <c r="A15" s="1440" t="s">
        <v>56</v>
      </c>
      <c r="B15" s="2016"/>
      <c r="C15" s="2054">
        <f>'Base inputs'!C23</f>
        <v>0</v>
      </c>
      <c r="D15" s="2054">
        <f>'Base inputs'!D23</f>
        <v>0</v>
      </c>
      <c r="E15" s="2054">
        <f>'Base inputs'!E23</f>
        <v>0</v>
      </c>
      <c r="F15" s="2054">
        <f>'Base inputs'!F23</f>
        <v>0</v>
      </c>
      <c r="G15" s="2054">
        <f>'Base inputs'!G23</f>
        <v>0</v>
      </c>
      <c r="H15" s="2054">
        <f>'Base inputs'!H23</f>
        <v>0</v>
      </c>
      <c r="I15" s="2054">
        <f>'Base inputs'!I23</f>
        <v>0</v>
      </c>
      <c r="J15" s="2054">
        <f>'Base inputs'!J23</f>
        <v>0</v>
      </c>
      <c r="K15" s="2054">
        <f>'Base inputs'!K23</f>
        <v>0</v>
      </c>
      <c r="L15" s="2054">
        <f>'Base inputs'!L23</f>
        <v>0</v>
      </c>
      <c r="M15" s="2054">
        <f>'Base inputs'!M23</f>
        <v>0</v>
      </c>
      <c r="N15" s="2054">
        <f>'Base inputs'!N23</f>
        <v>0</v>
      </c>
      <c r="O15" s="2054">
        <f>'Base inputs'!O23</f>
        <v>0</v>
      </c>
      <c r="P15" s="2054">
        <f>'Base inputs'!P23</f>
        <v>0</v>
      </c>
      <c r="Q15" s="2054">
        <f>'Base inputs'!Q23</f>
        <v>0</v>
      </c>
      <c r="R15" s="2054">
        <f>'Base inputs'!R23</f>
        <v>0</v>
      </c>
      <c r="S15" s="2054">
        <f>'Base inputs'!S23</f>
        <v>0</v>
      </c>
      <c r="T15" s="2054">
        <f>'Base inputs'!T23</f>
        <v>0</v>
      </c>
      <c r="U15" s="2054">
        <f>'Base inputs'!U23</f>
        <v>0</v>
      </c>
      <c r="V15" s="2054">
        <f>'Base inputs'!V23</f>
        <v>0</v>
      </c>
      <c r="W15" s="2054">
        <f>'Base inputs'!W23</f>
        <v>0</v>
      </c>
      <c r="X15" s="2054">
        <f>'Base inputs'!X23</f>
        <v>0</v>
      </c>
      <c r="Y15" s="2054">
        <f>'Base inputs'!Y23</f>
        <v>0</v>
      </c>
      <c r="Z15" s="2054">
        <f>'Base inputs'!Z23</f>
        <v>0</v>
      </c>
      <c r="AA15" s="2054">
        <f>'Base inputs'!AA23</f>
        <v>0</v>
      </c>
      <c r="AB15" s="2054">
        <f>'Base inputs'!AB23</f>
        <v>0</v>
      </c>
    </row>
    <row r="16" spans="1:31" x14ac:dyDescent="0.45">
      <c r="A16" s="1440" t="s">
        <v>57</v>
      </c>
      <c r="B16" s="2016"/>
      <c r="C16" s="2054">
        <f>'Base inputs'!C24</f>
        <v>0</v>
      </c>
      <c r="D16" s="2054">
        <f>'Base inputs'!D24</f>
        <v>0</v>
      </c>
      <c r="E16" s="2054">
        <f>'Base inputs'!E24</f>
        <v>0</v>
      </c>
      <c r="F16" s="2054">
        <f>'Base inputs'!F24</f>
        <v>0</v>
      </c>
      <c r="G16" s="2054">
        <f>'Base inputs'!G24</f>
        <v>0</v>
      </c>
      <c r="H16" s="2054">
        <f>'Base inputs'!H24</f>
        <v>0</v>
      </c>
      <c r="I16" s="2054">
        <f>'Base inputs'!I24</f>
        <v>0</v>
      </c>
      <c r="J16" s="2054">
        <f>'Base inputs'!J24</f>
        <v>0</v>
      </c>
      <c r="K16" s="2054">
        <f>'Base inputs'!K24</f>
        <v>1.7570900123304561E-2</v>
      </c>
      <c r="L16" s="2054">
        <f>'Base inputs'!L24</f>
        <v>1.8936877076411961E-2</v>
      </c>
      <c r="M16" s="2054">
        <f>'Base inputs'!M24</f>
        <v>1.8024737398222388E-2</v>
      </c>
      <c r="N16" s="2054">
        <f>'Base inputs'!N24</f>
        <v>1.8024737398222388E-2</v>
      </c>
      <c r="O16" s="2054">
        <f>'Base inputs'!O24</f>
        <v>1.8024737398222388E-2</v>
      </c>
      <c r="P16" s="2054">
        <f>'Base inputs'!P24</f>
        <v>1.8024737398222388E-2</v>
      </c>
      <c r="Q16" s="2054">
        <f>'Base inputs'!Q24</f>
        <v>1.8479969412464423E-2</v>
      </c>
      <c r="R16" s="2054">
        <f>'Base inputs'!R24</f>
        <v>1.8479969412464423E-2</v>
      </c>
      <c r="S16" s="2054">
        <f>'Base inputs'!S24</f>
        <v>1.8479969412464423E-2</v>
      </c>
      <c r="T16" s="2054">
        <f>'Base inputs'!T24</f>
        <v>1.8479969412464423E-2</v>
      </c>
      <c r="U16" s="2054">
        <f>'Base inputs'!U24</f>
        <v>1.8024737398222388E-2</v>
      </c>
      <c r="V16" s="2054">
        <f>'Base inputs'!V24</f>
        <v>1.8479969412464423E-2</v>
      </c>
      <c r="W16" s="2054">
        <f>'Base inputs'!W24</f>
        <v>1.8024737398222388E-2</v>
      </c>
      <c r="X16" s="2054">
        <f>'Base inputs'!X24</f>
        <v>0</v>
      </c>
      <c r="Y16" s="2054">
        <f>'Base inputs'!Y24</f>
        <v>0</v>
      </c>
      <c r="Z16" s="2054">
        <f>'Base inputs'!Z24</f>
        <v>0</v>
      </c>
      <c r="AA16" s="2054">
        <f>'Base inputs'!AA24</f>
        <v>0</v>
      </c>
      <c r="AB16" s="2054">
        <f>'Base inputs'!AB24</f>
        <v>1.6715989775613768E-2</v>
      </c>
    </row>
    <row r="17" spans="1:28" x14ac:dyDescent="0.45">
      <c r="A17" s="1440" t="s">
        <v>58</v>
      </c>
      <c r="B17" s="2016"/>
      <c r="C17" s="2054">
        <f>'Base inputs'!C25</f>
        <v>0.1484848484848485</v>
      </c>
      <c r="D17" s="2054">
        <f>'Base inputs'!D25</f>
        <v>0.15726290516206479</v>
      </c>
      <c r="E17" s="2054">
        <f>'Base inputs'!E25</f>
        <v>0.10926829268292682</v>
      </c>
      <c r="F17" s="2054">
        <f>'Base inputs'!F25</f>
        <v>0.11445783132530121</v>
      </c>
      <c r="G17" s="2054">
        <f>'Base inputs'!G25</f>
        <v>0.1484848484848485</v>
      </c>
      <c r="H17" s="2054">
        <f>'Base inputs'!H25</f>
        <v>0.15726290516206479</v>
      </c>
      <c r="I17" s="2054">
        <f>'Base inputs'!I25</f>
        <v>0.10926829268292682</v>
      </c>
      <c r="J17" s="2054">
        <f>'Base inputs'!J25</f>
        <v>0.11445783132530121</v>
      </c>
      <c r="K17" s="2054">
        <f>'Base inputs'!K25</f>
        <v>0.10511713933415537</v>
      </c>
      <c r="L17" s="2054">
        <f>'Base inputs'!L25</f>
        <v>0.10066445182724253</v>
      </c>
      <c r="M17" s="2054">
        <f>'Base inputs'!M25</f>
        <v>1.9972237760788946E-2</v>
      </c>
      <c r="N17" s="2054">
        <f>'Base inputs'!N25</f>
        <v>1.9972237760788946E-2</v>
      </c>
      <c r="O17" s="2054">
        <f>'Base inputs'!O25</f>
        <v>1.9972237760788946E-2</v>
      </c>
      <c r="P17" s="2054">
        <f>'Base inputs'!P25</f>
        <v>1.9972237760788946E-2</v>
      </c>
      <c r="Q17" s="2054">
        <f>'Base inputs'!Q25</f>
        <v>1.9595139980457966E-2</v>
      </c>
      <c r="R17" s="2054">
        <f>'Base inputs'!R25</f>
        <v>1.9595139980457966E-2</v>
      </c>
      <c r="S17" s="2054">
        <f>'Base inputs'!S25</f>
        <v>1.9595139980457966E-2</v>
      </c>
      <c r="T17" s="2054">
        <f>'Base inputs'!T25</f>
        <v>1.9595139980457966E-2</v>
      </c>
      <c r="U17" s="2054">
        <f>'Base inputs'!U25</f>
        <v>1.9972237760788946E-2</v>
      </c>
      <c r="V17" s="2054">
        <f>'Base inputs'!V25</f>
        <v>1.9595139980457966E-2</v>
      </c>
      <c r="W17" s="2054">
        <f>'Base inputs'!W25</f>
        <v>1.9972237760788946E-2</v>
      </c>
      <c r="X17" s="2054">
        <f>'Base inputs'!X25</f>
        <v>4.0731645355237531E-2</v>
      </c>
      <c r="Y17" s="2054">
        <f>'Base inputs'!Y25</f>
        <v>4.611075199310493E-2</v>
      </c>
      <c r="Z17" s="2054">
        <f>'Base inputs'!Z25</f>
        <v>4.0731645355237531E-2</v>
      </c>
      <c r="AA17" s="2054">
        <f>'Base inputs'!AA25</f>
        <v>4.611075199310493E-2</v>
      </c>
      <c r="AB17" s="2054">
        <f>'Base inputs'!AB25</f>
        <v>5.1785528348471922E-2</v>
      </c>
    </row>
    <row r="18" spans="1:28" x14ac:dyDescent="0.45">
      <c r="A18" s="1440" t="s">
        <v>59</v>
      </c>
      <c r="B18" s="2016"/>
      <c r="C18" s="2054">
        <f>'Base inputs'!C26</f>
        <v>0</v>
      </c>
      <c r="D18" s="2054">
        <f>'Base inputs'!D26</f>
        <v>0</v>
      </c>
      <c r="E18" s="2054">
        <f>'Base inputs'!E26</f>
        <v>0</v>
      </c>
      <c r="F18" s="2054">
        <f>'Base inputs'!F26</f>
        <v>0</v>
      </c>
      <c r="G18" s="2054">
        <f>'Base inputs'!G26</f>
        <v>0</v>
      </c>
      <c r="H18" s="2054">
        <f>'Base inputs'!H26</f>
        <v>0</v>
      </c>
      <c r="I18" s="2054">
        <f>'Base inputs'!I26</f>
        <v>0</v>
      </c>
      <c r="J18" s="2054">
        <f>'Base inputs'!J26</f>
        <v>0</v>
      </c>
      <c r="K18" s="2054">
        <f>'Base inputs'!K26</f>
        <v>0</v>
      </c>
      <c r="L18" s="2054">
        <f>'Base inputs'!L26</f>
        <v>0</v>
      </c>
      <c r="M18" s="2054">
        <f>'Base inputs'!M26</f>
        <v>0</v>
      </c>
      <c r="N18" s="2054">
        <f>'Base inputs'!N26</f>
        <v>0</v>
      </c>
      <c r="O18" s="2054">
        <f>'Base inputs'!O26</f>
        <v>0</v>
      </c>
      <c r="P18" s="2054">
        <f>'Base inputs'!P26</f>
        <v>0</v>
      </c>
      <c r="Q18" s="2054">
        <f>'Base inputs'!Q26</f>
        <v>0</v>
      </c>
      <c r="R18" s="2054">
        <f>'Base inputs'!R26</f>
        <v>0</v>
      </c>
      <c r="S18" s="2054">
        <f>'Base inputs'!S26</f>
        <v>0</v>
      </c>
      <c r="T18" s="2054">
        <f>'Base inputs'!T26</f>
        <v>0</v>
      </c>
      <c r="U18" s="2054">
        <f>'Base inputs'!U26</f>
        <v>0</v>
      </c>
      <c r="V18" s="2054">
        <f>'Base inputs'!V26</f>
        <v>0</v>
      </c>
      <c r="W18" s="2054">
        <f>'Base inputs'!W26</f>
        <v>0</v>
      </c>
      <c r="X18" s="2054">
        <f>'Base inputs'!X26</f>
        <v>0</v>
      </c>
      <c r="Y18" s="2054">
        <f>'Base inputs'!Y26</f>
        <v>0</v>
      </c>
      <c r="Z18" s="2054">
        <f>'Base inputs'!Z26</f>
        <v>0</v>
      </c>
      <c r="AA18" s="2054">
        <f>'Base inputs'!AA26</f>
        <v>0</v>
      </c>
      <c r="AB18" s="2054">
        <f>'Base inputs'!AB26</f>
        <v>0</v>
      </c>
    </row>
    <row r="19" spans="1:28" x14ac:dyDescent="0.45">
      <c r="A19" s="1440" t="s">
        <v>60</v>
      </c>
      <c r="B19" s="2016"/>
      <c r="C19" s="2054">
        <f>'Base inputs'!C27</f>
        <v>5.9595959595959605E-2</v>
      </c>
      <c r="D19" s="2054">
        <f>'Base inputs'!D27</f>
        <v>7.0828331332533009E-2</v>
      </c>
      <c r="E19" s="2054">
        <f>'Base inputs'!E27</f>
        <v>9.9512195121951211E-2</v>
      </c>
      <c r="F19" s="2054">
        <f>'Base inputs'!F27</f>
        <v>0.11927710843373496</v>
      </c>
      <c r="G19" s="2054">
        <f>'Base inputs'!G27</f>
        <v>5.9595959595959605E-2</v>
      </c>
      <c r="H19" s="2054">
        <f>'Base inputs'!H27</f>
        <v>7.0828331332533009E-2</v>
      </c>
      <c r="I19" s="2054">
        <f>'Base inputs'!I27</f>
        <v>9.9512195121951211E-2</v>
      </c>
      <c r="J19" s="2054">
        <f>'Base inputs'!J27</f>
        <v>0.11927710843373496</v>
      </c>
      <c r="K19" s="2054">
        <f>'Base inputs'!K27</f>
        <v>7.6448828606658456E-2</v>
      </c>
      <c r="L19" s="2054">
        <f>'Base inputs'!L27</f>
        <v>6.9767441860465115E-2</v>
      </c>
      <c r="M19" s="2054">
        <f>'Base inputs'!M27</f>
        <v>4.2389210019267827E-2</v>
      </c>
      <c r="N19" s="2054">
        <f>'Base inputs'!N27</f>
        <v>4.2389210019267827E-2</v>
      </c>
      <c r="O19" s="2054">
        <f>'Base inputs'!O27</f>
        <v>4.2389210019267827E-2</v>
      </c>
      <c r="P19" s="2054">
        <f>'Base inputs'!P27</f>
        <v>4.2389210019267827E-2</v>
      </c>
      <c r="Q19" s="2054">
        <f>'Base inputs'!Q27</f>
        <v>4.0804622116487534E-2</v>
      </c>
      <c r="R19" s="2054">
        <f>'Base inputs'!R27</f>
        <v>4.0804622116487534E-2</v>
      </c>
      <c r="S19" s="2054">
        <f>'Base inputs'!S27</f>
        <v>4.0804622116487534E-2</v>
      </c>
      <c r="T19" s="2054">
        <f>'Base inputs'!T27</f>
        <v>4.0804622116487534E-2</v>
      </c>
      <c r="U19" s="2054">
        <f>'Base inputs'!U27</f>
        <v>4.2389210019267827E-2</v>
      </c>
      <c r="V19" s="2054">
        <f>'Base inputs'!V27</f>
        <v>4.0804622116487534E-2</v>
      </c>
      <c r="W19" s="2054">
        <f>'Base inputs'!W27</f>
        <v>4.2389210019267827E-2</v>
      </c>
      <c r="X19" s="2054">
        <f>'Base inputs'!X27</f>
        <v>8.3072233042594631E-2</v>
      </c>
      <c r="Y19" s="2054">
        <f>'Base inputs'!Y27</f>
        <v>9.6099978452919635E-2</v>
      </c>
      <c r="Z19" s="2054">
        <f>'Base inputs'!Z27</f>
        <v>8.3072233042594631E-2</v>
      </c>
      <c r="AA19" s="2054">
        <f>'Base inputs'!AA27</f>
        <v>9.6099978452919635E-2</v>
      </c>
      <c r="AB19" s="2054">
        <f>'Base inputs'!AB27</f>
        <v>3.119923127654485E-2</v>
      </c>
    </row>
    <row r="20" spans="1:28" x14ac:dyDescent="0.45">
      <c r="A20" s="1440" t="s">
        <v>61</v>
      </c>
      <c r="B20" s="2016"/>
      <c r="C20" s="2054">
        <f>'Base inputs'!C28</f>
        <v>2.0202020202020204E-2</v>
      </c>
      <c r="D20" s="2054">
        <f>'Base inputs'!D28</f>
        <v>0</v>
      </c>
      <c r="E20" s="2054">
        <f>'Base inputs'!E28</f>
        <v>1.9512195121951216E-2</v>
      </c>
      <c r="F20" s="2054">
        <f>'Base inputs'!F28</f>
        <v>0</v>
      </c>
      <c r="G20" s="2054">
        <f>'Base inputs'!G28</f>
        <v>2.0202020202020204E-2</v>
      </c>
      <c r="H20" s="2054">
        <f>'Base inputs'!H28</f>
        <v>0</v>
      </c>
      <c r="I20" s="2054">
        <f>'Base inputs'!I28</f>
        <v>1.9512195121951216E-2</v>
      </c>
      <c r="J20" s="2054">
        <f>'Base inputs'!J28</f>
        <v>0</v>
      </c>
      <c r="K20" s="2054">
        <f>'Base inputs'!K28</f>
        <v>9.2478421701602965E-3</v>
      </c>
      <c r="L20" s="2054">
        <f>'Base inputs'!L28</f>
        <v>4.9833887043189374E-3</v>
      </c>
      <c r="M20" s="2054">
        <f>'Base inputs'!M28</f>
        <v>0</v>
      </c>
      <c r="N20" s="2054">
        <f>'Base inputs'!N28</f>
        <v>0</v>
      </c>
      <c r="O20" s="2054">
        <f>'Base inputs'!O28</f>
        <v>0</v>
      </c>
      <c r="P20" s="2054">
        <f>'Base inputs'!P28</f>
        <v>0</v>
      </c>
      <c r="Q20" s="2054">
        <f>'Base inputs'!Q28</f>
        <v>1.8586176133225711E-2</v>
      </c>
      <c r="R20" s="2054">
        <f>'Base inputs'!R28</f>
        <v>1.8586176133225711E-2</v>
      </c>
      <c r="S20" s="2054">
        <f>'Base inputs'!S28</f>
        <v>1.8586176133225711E-2</v>
      </c>
      <c r="T20" s="2054">
        <f>'Base inputs'!T28</f>
        <v>1.8586176133225711E-2</v>
      </c>
      <c r="U20" s="2054">
        <f>'Base inputs'!U28</f>
        <v>0</v>
      </c>
      <c r="V20" s="2054">
        <f>'Base inputs'!V28</f>
        <v>1.8586176133225711E-2</v>
      </c>
      <c r="W20" s="2054">
        <f>'Base inputs'!W28</f>
        <v>0</v>
      </c>
      <c r="X20" s="2054">
        <f>'Base inputs'!X28</f>
        <v>4.2340587687357103E-3</v>
      </c>
      <c r="Y20" s="2054">
        <f>'Base inputs'!Y28</f>
        <v>2.6933850463262223E-3</v>
      </c>
      <c r="Z20" s="2054">
        <f>'Base inputs'!Z28</f>
        <v>4.2340587687357103E-3</v>
      </c>
      <c r="AA20" s="2054">
        <f>'Base inputs'!AA28</f>
        <v>2.6933850463262223E-3</v>
      </c>
      <c r="AB20" s="2054">
        <f>'Base inputs'!AB28</f>
        <v>9.2985479389658454E-2</v>
      </c>
    </row>
    <row r="21" spans="1:28" x14ac:dyDescent="0.45">
      <c r="A21" s="1440" t="s">
        <v>62</v>
      </c>
      <c r="B21" s="2016"/>
      <c r="C21" s="2054">
        <f>'Base inputs'!C29</f>
        <v>1</v>
      </c>
      <c r="D21" s="2054">
        <f>'Base inputs'!D29</f>
        <v>0.99999999999999978</v>
      </c>
      <c r="E21" s="2054">
        <f>'Base inputs'!E29</f>
        <v>1</v>
      </c>
      <c r="F21" s="2054">
        <f>'Base inputs'!F29</f>
        <v>1</v>
      </c>
      <c r="G21" s="2054">
        <f>'Base inputs'!G29</f>
        <v>1</v>
      </c>
      <c r="H21" s="2054">
        <f>'Base inputs'!H29</f>
        <v>0.99999999999999978</v>
      </c>
      <c r="I21" s="2054">
        <f>'Base inputs'!I29</f>
        <v>1</v>
      </c>
      <c r="J21" s="2054">
        <f>'Base inputs'!J29</f>
        <v>0.99999999999999989</v>
      </c>
      <c r="K21" s="2054">
        <f>'Base inputs'!K29</f>
        <v>1</v>
      </c>
      <c r="L21" s="2054">
        <f>'Base inputs'!L29</f>
        <v>0.99999999999999989</v>
      </c>
      <c r="M21" s="2054">
        <f>'Base inputs'!M29</f>
        <v>1</v>
      </c>
      <c r="N21" s="2054">
        <f>'Base inputs'!N29</f>
        <v>1</v>
      </c>
      <c r="O21" s="2054">
        <f>'Base inputs'!O29</f>
        <v>1</v>
      </c>
      <c r="P21" s="2054">
        <f>'Base inputs'!P29</f>
        <v>1</v>
      </c>
      <c r="Q21" s="2054">
        <f>'Base inputs'!Q29</f>
        <v>1</v>
      </c>
      <c r="R21" s="2054">
        <f>'Base inputs'!R29</f>
        <v>1</v>
      </c>
      <c r="S21" s="2054">
        <f>'Base inputs'!S29</f>
        <v>1</v>
      </c>
      <c r="T21" s="2054">
        <f>'Base inputs'!T29</f>
        <v>1</v>
      </c>
      <c r="U21" s="2054">
        <f>'Base inputs'!U29</f>
        <v>1</v>
      </c>
      <c r="V21" s="2054">
        <f>'Base inputs'!V29</f>
        <v>1</v>
      </c>
      <c r="W21" s="2054">
        <f>'Base inputs'!W29</f>
        <v>1</v>
      </c>
      <c r="X21" s="2054">
        <f>'Base inputs'!X29</f>
        <v>1</v>
      </c>
      <c r="Y21" s="2054">
        <f>'Base inputs'!Y29</f>
        <v>0.99999999999999978</v>
      </c>
      <c r="Z21" s="2054">
        <f>'Base inputs'!Z29</f>
        <v>1</v>
      </c>
      <c r="AA21" s="2054">
        <f>'Base inputs'!AA29</f>
        <v>0.99999999999999978</v>
      </c>
      <c r="AB21" s="2054">
        <f>'Base inputs'!AB29</f>
        <v>0.99280106763056453</v>
      </c>
    </row>
    <row r="22" spans="1:28" x14ac:dyDescent="0.45">
      <c r="A22" s="1439"/>
      <c r="B22" s="1953"/>
      <c r="C22" s="1953"/>
      <c r="D22" s="1955"/>
      <c r="E22" s="1955"/>
      <c r="F22" s="1955"/>
      <c r="G22" s="1953"/>
      <c r="H22" s="1953"/>
      <c r="I22" s="1953"/>
      <c r="J22" s="1953"/>
      <c r="K22" s="1953"/>
      <c r="L22" s="1953"/>
      <c r="M22" s="1953"/>
      <c r="N22" s="1953"/>
      <c r="O22" s="1953"/>
      <c r="P22" s="1953"/>
      <c r="Q22" s="1953"/>
      <c r="R22" s="1953"/>
      <c r="S22" s="1953"/>
      <c r="T22" s="1953"/>
      <c r="U22" s="1953"/>
      <c r="V22" s="1953"/>
      <c r="W22" s="1954"/>
      <c r="X22" s="1953"/>
      <c r="Y22" s="1953"/>
      <c r="Z22" s="1953"/>
      <c r="AA22" s="1953"/>
      <c r="AB22" s="1953"/>
    </row>
    <row r="23" spans="1:28" x14ac:dyDescent="0.45">
      <c r="A23" s="1441" t="s">
        <v>63</v>
      </c>
      <c r="B23" s="1953" t="s">
        <v>26</v>
      </c>
      <c r="C23" s="1953"/>
      <c r="D23" s="1955"/>
      <c r="E23" s="1955"/>
      <c r="F23" s="1955"/>
      <c r="G23" s="1953"/>
      <c r="H23" s="1953"/>
      <c r="I23" s="1953"/>
      <c r="J23" s="1953"/>
      <c r="K23" s="1953"/>
      <c r="L23" s="1953"/>
      <c r="M23" s="1953"/>
      <c r="N23" s="1953"/>
      <c r="O23" s="1953"/>
      <c r="P23" s="1953"/>
      <c r="Q23" s="1953"/>
      <c r="R23" s="1953"/>
      <c r="S23" s="1953"/>
      <c r="T23" s="1953"/>
      <c r="U23" s="1953"/>
      <c r="V23" s="1953"/>
      <c r="W23" s="1954"/>
      <c r="X23" s="1953"/>
      <c r="Y23" s="1953"/>
      <c r="Z23" s="1953"/>
      <c r="AA23" s="1953"/>
      <c r="AB23" s="1953"/>
    </row>
    <row r="24" spans="1:28" x14ac:dyDescent="0.45">
      <c r="A24" s="1442" t="s">
        <v>51</v>
      </c>
      <c r="B24" s="2019"/>
      <c r="C24" s="2036">
        <f>Mat_Inputs!$D$171</f>
        <v>0.26400000000000001</v>
      </c>
      <c r="D24" s="2036">
        <f>Mat_Inputs!$D$171</f>
        <v>0.26400000000000001</v>
      </c>
      <c r="E24" s="2036">
        <f>Mat_Inputs!$D$171</f>
        <v>0.26400000000000001</v>
      </c>
      <c r="F24" s="2036">
        <f>Mat_Inputs!$D$171</f>
        <v>0.26400000000000001</v>
      </c>
      <c r="G24" s="2036">
        <f>Mat_Inputs!$D$171</f>
        <v>0.26400000000000001</v>
      </c>
      <c r="H24" s="2036">
        <f>Mat_Inputs!$D$171</f>
        <v>0.26400000000000001</v>
      </c>
      <c r="I24" s="2036">
        <f>Mat_Inputs!$D$171</f>
        <v>0.26400000000000001</v>
      </c>
      <c r="J24" s="2036">
        <f>Mat_Inputs!$D$171</f>
        <v>0.26400000000000001</v>
      </c>
      <c r="K24" s="2036">
        <f>Mat_Inputs!$D$171</f>
        <v>0.26400000000000001</v>
      </c>
      <c r="L24" s="2036">
        <f>Mat_Inputs!$D$171</f>
        <v>0.26400000000000001</v>
      </c>
      <c r="M24" s="2036">
        <f>Mat_Inputs!$D$171</f>
        <v>0.26400000000000001</v>
      </c>
      <c r="N24" s="2036">
        <f>Mat_Inputs!$D$171</f>
        <v>0.26400000000000001</v>
      </c>
      <c r="O24" s="2036">
        <f>Mat_Inputs!$D$171</f>
        <v>0.26400000000000001</v>
      </c>
      <c r="P24" s="2036">
        <f>Mat_Inputs!$D$171</f>
        <v>0.26400000000000001</v>
      </c>
      <c r="Q24" s="2036">
        <f>Mat_Inputs!$D$171</f>
        <v>0.26400000000000001</v>
      </c>
      <c r="R24" s="2036">
        <f>Mat_Inputs!$D$171</f>
        <v>0.26400000000000001</v>
      </c>
      <c r="S24" s="2036">
        <f>Mat_Inputs!$D$171</f>
        <v>0.26400000000000001</v>
      </c>
      <c r="T24" s="2036">
        <f>Mat_Inputs!$D$171</f>
        <v>0.26400000000000001</v>
      </c>
      <c r="U24" s="2036">
        <f>Mat_Inputs!$D$171</f>
        <v>0.26400000000000001</v>
      </c>
      <c r="V24" s="2036">
        <f>Mat_Inputs!$D$171</f>
        <v>0.26400000000000001</v>
      </c>
      <c r="W24" s="2036">
        <f>Mat_Inputs!$D$171</f>
        <v>0.26400000000000001</v>
      </c>
      <c r="X24" s="2036">
        <f>Mat_Inputs!$D$171</f>
        <v>0.26400000000000001</v>
      </c>
      <c r="Y24" s="2036">
        <f>Mat_Inputs!$D$171</f>
        <v>0.26400000000000001</v>
      </c>
      <c r="Z24" s="2036">
        <f>Mat_Inputs!$D$171</f>
        <v>0.26400000000000001</v>
      </c>
      <c r="AA24" s="2036">
        <f>Mat_Inputs!$D$171</f>
        <v>0.26400000000000001</v>
      </c>
      <c r="AB24" s="2036">
        <f>Mat_Inputs!$D$171</f>
        <v>0.26400000000000001</v>
      </c>
    </row>
    <row r="25" spans="1:28" x14ac:dyDescent="0.45">
      <c r="A25" s="1442" t="s">
        <v>54</v>
      </c>
      <c r="B25" s="2019"/>
      <c r="C25" s="2036">
        <f>Mat_Inputs!$D$172</f>
        <v>0.10999999999999999</v>
      </c>
      <c r="D25" s="2036">
        <f>Mat_Inputs!$D$172</f>
        <v>0.10999999999999999</v>
      </c>
      <c r="E25" s="2036">
        <f>Mat_Inputs!$D$172</f>
        <v>0.10999999999999999</v>
      </c>
      <c r="F25" s="2036">
        <f>Mat_Inputs!$D$172</f>
        <v>0.10999999999999999</v>
      </c>
      <c r="G25" s="2036">
        <f>Mat_Inputs!$D$172</f>
        <v>0.10999999999999999</v>
      </c>
      <c r="H25" s="2036">
        <f>Mat_Inputs!$D$172</f>
        <v>0.10999999999999999</v>
      </c>
      <c r="I25" s="2036">
        <f>Mat_Inputs!$D$172</f>
        <v>0.10999999999999999</v>
      </c>
      <c r="J25" s="2036">
        <f>Mat_Inputs!$D$172</f>
        <v>0.10999999999999999</v>
      </c>
      <c r="K25" s="2036">
        <f>Mat_Inputs!$D$172</f>
        <v>0.10999999999999999</v>
      </c>
      <c r="L25" s="2036">
        <f>Mat_Inputs!$D$172</f>
        <v>0.10999999999999999</v>
      </c>
      <c r="M25" s="2036">
        <f>Mat_Inputs!$D$172</f>
        <v>0.10999999999999999</v>
      </c>
      <c r="N25" s="2036">
        <f>Mat_Inputs!$D$172</f>
        <v>0.10999999999999999</v>
      </c>
      <c r="O25" s="2036">
        <f>Mat_Inputs!$D$172</f>
        <v>0.10999999999999999</v>
      </c>
      <c r="P25" s="2036">
        <f>Mat_Inputs!$D$172</f>
        <v>0.10999999999999999</v>
      </c>
      <c r="Q25" s="2036">
        <f>Mat_Inputs!$D$172</f>
        <v>0.10999999999999999</v>
      </c>
      <c r="R25" s="2036">
        <f>Mat_Inputs!$D$172</f>
        <v>0.10999999999999999</v>
      </c>
      <c r="S25" s="2036">
        <f>Mat_Inputs!$D$172</f>
        <v>0.10999999999999999</v>
      </c>
      <c r="T25" s="2036">
        <f>Mat_Inputs!$D$172</f>
        <v>0.10999999999999999</v>
      </c>
      <c r="U25" s="2036">
        <f>Mat_Inputs!$D$172</f>
        <v>0.10999999999999999</v>
      </c>
      <c r="V25" s="2036">
        <f>Mat_Inputs!$D$172</f>
        <v>0.10999999999999999</v>
      </c>
      <c r="W25" s="2036">
        <f>Mat_Inputs!$D$172</f>
        <v>0.10999999999999999</v>
      </c>
      <c r="X25" s="2036">
        <f>Mat_Inputs!$D$172</f>
        <v>0.10999999999999999</v>
      </c>
      <c r="Y25" s="2036">
        <f>Mat_Inputs!$D$172</f>
        <v>0.10999999999999999</v>
      </c>
      <c r="Z25" s="2036">
        <f>Mat_Inputs!$D$172</f>
        <v>0.10999999999999999</v>
      </c>
      <c r="AA25" s="2036">
        <f>Mat_Inputs!$D$172</f>
        <v>0.10999999999999999</v>
      </c>
      <c r="AB25" s="2036">
        <f>Mat_Inputs!$D$172</f>
        <v>0.10999999999999999</v>
      </c>
    </row>
    <row r="26" spans="1:28" x14ac:dyDescent="0.45">
      <c r="A26" s="1442" t="s">
        <v>55</v>
      </c>
      <c r="B26" s="2019"/>
      <c r="C26" s="2036">
        <f>Mat_Inputs!$D$173</f>
        <v>0.85</v>
      </c>
      <c r="D26" s="2036">
        <f>Mat_Inputs!$D$173</f>
        <v>0.85</v>
      </c>
      <c r="E26" s="2036">
        <f>Mat_Inputs!$D$173</f>
        <v>0.85</v>
      </c>
      <c r="F26" s="2036">
        <f>Mat_Inputs!$D$173</f>
        <v>0.85</v>
      </c>
      <c r="G26" s="2036">
        <f>Mat_Inputs!$D$173</f>
        <v>0.85</v>
      </c>
      <c r="H26" s="2036">
        <f>Mat_Inputs!$D$173</f>
        <v>0.85</v>
      </c>
      <c r="I26" s="2036">
        <f>Mat_Inputs!$D$173</f>
        <v>0.85</v>
      </c>
      <c r="J26" s="2036">
        <f>Mat_Inputs!$D$173</f>
        <v>0.85</v>
      </c>
      <c r="K26" s="2036">
        <f>Mat_Inputs!$D$173</f>
        <v>0.85</v>
      </c>
      <c r="L26" s="2036">
        <f>Mat_Inputs!$D$173</f>
        <v>0.85</v>
      </c>
      <c r="M26" s="2036">
        <f>Mat_Inputs!$D$173</f>
        <v>0.85</v>
      </c>
      <c r="N26" s="2036">
        <f>Mat_Inputs!$D$173</f>
        <v>0.85</v>
      </c>
      <c r="O26" s="2036">
        <f>Mat_Inputs!$D$173</f>
        <v>0.85</v>
      </c>
      <c r="P26" s="2036">
        <f>Mat_Inputs!$D$173</f>
        <v>0.85</v>
      </c>
      <c r="Q26" s="2036">
        <f>Mat_Inputs!$D$173</f>
        <v>0.85</v>
      </c>
      <c r="R26" s="2036">
        <f>Mat_Inputs!$D$173</f>
        <v>0.85</v>
      </c>
      <c r="S26" s="2036">
        <f>Mat_Inputs!$D$173</f>
        <v>0.85</v>
      </c>
      <c r="T26" s="2036">
        <f>Mat_Inputs!$D$173</f>
        <v>0.85</v>
      </c>
      <c r="U26" s="2036">
        <f>Mat_Inputs!$D$173</f>
        <v>0.85</v>
      </c>
      <c r="V26" s="2036">
        <f>Mat_Inputs!$D$173</f>
        <v>0.85</v>
      </c>
      <c r="W26" s="2036">
        <f>Mat_Inputs!$D$173</f>
        <v>0.85</v>
      </c>
      <c r="X26" s="2036">
        <f>Mat_Inputs!$D$173</f>
        <v>0.85</v>
      </c>
      <c r="Y26" s="2036">
        <f>Mat_Inputs!$D$173</f>
        <v>0.85</v>
      </c>
      <c r="Z26" s="2036">
        <f>Mat_Inputs!$D$173</f>
        <v>0.85</v>
      </c>
      <c r="AA26" s="2036">
        <f>Mat_Inputs!$D$173</f>
        <v>0.85</v>
      </c>
      <c r="AB26" s="2036">
        <f>Mat_Inputs!$D$173</f>
        <v>0.85</v>
      </c>
    </row>
    <row r="27" spans="1:28" x14ac:dyDescent="0.45">
      <c r="A27" s="1439"/>
      <c r="B27" s="1953"/>
      <c r="C27" s="2055"/>
      <c r="D27" s="1955"/>
      <c r="E27" s="1955"/>
      <c r="F27" s="1955"/>
      <c r="G27" s="1953"/>
      <c r="H27" s="1953"/>
      <c r="I27" s="1953"/>
      <c r="J27" s="1953"/>
      <c r="K27" s="1953"/>
      <c r="L27" s="1953"/>
      <c r="M27" s="1953"/>
      <c r="N27" s="1953"/>
      <c r="O27" s="1953"/>
      <c r="P27" s="1953"/>
      <c r="Q27" s="1953"/>
      <c r="R27" s="1953"/>
      <c r="S27" s="1953"/>
      <c r="T27" s="1953"/>
      <c r="U27" s="1953"/>
      <c r="V27" s="1953"/>
      <c r="W27" s="1954"/>
      <c r="X27" s="1953"/>
      <c r="Y27" s="1953"/>
      <c r="Z27" s="1953"/>
      <c r="AA27" s="1953"/>
      <c r="AB27" s="1953"/>
    </row>
    <row r="28" spans="1:28" x14ac:dyDescent="0.45">
      <c r="A28" s="1443" t="s">
        <v>31</v>
      </c>
      <c r="B28" s="1947"/>
      <c r="C28" s="1952"/>
      <c r="D28" s="1952" t="str">
        <f>'Base inputs'!D35</f>
        <v>NMC111</v>
      </c>
      <c r="E28" s="1952"/>
      <c r="F28" s="1952" t="str">
        <f>'Base inputs'!F35</f>
        <v>NMC111</v>
      </c>
      <c r="G28" s="1952"/>
      <c r="H28" s="1952" t="str">
        <f>'Base inputs'!H35</f>
        <v>NMC111</v>
      </c>
      <c r="I28" s="1952"/>
      <c r="J28" s="1952" t="str">
        <f>'Base inputs'!J35</f>
        <v>NMC111</v>
      </c>
      <c r="K28" s="1952"/>
      <c r="L28" s="1952" t="str">
        <f>'Base inputs'!L35</f>
        <v>NMC111</v>
      </c>
      <c r="M28" s="1952"/>
      <c r="N28" s="1952"/>
      <c r="O28" s="1952"/>
      <c r="P28" s="1952"/>
      <c r="Q28" s="1952" t="str">
        <f>'Base inputs'!Q35</f>
        <v>LFP: solid state</v>
      </c>
      <c r="R28" s="1952" t="str">
        <f>'Base inputs'!R35</f>
        <v>LFP: solid state</v>
      </c>
      <c r="S28" s="1952" t="str">
        <f>'Base inputs'!S35</f>
        <v>LFP: solid state</v>
      </c>
      <c r="T28" s="1952" t="str">
        <f>'Base inputs'!T35</f>
        <v>LFP: solid state</v>
      </c>
      <c r="U28" s="1952"/>
      <c r="V28" s="1952" t="str">
        <f>'Base inputs'!V35</f>
        <v>LFP: solid state</v>
      </c>
      <c r="W28" s="1952" t="str">
        <f>'Base inputs'!W35</f>
        <v>LFP: solid state</v>
      </c>
      <c r="X28" s="1952"/>
      <c r="Y28" s="1952" t="str">
        <f>'Base inputs'!Y35</f>
        <v>NMC111</v>
      </c>
      <c r="Z28" s="1952"/>
      <c r="AA28" s="1952" t="str">
        <f>'Base inputs'!AA35</f>
        <v>NMC111</v>
      </c>
      <c r="AB28" s="1952"/>
    </row>
    <row r="29" spans="1:28" x14ac:dyDescent="0.45">
      <c r="A29" s="1439"/>
      <c r="B29" s="1953"/>
      <c r="C29" s="1953"/>
      <c r="D29" s="1955"/>
      <c r="E29" s="1955"/>
      <c r="F29" s="1955"/>
      <c r="G29" s="1953"/>
      <c r="H29" s="1953"/>
      <c r="I29" s="1953"/>
      <c r="J29" s="1953"/>
      <c r="K29" s="1953"/>
      <c r="L29" s="1953"/>
      <c r="M29" s="1953"/>
      <c r="N29" s="1953"/>
      <c r="O29" s="1953"/>
      <c r="P29" s="1953"/>
      <c r="Q29" s="1953"/>
      <c r="R29" s="1953"/>
      <c r="S29" s="1953"/>
      <c r="T29" s="1953"/>
      <c r="U29" s="1953"/>
      <c r="V29" s="1953"/>
      <c r="W29" s="1954"/>
      <c r="X29" s="1953"/>
      <c r="Y29" s="1953"/>
      <c r="Z29" s="1953"/>
      <c r="AA29" s="1953"/>
      <c r="AB29" s="1953"/>
    </row>
    <row r="30" spans="1:28" x14ac:dyDescent="0.45">
      <c r="A30" s="1441" t="s">
        <v>64</v>
      </c>
      <c r="B30" s="1953" t="s">
        <v>97</v>
      </c>
      <c r="C30" s="1953"/>
      <c r="D30" s="1955"/>
      <c r="E30" s="1955"/>
      <c r="F30" s="1955"/>
      <c r="G30" s="1953"/>
      <c r="H30" s="1953"/>
      <c r="I30" s="1953"/>
      <c r="J30" s="1953"/>
      <c r="K30" s="1953"/>
      <c r="L30" s="1953"/>
      <c r="M30" s="1953"/>
      <c r="N30" s="1953"/>
      <c r="O30" s="1953"/>
      <c r="P30" s="1953"/>
      <c r="Q30" s="1953"/>
      <c r="R30" s="1953"/>
      <c r="S30" s="1953"/>
      <c r="T30" s="1953"/>
      <c r="U30" s="1953"/>
      <c r="V30" s="1953"/>
      <c r="W30" s="1954"/>
      <c r="X30" s="1953"/>
      <c r="Y30" s="1953"/>
      <c r="Z30" s="1953"/>
      <c r="AA30" s="1953"/>
      <c r="AB30" s="1953"/>
    </row>
    <row r="31" spans="1:28" x14ac:dyDescent="0.45">
      <c r="A31" s="1442" t="s">
        <v>65</v>
      </c>
      <c r="B31" s="2019"/>
      <c r="C31" s="2019"/>
      <c r="D31" s="2056">
        <f>HLOOKUP(D$28,MFG_inputs!$C$5:$K$6,ROW(MFG_inputs!$B$6)-ROW(MFG_inputs!$B$5)+1,FALSE)</f>
        <v>0.14262303541417382</v>
      </c>
      <c r="E31" s="2056"/>
      <c r="F31" s="2056">
        <f>HLOOKUP(F$28,MFG_inputs!$C$5:$K$6,ROW(MFG_inputs!$B$6)-ROW(MFG_inputs!$B$5)+1,FALSE)</f>
        <v>0.14262303541417382</v>
      </c>
      <c r="G31" s="2056"/>
      <c r="H31" s="2056">
        <f>HLOOKUP(H$28,MFG_inputs!$C$5:$K$6,ROW(MFG_inputs!$B$6)-ROW(MFG_inputs!$B$5)+1,FALSE)</f>
        <v>0.14262303541417382</v>
      </c>
      <c r="I31" s="2056"/>
      <c r="J31" s="2056">
        <f>HLOOKUP(J$28,MFG_inputs!$C$5:$K$6,ROW(MFG_inputs!$B$6)-ROW(MFG_inputs!$B$5)+1,FALSE)</f>
        <v>0.14262303541417382</v>
      </c>
      <c r="K31" s="2056"/>
      <c r="L31" s="2056">
        <f>HLOOKUP(L$28,MFG_inputs!$C$5:$K$6,ROW(MFG_inputs!$B$6)-ROW(MFG_inputs!$B$5)+1,FALSE)</f>
        <v>0.14262303541417382</v>
      </c>
      <c r="M31" s="2056"/>
      <c r="N31" s="2056"/>
      <c r="O31" s="2056"/>
      <c r="P31" s="2056"/>
      <c r="Q31" s="2056">
        <f>HLOOKUP(Q$28,MFG_inputs!$C$5:$K$6,ROW(MFG_inputs!$B$6)-ROW(MFG_inputs!$B$5)+1,FALSE)</f>
        <v>0.11591337982671381</v>
      </c>
      <c r="R31" s="2056">
        <f>HLOOKUP(R$28,MFG_inputs!$C$5:$K$6,ROW(MFG_inputs!$B$6)-ROW(MFG_inputs!$B$5)+1,FALSE)</f>
        <v>0.11591337982671381</v>
      </c>
      <c r="S31" s="2056">
        <f>HLOOKUP(S$28,MFG_inputs!$C$5:$K$6,ROW(MFG_inputs!$B$6)-ROW(MFG_inputs!$B$5)+1,FALSE)</f>
        <v>0.11591337982671381</v>
      </c>
      <c r="T31" s="2056">
        <f>HLOOKUP(T$28,MFG_inputs!$C$5:$K$6,ROW(MFG_inputs!$B$6)-ROW(MFG_inputs!$B$5)+1,FALSE)</f>
        <v>0.11591337982671381</v>
      </c>
      <c r="U31" s="2056"/>
      <c r="V31" s="2056">
        <f>HLOOKUP(V$28,MFG_inputs!$C$5:$K$6,ROW(MFG_inputs!$B$6)-ROW(MFG_inputs!$B$5)+1,FALSE)</f>
        <v>0.11591337982671381</v>
      </c>
      <c r="W31" s="2056">
        <f>HLOOKUP(W$28,MFG_inputs!$C$5:$K$6,ROW(MFG_inputs!$B$6)-ROW(MFG_inputs!$B$5)+1,FALSE)</f>
        <v>0.11591337982671381</v>
      </c>
      <c r="X31" s="2056"/>
      <c r="Y31" s="2056">
        <f>HLOOKUP(Y$28,MFG_inputs!$C$5:$K$6,ROW(MFG_inputs!$B$6)-ROW(MFG_inputs!$B$5)+1,FALSE)</f>
        <v>0.14262303541417382</v>
      </c>
      <c r="Z31" s="2056"/>
      <c r="AA31" s="2056">
        <f>HLOOKUP(AA$28,MFG_inputs!$C$5:$K$6,ROW(MFG_inputs!$B$6)-ROW(MFG_inputs!$B$5)+1,FALSE)</f>
        <v>0.14262303541417382</v>
      </c>
      <c r="AB31" s="2056"/>
    </row>
    <row r="32" spans="1:28" x14ac:dyDescent="0.45">
      <c r="A32" s="1439"/>
      <c r="B32" s="1953"/>
      <c r="C32" s="1953"/>
      <c r="D32" s="2057"/>
      <c r="E32" s="2057"/>
      <c r="F32" s="2057"/>
      <c r="G32" s="1953"/>
      <c r="H32" s="1953"/>
      <c r="I32" s="1953"/>
      <c r="J32" s="1953"/>
      <c r="K32" s="1953"/>
      <c r="L32" s="1953"/>
      <c r="M32" s="1953"/>
      <c r="N32" s="1953"/>
      <c r="O32" s="1953"/>
      <c r="P32" s="1953"/>
      <c r="Q32" s="1953"/>
      <c r="R32" s="1953"/>
      <c r="S32" s="1953"/>
      <c r="T32" s="1953"/>
      <c r="U32" s="1953"/>
      <c r="V32" s="1953"/>
      <c r="W32" s="1954"/>
      <c r="X32" s="1953"/>
      <c r="Y32" s="1953"/>
      <c r="Z32" s="1953"/>
      <c r="AA32" s="1953"/>
      <c r="AB32" s="1953"/>
    </row>
    <row r="33" spans="1:28" x14ac:dyDescent="0.45">
      <c r="A33" s="1440" t="s">
        <v>66</v>
      </c>
      <c r="B33" s="2016" t="s">
        <v>9</v>
      </c>
      <c r="C33" s="2016"/>
      <c r="D33" s="2031">
        <f>D6/D31</f>
        <v>25.942513348249044</v>
      </c>
      <c r="E33" s="2016"/>
      <c r="F33" s="2031">
        <f>F6/F31</f>
        <v>28.04596037648545</v>
      </c>
      <c r="G33" s="2016"/>
      <c r="H33" s="2031">
        <f>H6/H31</f>
        <v>25.942513348249044</v>
      </c>
      <c r="I33" s="2016"/>
      <c r="J33" s="2031">
        <f>J6/J31</f>
        <v>25.942513348249044</v>
      </c>
      <c r="K33" s="2016"/>
      <c r="L33" s="2031">
        <f>L6/L31</f>
        <v>70.114900941213619</v>
      </c>
      <c r="M33" s="2016"/>
      <c r="N33" s="2016"/>
      <c r="O33" s="2016"/>
      <c r="P33" s="2016"/>
      <c r="Q33" s="2031">
        <f>Q6/Q31</f>
        <v>1552.8837160049454</v>
      </c>
      <c r="R33" s="2031">
        <f>R6/R31</f>
        <v>2795.1906888089015</v>
      </c>
      <c r="S33" s="2031">
        <f>S6/S31</f>
        <v>1552.8837160049454</v>
      </c>
      <c r="T33" s="2031">
        <f>T6/T31</f>
        <v>2795.1906888089015</v>
      </c>
      <c r="U33" s="2031"/>
      <c r="V33" s="2031">
        <f>V6/V31</f>
        <v>3148.9030907878059</v>
      </c>
      <c r="W33" s="2031">
        <f>W6/W31</f>
        <v>207.0511621339927</v>
      </c>
      <c r="X33" s="2016"/>
      <c r="Y33" s="2031">
        <f>Y6/Y31</f>
        <v>280.45960376485448</v>
      </c>
      <c r="Z33" s="2031"/>
      <c r="AA33" s="2031">
        <f>AA6/AA31</f>
        <v>350.57450470606813</v>
      </c>
      <c r="AB33" s="2016"/>
    </row>
    <row r="34" spans="1:28" x14ac:dyDescent="0.45">
      <c r="A34" s="1439"/>
      <c r="B34" s="1953"/>
      <c r="C34" s="1953"/>
      <c r="D34" s="1955"/>
      <c r="E34" s="1955"/>
      <c r="F34" s="1955"/>
      <c r="G34" s="1953"/>
      <c r="H34" s="1953"/>
      <c r="I34" s="1953"/>
      <c r="J34" s="1953"/>
      <c r="K34" s="1953"/>
      <c r="L34" s="1953"/>
      <c r="M34" s="1953"/>
      <c r="N34" s="1953"/>
      <c r="O34" s="1953"/>
      <c r="P34" s="1953"/>
      <c r="Q34" s="1953"/>
      <c r="R34" s="1953"/>
      <c r="S34" s="1953"/>
      <c r="T34" s="1953"/>
      <c r="U34" s="1953"/>
      <c r="V34" s="1953"/>
      <c r="W34" s="1954"/>
      <c r="X34" s="1953"/>
      <c r="Y34" s="1953"/>
      <c r="Z34" s="1953"/>
      <c r="AA34" s="1953"/>
      <c r="AB34" s="1953"/>
    </row>
    <row r="35" spans="1:28" ht="28.5" x14ac:dyDescent="0.45">
      <c r="A35" s="1441" t="s">
        <v>16</v>
      </c>
      <c r="B35" s="1953" t="s">
        <v>17</v>
      </c>
      <c r="C35" s="1953"/>
      <c r="D35" s="1955"/>
      <c r="E35" s="1955"/>
      <c r="F35" s="1955"/>
      <c r="G35" s="1953"/>
      <c r="H35" s="1953"/>
      <c r="I35" s="1953"/>
      <c r="J35" s="1953"/>
      <c r="K35" s="1953"/>
      <c r="L35" s="1953"/>
      <c r="M35" s="1953"/>
      <c r="N35" s="1953"/>
      <c r="O35" s="1953"/>
      <c r="P35" s="1953"/>
      <c r="Q35" s="1953"/>
      <c r="R35" s="1953"/>
      <c r="S35" s="1953"/>
      <c r="T35" s="1953"/>
      <c r="U35" s="1953"/>
      <c r="V35" s="1953"/>
      <c r="W35" s="1954"/>
      <c r="X35" s="1953"/>
      <c r="Y35" s="1953"/>
      <c r="Z35" s="1953"/>
      <c r="AA35" s="1953"/>
      <c r="AB35" s="1953"/>
    </row>
    <row r="36" spans="1:28" x14ac:dyDescent="0.45">
      <c r="A36" s="1440" t="s">
        <v>18</v>
      </c>
      <c r="B36" s="2016"/>
      <c r="C36" s="2058"/>
      <c r="D36" s="2058">
        <f>'Base inputs'!D33</f>
        <v>1</v>
      </c>
      <c r="E36" s="2058"/>
      <c r="F36" s="2058">
        <f>'Base inputs'!F33</f>
        <v>1</v>
      </c>
      <c r="G36" s="2058"/>
      <c r="H36" s="2058">
        <f>'Base inputs'!H33</f>
        <v>1</v>
      </c>
      <c r="I36" s="2058"/>
      <c r="J36" s="2058">
        <f>'Base inputs'!J33</f>
        <v>1</v>
      </c>
      <c r="K36" s="2058"/>
      <c r="L36" s="2058">
        <f>'Base inputs'!L33</f>
        <v>1</v>
      </c>
      <c r="M36" s="2058"/>
      <c r="N36" s="2058"/>
      <c r="O36" s="2058"/>
      <c r="P36" s="2058"/>
      <c r="Q36" s="2058">
        <f>'Base inputs'!Q33</f>
        <v>1</v>
      </c>
      <c r="R36" s="2058">
        <f>'Base inputs'!R33</f>
        <v>1</v>
      </c>
      <c r="S36" s="2058">
        <f>'Base inputs'!S33</f>
        <v>1</v>
      </c>
      <c r="T36" s="2058">
        <f>'Base inputs'!T33</f>
        <v>1</v>
      </c>
      <c r="U36" s="2058"/>
      <c r="V36" s="2058">
        <f>'Base inputs'!V33</f>
        <v>2</v>
      </c>
      <c r="W36" s="2058">
        <f>'Base inputs'!W33</f>
        <v>2</v>
      </c>
      <c r="X36" s="2058"/>
      <c r="Y36" s="2058">
        <f>'Base inputs'!Y33</f>
        <v>1</v>
      </c>
      <c r="Z36" s="2058"/>
      <c r="AA36" s="2058">
        <f>'Base inputs'!AA33</f>
        <v>1</v>
      </c>
      <c r="AB36" s="2058"/>
    </row>
    <row r="37" spans="1:28" x14ac:dyDescent="0.45">
      <c r="A37" s="1439"/>
      <c r="B37" s="1953"/>
      <c r="C37" s="1953"/>
      <c r="D37" s="1955"/>
      <c r="E37" s="1955"/>
      <c r="F37" s="1955"/>
      <c r="G37" s="1953"/>
      <c r="H37" s="1953"/>
      <c r="I37" s="1953"/>
      <c r="J37" s="1953"/>
      <c r="K37" s="1953"/>
      <c r="L37" s="1953"/>
      <c r="M37" s="1953"/>
      <c r="N37" s="1953"/>
      <c r="O37" s="1953"/>
      <c r="P37" s="1953"/>
      <c r="Q37" s="1953"/>
      <c r="R37" s="1953"/>
      <c r="S37" s="1953"/>
      <c r="T37" s="1953"/>
      <c r="U37" s="1953"/>
      <c r="V37" s="1953"/>
      <c r="W37" s="1954"/>
      <c r="X37" s="1953"/>
      <c r="Y37" s="1953"/>
      <c r="Z37" s="1953"/>
      <c r="AA37" s="1953"/>
      <c r="AB37" s="1953"/>
    </row>
    <row r="38" spans="1:28" ht="28.5" x14ac:dyDescent="0.45">
      <c r="A38" s="1441" t="s">
        <v>67</v>
      </c>
      <c r="B38" s="1953" t="s">
        <v>98</v>
      </c>
      <c r="C38" s="1953"/>
      <c r="D38" s="1955"/>
      <c r="E38" s="1955"/>
      <c r="F38" s="1955"/>
      <c r="G38" s="1953"/>
      <c r="H38" s="1953"/>
      <c r="I38" s="1953"/>
      <c r="J38" s="1953"/>
      <c r="K38" s="1953"/>
      <c r="L38" s="1953"/>
      <c r="M38" s="1953"/>
      <c r="N38" s="1953"/>
      <c r="O38" s="1953"/>
      <c r="P38" s="1953"/>
      <c r="Q38" s="1953"/>
      <c r="R38" s="1953"/>
      <c r="S38" s="1953"/>
      <c r="T38" s="1953"/>
      <c r="U38" s="1953"/>
      <c r="V38" s="1953"/>
      <c r="W38" s="1954"/>
      <c r="X38" s="1953"/>
      <c r="Y38" s="1953"/>
      <c r="Z38" s="1953"/>
      <c r="AA38" s="1953"/>
      <c r="AB38" s="1953"/>
    </row>
    <row r="39" spans="1:28" ht="57" x14ac:dyDescent="0.45">
      <c r="A39" s="1443" t="s">
        <v>49</v>
      </c>
      <c r="B39" s="1947"/>
      <c r="C39" s="1947" t="str">
        <f t="shared" ref="C39:AB39" si="0">C7</f>
        <v>With Al smelting mostly from coal</v>
      </c>
      <c r="D39" s="1947" t="str">
        <f t="shared" si="0"/>
        <v>With Al smelting mostly from coal</v>
      </c>
      <c r="E39" s="1947" t="str">
        <f t="shared" si="0"/>
        <v>With Al smelting mostly from coal</v>
      </c>
      <c r="F39" s="1947" t="str">
        <f t="shared" si="0"/>
        <v>With Al smelting mostly from coal</v>
      </c>
      <c r="G39" s="1947" t="str">
        <f t="shared" si="0"/>
        <v>With Al smelting mostly from coal</v>
      </c>
      <c r="H39" s="1947" t="str">
        <f t="shared" si="0"/>
        <v>With Al smelting mostly from coal</v>
      </c>
      <c r="I39" s="1947" t="str">
        <f t="shared" si="0"/>
        <v>With Al smelting mostly from coal</v>
      </c>
      <c r="J39" s="1947" t="str">
        <f t="shared" si="0"/>
        <v>With Al smelting mostly from coal</v>
      </c>
      <c r="K39" s="1947" t="str">
        <f t="shared" si="0"/>
        <v>With Al smelting mostly from coal</v>
      </c>
      <c r="L39" s="1947" t="str">
        <f t="shared" si="0"/>
        <v>With Al smelting mostly from coal</v>
      </c>
      <c r="M39" s="1947" t="str">
        <f t="shared" si="0"/>
        <v>With Al smelting mostly from coal</v>
      </c>
      <c r="N39" s="1947" t="str">
        <f t="shared" si="0"/>
        <v>With Al smelting mostly from coal</v>
      </c>
      <c r="O39" s="1947" t="str">
        <f t="shared" si="0"/>
        <v>With Al smelting mostly from coal</v>
      </c>
      <c r="P39" s="1947" t="str">
        <f t="shared" si="0"/>
        <v>With Al smelting mostly from coal</v>
      </c>
      <c r="Q39" s="1947" t="str">
        <f t="shared" si="0"/>
        <v>With Al smelting mostly from coal</v>
      </c>
      <c r="R39" s="1947" t="str">
        <f t="shared" si="0"/>
        <v>With Al smelting mostly from coal</v>
      </c>
      <c r="S39" s="1947" t="str">
        <f t="shared" si="0"/>
        <v>With Al smelting mostly from coal</v>
      </c>
      <c r="T39" s="1947" t="str">
        <f t="shared" si="0"/>
        <v>With Al smelting mostly from coal</v>
      </c>
      <c r="U39" s="1947" t="str">
        <f t="shared" si="0"/>
        <v>With Al smelting mostly from coal</v>
      </c>
      <c r="V39" s="1947" t="str">
        <f t="shared" si="0"/>
        <v>With Al smelting mostly from coal</v>
      </c>
      <c r="W39" s="1947" t="str">
        <f>W7</f>
        <v>With Al smelting mostly from coal</v>
      </c>
      <c r="X39" s="1947" t="str">
        <f t="shared" si="0"/>
        <v>With Al smelting mostly from coal</v>
      </c>
      <c r="Y39" s="1947" t="str">
        <f t="shared" si="0"/>
        <v>With Al smelting mostly from coal</v>
      </c>
      <c r="Z39" s="1947" t="str">
        <f t="shared" si="0"/>
        <v>With Al smelting mostly from coal</v>
      </c>
      <c r="AA39" s="1947" t="str">
        <f t="shared" si="0"/>
        <v>With Al smelting mostly from coal</v>
      </c>
      <c r="AB39" s="1947" t="str">
        <f t="shared" si="0"/>
        <v>With Al smelting mostly from coal</v>
      </c>
    </row>
    <row r="40" spans="1:28" x14ac:dyDescent="0.45">
      <c r="A40" s="1442" t="s">
        <v>68</v>
      </c>
      <c r="B40" s="2019"/>
      <c r="C40" s="2036">
        <f>HLOOKUP(C$39,MFG_inputs!$C$9:$D$23,ROW(MFG_inputs!$B10)-ROW(MFG_inputs!$B$9)+1,FALSE)</f>
        <v>31.324956664096621</v>
      </c>
      <c r="D40" s="2036">
        <f>HLOOKUP(D$39,MFG_inputs!$C$9:$D$23,ROW(MFG_inputs!$B10)-ROW(MFG_inputs!$B$9)+1,FALSE)</f>
        <v>31.324956664096621</v>
      </c>
      <c r="E40" s="2036">
        <f>HLOOKUP(E$39,MFG_inputs!$C$9:$D$23,ROW(MFG_inputs!$B10)-ROW(MFG_inputs!$B$9)+1,FALSE)</f>
        <v>31.324956664096621</v>
      </c>
      <c r="F40" s="2036">
        <f>HLOOKUP(F$39,MFG_inputs!$C$9:$D$23,ROW(MFG_inputs!$B10)-ROW(MFG_inputs!$B$9)+1,FALSE)</f>
        <v>31.324956664096621</v>
      </c>
      <c r="G40" s="2036">
        <f>HLOOKUP(G$39,MFG_inputs!$C$9:$D$23,ROW(MFG_inputs!$B10)-ROW(MFG_inputs!$B$9)+1,FALSE)</f>
        <v>31.324956664096621</v>
      </c>
      <c r="H40" s="2036">
        <f>HLOOKUP(H$39,MFG_inputs!$C$9:$D$23,ROW(MFG_inputs!$B10)-ROW(MFG_inputs!$B$9)+1,FALSE)</f>
        <v>31.324956664096621</v>
      </c>
      <c r="I40" s="2036">
        <f>HLOOKUP(I$39,MFG_inputs!$C$9:$D$23,ROW(MFG_inputs!$B10)-ROW(MFG_inputs!$B$9)+1,FALSE)</f>
        <v>31.324956664096621</v>
      </c>
      <c r="J40" s="2036">
        <f>HLOOKUP(J$39,MFG_inputs!$C$9:$D$23,ROW(MFG_inputs!$B10)-ROW(MFG_inputs!$B$9)+1,FALSE)</f>
        <v>31.324956664096621</v>
      </c>
      <c r="K40" s="2036">
        <f>HLOOKUP(K$39,MFG_inputs!$C$9:$D$23,ROW(MFG_inputs!$B10)-ROW(MFG_inputs!$B$9)+1,FALSE)</f>
        <v>31.324956664096621</v>
      </c>
      <c r="L40" s="2036">
        <f>HLOOKUP(L$39,MFG_inputs!$C$9:$D$23,ROW(MFG_inputs!$B10)-ROW(MFG_inputs!$B$9)+1,FALSE)</f>
        <v>31.324956664096621</v>
      </c>
      <c r="M40" s="2036">
        <f>HLOOKUP(M$39,MFG_inputs!$C$9:$D$23,ROW(MFG_inputs!$B10)-ROW(MFG_inputs!$B$9)+1,FALSE)</f>
        <v>31.324956664096621</v>
      </c>
      <c r="N40" s="2036">
        <f>HLOOKUP(N$39,MFG_inputs!$C$9:$D$23,ROW(MFG_inputs!$B10)-ROW(MFG_inputs!$B$9)+1,FALSE)</f>
        <v>31.324956664096621</v>
      </c>
      <c r="O40" s="2036">
        <f>HLOOKUP(O$39,MFG_inputs!$C$9:$D$23,ROW(MFG_inputs!$B10)-ROW(MFG_inputs!$B$9)+1,FALSE)</f>
        <v>31.324956664096621</v>
      </c>
      <c r="P40" s="2036">
        <f>HLOOKUP(P$39,MFG_inputs!$C$9:$D$23,ROW(MFG_inputs!$B10)-ROW(MFG_inputs!$B$9)+1,FALSE)</f>
        <v>31.324956664096621</v>
      </c>
      <c r="Q40" s="2036">
        <f>HLOOKUP(Q$39,MFG_inputs!$C$9:$D$23,ROW(MFG_inputs!$B10)-ROW(MFG_inputs!$B$9)+1,FALSE)</f>
        <v>31.324956664096621</v>
      </c>
      <c r="R40" s="2036">
        <f>HLOOKUP(R$39,MFG_inputs!$C$9:$D$23,ROW(MFG_inputs!$B10)-ROW(MFG_inputs!$B$9)+1,FALSE)</f>
        <v>31.324956664096621</v>
      </c>
      <c r="S40" s="2036">
        <f>HLOOKUP(S$39,MFG_inputs!$C$9:$D$23,ROW(MFG_inputs!$B10)-ROW(MFG_inputs!$B$9)+1,FALSE)</f>
        <v>31.324956664096621</v>
      </c>
      <c r="T40" s="2036">
        <f>HLOOKUP(T$39,MFG_inputs!$C$9:$D$23,ROW(MFG_inputs!$B10)-ROW(MFG_inputs!$B$9)+1,FALSE)</f>
        <v>31.324956664096621</v>
      </c>
      <c r="U40" s="2036">
        <f>HLOOKUP(U$39,MFG_inputs!$C$9:$D$23,ROW(MFG_inputs!$B10)-ROW(MFG_inputs!$B$9)+1,FALSE)</f>
        <v>31.324956664096621</v>
      </c>
      <c r="V40" s="2036">
        <f>HLOOKUP(V$39,MFG_inputs!$C$9:$D$23,ROW(MFG_inputs!$B10)-ROW(MFG_inputs!$B$9)+1,FALSE)</f>
        <v>31.324956664096621</v>
      </c>
      <c r="W40" s="2036">
        <f>HLOOKUP(W$39,MFG_inputs!$C$9:$D$23,ROW(MFG_inputs!$B10)-ROW(MFG_inputs!$B$9)+1,FALSE)</f>
        <v>31.324956664096621</v>
      </c>
      <c r="X40" s="2036">
        <f>HLOOKUP(X$39,MFG_inputs!$C$9:$D$23,ROW(MFG_inputs!$B10)-ROW(MFG_inputs!$B$9)+1,FALSE)</f>
        <v>31.324956664096621</v>
      </c>
      <c r="Y40" s="2036">
        <f>HLOOKUP(Y$39,MFG_inputs!$C$9:$D$23,ROW(MFG_inputs!$B10)-ROW(MFG_inputs!$B$9)+1,FALSE)</f>
        <v>31.324956664096621</v>
      </c>
      <c r="Z40" s="2036">
        <f>HLOOKUP(Z$39,MFG_inputs!$C$9:$D$23,ROW(MFG_inputs!$B10)-ROW(MFG_inputs!$B$9)+1,FALSE)</f>
        <v>31.324956664096621</v>
      </c>
      <c r="AA40" s="2036">
        <f>HLOOKUP(AA$39,MFG_inputs!$C$9:$D$23,ROW(MFG_inputs!$B10)-ROW(MFG_inputs!$B$9)+1,FALSE)</f>
        <v>31.324956664096621</v>
      </c>
      <c r="AB40" s="2036">
        <f>HLOOKUP(AB$39,MFG_inputs!$C$9:$D$23,ROW(MFG_inputs!$B10)-ROW(MFG_inputs!$B$9)+1,FALSE)</f>
        <v>31.324956664096621</v>
      </c>
    </row>
    <row r="41" spans="1:28" x14ac:dyDescent="0.45">
      <c r="A41" s="1442" t="s">
        <v>69</v>
      </c>
      <c r="B41" s="2019"/>
      <c r="C41" s="2036">
        <f>HLOOKUP(C$39,MFG_inputs!$C$9:$D$23,ROW(MFG_inputs!$B11)-ROW(MFG_inputs!$B$9)+1,FALSE)</f>
        <v>19.061663037236091</v>
      </c>
      <c r="D41" s="2036">
        <f>HLOOKUP(D$39,MFG_inputs!$C$9:$D$23,ROW(MFG_inputs!$B11)-ROW(MFG_inputs!$B$9)+1,FALSE)</f>
        <v>19.061663037236091</v>
      </c>
      <c r="E41" s="2036">
        <f>HLOOKUP(E$39,MFG_inputs!$C$9:$D$23,ROW(MFG_inputs!$B11)-ROW(MFG_inputs!$B$9)+1,FALSE)</f>
        <v>19.061663037236091</v>
      </c>
      <c r="F41" s="2036">
        <f>HLOOKUP(F$39,MFG_inputs!$C$9:$D$23,ROW(MFG_inputs!$B11)-ROW(MFG_inputs!$B$9)+1,FALSE)</f>
        <v>19.061663037236091</v>
      </c>
      <c r="G41" s="2036">
        <f>HLOOKUP(G$39,MFG_inputs!$C$9:$D$23,ROW(MFG_inputs!$B11)-ROW(MFG_inputs!$B$9)+1,FALSE)</f>
        <v>19.061663037236091</v>
      </c>
      <c r="H41" s="2036">
        <f>HLOOKUP(H$39,MFG_inputs!$C$9:$D$23,ROW(MFG_inputs!$B11)-ROW(MFG_inputs!$B$9)+1,FALSE)</f>
        <v>19.061663037236091</v>
      </c>
      <c r="I41" s="2036">
        <f>HLOOKUP(I$39,MFG_inputs!$C$9:$D$23,ROW(MFG_inputs!$B11)-ROW(MFG_inputs!$B$9)+1,FALSE)</f>
        <v>19.061663037236091</v>
      </c>
      <c r="J41" s="2036">
        <f>HLOOKUP(J$39,MFG_inputs!$C$9:$D$23,ROW(MFG_inputs!$B11)-ROW(MFG_inputs!$B$9)+1,FALSE)</f>
        <v>19.061663037236091</v>
      </c>
      <c r="K41" s="2036">
        <f>HLOOKUP(K$39,MFG_inputs!$C$9:$D$23,ROW(MFG_inputs!$B11)-ROW(MFG_inputs!$B$9)+1,FALSE)</f>
        <v>19.061663037236091</v>
      </c>
      <c r="L41" s="2036">
        <f>HLOOKUP(L$39,MFG_inputs!$C$9:$D$23,ROW(MFG_inputs!$B11)-ROW(MFG_inputs!$B$9)+1,FALSE)</f>
        <v>19.061663037236091</v>
      </c>
      <c r="M41" s="2036">
        <f>HLOOKUP(M$39,MFG_inputs!$C$9:$D$23,ROW(MFG_inputs!$B11)-ROW(MFG_inputs!$B$9)+1,FALSE)</f>
        <v>19.061663037236091</v>
      </c>
      <c r="N41" s="2036">
        <f>HLOOKUP(N$39,MFG_inputs!$C$9:$D$23,ROW(MFG_inputs!$B11)-ROW(MFG_inputs!$B$9)+1,FALSE)</f>
        <v>19.061663037236091</v>
      </c>
      <c r="O41" s="2036">
        <f>HLOOKUP(O$39,MFG_inputs!$C$9:$D$23,ROW(MFG_inputs!$B11)-ROW(MFG_inputs!$B$9)+1,FALSE)</f>
        <v>19.061663037236091</v>
      </c>
      <c r="P41" s="2036">
        <f>HLOOKUP(P$39,MFG_inputs!$C$9:$D$23,ROW(MFG_inputs!$B11)-ROW(MFG_inputs!$B$9)+1,FALSE)</f>
        <v>19.061663037236091</v>
      </c>
      <c r="Q41" s="2036">
        <f>HLOOKUP(Q$39,MFG_inputs!$C$9:$D$23,ROW(MFG_inputs!$B11)-ROW(MFG_inputs!$B$9)+1,FALSE)</f>
        <v>19.061663037236091</v>
      </c>
      <c r="R41" s="2036">
        <f>HLOOKUP(R$39,MFG_inputs!$C$9:$D$23,ROW(MFG_inputs!$B11)-ROW(MFG_inputs!$B$9)+1,FALSE)</f>
        <v>19.061663037236091</v>
      </c>
      <c r="S41" s="2036">
        <f>HLOOKUP(S$39,MFG_inputs!$C$9:$D$23,ROW(MFG_inputs!$B11)-ROW(MFG_inputs!$B$9)+1,FALSE)</f>
        <v>19.061663037236091</v>
      </c>
      <c r="T41" s="2036">
        <f>HLOOKUP(T$39,MFG_inputs!$C$9:$D$23,ROW(MFG_inputs!$B11)-ROW(MFG_inputs!$B$9)+1,FALSE)</f>
        <v>19.061663037236091</v>
      </c>
      <c r="U41" s="2036">
        <f>HLOOKUP(U$39,MFG_inputs!$C$9:$D$23,ROW(MFG_inputs!$B11)-ROW(MFG_inputs!$B$9)+1,FALSE)</f>
        <v>19.061663037236091</v>
      </c>
      <c r="V41" s="2036">
        <f>HLOOKUP(V$39,MFG_inputs!$C$9:$D$23,ROW(MFG_inputs!$B11)-ROW(MFG_inputs!$B$9)+1,FALSE)</f>
        <v>19.061663037236091</v>
      </c>
      <c r="W41" s="2036">
        <f>HLOOKUP(W$39,MFG_inputs!$C$9:$D$23,ROW(MFG_inputs!$B11)-ROW(MFG_inputs!$B$9)+1,FALSE)</f>
        <v>19.061663037236091</v>
      </c>
      <c r="X41" s="2036">
        <f>HLOOKUP(X$39,MFG_inputs!$C$9:$D$23,ROW(MFG_inputs!$B11)-ROW(MFG_inputs!$B$9)+1,FALSE)</f>
        <v>19.061663037236091</v>
      </c>
      <c r="Y41" s="2036">
        <f>HLOOKUP(Y$39,MFG_inputs!$C$9:$D$23,ROW(MFG_inputs!$B11)-ROW(MFG_inputs!$B$9)+1,FALSE)</f>
        <v>19.061663037236091</v>
      </c>
      <c r="Z41" s="2036">
        <f>HLOOKUP(Z$39,MFG_inputs!$C$9:$D$23,ROW(MFG_inputs!$B11)-ROW(MFG_inputs!$B$9)+1,FALSE)</f>
        <v>19.061663037236091</v>
      </c>
      <c r="AA41" s="2036">
        <f>HLOOKUP(AA$39,MFG_inputs!$C$9:$D$23,ROW(MFG_inputs!$B11)-ROW(MFG_inputs!$B$9)+1,FALSE)</f>
        <v>19.061663037236091</v>
      </c>
      <c r="AB41" s="2036">
        <f>HLOOKUP(AB$39,MFG_inputs!$C$9:$D$23,ROW(MFG_inputs!$B11)-ROW(MFG_inputs!$B$9)+1,FALSE)</f>
        <v>19.061663037236091</v>
      </c>
    </row>
    <row r="42" spans="1:28" x14ac:dyDescent="0.45">
      <c r="A42" s="1442" t="s">
        <v>52</v>
      </c>
      <c r="B42" s="2019"/>
      <c r="C42" s="2036">
        <f>HLOOKUP(C$39,MFG_inputs!$C$9:$D$23,ROW(MFG_inputs!$B12)-ROW(MFG_inputs!$B$9)+1,FALSE)</f>
        <v>26.13887204534219</v>
      </c>
      <c r="D42" s="2036">
        <f>HLOOKUP(D$39,MFG_inputs!$C$9:$D$23,ROW(MFG_inputs!$B12)-ROW(MFG_inputs!$B$9)+1,FALSE)</f>
        <v>26.13887204534219</v>
      </c>
      <c r="E42" s="2036">
        <f>HLOOKUP(E$39,MFG_inputs!$C$9:$D$23,ROW(MFG_inputs!$B12)-ROW(MFG_inputs!$B$9)+1,FALSE)</f>
        <v>26.13887204534219</v>
      </c>
      <c r="F42" s="2036">
        <f>HLOOKUP(F$39,MFG_inputs!$C$9:$D$23,ROW(MFG_inputs!$B12)-ROW(MFG_inputs!$B$9)+1,FALSE)</f>
        <v>26.13887204534219</v>
      </c>
      <c r="G42" s="2036">
        <f>HLOOKUP(G$39,MFG_inputs!$C$9:$D$23,ROW(MFG_inputs!$B12)-ROW(MFG_inputs!$B$9)+1,FALSE)</f>
        <v>26.13887204534219</v>
      </c>
      <c r="H42" s="2036">
        <f>HLOOKUP(H$39,MFG_inputs!$C$9:$D$23,ROW(MFG_inputs!$B12)-ROW(MFG_inputs!$B$9)+1,FALSE)</f>
        <v>26.13887204534219</v>
      </c>
      <c r="I42" s="2036">
        <f>HLOOKUP(I$39,MFG_inputs!$C$9:$D$23,ROW(MFG_inputs!$B12)-ROW(MFG_inputs!$B$9)+1,FALSE)</f>
        <v>26.13887204534219</v>
      </c>
      <c r="J42" s="2036">
        <f>HLOOKUP(J$39,MFG_inputs!$C$9:$D$23,ROW(MFG_inputs!$B12)-ROW(MFG_inputs!$B$9)+1,FALSE)</f>
        <v>26.13887204534219</v>
      </c>
      <c r="K42" s="2036">
        <f>HLOOKUP(K$39,MFG_inputs!$C$9:$D$23,ROW(MFG_inputs!$B12)-ROW(MFG_inputs!$B$9)+1,FALSE)</f>
        <v>26.13887204534219</v>
      </c>
      <c r="L42" s="2036">
        <f>HLOOKUP(L$39,MFG_inputs!$C$9:$D$23,ROW(MFG_inputs!$B12)-ROW(MFG_inputs!$B$9)+1,FALSE)</f>
        <v>26.13887204534219</v>
      </c>
      <c r="M42" s="2036">
        <f>HLOOKUP(M$39,MFG_inputs!$C$9:$D$23,ROW(MFG_inputs!$B12)-ROW(MFG_inputs!$B$9)+1,FALSE)</f>
        <v>26.13887204534219</v>
      </c>
      <c r="N42" s="2036">
        <f>HLOOKUP(N$39,MFG_inputs!$C$9:$D$23,ROW(MFG_inputs!$B12)-ROW(MFG_inputs!$B$9)+1,FALSE)</f>
        <v>26.13887204534219</v>
      </c>
      <c r="O42" s="2036">
        <f>HLOOKUP(O$39,MFG_inputs!$C$9:$D$23,ROW(MFG_inputs!$B12)-ROW(MFG_inputs!$B$9)+1,FALSE)</f>
        <v>26.13887204534219</v>
      </c>
      <c r="P42" s="2036">
        <f>HLOOKUP(P$39,MFG_inputs!$C$9:$D$23,ROW(MFG_inputs!$B12)-ROW(MFG_inputs!$B$9)+1,FALSE)</f>
        <v>26.13887204534219</v>
      </c>
      <c r="Q42" s="2036">
        <f>HLOOKUP(Q$39,MFG_inputs!$C$9:$D$23,ROW(MFG_inputs!$B12)-ROW(MFG_inputs!$B$9)+1,FALSE)</f>
        <v>26.13887204534219</v>
      </c>
      <c r="R42" s="2036">
        <f>HLOOKUP(R$39,MFG_inputs!$C$9:$D$23,ROW(MFG_inputs!$B12)-ROW(MFG_inputs!$B$9)+1,FALSE)</f>
        <v>26.13887204534219</v>
      </c>
      <c r="S42" s="2036">
        <f>HLOOKUP(S$39,MFG_inputs!$C$9:$D$23,ROW(MFG_inputs!$B12)-ROW(MFG_inputs!$B$9)+1,FALSE)</f>
        <v>26.13887204534219</v>
      </c>
      <c r="T42" s="2036">
        <f>HLOOKUP(T$39,MFG_inputs!$C$9:$D$23,ROW(MFG_inputs!$B12)-ROW(MFG_inputs!$B$9)+1,FALSE)</f>
        <v>26.13887204534219</v>
      </c>
      <c r="U42" s="2036">
        <f>HLOOKUP(U$39,MFG_inputs!$C$9:$D$23,ROW(MFG_inputs!$B12)-ROW(MFG_inputs!$B$9)+1,FALSE)</f>
        <v>26.13887204534219</v>
      </c>
      <c r="V42" s="2036">
        <f>HLOOKUP(V$39,MFG_inputs!$C$9:$D$23,ROW(MFG_inputs!$B12)-ROW(MFG_inputs!$B$9)+1,FALSE)</f>
        <v>26.13887204534219</v>
      </c>
      <c r="W42" s="2036">
        <f>HLOOKUP(W$39,MFG_inputs!$C$9:$D$23,ROW(MFG_inputs!$B12)-ROW(MFG_inputs!$B$9)+1,FALSE)</f>
        <v>26.13887204534219</v>
      </c>
      <c r="X42" s="2036">
        <f>HLOOKUP(X$39,MFG_inputs!$C$9:$D$23,ROW(MFG_inputs!$B12)-ROW(MFG_inputs!$B$9)+1,FALSE)</f>
        <v>26.13887204534219</v>
      </c>
      <c r="Y42" s="2036">
        <f>HLOOKUP(Y$39,MFG_inputs!$C$9:$D$23,ROW(MFG_inputs!$B12)-ROW(MFG_inputs!$B$9)+1,FALSE)</f>
        <v>26.13887204534219</v>
      </c>
      <c r="Z42" s="2036">
        <f>HLOOKUP(Z$39,MFG_inputs!$C$9:$D$23,ROW(MFG_inputs!$B12)-ROW(MFG_inputs!$B$9)+1,FALSE)</f>
        <v>26.13887204534219</v>
      </c>
      <c r="AA42" s="2036">
        <f>HLOOKUP(AA$39,MFG_inputs!$C$9:$D$23,ROW(MFG_inputs!$B12)-ROW(MFG_inputs!$B$9)+1,FALSE)</f>
        <v>26.13887204534219</v>
      </c>
      <c r="AB42" s="2036">
        <f>HLOOKUP(AB$39,MFG_inputs!$C$9:$D$23,ROW(MFG_inputs!$B12)-ROW(MFG_inputs!$B$9)+1,FALSE)</f>
        <v>26.13887204534219</v>
      </c>
    </row>
    <row r="43" spans="1:28" x14ac:dyDescent="0.45">
      <c r="A43" s="1442" t="s">
        <v>53</v>
      </c>
      <c r="B43" s="2019"/>
      <c r="C43" s="2036">
        <f>HLOOKUP(C$39,MFG_inputs!$C$9:$D$23,ROW(MFG_inputs!$B13)-ROW(MFG_inputs!$B$9)+1,FALSE)</f>
        <v>31.44180657005337</v>
      </c>
      <c r="D43" s="2036">
        <f>HLOOKUP(D$39,MFG_inputs!$C$9:$D$23,ROW(MFG_inputs!$B13)-ROW(MFG_inputs!$B$9)+1,FALSE)</f>
        <v>31.44180657005337</v>
      </c>
      <c r="E43" s="2036">
        <f>HLOOKUP(E$39,MFG_inputs!$C$9:$D$23,ROW(MFG_inputs!$B13)-ROW(MFG_inputs!$B$9)+1,FALSE)</f>
        <v>31.44180657005337</v>
      </c>
      <c r="F43" s="2036">
        <f>HLOOKUP(F$39,MFG_inputs!$C$9:$D$23,ROW(MFG_inputs!$B13)-ROW(MFG_inputs!$B$9)+1,FALSE)</f>
        <v>31.44180657005337</v>
      </c>
      <c r="G43" s="2036">
        <f>HLOOKUP(G$39,MFG_inputs!$C$9:$D$23,ROW(MFG_inputs!$B13)-ROW(MFG_inputs!$B$9)+1,FALSE)</f>
        <v>31.44180657005337</v>
      </c>
      <c r="H43" s="2036">
        <f>HLOOKUP(H$39,MFG_inputs!$C$9:$D$23,ROW(MFG_inputs!$B13)-ROW(MFG_inputs!$B$9)+1,FALSE)</f>
        <v>31.44180657005337</v>
      </c>
      <c r="I43" s="2036">
        <f>HLOOKUP(I$39,MFG_inputs!$C$9:$D$23,ROW(MFG_inputs!$B13)-ROW(MFG_inputs!$B$9)+1,FALSE)</f>
        <v>31.44180657005337</v>
      </c>
      <c r="J43" s="2036">
        <f>HLOOKUP(J$39,MFG_inputs!$C$9:$D$23,ROW(MFG_inputs!$B13)-ROW(MFG_inputs!$B$9)+1,FALSE)</f>
        <v>31.44180657005337</v>
      </c>
      <c r="K43" s="2036">
        <f>HLOOKUP(K$39,MFG_inputs!$C$9:$D$23,ROW(MFG_inputs!$B13)-ROW(MFG_inputs!$B$9)+1,FALSE)</f>
        <v>31.44180657005337</v>
      </c>
      <c r="L43" s="2036">
        <f>HLOOKUP(L$39,MFG_inputs!$C$9:$D$23,ROW(MFG_inputs!$B13)-ROW(MFG_inputs!$B$9)+1,FALSE)</f>
        <v>31.44180657005337</v>
      </c>
      <c r="M43" s="2036">
        <f>HLOOKUP(M$39,MFG_inputs!$C$9:$D$23,ROW(MFG_inputs!$B13)-ROW(MFG_inputs!$B$9)+1,FALSE)</f>
        <v>31.44180657005337</v>
      </c>
      <c r="N43" s="2036">
        <f>HLOOKUP(N$39,MFG_inputs!$C$9:$D$23,ROW(MFG_inputs!$B13)-ROW(MFG_inputs!$B$9)+1,FALSE)</f>
        <v>31.44180657005337</v>
      </c>
      <c r="O43" s="2036">
        <f>HLOOKUP(O$39,MFG_inputs!$C$9:$D$23,ROW(MFG_inputs!$B13)-ROW(MFG_inputs!$B$9)+1,FALSE)</f>
        <v>31.44180657005337</v>
      </c>
      <c r="P43" s="2036">
        <f>HLOOKUP(P$39,MFG_inputs!$C$9:$D$23,ROW(MFG_inputs!$B13)-ROW(MFG_inputs!$B$9)+1,FALSE)</f>
        <v>31.44180657005337</v>
      </c>
      <c r="Q43" s="2036">
        <f>HLOOKUP(Q$39,MFG_inputs!$C$9:$D$23,ROW(MFG_inputs!$B13)-ROW(MFG_inputs!$B$9)+1,FALSE)</f>
        <v>31.44180657005337</v>
      </c>
      <c r="R43" s="2036">
        <f>HLOOKUP(R$39,MFG_inputs!$C$9:$D$23,ROW(MFG_inputs!$B13)-ROW(MFG_inputs!$B$9)+1,FALSE)</f>
        <v>31.44180657005337</v>
      </c>
      <c r="S43" s="2036">
        <f>HLOOKUP(S$39,MFG_inputs!$C$9:$D$23,ROW(MFG_inputs!$B13)-ROW(MFG_inputs!$B$9)+1,FALSE)</f>
        <v>31.44180657005337</v>
      </c>
      <c r="T43" s="2036">
        <f>HLOOKUP(T$39,MFG_inputs!$C$9:$D$23,ROW(MFG_inputs!$B13)-ROW(MFG_inputs!$B$9)+1,FALSE)</f>
        <v>31.44180657005337</v>
      </c>
      <c r="U43" s="2036">
        <f>HLOOKUP(U$39,MFG_inputs!$C$9:$D$23,ROW(MFG_inputs!$B13)-ROW(MFG_inputs!$B$9)+1,FALSE)</f>
        <v>31.44180657005337</v>
      </c>
      <c r="V43" s="2036">
        <f>HLOOKUP(V$39,MFG_inputs!$C$9:$D$23,ROW(MFG_inputs!$B13)-ROW(MFG_inputs!$B$9)+1,FALSE)</f>
        <v>31.44180657005337</v>
      </c>
      <c r="W43" s="2036">
        <f>HLOOKUP(W$39,MFG_inputs!$C$9:$D$23,ROW(MFG_inputs!$B13)-ROW(MFG_inputs!$B$9)+1,FALSE)</f>
        <v>31.44180657005337</v>
      </c>
      <c r="X43" s="2036">
        <f>HLOOKUP(X$39,MFG_inputs!$C$9:$D$23,ROW(MFG_inputs!$B13)-ROW(MFG_inputs!$B$9)+1,FALSE)</f>
        <v>31.44180657005337</v>
      </c>
      <c r="Y43" s="2036">
        <f>HLOOKUP(Y$39,MFG_inputs!$C$9:$D$23,ROW(MFG_inputs!$B13)-ROW(MFG_inputs!$B$9)+1,FALSE)</f>
        <v>31.44180657005337</v>
      </c>
      <c r="Z43" s="2036">
        <f>HLOOKUP(Z$39,MFG_inputs!$C$9:$D$23,ROW(MFG_inputs!$B13)-ROW(MFG_inputs!$B$9)+1,FALSE)</f>
        <v>31.44180657005337</v>
      </c>
      <c r="AA43" s="2036">
        <f>HLOOKUP(AA$39,MFG_inputs!$C$9:$D$23,ROW(MFG_inputs!$B13)-ROW(MFG_inputs!$B$9)+1,FALSE)</f>
        <v>31.44180657005337</v>
      </c>
      <c r="AB43" s="2036">
        <f>HLOOKUP(AB$39,MFG_inputs!$C$9:$D$23,ROW(MFG_inputs!$B13)-ROW(MFG_inputs!$B$9)+1,FALSE)</f>
        <v>31.44180657005337</v>
      </c>
    </row>
    <row r="44" spans="1:28" x14ac:dyDescent="0.45">
      <c r="A44" s="1442" t="s">
        <v>70</v>
      </c>
      <c r="B44" s="2019"/>
      <c r="C44" s="2036">
        <f>HLOOKUP(C$39,MFG_inputs!$C$9:$D$23,ROW(MFG_inputs!$B14)-ROW(MFG_inputs!$B$9)+1,FALSE)</f>
        <v>192.38570427734732</v>
      </c>
      <c r="D44" s="2036">
        <f>HLOOKUP(D$39,MFG_inputs!$C$9:$D$23,ROW(MFG_inputs!$B14)-ROW(MFG_inputs!$B$9)+1,FALSE)</f>
        <v>192.38570427734732</v>
      </c>
      <c r="E44" s="2036">
        <f>HLOOKUP(E$39,MFG_inputs!$C$9:$D$23,ROW(MFG_inputs!$B14)-ROW(MFG_inputs!$B$9)+1,FALSE)</f>
        <v>192.38570427734732</v>
      </c>
      <c r="F44" s="2036">
        <f>HLOOKUP(F$39,MFG_inputs!$C$9:$D$23,ROW(MFG_inputs!$B14)-ROW(MFG_inputs!$B$9)+1,FALSE)</f>
        <v>192.38570427734732</v>
      </c>
      <c r="G44" s="2036">
        <f>HLOOKUP(G$39,MFG_inputs!$C$9:$D$23,ROW(MFG_inputs!$B14)-ROW(MFG_inputs!$B$9)+1,FALSE)</f>
        <v>192.38570427734732</v>
      </c>
      <c r="H44" s="2036">
        <f>HLOOKUP(H$39,MFG_inputs!$C$9:$D$23,ROW(MFG_inputs!$B14)-ROW(MFG_inputs!$B$9)+1,FALSE)</f>
        <v>192.38570427734732</v>
      </c>
      <c r="I44" s="2036">
        <f>HLOOKUP(I$39,MFG_inputs!$C$9:$D$23,ROW(MFG_inputs!$B14)-ROW(MFG_inputs!$B$9)+1,FALSE)</f>
        <v>192.38570427734732</v>
      </c>
      <c r="J44" s="2036">
        <f>HLOOKUP(J$39,MFG_inputs!$C$9:$D$23,ROW(MFG_inputs!$B14)-ROW(MFG_inputs!$B$9)+1,FALSE)</f>
        <v>192.38570427734732</v>
      </c>
      <c r="K44" s="2036">
        <f>HLOOKUP(K$39,MFG_inputs!$C$9:$D$23,ROW(MFG_inputs!$B14)-ROW(MFG_inputs!$B$9)+1,FALSE)</f>
        <v>192.38570427734732</v>
      </c>
      <c r="L44" s="2036">
        <f>HLOOKUP(L$39,MFG_inputs!$C$9:$D$23,ROW(MFG_inputs!$B14)-ROW(MFG_inputs!$B$9)+1,FALSE)</f>
        <v>192.38570427734732</v>
      </c>
      <c r="M44" s="2036">
        <f>HLOOKUP(M$39,MFG_inputs!$C$9:$D$23,ROW(MFG_inputs!$B14)-ROW(MFG_inputs!$B$9)+1,FALSE)</f>
        <v>192.38570427734732</v>
      </c>
      <c r="N44" s="2036">
        <f>HLOOKUP(N$39,MFG_inputs!$C$9:$D$23,ROW(MFG_inputs!$B14)-ROW(MFG_inputs!$B$9)+1,FALSE)</f>
        <v>192.38570427734732</v>
      </c>
      <c r="O44" s="2036">
        <f>HLOOKUP(O$39,MFG_inputs!$C$9:$D$23,ROW(MFG_inputs!$B14)-ROW(MFG_inputs!$B$9)+1,FALSE)</f>
        <v>192.38570427734732</v>
      </c>
      <c r="P44" s="2036">
        <f>HLOOKUP(P$39,MFG_inputs!$C$9:$D$23,ROW(MFG_inputs!$B14)-ROW(MFG_inputs!$B$9)+1,FALSE)</f>
        <v>192.38570427734732</v>
      </c>
      <c r="Q44" s="2036">
        <f>HLOOKUP(Q$39,MFG_inputs!$C$9:$D$23,ROW(MFG_inputs!$B14)-ROW(MFG_inputs!$B$9)+1,FALSE)</f>
        <v>192.38570427734732</v>
      </c>
      <c r="R44" s="2036">
        <f>HLOOKUP(R$39,MFG_inputs!$C$9:$D$23,ROW(MFG_inputs!$B14)-ROW(MFG_inputs!$B$9)+1,FALSE)</f>
        <v>192.38570427734732</v>
      </c>
      <c r="S44" s="2036">
        <f>HLOOKUP(S$39,MFG_inputs!$C$9:$D$23,ROW(MFG_inputs!$B14)-ROW(MFG_inputs!$B$9)+1,FALSE)</f>
        <v>192.38570427734732</v>
      </c>
      <c r="T44" s="2036">
        <f>HLOOKUP(T$39,MFG_inputs!$C$9:$D$23,ROW(MFG_inputs!$B14)-ROW(MFG_inputs!$B$9)+1,FALSE)</f>
        <v>192.38570427734732</v>
      </c>
      <c r="U44" s="2036">
        <f>HLOOKUP(U$39,MFG_inputs!$C$9:$D$23,ROW(MFG_inputs!$B14)-ROW(MFG_inputs!$B$9)+1,FALSE)</f>
        <v>192.38570427734732</v>
      </c>
      <c r="V44" s="2036">
        <f>HLOOKUP(V$39,MFG_inputs!$C$9:$D$23,ROW(MFG_inputs!$B14)-ROW(MFG_inputs!$B$9)+1,FALSE)</f>
        <v>192.38570427734732</v>
      </c>
      <c r="W44" s="2036">
        <f>HLOOKUP(W$39,MFG_inputs!$C$9:$D$23,ROW(MFG_inputs!$B14)-ROW(MFG_inputs!$B$9)+1,FALSE)</f>
        <v>192.38570427734732</v>
      </c>
      <c r="X44" s="2036">
        <f>HLOOKUP(X$39,MFG_inputs!$C$9:$D$23,ROW(MFG_inputs!$B14)-ROW(MFG_inputs!$B$9)+1,FALSE)</f>
        <v>192.38570427734732</v>
      </c>
      <c r="Y44" s="2036">
        <f>HLOOKUP(Y$39,MFG_inputs!$C$9:$D$23,ROW(MFG_inputs!$B14)-ROW(MFG_inputs!$B$9)+1,FALSE)</f>
        <v>192.38570427734732</v>
      </c>
      <c r="Z44" s="2036">
        <f>HLOOKUP(Z$39,MFG_inputs!$C$9:$D$23,ROW(MFG_inputs!$B14)-ROW(MFG_inputs!$B$9)+1,FALSE)</f>
        <v>192.38570427734732</v>
      </c>
      <c r="AA44" s="2036">
        <f>HLOOKUP(AA$39,MFG_inputs!$C$9:$D$23,ROW(MFG_inputs!$B14)-ROW(MFG_inputs!$B$9)+1,FALSE)</f>
        <v>192.38570427734732</v>
      </c>
      <c r="AB44" s="2036">
        <f>HLOOKUP(AB$39,MFG_inputs!$C$9:$D$23,ROW(MFG_inputs!$B14)-ROW(MFG_inputs!$B$9)+1,FALSE)</f>
        <v>192.38570427734732</v>
      </c>
    </row>
    <row r="45" spans="1:28" x14ac:dyDescent="0.45">
      <c r="A45" s="1442" t="s">
        <v>71</v>
      </c>
      <c r="B45" s="2019"/>
      <c r="C45" s="2036">
        <f>HLOOKUP(C$39,MFG_inputs!$C$9:$D$23,ROW(MFG_inputs!$B15)-ROW(MFG_inputs!$B$9)+1,FALSE)</f>
        <v>29.972950126276309</v>
      </c>
      <c r="D45" s="2036">
        <f>HLOOKUP(D$39,MFG_inputs!$C$9:$D$23,ROW(MFG_inputs!$B15)-ROW(MFG_inputs!$B$9)+1,FALSE)</f>
        <v>29.972950126276309</v>
      </c>
      <c r="E45" s="2036">
        <f>HLOOKUP(E$39,MFG_inputs!$C$9:$D$23,ROW(MFG_inputs!$B15)-ROW(MFG_inputs!$B$9)+1,FALSE)</f>
        <v>29.972950126276309</v>
      </c>
      <c r="F45" s="2036">
        <f>HLOOKUP(F$39,MFG_inputs!$C$9:$D$23,ROW(MFG_inputs!$B15)-ROW(MFG_inputs!$B$9)+1,FALSE)</f>
        <v>29.972950126276309</v>
      </c>
      <c r="G45" s="2036">
        <f>HLOOKUP(G$39,MFG_inputs!$C$9:$D$23,ROW(MFG_inputs!$B15)-ROW(MFG_inputs!$B$9)+1,FALSE)</f>
        <v>29.972950126276309</v>
      </c>
      <c r="H45" s="2036">
        <f>HLOOKUP(H$39,MFG_inputs!$C$9:$D$23,ROW(MFG_inputs!$B15)-ROW(MFG_inputs!$B$9)+1,FALSE)</f>
        <v>29.972950126276309</v>
      </c>
      <c r="I45" s="2036">
        <f>HLOOKUP(I$39,MFG_inputs!$C$9:$D$23,ROW(MFG_inputs!$B15)-ROW(MFG_inputs!$B$9)+1,FALSE)</f>
        <v>29.972950126276309</v>
      </c>
      <c r="J45" s="2036">
        <f>HLOOKUP(J$39,MFG_inputs!$C$9:$D$23,ROW(MFG_inputs!$B15)-ROW(MFG_inputs!$B$9)+1,FALSE)</f>
        <v>29.972950126276309</v>
      </c>
      <c r="K45" s="2036">
        <f>HLOOKUP(K$39,MFG_inputs!$C$9:$D$23,ROW(MFG_inputs!$B15)-ROW(MFG_inputs!$B$9)+1,FALSE)</f>
        <v>29.972950126276309</v>
      </c>
      <c r="L45" s="2036">
        <f>HLOOKUP(L$39,MFG_inputs!$C$9:$D$23,ROW(MFG_inputs!$B15)-ROW(MFG_inputs!$B$9)+1,FALSE)</f>
        <v>29.972950126276309</v>
      </c>
      <c r="M45" s="2036">
        <f>HLOOKUP(M$39,MFG_inputs!$C$9:$D$23,ROW(MFG_inputs!$B15)-ROW(MFG_inputs!$B$9)+1,FALSE)</f>
        <v>29.972950126276309</v>
      </c>
      <c r="N45" s="2036">
        <f>HLOOKUP(N$39,MFG_inputs!$C$9:$D$23,ROW(MFG_inputs!$B15)-ROW(MFG_inputs!$B$9)+1,FALSE)</f>
        <v>29.972950126276309</v>
      </c>
      <c r="O45" s="2036">
        <f>HLOOKUP(O$39,MFG_inputs!$C$9:$D$23,ROW(MFG_inputs!$B15)-ROW(MFG_inputs!$B$9)+1,FALSE)</f>
        <v>29.972950126276309</v>
      </c>
      <c r="P45" s="2036">
        <f>HLOOKUP(P$39,MFG_inputs!$C$9:$D$23,ROW(MFG_inputs!$B15)-ROW(MFG_inputs!$B$9)+1,FALSE)</f>
        <v>29.972950126276309</v>
      </c>
      <c r="Q45" s="2036">
        <f>HLOOKUP(Q$39,MFG_inputs!$C$9:$D$23,ROW(MFG_inputs!$B15)-ROW(MFG_inputs!$B$9)+1,FALSE)</f>
        <v>29.972950126276309</v>
      </c>
      <c r="R45" s="2036">
        <f>HLOOKUP(R$39,MFG_inputs!$C$9:$D$23,ROW(MFG_inputs!$B15)-ROW(MFG_inputs!$B$9)+1,FALSE)</f>
        <v>29.972950126276309</v>
      </c>
      <c r="S45" s="2036">
        <f>HLOOKUP(S$39,MFG_inputs!$C$9:$D$23,ROW(MFG_inputs!$B15)-ROW(MFG_inputs!$B$9)+1,FALSE)</f>
        <v>29.972950126276309</v>
      </c>
      <c r="T45" s="2036">
        <f>HLOOKUP(T$39,MFG_inputs!$C$9:$D$23,ROW(MFG_inputs!$B15)-ROW(MFG_inputs!$B$9)+1,FALSE)</f>
        <v>29.972950126276309</v>
      </c>
      <c r="U45" s="2036">
        <f>HLOOKUP(U$39,MFG_inputs!$C$9:$D$23,ROW(MFG_inputs!$B15)-ROW(MFG_inputs!$B$9)+1,FALSE)</f>
        <v>29.972950126276309</v>
      </c>
      <c r="V45" s="2036">
        <f>HLOOKUP(V$39,MFG_inputs!$C$9:$D$23,ROW(MFG_inputs!$B15)-ROW(MFG_inputs!$B$9)+1,FALSE)</f>
        <v>29.972950126276309</v>
      </c>
      <c r="W45" s="2036">
        <f>HLOOKUP(W$39,MFG_inputs!$C$9:$D$23,ROW(MFG_inputs!$B15)-ROW(MFG_inputs!$B$9)+1,FALSE)</f>
        <v>29.972950126276309</v>
      </c>
      <c r="X45" s="2036">
        <f>HLOOKUP(X$39,MFG_inputs!$C$9:$D$23,ROW(MFG_inputs!$B15)-ROW(MFG_inputs!$B$9)+1,FALSE)</f>
        <v>29.972950126276309</v>
      </c>
      <c r="Y45" s="2036">
        <f>HLOOKUP(Y$39,MFG_inputs!$C$9:$D$23,ROW(MFG_inputs!$B15)-ROW(MFG_inputs!$B$9)+1,FALSE)</f>
        <v>29.972950126276309</v>
      </c>
      <c r="Z45" s="2036">
        <f>HLOOKUP(Z$39,MFG_inputs!$C$9:$D$23,ROW(MFG_inputs!$B15)-ROW(MFG_inputs!$B$9)+1,FALSE)</f>
        <v>29.972950126276309</v>
      </c>
      <c r="AA45" s="2036">
        <f>HLOOKUP(AA$39,MFG_inputs!$C$9:$D$23,ROW(MFG_inputs!$B15)-ROW(MFG_inputs!$B$9)+1,FALSE)</f>
        <v>29.972950126276309</v>
      </c>
      <c r="AB45" s="2036">
        <f>HLOOKUP(AB$39,MFG_inputs!$C$9:$D$23,ROW(MFG_inputs!$B15)-ROW(MFG_inputs!$B$9)+1,FALSE)</f>
        <v>29.972950126276309</v>
      </c>
    </row>
    <row r="46" spans="1:28" x14ac:dyDescent="0.45">
      <c r="A46" s="1442" t="s">
        <v>72</v>
      </c>
      <c r="B46" s="2019"/>
      <c r="C46" s="2036">
        <f>HLOOKUP(C$39,MFG_inputs!$C$9:$D$23,ROW(MFG_inputs!$B16)-ROW(MFG_inputs!$B$9)+1,FALSE)</f>
        <v>213.09414300877964</v>
      </c>
      <c r="D46" s="2036">
        <f>HLOOKUP(D$39,MFG_inputs!$C$9:$D$23,ROW(MFG_inputs!$B16)-ROW(MFG_inputs!$B$9)+1,FALSE)</f>
        <v>213.09414300877964</v>
      </c>
      <c r="E46" s="2036">
        <f>HLOOKUP(E$39,MFG_inputs!$C$9:$D$23,ROW(MFG_inputs!$B16)-ROW(MFG_inputs!$B$9)+1,FALSE)</f>
        <v>213.09414300877964</v>
      </c>
      <c r="F46" s="2036">
        <f>HLOOKUP(F$39,MFG_inputs!$C$9:$D$23,ROW(MFG_inputs!$B16)-ROW(MFG_inputs!$B$9)+1,FALSE)</f>
        <v>213.09414300877964</v>
      </c>
      <c r="G46" s="2036">
        <f>HLOOKUP(G$39,MFG_inputs!$C$9:$D$23,ROW(MFG_inputs!$B16)-ROW(MFG_inputs!$B$9)+1,FALSE)</f>
        <v>213.09414300877964</v>
      </c>
      <c r="H46" s="2036">
        <f>HLOOKUP(H$39,MFG_inputs!$C$9:$D$23,ROW(MFG_inputs!$B16)-ROW(MFG_inputs!$B$9)+1,FALSE)</f>
        <v>213.09414300877964</v>
      </c>
      <c r="I46" s="2036">
        <f>HLOOKUP(I$39,MFG_inputs!$C$9:$D$23,ROW(MFG_inputs!$B16)-ROW(MFG_inputs!$B$9)+1,FALSE)</f>
        <v>213.09414300877964</v>
      </c>
      <c r="J46" s="2036">
        <f>HLOOKUP(J$39,MFG_inputs!$C$9:$D$23,ROW(MFG_inputs!$B16)-ROW(MFG_inputs!$B$9)+1,FALSE)</f>
        <v>213.09414300877964</v>
      </c>
      <c r="K46" s="2036">
        <f>HLOOKUP(K$39,MFG_inputs!$C$9:$D$23,ROW(MFG_inputs!$B16)-ROW(MFG_inputs!$B$9)+1,FALSE)</f>
        <v>213.09414300877964</v>
      </c>
      <c r="L46" s="2036">
        <f>HLOOKUP(L$39,MFG_inputs!$C$9:$D$23,ROW(MFG_inputs!$B16)-ROW(MFG_inputs!$B$9)+1,FALSE)</f>
        <v>213.09414300877964</v>
      </c>
      <c r="M46" s="2036">
        <f>HLOOKUP(M$39,MFG_inputs!$C$9:$D$23,ROW(MFG_inputs!$B16)-ROW(MFG_inputs!$B$9)+1,FALSE)</f>
        <v>213.09414300877964</v>
      </c>
      <c r="N46" s="2036">
        <f>HLOOKUP(N$39,MFG_inputs!$C$9:$D$23,ROW(MFG_inputs!$B16)-ROW(MFG_inputs!$B$9)+1,FALSE)</f>
        <v>213.09414300877964</v>
      </c>
      <c r="O46" s="2036">
        <f>HLOOKUP(O$39,MFG_inputs!$C$9:$D$23,ROW(MFG_inputs!$B16)-ROW(MFG_inputs!$B$9)+1,FALSE)</f>
        <v>213.09414300877964</v>
      </c>
      <c r="P46" s="2036">
        <f>HLOOKUP(P$39,MFG_inputs!$C$9:$D$23,ROW(MFG_inputs!$B16)-ROW(MFG_inputs!$B$9)+1,FALSE)</f>
        <v>213.09414300877964</v>
      </c>
      <c r="Q46" s="2036">
        <f>HLOOKUP(Q$39,MFG_inputs!$C$9:$D$23,ROW(MFG_inputs!$B16)-ROW(MFG_inputs!$B$9)+1,FALSE)</f>
        <v>213.09414300877964</v>
      </c>
      <c r="R46" s="2036">
        <f>HLOOKUP(R$39,MFG_inputs!$C$9:$D$23,ROW(MFG_inputs!$B16)-ROW(MFG_inputs!$B$9)+1,FALSE)</f>
        <v>213.09414300877964</v>
      </c>
      <c r="S46" s="2036">
        <f>HLOOKUP(S$39,MFG_inputs!$C$9:$D$23,ROW(MFG_inputs!$B16)-ROW(MFG_inputs!$B$9)+1,FALSE)</f>
        <v>213.09414300877964</v>
      </c>
      <c r="T46" s="2036">
        <f>HLOOKUP(T$39,MFG_inputs!$C$9:$D$23,ROW(MFG_inputs!$B16)-ROW(MFG_inputs!$B$9)+1,FALSE)</f>
        <v>213.09414300877964</v>
      </c>
      <c r="U46" s="2036">
        <f>HLOOKUP(U$39,MFG_inputs!$C$9:$D$23,ROW(MFG_inputs!$B16)-ROW(MFG_inputs!$B$9)+1,FALSE)</f>
        <v>213.09414300877964</v>
      </c>
      <c r="V46" s="2036">
        <f>HLOOKUP(V$39,MFG_inputs!$C$9:$D$23,ROW(MFG_inputs!$B16)-ROW(MFG_inputs!$B$9)+1,FALSE)</f>
        <v>213.09414300877964</v>
      </c>
      <c r="W46" s="2036">
        <f>HLOOKUP(W$39,MFG_inputs!$C$9:$D$23,ROW(MFG_inputs!$B16)-ROW(MFG_inputs!$B$9)+1,FALSE)</f>
        <v>213.09414300877964</v>
      </c>
      <c r="X46" s="2036">
        <f>HLOOKUP(X$39,MFG_inputs!$C$9:$D$23,ROW(MFG_inputs!$B16)-ROW(MFG_inputs!$B$9)+1,FALSE)</f>
        <v>213.09414300877964</v>
      </c>
      <c r="Y46" s="2036">
        <f>HLOOKUP(Y$39,MFG_inputs!$C$9:$D$23,ROW(MFG_inputs!$B16)-ROW(MFG_inputs!$B$9)+1,FALSE)</f>
        <v>213.09414300877964</v>
      </c>
      <c r="Z46" s="2036">
        <f>HLOOKUP(Z$39,MFG_inputs!$C$9:$D$23,ROW(MFG_inputs!$B16)-ROW(MFG_inputs!$B$9)+1,FALSE)</f>
        <v>213.09414300877964</v>
      </c>
      <c r="AA46" s="2036">
        <f>HLOOKUP(AA$39,MFG_inputs!$C$9:$D$23,ROW(MFG_inputs!$B16)-ROW(MFG_inputs!$B$9)+1,FALSE)</f>
        <v>213.09414300877964</v>
      </c>
      <c r="AB46" s="2036">
        <f>HLOOKUP(AB$39,MFG_inputs!$C$9:$D$23,ROW(MFG_inputs!$B16)-ROW(MFG_inputs!$B$9)+1,FALSE)</f>
        <v>213.09414300877964</v>
      </c>
    </row>
    <row r="47" spans="1:28" x14ac:dyDescent="0.45">
      <c r="A47" s="1442" t="s">
        <v>73</v>
      </c>
      <c r="B47" s="2019"/>
      <c r="C47" s="2036">
        <f>HLOOKUP(C$39,MFG_inputs!$C$9:$D$23,ROW(MFG_inputs!$B17)-ROW(MFG_inputs!$B$9)+1,FALSE)</f>
        <v>34.117567581737084</v>
      </c>
      <c r="D47" s="2036">
        <f>HLOOKUP(D$39,MFG_inputs!$C$9:$D$23,ROW(MFG_inputs!$B17)-ROW(MFG_inputs!$B$9)+1,FALSE)</f>
        <v>34.117567581737084</v>
      </c>
      <c r="E47" s="2036">
        <f>HLOOKUP(E$39,MFG_inputs!$C$9:$D$23,ROW(MFG_inputs!$B17)-ROW(MFG_inputs!$B$9)+1,FALSE)</f>
        <v>34.117567581737084</v>
      </c>
      <c r="F47" s="2036">
        <f>HLOOKUP(F$39,MFG_inputs!$C$9:$D$23,ROW(MFG_inputs!$B17)-ROW(MFG_inputs!$B$9)+1,FALSE)</f>
        <v>34.117567581737084</v>
      </c>
      <c r="G47" s="2036">
        <f>HLOOKUP(G$39,MFG_inputs!$C$9:$D$23,ROW(MFG_inputs!$B17)-ROW(MFG_inputs!$B$9)+1,FALSE)</f>
        <v>34.117567581737084</v>
      </c>
      <c r="H47" s="2036">
        <f>HLOOKUP(H$39,MFG_inputs!$C$9:$D$23,ROW(MFG_inputs!$B17)-ROW(MFG_inputs!$B$9)+1,FALSE)</f>
        <v>34.117567581737084</v>
      </c>
      <c r="I47" s="2036">
        <f>HLOOKUP(I$39,MFG_inputs!$C$9:$D$23,ROW(MFG_inputs!$B17)-ROW(MFG_inputs!$B$9)+1,FALSE)</f>
        <v>34.117567581737084</v>
      </c>
      <c r="J47" s="2036">
        <f>HLOOKUP(J$39,MFG_inputs!$C$9:$D$23,ROW(MFG_inputs!$B17)-ROW(MFG_inputs!$B$9)+1,FALSE)</f>
        <v>34.117567581737084</v>
      </c>
      <c r="K47" s="2036">
        <f>HLOOKUP(K$39,MFG_inputs!$C$9:$D$23,ROW(MFG_inputs!$B17)-ROW(MFG_inputs!$B$9)+1,FALSE)</f>
        <v>34.117567581737084</v>
      </c>
      <c r="L47" s="2036">
        <f>HLOOKUP(L$39,MFG_inputs!$C$9:$D$23,ROW(MFG_inputs!$B17)-ROW(MFG_inputs!$B$9)+1,FALSE)</f>
        <v>34.117567581737084</v>
      </c>
      <c r="M47" s="2036">
        <f>HLOOKUP(M$39,MFG_inputs!$C$9:$D$23,ROW(MFG_inputs!$B17)-ROW(MFG_inputs!$B$9)+1,FALSE)</f>
        <v>34.117567581737084</v>
      </c>
      <c r="N47" s="2036">
        <f>HLOOKUP(N$39,MFG_inputs!$C$9:$D$23,ROW(MFG_inputs!$B17)-ROW(MFG_inputs!$B$9)+1,FALSE)</f>
        <v>34.117567581737084</v>
      </c>
      <c r="O47" s="2036">
        <f>HLOOKUP(O$39,MFG_inputs!$C$9:$D$23,ROW(MFG_inputs!$B17)-ROW(MFG_inputs!$B$9)+1,FALSE)</f>
        <v>34.117567581737084</v>
      </c>
      <c r="P47" s="2036">
        <f>HLOOKUP(P$39,MFG_inputs!$C$9:$D$23,ROW(MFG_inputs!$B17)-ROW(MFG_inputs!$B$9)+1,FALSE)</f>
        <v>34.117567581737084</v>
      </c>
      <c r="Q47" s="2036">
        <f>HLOOKUP(Q$39,MFG_inputs!$C$9:$D$23,ROW(MFG_inputs!$B17)-ROW(MFG_inputs!$B$9)+1,FALSE)</f>
        <v>34.117567581737084</v>
      </c>
      <c r="R47" s="2036">
        <f>HLOOKUP(R$39,MFG_inputs!$C$9:$D$23,ROW(MFG_inputs!$B17)-ROW(MFG_inputs!$B$9)+1,FALSE)</f>
        <v>34.117567581737084</v>
      </c>
      <c r="S47" s="2036">
        <f>HLOOKUP(S$39,MFG_inputs!$C$9:$D$23,ROW(MFG_inputs!$B17)-ROW(MFG_inputs!$B$9)+1,FALSE)</f>
        <v>34.117567581737084</v>
      </c>
      <c r="T47" s="2036">
        <f>HLOOKUP(T$39,MFG_inputs!$C$9:$D$23,ROW(MFG_inputs!$B17)-ROW(MFG_inputs!$B$9)+1,FALSE)</f>
        <v>34.117567581737084</v>
      </c>
      <c r="U47" s="2036">
        <f>HLOOKUP(U$39,MFG_inputs!$C$9:$D$23,ROW(MFG_inputs!$B17)-ROW(MFG_inputs!$B$9)+1,FALSE)</f>
        <v>34.117567581737084</v>
      </c>
      <c r="V47" s="2036">
        <f>HLOOKUP(V$39,MFG_inputs!$C$9:$D$23,ROW(MFG_inputs!$B17)-ROW(MFG_inputs!$B$9)+1,FALSE)</f>
        <v>34.117567581737084</v>
      </c>
      <c r="W47" s="2036">
        <f>HLOOKUP(W$39,MFG_inputs!$C$9:$D$23,ROW(MFG_inputs!$B17)-ROW(MFG_inputs!$B$9)+1,FALSE)</f>
        <v>34.117567581737084</v>
      </c>
      <c r="X47" s="2036">
        <f>HLOOKUP(X$39,MFG_inputs!$C$9:$D$23,ROW(MFG_inputs!$B17)-ROW(MFG_inputs!$B$9)+1,FALSE)</f>
        <v>34.117567581737084</v>
      </c>
      <c r="Y47" s="2036">
        <f>HLOOKUP(Y$39,MFG_inputs!$C$9:$D$23,ROW(MFG_inputs!$B17)-ROW(MFG_inputs!$B$9)+1,FALSE)</f>
        <v>34.117567581737084</v>
      </c>
      <c r="Z47" s="2036">
        <f>HLOOKUP(Z$39,MFG_inputs!$C$9:$D$23,ROW(MFG_inputs!$B17)-ROW(MFG_inputs!$B$9)+1,FALSE)</f>
        <v>34.117567581737084</v>
      </c>
      <c r="AA47" s="2036">
        <f>HLOOKUP(AA$39,MFG_inputs!$C$9:$D$23,ROW(MFG_inputs!$B17)-ROW(MFG_inputs!$B$9)+1,FALSE)</f>
        <v>34.117567581737084</v>
      </c>
      <c r="AB47" s="2036">
        <f>HLOOKUP(AB$39,MFG_inputs!$C$9:$D$23,ROW(MFG_inputs!$B17)-ROW(MFG_inputs!$B$9)+1,FALSE)</f>
        <v>34.117567581737084</v>
      </c>
    </row>
    <row r="48" spans="1:28" x14ac:dyDescent="0.45">
      <c r="A48" s="1442" t="s">
        <v>56</v>
      </c>
      <c r="B48" s="2019"/>
      <c r="C48" s="2036">
        <f>HLOOKUP(C$39,MFG_inputs!$C$9:$D$23,ROW(MFG_inputs!$B18)-ROW(MFG_inputs!$B$9)+1,FALSE)</f>
        <v>40.347681835862737</v>
      </c>
      <c r="D48" s="2036">
        <f>HLOOKUP(D$39,MFG_inputs!$C$9:$D$23,ROW(MFG_inputs!$B18)-ROW(MFG_inputs!$B$9)+1,FALSE)</f>
        <v>40.347681835862737</v>
      </c>
      <c r="E48" s="2036">
        <f>HLOOKUP(E$39,MFG_inputs!$C$9:$D$23,ROW(MFG_inputs!$B18)-ROW(MFG_inputs!$B$9)+1,FALSE)</f>
        <v>40.347681835862737</v>
      </c>
      <c r="F48" s="2036">
        <f>HLOOKUP(F$39,MFG_inputs!$C$9:$D$23,ROW(MFG_inputs!$B18)-ROW(MFG_inputs!$B$9)+1,FALSE)</f>
        <v>40.347681835862737</v>
      </c>
      <c r="G48" s="2036">
        <f>HLOOKUP(G$39,MFG_inputs!$C$9:$D$23,ROW(MFG_inputs!$B18)-ROW(MFG_inputs!$B$9)+1,FALSE)</f>
        <v>40.347681835862737</v>
      </c>
      <c r="H48" s="2036">
        <f>HLOOKUP(H$39,MFG_inputs!$C$9:$D$23,ROW(MFG_inputs!$B18)-ROW(MFG_inputs!$B$9)+1,FALSE)</f>
        <v>40.347681835862737</v>
      </c>
      <c r="I48" s="2036">
        <f>HLOOKUP(I$39,MFG_inputs!$C$9:$D$23,ROW(MFG_inputs!$B18)-ROW(MFG_inputs!$B$9)+1,FALSE)</f>
        <v>40.347681835862737</v>
      </c>
      <c r="J48" s="2036">
        <f>HLOOKUP(J$39,MFG_inputs!$C$9:$D$23,ROW(MFG_inputs!$B18)-ROW(MFG_inputs!$B$9)+1,FALSE)</f>
        <v>40.347681835862737</v>
      </c>
      <c r="K48" s="2036">
        <f>HLOOKUP(K$39,MFG_inputs!$C$9:$D$23,ROW(MFG_inputs!$B18)-ROW(MFG_inputs!$B$9)+1,FALSE)</f>
        <v>40.347681835862737</v>
      </c>
      <c r="L48" s="2036">
        <f>HLOOKUP(L$39,MFG_inputs!$C$9:$D$23,ROW(MFG_inputs!$B18)-ROW(MFG_inputs!$B$9)+1,FALSE)</f>
        <v>40.347681835862737</v>
      </c>
      <c r="M48" s="2036">
        <f>HLOOKUP(M$39,MFG_inputs!$C$9:$D$23,ROW(MFG_inputs!$B18)-ROW(MFG_inputs!$B$9)+1,FALSE)</f>
        <v>40.347681835862737</v>
      </c>
      <c r="N48" s="2036">
        <f>HLOOKUP(N$39,MFG_inputs!$C$9:$D$23,ROW(MFG_inputs!$B18)-ROW(MFG_inputs!$B$9)+1,FALSE)</f>
        <v>40.347681835862737</v>
      </c>
      <c r="O48" s="2036">
        <f>HLOOKUP(O$39,MFG_inputs!$C$9:$D$23,ROW(MFG_inputs!$B18)-ROW(MFG_inputs!$B$9)+1,FALSE)</f>
        <v>40.347681835862737</v>
      </c>
      <c r="P48" s="2036">
        <f>HLOOKUP(P$39,MFG_inputs!$C$9:$D$23,ROW(MFG_inputs!$B18)-ROW(MFG_inputs!$B$9)+1,FALSE)</f>
        <v>40.347681835862737</v>
      </c>
      <c r="Q48" s="2036">
        <f>HLOOKUP(Q$39,MFG_inputs!$C$9:$D$23,ROW(MFG_inputs!$B18)-ROW(MFG_inputs!$B$9)+1,FALSE)</f>
        <v>40.347681835862737</v>
      </c>
      <c r="R48" s="2036">
        <f>HLOOKUP(R$39,MFG_inputs!$C$9:$D$23,ROW(MFG_inputs!$B18)-ROW(MFG_inputs!$B$9)+1,FALSE)</f>
        <v>40.347681835862737</v>
      </c>
      <c r="S48" s="2036">
        <f>HLOOKUP(S$39,MFG_inputs!$C$9:$D$23,ROW(MFG_inputs!$B18)-ROW(MFG_inputs!$B$9)+1,FALSE)</f>
        <v>40.347681835862737</v>
      </c>
      <c r="T48" s="2036">
        <f>HLOOKUP(T$39,MFG_inputs!$C$9:$D$23,ROW(MFG_inputs!$B18)-ROW(MFG_inputs!$B$9)+1,FALSE)</f>
        <v>40.347681835862737</v>
      </c>
      <c r="U48" s="2036">
        <f>HLOOKUP(U$39,MFG_inputs!$C$9:$D$23,ROW(MFG_inputs!$B18)-ROW(MFG_inputs!$B$9)+1,FALSE)</f>
        <v>40.347681835862737</v>
      </c>
      <c r="V48" s="2036">
        <f>HLOOKUP(V$39,MFG_inputs!$C$9:$D$23,ROW(MFG_inputs!$B18)-ROW(MFG_inputs!$B$9)+1,FALSE)</f>
        <v>40.347681835862737</v>
      </c>
      <c r="W48" s="2036">
        <f>HLOOKUP(W$39,MFG_inputs!$C$9:$D$23,ROW(MFG_inputs!$B18)-ROW(MFG_inputs!$B$9)+1,FALSE)</f>
        <v>40.347681835862737</v>
      </c>
      <c r="X48" s="2036">
        <f>HLOOKUP(X$39,MFG_inputs!$C$9:$D$23,ROW(MFG_inputs!$B18)-ROW(MFG_inputs!$B$9)+1,FALSE)</f>
        <v>40.347681835862737</v>
      </c>
      <c r="Y48" s="2036">
        <f>HLOOKUP(Y$39,MFG_inputs!$C$9:$D$23,ROW(MFG_inputs!$B18)-ROW(MFG_inputs!$B$9)+1,FALSE)</f>
        <v>40.347681835862737</v>
      </c>
      <c r="Z48" s="2036">
        <f>HLOOKUP(Z$39,MFG_inputs!$C$9:$D$23,ROW(MFG_inputs!$B18)-ROW(MFG_inputs!$B$9)+1,FALSE)</f>
        <v>40.347681835862737</v>
      </c>
      <c r="AA48" s="2036">
        <f>HLOOKUP(AA$39,MFG_inputs!$C$9:$D$23,ROW(MFG_inputs!$B18)-ROW(MFG_inputs!$B$9)+1,FALSE)</f>
        <v>40.347681835862737</v>
      </c>
      <c r="AB48" s="2036">
        <f>HLOOKUP(AB$39,MFG_inputs!$C$9:$D$23,ROW(MFG_inputs!$B18)-ROW(MFG_inputs!$B$9)+1,FALSE)</f>
        <v>40.347681835862737</v>
      </c>
    </row>
    <row r="49" spans="1:28" x14ac:dyDescent="0.45">
      <c r="A49" s="1442" t="s">
        <v>57</v>
      </c>
      <c r="B49" s="2019"/>
      <c r="C49" s="2036">
        <f>HLOOKUP(C$39,MFG_inputs!$C$9:$D$23,ROW(MFG_inputs!$B19)-ROW(MFG_inputs!$B$9)+1,FALSE)</f>
        <v>20.721804139804703</v>
      </c>
      <c r="D49" s="2036">
        <f>HLOOKUP(D$39,MFG_inputs!$C$9:$D$23,ROW(MFG_inputs!$B19)-ROW(MFG_inputs!$B$9)+1,FALSE)</f>
        <v>20.721804139804703</v>
      </c>
      <c r="E49" s="2036">
        <f>HLOOKUP(E$39,MFG_inputs!$C$9:$D$23,ROW(MFG_inputs!$B19)-ROW(MFG_inputs!$B$9)+1,FALSE)</f>
        <v>20.721804139804703</v>
      </c>
      <c r="F49" s="2036">
        <f>HLOOKUP(F$39,MFG_inputs!$C$9:$D$23,ROW(MFG_inputs!$B19)-ROW(MFG_inputs!$B$9)+1,FALSE)</f>
        <v>20.721804139804703</v>
      </c>
      <c r="G49" s="2036">
        <f>HLOOKUP(G$39,MFG_inputs!$C$9:$D$23,ROW(MFG_inputs!$B19)-ROW(MFG_inputs!$B$9)+1,FALSE)</f>
        <v>20.721804139804703</v>
      </c>
      <c r="H49" s="2036">
        <f>HLOOKUP(H$39,MFG_inputs!$C$9:$D$23,ROW(MFG_inputs!$B19)-ROW(MFG_inputs!$B$9)+1,FALSE)</f>
        <v>20.721804139804703</v>
      </c>
      <c r="I49" s="2036">
        <f>HLOOKUP(I$39,MFG_inputs!$C$9:$D$23,ROW(MFG_inputs!$B19)-ROW(MFG_inputs!$B$9)+1,FALSE)</f>
        <v>20.721804139804703</v>
      </c>
      <c r="J49" s="2036">
        <f>HLOOKUP(J$39,MFG_inputs!$C$9:$D$23,ROW(MFG_inputs!$B19)-ROW(MFG_inputs!$B$9)+1,FALSE)</f>
        <v>20.721804139804703</v>
      </c>
      <c r="K49" s="2036">
        <f>HLOOKUP(K$39,MFG_inputs!$C$9:$D$23,ROW(MFG_inputs!$B19)-ROW(MFG_inputs!$B$9)+1,FALSE)</f>
        <v>20.721804139804703</v>
      </c>
      <c r="L49" s="2036">
        <f>HLOOKUP(L$39,MFG_inputs!$C$9:$D$23,ROW(MFG_inputs!$B19)-ROW(MFG_inputs!$B$9)+1,FALSE)</f>
        <v>20.721804139804703</v>
      </c>
      <c r="M49" s="2036">
        <f>HLOOKUP(M$39,MFG_inputs!$C$9:$D$23,ROW(MFG_inputs!$B19)-ROW(MFG_inputs!$B$9)+1,FALSE)</f>
        <v>20.721804139804703</v>
      </c>
      <c r="N49" s="2036">
        <f>HLOOKUP(N$39,MFG_inputs!$C$9:$D$23,ROW(MFG_inputs!$B19)-ROW(MFG_inputs!$B$9)+1,FALSE)</f>
        <v>20.721804139804703</v>
      </c>
      <c r="O49" s="2036">
        <f>HLOOKUP(O$39,MFG_inputs!$C$9:$D$23,ROW(MFG_inputs!$B19)-ROW(MFG_inputs!$B$9)+1,FALSE)</f>
        <v>20.721804139804703</v>
      </c>
      <c r="P49" s="2036">
        <f>HLOOKUP(P$39,MFG_inputs!$C$9:$D$23,ROW(MFG_inputs!$B19)-ROW(MFG_inputs!$B$9)+1,FALSE)</f>
        <v>20.721804139804703</v>
      </c>
      <c r="Q49" s="2036">
        <f>HLOOKUP(Q$39,MFG_inputs!$C$9:$D$23,ROW(MFG_inputs!$B19)-ROW(MFG_inputs!$B$9)+1,FALSE)</f>
        <v>20.721804139804703</v>
      </c>
      <c r="R49" s="2036">
        <f>HLOOKUP(R$39,MFG_inputs!$C$9:$D$23,ROW(MFG_inputs!$B19)-ROW(MFG_inputs!$B$9)+1,FALSE)</f>
        <v>20.721804139804703</v>
      </c>
      <c r="S49" s="2036">
        <f>HLOOKUP(S$39,MFG_inputs!$C$9:$D$23,ROW(MFG_inputs!$B19)-ROW(MFG_inputs!$B$9)+1,FALSE)</f>
        <v>20.721804139804703</v>
      </c>
      <c r="T49" s="2036">
        <f>HLOOKUP(T$39,MFG_inputs!$C$9:$D$23,ROW(MFG_inputs!$B19)-ROW(MFG_inputs!$B$9)+1,FALSE)</f>
        <v>20.721804139804703</v>
      </c>
      <c r="U49" s="2036">
        <f>HLOOKUP(U$39,MFG_inputs!$C$9:$D$23,ROW(MFG_inputs!$B19)-ROW(MFG_inputs!$B$9)+1,FALSE)</f>
        <v>20.721804139804703</v>
      </c>
      <c r="V49" s="2036">
        <f>HLOOKUP(V$39,MFG_inputs!$C$9:$D$23,ROW(MFG_inputs!$B19)-ROW(MFG_inputs!$B$9)+1,FALSE)</f>
        <v>20.721804139804703</v>
      </c>
      <c r="W49" s="2036">
        <f>HLOOKUP(W$39,MFG_inputs!$C$9:$D$23,ROW(MFG_inputs!$B19)-ROW(MFG_inputs!$B$9)+1,FALSE)</f>
        <v>20.721804139804703</v>
      </c>
      <c r="X49" s="2036">
        <f>HLOOKUP(X$39,MFG_inputs!$C$9:$D$23,ROW(MFG_inputs!$B19)-ROW(MFG_inputs!$B$9)+1,FALSE)</f>
        <v>20.721804139804703</v>
      </c>
      <c r="Y49" s="2036">
        <f>HLOOKUP(Y$39,MFG_inputs!$C$9:$D$23,ROW(MFG_inputs!$B19)-ROW(MFG_inputs!$B$9)+1,FALSE)</f>
        <v>20.721804139804703</v>
      </c>
      <c r="Z49" s="2036">
        <f>HLOOKUP(Z$39,MFG_inputs!$C$9:$D$23,ROW(MFG_inputs!$B19)-ROW(MFG_inputs!$B$9)+1,FALSE)</f>
        <v>20.721804139804703</v>
      </c>
      <c r="AA49" s="2036">
        <f>HLOOKUP(AA$39,MFG_inputs!$C$9:$D$23,ROW(MFG_inputs!$B19)-ROW(MFG_inputs!$B$9)+1,FALSE)</f>
        <v>20.721804139804703</v>
      </c>
      <c r="AB49" s="2036">
        <f>HLOOKUP(AB$39,MFG_inputs!$C$9:$D$23,ROW(MFG_inputs!$B19)-ROW(MFG_inputs!$B$9)+1,FALSE)</f>
        <v>20.721804139804703</v>
      </c>
    </row>
    <row r="50" spans="1:28" x14ac:dyDescent="0.45">
      <c r="A50" s="1442" t="s">
        <v>58</v>
      </c>
      <c r="B50" s="2019"/>
      <c r="C50" s="2036">
        <f>HLOOKUP(C$39,MFG_inputs!$C$9:$D$23,ROW(MFG_inputs!$B20)-ROW(MFG_inputs!$B$9)+1,FALSE)</f>
        <v>89.137104389133725</v>
      </c>
      <c r="D50" s="2036">
        <f>HLOOKUP(D$39,MFG_inputs!$C$9:$D$23,ROW(MFG_inputs!$B20)-ROW(MFG_inputs!$B$9)+1,FALSE)</f>
        <v>89.137104389133725</v>
      </c>
      <c r="E50" s="2036">
        <f>HLOOKUP(E$39,MFG_inputs!$C$9:$D$23,ROW(MFG_inputs!$B20)-ROW(MFG_inputs!$B$9)+1,FALSE)</f>
        <v>89.137104389133725</v>
      </c>
      <c r="F50" s="2036">
        <f>HLOOKUP(F$39,MFG_inputs!$C$9:$D$23,ROW(MFG_inputs!$B20)-ROW(MFG_inputs!$B$9)+1,FALSE)</f>
        <v>89.137104389133725</v>
      </c>
      <c r="G50" s="2036">
        <f>HLOOKUP(G$39,MFG_inputs!$C$9:$D$23,ROW(MFG_inputs!$B20)-ROW(MFG_inputs!$B$9)+1,FALSE)</f>
        <v>89.137104389133725</v>
      </c>
      <c r="H50" s="2036">
        <f>HLOOKUP(H$39,MFG_inputs!$C$9:$D$23,ROW(MFG_inputs!$B20)-ROW(MFG_inputs!$B$9)+1,FALSE)</f>
        <v>89.137104389133725</v>
      </c>
      <c r="I50" s="2036">
        <f>HLOOKUP(I$39,MFG_inputs!$C$9:$D$23,ROW(MFG_inputs!$B20)-ROW(MFG_inputs!$B$9)+1,FALSE)</f>
        <v>89.137104389133725</v>
      </c>
      <c r="J50" s="2036">
        <f>HLOOKUP(J$39,MFG_inputs!$C$9:$D$23,ROW(MFG_inputs!$B20)-ROW(MFG_inputs!$B$9)+1,FALSE)</f>
        <v>89.137104389133725</v>
      </c>
      <c r="K50" s="2036">
        <f>HLOOKUP(K$39,MFG_inputs!$C$9:$D$23,ROW(MFG_inputs!$B20)-ROW(MFG_inputs!$B$9)+1,FALSE)</f>
        <v>89.137104389133725</v>
      </c>
      <c r="L50" s="2036">
        <f>HLOOKUP(L$39,MFG_inputs!$C$9:$D$23,ROW(MFG_inputs!$B20)-ROW(MFG_inputs!$B$9)+1,FALSE)</f>
        <v>89.137104389133725</v>
      </c>
      <c r="M50" s="2036">
        <f>HLOOKUP(M$39,MFG_inputs!$C$9:$D$23,ROW(MFG_inputs!$B20)-ROW(MFG_inputs!$B$9)+1,FALSE)</f>
        <v>89.137104389133725</v>
      </c>
      <c r="N50" s="2036">
        <f>HLOOKUP(N$39,MFG_inputs!$C$9:$D$23,ROW(MFG_inputs!$B20)-ROW(MFG_inputs!$B$9)+1,FALSE)</f>
        <v>89.137104389133725</v>
      </c>
      <c r="O50" s="2036">
        <f>HLOOKUP(O$39,MFG_inputs!$C$9:$D$23,ROW(MFG_inputs!$B20)-ROW(MFG_inputs!$B$9)+1,FALSE)</f>
        <v>89.137104389133725</v>
      </c>
      <c r="P50" s="2036">
        <f>HLOOKUP(P$39,MFG_inputs!$C$9:$D$23,ROW(MFG_inputs!$B20)-ROW(MFG_inputs!$B$9)+1,FALSE)</f>
        <v>89.137104389133725</v>
      </c>
      <c r="Q50" s="2036">
        <f>HLOOKUP(Q$39,MFG_inputs!$C$9:$D$23,ROW(MFG_inputs!$B20)-ROW(MFG_inputs!$B$9)+1,FALSE)</f>
        <v>89.137104389133725</v>
      </c>
      <c r="R50" s="2036">
        <f>HLOOKUP(R$39,MFG_inputs!$C$9:$D$23,ROW(MFG_inputs!$B20)-ROW(MFG_inputs!$B$9)+1,FALSE)</f>
        <v>89.137104389133725</v>
      </c>
      <c r="S50" s="2036">
        <f>HLOOKUP(S$39,MFG_inputs!$C$9:$D$23,ROW(MFG_inputs!$B20)-ROW(MFG_inputs!$B$9)+1,FALSE)</f>
        <v>89.137104389133725</v>
      </c>
      <c r="T50" s="2036">
        <f>HLOOKUP(T$39,MFG_inputs!$C$9:$D$23,ROW(MFG_inputs!$B20)-ROW(MFG_inputs!$B$9)+1,FALSE)</f>
        <v>89.137104389133725</v>
      </c>
      <c r="U50" s="2036">
        <f>HLOOKUP(U$39,MFG_inputs!$C$9:$D$23,ROW(MFG_inputs!$B20)-ROW(MFG_inputs!$B$9)+1,FALSE)</f>
        <v>89.137104389133725</v>
      </c>
      <c r="V50" s="2036">
        <f>HLOOKUP(V$39,MFG_inputs!$C$9:$D$23,ROW(MFG_inputs!$B20)-ROW(MFG_inputs!$B$9)+1,FALSE)</f>
        <v>89.137104389133725</v>
      </c>
      <c r="W50" s="2036">
        <f>HLOOKUP(W$39,MFG_inputs!$C$9:$D$23,ROW(MFG_inputs!$B20)-ROW(MFG_inputs!$B$9)+1,FALSE)</f>
        <v>89.137104389133725</v>
      </c>
      <c r="X50" s="2036">
        <f>HLOOKUP(X$39,MFG_inputs!$C$9:$D$23,ROW(MFG_inputs!$B20)-ROW(MFG_inputs!$B$9)+1,FALSE)</f>
        <v>89.137104389133725</v>
      </c>
      <c r="Y50" s="2036">
        <f>HLOOKUP(Y$39,MFG_inputs!$C$9:$D$23,ROW(MFG_inputs!$B20)-ROW(MFG_inputs!$B$9)+1,FALSE)</f>
        <v>89.137104389133725</v>
      </c>
      <c r="Z50" s="2036">
        <f>HLOOKUP(Z$39,MFG_inputs!$C$9:$D$23,ROW(MFG_inputs!$B20)-ROW(MFG_inputs!$B$9)+1,FALSE)</f>
        <v>89.137104389133725</v>
      </c>
      <c r="AA50" s="2036">
        <f>HLOOKUP(AA$39,MFG_inputs!$C$9:$D$23,ROW(MFG_inputs!$B20)-ROW(MFG_inputs!$B$9)+1,FALSE)</f>
        <v>89.137104389133725</v>
      </c>
      <c r="AB50" s="2036">
        <f>HLOOKUP(AB$39,MFG_inputs!$C$9:$D$23,ROW(MFG_inputs!$B20)-ROW(MFG_inputs!$B$9)+1,FALSE)</f>
        <v>89.137104389133725</v>
      </c>
    </row>
    <row r="51" spans="1:28" x14ac:dyDescent="0.45">
      <c r="A51" s="1442" t="s">
        <v>59</v>
      </c>
      <c r="B51" s="2019"/>
      <c r="C51" s="2036">
        <f>HLOOKUP(C$39,MFG_inputs!$C$9:$D$23,ROW(MFG_inputs!$B21)-ROW(MFG_inputs!$B$9)+1,FALSE)</f>
        <v>539.65352290816304</v>
      </c>
      <c r="D51" s="2036">
        <f>HLOOKUP(D$39,MFG_inputs!$C$9:$D$23,ROW(MFG_inputs!$B21)-ROW(MFG_inputs!$B$9)+1,FALSE)</f>
        <v>539.65352290816304</v>
      </c>
      <c r="E51" s="2036">
        <f>HLOOKUP(E$39,MFG_inputs!$C$9:$D$23,ROW(MFG_inputs!$B21)-ROW(MFG_inputs!$B$9)+1,FALSE)</f>
        <v>539.65352290816304</v>
      </c>
      <c r="F51" s="2036">
        <f>HLOOKUP(F$39,MFG_inputs!$C$9:$D$23,ROW(MFG_inputs!$B21)-ROW(MFG_inputs!$B$9)+1,FALSE)</f>
        <v>539.65352290816304</v>
      </c>
      <c r="G51" s="2036">
        <f>HLOOKUP(G$39,MFG_inputs!$C$9:$D$23,ROW(MFG_inputs!$B21)-ROW(MFG_inputs!$B$9)+1,FALSE)</f>
        <v>539.65352290816304</v>
      </c>
      <c r="H51" s="2036">
        <f>HLOOKUP(H$39,MFG_inputs!$C$9:$D$23,ROW(MFG_inputs!$B21)-ROW(MFG_inputs!$B$9)+1,FALSE)</f>
        <v>539.65352290816304</v>
      </c>
      <c r="I51" s="2036">
        <f>HLOOKUP(I$39,MFG_inputs!$C$9:$D$23,ROW(MFG_inputs!$B21)-ROW(MFG_inputs!$B$9)+1,FALSE)</f>
        <v>539.65352290816304</v>
      </c>
      <c r="J51" s="2036">
        <f>HLOOKUP(J$39,MFG_inputs!$C$9:$D$23,ROW(MFG_inputs!$B21)-ROW(MFG_inputs!$B$9)+1,FALSE)</f>
        <v>539.65352290816304</v>
      </c>
      <c r="K51" s="2036">
        <f>HLOOKUP(K$39,MFG_inputs!$C$9:$D$23,ROW(MFG_inputs!$B21)-ROW(MFG_inputs!$B$9)+1,FALSE)</f>
        <v>539.65352290816304</v>
      </c>
      <c r="L51" s="2036">
        <f>HLOOKUP(L$39,MFG_inputs!$C$9:$D$23,ROW(MFG_inputs!$B21)-ROW(MFG_inputs!$B$9)+1,FALSE)</f>
        <v>539.65352290816304</v>
      </c>
      <c r="M51" s="2036">
        <f>HLOOKUP(M$39,MFG_inputs!$C$9:$D$23,ROW(MFG_inputs!$B21)-ROW(MFG_inputs!$B$9)+1,FALSE)</f>
        <v>539.65352290816304</v>
      </c>
      <c r="N51" s="2036">
        <f>HLOOKUP(N$39,MFG_inputs!$C$9:$D$23,ROW(MFG_inputs!$B21)-ROW(MFG_inputs!$B$9)+1,FALSE)</f>
        <v>539.65352290816304</v>
      </c>
      <c r="O51" s="2036">
        <f>HLOOKUP(O$39,MFG_inputs!$C$9:$D$23,ROW(MFG_inputs!$B21)-ROW(MFG_inputs!$B$9)+1,FALSE)</f>
        <v>539.65352290816304</v>
      </c>
      <c r="P51" s="2036">
        <f>HLOOKUP(P$39,MFG_inputs!$C$9:$D$23,ROW(MFG_inputs!$B21)-ROW(MFG_inputs!$B$9)+1,FALSE)</f>
        <v>539.65352290816304</v>
      </c>
      <c r="Q51" s="2036">
        <f>HLOOKUP(Q$39,MFG_inputs!$C$9:$D$23,ROW(MFG_inputs!$B21)-ROW(MFG_inputs!$B$9)+1,FALSE)</f>
        <v>539.65352290816304</v>
      </c>
      <c r="R51" s="2036">
        <f>HLOOKUP(R$39,MFG_inputs!$C$9:$D$23,ROW(MFG_inputs!$B21)-ROW(MFG_inputs!$B$9)+1,FALSE)</f>
        <v>539.65352290816304</v>
      </c>
      <c r="S51" s="2036">
        <f>HLOOKUP(S$39,MFG_inputs!$C$9:$D$23,ROW(MFG_inputs!$B21)-ROW(MFG_inputs!$B$9)+1,FALSE)</f>
        <v>539.65352290816304</v>
      </c>
      <c r="T51" s="2036">
        <f>HLOOKUP(T$39,MFG_inputs!$C$9:$D$23,ROW(MFG_inputs!$B21)-ROW(MFG_inputs!$B$9)+1,FALSE)</f>
        <v>539.65352290816304</v>
      </c>
      <c r="U51" s="2036">
        <f>HLOOKUP(U$39,MFG_inputs!$C$9:$D$23,ROW(MFG_inputs!$B21)-ROW(MFG_inputs!$B$9)+1,FALSE)</f>
        <v>539.65352290816304</v>
      </c>
      <c r="V51" s="2036">
        <f>HLOOKUP(V$39,MFG_inputs!$C$9:$D$23,ROW(MFG_inputs!$B21)-ROW(MFG_inputs!$B$9)+1,FALSE)</f>
        <v>539.65352290816304</v>
      </c>
      <c r="W51" s="2036">
        <f>HLOOKUP(W$39,MFG_inputs!$C$9:$D$23,ROW(MFG_inputs!$B21)-ROW(MFG_inputs!$B$9)+1,FALSE)</f>
        <v>539.65352290816304</v>
      </c>
      <c r="X51" s="2036">
        <f>HLOOKUP(X$39,MFG_inputs!$C$9:$D$23,ROW(MFG_inputs!$B21)-ROW(MFG_inputs!$B$9)+1,FALSE)</f>
        <v>539.65352290816304</v>
      </c>
      <c r="Y51" s="2036">
        <f>HLOOKUP(Y$39,MFG_inputs!$C$9:$D$23,ROW(MFG_inputs!$B21)-ROW(MFG_inputs!$B$9)+1,FALSE)</f>
        <v>539.65352290816304</v>
      </c>
      <c r="Z51" s="2036">
        <f>HLOOKUP(Z$39,MFG_inputs!$C$9:$D$23,ROW(MFG_inputs!$B21)-ROW(MFG_inputs!$B$9)+1,FALSE)</f>
        <v>539.65352290816304</v>
      </c>
      <c r="AA51" s="2036">
        <f>HLOOKUP(AA$39,MFG_inputs!$C$9:$D$23,ROW(MFG_inputs!$B21)-ROW(MFG_inputs!$B$9)+1,FALSE)</f>
        <v>539.65352290816304</v>
      </c>
      <c r="AB51" s="2036">
        <f>HLOOKUP(AB$39,MFG_inputs!$C$9:$D$23,ROW(MFG_inputs!$B21)-ROW(MFG_inputs!$B$9)+1,FALSE)</f>
        <v>539.65352290816304</v>
      </c>
    </row>
    <row r="52" spans="1:28" x14ac:dyDescent="0.45">
      <c r="A52" s="1442" t="s">
        <v>60</v>
      </c>
      <c r="B52" s="2019"/>
      <c r="C52" s="2036">
        <f>HLOOKUP(C$39,MFG_inputs!$C$9:$D$23,ROW(MFG_inputs!$B22)-ROW(MFG_inputs!$B$9)+1,FALSE)</f>
        <v>49.941730643512514</v>
      </c>
      <c r="D52" s="2036">
        <f>HLOOKUP(D$39,MFG_inputs!$C$9:$D$23,ROW(MFG_inputs!$B22)-ROW(MFG_inputs!$B$9)+1,FALSE)</f>
        <v>49.941730643512514</v>
      </c>
      <c r="E52" s="2036">
        <f>HLOOKUP(E$39,MFG_inputs!$C$9:$D$23,ROW(MFG_inputs!$B22)-ROW(MFG_inputs!$B$9)+1,FALSE)</f>
        <v>49.941730643512514</v>
      </c>
      <c r="F52" s="2036">
        <f>HLOOKUP(F$39,MFG_inputs!$C$9:$D$23,ROW(MFG_inputs!$B22)-ROW(MFG_inputs!$B$9)+1,FALSE)</f>
        <v>49.941730643512514</v>
      </c>
      <c r="G52" s="2036">
        <f>HLOOKUP(G$39,MFG_inputs!$C$9:$D$23,ROW(MFG_inputs!$B22)-ROW(MFG_inputs!$B$9)+1,FALSE)</f>
        <v>49.941730643512514</v>
      </c>
      <c r="H52" s="2036">
        <f>HLOOKUP(H$39,MFG_inputs!$C$9:$D$23,ROW(MFG_inputs!$B22)-ROW(MFG_inputs!$B$9)+1,FALSE)</f>
        <v>49.941730643512514</v>
      </c>
      <c r="I52" s="2036">
        <f>HLOOKUP(I$39,MFG_inputs!$C$9:$D$23,ROW(MFG_inputs!$B22)-ROW(MFG_inputs!$B$9)+1,FALSE)</f>
        <v>49.941730643512514</v>
      </c>
      <c r="J52" s="2036">
        <f>HLOOKUP(J$39,MFG_inputs!$C$9:$D$23,ROW(MFG_inputs!$B22)-ROW(MFG_inputs!$B$9)+1,FALSE)</f>
        <v>49.941730643512514</v>
      </c>
      <c r="K52" s="2036">
        <f>HLOOKUP(K$39,MFG_inputs!$C$9:$D$23,ROW(MFG_inputs!$B22)-ROW(MFG_inputs!$B$9)+1,FALSE)</f>
        <v>49.941730643512514</v>
      </c>
      <c r="L52" s="2036">
        <f>HLOOKUP(L$39,MFG_inputs!$C$9:$D$23,ROW(MFG_inputs!$B22)-ROW(MFG_inputs!$B$9)+1,FALSE)</f>
        <v>49.941730643512514</v>
      </c>
      <c r="M52" s="2036">
        <f>HLOOKUP(M$39,MFG_inputs!$C$9:$D$23,ROW(MFG_inputs!$B22)-ROW(MFG_inputs!$B$9)+1,FALSE)</f>
        <v>49.941730643512514</v>
      </c>
      <c r="N52" s="2036">
        <f>HLOOKUP(N$39,MFG_inputs!$C$9:$D$23,ROW(MFG_inputs!$B22)-ROW(MFG_inputs!$B$9)+1,FALSE)</f>
        <v>49.941730643512514</v>
      </c>
      <c r="O52" s="2036">
        <f>HLOOKUP(O$39,MFG_inputs!$C$9:$D$23,ROW(MFG_inputs!$B22)-ROW(MFG_inputs!$B$9)+1,FALSE)</f>
        <v>49.941730643512514</v>
      </c>
      <c r="P52" s="2036">
        <f>HLOOKUP(P$39,MFG_inputs!$C$9:$D$23,ROW(MFG_inputs!$B22)-ROW(MFG_inputs!$B$9)+1,FALSE)</f>
        <v>49.941730643512514</v>
      </c>
      <c r="Q52" s="2036">
        <f>HLOOKUP(Q$39,MFG_inputs!$C$9:$D$23,ROW(MFG_inputs!$B22)-ROW(MFG_inputs!$B$9)+1,FALSE)</f>
        <v>49.941730643512514</v>
      </c>
      <c r="R52" s="2036">
        <f>HLOOKUP(R$39,MFG_inputs!$C$9:$D$23,ROW(MFG_inputs!$B22)-ROW(MFG_inputs!$B$9)+1,FALSE)</f>
        <v>49.941730643512514</v>
      </c>
      <c r="S52" s="2036">
        <f>HLOOKUP(S$39,MFG_inputs!$C$9:$D$23,ROW(MFG_inputs!$B22)-ROW(MFG_inputs!$B$9)+1,FALSE)</f>
        <v>49.941730643512514</v>
      </c>
      <c r="T52" s="2036">
        <f>HLOOKUP(T$39,MFG_inputs!$C$9:$D$23,ROW(MFG_inputs!$B22)-ROW(MFG_inputs!$B$9)+1,FALSE)</f>
        <v>49.941730643512514</v>
      </c>
      <c r="U52" s="2036">
        <f>HLOOKUP(U$39,MFG_inputs!$C$9:$D$23,ROW(MFG_inputs!$B22)-ROW(MFG_inputs!$B$9)+1,FALSE)</f>
        <v>49.941730643512514</v>
      </c>
      <c r="V52" s="2036">
        <f>HLOOKUP(V$39,MFG_inputs!$C$9:$D$23,ROW(MFG_inputs!$B22)-ROW(MFG_inputs!$B$9)+1,FALSE)</f>
        <v>49.941730643512514</v>
      </c>
      <c r="W52" s="2036">
        <f>HLOOKUP(W$39,MFG_inputs!$C$9:$D$23,ROW(MFG_inputs!$B22)-ROW(MFG_inputs!$B$9)+1,FALSE)</f>
        <v>49.941730643512514</v>
      </c>
      <c r="X52" s="2036">
        <f>HLOOKUP(X$39,MFG_inputs!$C$9:$D$23,ROW(MFG_inputs!$B22)-ROW(MFG_inputs!$B$9)+1,FALSE)</f>
        <v>49.941730643512514</v>
      </c>
      <c r="Y52" s="2036">
        <f>HLOOKUP(Y$39,MFG_inputs!$C$9:$D$23,ROW(MFG_inputs!$B22)-ROW(MFG_inputs!$B$9)+1,FALSE)</f>
        <v>49.941730643512514</v>
      </c>
      <c r="Z52" s="2036">
        <f>HLOOKUP(Z$39,MFG_inputs!$C$9:$D$23,ROW(MFG_inputs!$B22)-ROW(MFG_inputs!$B$9)+1,FALSE)</f>
        <v>49.941730643512514</v>
      </c>
      <c r="AA52" s="2036">
        <f>HLOOKUP(AA$39,MFG_inputs!$C$9:$D$23,ROW(MFG_inputs!$B22)-ROW(MFG_inputs!$B$9)+1,FALSE)</f>
        <v>49.941730643512514</v>
      </c>
      <c r="AB52" s="2036">
        <f>HLOOKUP(AB$39,MFG_inputs!$C$9:$D$23,ROW(MFG_inputs!$B22)-ROW(MFG_inputs!$B$9)+1,FALSE)</f>
        <v>49.941730643512514</v>
      </c>
    </row>
    <row r="53" spans="1:28" x14ac:dyDescent="0.45">
      <c r="A53" s="1442" t="s">
        <v>61</v>
      </c>
      <c r="B53" s="2019"/>
      <c r="C53" s="2036">
        <f>HLOOKUP(C$39,MFG_inputs!$C$9:$D$23,ROW(MFG_inputs!$B23)-ROW(MFG_inputs!$B$9)+1,FALSE)</f>
        <v>120</v>
      </c>
      <c r="D53" s="2036">
        <f>HLOOKUP(D$39,MFG_inputs!$C$9:$D$23,ROW(MFG_inputs!$B23)-ROW(MFG_inputs!$B$9)+1,FALSE)</f>
        <v>120</v>
      </c>
      <c r="E53" s="2036">
        <f>HLOOKUP(E$39,MFG_inputs!$C$9:$D$23,ROW(MFG_inputs!$B23)-ROW(MFG_inputs!$B$9)+1,FALSE)</f>
        <v>120</v>
      </c>
      <c r="F53" s="2036">
        <f>HLOOKUP(F$39,MFG_inputs!$C$9:$D$23,ROW(MFG_inputs!$B23)-ROW(MFG_inputs!$B$9)+1,FALSE)</f>
        <v>120</v>
      </c>
      <c r="G53" s="2036">
        <f>HLOOKUP(G$39,MFG_inputs!$C$9:$D$23,ROW(MFG_inputs!$B23)-ROW(MFG_inputs!$B$9)+1,FALSE)</f>
        <v>120</v>
      </c>
      <c r="H53" s="2036">
        <f>HLOOKUP(H$39,MFG_inputs!$C$9:$D$23,ROW(MFG_inputs!$B23)-ROW(MFG_inputs!$B$9)+1,FALSE)</f>
        <v>120</v>
      </c>
      <c r="I53" s="2036">
        <f>HLOOKUP(I$39,MFG_inputs!$C$9:$D$23,ROW(MFG_inputs!$B23)-ROW(MFG_inputs!$B$9)+1,FALSE)</f>
        <v>120</v>
      </c>
      <c r="J53" s="2036">
        <f>HLOOKUP(J$39,MFG_inputs!$C$9:$D$23,ROW(MFG_inputs!$B23)-ROW(MFG_inputs!$B$9)+1,FALSE)</f>
        <v>120</v>
      </c>
      <c r="K53" s="2036">
        <f>HLOOKUP(K$39,MFG_inputs!$C$9:$D$23,ROW(MFG_inputs!$B23)-ROW(MFG_inputs!$B$9)+1,FALSE)</f>
        <v>120</v>
      </c>
      <c r="L53" s="2036">
        <f>HLOOKUP(L$39,MFG_inputs!$C$9:$D$23,ROW(MFG_inputs!$B23)-ROW(MFG_inputs!$B$9)+1,FALSE)</f>
        <v>120</v>
      </c>
      <c r="M53" s="2036">
        <f>HLOOKUP(M$39,MFG_inputs!$C$9:$D$23,ROW(MFG_inputs!$B23)-ROW(MFG_inputs!$B$9)+1,FALSE)</f>
        <v>120</v>
      </c>
      <c r="N53" s="2036">
        <f>HLOOKUP(N$39,MFG_inputs!$C$9:$D$23,ROW(MFG_inputs!$B23)-ROW(MFG_inputs!$B$9)+1,FALSE)</f>
        <v>120</v>
      </c>
      <c r="O53" s="2036">
        <f>HLOOKUP(O$39,MFG_inputs!$C$9:$D$23,ROW(MFG_inputs!$B23)-ROW(MFG_inputs!$B$9)+1,FALSE)</f>
        <v>120</v>
      </c>
      <c r="P53" s="2036">
        <f>HLOOKUP(P$39,MFG_inputs!$C$9:$D$23,ROW(MFG_inputs!$B23)-ROW(MFG_inputs!$B$9)+1,FALSE)</f>
        <v>120</v>
      </c>
      <c r="Q53" s="2036">
        <f>HLOOKUP(Q$39,MFG_inputs!$C$9:$D$23,ROW(MFG_inputs!$B23)-ROW(MFG_inputs!$B$9)+1,FALSE)</f>
        <v>120</v>
      </c>
      <c r="R53" s="2036">
        <f>HLOOKUP(R$39,MFG_inputs!$C$9:$D$23,ROW(MFG_inputs!$B23)-ROW(MFG_inputs!$B$9)+1,FALSE)</f>
        <v>120</v>
      </c>
      <c r="S53" s="2036">
        <f>HLOOKUP(S$39,MFG_inputs!$C$9:$D$23,ROW(MFG_inputs!$B23)-ROW(MFG_inputs!$B$9)+1,FALSE)</f>
        <v>120</v>
      </c>
      <c r="T53" s="2036">
        <f>HLOOKUP(T$39,MFG_inputs!$C$9:$D$23,ROW(MFG_inputs!$B23)-ROW(MFG_inputs!$B$9)+1,FALSE)</f>
        <v>120</v>
      </c>
      <c r="U53" s="2036">
        <f>HLOOKUP(U$39,MFG_inputs!$C$9:$D$23,ROW(MFG_inputs!$B23)-ROW(MFG_inputs!$B$9)+1,FALSE)</f>
        <v>120</v>
      </c>
      <c r="V53" s="2036">
        <f>HLOOKUP(V$39,MFG_inputs!$C$9:$D$23,ROW(MFG_inputs!$B23)-ROW(MFG_inputs!$B$9)+1,FALSE)</f>
        <v>120</v>
      </c>
      <c r="W53" s="2036">
        <f>HLOOKUP(W$39,MFG_inputs!$C$9:$D$23,ROW(MFG_inputs!$B23)-ROW(MFG_inputs!$B$9)+1,FALSE)</f>
        <v>120</v>
      </c>
      <c r="X53" s="2036">
        <f>HLOOKUP(X$39,MFG_inputs!$C$9:$D$23,ROW(MFG_inputs!$B23)-ROW(MFG_inputs!$B$9)+1,FALSE)</f>
        <v>120</v>
      </c>
      <c r="Y53" s="2036">
        <f>HLOOKUP(Y$39,MFG_inputs!$C$9:$D$23,ROW(MFG_inputs!$B23)-ROW(MFG_inputs!$B$9)+1,FALSE)</f>
        <v>120</v>
      </c>
      <c r="Z53" s="2036">
        <f>HLOOKUP(Z$39,MFG_inputs!$C$9:$D$23,ROW(MFG_inputs!$B23)-ROW(MFG_inputs!$B$9)+1,FALSE)</f>
        <v>120</v>
      </c>
      <c r="AA53" s="2036">
        <f>HLOOKUP(AA$39,MFG_inputs!$C$9:$D$23,ROW(MFG_inputs!$B23)-ROW(MFG_inputs!$B$9)+1,FALSE)</f>
        <v>120</v>
      </c>
      <c r="AB53" s="2036">
        <f>HLOOKUP(AB$39,MFG_inputs!$C$9:$D$23,ROW(MFG_inputs!$B23)-ROW(MFG_inputs!$B$9)+1,FALSE)</f>
        <v>120</v>
      </c>
    </row>
    <row r="54" spans="1:28" x14ac:dyDescent="0.45">
      <c r="A54" s="1439"/>
      <c r="B54" s="1953"/>
      <c r="C54" s="1953"/>
      <c r="D54" s="1955"/>
      <c r="E54" s="1955"/>
      <c r="F54" s="1955"/>
      <c r="G54" s="1953"/>
      <c r="H54" s="1953"/>
      <c r="I54" s="1953"/>
      <c r="J54" s="1953"/>
      <c r="K54" s="1953"/>
      <c r="L54" s="1953"/>
      <c r="M54" s="1953"/>
      <c r="N54" s="1953"/>
      <c r="O54" s="1953"/>
      <c r="P54" s="1953"/>
      <c r="Q54" s="1953"/>
      <c r="R54" s="1953"/>
      <c r="S54" s="1953"/>
      <c r="T54" s="1953"/>
      <c r="U54" s="1953"/>
      <c r="V54" s="1953"/>
      <c r="W54" s="1954"/>
      <c r="X54" s="1953"/>
      <c r="Y54" s="1953"/>
      <c r="Z54" s="1953"/>
      <c r="AA54" s="1953"/>
      <c r="AB54" s="1953"/>
    </row>
    <row r="55" spans="1:28" ht="28.5" x14ac:dyDescent="0.45">
      <c r="A55" s="1441" t="s">
        <v>74</v>
      </c>
      <c r="B55" s="1953" t="s">
        <v>98</v>
      </c>
      <c r="C55" s="1953"/>
      <c r="D55" s="1955"/>
      <c r="E55" s="1955"/>
      <c r="F55" s="1955"/>
      <c r="G55" s="1953"/>
      <c r="H55" s="1953"/>
      <c r="I55" s="1953"/>
      <c r="J55" s="1953"/>
      <c r="K55" s="1953"/>
      <c r="L55" s="1953"/>
      <c r="M55" s="1953"/>
      <c r="N55" s="1953"/>
      <c r="O55" s="1953"/>
      <c r="P55" s="1953"/>
      <c r="Q55" s="1953"/>
      <c r="R55" s="1953"/>
      <c r="S55" s="1953"/>
      <c r="T55" s="1953"/>
      <c r="U55" s="1953"/>
      <c r="V55" s="1953"/>
      <c r="W55" s="1954"/>
      <c r="X55" s="1953"/>
      <c r="Y55" s="1953"/>
      <c r="Z55" s="1953"/>
      <c r="AA55" s="1953"/>
      <c r="AB55" s="1953"/>
    </row>
    <row r="56" spans="1:28" ht="57" x14ac:dyDescent="0.45">
      <c r="A56" s="1443" t="s">
        <v>49</v>
      </c>
      <c r="B56" s="1947"/>
      <c r="C56" s="1947" t="str">
        <f t="shared" ref="C56:AB56" si="1">C7</f>
        <v>With Al smelting mostly from coal</v>
      </c>
      <c r="D56" s="1947" t="str">
        <f t="shared" si="1"/>
        <v>With Al smelting mostly from coal</v>
      </c>
      <c r="E56" s="1947" t="str">
        <f t="shared" si="1"/>
        <v>With Al smelting mostly from coal</v>
      </c>
      <c r="F56" s="1947" t="str">
        <f t="shared" si="1"/>
        <v>With Al smelting mostly from coal</v>
      </c>
      <c r="G56" s="1947" t="str">
        <f t="shared" si="1"/>
        <v>With Al smelting mostly from coal</v>
      </c>
      <c r="H56" s="1947" t="str">
        <f t="shared" si="1"/>
        <v>With Al smelting mostly from coal</v>
      </c>
      <c r="I56" s="1947" t="str">
        <f t="shared" si="1"/>
        <v>With Al smelting mostly from coal</v>
      </c>
      <c r="J56" s="1947" t="str">
        <f t="shared" si="1"/>
        <v>With Al smelting mostly from coal</v>
      </c>
      <c r="K56" s="1947" t="str">
        <f t="shared" si="1"/>
        <v>With Al smelting mostly from coal</v>
      </c>
      <c r="L56" s="1947" t="str">
        <f t="shared" si="1"/>
        <v>With Al smelting mostly from coal</v>
      </c>
      <c r="M56" s="1947" t="str">
        <f t="shared" si="1"/>
        <v>With Al smelting mostly from coal</v>
      </c>
      <c r="N56" s="1947" t="str">
        <f t="shared" si="1"/>
        <v>With Al smelting mostly from coal</v>
      </c>
      <c r="O56" s="1947" t="str">
        <f t="shared" si="1"/>
        <v>With Al smelting mostly from coal</v>
      </c>
      <c r="P56" s="1947" t="str">
        <f t="shared" si="1"/>
        <v>With Al smelting mostly from coal</v>
      </c>
      <c r="Q56" s="1947" t="str">
        <f t="shared" si="1"/>
        <v>With Al smelting mostly from coal</v>
      </c>
      <c r="R56" s="1947" t="str">
        <f t="shared" si="1"/>
        <v>With Al smelting mostly from coal</v>
      </c>
      <c r="S56" s="1947" t="str">
        <f t="shared" si="1"/>
        <v>With Al smelting mostly from coal</v>
      </c>
      <c r="T56" s="1947" t="str">
        <f t="shared" si="1"/>
        <v>With Al smelting mostly from coal</v>
      </c>
      <c r="U56" s="1947" t="str">
        <f t="shared" si="1"/>
        <v>With Al smelting mostly from coal</v>
      </c>
      <c r="V56" s="1947" t="str">
        <f t="shared" si="1"/>
        <v>With Al smelting mostly from coal</v>
      </c>
      <c r="W56" s="1947" t="str">
        <f>W7</f>
        <v>With Al smelting mostly from coal</v>
      </c>
      <c r="X56" s="1947" t="str">
        <f t="shared" si="1"/>
        <v>With Al smelting mostly from coal</v>
      </c>
      <c r="Y56" s="1947" t="str">
        <f t="shared" si="1"/>
        <v>With Al smelting mostly from coal</v>
      </c>
      <c r="Z56" s="1947" t="str">
        <f t="shared" si="1"/>
        <v>With Al smelting mostly from coal</v>
      </c>
      <c r="AA56" s="1947" t="str">
        <f t="shared" si="1"/>
        <v>With Al smelting mostly from coal</v>
      </c>
      <c r="AB56" s="1947" t="str">
        <f t="shared" si="1"/>
        <v>With Al smelting mostly from coal</v>
      </c>
    </row>
    <row r="57" spans="1:28" x14ac:dyDescent="0.45">
      <c r="A57" s="1442" t="s">
        <v>75</v>
      </c>
      <c r="B57" s="2019"/>
      <c r="C57" s="2036">
        <f>HLOOKUP(C$56,MFG_inputs!$C$26:$D$28,ROW(MFG_inputs!$B27)-ROW(MFG_inputs!$B$26)+1,FALSE)</f>
        <v>8.2246258419126317</v>
      </c>
      <c r="D57" s="2036">
        <f>HLOOKUP(D$56,MFG_inputs!$C$26:$D$28,ROW(MFG_inputs!$B27)-ROW(MFG_inputs!$B$26)+1,FALSE)</f>
        <v>8.2246258419126317</v>
      </c>
      <c r="E57" s="2036">
        <f>HLOOKUP(E$56,MFG_inputs!$C$26:$D$28,ROW(MFG_inputs!$B27)-ROW(MFG_inputs!$B$26)+1,FALSE)</f>
        <v>8.2246258419126317</v>
      </c>
      <c r="F57" s="2036">
        <f>HLOOKUP(F$56,MFG_inputs!$C$26:$D$28,ROW(MFG_inputs!$B27)-ROW(MFG_inputs!$B$26)+1,FALSE)</f>
        <v>8.2246258419126317</v>
      </c>
      <c r="G57" s="2036">
        <f>HLOOKUP(G$56,MFG_inputs!$C$26:$D$28,ROW(MFG_inputs!$B27)-ROW(MFG_inputs!$B$26)+1,FALSE)</f>
        <v>8.2246258419126317</v>
      </c>
      <c r="H57" s="2036">
        <f>HLOOKUP(H$56,MFG_inputs!$C$26:$D$28,ROW(MFG_inputs!$B27)-ROW(MFG_inputs!$B$26)+1,FALSE)</f>
        <v>8.2246258419126317</v>
      </c>
      <c r="I57" s="2036">
        <f>HLOOKUP(I$56,MFG_inputs!$C$26:$D$28,ROW(MFG_inputs!$B27)-ROW(MFG_inputs!$B$26)+1,FALSE)</f>
        <v>8.2246258419126317</v>
      </c>
      <c r="J57" s="2036">
        <f>HLOOKUP(J$56,MFG_inputs!$C$26:$D$28,ROW(MFG_inputs!$B27)-ROW(MFG_inputs!$B$26)+1,FALSE)</f>
        <v>8.2246258419126317</v>
      </c>
      <c r="K57" s="2036">
        <f>HLOOKUP(K$56,MFG_inputs!$C$26:$D$28,ROW(MFG_inputs!$B27)-ROW(MFG_inputs!$B$26)+1,FALSE)</f>
        <v>8.2246258419126317</v>
      </c>
      <c r="L57" s="2036">
        <f>HLOOKUP(L$56,MFG_inputs!$C$26:$D$28,ROW(MFG_inputs!$B27)-ROW(MFG_inputs!$B$26)+1,FALSE)</f>
        <v>8.2246258419126317</v>
      </c>
      <c r="M57" s="2036">
        <f>HLOOKUP(M$56,MFG_inputs!$C$26:$D$28,ROW(MFG_inputs!$B27)-ROW(MFG_inputs!$B$26)+1,FALSE)</f>
        <v>8.2246258419126317</v>
      </c>
      <c r="N57" s="2036">
        <f>HLOOKUP(N$56,MFG_inputs!$C$26:$D$28,ROW(MFG_inputs!$B27)-ROW(MFG_inputs!$B$26)+1,FALSE)</f>
        <v>8.2246258419126317</v>
      </c>
      <c r="O57" s="2036">
        <f>HLOOKUP(O$56,MFG_inputs!$C$26:$D$28,ROW(MFG_inputs!$B27)-ROW(MFG_inputs!$B$26)+1,FALSE)</f>
        <v>8.2246258419126317</v>
      </c>
      <c r="P57" s="2036">
        <f>HLOOKUP(P$56,MFG_inputs!$C$26:$D$28,ROW(MFG_inputs!$B27)-ROW(MFG_inputs!$B$26)+1,FALSE)</f>
        <v>8.2246258419126317</v>
      </c>
      <c r="Q57" s="2036">
        <f>HLOOKUP(Q$56,MFG_inputs!$C$26:$D$28,ROW(MFG_inputs!$B27)-ROW(MFG_inputs!$B$26)+1,FALSE)</f>
        <v>8.2246258419126317</v>
      </c>
      <c r="R57" s="2036">
        <f>HLOOKUP(R$56,MFG_inputs!$C$26:$D$28,ROW(MFG_inputs!$B27)-ROW(MFG_inputs!$B$26)+1,FALSE)</f>
        <v>8.2246258419126317</v>
      </c>
      <c r="S57" s="2036">
        <f>HLOOKUP(S$56,MFG_inputs!$C$26:$D$28,ROW(MFG_inputs!$B27)-ROW(MFG_inputs!$B$26)+1,FALSE)</f>
        <v>8.2246258419126317</v>
      </c>
      <c r="T57" s="2036">
        <f>HLOOKUP(T$56,MFG_inputs!$C$26:$D$28,ROW(MFG_inputs!$B27)-ROW(MFG_inputs!$B$26)+1,FALSE)</f>
        <v>8.2246258419126317</v>
      </c>
      <c r="U57" s="2036">
        <f>HLOOKUP(U$56,MFG_inputs!$C$26:$D$28,ROW(MFG_inputs!$B27)-ROW(MFG_inputs!$B$26)+1,FALSE)</f>
        <v>8.2246258419126317</v>
      </c>
      <c r="V57" s="2036">
        <f>HLOOKUP(V$56,MFG_inputs!$C$26:$D$28,ROW(MFG_inputs!$B27)-ROW(MFG_inputs!$B$26)+1,FALSE)</f>
        <v>8.2246258419126317</v>
      </c>
      <c r="W57" s="2036">
        <f>HLOOKUP(W$56,MFG_inputs!$C$26:$D$28,ROW(MFG_inputs!$B27)-ROW(MFG_inputs!$B$26)+1,FALSE)</f>
        <v>8.2246258419126317</v>
      </c>
      <c r="X57" s="2036">
        <f>HLOOKUP(X$56,MFG_inputs!$C$26:$D$28,ROW(MFG_inputs!$B27)-ROW(MFG_inputs!$B$26)+1,FALSE)</f>
        <v>8.2246258419126317</v>
      </c>
      <c r="Y57" s="2036">
        <f>HLOOKUP(Y$56,MFG_inputs!$C$26:$D$28,ROW(MFG_inputs!$B27)-ROW(MFG_inputs!$B$26)+1,FALSE)</f>
        <v>8.2246258419126317</v>
      </c>
      <c r="Z57" s="2036">
        <f>HLOOKUP(Z$56,MFG_inputs!$C$26:$D$28,ROW(MFG_inputs!$B27)-ROW(MFG_inputs!$B$26)+1,FALSE)</f>
        <v>8.2246258419126317</v>
      </c>
      <c r="AA57" s="2036">
        <f>HLOOKUP(AA$56,MFG_inputs!$C$26:$D$28,ROW(MFG_inputs!$B27)-ROW(MFG_inputs!$B$26)+1,FALSE)</f>
        <v>8.2246258419126317</v>
      </c>
      <c r="AB57" s="2036">
        <f>HLOOKUP(AB$56,MFG_inputs!$C$26:$D$28,ROW(MFG_inputs!$B27)-ROW(MFG_inputs!$B$26)+1,FALSE)</f>
        <v>8.2246258419126317</v>
      </c>
    </row>
    <row r="58" spans="1:28" x14ac:dyDescent="0.45">
      <c r="A58" s="1442" t="s">
        <v>76</v>
      </c>
      <c r="B58" s="2019"/>
      <c r="C58" s="2036">
        <f>HLOOKUP(C$56,MFG_inputs!$C$26:$D$28,ROW(MFG_inputs!$B28)-ROW(MFG_inputs!$B$26)+1,FALSE)</f>
        <v>2.2657566368050039</v>
      </c>
      <c r="D58" s="2036">
        <f>HLOOKUP(D$56,MFG_inputs!$C$26:$D$28,ROW(MFG_inputs!$B28)-ROW(MFG_inputs!$B$26)+1,FALSE)</f>
        <v>2.2657566368050039</v>
      </c>
      <c r="E58" s="2036">
        <f>HLOOKUP(E$56,MFG_inputs!$C$26:$D$28,ROW(MFG_inputs!$B28)-ROW(MFG_inputs!$B$26)+1,FALSE)</f>
        <v>2.2657566368050039</v>
      </c>
      <c r="F58" s="2036">
        <f>HLOOKUP(F$56,MFG_inputs!$C$26:$D$28,ROW(MFG_inputs!$B28)-ROW(MFG_inputs!$B$26)+1,FALSE)</f>
        <v>2.2657566368050039</v>
      </c>
      <c r="G58" s="2036">
        <f>HLOOKUP(G$56,MFG_inputs!$C$26:$D$28,ROW(MFG_inputs!$B28)-ROW(MFG_inputs!$B$26)+1,FALSE)</f>
        <v>2.2657566368050039</v>
      </c>
      <c r="H58" s="2036">
        <f>HLOOKUP(H$56,MFG_inputs!$C$26:$D$28,ROW(MFG_inputs!$B28)-ROW(MFG_inputs!$B$26)+1,FALSE)</f>
        <v>2.2657566368050039</v>
      </c>
      <c r="I58" s="2036">
        <f>HLOOKUP(I$56,MFG_inputs!$C$26:$D$28,ROW(MFG_inputs!$B28)-ROW(MFG_inputs!$B$26)+1,FALSE)</f>
        <v>2.2657566368050039</v>
      </c>
      <c r="J58" s="2036">
        <f>HLOOKUP(J$56,MFG_inputs!$C$26:$D$28,ROW(MFG_inputs!$B28)-ROW(MFG_inputs!$B$26)+1,FALSE)</f>
        <v>2.2657566368050039</v>
      </c>
      <c r="K58" s="2036">
        <f>HLOOKUP(K$56,MFG_inputs!$C$26:$D$28,ROW(MFG_inputs!$B28)-ROW(MFG_inputs!$B$26)+1,FALSE)</f>
        <v>2.2657566368050039</v>
      </c>
      <c r="L58" s="2036">
        <f>HLOOKUP(L$56,MFG_inputs!$C$26:$D$28,ROW(MFG_inputs!$B28)-ROW(MFG_inputs!$B$26)+1,FALSE)</f>
        <v>2.2657566368050039</v>
      </c>
      <c r="M58" s="2036">
        <f>HLOOKUP(M$56,MFG_inputs!$C$26:$D$28,ROW(MFG_inputs!$B28)-ROW(MFG_inputs!$B$26)+1,FALSE)</f>
        <v>2.2657566368050039</v>
      </c>
      <c r="N58" s="2036">
        <f>HLOOKUP(N$56,MFG_inputs!$C$26:$D$28,ROW(MFG_inputs!$B28)-ROW(MFG_inputs!$B$26)+1,FALSE)</f>
        <v>2.2657566368050039</v>
      </c>
      <c r="O58" s="2036">
        <f>HLOOKUP(O$56,MFG_inputs!$C$26:$D$28,ROW(MFG_inputs!$B28)-ROW(MFG_inputs!$B$26)+1,FALSE)</f>
        <v>2.2657566368050039</v>
      </c>
      <c r="P58" s="2036">
        <f>HLOOKUP(P$56,MFG_inputs!$C$26:$D$28,ROW(MFG_inputs!$B28)-ROW(MFG_inputs!$B$26)+1,FALSE)</f>
        <v>2.2657566368050039</v>
      </c>
      <c r="Q58" s="2036">
        <f>HLOOKUP(Q$56,MFG_inputs!$C$26:$D$28,ROW(MFG_inputs!$B28)-ROW(MFG_inputs!$B$26)+1,FALSE)</f>
        <v>2.2657566368050039</v>
      </c>
      <c r="R58" s="2036">
        <f>HLOOKUP(R$56,MFG_inputs!$C$26:$D$28,ROW(MFG_inputs!$B28)-ROW(MFG_inputs!$B$26)+1,FALSE)</f>
        <v>2.2657566368050039</v>
      </c>
      <c r="S58" s="2036">
        <f>HLOOKUP(S$56,MFG_inputs!$C$26:$D$28,ROW(MFG_inputs!$B28)-ROW(MFG_inputs!$B$26)+1,FALSE)</f>
        <v>2.2657566368050039</v>
      </c>
      <c r="T58" s="2036">
        <f>HLOOKUP(T$56,MFG_inputs!$C$26:$D$28,ROW(MFG_inputs!$B28)-ROW(MFG_inputs!$B$26)+1,FALSE)</f>
        <v>2.2657566368050039</v>
      </c>
      <c r="U58" s="2036">
        <f>HLOOKUP(U$56,MFG_inputs!$C$26:$D$28,ROW(MFG_inputs!$B28)-ROW(MFG_inputs!$B$26)+1,FALSE)</f>
        <v>2.2657566368050039</v>
      </c>
      <c r="V58" s="2036">
        <f>HLOOKUP(V$56,MFG_inputs!$C$26:$D$28,ROW(MFG_inputs!$B28)-ROW(MFG_inputs!$B$26)+1,FALSE)</f>
        <v>2.2657566368050039</v>
      </c>
      <c r="W58" s="2036">
        <f>HLOOKUP(W$56,MFG_inputs!$C$26:$D$28,ROW(MFG_inputs!$B28)-ROW(MFG_inputs!$B$26)+1,FALSE)</f>
        <v>2.2657566368050039</v>
      </c>
      <c r="X58" s="2036">
        <f>HLOOKUP(X$56,MFG_inputs!$C$26:$D$28,ROW(MFG_inputs!$B28)-ROW(MFG_inputs!$B$26)+1,FALSE)</f>
        <v>2.2657566368050039</v>
      </c>
      <c r="Y58" s="2036">
        <f>HLOOKUP(Y$56,MFG_inputs!$C$26:$D$28,ROW(MFG_inputs!$B28)-ROW(MFG_inputs!$B$26)+1,FALSE)</f>
        <v>2.2657566368050039</v>
      </c>
      <c r="Z58" s="2036">
        <f>HLOOKUP(Z$56,MFG_inputs!$C$26:$D$28,ROW(MFG_inputs!$B28)-ROW(MFG_inputs!$B$26)+1,FALSE)</f>
        <v>2.2657566368050039</v>
      </c>
      <c r="AA58" s="2036">
        <f>HLOOKUP(AA$56,MFG_inputs!$C$26:$D$28,ROW(MFG_inputs!$B28)-ROW(MFG_inputs!$B$26)+1,FALSE)</f>
        <v>2.2657566368050039</v>
      </c>
      <c r="AB58" s="2036">
        <f>HLOOKUP(AB$56,MFG_inputs!$C$26:$D$28,ROW(MFG_inputs!$B28)-ROW(MFG_inputs!$B$26)+1,FALSE)</f>
        <v>2.2657566368050039</v>
      </c>
    </row>
    <row r="59" spans="1:28" x14ac:dyDescent="0.45">
      <c r="A59" s="1439"/>
      <c r="B59" s="1953"/>
      <c r="C59" s="1953"/>
      <c r="D59" s="1955"/>
      <c r="E59" s="1955"/>
      <c r="F59" s="1955"/>
      <c r="G59" s="1953"/>
      <c r="H59" s="1953"/>
      <c r="I59" s="1953"/>
      <c r="J59" s="1953"/>
      <c r="K59" s="1953"/>
      <c r="L59" s="1953"/>
      <c r="M59" s="1953"/>
      <c r="N59" s="1953"/>
      <c r="O59" s="1953"/>
      <c r="P59" s="1953"/>
      <c r="Q59" s="1953"/>
      <c r="R59" s="1953"/>
      <c r="S59" s="1953"/>
      <c r="T59" s="1953"/>
      <c r="U59" s="1953"/>
      <c r="V59" s="1953"/>
      <c r="W59" s="1954"/>
      <c r="X59" s="1953"/>
      <c r="Y59" s="1953"/>
      <c r="Z59" s="1953"/>
      <c r="AA59" s="1953"/>
      <c r="AB59" s="1953"/>
    </row>
    <row r="60" spans="1:28" ht="28.5" x14ac:dyDescent="0.45">
      <c r="A60" s="1441" t="s">
        <v>77</v>
      </c>
      <c r="B60" s="1953" t="s">
        <v>99</v>
      </c>
      <c r="C60" s="1953"/>
      <c r="D60" s="1955"/>
      <c r="E60" s="1955"/>
      <c r="F60" s="1955"/>
      <c r="G60" s="1953"/>
      <c r="H60" s="1953"/>
      <c r="I60" s="1953"/>
      <c r="J60" s="1953"/>
      <c r="K60" s="1953"/>
      <c r="L60" s="1953"/>
      <c r="M60" s="1953"/>
      <c r="N60" s="1953"/>
      <c r="O60" s="1953"/>
      <c r="P60" s="1953"/>
      <c r="Q60" s="1953"/>
      <c r="R60" s="1953"/>
      <c r="S60" s="1953"/>
      <c r="T60" s="1953"/>
      <c r="U60" s="1953"/>
      <c r="V60" s="1953"/>
      <c r="W60" s="1954"/>
      <c r="X60" s="1953"/>
      <c r="Y60" s="1953"/>
      <c r="Z60" s="1953"/>
      <c r="AA60" s="1953"/>
      <c r="AB60" s="1953"/>
    </row>
    <row r="61" spans="1:28" ht="57" x14ac:dyDescent="0.45">
      <c r="A61" s="1443" t="s">
        <v>49</v>
      </c>
      <c r="B61" s="1947"/>
      <c r="C61" s="1947" t="str">
        <f t="shared" ref="C61:AB61" si="2">C7</f>
        <v>With Al smelting mostly from coal</v>
      </c>
      <c r="D61" s="1947" t="str">
        <f t="shared" si="2"/>
        <v>With Al smelting mostly from coal</v>
      </c>
      <c r="E61" s="1947" t="str">
        <f t="shared" si="2"/>
        <v>With Al smelting mostly from coal</v>
      </c>
      <c r="F61" s="1947" t="str">
        <f t="shared" si="2"/>
        <v>With Al smelting mostly from coal</v>
      </c>
      <c r="G61" s="1947" t="str">
        <f t="shared" si="2"/>
        <v>With Al smelting mostly from coal</v>
      </c>
      <c r="H61" s="1947" t="str">
        <f t="shared" si="2"/>
        <v>With Al smelting mostly from coal</v>
      </c>
      <c r="I61" s="1947" t="str">
        <f t="shared" si="2"/>
        <v>With Al smelting mostly from coal</v>
      </c>
      <c r="J61" s="1947" t="str">
        <f t="shared" si="2"/>
        <v>With Al smelting mostly from coal</v>
      </c>
      <c r="K61" s="1947" t="str">
        <f t="shared" si="2"/>
        <v>With Al smelting mostly from coal</v>
      </c>
      <c r="L61" s="1947" t="str">
        <f t="shared" si="2"/>
        <v>With Al smelting mostly from coal</v>
      </c>
      <c r="M61" s="1947" t="str">
        <f t="shared" si="2"/>
        <v>With Al smelting mostly from coal</v>
      </c>
      <c r="N61" s="1947" t="str">
        <f t="shared" si="2"/>
        <v>With Al smelting mostly from coal</v>
      </c>
      <c r="O61" s="1947" t="str">
        <f t="shared" si="2"/>
        <v>With Al smelting mostly from coal</v>
      </c>
      <c r="P61" s="1947" t="str">
        <f t="shared" si="2"/>
        <v>With Al smelting mostly from coal</v>
      </c>
      <c r="Q61" s="1947" t="str">
        <f t="shared" si="2"/>
        <v>With Al smelting mostly from coal</v>
      </c>
      <c r="R61" s="1947" t="str">
        <f t="shared" si="2"/>
        <v>With Al smelting mostly from coal</v>
      </c>
      <c r="S61" s="1947" t="str">
        <f t="shared" si="2"/>
        <v>With Al smelting mostly from coal</v>
      </c>
      <c r="T61" s="1947" t="str">
        <f t="shared" si="2"/>
        <v>With Al smelting mostly from coal</v>
      </c>
      <c r="U61" s="1947" t="str">
        <f>U7</f>
        <v>With Al smelting mostly from coal</v>
      </c>
      <c r="V61" s="1947" t="str">
        <f>V7</f>
        <v>With Al smelting mostly from coal</v>
      </c>
      <c r="W61" s="1947" t="str">
        <f>W7</f>
        <v>With Al smelting mostly from coal</v>
      </c>
      <c r="X61" s="1947" t="str">
        <f t="shared" si="2"/>
        <v>With Al smelting mostly from coal</v>
      </c>
      <c r="Y61" s="1947" t="str">
        <f t="shared" si="2"/>
        <v>With Al smelting mostly from coal</v>
      </c>
      <c r="Z61" s="1947" t="str">
        <f t="shared" si="2"/>
        <v>With Al smelting mostly from coal</v>
      </c>
      <c r="AA61" s="1947" t="str">
        <f t="shared" si="2"/>
        <v>With Al smelting mostly from coal</v>
      </c>
      <c r="AB61" s="1947" t="str">
        <f t="shared" si="2"/>
        <v>With Al smelting mostly from coal</v>
      </c>
    </row>
    <row r="62" spans="1:28" x14ac:dyDescent="0.45">
      <c r="A62" s="1443" t="s">
        <v>31</v>
      </c>
      <c r="B62" s="1947"/>
      <c r="C62" s="1952" t="str">
        <f t="shared" ref="C62:AB62" si="3">IF(C28=0,"",C28)</f>
        <v/>
      </c>
      <c r="D62" s="1952" t="str">
        <f t="shared" si="3"/>
        <v>NMC111</v>
      </c>
      <c r="E62" s="1952" t="str">
        <f t="shared" si="3"/>
        <v/>
      </c>
      <c r="F62" s="1952" t="str">
        <f t="shared" si="3"/>
        <v>NMC111</v>
      </c>
      <c r="G62" s="1952" t="str">
        <f t="shared" si="3"/>
        <v/>
      </c>
      <c r="H62" s="1952" t="str">
        <f t="shared" si="3"/>
        <v>NMC111</v>
      </c>
      <c r="I62" s="1952" t="str">
        <f t="shared" si="3"/>
        <v/>
      </c>
      <c r="J62" s="1952" t="str">
        <f t="shared" si="3"/>
        <v>NMC111</v>
      </c>
      <c r="K62" s="1952" t="str">
        <f t="shared" si="3"/>
        <v/>
      </c>
      <c r="L62" s="1952" t="str">
        <f t="shared" si="3"/>
        <v>NMC111</v>
      </c>
      <c r="M62" s="1952" t="str">
        <f t="shared" si="3"/>
        <v/>
      </c>
      <c r="N62" s="1952" t="str">
        <f t="shared" si="3"/>
        <v/>
      </c>
      <c r="O62" s="1952" t="str">
        <f t="shared" si="3"/>
        <v/>
      </c>
      <c r="P62" s="1952" t="str">
        <f t="shared" si="3"/>
        <v/>
      </c>
      <c r="Q62" s="1952" t="str">
        <f t="shared" si="3"/>
        <v>LFP: solid state</v>
      </c>
      <c r="R62" s="1952" t="str">
        <f t="shared" si="3"/>
        <v>LFP: solid state</v>
      </c>
      <c r="S62" s="1952" t="str">
        <f t="shared" si="3"/>
        <v>LFP: solid state</v>
      </c>
      <c r="T62" s="1952" t="str">
        <f t="shared" si="3"/>
        <v>LFP: solid state</v>
      </c>
      <c r="U62" s="1952" t="str">
        <f>IF(U28=0,"",U28)</f>
        <v/>
      </c>
      <c r="V62" s="1952" t="str">
        <f>IF(V28=0,"",V28)</f>
        <v>LFP: solid state</v>
      </c>
      <c r="W62" s="1952" t="str">
        <f>IF(W28=0,"",W28)</f>
        <v>LFP: solid state</v>
      </c>
      <c r="X62" s="1952" t="str">
        <f t="shared" si="3"/>
        <v/>
      </c>
      <c r="Y62" s="1952" t="str">
        <f t="shared" si="3"/>
        <v>NMC111</v>
      </c>
      <c r="Z62" s="1952" t="str">
        <f t="shared" si="3"/>
        <v/>
      </c>
      <c r="AA62" s="1952" t="str">
        <f t="shared" si="3"/>
        <v>NMC111</v>
      </c>
      <c r="AB62" s="1952" t="str">
        <f t="shared" si="3"/>
        <v/>
      </c>
    </row>
    <row r="63" spans="1:28" x14ac:dyDescent="0.45">
      <c r="A63" s="1442" t="s">
        <v>78</v>
      </c>
      <c r="B63" s="2019"/>
      <c r="C63" s="2019">
        <f ca="1">IFERROR(OFFSET(MFG_inputs!$D$39,MATCH(C$7,MFG_inputs!$C$39:$C$41,0)-1,MATCH(C$28,MFG_inputs!$D$38:$L$38,0)-1,1,1),0)*Convert!$G$9/Battery_Sum!$C$22</f>
        <v>0</v>
      </c>
      <c r="D63" s="2036">
        <f ca="1">IFERROR(OFFSET(MFG_inputs!$D$39,MATCH(D$7,MFG_inputs!$C$39:$C$41,0)-1,MATCH(D$28,MFG_inputs!$D$38:$L$38,0)-1,1,1),0)*Convert!$G$9/Battery_Sum!$C$22</f>
        <v>1040.1702319621038</v>
      </c>
      <c r="E63" s="2036">
        <f ca="1">IFERROR(OFFSET(MFG_inputs!$D$39,MATCH(E$7,MFG_inputs!$C$39:$C$41,0)-1,MATCH(E$28,MFG_inputs!$D$38:$L$38,0)-1,1,1),0)*Convert!$G$9/Battery_Sum!$C$22</f>
        <v>0</v>
      </c>
      <c r="F63" s="2036">
        <f ca="1">IFERROR(OFFSET(MFG_inputs!$D$39,MATCH(F$7,MFG_inputs!$C$39:$C$41,0)-1,MATCH(F$28,MFG_inputs!$D$38:$L$38,0)-1,1,1),0)*Convert!$G$9/Battery_Sum!$C$22</f>
        <v>1040.1702319621038</v>
      </c>
      <c r="G63" s="2036">
        <f ca="1">IFERROR(OFFSET(MFG_inputs!$D$39,MATCH(G$7,MFG_inputs!$C$39:$C$41,0)-1,MATCH(G$28,MFG_inputs!$D$38:$L$38,0)-1,1,1),0)*Convert!$G$9/Battery_Sum!$C$22</f>
        <v>0</v>
      </c>
      <c r="H63" s="2036">
        <f ca="1">IFERROR(OFFSET(MFG_inputs!$D$39,MATCH(H$7,MFG_inputs!$C$39:$C$41,0)-1,MATCH(H$28,MFG_inputs!$D$38:$L$38,0)-1,1,1),0)*Convert!$G$9/Battery_Sum!$C$22</f>
        <v>1040.1702319621038</v>
      </c>
      <c r="I63" s="2036">
        <f ca="1">IFERROR(OFFSET(MFG_inputs!$D$39,MATCH(I$7,MFG_inputs!$C$39:$C$41,0)-1,MATCH(I$28,MFG_inputs!$D$38:$L$38,0)-1,1,1),0)*Convert!$G$9/Battery_Sum!$C$22</f>
        <v>0</v>
      </c>
      <c r="J63" s="2036">
        <f ca="1">IFERROR(OFFSET(MFG_inputs!$D$39,MATCH(J$7,MFG_inputs!$C$39:$C$41,0)-1,MATCH(J$28,MFG_inputs!$D$38:$L$38,0)-1,1,1),0)*Convert!$G$9/Battery_Sum!$C$22</f>
        <v>1040.1702319621038</v>
      </c>
      <c r="K63" s="2036">
        <f ca="1">IFERROR(OFFSET(MFG_inputs!$D$39,MATCH(K$7,MFG_inputs!$C$39:$C$41,0)-1,MATCH(K$28,MFG_inputs!$D$38:$L$38,0)-1,1,1),0)*Convert!$G$9/Battery_Sum!$C$22</f>
        <v>0</v>
      </c>
      <c r="L63" s="2036">
        <f ca="1">IFERROR(OFFSET(MFG_inputs!$D$39,MATCH(L$7,MFG_inputs!$C$39:$C$41,0)-1,MATCH(L$28,MFG_inputs!$D$38:$L$38,0)-1,1,1),0)*Convert!$G$9/Battery_Sum!$C$22</f>
        <v>1040.1702319621038</v>
      </c>
      <c r="M63" s="2036">
        <f ca="1">IFERROR(OFFSET(MFG_inputs!$D$39,MATCH(M$7,MFG_inputs!$C$39:$C$41,0)-1,MATCH(M$28,MFG_inputs!$D$38:$L$38,0)-1,1,1),0)*Convert!$G$9/Battery_Sum!$C$22</f>
        <v>0</v>
      </c>
      <c r="N63" s="2036">
        <f ca="1">IFERROR(OFFSET(MFG_inputs!$D$39,MATCH(N$7,MFG_inputs!$C$39:$C$41,0)-1,MATCH(N$28,MFG_inputs!$D$38:$L$38,0)-1,1,1),0)*Convert!$G$9/Battery_Sum!$C$22</f>
        <v>0</v>
      </c>
      <c r="O63" s="2036">
        <f ca="1">IFERROR(OFFSET(MFG_inputs!$D$39,MATCH(O$7,MFG_inputs!$C$39:$C$41,0)-1,MATCH(O$28,MFG_inputs!$D$38:$L$38,0)-1,1,1),0)*Convert!$G$9/Battery_Sum!$C$22</f>
        <v>0</v>
      </c>
      <c r="P63" s="2036">
        <f ca="1">IFERROR(OFFSET(MFG_inputs!$D$39,MATCH(P$7,MFG_inputs!$C$39:$C$41,0)-1,MATCH(P$28,MFG_inputs!$D$38:$L$38,0)-1,1,1),0)*Convert!$G$9/Battery_Sum!$C$22</f>
        <v>0</v>
      </c>
      <c r="Q63" s="2036">
        <f ca="1">IFERROR(OFFSET(MFG_inputs!$D$39,MATCH(Q$7,MFG_inputs!$C$39:$C$41,0)-1,MATCH(Q$28,MFG_inputs!$D$38:$L$38,0)-1,1,1),0)*Convert!$G$9/Battery_Sum!$C$22</f>
        <v>675.75824924346966</v>
      </c>
      <c r="R63" s="2036">
        <f ca="1">IFERROR(OFFSET(MFG_inputs!$D$39,MATCH(R$7,MFG_inputs!$C$39:$C$41,0)-1,MATCH(R$28,MFG_inputs!$D$38:$L$38,0)-1,1,1),0)*Convert!$G$9/Battery_Sum!$C$22</f>
        <v>675.75824924346966</v>
      </c>
      <c r="S63" s="2036">
        <f ca="1">IFERROR(OFFSET(MFG_inputs!$D$39,MATCH(S$7,MFG_inputs!$C$39:$C$41,0)-1,MATCH(S$28,MFG_inputs!$D$38:$L$38,0)-1,1,1),0)*Convert!$G$9/Battery_Sum!$C$22</f>
        <v>675.75824924346966</v>
      </c>
      <c r="T63" s="2036">
        <f ca="1">IFERROR(OFFSET(MFG_inputs!$D$39,MATCH(T$7,MFG_inputs!$C$39:$C$41,0)-1,MATCH(T$28,MFG_inputs!$D$38:$L$38,0)-1,1,1),0)*Convert!$G$9/Battery_Sum!$C$22</f>
        <v>675.75824924346966</v>
      </c>
      <c r="U63" s="2036">
        <f ca="1">IFERROR(OFFSET(MFG_inputs!$D$39,MATCH(U$7,MFG_inputs!$C$39:$C$41,0)-1,MATCH(U$28,MFG_inputs!$D$38:$L$38,0)-1,1,1),0)*Convert!$G$9/Battery_Sum!$C$22</f>
        <v>0</v>
      </c>
      <c r="V63" s="2036">
        <f ca="1">IFERROR(OFFSET(MFG_inputs!$D$39,MATCH(V$7,MFG_inputs!$C$39:$C$41,0)-1,MATCH(V$28,MFG_inputs!$D$38:$L$38,0)-1,1,1),0)*Convert!$G$9/Battery_Sum!$C$22</f>
        <v>675.75824924346966</v>
      </c>
      <c r="W63" s="2036">
        <f ca="1">IFERROR(OFFSET(MFG_inputs!$D$39,MATCH(W$7,MFG_inputs!$C$39:$C$41,0)-1,MATCH(W$28,MFG_inputs!$D$38:$L$38,0)-1,1,1),0)*Convert!$G$9/Battery_Sum!$C$22</f>
        <v>675.75824924346966</v>
      </c>
      <c r="X63" s="2036">
        <f ca="1">IFERROR(OFFSET(MFG_inputs!$D$39,MATCH(X$7,MFG_inputs!$C$39:$C$41,0)-1,MATCH(X$28,MFG_inputs!$D$38:$L$38,0)-1,1,1),0)*Convert!$G$9/Battery_Sum!$C$22</f>
        <v>0</v>
      </c>
      <c r="Y63" s="2036">
        <f ca="1">IFERROR(OFFSET(MFG_inputs!$D$39,MATCH(Y$7,MFG_inputs!$C$39:$C$41,0)-1,MATCH(Y$28,MFG_inputs!$D$38:$L$38,0)-1,1,1),0)*Convert!$G$9/Battery_Sum!$C$22</f>
        <v>1040.1702319621038</v>
      </c>
      <c r="Z63" s="2036">
        <f ca="1">IFERROR(OFFSET(MFG_inputs!$D$39,MATCH(Z$7,MFG_inputs!$C$39:$C$41,0)-1,MATCH(Z$28,MFG_inputs!$D$38:$L$38,0)-1,1,1),0)*Convert!$G$9/Battery_Sum!$C$22</f>
        <v>0</v>
      </c>
      <c r="AA63" s="2036">
        <f ca="1">IFERROR(OFFSET(MFG_inputs!$D$39,MATCH(AA$7,MFG_inputs!$C$39:$C$41,0)-1,MATCH(AA$28,MFG_inputs!$D$38:$L$38,0)-1,1,1),0)*Convert!$G$9/Battery_Sum!$C$22</f>
        <v>1040.1702319621038</v>
      </c>
      <c r="AB63" s="2036">
        <f ca="1">IFERROR(OFFSET(MFG_inputs!$D$39,MATCH(AB$7,MFG_inputs!$C$39:$C$41,0)-1,MATCH(AB$28,MFG_inputs!$D$38:$L$38,0)-1,1,1),0)*Convert!$G$9/Battery_Sum!$C$22</f>
        <v>0</v>
      </c>
    </row>
    <row r="64" spans="1:28" x14ac:dyDescent="0.45">
      <c r="A64" s="1442" t="s">
        <v>75</v>
      </c>
      <c r="B64" s="2019"/>
      <c r="C64" s="2019">
        <f>IF(C$62="",0,HLOOKUP(C$61,MFG_inputs!$C$31:$D$36,ROW(MFG_inputs!$B32)-ROW(MFG_inputs!$B$31)+1,FALSE))</f>
        <v>0</v>
      </c>
      <c r="D64" s="2036">
        <f>IF(D$62="",0,HLOOKUP(D$61,MFG_inputs!$C$31:$D$36,ROW(MFG_inputs!$B32)-ROW(MFG_inputs!$B$31)+1,FALSE))</f>
        <v>216.21914712700408</v>
      </c>
      <c r="E64" s="2036">
        <f>IF(E$62="",0,HLOOKUP(E$61,MFG_inputs!$C$31:$D$36,ROW(MFG_inputs!$B32)-ROW(MFG_inputs!$B$31)+1,FALSE))</f>
        <v>0</v>
      </c>
      <c r="F64" s="2036">
        <f>IF(F$62="",0,HLOOKUP(F$61,MFG_inputs!$C$31:$D$36,ROW(MFG_inputs!$B32)-ROW(MFG_inputs!$B$31)+1,FALSE))</f>
        <v>216.21914712700408</v>
      </c>
      <c r="G64" s="2036">
        <f>IF(G$62="",0,HLOOKUP(G$61,MFG_inputs!$C$31:$D$36,ROW(MFG_inputs!$B32)-ROW(MFG_inputs!$B$31)+1,FALSE))</f>
        <v>0</v>
      </c>
      <c r="H64" s="2036">
        <f>IF(H$62="",0,HLOOKUP(H$61,MFG_inputs!$C$31:$D$36,ROW(MFG_inputs!$B32)-ROW(MFG_inputs!$B$31)+1,FALSE))</f>
        <v>216.21914712700408</v>
      </c>
      <c r="I64" s="2036">
        <f>IF(I$62="",0,HLOOKUP(I$61,MFG_inputs!$C$31:$D$36,ROW(MFG_inputs!$B32)-ROW(MFG_inputs!$B$31)+1,FALSE))</f>
        <v>0</v>
      </c>
      <c r="J64" s="2036">
        <f>IF(J$62="",0,HLOOKUP(J$61,MFG_inputs!$C$31:$D$36,ROW(MFG_inputs!$B32)-ROW(MFG_inputs!$B$31)+1,FALSE))</f>
        <v>216.21914712700408</v>
      </c>
      <c r="K64" s="2036">
        <f>IF(K$62="",0,HLOOKUP(K$61,MFG_inputs!$C$31:$D$36,ROW(MFG_inputs!$B32)-ROW(MFG_inputs!$B$31)+1,FALSE))</f>
        <v>0</v>
      </c>
      <c r="L64" s="2036">
        <f>IF(L$62="",0,HLOOKUP(L$61,MFG_inputs!$C$31:$D$36,ROW(MFG_inputs!$B32)-ROW(MFG_inputs!$B$31)+1,FALSE))</f>
        <v>216.21914712700408</v>
      </c>
      <c r="M64" s="2036">
        <f>IF(M$62="",0,HLOOKUP(M$61,MFG_inputs!$C$31:$D$36,ROW(MFG_inputs!$B32)-ROW(MFG_inputs!$B$31)+1,FALSE))</f>
        <v>0</v>
      </c>
      <c r="N64" s="2036">
        <f>IF(N$62="",0,HLOOKUP(N$61,MFG_inputs!$C$31:$D$36,ROW(MFG_inputs!$B32)-ROW(MFG_inputs!$B$31)+1,FALSE))</f>
        <v>0</v>
      </c>
      <c r="O64" s="2036">
        <f>IF(O$62="",0,HLOOKUP(O$61,MFG_inputs!$C$31:$D$36,ROW(MFG_inputs!$B32)-ROW(MFG_inputs!$B$31)+1,FALSE))</f>
        <v>0</v>
      </c>
      <c r="P64" s="2036">
        <f>IF(P$62="",0,HLOOKUP(P$61,MFG_inputs!$C$31:$D$36,ROW(MFG_inputs!$B32)-ROW(MFG_inputs!$B$31)+1,FALSE))</f>
        <v>0</v>
      </c>
      <c r="Q64" s="2036">
        <f>IF(Q$62="",0,HLOOKUP(Q$61,MFG_inputs!$C$31:$D$36,ROW(MFG_inputs!$B32)-ROW(MFG_inputs!$B$31)+1,FALSE))</f>
        <v>216.21914712700408</v>
      </c>
      <c r="R64" s="2036">
        <f>IF(R$62="",0,HLOOKUP(R$61,MFG_inputs!$C$31:$D$36,ROW(MFG_inputs!$B32)-ROW(MFG_inputs!$B$31)+1,FALSE))</f>
        <v>216.21914712700408</v>
      </c>
      <c r="S64" s="2036">
        <f>IF(S$62="",0,HLOOKUP(S$61,MFG_inputs!$C$31:$D$36,ROW(MFG_inputs!$B32)-ROW(MFG_inputs!$B$31)+1,FALSE))</f>
        <v>216.21914712700408</v>
      </c>
      <c r="T64" s="2036">
        <f>IF(T$62="",0,HLOOKUP(T$61,MFG_inputs!$C$31:$D$36,ROW(MFG_inputs!$B32)-ROW(MFG_inputs!$B$31)+1,FALSE))</f>
        <v>216.21914712700408</v>
      </c>
      <c r="U64" s="2036">
        <f>IF(U$62="",0,HLOOKUP(U$61,MFG_inputs!$C$31:$D$36,ROW(MFG_inputs!$B32)-ROW(MFG_inputs!$B$31)+1,FALSE))</f>
        <v>0</v>
      </c>
      <c r="V64" s="2036">
        <f>IF(V$62="",0,HLOOKUP(V$61,MFG_inputs!$C$31:$D$36,ROW(MFG_inputs!$B32)-ROW(MFG_inputs!$B$31)+1,FALSE))</f>
        <v>216.21914712700408</v>
      </c>
      <c r="W64" s="2036">
        <f>IF(W$62="",0,HLOOKUP(W$61,MFG_inputs!$C$31:$D$36,ROW(MFG_inputs!$B32)-ROW(MFG_inputs!$B$31)+1,FALSE))</f>
        <v>216.21914712700408</v>
      </c>
      <c r="X64" s="2036">
        <f>IF(X$62="",0,HLOOKUP(X$61,MFG_inputs!$C$31:$D$36,ROW(MFG_inputs!$B32)-ROW(MFG_inputs!$B$31)+1,FALSE))</f>
        <v>0</v>
      </c>
      <c r="Y64" s="2036">
        <f>IF(Y$62="",0,HLOOKUP(Y$61,MFG_inputs!$C$31:$D$36,ROW(MFG_inputs!$B32)-ROW(MFG_inputs!$B$31)+1,FALSE))</f>
        <v>216.21914712700408</v>
      </c>
      <c r="Z64" s="2036">
        <f>IF(Z$62="",0,HLOOKUP(Z$61,MFG_inputs!$C$31:$D$36,ROW(MFG_inputs!$B32)-ROW(MFG_inputs!$B$31)+1,FALSE))</f>
        <v>0</v>
      </c>
      <c r="AA64" s="2036">
        <f>IF(AA$62="",0,HLOOKUP(AA$61,MFG_inputs!$C$31:$D$36,ROW(MFG_inputs!$B32)-ROW(MFG_inputs!$B$31)+1,FALSE))</f>
        <v>216.21914712700408</v>
      </c>
      <c r="AB64" s="2036">
        <f>IF(AB$62="",0,HLOOKUP(AB$61,MFG_inputs!$C$31:$D$36,ROW(MFG_inputs!$B32)-ROW(MFG_inputs!$B$31)+1,FALSE))</f>
        <v>0</v>
      </c>
    </row>
    <row r="65" spans="1:28" x14ac:dyDescent="0.45">
      <c r="A65" s="1442" t="s">
        <v>76</v>
      </c>
      <c r="B65" s="2019"/>
      <c r="C65" s="2019">
        <f>IF(C$62="",0,HLOOKUP(C$61,MFG_inputs!$C$31:$D$36,ROW(MFG_inputs!$B36)-ROW(MFG_inputs!$B$31)+1,FALSE)/C31)</f>
        <v>0</v>
      </c>
      <c r="D65" s="2036">
        <f>IF(D$62="",0,HLOOKUP(D$61,MFG_inputs!$C$31:$D$36,ROW(MFG_inputs!$B36)-ROW(MFG_inputs!$B$31)+1,FALSE)/D31)</f>
        <v>15.886330214648019</v>
      </c>
      <c r="E65" s="2036">
        <f>IF(E$62="",0,HLOOKUP(E$61,MFG_inputs!$C$31:$D$36,ROW(MFG_inputs!$B36)-ROW(MFG_inputs!$B$31)+1,FALSE)/E31)</f>
        <v>0</v>
      </c>
      <c r="F65" s="2036">
        <f>IF(F$62="",0,HLOOKUP(F$61,MFG_inputs!$C$31:$D$36,ROW(MFG_inputs!$B36)-ROW(MFG_inputs!$B$31)+1,FALSE)/F31)</f>
        <v>15.886330214648019</v>
      </c>
      <c r="G65" s="2036">
        <f>IF(G$62="",0,HLOOKUP(G$61,MFG_inputs!$C$31:$D$36,ROW(MFG_inputs!$B36)-ROW(MFG_inputs!$B$31)+1,FALSE)/G31)</f>
        <v>0</v>
      </c>
      <c r="H65" s="2036">
        <f>IF(H$62="",0,HLOOKUP(H$61,MFG_inputs!$C$31:$D$36,ROW(MFG_inputs!$B36)-ROW(MFG_inputs!$B$31)+1,FALSE)/H31)</f>
        <v>15.886330214648019</v>
      </c>
      <c r="I65" s="2036">
        <f>IF(I$62="",0,HLOOKUP(I$61,MFG_inputs!$C$31:$D$36,ROW(MFG_inputs!$B36)-ROW(MFG_inputs!$B$31)+1,FALSE)/I31)</f>
        <v>0</v>
      </c>
      <c r="J65" s="2036">
        <f>IF(J$62="",0,HLOOKUP(J$61,MFG_inputs!$C$31:$D$36,ROW(MFG_inputs!$B36)-ROW(MFG_inputs!$B$31)+1,FALSE)/J31)</f>
        <v>15.886330214648019</v>
      </c>
      <c r="K65" s="2036">
        <f>IF(K$62="",0,HLOOKUP(K$61,MFG_inputs!$C$31:$D$36,ROW(MFG_inputs!$B36)-ROW(MFG_inputs!$B$31)+1,FALSE)/K31)</f>
        <v>0</v>
      </c>
      <c r="L65" s="2036">
        <f>IF(L$62="",0,HLOOKUP(L$61,MFG_inputs!$C$31:$D$36,ROW(MFG_inputs!$B36)-ROW(MFG_inputs!$B$31)+1,FALSE)/L31)</f>
        <v>15.886330214648019</v>
      </c>
      <c r="M65" s="2036">
        <f>IF(M$62="",0,HLOOKUP(M$61,MFG_inputs!$C$31:$D$36,ROW(MFG_inputs!$B36)-ROW(MFG_inputs!$B$31)+1,FALSE)/M31)</f>
        <v>0</v>
      </c>
      <c r="N65" s="2036">
        <f>IF(N$62="",0,HLOOKUP(N$61,MFG_inputs!$C$31:$D$36,ROW(MFG_inputs!$B36)-ROW(MFG_inputs!$B$31)+1,FALSE)/N31)</f>
        <v>0</v>
      </c>
      <c r="O65" s="2036">
        <f>IF(O$62="",0,HLOOKUP(O$61,MFG_inputs!$C$31:$D$36,ROW(MFG_inputs!$B36)-ROW(MFG_inputs!$B$31)+1,FALSE)/O31)</f>
        <v>0</v>
      </c>
      <c r="P65" s="2036">
        <f>IF(P$62="",0,HLOOKUP(P$61,MFG_inputs!$C$31:$D$36,ROW(MFG_inputs!$B36)-ROW(MFG_inputs!$B$31)+1,FALSE)/P31)</f>
        <v>0</v>
      </c>
      <c r="Q65" s="2036">
        <f>IF(Q$62="",0,HLOOKUP(Q$61,MFG_inputs!$C$31:$D$36,ROW(MFG_inputs!$B36)-ROW(MFG_inputs!$B$31)+1,FALSE)/Q31)</f>
        <v>19.546981031803455</v>
      </c>
      <c r="R65" s="2036">
        <f>IF(R$62="",0,HLOOKUP(R$61,MFG_inputs!$C$31:$D$36,ROW(MFG_inputs!$B36)-ROW(MFG_inputs!$B$31)+1,FALSE)/R31)</f>
        <v>19.546981031803455</v>
      </c>
      <c r="S65" s="2036">
        <f>IF(S$62="",0,HLOOKUP(S$61,MFG_inputs!$C$31:$D$36,ROW(MFG_inputs!$B36)-ROW(MFG_inputs!$B$31)+1,FALSE)/S31)</f>
        <v>19.546981031803455</v>
      </c>
      <c r="T65" s="2036">
        <f>IF(T$62="",0,HLOOKUP(T$61,MFG_inputs!$C$31:$D$36,ROW(MFG_inputs!$B36)-ROW(MFG_inputs!$B$31)+1,FALSE)/T31)</f>
        <v>19.546981031803455</v>
      </c>
      <c r="U65" s="2036">
        <f>IF(U$62="",0,HLOOKUP(U$61,MFG_inputs!$C$31:$D$36,ROW(MFG_inputs!$B36)-ROW(MFG_inputs!$B$31)+1,FALSE)/U31)</f>
        <v>0</v>
      </c>
      <c r="V65" s="2036">
        <f>IF(V$62="",0,HLOOKUP(V$61,MFG_inputs!$C$31:$D$36,ROW(MFG_inputs!$B36)-ROW(MFG_inputs!$B$31)+1,FALSE)/V31)</f>
        <v>19.546981031803455</v>
      </c>
      <c r="W65" s="2036">
        <f>IF(W$62="",0,HLOOKUP(W$61,MFG_inputs!$C$31:$D$36,ROW(MFG_inputs!$B36)-ROW(MFG_inputs!$B$31)+1,FALSE)/W31)</f>
        <v>19.546981031803455</v>
      </c>
      <c r="X65" s="2036">
        <f>IF(X$62="",0,HLOOKUP(X$61,MFG_inputs!$C$31:$D$36,ROW(MFG_inputs!$B36)-ROW(MFG_inputs!$B$31)+1,FALSE)/X31)</f>
        <v>0</v>
      </c>
      <c r="Y65" s="2036">
        <f>IF(Y$62="",0,HLOOKUP(Y$61,MFG_inputs!$C$31:$D$36,ROW(MFG_inputs!$B36)-ROW(MFG_inputs!$B$31)+1,FALSE)/Y31)</f>
        <v>15.886330214648019</v>
      </c>
      <c r="Z65" s="2036">
        <f>IF(Z$62="",0,HLOOKUP(Z$61,MFG_inputs!$C$31:$D$36,ROW(MFG_inputs!$B36)-ROW(MFG_inputs!$B$31)+1,FALSE)/Z31)</f>
        <v>0</v>
      </c>
      <c r="AA65" s="2036">
        <f>IF(AA$62="",0,HLOOKUP(AA$61,MFG_inputs!$C$31:$D$36,ROW(MFG_inputs!$B36)-ROW(MFG_inputs!$B$31)+1,FALSE)/AA31)</f>
        <v>15.886330214648019</v>
      </c>
      <c r="AB65" s="2036">
        <f>IF(AB$62="",0,HLOOKUP(AB$61,MFG_inputs!$C$31:$D$36,ROW(MFG_inputs!$B36)-ROW(MFG_inputs!$B$31)+1,FALSE)/AB31)</f>
        <v>0</v>
      </c>
    </row>
    <row r="66" spans="1:28" x14ac:dyDescent="0.45">
      <c r="A66" s="1443" t="s">
        <v>79</v>
      </c>
      <c r="B66" s="1947"/>
      <c r="C66" s="1444">
        <f t="shared" ref="C66:AB66" ca="1" si="4">SUM(C63:C65)</f>
        <v>0</v>
      </c>
      <c r="D66" s="1445">
        <f t="shared" ca="1" si="4"/>
        <v>1272.275709303756</v>
      </c>
      <c r="E66" s="1445">
        <f t="shared" ca="1" si="4"/>
        <v>0</v>
      </c>
      <c r="F66" s="1445">
        <f t="shared" ca="1" si="4"/>
        <v>1272.275709303756</v>
      </c>
      <c r="G66" s="1445">
        <f t="shared" ca="1" si="4"/>
        <v>0</v>
      </c>
      <c r="H66" s="1445">
        <f t="shared" ca="1" si="4"/>
        <v>1272.275709303756</v>
      </c>
      <c r="I66" s="1445">
        <f t="shared" ca="1" si="4"/>
        <v>0</v>
      </c>
      <c r="J66" s="1445">
        <f t="shared" ca="1" si="4"/>
        <v>1272.275709303756</v>
      </c>
      <c r="K66" s="1445">
        <f t="shared" ca="1" si="4"/>
        <v>0</v>
      </c>
      <c r="L66" s="1445">
        <f t="shared" ca="1" si="4"/>
        <v>1272.275709303756</v>
      </c>
      <c r="M66" s="1445">
        <f t="shared" ca="1" si="4"/>
        <v>0</v>
      </c>
      <c r="N66" s="1445">
        <f t="shared" ca="1" si="4"/>
        <v>0</v>
      </c>
      <c r="O66" s="1445">
        <f t="shared" ca="1" si="4"/>
        <v>0</v>
      </c>
      <c r="P66" s="1445">
        <f t="shared" ca="1" si="4"/>
        <v>0</v>
      </c>
      <c r="Q66" s="1445">
        <f t="shared" ca="1" si="4"/>
        <v>911.5243774022772</v>
      </c>
      <c r="R66" s="1445">
        <f t="shared" ca="1" si="4"/>
        <v>911.5243774022772</v>
      </c>
      <c r="S66" s="1445">
        <f t="shared" ca="1" si="4"/>
        <v>911.5243774022772</v>
      </c>
      <c r="T66" s="1445">
        <f t="shared" ca="1" si="4"/>
        <v>911.5243774022772</v>
      </c>
      <c r="U66" s="1445">
        <f ca="1">SUM(U63:U65)</f>
        <v>0</v>
      </c>
      <c r="V66" s="1445">
        <f ca="1">SUM(V63:V65)</f>
        <v>911.5243774022772</v>
      </c>
      <c r="W66" s="1445">
        <f ca="1">SUM(W63:W65)</f>
        <v>911.5243774022772</v>
      </c>
      <c r="X66" s="1445">
        <f t="shared" ca="1" si="4"/>
        <v>0</v>
      </c>
      <c r="Y66" s="1445">
        <f t="shared" ca="1" si="4"/>
        <v>1272.275709303756</v>
      </c>
      <c r="Z66" s="1445">
        <f t="shared" ca="1" si="4"/>
        <v>0</v>
      </c>
      <c r="AA66" s="1445">
        <f t="shared" ca="1" si="4"/>
        <v>1272.275709303756</v>
      </c>
      <c r="AB66" s="1445">
        <f t="shared" ca="1" si="4"/>
        <v>0</v>
      </c>
    </row>
    <row r="67" spans="1:28" x14ac:dyDescent="0.45">
      <c r="A67" s="1439"/>
      <c r="B67" s="1953"/>
      <c r="C67" s="1953"/>
      <c r="D67" s="1955"/>
      <c r="E67" s="1955"/>
      <c r="F67" s="1955"/>
      <c r="G67" s="1953"/>
      <c r="H67" s="1953"/>
      <c r="I67" s="1953"/>
      <c r="J67" s="1953"/>
      <c r="K67" s="1953"/>
      <c r="L67" s="1953"/>
      <c r="M67" s="1953"/>
      <c r="N67" s="1953"/>
      <c r="O67" s="1953"/>
      <c r="P67" s="1953"/>
      <c r="Q67" s="1953"/>
      <c r="R67" s="1953"/>
      <c r="S67" s="1953"/>
      <c r="T67" s="1953"/>
      <c r="U67" s="1953"/>
      <c r="V67" s="1953"/>
      <c r="W67" s="1954"/>
      <c r="X67" s="1953"/>
      <c r="Y67" s="1953"/>
      <c r="Z67" s="1953"/>
      <c r="AA67" s="1953"/>
      <c r="AB67" s="1953"/>
    </row>
    <row r="68" spans="1:28" ht="42.75" x14ac:dyDescent="0.45">
      <c r="A68" s="1441" t="s">
        <v>80</v>
      </c>
      <c r="B68" s="1953" t="s">
        <v>100</v>
      </c>
      <c r="C68" s="1953"/>
      <c r="D68" s="1955"/>
      <c r="E68" s="1955"/>
      <c r="F68" s="1955"/>
      <c r="G68" s="1953"/>
      <c r="H68" s="1953"/>
      <c r="I68" s="1953"/>
      <c r="J68" s="1953"/>
      <c r="K68" s="1953"/>
      <c r="L68" s="1953"/>
      <c r="M68" s="1953"/>
      <c r="N68" s="1953"/>
      <c r="O68" s="1953"/>
      <c r="P68" s="1953"/>
      <c r="Q68" s="1953"/>
      <c r="R68" s="1953"/>
      <c r="S68" s="1953"/>
      <c r="T68" s="1953"/>
      <c r="U68" s="1953"/>
      <c r="V68" s="1953"/>
      <c r="W68" s="1954"/>
      <c r="X68" s="1953"/>
      <c r="Y68" s="1953"/>
      <c r="Z68" s="1953"/>
      <c r="AA68" s="1953"/>
      <c r="AB68" s="1953"/>
    </row>
    <row r="69" spans="1:28" x14ac:dyDescent="0.45">
      <c r="A69" s="1443" t="s">
        <v>78</v>
      </c>
      <c r="B69" s="1947"/>
      <c r="C69" s="1952">
        <f t="shared" ref="C69:AB69" si="5">C$5*C$10*(1-C$24)*C$40+C$5*C$10*C$24*C$41+C$5*C$11*C$42+C$5*C$12*C$43+C$5*C$13*(1-C$25)*C$44+C$5*C$13*C$25*C$45+C$5*C$14*(1-C$26)*C$46+C$5*C$14*C$26*C$47+C$5*C$15*C$48+C$5*C$16*C$49+C$5*C$17*C$50+C$5*C$18*C$51+C$5*C$19*C$52+C$5*C$20*C$53</f>
        <v>4930.728373620751</v>
      </c>
      <c r="D69" s="1952">
        <f t="shared" si="5"/>
        <v>3916.7240448316998</v>
      </c>
      <c r="E69" s="1952">
        <f t="shared" si="5"/>
        <v>4838.5485509450664</v>
      </c>
      <c r="F69" s="1952">
        <f t="shared" si="5"/>
        <v>3916.9407896007297</v>
      </c>
      <c r="G69" s="1952">
        <f t="shared" si="5"/>
        <v>4930.728373620751</v>
      </c>
      <c r="H69" s="1952">
        <f t="shared" si="5"/>
        <v>3916.7240448316998</v>
      </c>
      <c r="I69" s="1952">
        <f t="shared" si="5"/>
        <v>4838.5485509450664</v>
      </c>
      <c r="J69" s="1952">
        <f t="shared" si="5"/>
        <v>3916.9407896007297</v>
      </c>
      <c r="K69" s="1952">
        <f t="shared" si="5"/>
        <v>13864.81757616816</v>
      </c>
      <c r="L69" s="1952">
        <f t="shared" si="5"/>
        <v>11811.690197031516</v>
      </c>
      <c r="M69" s="1952">
        <f t="shared" si="5"/>
        <v>399749.5096220019</v>
      </c>
      <c r="N69" s="1952">
        <f t="shared" si="5"/>
        <v>584497.81348110503</v>
      </c>
      <c r="O69" s="1952">
        <f t="shared" si="5"/>
        <v>399749.5096220019</v>
      </c>
      <c r="P69" s="1952">
        <f t="shared" si="5"/>
        <v>584497.81348110503</v>
      </c>
      <c r="Q69" s="1952">
        <f t="shared" si="5"/>
        <v>517059.43034409627</v>
      </c>
      <c r="R69" s="1952">
        <f t="shared" si="5"/>
        <v>656969.62914308684</v>
      </c>
      <c r="S69" s="1952">
        <f t="shared" si="5"/>
        <v>517059.43034409627</v>
      </c>
      <c r="T69" s="1952">
        <f t="shared" si="5"/>
        <v>656969.62914308684</v>
      </c>
      <c r="U69" s="1952">
        <f t="shared" si="5"/>
        <v>584497.81348110503</v>
      </c>
      <c r="V69" s="1952">
        <f t="shared" si="5"/>
        <v>656969.62914308684</v>
      </c>
      <c r="W69" s="1952">
        <f t="shared" si="5"/>
        <v>584497.81348110503</v>
      </c>
      <c r="X69" s="1952">
        <f t="shared" si="5"/>
        <v>44749.140905379674</v>
      </c>
      <c r="Y69" s="1952">
        <f t="shared" si="5"/>
        <v>42637.953684002583</v>
      </c>
      <c r="Z69" s="1952">
        <f t="shared" si="5"/>
        <v>44749.140905379674</v>
      </c>
      <c r="AA69" s="1952">
        <f t="shared" si="5"/>
        <v>42637.953684002583</v>
      </c>
      <c r="AB69" s="1952">
        <f t="shared" si="5"/>
        <v>10405233.275262084</v>
      </c>
    </row>
    <row r="70" spans="1:28" x14ac:dyDescent="0.45">
      <c r="A70" s="1443" t="s">
        <v>75</v>
      </c>
      <c r="B70" s="1947"/>
      <c r="C70" s="1952">
        <f t="shared" ref="C70:G71" si="6">C$5*C57</f>
        <v>814.23795834935049</v>
      </c>
      <c r="D70" s="1952">
        <f t="shared" si="6"/>
        <v>685.11133263132217</v>
      </c>
      <c r="E70" s="1952">
        <f>E$5*E57</f>
        <v>858.65093789567879</v>
      </c>
      <c r="F70" s="1952">
        <f>F$5*F57</f>
        <v>682.64394487874847</v>
      </c>
      <c r="G70" s="1952">
        <f t="shared" si="6"/>
        <v>814.23795834935049</v>
      </c>
      <c r="H70" s="1952">
        <f t="shared" ref="H70:AB70" si="7">H$5*H57</f>
        <v>685.11133263132217</v>
      </c>
      <c r="I70" s="1952">
        <f t="shared" si="7"/>
        <v>858.65093789567879</v>
      </c>
      <c r="J70" s="1952">
        <f t="shared" si="7"/>
        <v>682.64394487874847</v>
      </c>
      <c r="K70" s="1952">
        <f t="shared" si="7"/>
        <v>2878.6190446694209</v>
      </c>
      <c r="L70" s="1952">
        <f t="shared" si="7"/>
        <v>2467.3877525737894</v>
      </c>
      <c r="M70" s="1952">
        <f t="shared" si="7"/>
        <v>55968.578854215455</v>
      </c>
      <c r="N70" s="1952">
        <f t="shared" si="7"/>
        <v>81835.027127030684</v>
      </c>
      <c r="O70" s="1952">
        <f t="shared" si="7"/>
        <v>55968.578854215455</v>
      </c>
      <c r="P70" s="1952">
        <f t="shared" si="7"/>
        <v>81835.027127030684</v>
      </c>
      <c r="Q70" s="1952">
        <f t="shared" si="7"/>
        <v>69909.319656257372</v>
      </c>
      <c r="R70" s="1952">
        <f t="shared" si="7"/>
        <v>88825.959092656427</v>
      </c>
      <c r="S70" s="1952">
        <f t="shared" si="7"/>
        <v>69909.319656257372</v>
      </c>
      <c r="T70" s="1952">
        <f t="shared" si="7"/>
        <v>88825.959092656427</v>
      </c>
      <c r="U70" s="1952">
        <f t="shared" ref="U70:W71" si="8">U$5*U57</f>
        <v>81835.027127030684</v>
      </c>
      <c r="V70" s="1952">
        <f t="shared" si="8"/>
        <v>88825.959092656427</v>
      </c>
      <c r="W70" s="1952">
        <f t="shared" si="8"/>
        <v>81835.027127030684</v>
      </c>
      <c r="X70" s="1952">
        <f t="shared" si="7"/>
        <v>10692.013594486421</v>
      </c>
      <c r="Y70" s="1952">
        <f t="shared" si="7"/>
        <v>10198.536043971664</v>
      </c>
      <c r="Z70" s="1952">
        <f t="shared" si="7"/>
        <v>10692.013594486421</v>
      </c>
      <c r="AA70" s="1952">
        <f t="shared" si="7"/>
        <v>10198.536043971664</v>
      </c>
      <c r="AB70" s="1952">
        <f t="shared" si="7"/>
        <v>1529780.4065957495</v>
      </c>
    </row>
    <row r="71" spans="1:28" x14ac:dyDescent="0.45">
      <c r="A71" s="1443" t="s">
        <v>76</v>
      </c>
      <c r="B71" s="1947"/>
      <c r="C71" s="1952">
        <f t="shared" si="6"/>
        <v>224.3099070436954</v>
      </c>
      <c r="D71" s="1952">
        <f t="shared" si="6"/>
        <v>188.73752784585682</v>
      </c>
      <c r="E71" s="1952">
        <f>E$5*E58</f>
        <v>236.54499288244241</v>
      </c>
      <c r="F71" s="1952">
        <f>F$5*F58</f>
        <v>188.05780085481533</v>
      </c>
      <c r="G71" s="1952">
        <f t="shared" si="6"/>
        <v>224.3099070436954</v>
      </c>
      <c r="H71" s="1952">
        <f t="shared" ref="H71:AB71" si="9">H$5*H58</f>
        <v>188.73752784585682</v>
      </c>
      <c r="I71" s="1952">
        <f t="shared" si="9"/>
        <v>236.54499288244241</v>
      </c>
      <c r="J71" s="1952">
        <f t="shared" si="9"/>
        <v>188.05780085481533</v>
      </c>
      <c r="K71" s="1952">
        <f t="shared" si="9"/>
        <v>793.01482288175134</v>
      </c>
      <c r="L71" s="1952">
        <f t="shared" si="9"/>
        <v>679.72699104150115</v>
      </c>
      <c r="M71" s="1952">
        <f t="shared" si="9"/>
        <v>15418.473913458052</v>
      </c>
      <c r="N71" s="1952">
        <f t="shared" si="9"/>
        <v>22544.278536209789</v>
      </c>
      <c r="O71" s="1952">
        <f t="shared" si="9"/>
        <v>15418.473913458052</v>
      </c>
      <c r="P71" s="1952">
        <f t="shared" si="9"/>
        <v>22544.278536209789</v>
      </c>
      <c r="Q71" s="1952">
        <f t="shared" si="9"/>
        <v>19258.931412842532</v>
      </c>
      <c r="R71" s="1952">
        <f t="shared" si="9"/>
        <v>24470.171677494043</v>
      </c>
      <c r="S71" s="1952">
        <f t="shared" si="9"/>
        <v>19258.931412842532</v>
      </c>
      <c r="T71" s="1952">
        <f t="shared" si="9"/>
        <v>24470.171677494043</v>
      </c>
      <c r="U71" s="1952">
        <f t="shared" si="8"/>
        <v>22544.278536209789</v>
      </c>
      <c r="V71" s="1952">
        <f t="shared" si="8"/>
        <v>24470.171677494043</v>
      </c>
      <c r="W71" s="1952">
        <f t="shared" si="8"/>
        <v>22544.278536209789</v>
      </c>
      <c r="X71" s="1952">
        <f t="shared" si="9"/>
        <v>2945.483627846505</v>
      </c>
      <c r="Y71" s="1952">
        <f t="shared" si="9"/>
        <v>2809.5382296382049</v>
      </c>
      <c r="Z71" s="1952">
        <f t="shared" si="9"/>
        <v>2945.483627846505</v>
      </c>
      <c r="AA71" s="1952">
        <f t="shared" si="9"/>
        <v>2809.5382296382049</v>
      </c>
      <c r="AB71" s="1952">
        <f t="shared" si="9"/>
        <v>421430.73444573075</v>
      </c>
    </row>
    <row r="72" spans="1:28" x14ac:dyDescent="0.45">
      <c r="A72" s="1443" t="s">
        <v>79</v>
      </c>
      <c r="B72" s="1947"/>
      <c r="C72" s="1445">
        <f t="shared" ref="C72:AB72" si="10">SUM(C69:C71)</f>
        <v>5969.2762390137968</v>
      </c>
      <c r="D72" s="1445">
        <f t="shared" si="10"/>
        <v>4790.5729053088789</v>
      </c>
      <c r="E72" s="1445">
        <f t="shared" si="10"/>
        <v>5933.7444817231881</v>
      </c>
      <c r="F72" s="1445">
        <f t="shared" si="10"/>
        <v>4787.6425353342938</v>
      </c>
      <c r="G72" s="1445">
        <f t="shared" si="10"/>
        <v>5969.2762390137968</v>
      </c>
      <c r="H72" s="1445">
        <f t="shared" si="10"/>
        <v>4790.5729053088789</v>
      </c>
      <c r="I72" s="1445">
        <f t="shared" si="10"/>
        <v>5933.7444817231881</v>
      </c>
      <c r="J72" s="1445">
        <f t="shared" si="10"/>
        <v>4787.6425353342938</v>
      </c>
      <c r="K72" s="1445">
        <f t="shared" si="10"/>
        <v>17536.451443719332</v>
      </c>
      <c r="L72" s="1445">
        <f t="shared" si="10"/>
        <v>14958.804940646807</v>
      </c>
      <c r="M72" s="1445">
        <f t="shared" si="10"/>
        <v>471136.56238967541</v>
      </c>
      <c r="N72" s="1445">
        <f t="shared" si="10"/>
        <v>688877.11914434552</v>
      </c>
      <c r="O72" s="1445">
        <f t="shared" si="10"/>
        <v>471136.56238967541</v>
      </c>
      <c r="P72" s="1445">
        <f t="shared" si="10"/>
        <v>688877.11914434552</v>
      </c>
      <c r="Q72" s="1445">
        <f t="shared" si="10"/>
        <v>606227.68141319626</v>
      </c>
      <c r="R72" s="1445">
        <f t="shared" si="10"/>
        <v>770265.7599132373</v>
      </c>
      <c r="S72" s="1445">
        <f t="shared" si="10"/>
        <v>606227.68141319626</v>
      </c>
      <c r="T72" s="1445">
        <f t="shared" si="10"/>
        <v>770265.7599132373</v>
      </c>
      <c r="U72" s="1445">
        <f>SUM(U69:U71)</f>
        <v>688877.11914434552</v>
      </c>
      <c r="V72" s="1445">
        <f>SUM(V69:V71)</f>
        <v>770265.7599132373</v>
      </c>
      <c r="W72" s="1445">
        <f>SUM(W69:W71)</f>
        <v>688877.11914434552</v>
      </c>
      <c r="X72" s="1445">
        <f t="shared" si="10"/>
        <v>58386.638127712606</v>
      </c>
      <c r="Y72" s="1445">
        <f t="shared" si="10"/>
        <v>55646.027957612445</v>
      </c>
      <c r="Z72" s="1445">
        <f t="shared" si="10"/>
        <v>58386.638127712606</v>
      </c>
      <c r="AA72" s="1445">
        <f t="shared" si="10"/>
        <v>55646.027957612445</v>
      </c>
      <c r="AB72" s="1445">
        <f t="shared" si="10"/>
        <v>12356444.416303564</v>
      </c>
    </row>
    <row r="73" spans="1:28" x14ac:dyDescent="0.45">
      <c r="A73" s="1439"/>
      <c r="B73" s="1953"/>
      <c r="C73" s="1953"/>
      <c r="D73" s="1955"/>
      <c r="E73" s="1955"/>
      <c r="F73" s="1955"/>
      <c r="G73" s="1953"/>
      <c r="H73" s="1953"/>
      <c r="I73" s="1953"/>
      <c r="J73" s="1953"/>
      <c r="K73" s="1953"/>
      <c r="L73" s="1953"/>
      <c r="M73" s="1953"/>
      <c r="N73" s="1953"/>
      <c r="O73" s="1953"/>
      <c r="P73" s="1953"/>
      <c r="Q73" s="1953"/>
      <c r="R73" s="1953"/>
      <c r="S73" s="1953"/>
      <c r="T73" s="1953"/>
      <c r="U73" s="1953"/>
      <c r="V73" s="1953"/>
      <c r="W73" s="1954"/>
      <c r="X73" s="1953"/>
      <c r="Y73" s="1953"/>
      <c r="Z73" s="1953"/>
      <c r="AA73" s="1953"/>
      <c r="AB73" s="1953"/>
    </row>
    <row r="74" spans="1:28" ht="42.75" x14ac:dyDescent="0.45">
      <c r="A74" s="1441" t="s">
        <v>81</v>
      </c>
      <c r="B74" s="1953" t="s">
        <v>100</v>
      </c>
      <c r="C74" s="1953"/>
      <c r="D74" s="1955"/>
      <c r="E74" s="1955"/>
      <c r="F74" s="1955"/>
      <c r="G74" s="1953"/>
      <c r="H74" s="1953"/>
      <c r="I74" s="1953"/>
      <c r="J74" s="1953"/>
      <c r="K74" s="1953"/>
      <c r="L74" s="1953"/>
      <c r="M74" s="1953"/>
      <c r="N74" s="1953"/>
      <c r="O74" s="1953"/>
      <c r="P74" s="1953"/>
      <c r="Q74" s="1953"/>
      <c r="R74" s="1953"/>
      <c r="S74" s="1953"/>
      <c r="T74" s="1953"/>
      <c r="U74" s="1953"/>
      <c r="V74" s="1953"/>
      <c r="W74" s="1954"/>
      <c r="X74" s="1953"/>
      <c r="Y74" s="1953"/>
      <c r="Z74" s="1953"/>
      <c r="AA74" s="1953"/>
      <c r="AB74" s="1953"/>
    </row>
    <row r="75" spans="1:28" x14ac:dyDescent="0.45">
      <c r="A75" s="1443" t="s">
        <v>78</v>
      </c>
      <c r="B75" s="1947"/>
      <c r="C75" s="1947">
        <f t="shared" ref="C75:AB75" ca="1" si="11">C63*C$6*(1+C$36)</f>
        <v>0</v>
      </c>
      <c r="D75" s="1952">
        <f t="shared" ca="1" si="11"/>
        <v>7697.2597165195684</v>
      </c>
      <c r="E75" s="1952">
        <f t="shared" ca="1" si="11"/>
        <v>0</v>
      </c>
      <c r="F75" s="1952">
        <f t="shared" ca="1" si="11"/>
        <v>8321.3618556968304</v>
      </c>
      <c r="G75" s="1952">
        <f t="shared" ca="1" si="11"/>
        <v>0</v>
      </c>
      <c r="H75" s="1952">
        <f t="shared" ca="1" si="11"/>
        <v>7697.2597165195684</v>
      </c>
      <c r="I75" s="1952">
        <f t="shared" ca="1" si="11"/>
        <v>0</v>
      </c>
      <c r="J75" s="1952">
        <f t="shared" ca="1" si="11"/>
        <v>7697.2597165195684</v>
      </c>
      <c r="K75" s="1952">
        <f t="shared" ca="1" si="11"/>
        <v>0</v>
      </c>
      <c r="L75" s="1952">
        <f t="shared" ca="1" si="11"/>
        <v>20803.404639242075</v>
      </c>
      <c r="M75" s="1952">
        <f t="shared" ca="1" si="11"/>
        <v>0</v>
      </c>
      <c r="N75" s="1952">
        <f t="shared" ca="1" si="11"/>
        <v>0</v>
      </c>
      <c r="O75" s="1952">
        <f t="shared" ca="1" si="11"/>
        <v>0</v>
      </c>
      <c r="P75" s="1952">
        <f t="shared" ca="1" si="11"/>
        <v>0</v>
      </c>
      <c r="Q75" s="1952">
        <f t="shared" ca="1" si="11"/>
        <v>243272.96972764909</v>
      </c>
      <c r="R75" s="1952">
        <f t="shared" ca="1" si="11"/>
        <v>437891.34550976835</v>
      </c>
      <c r="S75" s="1952">
        <f t="shared" ca="1" si="11"/>
        <v>243272.96972764909</v>
      </c>
      <c r="T75" s="1952">
        <f t="shared" ca="1" si="11"/>
        <v>437891.34550976835</v>
      </c>
      <c r="U75" s="1952">
        <f t="shared" ref="U75:V77" ca="1" si="12">U63*U$6*(1+U$36)</f>
        <v>0</v>
      </c>
      <c r="V75" s="1952">
        <f t="shared" ca="1" si="12"/>
        <v>739955.28292159922</v>
      </c>
      <c r="W75" s="1952">
        <f ca="1">W63*W$6*(1+W$36)</f>
        <v>48654.593945529814</v>
      </c>
      <c r="X75" s="1952">
        <f t="shared" ca="1" si="11"/>
        <v>0</v>
      </c>
      <c r="Y75" s="1952">
        <f t="shared" ca="1" si="11"/>
        <v>83213.6185569683</v>
      </c>
      <c r="Z75" s="1952">
        <f t="shared" ca="1" si="11"/>
        <v>0</v>
      </c>
      <c r="AA75" s="1952">
        <f t="shared" ca="1" si="11"/>
        <v>104017.02319621039</v>
      </c>
      <c r="AB75" s="1952">
        <f t="shared" ca="1" si="11"/>
        <v>0</v>
      </c>
    </row>
    <row r="76" spans="1:28" x14ac:dyDescent="0.45">
      <c r="A76" s="1443" t="s">
        <v>75</v>
      </c>
      <c r="B76" s="1947"/>
      <c r="C76" s="1947">
        <f t="shared" ref="C76:AB76" si="13">C64*C$6*(1+C$36)</f>
        <v>0</v>
      </c>
      <c r="D76" s="1952">
        <f t="shared" si="13"/>
        <v>1600.0216887398303</v>
      </c>
      <c r="E76" s="1952">
        <f t="shared" si="13"/>
        <v>0</v>
      </c>
      <c r="F76" s="1952">
        <f t="shared" si="13"/>
        <v>1729.7531770160326</v>
      </c>
      <c r="G76" s="1952">
        <f t="shared" si="13"/>
        <v>0</v>
      </c>
      <c r="H76" s="1952">
        <f t="shared" si="13"/>
        <v>1600.0216887398303</v>
      </c>
      <c r="I76" s="1952">
        <f t="shared" si="13"/>
        <v>0</v>
      </c>
      <c r="J76" s="1952">
        <f t="shared" si="13"/>
        <v>1600.0216887398303</v>
      </c>
      <c r="K76" s="1952">
        <f t="shared" si="13"/>
        <v>0</v>
      </c>
      <c r="L76" s="1952">
        <f t="shared" si="13"/>
        <v>4324.3829425400818</v>
      </c>
      <c r="M76" s="1952">
        <f t="shared" si="13"/>
        <v>0</v>
      </c>
      <c r="N76" s="1952">
        <f t="shared" si="13"/>
        <v>0</v>
      </c>
      <c r="O76" s="1952">
        <f t="shared" si="13"/>
        <v>0</v>
      </c>
      <c r="P76" s="1952">
        <f t="shared" si="13"/>
        <v>0</v>
      </c>
      <c r="Q76" s="1952">
        <f t="shared" si="13"/>
        <v>77838.892965721461</v>
      </c>
      <c r="R76" s="1952">
        <f t="shared" si="13"/>
        <v>140110.00733829863</v>
      </c>
      <c r="S76" s="1952">
        <f t="shared" si="13"/>
        <v>77838.892965721461</v>
      </c>
      <c r="T76" s="1952">
        <f t="shared" si="13"/>
        <v>140110.00733829863</v>
      </c>
      <c r="U76" s="1952">
        <f t="shared" si="12"/>
        <v>0</v>
      </c>
      <c r="V76" s="1952">
        <f t="shared" si="12"/>
        <v>236759.96610406946</v>
      </c>
      <c r="W76" s="1952">
        <f>W64*W$6*(1+W$36)</f>
        <v>15567.778593144292</v>
      </c>
      <c r="X76" s="1952">
        <f t="shared" si="13"/>
        <v>0</v>
      </c>
      <c r="Y76" s="1952">
        <f t="shared" si="13"/>
        <v>17297.531770160327</v>
      </c>
      <c r="Z76" s="1952">
        <f t="shared" si="13"/>
        <v>0</v>
      </c>
      <c r="AA76" s="1952">
        <f t="shared" si="13"/>
        <v>21621.914712700407</v>
      </c>
      <c r="AB76" s="1952">
        <f t="shared" si="13"/>
        <v>0</v>
      </c>
    </row>
    <row r="77" spans="1:28" x14ac:dyDescent="0.45">
      <c r="A77" s="1443" t="s">
        <v>76</v>
      </c>
      <c r="B77" s="1947"/>
      <c r="C77" s="1947">
        <f t="shared" ref="C77:AB77" si="14">C65*C$6*(1+C$36)</f>
        <v>0</v>
      </c>
      <c r="D77" s="1952">
        <f t="shared" si="14"/>
        <v>117.55884358839535</v>
      </c>
      <c r="E77" s="1952">
        <f t="shared" si="14"/>
        <v>0</v>
      </c>
      <c r="F77" s="1952">
        <f t="shared" si="14"/>
        <v>127.09064171718416</v>
      </c>
      <c r="G77" s="1952">
        <f t="shared" si="14"/>
        <v>0</v>
      </c>
      <c r="H77" s="1952">
        <f t="shared" si="14"/>
        <v>117.55884358839535</v>
      </c>
      <c r="I77" s="1952">
        <f t="shared" si="14"/>
        <v>0</v>
      </c>
      <c r="J77" s="1952">
        <f t="shared" si="14"/>
        <v>117.55884358839535</v>
      </c>
      <c r="K77" s="1952">
        <f t="shared" si="14"/>
        <v>0</v>
      </c>
      <c r="L77" s="1952">
        <f t="shared" si="14"/>
        <v>317.72660429296036</v>
      </c>
      <c r="M77" s="1952">
        <f t="shared" si="14"/>
        <v>0</v>
      </c>
      <c r="N77" s="1952">
        <f t="shared" si="14"/>
        <v>0</v>
      </c>
      <c r="O77" s="1952">
        <f t="shared" si="14"/>
        <v>0</v>
      </c>
      <c r="P77" s="1952">
        <f t="shared" si="14"/>
        <v>0</v>
      </c>
      <c r="Q77" s="1952">
        <f t="shared" si="14"/>
        <v>7036.9131714492432</v>
      </c>
      <c r="R77" s="1952">
        <f t="shared" si="14"/>
        <v>12666.443708608638</v>
      </c>
      <c r="S77" s="1952">
        <f t="shared" si="14"/>
        <v>7036.9131714492432</v>
      </c>
      <c r="T77" s="1952">
        <f t="shared" si="14"/>
        <v>12666.443708608638</v>
      </c>
      <c r="U77" s="1952">
        <f t="shared" si="12"/>
        <v>0</v>
      </c>
      <c r="V77" s="1952">
        <f t="shared" si="12"/>
        <v>21403.944229824785</v>
      </c>
      <c r="W77" s="1952">
        <f>W65*W$6*(1+W$36)</f>
        <v>1407.3826342898487</v>
      </c>
      <c r="X77" s="1952">
        <f t="shared" si="14"/>
        <v>0</v>
      </c>
      <c r="Y77" s="1952">
        <f t="shared" si="14"/>
        <v>1270.9064171718414</v>
      </c>
      <c r="Z77" s="1952">
        <f t="shared" si="14"/>
        <v>0</v>
      </c>
      <c r="AA77" s="1952">
        <f t="shared" si="14"/>
        <v>1588.6330214648019</v>
      </c>
      <c r="AB77" s="1952">
        <f t="shared" si="14"/>
        <v>0</v>
      </c>
    </row>
    <row r="78" spans="1:28" x14ac:dyDescent="0.45">
      <c r="A78" s="1443" t="s">
        <v>79</v>
      </c>
      <c r="B78" s="1947"/>
      <c r="C78" s="1444">
        <f t="shared" ref="C78:AB78" ca="1" si="15">SUM(C75:C77)</f>
        <v>0</v>
      </c>
      <c r="D78" s="1445">
        <f t="shared" ca="1" si="15"/>
        <v>9414.8402488477932</v>
      </c>
      <c r="E78" s="1445">
        <f t="shared" ca="1" si="15"/>
        <v>0</v>
      </c>
      <c r="F78" s="1445">
        <f t="shared" ca="1" si="15"/>
        <v>10178.205674430048</v>
      </c>
      <c r="G78" s="1445">
        <f t="shared" ca="1" si="15"/>
        <v>0</v>
      </c>
      <c r="H78" s="1445">
        <f t="shared" ca="1" si="15"/>
        <v>9414.8402488477932</v>
      </c>
      <c r="I78" s="1445">
        <f t="shared" ca="1" si="15"/>
        <v>0</v>
      </c>
      <c r="J78" s="1445">
        <f t="shared" ca="1" si="15"/>
        <v>9414.8402488477932</v>
      </c>
      <c r="K78" s="1445">
        <f t="shared" ca="1" si="15"/>
        <v>0</v>
      </c>
      <c r="L78" s="1445">
        <f t="shared" ca="1" si="15"/>
        <v>25445.514186075114</v>
      </c>
      <c r="M78" s="1445">
        <f t="shared" ca="1" si="15"/>
        <v>0</v>
      </c>
      <c r="N78" s="1445">
        <f t="shared" ca="1" si="15"/>
        <v>0</v>
      </c>
      <c r="O78" s="1445">
        <f t="shared" ca="1" si="15"/>
        <v>0</v>
      </c>
      <c r="P78" s="1445">
        <f t="shared" ca="1" si="15"/>
        <v>0</v>
      </c>
      <c r="Q78" s="1445">
        <f t="shared" ca="1" si="15"/>
        <v>328148.77586481982</v>
      </c>
      <c r="R78" s="1445">
        <f t="shared" ca="1" si="15"/>
        <v>590667.79655667557</v>
      </c>
      <c r="S78" s="1445">
        <f t="shared" ca="1" si="15"/>
        <v>328148.77586481982</v>
      </c>
      <c r="T78" s="1445">
        <f t="shared" ca="1" si="15"/>
        <v>590667.79655667557</v>
      </c>
      <c r="U78" s="1445">
        <f ca="1">SUM(U75:U77)</f>
        <v>0</v>
      </c>
      <c r="V78" s="1445">
        <f ca="1">SUM(V75:V77)</f>
        <v>998119.19325549353</v>
      </c>
      <c r="W78" s="1445">
        <f ca="1">SUM(W75:W77)</f>
        <v>65629.755172963953</v>
      </c>
      <c r="X78" s="1445">
        <f t="shared" ca="1" si="15"/>
        <v>0</v>
      </c>
      <c r="Y78" s="1445">
        <f t="shared" ca="1" si="15"/>
        <v>101782.05674430045</v>
      </c>
      <c r="Z78" s="1445">
        <f t="shared" ca="1" si="15"/>
        <v>0</v>
      </c>
      <c r="AA78" s="1445">
        <f t="shared" ca="1" si="15"/>
        <v>127227.5709303756</v>
      </c>
      <c r="AB78" s="1445">
        <f t="shared" ca="1" si="15"/>
        <v>0</v>
      </c>
    </row>
    <row r="79" spans="1:28" x14ac:dyDescent="0.45">
      <c r="A79" s="1439"/>
      <c r="B79" s="1953"/>
      <c r="C79" s="1953"/>
      <c r="D79" s="1955"/>
      <c r="E79" s="1955"/>
      <c r="F79" s="1955"/>
      <c r="G79" s="1953"/>
      <c r="H79" s="1953"/>
      <c r="I79" s="1953"/>
      <c r="J79" s="1953"/>
      <c r="K79" s="1953"/>
      <c r="L79" s="1953"/>
      <c r="M79" s="1953"/>
      <c r="N79" s="1953"/>
      <c r="O79" s="1953"/>
      <c r="P79" s="1953"/>
      <c r="Q79" s="1953"/>
      <c r="R79" s="1953"/>
      <c r="S79" s="1953"/>
      <c r="T79" s="1953"/>
      <c r="U79" s="1953"/>
      <c r="V79" s="1953"/>
      <c r="W79" s="1954"/>
      <c r="X79" s="1953"/>
      <c r="Y79" s="1953"/>
      <c r="Z79" s="1953"/>
      <c r="AA79" s="1953"/>
      <c r="AB79" s="1953"/>
    </row>
    <row r="80" spans="1:28" ht="42.75" x14ac:dyDescent="0.45">
      <c r="A80" s="1441" t="s">
        <v>82</v>
      </c>
      <c r="B80" s="1953" t="s">
        <v>100</v>
      </c>
      <c r="C80" s="1953"/>
      <c r="D80" s="1955"/>
      <c r="E80" s="1955"/>
      <c r="F80" s="1955"/>
      <c r="G80" s="1953"/>
      <c r="H80" s="1953"/>
      <c r="I80" s="1953"/>
      <c r="J80" s="1953"/>
      <c r="K80" s="1953"/>
      <c r="L80" s="1953"/>
      <c r="M80" s="1953"/>
      <c r="N80" s="1953"/>
      <c r="O80" s="1953"/>
      <c r="P80" s="1953"/>
      <c r="Q80" s="1953"/>
      <c r="R80" s="1953"/>
      <c r="S80" s="1953"/>
      <c r="T80" s="1953"/>
      <c r="U80" s="1953"/>
      <c r="V80" s="1953"/>
      <c r="W80" s="1954"/>
      <c r="X80" s="1953"/>
      <c r="Y80" s="1953"/>
      <c r="Z80" s="1953"/>
      <c r="AA80" s="1953"/>
      <c r="AB80" s="1953"/>
    </row>
    <row r="81" spans="1:28" x14ac:dyDescent="0.45">
      <c r="A81" s="1443" t="s">
        <v>78</v>
      </c>
      <c r="B81" s="1947"/>
      <c r="C81" s="1952">
        <f t="shared" ref="C81:AB81" ca="1" si="16">C69+C75</f>
        <v>4930.728373620751</v>
      </c>
      <c r="D81" s="1952">
        <f t="shared" ca="1" si="16"/>
        <v>11613.983761351268</v>
      </c>
      <c r="E81" s="1952">
        <f t="shared" ca="1" si="16"/>
        <v>4838.5485509450664</v>
      </c>
      <c r="F81" s="1952">
        <f t="shared" ca="1" si="16"/>
        <v>12238.302645297561</v>
      </c>
      <c r="G81" s="1952">
        <f t="shared" ca="1" si="16"/>
        <v>4930.728373620751</v>
      </c>
      <c r="H81" s="1952">
        <f t="shared" ca="1" si="16"/>
        <v>11613.983761351268</v>
      </c>
      <c r="I81" s="1952">
        <f t="shared" ca="1" si="16"/>
        <v>4838.5485509450664</v>
      </c>
      <c r="J81" s="1952">
        <f t="shared" ca="1" si="16"/>
        <v>11614.200506120298</v>
      </c>
      <c r="K81" s="1952">
        <f t="shared" ca="1" si="16"/>
        <v>13864.81757616816</v>
      </c>
      <c r="L81" s="1952">
        <f t="shared" ca="1" si="16"/>
        <v>32615.094836273591</v>
      </c>
      <c r="M81" s="1952">
        <f t="shared" ca="1" si="16"/>
        <v>399749.5096220019</v>
      </c>
      <c r="N81" s="1952">
        <f t="shared" ca="1" si="16"/>
        <v>584497.81348110503</v>
      </c>
      <c r="O81" s="1952">
        <f t="shared" ca="1" si="16"/>
        <v>399749.5096220019</v>
      </c>
      <c r="P81" s="1952">
        <f t="shared" ca="1" si="16"/>
        <v>584497.81348110503</v>
      </c>
      <c r="Q81" s="1952">
        <f t="shared" ca="1" si="16"/>
        <v>760332.40007174539</v>
      </c>
      <c r="R81" s="1952">
        <f t="shared" ca="1" si="16"/>
        <v>1094860.9746528552</v>
      </c>
      <c r="S81" s="1952">
        <f t="shared" ca="1" si="16"/>
        <v>760332.40007174539</v>
      </c>
      <c r="T81" s="1952">
        <f t="shared" ca="1" si="16"/>
        <v>1094860.9746528552</v>
      </c>
      <c r="U81" s="1952">
        <f t="shared" ref="U81:V83" ca="1" si="17">U69+U75</f>
        <v>584497.81348110503</v>
      </c>
      <c r="V81" s="1952">
        <f t="shared" ca="1" si="17"/>
        <v>1396924.912064686</v>
      </c>
      <c r="W81" s="1952">
        <f ca="1">W69+W75</f>
        <v>633152.4074266348</v>
      </c>
      <c r="X81" s="1952">
        <f t="shared" ca="1" si="16"/>
        <v>44749.140905379674</v>
      </c>
      <c r="Y81" s="1952">
        <f t="shared" ca="1" si="16"/>
        <v>125851.57224097088</v>
      </c>
      <c r="Z81" s="1952">
        <f t="shared" ca="1" si="16"/>
        <v>44749.140905379674</v>
      </c>
      <c r="AA81" s="1952">
        <f t="shared" ca="1" si="16"/>
        <v>146654.97688021295</v>
      </c>
      <c r="AB81" s="1952">
        <f t="shared" ca="1" si="16"/>
        <v>10405233.275262084</v>
      </c>
    </row>
    <row r="82" spans="1:28" x14ac:dyDescent="0.45">
      <c r="A82" s="1443" t="s">
        <v>75</v>
      </c>
      <c r="B82" s="1947"/>
      <c r="C82" s="1952">
        <f t="shared" ref="C82:AB82" si="18">C70+C76</f>
        <v>814.23795834935049</v>
      </c>
      <c r="D82" s="1952">
        <f t="shared" si="18"/>
        <v>2285.1330213711526</v>
      </c>
      <c r="E82" s="1952">
        <f t="shared" si="18"/>
        <v>858.65093789567879</v>
      </c>
      <c r="F82" s="1952">
        <f t="shared" si="18"/>
        <v>2412.3971218947809</v>
      </c>
      <c r="G82" s="1952">
        <f t="shared" si="18"/>
        <v>814.23795834935049</v>
      </c>
      <c r="H82" s="1952">
        <f t="shared" si="18"/>
        <v>2285.1330213711526</v>
      </c>
      <c r="I82" s="1952">
        <f t="shared" si="18"/>
        <v>858.65093789567879</v>
      </c>
      <c r="J82" s="1952">
        <f t="shared" si="18"/>
        <v>2282.6656336185788</v>
      </c>
      <c r="K82" s="1952">
        <f t="shared" si="18"/>
        <v>2878.6190446694209</v>
      </c>
      <c r="L82" s="1952">
        <f t="shared" si="18"/>
        <v>6791.7706951138716</v>
      </c>
      <c r="M82" s="1952">
        <f t="shared" si="18"/>
        <v>55968.578854215455</v>
      </c>
      <c r="N82" s="1952">
        <f t="shared" si="18"/>
        <v>81835.027127030684</v>
      </c>
      <c r="O82" s="1952">
        <f t="shared" si="18"/>
        <v>55968.578854215455</v>
      </c>
      <c r="P82" s="1952">
        <f t="shared" si="18"/>
        <v>81835.027127030684</v>
      </c>
      <c r="Q82" s="1952">
        <f t="shared" si="18"/>
        <v>147748.21262197883</v>
      </c>
      <c r="R82" s="1952">
        <f t="shared" si="18"/>
        <v>228935.96643095504</v>
      </c>
      <c r="S82" s="1952">
        <f t="shared" si="18"/>
        <v>147748.21262197883</v>
      </c>
      <c r="T82" s="1952">
        <f t="shared" si="18"/>
        <v>228935.96643095504</v>
      </c>
      <c r="U82" s="1952">
        <f t="shared" si="17"/>
        <v>81835.027127030684</v>
      </c>
      <c r="V82" s="1952">
        <f t="shared" si="17"/>
        <v>325585.92519672588</v>
      </c>
      <c r="W82" s="1952">
        <f>W70+W76</f>
        <v>97402.805720174976</v>
      </c>
      <c r="X82" s="1952">
        <f t="shared" si="18"/>
        <v>10692.013594486421</v>
      </c>
      <c r="Y82" s="1952">
        <f t="shared" si="18"/>
        <v>27496.067814131991</v>
      </c>
      <c r="Z82" s="1952">
        <f t="shared" si="18"/>
        <v>10692.013594486421</v>
      </c>
      <c r="AA82" s="1952">
        <f t="shared" si="18"/>
        <v>31820.450756672071</v>
      </c>
      <c r="AB82" s="1952">
        <f t="shared" si="18"/>
        <v>1529780.4065957495</v>
      </c>
    </row>
    <row r="83" spans="1:28" x14ac:dyDescent="0.45">
      <c r="A83" s="1443" t="s">
        <v>76</v>
      </c>
      <c r="B83" s="1947"/>
      <c r="C83" s="1952">
        <f t="shared" ref="C83:AB83" si="19">C71+C77</f>
        <v>224.3099070436954</v>
      </c>
      <c r="D83" s="1952">
        <f t="shared" si="19"/>
        <v>306.29637143425214</v>
      </c>
      <c r="E83" s="1952">
        <f t="shared" si="19"/>
        <v>236.54499288244241</v>
      </c>
      <c r="F83" s="1952">
        <f t="shared" si="19"/>
        <v>315.14844257199945</v>
      </c>
      <c r="G83" s="1952">
        <f t="shared" si="19"/>
        <v>224.3099070436954</v>
      </c>
      <c r="H83" s="1952">
        <f t="shared" si="19"/>
        <v>306.29637143425214</v>
      </c>
      <c r="I83" s="1952">
        <f t="shared" si="19"/>
        <v>236.54499288244241</v>
      </c>
      <c r="J83" s="1952">
        <f t="shared" si="19"/>
        <v>305.6166444432107</v>
      </c>
      <c r="K83" s="1952">
        <f t="shared" si="19"/>
        <v>793.01482288175134</v>
      </c>
      <c r="L83" s="1952">
        <f t="shared" si="19"/>
        <v>997.45359533446151</v>
      </c>
      <c r="M83" s="1952">
        <f t="shared" si="19"/>
        <v>15418.473913458052</v>
      </c>
      <c r="N83" s="1952">
        <f t="shared" si="19"/>
        <v>22544.278536209789</v>
      </c>
      <c r="O83" s="1952">
        <f t="shared" si="19"/>
        <v>15418.473913458052</v>
      </c>
      <c r="P83" s="1952">
        <f t="shared" si="19"/>
        <v>22544.278536209789</v>
      </c>
      <c r="Q83" s="1952">
        <f t="shared" si="19"/>
        <v>26295.844584291775</v>
      </c>
      <c r="R83" s="1952">
        <f t="shared" si="19"/>
        <v>37136.615386102683</v>
      </c>
      <c r="S83" s="1952">
        <f t="shared" si="19"/>
        <v>26295.844584291775</v>
      </c>
      <c r="T83" s="1952">
        <f t="shared" si="19"/>
        <v>37136.615386102683</v>
      </c>
      <c r="U83" s="1952">
        <f t="shared" si="17"/>
        <v>22544.278536209789</v>
      </c>
      <c r="V83" s="1952">
        <f t="shared" si="17"/>
        <v>45874.115907318832</v>
      </c>
      <c r="W83" s="1952">
        <f>W71+W77</f>
        <v>23951.661170499639</v>
      </c>
      <c r="X83" s="1952">
        <f t="shared" si="19"/>
        <v>2945.483627846505</v>
      </c>
      <c r="Y83" s="1952">
        <f t="shared" si="19"/>
        <v>4080.4446468100464</v>
      </c>
      <c r="Z83" s="1952">
        <f t="shared" si="19"/>
        <v>2945.483627846505</v>
      </c>
      <c r="AA83" s="1952">
        <f t="shared" si="19"/>
        <v>4398.1712511030073</v>
      </c>
      <c r="AB83" s="1952">
        <f t="shared" si="19"/>
        <v>421430.73444573075</v>
      </c>
    </row>
    <row r="84" spans="1:28" x14ac:dyDescent="0.45">
      <c r="A84" s="1443" t="s">
        <v>79</v>
      </c>
      <c r="B84" s="1947"/>
      <c r="C84" s="1445">
        <f t="shared" ref="C84:AB84" ca="1" si="20">SUM(C81:C83)</f>
        <v>5969.2762390137968</v>
      </c>
      <c r="D84" s="1445">
        <f t="shared" ca="1" si="20"/>
        <v>14205.413154156671</v>
      </c>
      <c r="E84" s="1445">
        <f t="shared" ca="1" si="20"/>
        <v>5933.7444817231881</v>
      </c>
      <c r="F84" s="1445">
        <f t="shared" ca="1" si="20"/>
        <v>14965.848209764341</v>
      </c>
      <c r="G84" s="1445">
        <f t="shared" ca="1" si="20"/>
        <v>5969.2762390137968</v>
      </c>
      <c r="H84" s="1445">
        <f t="shared" ca="1" si="20"/>
        <v>14205.413154156671</v>
      </c>
      <c r="I84" s="1445">
        <f t="shared" ca="1" si="20"/>
        <v>5933.7444817231881</v>
      </c>
      <c r="J84" s="1445">
        <f t="shared" ca="1" si="20"/>
        <v>14202.482784182088</v>
      </c>
      <c r="K84" s="1445">
        <f t="shared" ca="1" si="20"/>
        <v>17536.451443719332</v>
      </c>
      <c r="L84" s="1445">
        <f t="shared" ca="1" si="20"/>
        <v>40404.319126721923</v>
      </c>
      <c r="M84" s="1445">
        <f t="shared" ca="1" si="20"/>
        <v>471136.56238967541</v>
      </c>
      <c r="N84" s="1445">
        <f t="shared" ca="1" si="20"/>
        <v>688877.11914434552</v>
      </c>
      <c r="O84" s="1445">
        <f t="shared" ca="1" si="20"/>
        <v>471136.56238967541</v>
      </c>
      <c r="P84" s="1445">
        <f t="shared" ca="1" si="20"/>
        <v>688877.11914434552</v>
      </c>
      <c r="Q84" s="1445">
        <f t="shared" ca="1" si="20"/>
        <v>934376.45727801602</v>
      </c>
      <c r="R84" s="1445">
        <f t="shared" ca="1" si="20"/>
        <v>1360933.5564699129</v>
      </c>
      <c r="S84" s="1445">
        <f t="shared" ca="1" si="20"/>
        <v>934376.45727801602</v>
      </c>
      <c r="T84" s="1445">
        <f t="shared" ca="1" si="20"/>
        <v>1360933.5564699129</v>
      </c>
      <c r="U84" s="1445">
        <f ca="1">SUM(U81:U83)</f>
        <v>688877.11914434552</v>
      </c>
      <c r="V84" s="1445">
        <f ca="1">SUM(V81:V83)</f>
        <v>1768384.9531687307</v>
      </c>
      <c r="W84" s="1445">
        <f ca="1">SUM(W81:W83)</f>
        <v>754506.87431730935</v>
      </c>
      <c r="X84" s="1445">
        <f t="shared" ca="1" si="20"/>
        <v>58386.638127712606</v>
      </c>
      <c r="Y84" s="1445">
        <f t="shared" ca="1" si="20"/>
        <v>157428.08470191291</v>
      </c>
      <c r="Z84" s="1445">
        <f t="shared" ca="1" si="20"/>
        <v>58386.638127712606</v>
      </c>
      <c r="AA84" s="1445">
        <f t="shared" ca="1" si="20"/>
        <v>182873.59888798805</v>
      </c>
      <c r="AB84" s="1445">
        <f t="shared" ca="1" si="20"/>
        <v>12356444.416303564</v>
      </c>
    </row>
    <row r="85" spans="1:28" x14ac:dyDescent="0.45">
      <c r="A85" s="1439"/>
      <c r="B85" s="1953"/>
      <c r="C85" s="1953"/>
      <c r="D85" s="1955"/>
      <c r="E85" s="1955"/>
      <c r="F85" s="1955"/>
      <c r="G85" s="1953"/>
      <c r="H85" s="1953"/>
      <c r="I85" s="1953"/>
      <c r="J85" s="1953"/>
      <c r="K85" s="1953"/>
      <c r="L85" s="1953"/>
      <c r="M85" s="1953"/>
      <c r="N85" s="1953"/>
      <c r="O85" s="1953"/>
      <c r="P85" s="1953"/>
      <c r="Q85" s="1953"/>
      <c r="R85" s="1953"/>
      <c r="S85" s="1953"/>
      <c r="T85" s="1953"/>
      <c r="U85" s="1953"/>
      <c r="V85" s="1953"/>
      <c r="W85" s="1954"/>
      <c r="X85" s="1953"/>
      <c r="Y85" s="1953"/>
      <c r="Z85" s="1953"/>
      <c r="AA85" s="1953"/>
      <c r="AB85" s="1953"/>
    </row>
    <row r="86" spans="1:28" ht="28.5" x14ac:dyDescent="0.45">
      <c r="A86" s="1441" t="s">
        <v>83</v>
      </c>
      <c r="B86" s="1953" t="s">
        <v>101</v>
      </c>
      <c r="C86" s="1953"/>
      <c r="D86" s="1955"/>
      <c r="E86" s="1955"/>
      <c r="F86" s="1955"/>
      <c r="G86" s="1953"/>
      <c r="H86" s="1953"/>
      <c r="I86" s="1953"/>
      <c r="J86" s="1953"/>
      <c r="K86" s="1953"/>
      <c r="L86" s="1953"/>
      <c r="M86" s="1953"/>
      <c r="N86" s="1953"/>
      <c r="O86" s="1953"/>
      <c r="P86" s="1953"/>
      <c r="Q86" s="1953"/>
      <c r="R86" s="1953"/>
      <c r="S86" s="1953"/>
      <c r="T86" s="1953"/>
      <c r="U86" s="1953"/>
      <c r="V86" s="1953"/>
      <c r="W86" s="1954"/>
      <c r="X86" s="1953"/>
      <c r="Y86" s="1953"/>
      <c r="Z86" s="1953"/>
      <c r="AA86" s="1953"/>
      <c r="AB86" s="1953"/>
    </row>
    <row r="87" spans="1:28" ht="57" x14ac:dyDescent="0.45">
      <c r="A87" s="1443" t="s">
        <v>49</v>
      </c>
      <c r="B87" s="1947"/>
      <c r="C87" s="1947" t="str">
        <f t="shared" ref="C87:AB87" si="21">C7</f>
        <v>With Al smelting mostly from coal</v>
      </c>
      <c r="D87" s="1947" t="str">
        <f t="shared" si="21"/>
        <v>With Al smelting mostly from coal</v>
      </c>
      <c r="E87" s="1947" t="str">
        <f t="shared" si="21"/>
        <v>With Al smelting mostly from coal</v>
      </c>
      <c r="F87" s="1947" t="str">
        <f t="shared" si="21"/>
        <v>With Al smelting mostly from coal</v>
      </c>
      <c r="G87" s="1947" t="str">
        <f t="shared" si="21"/>
        <v>With Al smelting mostly from coal</v>
      </c>
      <c r="H87" s="1947" t="str">
        <f t="shared" si="21"/>
        <v>With Al smelting mostly from coal</v>
      </c>
      <c r="I87" s="1947" t="str">
        <f t="shared" si="21"/>
        <v>With Al smelting mostly from coal</v>
      </c>
      <c r="J87" s="1947" t="str">
        <f t="shared" si="21"/>
        <v>With Al smelting mostly from coal</v>
      </c>
      <c r="K87" s="1947" t="str">
        <f t="shared" si="21"/>
        <v>With Al smelting mostly from coal</v>
      </c>
      <c r="L87" s="1947" t="str">
        <f t="shared" si="21"/>
        <v>With Al smelting mostly from coal</v>
      </c>
      <c r="M87" s="1947" t="str">
        <f t="shared" si="21"/>
        <v>With Al smelting mostly from coal</v>
      </c>
      <c r="N87" s="1947" t="str">
        <f t="shared" si="21"/>
        <v>With Al smelting mostly from coal</v>
      </c>
      <c r="O87" s="1947" t="str">
        <f t="shared" si="21"/>
        <v>With Al smelting mostly from coal</v>
      </c>
      <c r="P87" s="1947" t="str">
        <f t="shared" si="21"/>
        <v>With Al smelting mostly from coal</v>
      </c>
      <c r="Q87" s="1947" t="str">
        <f t="shared" si="21"/>
        <v>With Al smelting mostly from coal</v>
      </c>
      <c r="R87" s="1947" t="str">
        <f t="shared" si="21"/>
        <v>With Al smelting mostly from coal</v>
      </c>
      <c r="S87" s="1947" t="str">
        <f t="shared" si="21"/>
        <v>With Al smelting mostly from coal</v>
      </c>
      <c r="T87" s="1947" t="str">
        <f t="shared" si="21"/>
        <v>With Al smelting mostly from coal</v>
      </c>
      <c r="U87" s="1947" t="str">
        <f>U7</f>
        <v>With Al smelting mostly from coal</v>
      </c>
      <c r="V87" s="1947" t="str">
        <f>V7</f>
        <v>With Al smelting mostly from coal</v>
      </c>
      <c r="W87" s="1947" t="str">
        <f>W7</f>
        <v>With Al smelting mostly from coal</v>
      </c>
      <c r="X87" s="1947" t="str">
        <f t="shared" si="21"/>
        <v>With Al smelting mostly from coal</v>
      </c>
      <c r="Y87" s="1947" t="str">
        <f t="shared" si="21"/>
        <v>With Al smelting mostly from coal</v>
      </c>
      <c r="Z87" s="1947" t="str">
        <f t="shared" si="21"/>
        <v>With Al smelting mostly from coal</v>
      </c>
      <c r="AA87" s="1947" t="str">
        <f t="shared" si="21"/>
        <v>With Al smelting mostly from coal</v>
      </c>
      <c r="AB87" s="1947" t="str">
        <f t="shared" si="21"/>
        <v>With Al smelting mostly from coal</v>
      </c>
    </row>
    <row r="88" spans="1:28" x14ac:dyDescent="0.45">
      <c r="A88" s="1442" t="s">
        <v>68</v>
      </c>
      <c r="B88" s="2019"/>
      <c r="C88" s="2036">
        <f>HLOOKUP(C$87,MFG_inputs!$C$44:$D$58,ROW(MFG_inputs!$B45)-ROW(MFG_inputs!$B$44)+1,FALSE)</f>
        <v>2843.5660191643333</v>
      </c>
      <c r="D88" s="2036">
        <f>HLOOKUP(D$87,MFG_inputs!$C$44:$D$58,ROW(MFG_inputs!$B45)-ROW(MFG_inputs!$B$44)+1,FALSE)</f>
        <v>2843.5660191643333</v>
      </c>
      <c r="E88" s="2036">
        <f>HLOOKUP(E$87,MFG_inputs!$C$44:$D$58,ROW(MFG_inputs!$B45)-ROW(MFG_inputs!$B$44)+1,FALSE)</f>
        <v>2843.5660191643333</v>
      </c>
      <c r="F88" s="2036">
        <f>HLOOKUP(F$87,MFG_inputs!$C$44:$D$58,ROW(MFG_inputs!$B45)-ROW(MFG_inputs!$B$44)+1,FALSE)</f>
        <v>2843.5660191643333</v>
      </c>
      <c r="G88" s="2036">
        <f>HLOOKUP(G$87,MFG_inputs!$C$44:$D$58,ROW(MFG_inputs!$B45)-ROW(MFG_inputs!$B$44)+1,FALSE)</f>
        <v>2843.5660191643333</v>
      </c>
      <c r="H88" s="2036">
        <f>HLOOKUP(H$87,MFG_inputs!$C$44:$D$58,ROW(MFG_inputs!$B45)-ROW(MFG_inputs!$B$44)+1,FALSE)</f>
        <v>2843.5660191643333</v>
      </c>
      <c r="I88" s="2036">
        <f>HLOOKUP(I$87,MFG_inputs!$C$44:$D$58,ROW(MFG_inputs!$B45)-ROW(MFG_inputs!$B$44)+1,FALSE)</f>
        <v>2843.5660191643333</v>
      </c>
      <c r="J88" s="2036">
        <f>HLOOKUP(J$87,MFG_inputs!$C$44:$D$58,ROW(MFG_inputs!$B45)-ROW(MFG_inputs!$B$44)+1,FALSE)</f>
        <v>2843.5660191643333</v>
      </c>
      <c r="K88" s="2036">
        <f>HLOOKUP(K$87,MFG_inputs!$C$44:$D$58,ROW(MFG_inputs!$B45)-ROW(MFG_inputs!$B$44)+1,FALSE)</f>
        <v>2843.5660191643333</v>
      </c>
      <c r="L88" s="2036">
        <f>HLOOKUP(L$87,MFG_inputs!$C$44:$D$58,ROW(MFG_inputs!$B45)-ROW(MFG_inputs!$B$44)+1,FALSE)</f>
        <v>2843.5660191643333</v>
      </c>
      <c r="M88" s="2036">
        <f>HLOOKUP(M$87,MFG_inputs!$C$44:$D$58,ROW(MFG_inputs!$B45)-ROW(MFG_inputs!$B$44)+1,FALSE)</f>
        <v>2843.5660191643333</v>
      </c>
      <c r="N88" s="2036">
        <f>HLOOKUP(N$87,MFG_inputs!$C$44:$D$58,ROW(MFG_inputs!$B45)-ROW(MFG_inputs!$B$44)+1,FALSE)</f>
        <v>2843.5660191643333</v>
      </c>
      <c r="O88" s="2036">
        <f>HLOOKUP(O$87,MFG_inputs!$C$44:$D$58,ROW(MFG_inputs!$B45)-ROW(MFG_inputs!$B$44)+1,FALSE)</f>
        <v>2843.5660191643333</v>
      </c>
      <c r="P88" s="2036">
        <f>HLOOKUP(P$87,MFG_inputs!$C$44:$D$58,ROW(MFG_inputs!$B45)-ROW(MFG_inputs!$B$44)+1,FALSE)</f>
        <v>2843.5660191643333</v>
      </c>
      <c r="Q88" s="2036">
        <f>HLOOKUP(Q$87,MFG_inputs!$C$44:$D$58,ROW(MFG_inputs!$B45)-ROW(MFG_inputs!$B$44)+1,FALSE)</f>
        <v>2843.5660191643333</v>
      </c>
      <c r="R88" s="2036">
        <f>HLOOKUP(R$87,MFG_inputs!$C$44:$D$58,ROW(MFG_inputs!$B45)-ROW(MFG_inputs!$B$44)+1,FALSE)</f>
        <v>2843.5660191643333</v>
      </c>
      <c r="S88" s="2036">
        <f>HLOOKUP(S$87,MFG_inputs!$C$44:$D$58,ROW(MFG_inputs!$B45)-ROW(MFG_inputs!$B$44)+1,FALSE)</f>
        <v>2843.5660191643333</v>
      </c>
      <c r="T88" s="2036">
        <f>HLOOKUP(T$87,MFG_inputs!$C$44:$D$58,ROW(MFG_inputs!$B45)-ROW(MFG_inputs!$B$44)+1,FALSE)</f>
        <v>2843.5660191643333</v>
      </c>
      <c r="U88" s="2036">
        <f>HLOOKUP(U$87,MFG_inputs!$C$44:$D$58,ROW(MFG_inputs!$B45)-ROW(MFG_inputs!$B$44)+1,FALSE)</f>
        <v>2843.5660191643333</v>
      </c>
      <c r="V88" s="2036">
        <f>HLOOKUP(V$87,MFG_inputs!$C$44:$D$58,ROW(MFG_inputs!$B45)-ROW(MFG_inputs!$B$44)+1,FALSE)</f>
        <v>2843.5660191643333</v>
      </c>
      <c r="W88" s="2036">
        <f>HLOOKUP(W$87,MFG_inputs!$C$44:$D$58,ROW(MFG_inputs!$B45)-ROW(MFG_inputs!$B$44)+1,FALSE)</f>
        <v>2843.5660191643333</v>
      </c>
      <c r="X88" s="2036">
        <f>HLOOKUP(X$87,MFG_inputs!$C$44:$D$58,ROW(MFG_inputs!$B45)-ROW(MFG_inputs!$B$44)+1,FALSE)</f>
        <v>2843.5660191643333</v>
      </c>
      <c r="Y88" s="2036">
        <f>HLOOKUP(Y$87,MFG_inputs!$C$44:$D$58,ROW(MFG_inputs!$B45)-ROW(MFG_inputs!$B$44)+1,FALSE)</f>
        <v>2843.5660191643333</v>
      </c>
      <c r="Z88" s="2036">
        <f>HLOOKUP(Z$87,MFG_inputs!$C$44:$D$58,ROW(MFG_inputs!$B45)-ROW(MFG_inputs!$B$44)+1,FALSE)</f>
        <v>2843.5660191643333</v>
      </c>
      <c r="AA88" s="2036">
        <f>HLOOKUP(AA$87,MFG_inputs!$C$44:$D$58,ROW(MFG_inputs!$B45)-ROW(MFG_inputs!$B$44)+1,FALSE)</f>
        <v>2843.5660191643333</v>
      </c>
      <c r="AB88" s="2036">
        <f>HLOOKUP(AB$87,MFG_inputs!$C$44:$D$58,ROW(MFG_inputs!$B45)-ROW(MFG_inputs!$B$44)+1,FALSE)</f>
        <v>2843.5660191643333</v>
      </c>
    </row>
    <row r="89" spans="1:28" x14ac:dyDescent="0.45">
      <c r="A89" s="1442" t="s">
        <v>69</v>
      </c>
      <c r="B89" s="2019"/>
      <c r="C89" s="2036">
        <f>HLOOKUP(C$87,MFG_inputs!$C$44:$D$58,ROW(MFG_inputs!$B46)-ROW(MFG_inputs!$B$44)+1,FALSE)</f>
        <v>1287.3398874743875</v>
      </c>
      <c r="D89" s="2036">
        <f>HLOOKUP(D$87,MFG_inputs!$C$44:$D$58,ROW(MFG_inputs!$B46)-ROW(MFG_inputs!$B$44)+1,FALSE)</f>
        <v>1287.3398874743875</v>
      </c>
      <c r="E89" s="2036">
        <f>HLOOKUP(E$87,MFG_inputs!$C$44:$D$58,ROW(MFG_inputs!$B46)-ROW(MFG_inputs!$B$44)+1,FALSE)</f>
        <v>1287.3398874743875</v>
      </c>
      <c r="F89" s="2036">
        <f>HLOOKUP(F$87,MFG_inputs!$C$44:$D$58,ROW(MFG_inputs!$B46)-ROW(MFG_inputs!$B$44)+1,FALSE)</f>
        <v>1287.3398874743875</v>
      </c>
      <c r="G89" s="2036">
        <f>HLOOKUP(G$87,MFG_inputs!$C$44:$D$58,ROW(MFG_inputs!$B46)-ROW(MFG_inputs!$B$44)+1,FALSE)</f>
        <v>1287.3398874743875</v>
      </c>
      <c r="H89" s="2036">
        <f>HLOOKUP(H$87,MFG_inputs!$C$44:$D$58,ROW(MFG_inputs!$B46)-ROW(MFG_inputs!$B$44)+1,FALSE)</f>
        <v>1287.3398874743875</v>
      </c>
      <c r="I89" s="2036">
        <f>HLOOKUP(I$87,MFG_inputs!$C$44:$D$58,ROW(MFG_inputs!$B46)-ROW(MFG_inputs!$B$44)+1,FALSE)</f>
        <v>1287.3398874743875</v>
      </c>
      <c r="J89" s="2036">
        <f>HLOOKUP(J$87,MFG_inputs!$C$44:$D$58,ROW(MFG_inputs!$B46)-ROW(MFG_inputs!$B$44)+1,FALSE)</f>
        <v>1287.3398874743875</v>
      </c>
      <c r="K89" s="2036">
        <f>HLOOKUP(K$87,MFG_inputs!$C$44:$D$58,ROW(MFG_inputs!$B46)-ROW(MFG_inputs!$B$44)+1,FALSE)</f>
        <v>1287.3398874743875</v>
      </c>
      <c r="L89" s="2036">
        <f>HLOOKUP(L$87,MFG_inputs!$C$44:$D$58,ROW(MFG_inputs!$B46)-ROW(MFG_inputs!$B$44)+1,FALSE)</f>
        <v>1287.3398874743875</v>
      </c>
      <c r="M89" s="2036">
        <f>HLOOKUP(M$87,MFG_inputs!$C$44:$D$58,ROW(MFG_inputs!$B46)-ROW(MFG_inputs!$B$44)+1,FALSE)</f>
        <v>1287.3398874743875</v>
      </c>
      <c r="N89" s="2036">
        <f>HLOOKUP(N$87,MFG_inputs!$C$44:$D$58,ROW(MFG_inputs!$B46)-ROW(MFG_inputs!$B$44)+1,FALSE)</f>
        <v>1287.3398874743875</v>
      </c>
      <c r="O89" s="2036">
        <f>HLOOKUP(O$87,MFG_inputs!$C$44:$D$58,ROW(MFG_inputs!$B46)-ROW(MFG_inputs!$B$44)+1,FALSE)</f>
        <v>1287.3398874743875</v>
      </c>
      <c r="P89" s="2036">
        <f>HLOOKUP(P$87,MFG_inputs!$C$44:$D$58,ROW(MFG_inputs!$B46)-ROW(MFG_inputs!$B$44)+1,FALSE)</f>
        <v>1287.3398874743875</v>
      </c>
      <c r="Q89" s="2036">
        <f>HLOOKUP(Q$87,MFG_inputs!$C$44:$D$58,ROW(MFG_inputs!$B46)-ROW(MFG_inputs!$B$44)+1,FALSE)</f>
        <v>1287.3398874743875</v>
      </c>
      <c r="R89" s="2036">
        <f>HLOOKUP(R$87,MFG_inputs!$C$44:$D$58,ROW(MFG_inputs!$B46)-ROW(MFG_inputs!$B$44)+1,FALSE)</f>
        <v>1287.3398874743875</v>
      </c>
      <c r="S89" s="2036">
        <f>HLOOKUP(S$87,MFG_inputs!$C$44:$D$58,ROW(MFG_inputs!$B46)-ROW(MFG_inputs!$B$44)+1,FALSE)</f>
        <v>1287.3398874743875</v>
      </c>
      <c r="T89" s="2036">
        <f>HLOOKUP(T$87,MFG_inputs!$C$44:$D$58,ROW(MFG_inputs!$B46)-ROW(MFG_inputs!$B$44)+1,FALSE)</f>
        <v>1287.3398874743875</v>
      </c>
      <c r="U89" s="2036">
        <f>HLOOKUP(U$87,MFG_inputs!$C$44:$D$58,ROW(MFG_inputs!$B46)-ROW(MFG_inputs!$B$44)+1,FALSE)</f>
        <v>1287.3398874743875</v>
      </c>
      <c r="V89" s="2036">
        <f>HLOOKUP(V$87,MFG_inputs!$C$44:$D$58,ROW(MFG_inputs!$B46)-ROW(MFG_inputs!$B$44)+1,FALSE)</f>
        <v>1287.3398874743875</v>
      </c>
      <c r="W89" s="2036">
        <f>HLOOKUP(W$87,MFG_inputs!$C$44:$D$58,ROW(MFG_inputs!$B46)-ROW(MFG_inputs!$B$44)+1,FALSE)</f>
        <v>1287.3398874743875</v>
      </c>
      <c r="X89" s="2036">
        <f>HLOOKUP(X$87,MFG_inputs!$C$44:$D$58,ROW(MFG_inputs!$B46)-ROW(MFG_inputs!$B$44)+1,FALSE)</f>
        <v>1287.3398874743875</v>
      </c>
      <c r="Y89" s="2036">
        <f>HLOOKUP(Y$87,MFG_inputs!$C$44:$D$58,ROW(MFG_inputs!$B46)-ROW(MFG_inputs!$B$44)+1,FALSE)</f>
        <v>1287.3398874743875</v>
      </c>
      <c r="Z89" s="2036">
        <f>HLOOKUP(Z$87,MFG_inputs!$C$44:$D$58,ROW(MFG_inputs!$B46)-ROW(MFG_inputs!$B$44)+1,FALSE)</f>
        <v>1287.3398874743875</v>
      </c>
      <c r="AA89" s="2036">
        <f>HLOOKUP(AA$87,MFG_inputs!$C$44:$D$58,ROW(MFG_inputs!$B46)-ROW(MFG_inputs!$B$44)+1,FALSE)</f>
        <v>1287.3398874743875</v>
      </c>
      <c r="AB89" s="2036">
        <f>HLOOKUP(AB$87,MFG_inputs!$C$44:$D$58,ROW(MFG_inputs!$B46)-ROW(MFG_inputs!$B$44)+1,FALSE)</f>
        <v>1287.3398874743875</v>
      </c>
    </row>
    <row r="90" spans="1:28" x14ac:dyDescent="0.45">
      <c r="A90" s="1442" t="s">
        <v>52</v>
      </c>
      <c r="B90" s="2019"/>
      <c r="C90" s="2036">
        <f>HLOOKUP(C$87,MFG_inputs!$C$44:$D$58,ROW(MFG_inputs!$B47)-ROW(MFG_inputs!$B$44)+1,FALSE)</f>
        <v>1771.712674307837</v>
      </c>
      <c r="D90" s="2036">
        <f>HLOOKUP(D$87,MFG_inputs!$C$44:$D$58,ROW(MFG_inputs!$B47)-ROW(MFG_inputs!$B$44)+1,FALSE)</f>
        <v>1771.712674307837</v>
      </c>
      <c r="E90" s="2036">
        <f>HLOOKUP(E$87,MFG_inputs!$C$44:$D$58,ROW(MFG_inputs!$B47)-ROW(MFG_inputs!$B$44)+1,FALSE)</f>
        <v>1771.712674307837</v>
      </c>
      <c r="F90" s="2036">
        <f>HLOOKUP(F$87,MFG_inputs!$C$44:$D$58,ROW(MFG_inputs!$B47)-ROW(MFG_inputs!$B$44)+1,FALSE)</f>
        <v>1771.712674307837</v>
      </c>
      <c r="G90" s="2036">
        <f>HLOOKUP(G$87,MFG_inputs!$C$44:$D$58,ROW(MFG_inputs!$B47)-ROW(MFG_inputs!$B$44)+1,FALSE)</f>
        <v>1771.712674307837</v>
      </c>
      <c r="H90" s="2036">
        <f>HLOOKUP(H$87,MFG_inputs!$C$44:$D$58,ROW(MFG_inputs!$B47)-ROW(MFG_inputs!$B$44)+1,FALSE)</f>
        <v>1771.712674307837</v>
      </c>
      <c r="I90" s="2036">
        <f>HLOOKUP(I$87,MFG_inputs!$C$44:$D$58,ROW(MFG_inputs!$B47)-ROW(MFG_inputs!$B$44)+1,FALSE)</f>
        <v>1771.712674307837</v>
      </c>
      <c r="J90" s="2036">
        <f>HLOOKUP(J$87,MFG_inputs!$C$44:$D$58,ROW(MFG_inputs!$B47)-ROW(MFG_inputs!$B$44)+1,FALSE)</f>
        <v>1771.712674307837</v>
      </c>
      <c r="K90" s="2036">
        <f>HLOOKUP(K$87,MFG_inputs!$C$44:$D$58,ROW(MFG_inputs!$B47)-ROW(MFG_inputs!$B$44)+1,FALSE)</f>
        <v>1771.712674307837</v>
      </c>
      <c r="L90" s="2036">
        <f>HLOOKUP(L$87,MFG_inputs!$C$44:$D$58,ROW(MFG_inputs!$B47)-ROW(MFG_inputs!$B$44)+1,FALSE)</f>
        <v>1771.712674307837</v>
      </c>
      <c r="M90" s="2036">
        <f>HLOOKUP(M$87,MFG_inputs!$C$44:$D$58,ROW(MFG_inputs!$B47)-ROW(MFG_inputs!$B$44)+1,FALSE)</f>
        <v>1771.712674307837</v>
      </c>
      <c r="N90" s="2036">
        <f>HLOOKUP(N$87,MFG_inputs!$C$44:$D$58,ROW(MFG_inputs!$B47)-ROW(MFG_inputs!$B$44)+1,FALSE)</f>
        <v>1771.712674307837</v>
      </c>
      <c r="O90" s="2036">
        <f>HLOOKUP(O$87,MFG_inputs!$C$44:$D$58,ROW(MFG_inputs!$B47)-ROW(MFG_inputs!$B$44)+1,FALSE)</f>
        <v>1771.712674307837</v>
      </c>
      <c r="P90" s="2036">
        <f>HLOOKUP(P$87,MFG_inputs!$C$44:$D$58,ROW(MFG_inputs!$B47)-ROW(MFG_inputs!$B$44)+1,FALSE)</f>
        <v>1771.712674307837</v>
      </c>
      <c r="Q90" s="2036">
        <f>HLOOKUP(Q$87,MFG_inputs!$C$44:$D$58,ROW(MFG_inputs!$B47)-ROW(MFG_inputs!$B$44)+1,FALSE)</f>
        <v>1771.712674307837</v>
      </c>
      <c r="R90" s="2036">
        <f>HLOOKUP(R$87,MFG_inputs!$C$44:$D$58,ROW(MFG_inputs!$B47)-ROW(MFG_inputs!$B$44)+1,FALSE)</f>
        <v>1771.712674307837</v>
      </c>
      <c r="S90" s="2036">
        <f>HLOOKUP(S$87,MFG_inputs!$C$44:$D$58,ROW(MFG_inputs!$B47)-ROW(MFG_inputs!$B$44)+1,FALSE)</f>
        <v>1771.712674307837</v>
      </c>
      <c r="T90" s="2036">
        <f>HLOOKUP(T$87,MFG_inputs!$C$44:$D$58,ROW(MFG_inputs!$B47)-ROW(MFG_inputs!$B$44)+1,FALSE)</f>
        <v>1771.712674307837</v>
      </c>
      <c r="U90" s="2036">
        <f>HLOOKUP(U$87,MFG_inputs!$C$44:$D$58,ROW(MFG_inputs!$B47)-ROW(MFG_inputs!$B$44)+1,FALSE)</f>
        <v>1771.712674307837</v>
      </c>
      <c r="V90" s="2036">
        <f>HLOOKUP(V$87,MFG_inputs!$C$44:$D$58,ROW(MFG_inputs!$B47)-ROW(MFG_inputs!$B$44)+1,FALSE)</f>
        <v>1771.712674307837</v>
      </c>
      <c r="W90" s="2036">
        <f>HLOOKUP(W$87,MFG_inputs!$C$44:$D$58,ROW(MFG_inputs!$B47)-ROW(MFG_inputs!$B$44)+1,FALSE)</f>
        <v>1771.712674307837</v>
      </c>
      <c r="X90" s="2036">
        <f>HLOOKUP(X$87,MFG_inputs!$C$44:$D$58,ROW(MFG_inputs!$B47)-ROW(MFG_inputs!$B$44)+1,FALSE)</f>
        <v>1771.712674307837</v>
      </c>
      <c r="Y90" s="2036">
        <f>HLOOKUP(Y$87,MFG_inputs!$C$44:$D$58,ROW(MFG_inputs!$B47)-ROW(MFG_inputs!$B$44)+1,FALSE)</f>
        <v>1771.712674307837</v>
      </c>
      <c r="Z90" s="2036">
        <f>HLOOKUP(Z$87,MFG_inputs!$C$44:$D$58,ROW(MFG_inputs!$B47)-ROW(MFG_inputs!$B$44)+1,FALSE)</f>
        <v>1771.712674307837</v>
      </c>
      <c r="AA90" s="2036">
        <f>HLOOKUP(AA$87,MFG_inputs!$C$44:$D$58,ROW(MFG_inputs!$B47)-ROW(MFG_inputs!$B$44)+1,FALSE)</f>
        <v>1771.712674307837</v>
      </c>
      <c r="AB90" s="2036">
        <f>HLOOKUP(AB$87,MFG_inputs!$C$44:$D$58,ROW(MFG_inputs!$B47)-ROW(MFG_inputs!$B$44)+1,FALSE)</f>
        <v>1771.712674307837</v>
      </c>
    </row>
    <row r="91" spans="1:28" x14ac:dyDescent="0.45">
      <c r="A91" s="1442" t="s">
        <v>53</v>
      </c>
      <c r="B91" s="2019"/>
      <c r="C91" s="2036">
        <f>HLOOKUP(C$87,MFG_inputs!$C$44:$D$58,ROW(MFG_inputs!$B48)-ROW(MFG_inputs!$B$44)+1,FALSE)</f>
        <v>944.23830205384127</v>
      </c>
      <c r="D91" s="2036">
        <f>HLOOKUP(D$87,MFG_inputs!$C$44:$D$58,ROW(MFG_inputs!$B48)-ROW(MFG_inputs!$B$44)+1,FALSE)</f>
        <v>944.23830205384127</v>
      </c>
      <c r="E91" s="2036">
        <f>HLOOKUP(E$87,MFG_inputs!$C$44:$D$58,ROW(MFG_inputs!$B48)-ROW(MFG_inputs!$B$44)+1,FALSE)</f>
        <v>944.23830205384127</v>
      </c>
      <c r="F91" s="2036">
        <f>HLOOKUP(F$87,MFG_inputs!$C$44:$D$58,ROW(MFG_inputs!$B48)-ROW(MFG_inputs!$B$44)+1,FALSE)</f>
        <v>944.23830205384127</v>
      </c>
      <c r="G91" s="2036">
        <f>HLOOKUP(G$87,MFG_inputs!$C$44:$D$58,ROW(MFG_inputs!$B48)-ROW(MFG_inputs!$B$44)+1,FALSE)</f>
        <v>944.23830205384127</v>
      </c>
      <c r="H91" s="2036">
        <f>HLOOKUP(H$87,MFG_inputs!$C$44:$D$58,ROW(MFG_inputs!$B48)-ROW(MFG_inputs!$B$44)+1,FALSE)</f>
        <v>944.23830205384127</v>
      </c>
      <c r="I91" s="2036">
        <f>HLOOKUP(I$87,MFG_inputs!$C$44:$D$58,ROW(MFG_inputs!$B48)-ROW(MFG_inputs!$B$44)+1,FALSE)</f>
        <v>944.23830205384127</v>
      </c>
      <c r="J91" s="2036">
        <f>HLOOKUP(J$87,MFG_inputs!$C$44:$D$58,ROW(MFG_inputs!$B48)-ROW(MFG_inputs!$B$44)+1,FALSE)</f>
        <v>944.23830205384127</v>
      </c>
      <c r="K91" s="2036">
        <f>HLOOKUP(K$87,MFG_inputs!$C$44:$D$58,ROW(MFG_inputs!$B48)-ROW(MFG_inputs!$B$44)+1,FALSE)</f>
        <v>944.23830205384127</v>
      </c>
      <c r="L91" s="2036">
        <f>HLOOKUP(L$87,MFG_inputs!$C$44:$D$58,ROW(MFG_inputs!$B48)-ROW(MFG_inputs!$B$44)+1,FALSE)</f>
        <v>944.23830205384127</v>
      </c>
      <c r="M91" s="2036">
        <f>HLOOKUP(M$87,MFG_inputs!$C$44:$D$58,ROW(MFG_inputs!$B48)-ROW(MFG_inputs!$B$44)+1,FALSE)</f>
        <v>944.23830205384127</v>
      </c>
      <c r="N91" s="2036">
        <f>HLOOKUP(N$87,MFG_inputs!$C$44:$D$58,ROW(MFG_inputs!$B48)-ROW(MFG_inputs!$B$44)+1,FALSE)</f>
        <v>944.23830205384127</v>
      </c>
      <c r="O91" s="2036">
        <f>HLOOKUP(O$87,MFG_inputs!$C$44:$D$58,ROW(MFG_inputs!$B48)-ROW(MFG_inputs!$B$44)+1,FALSE)</f>
        <v>944.23830205384127</v>
      </c>
      <c r="P91" s="2036">
        <f>HLOOKUP(P$87,MFG_inputs!$C$44:$D$58,ROW(MFG_inputs!$B48)-ROW(MFG_inputs!$B$44)+1,FALSE)</f>
        <v>944.23830205384127</v>
      </c>
      <c r="Q91" s="2036">
        <f>HLOOKUP(Q$87,MFG_inputs!$C$44:$D$58,ROW(MFG_inputs!$B48)-ROW(MFG_inputs!$B$44)+1,FALSE)</f>
        <v>944.23830205384127</v>
      </c>
      <c r="R91" s="2036">
        <f>HLOOKUP(R$87,MFG_inputs!$C$44:$D$58,ROW(MFG_inputs!$B48)-ROW(MFG_inputs!$B$44)+1,FALSE)</f>
        <v>944.23830205384127</v>
      </c>
      <c r="S91" s="2036">
        <f>HLOOKUP(S$87,MFG_inputs!$C$44:$D$58,ROW(MFG_inputs!$B48)-ROW(MFG_inputs!$B$44)+1,FALSE)</f>
        <v>944.23830205384127</v>
      </c>
      <c r="T91" s="2036">
        <f>HLOOKUP(T$87,MFG_inputs!$C$44:$D$58,ROW(MFG_inputs!$B48)-ROW(MFG_inputs!$B$44)+1,FALSE)</f>
        <v>944.23830205384127</v>
      </c>
      <c r="U91" s="2036">
        <f>HLOOKUP(U$87,MFG_inputs!$C$44:$D$58,ROW(MFG_inputs!$B48)-ROW(MFG_inputs!$B$44)+1,FALSE)</f>
        <v>944.23830205384127</v>
      </c>
      <c r="V91" s="2036">
        <f>HLOOKUP(V$87,MFG_inputs!$C$44:$D$58,ROW(MFG_inputs!$B48)-ROW(MFG_inputs!$B$44)+1,FALSE)</f>
        <v>944.23830205384127</v>
      </c>
      <c r="W91" s="2036">
        <f>HLOOKUP(W$87,MFG_inputs!$C$44:$D$58,ROW(MFG_inputs!$B48)-ROW(MFG_inputs!$B$44)+1,FALSE)</f>
        <v>944.23830205384127</v>
      </c>
      <c r="X91" s="2036">
        <f>HLOOKUP(X$87,MFG_inputs!$C$44:$D$58,ROW(MFG_inputs!$B48)-ROW(MFG_inputs!$B$44)+1,FALSE)</f>
        <v>944.23830205384127</v>
      </c>
      <c r="Y91" s="2036">
        <f>HLOOKUP(Y$87,MFG_inputs!$C$44:$D$58,ROW(MFG_inputs!$B48)-ROW(MFG_inputs!$B$44)+1,FALSE)</f>
        <v>944.23830205384127</v>
      </c>
      <c r="Z91" s="2036">
        <f>HLOOKUP(Z$87,MFG_inputs!$C$44:$D$58,ROW(MFG_inputs!$B48)-ROW(MFG_inputs!$B$44)+1,FALSE)</f>
        <v>944.23830205384127</v>
      </c>
      <c r="AA91" s="2036">
        <f>HLOOKUP(AA$87,MFG_inputs!$C$44:$D$58,ROW(MFG_inputs!$B48)-ROW(MFG_inputs!$B$44)+1,FALSE)</f>
        <v>944.23830205384127</v>
      </c>
      <c r="AB91" s="2036">
        <f>HLOOKUP(AB$87,MFG_inputs!$C$44:$D$58,ROW(MFG_inputs!$B48)-ROW(MFG_inputs!$B$44)+1,FALSE)</f>
        <v>944.23830205384127</v>
      </c>
    </row>
    <row r="92" spans="1:28" x14ac:dyDescent="0.45">
      <c r="A92" s="1442" t="s">
        <v>70</v>
      </c>
      <c r="B92" s="2019"/>
      <c r="C92" s="2036">
        <f>HLOOKUP(C$87,MFG_inputs!$C$44:$D$58,ROW(MFG_inputs!$B49)-ROW(MFG_inputs!$B$44)+1,FALSE)</f>
        <v>18370.647678120487</v>
      </c>
      <c r="D92" s="2036">
        <f>HLOOKUP(D$87,MFG_inputs!$C$44:$D$58,ROW(MFG_inputs!$B49)-ROW(MFG_inputs!$B$44)+1,FALSE)</f>
        <v>18370.647678120487</v>
      </c>
      <c r="E92" s="2036">
        <f>HLOOKUP(E$87,MFG_inputs!$C$44:$D$58,ROW(MFG_inputs!$B49)-ROW(MFG_inputs!$B$44)+1,FALSE)</f>
        <v>18370.647678120487</v>
      </c>
      <c r="F92" s="2036">
        <f>HLOOKUP(F$87,MFG_inputs!$C$44:$D$58,ROW(MFG_inputs!$B49)-ROW(MFG_inputs!$B$44)+1,FALSE)</f>
        <v>18370.647678120487</v>
      </c>
      <c r="G92" s="2036">
        <f>HLOOKUP(G$87,MFG_inputs!$C$44:$D$58,ROW(MFG_inputs!$B49)-ROW(MFG_inputs!$B$44)+1,FALSE)</f>
        <v>18370.647678120487</v>
      </c>
      <c r="H92" s="2036">
        <f>HLOOKUP(H$87,MFG_inputs!$C$44:$D$58,ROW(MFG_inputs!$B49)-ROW(MFG_inputs!$B$44)+1,FALSE)</f>
        <v>18370.647678120487</v>
      </c>
      <c r="I92" s="2036">
        <f>HLOOKUP(I$87,MFG_inputs!$C$44:$D$58,ROW(MFG_inputs!$B49)-ROW(MFG_inputs!$B$44)+1,FALSE)</f>
        <v>18370.647678120487</v>
      </c>
      <c r="J92" s="2036">
        <f>HLOOKUP(J$87,MFG_inputs!$C$44:$D$58,ROW(MFG_inputs!$B49)-ROW(MFG_inputs!$B$44)+1,FALSE)</f>
        <v>18370.647678120487</v>
      </c>
      <c r="K92" s="2036">
        <f>HLOOKUP(K$87,MFG_inputs!$C$44:$D$58,ROW(MFG_inputs!$B49)-ROW(MFG_inputs!$B$44)+1,FALSE)</f>
        <v>18370.647678120487</v>
      </c>
      <c r="L92" s="2036">
        <f>HLOOKUP(L$87,MFG_inputs!$C$44:$D$58,ROW(MFG_inputs!$B49)-ROW(MFG_inputs!$B$44)+1,FALSE)</f>
        <v>18370.647678120487</v>
      </c>
      <c r="M92" s="2036">
        <f>HLOOKUP(M$87,MFG_inputs!$C$44:$D$58,ROW(MFG_inputs!$B49)-ROW(MFG_inputs!$B$44)+1,FALSE)</f>
        <v>18370.647678120487</v>
      </c>
      <c r="N92" s="2036">
        <f>HLOOKUP(N$87,MFG_inputs!$C$44:$D$58,ROW(MFG_inputs!$B49)-ROW(MFG_inputs!$B$44)+1,FALSE)</f>
        <v>18370.647678120487</v>
      </c>
      <c r="O92" s="2036">
        <f>HLOOKUP(O$87,MFG_inputs!$C$44:$D$58,ROW(MFG_inputs!$B49)-ROW(MFG_inputs!$B$44)+1,FALSE)</f>
        <v>18370.647678120487</v>
      </c>
      <c r="P92" s="2036">
        <f>HLOOKUP(P$87,MFG_inputs!$C$44:$D$58,ROW(MFG_inputs!$B49)-ROW(MFG_inputs!$B$44)+1,FALSE)</f>
        <v>18370.647678120487</v>
      </c>
      <c r="Q92" s="2036">
        <f>HLOOKUP(Q$87,MFG_inputs!$C$44:$D$58,ROW(MFG_inputs!$B49)-ROW(MFG_inputs!$B$44)+1,FALSE)</f>
        <v>18370.647678120487</v>
      </c>
      <c r="R92" s="2036">
        <f>HLOOKUP(R$87,MFG_inputs!$C$44:$D$58,ROW(MFG_inputs!$B49)-ROW(MFG_inputs!$B$44)+1,FALSE)</f>
        <v>18370.647678120487</v>
      </c>
      <c r="S92" s="2036">
        <f>HLOOKUP(S$87,MFG_inputs!$C$44:$D$58,ROW(MFG_inputs!$B49)-ROW(MFG_inputs!$B$44)+1,FALSE)</f>
        <v>18370.647678120487</v>
      </c>
      <c r="T92" s="2036">
        <f>HLOOKUP(T$87,MFG_inputs!$C$44:$D$58,ROW(MFG_inputs!$B49)-ROW(MFG_inputs!$B$44)+1,FALSE)</f>
        <v>18370.647678120487</v>
      </c>
      <c r="U92" s="2036">
        <f>HLOOKUP(U$87,MFG_inputs!$C$44:$D$58,ROW(MFG_inputs!$B49)-ROW(MFG_inputs!$B$44)+1,FALSE)</f>
        <v>18370.647678120487</v>
      </c>
      <c r="V92" s="2036">
        <f>HLOOKUP(V$87,MFG_inputs!$C$44:$D$58,ROW(MFG_inputs!$B49)-ROW(MFG_inputs!$B$44)+1,FALSE)</f>
        <v>18370.647678120487</v>
      </c>
      <c r="W92" s="2036">
        <f>HLOOKUP(W$87,MFG_inputs!$C$44:$D$58,ROW(MFG_inputs!$B49)-ROW(MFG_inputs!$B$44)+1,FALSE)</f>
        <v>18370.647678120487</v>
      </c>
      <c r="X92" s="2036">
        <f>HLOOKUP(X$87,MFG_inputs!$C$44:$D$58,ROW(MFG_inputs!$B49)-ROW(MFG_inputs!$B$44)+1,FALSE)</f>
        <v>18370.647678120487</v>
      </c>
      <c r="Y92" s="2036">
        <f>HLOOKUP(Y$87,MFG_inputs!$C$44:$D$58,ROW(MFG_inputs!$B49)-ROW(MFG_inputs!$B$44)+1,FALSE)</f>
        <v>18370.647678120487</v>
      </c>
      <c r="Z92" s="2036">
        <f>HLOOKUP(Z$87,MFG_inputs!$C$44:$D$58,ROW(MFG_inputs!$B49)-ROW(MFG_inputs!$B$44)+1,FALSE)</f>
        <v>18370.647678120487</v>
      </c>
      <c r="AA92" s="2036">
        <f>HLOOKUP(AA$87,MFG_inputs!$C$44:$D$58,ROW(MFG_inputs!$B49)-ROW(MFG_inputs!$B$44)+1,FALSE)</f>
        <v>18370.647678120487</v>
      </c>
      <c r="AB92" s="2036">
        <f>HLOOKUP(AB$87,MFG_inputs!$C$44:$D$58,ROW(MFG_inputs!$B49)-ROW(MFG_inputs!$B$44)+1,FALSE)</f>
        <v>18370.647678120487</v>
      </c>
    </row>
    <row r="93" spans="1:28" x14ac:dyDescent="0.45">
      <c r="A93" s="1442" t="s">
        <v>71</v>
      </c>
      <c r="B93" s="2019"/>
      <c r="C93" s="2036">
        <f>HLOOKUP(C$87,MFG_inputs!$C$44:$D$58,ROW(MFG_inputs!$B50)-ROW(MFG_inputs!$B$44)+1,FALSE)</f>
        <v>2404.8668850501526</v>
      </c>
      <c r="D93" s="2036">
        <f>HLOOKUP(D$87,MFG_inputs!$C$44:$D$58,ROW(MFG_inputs!$B50)-ROW(MFG_inputs!$B$44)+1,FALSE)</f>
        <v>2404.8668850501526</v>
      </c>
      <c r="E93" s="2036">
        <f>HLOOKUP(E$87,MFG_inputs!$C$44:$D$58,ROW(MFG_inputs!$B50)-ROW(MFG_inputs!$B$44)+1,FALSE)</f>
        <v>2404.8668850501526</v>
      </c>
      <c r="F93" s="2036">
        <f>HLOOKUP(F$87,MFG_inputs!$C$44:$D$58,ROW(MFG_inputs!$B50)-ROW(MFG_inputs!$B$44)+1,FALSE)</f>
        <v>2404.8668850501526</v>
      </c>
      <c r="G93" s="2036">
        <f>HLOOKUP(G$87,MFG_inputs!$C$44:$D$58,ROW(MFG_inputs!$B50)-ROW(MFG_inputs!$B$44)+1,FALSE)</f>
        <v>2404.8668850501526</v>
      </c>
      <c r="H93" s="2036">
        <f>HLOOKUP(H$87,MFG_inputs!$C$44:$D$58,ROW(MFG_inputs!$B50)-ROW(MFG_inputs!$B$44)+1,FALSE)</f>
        <v>2404.8668850501526</v>
      </c>
      <c r="I93" s="2036">
        <f>HLOOKUP(I$87,MFG_inputs!$C$44:$D$58,ROW(MFG_inputs!$B50)-ROW(MFG_inputs!$B$44)+1,FALSE)</f>
        <v>2404.8668850501526</v>
      </c>
      <c r="J93" s="2036">
        <f>HLOOKUP(J$87,MFG_inputs!$C$44:$D$58,ROW(MFG_inputs!$B50)-ROW(MFG_inputs!$B$44)+1,FALSE)</f>
        <v>2404.8668850501526</v>
      </c>
      <c r="K93" s="2036">
        <f>HLOOKUP(K$87,MFG_inputs!$C$44:$D$58,ROW(MFG_inputs!$B50)-ROW(MFG_inputs!$B$44)+1,FALSE)</f>
        <v>2404.8668850501526</v>
      </c>
      <c r="L93" s="2036">
        <f>HLOOKUP(L$87,MFG_inputs!$C$44:$D$58,ROW(MFG_inputs!$B50)-ROW(MFG_inputs!$B$44)+1,FALSE)</f>
        <v>2404.8668850501526</v>
      </c>
      <c r="M93" s="2036">
        <f>HLOOKUP(M$87,MFG_inputs!$C$44:$D$58,ROW(MFG_inputs!$B50)-ROW(MFG_inputs!$B$44)+1,FALSE)</f>
        <v>2404.8668850501526</v>
      </c>
      <c r="N93" s="2036">
        <f>HLOOKUP(N$87,MFG_inputs!$C$44:$D$58,ROW(MFG_inputs!$B50)-ROW(MFG_inputs!$B$44)+1,FALSE)</f>
        <v>2404.8668850501526</v>
      </c>
      <c r="O93" s="2036">
        <f>HLOOKUP(O$87,MFG_inputs!$C$44:$D$58,ROW(MFG_inputs!$B50)-ROW(MFG_inputs!$B$44)+1,FALSE)</f>
        <v>2404.8668850501526</v>
      </c>
      <c r="P93" s="2036">
        <f>HLOOKUP(P$87,MFG_inputs!$C$44:$D$58,ROW(MFG_inputs!$B50)-ROW(MFG_inputs!$B$44)+1,FALSE)</f>
        <v>2404.8668850501526</v>
      </c>
      <c r="Q93" s="2036">
        <f>HLOOKUP(Q$87,MFG_inputs!$C$44:$D$58,ROW(MFG_inputs!$B50)-ROW(MFG_inputs!$B$44)+1,FALSE)</f>
        <v>2404.8668850501526</v>
      </c>
      <c r="R93" s="2036">
        <f>HLOOKUP(R$87,MFG_inputs!$C$44:$D$58,ROW(MFG_inputs!$B50)-ROW(MFG_inputs!$B$44)+1,FALSE)</f>
        <v>2404.8668850501526</v>
      </c>
      <c r="S93" s="2036">
        <f>HLOOKUP(S$87,MFG_inputs!$C$44:$D$58,ROW(MFG_inputs!$B50)-ROW(MFG_inputs!$B$44)+1,FALSE)</f>
        <v>2404.8668850501526</v>
      </c>
      <c r="T93" s="2036">
        <f>HLOOKUP(T$87,MFG_inputs!$C$44:$D$58,ROW(MFG_inputs!$B50)-ROW(MFG_inputs!$B$44)+1,FALSE)</f>
        <v>2404.8668850501526</v>
      </c>
      <c r="U93" s="2036">
        <f>HLOOKUP(U$87,MFG_inputs!$C$44:$D$58,ROW(MFG_inputs!$B50)-ROW(MFG_inputs!$B$44)+1,FALSE)</f>
        <v>2404.8668850501526</v>
      </c>
      <c r="V93" s="2036">
        <f>HLOOKUP(V$87,MFG_inputs!$C$44:$D$58,ROW(MFG_inputs!$B50)-ROW(MFG_inputs!$B$44)+1,FALSE)</f>
        <v>2404.8668850501526</v>
      </c>
      <c r="W93" s="2036">
        <f>HLOOKUP(W$87,MFG_inputs!$C$44:$D$58,ROW(MFG_inputs!$B50)-ROW(MFG_inputs!$B$44)+1,FALSE)</f>
        <v>2404.8668850501526</v>
      </c>
      <c r="X93" s="2036">
        <f>HLOOKUP(X$87,MFG_inputs!$C$44:$D$58,ROW(MFG_inputs!$B50)-ROW(MFG_inputs!$B$44)+1,FALSE)</f>
        <v>2404.8668850501526</v>
      </c>
      <c r="Y93" s="2036">
        <f>HLOOKUP(Y$87,MFG_inputs!$C$44:$D$58,ROW(MFG_inputs!$B50)-ROW(MFG_inputs!$B$44)+1,FALSE)</f>
        <v>2404.8668850501526</v>
      </c>
      <c r="Z93" s="2036">
        <f>HLOOKUP(Z$87,MFG_inputs!$C$44:$D$58,ROW(MFG_inputs!$B50)-ROW(MFG_inputs!$B$44)+1,FALSE)</f>
        <v>2404.8668850501526</v>
      </c>
      <c r="AA93" s="2036">
        <f>HLOOKUP(AA$87,MFG_inputs!$C$44:$D$58,ROW(MFG_inputs!$B50)-ROW(MFG_inputs!$B$44)+1,FALSE)</f>
        <v>2404.8668850501526</v>
      </c>
      <c r="AB93" s="2036">
        <f>HLOOKUP(AB$87,MFG_inputs!$C$44:$D$58,ROW(MFG_inputs!$B50)-ROW(MFG_inputs!$B$44)+1,FALSE)</f>
        <v>2404.8668850501526</v>
      </c>
    </row>
    <row r="94" spans="1:28" x14ac:dyDescent="0.45">
      <c r="A94" s="1442" t="s">
        <v>72</v>
      </c>
      <c r="B94" s="2019"/>
      <c r="C94" s="2036">
        <f>HLOOKUP(C$87,MFG_inputs!$C$44:$D$58,ROW(MFG_inputs!$B51)-ROW(MFG_inputs!$B$44)+1,FALSE)</f>
        <v>20306.047918456588</v>
      </c>
      <c r="D94" s="2036">
        <f>HLOOKUP(D$87,MFG_inputs!$C$44:$D$58,ROW(MFG_inputs!$B51)-ROW(MFG_inputs!$B$44)+1,FALSE)</f>
        <v>20306.047918456588</v>
      </c>
      <c r="E94" s="2036">
        <f>HLOOKUP(E$87,MFG_inputs!$C$44:$D$58,ROW(MFG_inputs!$B51)-ROW(MFG_inputs!$B$44)+1,FALSE)</f>
        <v>20306.047918456588</v>
      </c>
      <c r="F94" s="2036">
        <f>HLOOKUP(F$87,MFG_inputs!$C$44:$D$58,ROW(MFG_inputs!$B51)-ROW(MFG_inputs!$B$44)+1,FALSE)</f>
        <v>20306.047918456588</v>
      </c>
      <c r="G94" s="2036">
        <f>HLOOKUP(G$87,MFG_inputs!$C$44:$D$58,ROW(MFG_inputs!$B51)-ROW(MFG_inputs!$B$44)+1,FALSE)</f>
        <v>20306.047918456588</v>
      </c>
      <c r="H94" s="2036">
        <f>HLOOKUP(H$87,MFG_inputs!$C$44:$D$58,ROW(MFG_inputs!$B51)-ROW(MFG_inputs!$B$44)+1,FALSE)</f>
        <v>20306.047918456588</v>
      </c>
      <c r="I94" s="2036">
        <f>HLOOKUP(I$87,MFG_inputs!$C$44:$D$58,ROW(MFG_inputs!$B51)-ROW(MFG_inputs!$B$44)+1,FALSE)</f>
        <v>20306.047918456588</v>
      </c>
      <c r="J94" s="2036">
        <f>HLOOKUP(J$87,MFG_inputs!$C$44:$D$58,ROW(MFG_inputs!$B51)-ROW(MFG_inputs!$B$44)+1,FALSE)</f>
        <v>20306.047918456588</v>
      </c>
      <c r="K94" s="2036">
        <f>HLOOKUP(K$87,MFG_inputs!$C$44:$D$58,ROW(MFG_inputs!$B51)-ROW(MFG_inputs!$B$44)+1,FALSE)</f>
        <v>20306.047918456588</v>
      </c>
      <c r="L94" s="2036">
        <f>HLOOKUP(L$87,MFG_inputs!$C$44:$D$58,ROW(MFG_inputs!$B51)-ROW(MFG_inputs!$B$44)+1,FALSE)</f>
        <v>20306.047918456588</v>
      </c>
      <c r="M94" s="2036">
        <f>HLOOKUP(M$87,MFG_inputs!$C$44:$D$58,ROW(MFG_inputs!$B51)-ROW(MFG_inputs!$B$44)+1,FALSE)</f>
        <v>20306.047918456588</v>
      </c>
      <c r="N94" s="2036">
        <f>HLOOKUP(N$87,MFG_inputs!$C$44:$D$58,ROW(MFG_inputs!$B51)-ROW(MFG_inputs!$B$44)+1,FALSE)</f>
        <v>20306.047918456588</v>
      </c>
      <c r="O94" s="2036">
        <f>HLOOKUP(O$87,MFG_inputs!$C$44:$D$58,ROW(MFG_inputs!$B51)-ROW(MFG_inputs!$B$44)+1,FALSE)</f>
        <v>20306.047918456588</v>
      </c>
      <c r="P94" s="2036">
        <f>HLOOKUP(P$87,MFG_inputs!$C$44:$D$58,ROW(MFG_inputs!$B51)-ROW(MFG_inputs!$B$44)+1,FALSE)</f>
        <v>20306.047918456588</v>
      </c>
      <c r="Q94" s="2036">
        <f>HLOOKUP(Q$87,MFG_inputs!$C$44:$D$58,ROW(MFG_inputs!$B51)-ROW(MFG_inputs!$B$44)+1,FALSE)</f>
        <v>20306.047918456588</v>
      </c>
      <c r="R94" s="2036">
        <f>HLOOKUP(R$87,MFG_inputs!$C$44:$D$58,ROW(MFG_inputs!$B51)-ROW(MFG_inputs!$B$44)+1,FALSE)</f>
        <v>20306.047918456588</v>
      </c>
      <c r="S94" s="2036">
        <f>HLOOKUP(S$87,MFG_inputs!$C$44:$D$58,ROW(MFG_inputs!$B51)-ROW(MFG_inputs!$B$44)+1,FALSE)</f>
        <v>20306.047918456588</v>
      </c>
      <c r="T94" s="2036">
        <f>HLOOKUP(T$87,MFG_inputs!$C$44:$D$58,ROW(MFG_inputs!$B51)-ROW(MFG_inputs!$B$44)+1,FALSE)</f>
        <v>20306.047918456588</v>
      </c>
      <c r="U94" s="2036">
        <f>HLOOKUP(U$87,MFG_inputs!$C$44:$D$58,ROW(MFG_inputs!$B51)-ROW(MFG_inputs!$B$44)+1,FALSE)</f>
        <v>20306.047918456588</v>
      </c>
      <c r="V94" s="2036">
        <f>HLOOKUP(V$87,MFG_inputs!$C$44:$D$58,ROW(MFG_inputs!$B51)-ROW(MFG_inputs!$B$44)+1,FALSE)</f>
        <v>20306.047918456588</v>
      </c>
      <c r="W94" s="2036">
        <f>HLOOKUP(W$87,MFG_inputs!$C$44:$D$58,ROW(MFG_inputs!$B51)-ROW(MFG_inputs!$B$44)+1,FALSE)</f>
        <v>20306.047918456588</v>
      </c>
      <c r="X94" s="2036">
        <f>HLOOKUP(X$87,MFG_inputs!$C$44:$D$58,ROW(MFG_inputs!$B51)-ROW(MFG_inputs!$B$44)+1,FALSE)</f>
        <v>20306.047918456588</v>
      </c>
      <c r="Y94" s="2036">
        <f>HLOOKUP(Y$87,MFG_inputs!$C$44:$D$58,ROW(MFG_inputs!$B51)-ROW(MFG_inputs!$B$44)+1,FALSE)</f>
        <v>20306.047918456588</v>
      </c>
      <c r="Z94" s="2036">
        <f>HLOOKUP(Z$87,MFG_inputs!$C$44:$D$58,ROW(MFG_inputs!$B51)-ROW(MFG_inputs!$B$44)+1,FALSE)</f>
        <v>20306.047918456588</v>
      </c>
      <c r="AA94" s="2036">
        <f>HLOOKUP(AA$87,MFG_inputs!$C$44:$D$58,ROW(MFG_inputs!$B51)-ROW(MFG_inputs!$B$44)+1,FALSE)</f>
        <v>20306.047918456588</v>
      </c>
      <c r="AB94" s="2036">
        <f>HLOOKUP(AB$87,MFG_inputs!$C$44:$D$58,ROW(MFG_inputs!$B51)-ROW(MFG_inputs!$B$44)+1,FALSE)</f>
        <v>20306.047918456588</v>
      </c>
    </row>
    <row r="95" spans="1:28" x14ac:dyDescent="0.45">
      <c r="A95" s="1442" t="s">
        <v>73</v>
      </c>
      <c r="B95" s="2019"/>
      <c r="C95" s="2036">
        <f>HLOOKUP(C$87,MFG_inputs!$C$44:$D$58,ROW(MFG_inputs!$B52)-ROW(MFG_inputs!$B$44)+1,FALSE)</f>
        <v>2711.9815823569807</v>
      </c>
      <c r="D95" s="2036">
        <f>HLOOKUP(D$87,MFG_inputs!$C$44:$D$58,ROW(MFG_inputs!$B52)-ROW(MFG_inputs!$B$44)+1,FALSE)</f>
        <v>2711.9815823569807</v>
      </c>
      <c r="E95" s="2036">
        <f>HLOOKUP(E$87,MFG_inputs!$C$44:$D$58,ROW(MFG_inputs!$B52)-ROW(MFG_inputs!$B$44)+1,FALSE)</f>
        <v>2711.9815823569807</v>
      </c>
      <c r="F95" s="2036">
        <f>HLOOKUP(F$87,MFG_inputs!$C$44:$D$58,ROW(MFG_inputs!$B52)-ROW(MFG_inputs!$B$44)+1,FALSE)</f>
        <v>2711.9815823569807</v>
      </c>
      <c r="G95" s="2036">
        <f>HLOOKUP(G$87,MFG_inputs!$C$44:$D$58,ROW(MFG_inputs!$B52)-ROW(MFG_inputs!$B$44)+1,FALSE)</f>
        <v>2711.9815823569807</v>
      </c>
      <c r="H95" s="2036">
        <f>HLOOKUP(H$87,MFG_inputs!$C$44:$D$58,ROW(MFG_inputs!$B52)-ROW(MFG_inputs!$B$44)+1,FALSE)</f>
        <v>2711.9815823569807</v>
      </c>
      <c r="I95" s="2036">
        <f>HLOOKUP(I$87,MFG_inputs!$C$44:$D$58,ROW(MFG_inputs!$B52)-ROW(MFG_inputs!$B$44)+1,FALSE)</f>
        <v>2711.9815823569807</v>
      </c>
      <c r="J95" s="2036">
        <f>HLOOKUP(J$87,MFG_inputs!$C$44:$D$58,ROW(MFG_inputs!$B52)-ROW(MFG_inputs!$B$44)+1,FALSE)</f>
        <v>2711.9815823569807</v>
      </c>
      <c r="K95" s="2036">
        <f>HLOOKUP(K$87,MFG_inputs!$C$44:$D$58,ROW(MFG_inputs!$B52)-ROW(MFG_inputs!$B$44)+1,FALSE)</f>
        <v>2711.9815823569807</v>
      </c>
      <c r="L95" s="2036">
        <f>HLOOKUP(L$87,MFG_inputs!$C$44:$D$58,ROW(MFG_inputs!$B52)-ROW(MFG_inputs!$B$44)+1,FALSE)</f>
        <v>2711.9815823569807</v>
      </c>
      <c r="M95" s="2036">
        <f>HLOOKUP(M$87,MFG_inputs!$C$44:$D$58,ROW(MFG_inputs!$B52)-ROW(MFG_inputs!$B$44)+1,FALSE)</f>
        <v>2711.9815823569807</v>
      </c>
      <c r="N95" s="2036">
        <f>HLOOKUP(N$87,MFG_inputs!$C$44:$D$58,ROW(MFG_inputs!$B52)-ROW(MFG_inputs!$B$44)+1,FALSE)</f>
        <v>2711.9815823569807</v>
      </c>
      <c r="O95" s="2036">
        <f>HLOOKUP(O$87,MFG_inputs!$C$44:$D$58,ROW(MFG_inputs!$B52)-ROW(MFG_inputs!$B$44)+1,FALSE)</f>
        <v>2711.9815823569807</v>
      </c>
      <c r="P95" s="2036">
        <f>HLOOKUP(P$87,MFG_inputs!$C$44:$D$58,ROW(MFG_inputs!$B52)-ROW(MFG_inputs!$B$44)+1,FALSE)</f>
        <v>2711.9815823569807</v>
      </c>
      <c r="Q95" s="2036">
        <f>HLOOKUP(Q$87,MFG_inputs!$C$44:$D$58,ROW(MFG_inputs!$B52)-ROW(MFG_inputs!$B$44)+1,FALSE)</f>
        <v>2711.9815823569807</v>
      </c>
      <c r="R95" s="2036">
        <f>HLOOKUP(R$87,MFG_inputs!$C$44:$D$58,ROW(MFG_inputs!$B52)-ROW(MFG_inputs!$B$44)+1,FALSE)</f>
        <v>2711.9815823569807</v>
      </c>
      <c r="S95" s="2036">
        <f>HLOOKUP(S$87,MFG_inputs!$C$44:$D$58,ROW(MFG_inputs!$B52)-ROW(MFG_inputs!$B$44)+1,FALSE)</f>
        <v>2711.9815823569807</v>
      </c>
      <c r="T95" s="2036">
        <f>HLOOKUP(T$87,MFG_inputs!$C$44:$D$58,ROW(MFG_inputs!$B52)-ROW(MFG_inputs!$B$44)+1,FALSE)</f>
        <v>2711.9815823569807</v>
      </c>
      <c r="U95" s="2036">
        <f>HLOOKUP(U$87,MFG_inputs!$C$44:$D$58,ROW(MFG_inputs!$B52)-ROW(MFG_inputs!$B$44)+1,FALSE)</f>
        <v>2711.9815823569807</v>
      </c>
      <c r="V95" s="2036">
        <f>HLOOKUP(V$87,MFG_inputs!$C$44:$D$58,ROW(MFG_inputs!$B52)-ROW(MFG_inputs!$B$44)+1,FALSE)</f>
        <v>2711.9815823569807</v>
      </c>
      <c r="W95" s="2036">
        <f>HLOOKUP(W$87,MFG_inputs!$C$44:$D$58,ROW(MFG_inputs!$B52)-ROW(MFG_inputs!$B$44)+1,FALSE)</f>
        <v>2711.9815823569807</v>
      </c>
      <c r="X95" s="2036">
        <f>HLOOKUP(X$87,MFG_inputs!$C$44:$D$58,ROW(MFG_inputs!$B52)-ROW(MFG_inputs!$B$44)+1,FALSE)</f>
        <v>2711.9815823569807</v>
      </c>
      <c r="Y95" s="2036">
        <f>HLOOKUP(Y$87,MFG_inputs!$C$44:$D$58,ROW(MFG_inputs!$B52)-ROW(MFG_inputs!$B$44)+1,FALSE)</f>
        <v>2711.9815823569807</v>
      </c>
      <c r="Z95" s="2036">
        <f>HLOOKUP(Z$87,MFG_inputs!$C$44:$D$58,ROW(MFG_inputs!$B52)-ROW(MFG_inputs!$B$44)+1,FALSE)</f>
        <v>2711.9815823569807</v>
      </c>
      <c r="AA95" s="2036">
        <f>HLOOKUP(AA$87,MFG_inputs!$C$44:$D$58,ROW(MFG_inputs!$B52)-ROW(MFG_inputs!$B$44)+1,FALSE)</f>
        <v>2711.9815823569807</v>
      </c>
      <c r="AB95" s="2036">
        <f>HLOOKUP(AB$87,MFG_inputs!$C$44:$D$58,ROW(MFG_inputs!$B52)-ROW(MFG_inputs!$B$44)+1,FALSE)</f>
        <v>2711.9815823569807</v>
      </c>
    </row>
    <row r="96" spans="1:28" x14ac:dyDescent="0.45">
      <c r="A96" s="1442" t="s">
        <v>56</v>
      </c>
      <c r="B96" s="2019"/>
      <c r="C96" s="2036">
        <f>HLOOKUP(C$87,MFG_inputs!$C$44:$D$58,ROW(MFG_inputs!$B53)-ROW(MFG_inputs!$B$44)+1,FALSE)</f>
        <v>2796.6193423775144</v>
      </c>
      <c r="D96" s="2036">
        <f>HLOOKUP(D$87,MFG_inputs!$C$44:$D$58,ROW(MFG_inputs!$B53)-ROW(MFG_inputs!$B$44)+1,FALSE)</f>
        <v>2796.6193423775144</v>
      </c>
      <c r="E96" s="2036">
        <f>HLOOKUP(E$87,MFG_inputs!$C$44:$D$58,ROW(MFG_inputs!$B53)-ROW(MFG_inputs!$B$44)+1,FALSE)</f>
        <v>2796.6193423775144</v>
      </c>
      <c r="F96" s="2036">
        <f>HLOOKUP(F$87,MFG_inputs!$C$44:$D$58,ROW(MFG_inputs!$B53)-ROW(MFG_inputs!$B$44)+1,FALSE)</f>
        <v>2796.6193423775144</v>
      </c>
      <c r="G96" s="2036">
        <f>HLOOKUP(G$87,MFG_inputs!$C$44:$D$58,ROW(MFG_inputs!$B53)-ROW(MFG_inputs!$B$44)+1,FALSE)</f>
        <v>2796.6193423775144</v>
      </c>
      <c r="H96" s="2036">
        <f>HLOOKUP(H$87,MFG_inputs!$C$44:$D$58,ROW(MFG_inputs!$B53)-ROW(MFG_inputs!$B$44)+1,FALSE)</f>
        <v>2796.6193423775144</v>
      </c>
      <c r="I96" s="2036">
        <f>HLOOKUP(I$87,MFG_inputs!$C$44:$D$58,ROW(MFG_inputs!$B53)-ROW(MFG_inputs!$B$44)+1,FALSE)</f>
        <v>2796.6193423775144</v>
      </c>
      <c r="J96" s="2036">
        <f>HLOOKUP(J$87,MFG_inputs!$C$44:$D$58,ROW(MFG_inputs!$B53)-ROW(MFG_inputs!$B$44)+1,FALSE)</f>
        <v>2796.6193423775144</v>
      </c>
      <c r="K96" s="2036">
        <f>HLOOKUP(K$87,MFG_inputs!$C$44:$D$58,ROW(MFG_inputs!$B53)-ROW(MFG_inputs!$B$44)+1,FALSE)</f>
        <v>2796.6193423775144</v>
      </c>
      <c r="L96" s="2036">
        <f>HLOOKUP(L$87,MFG_inputs!$C$44:$D$58,ROW(MFG_inputs!$B53)-ROW(MFG_inputs!$B$44)+1,FALSE)</f>
        <v>2796.6193423775144</v>
      </c>
      <c r="M96" s="2036">
        <f>HLOOKUP(M$87,MFG_inputs!$C$44:$D$58,ROW(MFG_inputs!$B53)-ROW(MFG_inputs!$B$44)+1,FALSE)</f>
        <v>2796.6193423775144</v>
      </c>
      <c r="N96" s="2036">
        <f>HLOOKUP(N$87,MFG_inputs!$C$44:$D$58,ROW(MFG_inputs!$B53)-ROW(MFG_inputs!$B$44)+1,FALSE)</f>
        <v>2796.6193423775144</v>
      </c>
      <c r="O96" s="2036">
        <f>HLOOKUP(O$87,MFG_inputs!$C$44:$D$58,ROW(MFG_inputs!$B53)-ROW(MFG_inputs!$B$44)+1,FALSE)</f>
        <v>2796.6193423775144</v>
      </c>
      <c r="P96" s="2036">
        <f>HLOOKUP(P$87,MFG_inputs!$C$44:$D$58,ROW(MFG_inputs!$B53)-ROW(MFG_inputs!$B$44)+1,FALSE)</f>
        <v>2796.6193423775144</v>
      </c>
      <c r="Q96" s="2036">
        <f>HLOOKUP(Q$87,MFG_inputs!$C$44:$D$58,ROW(MFG_inputs!$B53)-ROW(MFG_inputs!$B$44)+1,FALSE)</f>
        <v>2796.6193423775144</v>
      </c>
      <c r="R96" s="2036">
        <f>HLOOKUP(R$87,MFG_inputs!$C$44:$D$58,ROW(MFG_inputs!$B53)-ROW(MFG_inputs!$B$44)+1,FALSE)</f>
        <v>2796.6193423775144</v>
      </c>
      <c r="S96" s="2036">
        <f>HLOOKUP(S$87,MFG_inputs!$C$44:$D$58,ROW(MFG_inputs!$B53)-ROW(MFG_inputs!$B$44)+1,FALSE)</f>
        <v>2796.6193423775144</v>
      </c>
      <c r="T96" s="2036">
        <f>HLOOKUP(T$87,MFG_inputs!$C$44:$D$58,ROW(MFG_inputs!$B53)-ROW(MFG_inputs!$B$44)+1,FALSE)</f>
        <v>2796.6193423775144</v>
      </c>
      <c r="U96" s="2036">
        <f>HLOOKUP(U$87,MFG_inputs!$C$44:$D$58,ROW(MFG_inputs!$B53)-ROW(MFG_inputs!$B$44)+1,FALSE)</f>
        <v>2796.6193423775144</v>
      </c>
      <c r="V96" s="2036">
        <f>HLOOKUP(V$87,MFG_inputs!$C$44:$D$58,ROW(MFG_inputs!$B53)-ROW(MFG_inputs!$B$44)+1,FALSE)</f>
        <v>2796.6193423775144</v>
      </c>
      <c r="W96" s="2036">
        <f>HLOOKUP(W$87,MFG_inputs!$C$44:$D$58,ROW(MFG_inputs!$B53)-ROW(MFG_inputs!$B$44)+1,FALSE)</f>
        <v>2796.6193423775144</v>
      </c>
      <c r="X96" s="2036">
        <f>HLOOKUP(X$87,MFG_inputs!$C$44:$D$58,ROW(MFG_inputs!$B53)-ROW(MFG_inputs!$B$44)+1,FALSE)</f>
        <v>2796.6193423775144</v>
      </c>
      <c r="Y96" s="2036">
        <f>HLOOKUP(Y$87,MFG_inputs!$C$44:$D$58,ROW(MFG_inputs!$B53)-ROW(MFG_inputs!$B$44)+1,FALSE)</f>
        <v>2796.6193423775144</v>
      </c>
      <c r="Z96" s="2036">
        <f>HLOOKUP(Z$87,MFG_inputs!$C$44:$D$58,ROW(MFG_inputs!$B53)-ROW(MFG_inputs!$B$44)+1,FALSE)</f>
        <v>2796.6193423775144</v>
      </c>
      <c r="AA96" s="2036">
        <f>HLOOKUP(AA$87,MFG_inputs!$C$44:$D$58,ROW(MFG_inputs!$B53)-ROW(MFG_inputs!$B$44)+1,FALSE)</f>
        <v>2796.6193423775144</v>
      </c>
      <c r="AB96" s="2036">
        <f>HLOOKUP(AB$87,MFG_inputs!$C$44:$D$58,ROW(MFG_inputs!$B53)-ROW(MFG_inputs!$B$44)+1,FALSE)</f>
        <v>2796.6193423775144</v>
      </c>
    </row>
    <row r="97" spans="1:28" x14ac:dyDescent="0.45">
      <c r="A97" s="1442" t="s">
        <v>57</v>
      </c>
      <c r="B97" s="2019"/>
      <c r="C97" s="2036">
        <f>HLOOKUP(C$87,MFG_inputs!$C$44:$D$58,ROW(MFG_inputs!$B54)-ROW(MFG_inputs!$B$44)+1,FALSE)</f>
        <v>1601.0217076242864</v>
      </c>
      <c r="D97" s="2036">
        <f>HLOOKUP(D$87,MFG_inputs!$C$44:$D$58,ROW(MFG_inputs!$B54)-ROW(MFG_inputs!$B$44)+1,FALSE)</f>
        <v>1601.0217076242864</v>
      </c>
      <c r="E97" s="2036">
        <f>HLOOKUP(E$87,MFG_inputs!$C$44:$D$58,ROW(MFG_inputs!$B54)-ROW(MFG_inputs!$B$44)+1,FALSE)</f>
        <v>1601.0217076242864</v>
      </c>
      <c r="F97" s="2036">
        <f>HLOOKUP(F$87,MFG_inputs!$C$44:$D$58,ROW(MFG_inputs!$B54)-ROW(MFG_inputs!$B$44)+1,FALSE)</f>
        <v>1601.0217076242864</v>
      </c>
      <c r="G97" s="2036">
        <f>HLOOKUP(G$87,MFG_inputs!$C$44:$D$58,ROW(MFG_inputs!$B54)-ROW(MFG_inputs!$B$44)+1,FALSE)</f>
        <v>1601.0217076242864</v>
      </c>
      <c r="H97" s="2036">
        <f>HLOOKUP(H$87,MFG_inputs!$C$44:$D$58,ROW(MFG_inputs!$B54)-ROW(MFG_inputs!$B$44)+1,FALSE)</f>
        <v>1601.0217076242864</v>
      </c>
      <c r="I97" s="2036">
        <f>HLOOKUP(I$87,MFG_inputs!$C$44:$D$58,ROW(MFG_inputs!$B54)-ROW(MFG_inputs!$B$44)+1,FALSE)</f>
        <v>1601.0217076242864</v>
      </c>
      <c r="J97" s="2036">
        <f>HLOOKUP(J$87,MFG_inputs!$C$44:$D$58,ROW(MFG_inputs!$B54)-ROW(MFG_inputs!$B$44)+1,FALSE)</f>
        <v>1601.0217076242864</v>
      </c>
      <c r="K97" s="2036">
        <f>HLOOKUP(K$87,MFG_inputs!$C$44:$D$58,ROW(MFG_inputs!$B54)-ROW(MFG_inputs!$B$44)+1,FALSE)</f>
        <v>1601.0217076242864</v>
      </c>
      <c r="L97" s="2036">
        <f>HLOOKUP(L$87,MFG_inputs!$C$44:$D$58,ROW(MFG_inputs!$B54)-ROW(MFG_inputs!$B$44)+1,FALSE)</f>
        <v>1601.0217076242864</v>
      </c>
      <c r="M97" s="2036">
        <f>HLOOKUP(M$87,MFG_inputs!$C$44:$D$58,ROW(MFG_inputs!$B54)-ROW(MFG_inputs!$B$44)+1,FALSE)</f>
        <v>1601.0217076242864</v>
      </c>
      <c r="N97" s="2036">
        <f>HLOOKUP(N$87,MFG_inputs!$C$44:$D$58,ROW(MFG_inputs!$B54)-ROW(MFG_inputs!$B$44)+1,FALSE)</f>
        <v>1601.0217076242864</v>
      </c>
      <c r="O97" s="2036">
        <f>HLOOKUP(O$87,MFG_inputs!$C$44:$D$58,ROW(MFG_inputs!$B54)-ROW(MFG_inputs!$B$44)+1,FALSE)</f>
        <v>1601.0217076242864</v>
      </c>
      <c r="P97" s="2036">
        <f>HLOOKUP(P$87,MFG_inputs!$C$44:$D$58,ROW(MFG_inputs!$B54)-ROW(MFG_inputs!$B$44)+1,FALSE)</f>
        <v>1601.0217076242864</v>
      </c>
      <c r="Q97" s="2036">
        <f>HLOOKUP(Q$87,MFG_inputs!$C$44:$D$58,ROW(MFG_inputs!$B54)-ROW(MFG_inputs!$B$44)+1,FALSE)</f>
        <v>1601.0217076242864</v>
      </c>
      <c r="R97" s="2036">
        <f>HLOOKUP(R$87,MFG_inputs!$C$44:$D$58,ROW(MFG_inputs!$B54)-ROW(MFG_inputs!$B$44)+1,FALSE)</f>
        <v>1601.0217076242864</v>
      </c>
      <c r="S97" s="2036">
        <f>HLOOKUP(S$87,MFG_inputs!$C$44:$D$58,ROW(MFG_inputs!$B54)-ROW(MFG_inputs!$B$44)+1,FALSE)</f>
        <v>1601.0217076242864</v>
      </c>
      <c r="T97" s="2036">
        <f>HLOOKUP(T$87,MFG_inputs!$C$44:$D$58,ROW(MFG_inputs!$B54)-ROW(MFG_inputs!$B$44)+1,FALSE)</f>
        <v>1601.0217076242864</v>
      </c>
      <c r="U97" s="2036">
        <f>HLOOKUP(U$87,MFG_inputs!$C$44:$D$58,ROW(MFG_inputs!$B54)-ROW(MFG_inputs!$B$44)+1,FALSE)</f>
        <v>1601.0217076242864</v>
      </c>
      <c r="V97" s="2036">
        <f>HLOOKUP(V$87,MFG_inputs!$C$44:$D$58,ROW(MFG_inputs!$B54)-ROW(MFG_inputs!$B$44)+1,FALSE)</f>
        <v>1601.0217076242864</v>
      </c>
      <c r="W97" s="2036">
        <f>HLOOKUP(W$87,MFG_inputs!$C$44:$D$58,ROW(MFG_inputs!$B54)-ROW(MFG_inputs!$B$44)+1,FALSE)</f>
        <v>1601.0217076242864</v>
      </c>
      <c r="X97" s="2036">
        <f>HLOOKUP(X$87,MFG_inputs!$C$44:$D$58,ROW(MFG_inputs!$B54)-ROW(MFG_inputs!$B$44)+1,FALSE)</f>
        <v>1601.0217076242864</v>
      </c>
      <c r="Y97" s="2036">
        <f>HLOOKUP(Y$87,MFG_inputs!$C$44:$D$58,ROW(MFG_inputs!$B54)-ROW(MFG_inputs!$B$44)+1,FALSE)</f>
        <v>1601.0217076242864</v>
      </c>
      <c r="Z97" s="2036">
        <f>HLOOKUP(Z$87,MFG_inputs!$C$44:$D$58,ROW(MFG_inputs!$B54)-ROW(MFG_inputs!$B$44)+1,FALSE)</f>
        <v>1601.0217076242864</v>
      </c>
      <c r="AA97" s="2036">
        <f>HLOOKUP(AA$87,MFG_inputs!$C$44:$D$58,ROW(MFG_inputs!$B54)-ROW(MFG_inputs!$B$44)+1,FALSE)</f>
        <v>1601.0217076242864</v>
      </c>
      <c r="AB97" s="2036">
        <f>HLOOKUP(AB$87,MFG_inputs!$C$44:$D$58,ROW(MFG_inputs!$B54)-ROW(MFG_inputs!$B$44)+1,FALSE)</f>
        <v>1601.0217076242864</v>
      </c>
    </row>
    <row r="98" spans="1:28" x14ac:dyDescent="0.45">
      <c r="A98" s="1442" t="s">
        <v>58</v>
      </c>
      <c r="B98" s="2019"/>
      <c r="C98" s="2036">
        <f>HLOOKUP(C$87,MFG_inputs!$C$44:$D$58,ROW(MFG_inputs!$B55)-ROW(MFG_inputs!$B$44)+1,FALSE)</f>
        <v>4063.7689986647251</v>
      </c>
      <c r="D98" s="2036">
        <f>HLOOKUP(D$87,MFG_inputs!$C$44:$D$58,ROW(MFG_inputs!$B55)-ROW(MFG_inputs!$B$44)+1,FALSE)</f>
        <v>4063.7689986647251</v>
      </c>
      <c r="E98" s="2036">
        <f>HLOOKUP(E$87,MFG_inputs!$C$44:$D$58,ROW(MFG_inputs!$B55)-ROW(MFG_inputs!$B$44)+1,FALSE)</f>
        <v>4063.7689986647251</v>
      </c>
      <c r="F98" s="2036">
        <f>HLOOKUP(F$87,MFG_inputs!$C$44:$D$58,ROW(MFG_inputs!$B55)-ROW(MFG_inputs!$B$44)+1,FALSE)</f>
        <v>4063.7689986647251</v>
      </c>
      <c r="G98" s="2036">
        <f>HLOOKUP(G$87,MFG_inputs!$C$44:$D$58,ROW(MFG_inputs!$B55)-ROW(MFG_inputs!$B$44)+1,FALSE)</f>
        <v>4063.7689986647251</v>
      </c>
      <c r="H98" s="2036">
        <f>HLOOKUP(H$87,MFG_inputs!$C$44:$D$58,ROW(MFG_inputs!$B55)-ROW(MFG_inputs!$B$44)+1,FALSE)</f>
        <v>4063.7689986647251</v>
      </c>
      <c r="I98" s="2036">
        <f>HLOOKUP(I$87,MFG_inputs!$C$44:$D$58,ROW(MFG_inputs!$B55)-ROW(MFG_inputs!$B$44)+1,FALSE)</f>
        <v>4063.7689986647251</v>
      </c>
      <c r="J98" s="2036">
        <f>HLOOKUP(J$87,MFG_inputs!$C$44:$D$58,ROW(MFG_inputs!$B55)-ROW(MFG_inputs!$B$44)+1,FALSE)</f>
        <v>4063.7689986647251</v>
      </c>
      <c r="K98" s="2036">
        <f>HLOOKUP(K$87,MFG_inputs!$C$44:$D$58,ROW(MFG_inputs!$B55)-ROW(MFG_inputs!$B$44)+1,FALSE)</f>
        <v>4063.7689986647251</v>
      </c>
      <c r="L98" s="2036">
        <f>HLOOKUP(L$87,MFG_inputs!$C$44:$D$58,ROW(MFG_inputs!$B55)-ROW(MFG_inputs!$B$44)+1,FALSE)</f>
        <v>4063.7689986647251</v>
      </c>
      <c r="M98" s="2036">
        <f>HLOOKUP(M$87,MFG_inputs!$C$44:$D$58,ROW(MFG_inputs!$B55)-ROW(MFG_inputs!$B$44)+1,FALSE)</f>
        <v>4063.7689986647251</v>
      </c>
      <c r="N98" s="2036">
        <f>HLOOKUP(N$87,MFG_inputs!$C$44:$D$58,ROW(MFG_inputs!$B55)-ROW(MFG_inputs!$B$44)+1,FALSE)</f>
        <v>4063.7689986647251</v>
      </c>
      <c r="O98" s="2036">
        <f>HLOOKUP(O$87,MFG_inputs!$C$44:$D$58,ROW(MFG_inputs!$B55)-ROW(MFG_inputs!$B$44)+1,FALSE)</f>
        <v>4063.7689986647251</v>
      </c>
      <c r="P98" s="2036">
        <f>HLOOKUP(P$87,MFG_inputs!$C$44:$D$58,ROW(MFG_inputs!$B55)-ROW(MFG_inputs!$B$44)+1,FALSE)</f>
        <v>4063.7689986647251</v>
      </c>
      <c r="Q98" s="2036">
        <f>HLOOKUP(Q$87,MFG_inputs!$C$44:$D$58,ROW(MFG_inputs!$B55)-ROW(MFG_inputs!$B$44)+1,FALSE)</f>
        <v>4063.7689986647251</v>
      </c>
      <c r="R98" s="2036">
        <f>HLOOKUP(R$87,MFG_inputs!$C$44:$D$58,ROW(MFG_inputs!$B55)-ROW(MFG_inputs!$B$44)+1,FALSE)</f>
        <v>4063.7689986647251</v>
      </c>
      <c r="S98" s="2036">
        <f>HLOOKUP(S$87,MFG_inputs!$C$44:$D$58,ROW(MFG_inputs!$B55)-ROW(MFG_inputs!$B$44)+1,FALSE)</f>
        <v>4063.7689986647251</v>
      </c>
      <c r="T98" s="2036">
        <f>HLOOKUP(T$87,MFG_inputs!$C$44:$D$58,ROW(MFG_inputs!$B55)-ROW(MFG_inputs!$B$44)+1,FALSE)</f>
        <v>4063.7689986647251</v>
      </c>
      <c r="U98" s="2036">
        <f>HLOOKUP(U$87,MFG_inputs!$C$44:$D$58,ROW(MFG_inputs!$B55)-ROW(MFG_inputs!$B$44)+1,FALSE)</f>
        <v>4063.7689986647251</v>
      </c>
      <c r="V98" s="2036">
        <f>HLOOKUP(V$87,MFG_inputs!$C$44:$D$58,ROW(MFG_inputs!$B55)-ROW(MFG_inputs!$B$44)+1,FALSE)</f>
        <v>4063.7689986647251</v>
      </c>
      <c r="W98" s="2036">
        <f>HLOOKUP(W$87,MFG_inputs!$C$44:$D$58,ROW(MFG_inputs!$B55)-ROW(MFG_inputs!$B$44)+1,FALSE)</f>
        <v>4063.7689986647251</v>
      </c>
      <c r="X98" s="2036">
        <f>HLOOKUP(X$87,MFG_inputs!$C$44:$D$58,ROW(MFG_inputs!$B55)-ROW(MFG_inputs!$B$44)+1,FALSE)</f>
        <v>4063.7689986647251</v>
      </c>
      <c r="Y98" s="2036">
        <f>HLOOKUP(Y$87,MFG_inputs!$C$44:$D$58,ROW(MFG_inputs!$B55)-ROW(MFG_inputs!$B$44)+1,FALSE)</f>
        <v>4063.7689986647251</v>
      </c>
      <c r="Z98" s="2036">
        <f>HLOOKUP(Z$87,MFG_inputs!$C$44:$D$58,ROW(MFG_inputs!$B55)-ROW(MFG_inputs!$B$44)+1,FALSE)</f>
        <v>4063.7689986647251</v>
      </c>
      <c r="AA98" s="2036">
        <f>HLOOKUP(AA$87,MFG_inputs!$C$44:$D$58,ROW(MFG_inputs!$B55)-ROW(MFG_inputs!$B$44)+1,FALSE)</f>
        <v>4063.7689986647251</v>
      </c>
      <c r="AB98" s="2036">
        <f>HLOOKUP(AB$87,MFG_inputs!$C$44:$D$58,ROW(MFG_inputs!$B55)-ROW(MFG_inputs!$B$44)+1,FALSE)</f>
        <v>4063.7689986647251</v>
      </c>
    </row>
    <row r="99" spans="1:28" x14ac:dyDescent="0.45">
      <c r="A99" s="1442" t="s">
        <v>59</v>
      </c>
      <c r="B99" s="2019"/>
      <c r="C99" s="2036">
        <f>HLOOKUP(C$87,MFG_inputs!$C$44:$D$58,ROW(MFG_inputs!$B56)-ROW(MFG_inputs!$B$44)+1,FALSE)</f>
        <v>36239.757185398543</v>
      </c>
      <c r="D99" s="2036">
        <f>HLOOKUP(D$87,MFG_inputs!$C$44:$D$58,ROW(MFG_inputs!$B56)-ROW(MFG_inputs!$B$44)+1,FALSE)</f>
        <v>36239.757185398543</v>
      </c>
      <c r="E99" s="2036">
        <f>HLOOKUP(E$87,MFG_inputs!$C$44:$D$58,ROW(MFG_inputs!$B56)-ROW(MFG_inputs!$B$44)+1,FALSE)</f>
        <v>36239.757185398543</v>
      </c>
      <c r="F99" s="2036">
        <f>HLOOKUP(F$87,MFG_inputs!$C$44:$D$58,ROW(MFG_inputs!$B56)-ROW(MFG_inputs!$B$44)+1,FALSE)</f>
        <v>36239.757185398543</v>
      </c>
      <c r="G99" s="2036">
        <f>HLOOKUP(G$87,MFG_inputs!$C$44:$D$58,ROW(MFG_inputs!$B56)-ROW(MFG_inputs!$B$44)+1,FALSE)</f>
        <v>36239.757185398543</v>
      </c>
      <c r="H99" s="2036">
        <f>HLOOKUP(H$87,MFG_inputs!$C$44:$D$58,ROW(MFG_inputs!$B56)-ROW(MFG_inputs!$B$44)+1,FALSE)</f>
        <v>36239.757185398543</v>
      </c>
      <c r="I99" s="2036">
        <f>HLOOKUP(I$87,MFG_inputs!$C$44:$D$58,ROW(MFG_inputs!$B56)-ROW(MFG_inputs!$B$44)+1,FALSE)</f>
        <v>36239.757185398543</v>
      </c>
      <c r="J99" s="2036">
        <f>HLOOKUP(J$87,MFG_inputs!$C$44:$D$58,ROW(MFG_inputs!$B56)-ROW(MFG_inputs!$B$44)+1,FALSE)</f>
        <v>36239.757185398543</v>
      </c>
      <c r="K99" s="2036">
        <f>HLOOKUP(K$87,MFG_inputs!$C$44:$D$58,ROW(MFG_inputs!$B56)-ROW(MFG_inputs!$B$44)+1,FALSE)</f>
        <v>36239.757185398543</v>
      </c>
      <c r="L99" s="2036">
        <f>HLOOKUP(L$87,MFG_inputs!$C$44:$D$58,ROW(MFG_inputs!$B56)-ROW(MFG_inputs!$B$44)+1,FALSE)</f>
        <v>36239.757185398543</v>
      </c>
      <c r="M99" s="2036">
        <f>HLOOKUP(M$87,MFG_inputs!$C$44:$D$58,ROW(MFG_inputs!$B56)-ROW(MFG_inputs!$B$44)+1,FALSE)</f>
        <v>36239.757185398543</v>
      </c>
      <c r="N99" s="2036">
        <f>HLOOKUP(N$87,MFG_inputs!$C$44:$D$58,ROW(MFG_inputs!$B56)-ROW(MFG_inputs!$B$44)+1,FALSE)</f>
        <v>36239.757185398543</v>
      </c>
      <c r="O99" s="2036">
        <f>HLOOKUP(O$87,MFG_inputs!$C$44:$D$58,ROW(MFG_inputs!$B56)-ROW(MFG_inputs!$B$44)+1,FALSE)</f>
        <v>36239.757185398543</v>
      </c>
      <c r="P99" s="2036">
        <f>HLOOKUP(P$87,MFG_inputs!$C$44:$D$58,ROW(MFG_inputs!$B56)-ROW(MFG_inputs!$B$44)+1,FALSE)</f>
        <v>36239.757185398543</v>
      </c>
      <c r="Q99" s="2036">
        <f>HLOOKUP(Q$87,MFG_inputs!$C$44:$D$58,ROW(MFG_inputs!$B56)-ROW(MFG_inputs!$B$44)+1,FALSE)</f>
        <v>36239.757185398543</v>
      </c>
      <c r="R99" s="2036">
        <f>HLOOKUP(R$87,MFG_inputs!$C$44:$D$58,ROW(MFG_inputs!$B56)-ROW(MFG_inputs!$B$44)+1,FALSE)</f>
        <v>36239.757185398543</v>
      </c>
      <c r="S99" s="2036">
        <f>HLOOKUP(S$87,MFG_inputs!$C$44:$D$58,ROW(MFG_inputs!$B56)-ROW(MFG_inputs!$B$44)+1,FALSE)</f>
        <v>36239.757185398543</v>
      </c>
      <c r="T99" s="2036">
        <f>HLOOKUP(T$87,MFG_inputs!$C$44:$D$58,ROW(MFG_inputs!$B56)-ROW(MFG_inputs!$B$44)+1,FALSE)</f>
        <v>36239.757185398543</v>
      </c>
      <c r="U99" s="2036">
        <f>HLOOKUP(U$87,MFG_inputs!$C$44:$D$58,ROW(MFG_inputs!$B56)-ROW(MFG_inputs!$B$44)+1,FALSE)</f>
        <v>36239.757185398543</v>
      </c>
      <c r="V99" s="2036">
        <f>HLOOKUP(V$87,MFG_inputs!$C$44:$D$58,ROW(MFG_inputs!$B56)-ROW(MFG_inputs!$B$44)+1,FALSE)</f>
        <v>36239.757185398543</v>
      </c>
      <c r="W99" s="2036">
        <f>HLOOKUP(W$87,MFG_inputs!$C$44:$D$58,ROW(MFG_inputs!$B56)-ROW(MFG_inputs!$B$44)+1,FALSE)</f>
        <v>36239.757185398543</v>
      </c>
      <c r="X99" s="2036">
        <f>HLOOKUP(X$87,MFG_inputs!$C$44:$D$58,ROW(MFG_inputs!$B56)-ROW(MFG_inputs!$B$44)+1,FALSE)</f>
        <v>36239.757185398543</v>
      </c>
      <c r="Y99" s="2036">
        <f>HLOOKUP(Y$87,MFG_inputs!$C$44:$D$58,ROW(MFG_inputs!$B56)-ROW(MFG_inputs!$B$44)+1,FALSE)</f>
        <v>36239.757185398543</v>
      </c>
      <c r="Z99" s="2036">
        <f>HLOOKUP(Z$87,MFG_inputs!$C$44:$D$58,ROW(MFG_inputs!$B56)-ROW(MFG_inputs!$B$44)+1,FALSE)</f>
        <v>36239.757185398543</v>
      </c>
      <c r="AA99" s="2036">
        <f>HLOOKUP(AA$87,MFG_inputs!$C$44:$D$58,ROW(MFG_inputs!$B56)-ROW(MFG_inputs!$B$44)+1,FALSE)</f>
        <v>36239.757185398543</v>
      </c>
      <c r="AB99" s="2036">
        <f>HLOOKUP(AB$87,MFG_inputs!$C$44:$D$58,ROW(MFG_inputs!$B56)-ROW(MFG_inputs!$B$44)+1,FALSE)</f>
        <v>36239.757185398543</v>
      </c>
    </row>
    <row r="100" spans="1:28" x14ac:dyDescent="0.45">
      <c r="A100" s="1442" t="s">
        <v>60</v>
      </c>
      <c r="B100" s="2019"/>
      <c r="C100" s="2036">
        <f>HLOOKUP(C$87,MFG_inputs!$C$44:$D$58,ROW(MFG_inputs!$B57)-ROW(MFG_inputs!$B$44)+1,FALSE)</f>
        <v>3575.2231881817438</v>
      </c>
      <c r="D100" s="2036">
        <f>HLOOKUP(D$87,MFG_inputs!$C$44:$D$58,ROW(MFG_inputs!$B57)-ROW(MFG_inputs!$B$44)+1,FALSE)</f>
        <v>3575.2231881817438</v>
      </c>
      <c r="E100" s="2036">
        <f>HLOOKUP(E$87,MFG_inputs!$C$44:$D$58,ROW(MFG_inputs!$B57)-ROW(MFG_inputs!$B$44)+1,FALSE)</f>
        <v>3575.2231881817438</v>
      </c>
      <c r="F100" s="2036">
        <f>HLOOKUP(F$87,MFG_inputs!$C$44:$D$58,ROW(MFG_inputs!$B57)-ROW(MFG_inputs!$B$44)+1,FALSE)</f>
        <v>3575.2231881817438</v>
      </c>
      <c r="G100" s="2036">
        <f>HLOOKUP(G$87,MFG_inputs!$C$44:$D$58,ROW(MFG_inputs!$B57)-ROW(MFG_inputs!$B$44)+1,FALSE)</f>
        <v>3575.2231881817438</v>
      </c>
      <c r="H100" s="2036">
        <f>HLOOKUP(H$87,MFG_inputs!$C$44:$D$58,ROW(MFG_inputs!$B57)-ROW(MFG_inputs!$B$44)+1,FALSE)</f>
        <v>3575.2231881817438</v>
      </c>
      <c r="I100" s="2036">
        <f>HLOOKUP(I$87,MFG_inputs!$C$44:$D$58,ROW(MFG_inputs!$B57)-ROW(MFG_inputs!$B$44)+1,FALSE)</f>
        <v>3575.2231881817438</v>
      </c>
      <c r="J100" s="2036">
        <f>HLOOKUP(J$87,MFG_inputs!$C$44:$D$58,ROW(MFG_inputs!$B57)-ROW(MFG_inputs!$B$44)+1,FALSE)</f>
        <v>3575.2231881817438</v>
      </c>
      <c r="K100" s="2036">
        <f>HLOOKUP(K$87,MFG_inputs!$C$44:$D$58,ROW(MFG_inputs!$B57)-ROW(MFG_inputs!$B$44)+1,FALSE)</f>
        <v>3575.2231881817438</v>
      </c>
      <c r="L100" s="2036">
        <f>HLOOKUP(L$87,MFG_inputs!$C$44:$D$58,ROW(MFG_inputs!$B57)-ROW(MFG_inputs!$B$44)+1,FALSE)</f>
        <v>3575.2231881817438</v>
      </c>
      <c r="M100" s="2036">
        <f>HLOOKUP(M$87,MFG_inputs!$C$44:$D$58,ROW(MFG_inputs!$B57)-ROW(MFG_inputs!$B$44)+1,FALSE)</f>
        <v>3575.2231881817438</v>
      </c>
      <c r="N100" s="2036">
        <f>HLOOKUP(N$87,MFG_inputs!$C$44:$D$58,ROW(MFG_inputs!$B57)-ROW(MFG_inputs!$B$44)+1,FALSE)</f>
        <v>3575.2231881817438</v>
      </c>
      <c r="O100" s="2036">
        <f>HLOOKUP(O$87,MFG_inputs!$C$44:$D$58,ROW(MFG_inputs!$B57)-ROW(MFG_inputs!$B$44)+1,FALSE)</f>
        <v>3575.2231881817438</v>
      </c>
      <c r="P100" s="2036">
        <f>HLOOKUP(P$87,MFG_inputs!$C$44:$D$58,ROW(MFG_inputs!$B57)-ROW(MFG_inputs!$B$44)+1,FALSE)</f>
        <v>3575.2231881817438</v>
      </c>
      <c r="Q100" s="2036">
        <f>HLOOKUP(Q$87,MFG_inputs!$C$44:$D$58,ROW(MFG_inputs!$B57)-ROW(MFG_inputs!$B$44)+1,FALSE)</f>
        <v>3575.2231881817438</v>
      </c>
      <c r="R100" s="2036">
        <f>HLOOKUP(R$87,MFG_inputs!$C$44:$D$58,ROW(MFG_inputs!$B57)-ROW(MFG_inputs!$B$44)+1,FALSE)</f>
        <v>3575.2231881817438</v>
      </c>
      <c r="S100" s="2036">
        <f>HLOOKUP(S$87,MFG_inputs!$C$44:$D$58,ROW(MFG_inputs!$B57)-ROW(MFG_inputs!$B$44)+1,FALSE)</f>
        <v>3575.2231881817438</v>
      </c>
      <c r="T100" s="2036">
        <f>HLOOKUP(T$87,MFG_inputs!$C$44:$D$58,ROW(MFG_inputs!$B57)-ROW(MFG_inputs!$B$44)+1,FALSE)</f>
        <v>3575.2231881817438</v>
      </c>
      <c r="U100" s="2036">
        <f>HLOOKUP(U$87,MFG_inputs!$C$44:$D$58,ROW(MFG_inputs!$B57)-ROW(MFG_inputs!$B$44)+1,FALSE)</f>
        <v>3575.2231881817438</v>
      </c>
      <c r="V100" s="2036">
        <f>HLOOKUP(V$87,MFG_inputs!$C$44:$D$58,ROW(MFG_inputs!$B57)-ROW(MFG_inputs!$B$44)+1,FALSE)</f>
        <v>3575.2231881817438</v>
      </c>
      <c r="W100" s="2036">
        <f>HLOOKUP(W$87,MFG_inputs!$C$44:$D$58,ROW(MFG_inputs!$B57)-ROW(MFG_inputs!$B$44)+1,FALSE)</f>
        <v>3575.2231881817438</v>
      </c>
      <c r="X100" s="2036">
        <f>HLOOKUP(X$87,MFG_inputs!$C$44:$D$58,ROW(MFG_inputs!$B57)-ROW(MFG_inputs!$B$44)+1,FALSE)</f>
        <v>3575.2231881817438</v>
      </c>
      <c r="Y100" s="2036">
        <f>HLOOKUP(Y$87,MFG_inputs!$C$44:$D$58,ROW(MFG_inputs!$B57)-ROW(MFG_inputs!$B$44)+1,FALSE)</f>
        <v>3575.2231881817438</v>
      </c>
      <c r="Z100" s="2036">
        <f>HLOOKUP(Z$87,MFG_inputs!$C$44:$D$58,ROW(MFG_inputs!$B57)-ROW(MFG_inputs!$B$44)+1,FALSE)</f>
        <v>3575.2231881817438</v>
      </c>
      <c r="AA100" s="2036">
        <f>HLOOKUP(AA$87,MFG_inputs!$C$44:$D$58,ROW(MFG_inputs!$B57)-ROW(MFG_inputs!$B$44)+1,FALSE)</f>
        <v>3575.2231881817438</v>
      </c>
      <c r="AB100" s="2036">
        <f>HLOOKUP(AB$87,MFG_inputs!$C$44:$D$58,ROW(MFG_inputs!$B57)-ROW(MFG_inputs!$B$44)+1,FALSE)</f>
        <v>3575.2231881817438</v>
      </c>
    </row>
    <row r="101" spans="1:28" x14ac:dyDescent="0.45">
      <c r="A101" s="1442" t="s">
        <v>61</v>
      </c>
      <c r="B101" s="2019"/>
      <c r="C101" s="2036">
        <f>HLOOKUP(C$87,MFG_inputs!$C$44:$D$58,ROW(MFG_inputs!$B58)-ROW(MFG_inputs!$B$44)+1,FALSE)</f>
        <v>9000</v>
      </c>
      <c r="D101" s="2036">
        <f>HLOOKUP(D$87,MFG_inputs!$C$44:$D$58,ROW(MFG_inputs!$B58)-ROW(MFG_inputs!$B$44)+1,FALSE)</f>
        <v>9000</v>
      </c>
      <c r="E101" s="2036">
        <f>HLOOKUP(E$87,MFG_inputs!$C$44:$D$58,ROW(MFG_inputs!$B58)-ROW(MFG_inputs!$B$44)+1,FALSE)</f>
        <v>9000</v>
      </c>
      <c r="F101" s="2036">
        <f>HLOOKUP(F$87,MFG_inputs!$C$44:$D$58,ROW(MFG_inputs!$B58)-ROW(MFG_inputs!$B$44)+1,FALSE)</f>
        <v>9000</v>
      </c>
      <c r="G101" s="2036">
        <f>HLOOKUP(G$87,MFG_inputs!$C$44:$D$58,ROW(MFG_inputs!$B58)-ROW(MFG_inputs!$B$44)+1,FALSE)</f>
        <v>9000</v>
      </c>
      <c r="H101" s="2036">
        <f>HLOOKUP(H$87,MFG_inputs!$C$44:$D$58,ROW(MFG_inputs!$B58)-ROW(MFG_inputs!$B$44)+1,FALSE)</f>
        <v>9000</v>
      </c>
      <c r="I101" s="2036">
        <f>HLOOKUP(I$87,MFG_inputs!$C$44:$D$58,ROW(MFG_inputs!$B58)-ROW(MFG_inputs!$B$44)+1,FALSE)</f>
        <v>9000</v>
      </c>
      <c r="J101" s="2036">
        <f>HLOOKUP(J$87,MFG_inputs!$C$44:$D$58,ROW(MFG_inputs!$B58)-ROW(MFG_inputs!$B$44)+1,FALSE)</f>
        <v>9000</v>
      </c>
      <c r="K101" s="2036">
        <f>HLOOKUP(K$87,MFG_inputs!$C$44:$D$58,ROW(MFG_inputs!$B58)-ROW(MFG_inputs!$B$44)+1,FALSE)</f>
        <v>9000</v>
      </c>
      <c r="L101" s="2036">
        <f>HLOOKUP(L$87,MFG_inputs!$C$44:$D$58,ROW(MFG_inputs!$B58)-ROW(MFG_inputs!$B$44)+1,FALSE)</f>
        <v>9000</v>
      </c>
      <c r="M101" s="2036">
        <f>HLOOKUP(M$87,MFG_inputs!$C$44:$D$58,ROW(MFG_inputs!$B58)-ROW(MFG_inputs!$B$44)+1,FALSE)</f>
        <v>9000</v>
      </c>
      <c r="N101" s="2036">
        <f>HLOOKUP(N$87,MFG_inputs!$C$44:$D$58,ROW(MFG_inputs!$B58)-ROW(MFG_inputs!$B$44)+1,FALSE)</f>
        <v>9000</v>
      </c>
      <c r="O101" s="2036">
        <f>HLOOKUP(O$87,MFG_inputs!$C$44:$D$58,ROW(MFG_inputs!$B58)-ROW(MFG_inputs!$B$44)+1,FALSE)</f>
        <v>9000</v>
      </c>
      <c r="P101" s="2036">
        <f>HLOOKUP(P$87,MFG_inputs!$C$44:$D$58,ROW(MFG_inputs!$B58)-ROW(MFG_inputs!$B$44)+1,FALSE)</f>
        <v>9000</v>
      </c>
      <c r="Q101" s="2036">
        <f>HLOOKUP(Q$87,MFG_inputs!$C$44:$D$58,ROW(MFG_inputs!$B58)-ROW(MFG_inputs!$B$44)+1,FALSE)</f>
        <v>9000</v>
      </c>
      <c r="R101" s="2036">
        <f>HLOOKUP(R$87,MFG_inputs!$C$44:$D$58,ROW(MFG_inputs!$B58)-ROW(MFG_inputs!$B$44)+1,FALSE)</f>
        <v>9000</v>
      </c>
      <c r="S101" s="2036">
        <f>HLOOKUP(S$87,MFG_inputs!$C$44:$D$58,ROW(MFG_inputs!$B58)-ROW(MFG_inputs!$B$44)+1,FALSE)</f>
        <v>9000</v>
      </c>
      <c r="T101" s="2036">
        <f>HLOOKUP(T$87,MFG_inputs!$C$44:$D$58,ROW(MFG_inputs!$B58)-ROW(MFG_inputs!$B$44)+1,FALSE)</f>
        <v>9000</v>
      </c>
      <c r="U101" s="2036">
        <f>HLOOKUP(U$87,MFG_inputs!$C$44:$D$58,ROW(MFG_inputs!$B58)-ROW(MFG_inputs!$B$44)+1,FALSE)</f>
        <v>9000</v>
      </c>
      <c r="V101" s="2036">
        <f>HLOOKUP(V$87,MFG_inputs!$C$44:$D$58,ROW(MFG_inputs!$B58)-ROW(MFG_inputs!$B$44)+1,FALSE)</f>
        <v>9000</v>
      </c>
      <c r="W101" s="2036">
        <f>HLOOKUP(W$87,MFG_inputs!$C$44:$D$58,ROW(MFG_inputs!$B58)-ROW(MFG_inputs!$B$44)+1,FALSE)</f>
        <v>9000</v>
      </c>
      <c r="X101" s="2036">
        <f>HLOOKUP(X$87,MFG_inputs!$C$44:$D$58,ROW(MFG_inputs!$B58)-ROW(MFG_inputs!$B$44)+1,FALSE)</f>
        <v>9000</v>
      </c>
      <c r="Y101" s="2036">
        <f>HLOOKUP(Y$87,MFG_inputs!$C$44:$D$58,ROW(MFG_inputs!$B58)-ROW(MFG_inputs!$B$44)+1,FALSE)</f>
        <v>9000</v>
      </c>
      <c r="Z101" s="2036">
        <f>HLOOKUP(Z$87,MFG_inputs!$C$44:$D$58,ROW(MFG_inputs!$B58)-ROW(MFG_inputs!$B$44)+1,FALSE)</f>
        <v>9000</v>
      </c>
      <c r="AA101" s="2036">
        <f>HLOOKUP(AA$87,MFG_inputs!$C$44:$D$58,ROW(MFG_inputs!$B58)-ROW(MFG_inputs!$B$44)+1,FALSE)</f>
        <v>9000</v>
      </c>
      <c r="AB101" s="2036">
        <f>HLOOKUP(AB$87,MFG_inputs!$C$44:$D$58,ROW(MFG_inputs!$B58)-ROW(MFG_inputs!$B$44)+1,FALSE)</f>
        <v>9000</v>
      </c>
    </row>
    <row r="102" spans="1:28" x14ac:dyDescent="0.45">
      <c r="A102" s="1439"/>
      <c r="B102" s="1953"/>
      <c r="C102" s="1953"/>
      <c r="D102" s="1955"/>
      <c r="E102" s="1955"/>
      <c r="F102" s="1955"/>
      <c r="G102" s="1953"/>
      <c r="H102" s="1953"/>
      <c r="I102" s="1953"/>
      <c r="J102" s="1953"/>
      <c r="K102" s="1953"/>
      <c r="L102" s="1953"/>
      <c r="M102" s="1953"/>
      <c r="N102" s="1953"/>
      <c r="O102" s="1953"/>
      <c r="P102" s="1953"/>
      <c r="Q102" s="1953"/>
      <c r="R102" s="1953"/>
      <c r="S102" s="1953"/>
      <c r="T102" s="1953"/>
      <c r="U102" s="1953"/>
      <c r="V102" s="1953"/>
      <c r="W102" s="1954"/>
      <c r="X102" s="1953"/>
      <c r="Y102" s="1953"/>
      <c r="Z102" s="1953"/>
      <c r="AA102" s="1953"/>
      <c r="AB102" s="1953"/>
    </row>
    <row r="103" spans="1:28" ht="28.5" x14ac:dyDescent="0.45">
      <c r="A103" s="1441" t="s">
        <v>84</v>
      </c>
      <c r="B103" s="1953" t="s">
        <v>98</v>
      </c>
      <c r="C103" s="1953"/>
      <c r="D103" s="1955"/>
      <c r="E103" s="1955"/>
      <c r="F103" s="1955"/>
      <c r="G103" s="1953"/>
      <c r="H103" s="1953"/>
      <c r="I103" s="1953"/>
      <c r="J103" s="1953"/>
      <c r="K103" s="1953"/>
      <c r="L103" s="1953"/>
      <c r="M103" s="1953"/>
      <c r="N103" s="1953"/>
      <c r="O103" s="1953"/>
      <c r="P103" s="1953"/>
      <c r="Q103" s="1953"/>
      <c r="R103" s="1953"/>
      <c r="S103" s="1953"/>
      <c r="T103" s="1953"/>
      <c r="U103" s="1953"/>
      <c r="V103" s="1953"/>
      <c r="W103" s="1954"/>
      <c r="X103" s="1953"/>
      <c r="Y103" s="1953"/>
      <c r="Z103" s="1953"/>
      <c r="AA103" s="1953"/>
      <c r="AB103" s="1953"/>
    </row>
    <row r="104" spans="1:28" ht="57" x14ac:dyDescent="0.45">
      <c r="A104" s="1443" t="s">
        <v>49</v>
      </c>
      <c r="B104" s="1947"/>
      <c r="C104" s="1947" t="str">
        <f t="shared" ref="C104:AB104" si="22">C7</f>
        <v>With Al smelting mostly from coal</v>
      </c>
      <c r="D104" s="1947" t="str">
        <f t="shared" si="22"/>
        <v>With Al smelting mostly from coal</v>
      </c>
      <c r="E104" s="1947" t="str">
        <f t="shared" si="22"/>
        <v>With Al smelting mostly from coal</v>
      </c>
      <c r="F104" s="1947" t="str">
        <f t="shared" si="22"/>
        <v>With Al smelting mostly from coal</v>
      </c>
      <c r="G104" s="1947" t="str">
        <f t="shared" si="22"/>
        <v>With Al smelting mostly from coal</v>
      </c>
      <c r="H104" s="1947" t="str">
        <f t="shared" si="22"/>
        <v>With Al smelting mostly from coal</v>
      </c>
      <c r="I104" s="1947" t="str">
        <f t="shared" si="22"/>
        <v>With Al smelting mostly from coal</v>
      </c>
      <c r="J104" s="1947" t="str">
        <f t="shared" si="22"/>
        <v>With Al smelting mostly from coal</v>
      </c>
      <c r="K104" s="1947" t="str">
        <f t="shared" si="22"/>
        <v>With Al smelting mostly from coal</v>
      </c>
      <c r="L104" s="1947" t="str">
        <f t="shared" si="22"/>
        <v>With Al smelting mostly from coal</v>
      </c>
      <c r="M104" s="1947" t="str">
        <f t="shared" si="22"/>
        <v>With Al smelting mostly from coal</v>
      </c>
      <c r="N104" s="1947" t="str">
        <f t="shared" si="22"/>
        <v>With Al smelting mostly from coal</v>
      </c>
      <c r="O104" s="1947" t="str">
        <f t="shared" si="22"/>
        <v>With Al smelting mostly from coal</v>
      </c>
      <c r="P104" s="1947" t="str">
        <f t="shared" si="22"/>
        <v>With Al smelting mostly from coal</v>
      </c>
      <c r="Q104" s="1947" t="str">
        <f t="shared" si="22"/>
        <v>With Al smelting mostly from coal</v>
      </c>
      <c r="R104" s="1947" t="str">
        <f t="shared" si="22"/>
        <v>With Al smelting mostly from coal</v>
      </c>
      <c r="S104" s="1947" t="str">
        <f t="shared" si="22"/>
        <v>With Al smelting mostly from coal</v>
      </c>
      <c r="T104" s="1947" t="str">
        <f t="shared" si="22"/>
        <v>With Al smelting mostly from coal</v>
      </c>
      <c r="U104" s="1947" t="str">
        <f>U7</f>
        <v>With Al smelting mostly from coal</v>
      </c>
      <c r="V104" s="1947" t="str">
        <f>V7</f>
        <v>With Al smelting mostly from coal</v>
      </c>
      <c r="W104" s="1947" t="str">
        <f>W7</f>
        <v>With Al smelting mostly from coal</v>
      </c>
      <c r="X104" s="1947" t="str">
        <f t="shared" si="22"/>
        <v>With Al smelting mostly from coal</v>
      </c>
      <c r="Y104" s="1947" t="str">
        <f t="shared" si="22"/>
        <v>With Al smelting mostly from coal</v>
      </c>
      <c r="Z104" s="1947" t="str">
        <f t="shared" si="22"/>
        <v>With Al smelting mostly from coal</v>
      </c>
      <c r="AA104" s="1947" t="str">
        <f t="shared" si="22"/>
        <v>With Al smelting mostly from coal</v>
      </c>
      <c r="AB104" s="1947" t="str">
        <f t="shared" si="22"/>
        <v>With Al smelting mostly from coal</v>
      </c>
    </row>
    <row r="105" spans="1:28" x14ac:dyDescent="0.45">
      <c r="A105" s="1442" t="s">
        <v>75</v>
      </c>
      <c r="B105" s="2019"/>
      <c r="C105" s="2036">
        <f>HLOOKUP(C$104,MFG_inputs!$C$61:$D$63,ROW(MFG_inputs!$B62)-ROW(MFG_inputs!$B$61)+1,FALSE)</f>
        <v>538.63283073745492</v>
      </c>
      <c r="D105" s="2036">
        <f>HLOOKUP(D$104,MFG_inputs!$C$61:$D$63,ROW(MFG_inputs!$B62)-ROW(MFG_inputs!$B$61)+1,FALSE)</f>
        <v>538.63283073745492</v>
      </c>
      <c r="E105" s="2036">
        <f>HLOOKUP(E$104,MFG_inputs!$C$61:$D$63,ROW(MFG_inputs!$B62)-ROW(MFG_inputs!$B$61)+1,FALSE)</f>
        <v>538.63283073745492</v>
      </c>
      <c r="F105" s="2036">
        <f>HLOOKUP(F$104,MFG_inputs!$C$61:$D$63,ROW(MFG_inputs!$B62)-ROW(MFG_inputs!$B$61)+1,FALSE)</f>
        <v>538.63283073745492</v>
      </c>
      <c r="G105" s="2036">
        <f>HLOOKUP(G$104,MFG_inputs!$C$61:$D$63,ROW(MFG_inputs!$B62)-ROW(MFG_inputs!$B$61)+1,FALSE)</f>
        <v>538.63283073745492</v>
      </c>
      <c r="H105" s="2036">
        <f>HLOOKUP(H$104,MFG_inputs!$C$61:$D$63,ROW(MFG_inputs!$B62)-ROW(MFG_inputs!$B$61)+1,FALSE)</f>
        <v>538.63283073745492</v>
      </c>
      <c r="I105" s="2036">
        <f>HLOOKUP(I$104,MFG_inputs!$C$61:$D$63,ROW(MFG_inputs!$B62)-ROW(MFG_inputs!$B$61)+1,FALSE)</f>
        <v>538.63283073745492</v>
      </c>
      <c r="J105" s="2036">
        <f>HLOOKUP(J$104,MFG_inputs!$C$61:$D$63,ROW(MFG_inputs!$B62)-ROW(MFG_inputs!$B$61)+1,FALSE)</f>
        <v>538.63283073745492</v>
      </c>
      <c r="K105" s="2036">
        <f>HLOOKUP(K$104,MFG_inputs!$C$61:$D$63,ROW(MFG_inputs!$B62)-ROW(MFG_inputs!$B$61)+1,FALSE)</f>
        <v>538.63283073745492</v>
      </c>
      <c r="L105" s="2036">
        <f>HLOOKUP(L$104,MFG_inputs!$C$61:$D$63,ROW(MFG_inputs!$B62)-ROW(MFG_inputs!$B$61)+1,FALSE)</f>
        <v>538.63283073745492</v>
      </c>
      <c r="M105" s="2036">
        <f>HLOOKUP(M$104,MFG_inputs!$C$61:$D$63,ROW(MFG_inputs!$B62)-ROW(MFG_inputs!$B$61)+1,FALSE)</f>
        <v>538.63283073745492</v>
      </c>
      <c r="N105" s="2036">
        <f>HLOOKUP(N$104,MFG_inputs!$C$61:$D$63,ROW(MFG_inputs!$B62)-ROW(MFG_inputs!$B$61)+1,FALSE)</f>
        <v>538.63283073745492</v>
      </c>
      <c r="O105" s="2036">
        <f>HLOOKUP(O$104,MFG_inputs!$C$61:$D$63,ROW(MFG_inputs!$B62)-ROW(MFG_inputs!$B$61)+1,FALSE)</f>
        <v>538.63283073745492</v>
      </c>
      <c r="P105" s="2036">
        <f>HLOOKUP(P$104,MFG_inputs!$C$61:$D$63,ROW(MFG_inputs!$B62)-ROW(MFG_inputs!$B$61)+1,FALSE)</f>
        <v>538.63283073745492</v>
      </c>
      <c r="Q105" s="2036">
        <f>HLOOKUP(Q$104,MFG_inputs!$C$61:$D$63,ROW(MFG_inputs!$B62)-ROW(MFG_inputs!$B$61)+1,FALSE)</f>
        <v>538.63283073745492</v>
      </c>
      <c r="R105" s="2036">
        <f>HLOOKUP(R$104,MFG_inputs!$C$61:$D$63,ROW(MFG_inputs!$B62)-ROW(MFG_inputs!$B$61)+1,FALSE)</f>
        <v>538.63283073745492</v>
      </c>
      <c r="S105" s="2036">
        <f>HLOOKUP(S$104,MFG_inputs!$C$61:$D$63,ROW(MFG_inputs!$B62)-ROW(MFG_inputs!$B$61)+1,FALSE)</f>
        <v>538.63283073745492</v>
      </c>
      <c r="T105" s="2036">
        <f>HLOOKUP(T$104,MFG_inputs!$C$61:$D$63,ROW(MFG_inputs!$B62)-ROW(MFG_inputs!$B$61)+1,FALSE)</f>
        <v>538.63283073745492</v>
      </c>
      <c r="U105" s="2036">
        <f>HLOOKUP(U$104,MFG_inputs!$C$61:$D$63,ROW(MFG_inputs!$B62)-ROW(MFG_inputs!$B$61)+1,FALSE)</f>
        <v>538.63283073745492</v>
      </c>
      <c r="V105" s="2036">
        <f>HLOOKUP(V$104,MFG_inputs!$C$61:$D$63,ROW(MFG_inputs!$B62)-ROW(MFG_inputs!$B$61)+1,FALSE)</f>
        <v>538.63283073745492</v>
      </c>
      <c r="W105" s="2036">
        <f>HLOOKUP(W$104,MFG_inputs!$C$61:$D$63,ROW(MFG_inputs!$B62)-ROW(MFG_inputs!$B$61)+1,FALSE)</f>
        <v>538.63283073745492</v>
      </c>
      <c r="X105" s="2036">
        <f>HLOOKUP(X$104,MFG_inputs!$C$61:$D$63,ROW(MFG_inputs!$B62)-ROW(MFG_inputs!$B$61)+1,FALSE)</f>
        <v>538.63283073745492</v>
      </c>
      <c r="Y105" s="2036">
        <f>HLOOKUP(Y$104,MFG_inputs!$C$61:$D$63,ROW(MFG_inputs!$B62)-ROW(MFG_inputs!$B$61)+1,FALSE)</f>
        <v>538.63283073745492</v>
      </c>
      <c r="Z105" s="2036">
        <f>HLOOKUP(Z$104,MFG_inputs!$C$61:$D$63,ROW(MFG_inputs!$B62)-ROW(MFG_inputs!$B$61)+1,FALSE)</f>
        <v>538.63283073745492</v>
      </c>
      <c r="AA105" s="2036">
        <f>HLOOKUP(AA$104,MFG_inputs!$C$61:$D$63,ROW(MFG_inputs!$B62)-ROW(MFG_inputs!$B$61)+1,FALSE)</f>
        <v>538.63283073745492</v>
      </c>
      <c r="AB105" s="2036">
        <f>HLOOKUP(AB$104,MFG_inputs!$C$61:$D$63,ROW(MFG_inputs!$B62)-ROW(MFG_inputs!$B$61)+1,FALSE)</f>
        <v>538.63283073745492</v>
      </c>
    </row>
    <row r="106" spans="1:28" x14ac:dyDescent="0.45">
      <c r="A106" s="1442" t="s">
        <v>76</v>
      </c>
      <c r="B106" s="2019"/>
      <c r="C106" s="2036">
        <f>HLOOKUP(C$104,MFG_inputs!$C$61:$D$63,ROW(MFG_inputs!$B63)-ROW(MFG_inputs!$B$61)+1,FALSE)</f>
        <v>153.35318310942364</v>
      </c>
      <c r="D106" s="2036">
        <f>HLOOKUP(D$104,MFG_inputs!$C$61:$D$63,ROW(MFG_inputs!$B63)-ROW(MFG_inputs!$B$61)+1,FALSE)</f>
        <v>153.35318310942364</v>
      </c>
      <c r="E106" s="2036">
        <f>HLOOKUP(E$104,MFG_inputs!$C$61:$D$63,ROW(MFG_inputs!$B63)-ROW(MFG_inputs!$B$61)+1,FALSE)</f>
        <v>153.35318310942364</v>
      </c>
      <c r="F106" s="2036">
        <f>HLOOKUP(F$104,MFG_inputs!$C$61:$D$63,ROW(MFG_inputs!$B63)-ROW(MFG_inputs!$B$61)+1,FALSE)</f>
        <v>153.35318310942364</v>
      </c>
      <c r="G106" s="2036">
        <f>HLOOKUP(G$104,MFG_inputs!$C$61:$D$63,ROW(MFG_inputs!$B63)-ROW(MFG_inputs!$B$61)+1,FALSE)</f>
        <v>153.35318310942364</v>
      </c>
      <c r="H106" s="2036">
        <f>HLOOKUP(H$104,MFG_inputs!$C$61:$D$63,ROW(MFG_inputs!$B63)-ROW(MFG_inputs!$B$61)+1,FALSE)</f>
        <v>153.35318310942364</v>
      </c>
      <c r="I106" s="2036">
        <f>HLOOKUP(I$104,MFG_inputs!$C$61:$D$63,ROW(MFG_inputs!$B63)-ROW(MFG_inputs!$B$61)+1,FALSE)</f>
        <v>153.35318310942364</v>
      </c>
      <c r="J106" s="2036">
        <f>HLOOKUP(J$104,MFG_inputs!$C$61:$D$63,ROW(MFG_inputs!$B63)-ROW(MFG_inputs!$B$61)+1,FALSE)</f>
        <v>153.35318310942364</v>
      </c>
      <c r="K106" s="2036">
        <f>HLOOKUP(K$104,MFG_inputs!$C$61:$D$63,ROW(MFG_inputs!$B63)-ROW(MFG_inputs!$B$61)+1,FALSE)</f>
        <v>153.35318310942364</v>
      </c>
      <c r="L106" s="2036">
        <f>HLOOKUP(L$104,MFG_inputs!$C$61:$D$63,ROW(MFG_inputs!$B63)-ROW(MFG_inputs!$B$61)+1,FALSE)</f>
        <v>153.35318310942364</v>
      </c>
      <c r="M106" s="2036">
        <f>HLOOKUP(M$104,MFG_inputs!$C$61:$D$63,ROW(MFG_inputs!$B63)-ROW(MFG_inputs!$B$61)+1,FALSE)</f>
        <v>153.35318310942364</v>
      </c>
      <c r="N106" s="2036">
        <f>HLOOKUP(N$104,MFG_inputs!$C$61:$D$63,ROW(MFG_inputs!$B63)-ROW(MFG_inputs!$B$61)+1,FALSE)</f>
        <v>153.35318310942364</v>
      </c>
      <c r="O106" s="2036">
        <f>HLOOKUP(O$104,MFG_inputs!$C$61:$D$63,ROW(MFG_inputs!$B63)-ROW(MFG_inputs!$B$61)+1,FALSE)</f>
        <v>153.35318310942364</v>
      </c>
      <c r="P106" s="2036">
        <f>HLOOKUP(P$104,MFG_inputs!$C$61:$D$63,ROW(MFG_inputs!$B63)-ROW(MFG_inputs!$B$61)+1,FALSE)</f>
        <v>153.35318310942364</v>
      </c>
      <c r="Q106" s="2036">
        <f>HLOOKUP(Q$104,MFG_inputs!$C$61:$D$63,ROW(MFG_inputs!$B63)-ROW(MFG_inputs!$B$61)+1,FALSE)</f>
        <v>153.35318310942364</v>
      </c>
      <c r="R106" s="2036">
        <f>HLOOKUP(R$104,MFG_inputs!$C$61:$D$63,ROW(MFG_inputs!$B63)-ROW(MFG_inputs!$B$61)+1,FALSE)</f>
        <v>153.35318310942364</v>
      </c>
      <c r="S106" s="2036">
        <f>HLOOKUP(S$104,MFG_inputs!$C$61:$D$63,ROW(MFG_inputs!$B63)-ROW(MFG_inputs!$B$61)+1,FALSE)</f>
        <v>153.35318310942364</v>
      </c>
      <c r="T106" s="2036">
        <f>HLOOKUP(T$104,MFG_inputs!$C$61:$D$63,ROW(MFG_inputs!$B63)-ROW(MFG_inputs!$B$61)+1,FALSE)</f>
        <v>153.35318310942364</v>
      </c>
      <c r="U106" s="2036">
        <f>HLOOKUP(U$104,MFG_inputs!$C$61:$D$63,ROW(MFG_inputs!$B63)-ROW(MFG_inputs!$B$61)+1,FALSE)</f>
        <v>153.35318310942364</v>
      </c>
      <c r="V106" s="2036">
        <f>HLOOKUP(V$104,MFG_inputs!$C$61:$D$63,ROW(MFG_inputs!$B63)-ROW(MFG_inputs!$B$61)+1,FALSE)</f>
        <v>153.35318310942364</v>
      </c>
      <c r="W106" s="2036">
        <f>HLOOKUP(W$104,MFG_inputs!$C$61:$D$63,ROW(MFG_inputs!$B63)-ROW(MFG_inputs!$B$61)+1,FALSE)</f>
        <v>153.35318310942364</v>
      </c>
      <c r="X106" s="2036">
        <f>HLOOKUP(X$104,MFG_inputs!$C$61:$D$63,ROW(MFG_inputs!$B63)-ROW(MFG_inputs!$B$61)+1,FALSE)</f>
        <v>153.35318310942364</v>
      </c>
      <c r="Y106" s="2036">
        <f>HLOOKUP(Y$104,MFG_inputs!$C$61:$D$63,ROW(MFG_inputs!$B63)-ROW(MFG_inputs!$B$61)+1,FALSE)</f>
        <v>153.35318310942364</v>
      </c>
      <c r="Z106" s="2036">
        <f>HLOOKUP(Z$104,MFG_inputs!$C$61:$D$63,ROW(MFG_inputs!$B63)-ROW(MFG_inputs!$B$61)+1,FALSE)</f>
        <v>153.35318310942364</v>
      </c>
      <c r="AA106" s="2036">
        <f>HLOOKUP(AA$104,MFG_inputs!$C$61:$D$63,ROW(MFG_inputs!$B63)-ROW(MFG_inputs!$B$61)+1,FALSE)</f>
        <v>153.35318310942364</v>
      </c>
      <c r="AB106" s="2036">
        <f>HLOOKUP(AB$104,MFG_inputs!$C$61:$D$63,ROW(MFG_inputs!$B63)-ROW(MFG_inputs!$B$61)+1,FALSE)</f>
        <v>153.35318310942364</v>
      </c>
    </row>
    <row r="107" spans="1:28" x14ac:dyDescent="0.45">
      <c r="A107" s="1439"/>
      <c r="B107" s="1953"/>
      <c r="C107" s="1953"/>
      <c r="D107" s="1955"/>
      <c r="E107" s="1955"/>
      <c r="F107" s="1955"/>
      <c r="G107" s="1953"/>
      <c r="H107" s="1953"/>
      <c r="I107" s="1953"/>
      <c r="J107" s="1953"/>
      <c r="K107" s="1953"/>
      <c r="L107" s="1953"/>
      <c r="M107" s="1953"/>
      <c r="N107" s="1953"/>
      <c r="O107" s="1953"/>
      <c r="P107" s="1953"/>
      <c r="Q107" s="1953"/>
      <c r="R107" s="1953"/>
      <c r="S107" s="1953"/>
      <c r="T107" s="1953"/>
      <c r="U107" s="1953"/>
      <c r="V107" s="1953"/>
      <c r="W107" s="1954"/>
      <c r="X107" s="1953"/>
      <c r="Y107" s="1953"/>
      <c r="Z107" s="1953"/>
      <c r="AA107" s="1953"/>
      <c r="AB107" s="1953"/>
    </row>
    <row r="108" spans="1:28" ht="28.5" x14ac:dyDescent="0.45">
      <c r="A108" s="1441" t="s">
        <v>85</v>
      </c>
      <c r="B108" s="1953" t="s">
        <v>102</v>
      </c>
      <c r="C108" s="1953"/>
      <c r="D108" s="1955"/>
      <c r="E108" s="1955"/>
      <c r="F108" s="1955"/>
      <c r="G108" s="1953"/>
      <c r="H108" s="1953"/>
      <c r="I108" s="1953"/>
      <c r="J108" s="1953"/>
      <c r="K108" s="1953"/>
      <c r="L108" s="1953"/>
      <c r="M108" s="1953"/>
      <c r="N108" s="1953"/>
      <c r="O108" s="1953"/>
      <c r="P108" s="1953"/>
      <c r="Q108" s="1953"/>
      <c r="R108" s="1953"/>
      <c r="S108" s="1953"/>
      <c r="T108" s="1953"/>
      <c r="U108" s="1953"/>
      <c r="V108" s="1953"/>
      <c r="W108" s="1954"/>
      <c r="X108" s="1953"/>
      <c r="Y108" s="1953"/>
      <c r="Z108" s="1953"/>
      <c r="AA108" s="1953"/>
      <c r="AB108" s="1953"/>
    </row>
    <row r="109" spans="1:28" ht="57" x14ac:dyDescent="0.45">
      <c r="A109" s="1443" t="s">
        <v>49</v>
      </c>
      <c r="B109" s="1947"/>
      <c r="C109" s="1947" t="str">
        <f t="shared" ref="C109:AB109" si="23">C7</f>
        <v>With Al smelting mostly from coal</v>
      </c>
      <c r="D109" s="1947" t="str">
        <f t="shared" si="23"/>
        <v>With Al smelting mostly from coal</v>
      </c>
      <c r="E109" s="1947" t="str">
        <f t="shared" si="23"/>
        <v>With Al smelting mostly from coal</v>
      </c>
      <c r="F109" s="1947" t="str">
        <f t="shared" si="23"/>
        <v>With Al smelting mostly from coal</v>
      </c>
      <c r="G109" s="1947" t="str">
        <f t="shared" si="23"/>
        <v>With Al smelting mostly from coal</v>
      </c>
      <c r="H109" s="1947" t="str">
        <f t="shared" si="23"/>
        <v>With Al smelting mostly from coal</v>
      </c>
      <c r="I109" s="1947" t="str">
        <f t="shared" si="23"/>
        <v>With Al smelting mostly from coal</v>
      </c>
      <c r="J109" s="1947" t="str">
        <f t="shared" si="23"/>
        <v>With Al smelting mostly from coal</v>
      </c>
      <c r="K109" s="1947" t="str">
        <f t="shared" si="23"/>
        <v>With Al smelting mostly from coal</v>
      </c>
      <c r="L109" s="1947" t="str">
        <f t="shared" si="23"/>
        <v>With Al smelting mostly from coal</v>
      </c>
      <c r="M109" s="1947" t="str">
        <f t="shared" si="23"/>
        <v>With Al smelting mostly from coal</v>
      </c>
      <c r="N109" s="1947" t="str">
        <f t="shared" si="23"/>
        <v>With Al smelting mostly from coal</v>
      </c>
      <c r="O109" s="1947" t="str">
        <f t="shared" si="23"/>
        <v>With Al smelting mostly from coal</v>
      </c>
      <c r="P109" s="1947" t="str">
        <f t="shared" si="23"/>
        <v>With Al smelting mostly from coal</v>
      </c>
      <c r="Q109" s="1947" t="str">
        <f t="shared" si="23"/>
        <v>With Al smelting mostly from coal</v>
      </c>
      <c r="R109" s="1947" t="str">
        <f t="shared" si="23"/>
        <v>With Al smelting mostly from coal</v>
      </c>
      <c r="S109" s="1947" t="str">
        <f t="shared" si="23"/>
        <v>With Al smelting mostly from coal</v>
      </c>
      <c r="T109" s="1947" t="str">
        <f t="shared" si="23"/>
        <v>With Al smelting mostly from coal</v>
      </c>
      <c r="U109" s="1947" t="str">
        <f>U7</f>
        <v>With Al smelting mostly from coal</v>
      </c>
      <c r="V109" s="1947" t="str">
        <f>V7</f>
        <v>With Al smelting mostly from coal</v>
      </c>
      <c r="W109" s="1947" t="str">
        <f>W7</f>
        <v>With Al smelting mostly from coal</v>
      </c>
      <c r="X109" s="1947" t="str">
        <f t="shared" si="23"/>
        <v>With Al smelting mostly from coal</v>
      </c>
      <c r="Y109" s="1947" t="str">
        <f t="shared" si="23"/>
        <v>With Al smelting mostly from coal</v>
      </c>
      <c r="Z109" s="1947" t="str">
        <f t="shared" si="23"/>
        <v>With Al smelting mostly from coal</v>
      </c>
      <c r="AA109" s="1947" t="str">
        <f t="shared" si="23"/>
        <v>With Al smelting mostly from coal</v>
      </c>
      <c r="AB109" s="1947" t="str">
        <f t="shared" si="23"/>
        <v>With Al smelting mostly from coal</v>
      </c>
    </row>
    <row r="110" spans="1:28" x14ac:dyDescent="0.45">
      <c r="A110" s="1443" t="s">
        <v>75</v>
      </c>
      <c r="B110" s="1947"/>
      <c r="C110" s="1947"/>
      <c r="D110" s="1952" t="str">
        <f t="shared" ref="D110:AB110" si="24">IF(D28=0,"",D28)</f>
        <v>NMC111</v>
      </c>
      <c r="E110" s="1952" t="str">
        <f t="shared" si="24"/>
        <v/>
      </c>
      <c r="F110" s="1952" t="str">
        <f t="shared" si="24"/>
        <v>NMC111</v>
      </c>
      <c r="G110" s="1952" t="str">
        <f t="shared" si="24"/>
        <v/>
      </c>
      <c r="H110" s="1952" t="str">
        <f t="shared" si="24"/>
        <v>NMC111</v>
      </c>
      <c r="I110" s="1952" t="str">
        <f t="shared" si="24"/>
        <v/>
      </c>
      <c r="J110" s="1952" t="str">
        <f t="shared" si="24"/>
        <v>NMC111</v>
      </c>
      <c r="K110" s="1952" t="str">
        <f t="shared" si="24"/>
        <v/>
      </c>
      <c r="L110" s="1952" t="str">
        <f t="shared" si="24"/>
        <v>NMC111</v>
      </c>
      <c r="M110" s="1952" t="str">
        <f t="shared" si="24"/>
        <v/>
      </c>
      <c r="N110" s="1952" t="str">
        <f t="shared" si="24"/>
        <v/>
      </c>
      <c r="O110" s="1952" t="str">
        <f t="shared" si="24"/>
        <v/>
      </c>
      <c r="P110" s="1952" t="str">
        <f t="shared" si="24"/>
        <v/>
      </c>
      <c r="Q110" s="1952" t="str">
        <f t="shared" si="24"/>
        <v>LFP: solid state</v>
      </c>
      <c r="R110" s="1952" t="str">
        <f t="shared" si="24"/>
        <v>LFP: solid state</v>
      </c>
      <c r="S110" s="1952" t="str">
        <f t="shared" si="24"/>
        <v>LFP: solid state</v>
      </c>
      <c r="T110" s="1952" t="str">
        <f t="shared" si="24"/>
        <v>LFP: solid state</v>
      </c>
      <c r="U110" s="1952" t="str">
        <f>IF(U28=0,"",U28)</f>
        <v/>
      </c>
      <c r="V110" s="1952" t="str">
        <f>IF(V28=0,"",V28)</f>
        <v>LFP: solid state</v>
      </c>
      <c r="W110" s="1952" t="str">
        <f>IF(W28=0,"",W28)</f>
        <v>LFP: solid state</v>
      </c>
      <c r="X110" s="1952" t="str">
        <f t="shared" si="24"/>
        <v/>
      </c>
      <c r="Y110" s="1952" t="str">
        <f t="shared" si="24"/>
        <v>NMC111</v>
      </c>
      <c r="Z110" s="1952" t="str">
        <f t="shared" si="24"/>
        <v/>
      </c>
      <c r="AA110" s="1952" t="str">
        <f t="shared" si="24"/>
        <v>NMC111</v>
      </c>
      <c r="AB110" s="1952" t="str">
        <f t="shared" si="24"/>
        <v/>
      </c>
    </row>
    <row r="111" spans="1:28" x14ac:dyDescent="0.45">
      <c r="A111" s="1442" t="s">
        <v>78</v>
      </c>
      <c r="B111" s="2019"/>
      <c r="C111" s="2019">
        <f ca="1">IFERROR(OFFSET(MFG_inputs!$D$74,MATCH(C$109,MFG_inputs!$C$74:$C$75,0)-1,MATCH(C$110,MFG_inputs!$D$73:$L$73,0)-1,1,1),0)/Battery_Sum!$C$22</f>
        <v>0</v>
      </c>
      <c r="D111" s="2036">
        <f ca="1">IFERROR(OFFSET(MFG_inputs!$D$74,MATCH(D$109,MFG_inputs!$C$74:$C$75,0)-1,MATCH(D$110,MFG_inputs!$D$73:$L$73,0)-1,1,1),0)/Battery_Sum!$C$22</f>
        <v>78116.710443271717</v>
      </c>
      <c r="E111" s="2036">
        <f ca="1">IFERROR(OFFSET(MFG_inputs!$D$74,MATCH(E$109,MFG_inputs!$C$74:$C$75,0)-1,MATCH(E$110,MFG_inputs!$D$73:$L$73,0)-1,1,1),0)/Battery_Sum!$C$22</f>
        <v>0</v>
      </c>
      <c r="F111" s="2036">
        <f ca="1">IFERROR(OFFSET(MFG_inputs!$D$74,MATCH(F$109,MFG_inputs!$C$74:$C$75,0)-1,MATCH(F$110,MFG_inputs!$D$73:$L$73,0)-1,1,1),0)/Battery_Sum!$C$22</f>
        <v>78116.710443271717</v>
      </c>
      <c r="G111" s="2036">
        <f ca="1">IFERROR(OFFSET(MFG_inputs!$D$74,MATCH(G$109,MFG_inputs!$C$74:$C$75,0)-1,MATCH(G$110,MFG_inputs!$D$73:$L$73,0)-1,1,1),0)/Battery_Sum!$C$22</f>
        <v>0</v>
      </c>
      <c r="H111" s="2036">
        <f ca="1">IFERROR(OFFSET(MFG_inputs!$D$74,MATCH(H$109,MFG_inputs!$C$74:$C$75,0)-1,MATCH(H$110,MFG_inputs!$D$73:$L$73,0)-1,1,1),0)/Battery_Sum!$C$22</f>
        <v>78116.710443271717</v>
      </c>
      <c r="I111" s="2036">
        <f ca="1">IFERROR(OFFSET(MFG_inputs!$D$74,MATCH(I$109,MFG_inputs!$C$74:$C$75,0)-1,MATCH(I$110,MFG_inputs!$D$73:$L$73,0)-1,1,1),0)/Battery_Sum!$C$22</f>
        <v>0</v>
      </c>
      <c r="J111" s="2036">
        <f ca="1">IFERROR(OFFSET(MFG_inputs!$D$74,MATCH(J$109,MFG_inputs!$C$74:$C$75,0)-1,MATCH(J$110,MFG_inputs!$D$73:$L$73,0)-1,1,1),0)/Battery_Sum!$C$22</f>
        <v>78116.710443271717</v>
      </c>
      <c r="K111" s="2036">
        <f ca="1">IFERROR(OFFSET(MFG_inputs!$D$74,MATCH(K$109,MFG_inputs!$C$74:$C$75,0)-1,MATCH(K$110,MFG_inputs!$D$73:$L$73,0)-1,1,1),0)/Battery_Sum!$C$22</f>
        <v>0</v>
      </c>
      <c r="L111" s="2036">
        <f ca="1">IFERROR(OFFSET(MFG_inputs!$D$74,MATCH(L$109,MFG_inputs!$C$74:$C$75,0)-1,MATCH(L$110,MFG_inputs!$D$73:$L$73,0)-1,1,1),0)/Battery_Sum!$C$22</f>
        <v>78116.710443271717</v>
      </c>
      <c r="M111" s="2036">
        <f ca="1">IFERROR(OFFSET(MFG_inputs!$D$74,MATCH(M$109,MFG_inputs!$C$74:$C$75,0)-1,MATCH(M$110,MFG_inputs!$D$73:$L$73,0)-1,1,1),0)/Battery_Sum!$C$22</f>
        <v>0</v>
      </c>
      <c r="N111" s="2036">
        <f ca="1">IFERROR(OFFSET(MFG_inputs!$D$74,MATCH(N$109,MFG_inputs!$C$74:$C$75,0)-1,MATCH(N$110,MFG_inputs!$D$73:$L$73,0)-1,1,1),0)/Battery_Sum!$C$22</f>
        <v>0</v>
      </c>
      <c r="O111" s="2036">
        <f ca="1">IFERROR(OFFSET(MFG_inputs!$D$74,MATCH(O$109,MFG_inputs!$C$74:$C$75,0)-1,MATCH(O$110,MFG_inputs!$D$73:$L$73,0)-1,1,1),0)/Battery_Sum!$C$22</f>
        <v>0</v>
      </c>
      <c r="P111" s="2036">
        <f ca="1">IFERROR(OFFSET(MFG_inputs!$D$74,MATCH(P$109,MFG_inputs!$C$74:$C$75,0)-1,MATCH(P$110,MFG_inputs!$D$73:$L$73,0)-1,1,1),0)/Battery_Sum!$C$22</f>
        <v>0</v>
      </c>
      <c r="Q111" s="2036">
        <f ca="1">IFERROR(OFFSET(MFG_inputs!$D$74,MATCH(Q$109,MFG_inputs!$C$74:$C$75,0)-1,MATCH(Q$110,MFG_inputs!$D$73:$L$73,0)-1,1,1),0)/Battery_Sum!$C$22</f>
        <v>53011.391573676934</v>
      </c>
      <c r="R111" s="2036">
        <f ca="1">IFERROR(OFFSET(MFG_inputs!$D$74,MATCH(R$109,MFG_inputs!$C$74:$C$75,0)-1,MATCH(R$110,MFG_inputs!$D$73:$L$73,0)-1,1,1),0)/Battery_Sum!$C$22</f>
        <v>53011.391573676934</v>
      </c>
      <c r="S111" s="2036">
        <f ca="1">IFERROR(OFFSET(MFG_inputs!$D$74,MATCH(S$109,MFG_inputs!$C$74:$C$75,0)-1,MATCH(S$110,MFG_inputs!$D$73:$L$73,0)-1,1,1),0)/Battery_Sum!$C$22</f>
        <v>53011.391573676934</v>
      </c>
      <c r="T111" s="2036">
        <f ca="1">IFERROR(OFFSET(MFG_inputs!$D$74,MATCH(T$109,MFG_inputs!$C$74:$C$75,0)-1,MATCH(T$110,MFG_inputs!$D$73:$L$73,0)-1,1,1),0)/Battery_Sum!$C$22</f>
        <v>53011.391573676934</v>
      </c>
      <c r="U111" s="2036">
        <f ca="1">IFERROR(OFFSET(MFG_inputs!$D$74,MATCH(U$109,MFG_inputs!$C$74:$C$75,0)-1,MATCH(U$110,MFG_inputs!$D$73:$L$73,0)-1,1,1),0)/Battery_Sum!$C$22</f>
        <v>0</v>
      </c>
      <c r="V111" s="2036">
        <f ca="1">IFERROR(OFFSET(MFG_inputs!$D$74,MATCH(V$109,MFG_inputs!$C$74:$C$75,0)-1,MATCH(V$110,MFG_inputs!$D$73:$L$73,0)-1,1,1),0)/Battery_Sum!$C$22</f>
        <v>53011.391573676934</v>
      </c>
      <c r="W111" s="2036">
        <f ca="1">IFERROR(OFFSET(MFG_inputs!$D$74,MATCH(W$109,MFG_inputs!$C$74:$C$75,0)-1,MATCH(W$110,MFG_inputs!$D$73:$L$73,0)-1,1,1),0)/Battery_Sum!$C$22</f>
        <v>53011.391573676934</v>
      </c>
      <c r="X111" s="2036">
        <f ca="1">IFERROR(OFFSET(MFG_inputs!$D$74,MATCH(X$109,MFG_inputs!$C$74:$C$75,0)-1,MATCH(X$110,MFG_inputs!$D$73:$L$73,0)-1,1,1),0)/Battery_Sum!$C$22</f>
        <v>0</v>
      </c>
      <c r="Y111" s="2036">
        <f ca="1">IFERROR(OFFSET(MFG_inputs!$D$74,MATCH(Y$109,MFG_inputs!$C$74:$C$75,0)-1,MATCH(Y$110,MFG_inputs!$D$73:$L$73,0)-1,1,1),0)/Battery_Sum!$C$22</f>
        <v>78116.710443271717</v>
      </c>
      <c r="Z111" s="2036">
        <f ca="1">IFERROR(OFFSET(MFG_inputs!$D$74,MATCH(Z$109,MFG_inputs!$C$74:$C$75,0)-1,MATCH(Z$110,MFG_inputs!$D$73:$L$73,0)-1,1,1),0)/Battery_Sum!$C$22</f>
        <v>0</v>
      </c>
      <c r="AA111" s="2036">
        <f ca="1">IFERROR(OFFSET(MFG_inputs!$D$74,MATCH(AA$109,MFG_inputs!$C$74:$C$75,0)-1,MATCH(AA$110,MFG_inputs!$D$73:$L$73,0)-1,1,1),0)/Battery_Sum!$C$22</f>
        <v>78116.710443271717</v>
      </c>
      <c r="AB111" s="2036">
        <f ca="1">IFERROR(OFFSET(MFG_inputs!$D$74,MATCH(AB$109,MFG_inputs!$C$74:$C$75,0)-1,MATCH(AB$110,MFG_inputs!$D$73:$L$73,0)-1,1,1),0)/Battery_Sum!$C$22</f>
        <v>0</v>
      </c>
    </row>
    <row r="112" spans="1:28" x14ac:dyDescent="0.45">
      <c r="A112" s="1442" t="s">
        <v>75</v>
      </c>
      <c r="B112" s="2019"/>
      <c r="C112" s="2019">
        <f>IF(C$110="",0,HLOOKUP(C$109,MFG_inputs!$C$66:$D$71,ROW(MFG_inputs!$B67)-ROW(MFG_inputs!$B$66)+1,FALSE))</f>
        <v>0</v>
      </c>
      <c r="D112" s="2036">
        <f>IF(D$110="",0,HLOOKUP(D$109,MFG_inputs!$C$66:$D$71,ROW(MFG_inputs!$B67)-ROW(MFG_inputs!$B$66)+1,FALSE))</f>
        <v>13854.30547718205</v>
      </c>
      <c r="E112" s="2036">
        <f>IF(E$110="",0,HLOOKUP(E$109,MFG_inputs!$C$66:$D$71,ROW(MFG_inputs!$B67)-ROW(MFG_inputs!$B$66)+1,FALSE))</f>
        <v>0</v>
      </c>
      <c r="F112" s="2036">
        <f>IF(F$110="",0,HLOOKUP(F$109,MFG_inputs!$C$66:$D$71,ROW(MFG_inputs!$B67)-ROW(MFG_inputs!$B$66)+1,FALSE))</f>
        <v>13854.30547718205</v>
      </c>
      <c r="G112" s="2036">
        <f>IF(G$110="",0,HLOOKUP(G$109,MFG_inputs!$C$66:$D$71,ROW(MFG_inputs!$B67)-ROW(MFG_inputs!$B$66)+1,FALSE))</f>
        <v>0</v>
      </c>
      <c r="H112" s="2036">
        <f>IF(H$110="",0,HLOOKUP(H$109,MFG_inputs!$C$66:$D$71,ROW(MFG_inputs!$B67)-ROW(MFG_inputs!$B$66)+1,FALSE))</f>
        <v>13854.30547718205</v>
      </c>
      <c r="I112" s="2036">
        <f>IF(I$110="",0,HLOOKUP(I$109,MFG_inputs!$C$66:$D$71,ROW(MFG_inputs!$B67)-ROW(MFG_inputs!$B$66)+1,FALSE))</f>
        <v>0</v>
      </c>
      <c r="J112" s="2036">
        <f>IF(J$110="",0,HLOOKUP(J$109,MFG_inputs!$C$66:$D$71,ROW(MFG_inputs!$B67)-ROW(MFG_inputs!$B$66)+1,FALSE))</f>
        <v>13854.30547718205</v>
      </c>
      <c r="K112" s="2036">
        <f>IF(K$110="",0,HLOOKUP(K$109,MFG_inputs!$C$66:$D$71,ROW(MFG_inputs!$B67)-ROW(MFG_inputs!$B$66)+1,FALSE))</f>
        <v>0</v>
      </c>
      <c r="L112" s="2036">
        <f>IF(L$110="",0,HLOOKUP(L$109,MFG_inputs!$C$66:$D$71,ROW(MFG_inputs!$B67)-ROW(MFG_inputs!$B$66)+1,FALSE))</f>
        <v>13854.30547718205</v>
      </c>
      <c r="M112" s="2036">
        <f>IF(M$110="",0,HLOOKUP(M$109,MFG_inputs!$C$66:$D$71,ROW(MFG_inputs!$B67)-ROW(MFG_inputs!$B$66)+1,FALSE))</f>
        <v>0</v>
      </c>
      <c r="N112" s="2036">
        <f>IF(N$110="",0,HLOOKUP(N$109,MFG_inputs!$C$66:$D$71,ROW(MFG_inputs!$B67)-ROW(MFG_inputs!$B$66)+1,FALSE))</f>
        <v>0</v>
      </c>
      <c r="O112" s="2036">
        <f>IF(O$110="",0,HLOOKUP(O$109,MFG_inputs!$C$66:$D$71,ROW(MFG_inputs!$B67)-ROW(MFG_inputs!$B$66)+1,FALSE))</f>
        <v>0</v>
      </c>
      <c r="P112" s="2036">
        <f>IF(P$110="",0,HLOOKUP(P$109,MFG_inputs!$C$66:$D$71,ROW(MFG_inputs!$B67)-ROW(MFG_inputs!$B$66)+1,FALSE))</f>
        <v>0</v>
      </c>
      <c r="Q112" s="2036">
        <f>IF(Q$110="",0,HLOOKUP(Q$109,MFG_inputs!$C$66:$D$71,ROW(MFG_inputs!$B67)-ROW(MFG_inputs!$B$66)+1,FALSE))</f>
        <v>13854.30547718205</v>
      </c>
      <c r="R112" s="2036">
        <f>IF(R$110="",0,HLOOKUP(R$109,MFG_inputs!$C$66:$D$71,ROW(MFG_inputs!$B67)-ROW(MFG_inputs!$B$66)+1,FALSE))</f>
        <v>13854.30547718205</v>
      </c>
      <c r="S112" s="2036">
        <f>IF(S$110="",0,HLOOKUP(S$109,MFG_inputs!$C$66:$D$71,ROW(MFG_inputs!$B67)-ROW(MFG_inputs!$B$66)+1,FALSE))</f>
        <v>13854.30547718205</v>
      </c>
      <c r="T112" s="2036">
        <f>IF(T$110="",0,HLOOKUP(T$109,MFG_inputs!$C$66:$D$71,ROW(MFG_inputs!$B67)-ROW(MFG_inputs!$B$66)+1,FALSE))</f>
        <v>13854.30547718205</v>
      </c>
      <c r="U112" s="2036">
        <f>IF(U$110="",0,HLOOKUP(U$109,MFG_inputs!$C$66:$D$71,ROW(MFG_inputs!$B67)-ROW(MFG_inputs!$B$66)+1,FALSE))</f>
        <v>0</v>
      </c>
      <c r="V112" s="2036">
        <f>IF(V$110="",0,HLOOKUP(V$109,MFG_inputs!$C$66:$D$71,ROW(MFG_inputs!$B67)-ROW(MFG_inputs!$B$66)+1,FALSE))</f>
        <v>13854.30547718205</v>
      </c>
      <c r="W112" s="2036">
        <f>IF(W$110="",0,HLOOKUP(W$109,MFG_inputs!$C$66:$D$71,ROW(MFG_inputs!$B67)-ROW(MFG_inputs!$B$66)+1,FALSE))</f>
        <v>13854.30547718205</v>
      </c>
      <c r="X112" s="2036">
        <f>IF(X$110="",0,HLOOKUP(X$109,MFG_inputs!$C$66:$D$71,ROW(MFG_inputs!$B67)-ROW(MFG_inputs!$B$66)+1,FALSE))</f>
        <v>0</v>
      </c>
      <c r="Y112" s="2036">
        <f>IF(Y$110="",0,HLOOKUP(Y$109,MFG_inputs!$C$66:$D$71,ROW(MFG_inputs!$B67)-ROW(MFG_inputs!$B$66)+1,FALSE))</f>
        <v>13854.30547718205</v>
      </c>
      <c r="Z112" s="2036">
        <f>IF(Z$110="",0,HLOOKUP(Z$109,MFG_inputs!$C$66:$D$71,ROW(MFG_inputs!$B67)-ROW(MFG_inputs!$B$66)+1,FALSE))</f>
        <v>0</v>
      </c>
      <c r="AA112" s="2036">
        <f>IF(AA$110="",0,HLOOKUP(AA$109,MFG_inputs!$C$66:$D$71,ROW(MFG_inputs!$B67)-ROW(MFG_inputs!$B$66)+1,FALSE))</f>
        <v>13854.30547718205</v>
      </c>
      <c r="AB112" s="2036">
        <f>IF(AB$110="",0,HLOOKUP(AB$109,MFG_inputs!$C$66:$D$71,ROW(MFG_inputs!$B67)-ROW(MFG_inputs!$B$66)+1,FALSE))</f>
        <v>0</v>
      </c>
    </row>
    <row r="113" spans="1:28" x14ac:dyDescent="0.45">
      <c r="A113" s="1442" t="s">
        <v>76</v>
      </c>
      <c r="B113" s="2019"/>
      <c r="C113" s="2019">
        <f>IF(C$110="",0,HLOOKUP(C$109,MFG_inputs!$C$66:$D$71,ROW(MFG_inputs!$B71)-ROW(MFG_inputs!$B$66)+1,FALSE)/C31)</f>
        <v>0</v>
      </c>
      <c r="D113" s="2036">
        <f>IF(D$110="",0,HLOOKUP(D$109,MFG_inputs!$C$66:$D$71,ROW(MFG_inputs!$B71)-ROW(MFG_inputs!$B$66)+1,FALSE)/D31)</f>
        <v>1075.2343242737034</v>
      </c>
      <c r="E113" s="2036">
        <f>IF(E$110="",0,HLOOKUP(E$109,MFG_inputs!$C$66:$D$71,ROW(MFG_inputs!$B71)-ROW(MFG_inputs!$B$66)+1,FALSE)/E31)</f>
        <v>0</v>
      </c>
      <c r="F113" s="2036">
        <f>IF(F$110="",0,HLOOKUP(F$109,MFG_inputs!$C$66:$D$71,ROW(MFG_inputs!$B71)-ROW(MFG_inputs!$B$66)+1,FALSE)/F31)</f>
        <v>1075.2343242737034</v>
      </c>
      <c r="G113" s="2036">
        <f>IF(G$110="",0,HLOOKUP(G$109,MFG_inputs!$C$66:$D$71,ROW(MFG_inputs!$B71)-ROW(MFG_inputs!$B$66)+1,FALSE)/G31)</f>
        <v>0</v>
      </c>
      <c r="H113" s="2036">
        <f>IF(H$110="",0,HLOOKUP(H$109,MFG_inputs!$C$66:$D$71,ROW(MFG_inputs!$B71)-ROW(MFG_inputs!$B$66)+1,FALSE)/H31)</f>
        <v>1075.2343242737034</v>
      </c>
      <c r="I113" s="2036">
        <f>IF(I$110="",0,HLOOKUP(I$109,MFG_inputs!$C$66:$D$71,ROW(MFG_inputs!$B71)-ROW(MFG_inputs!$B$66)+1,FALSE)/I31)</f>
        <v>0</v>
      </c>
      <c r="J113" s="2036">
        <f>IF(J$110="",0,HLOOKUP(J$109,MFG_inputs!$C$66:$D$71,ROW(MFG_inputs!$B71)-ROW(MFG_inputs!$B$66)+1,FALSE)/J31)</f>
        <v>1075.2343242737034</v>
      </c>
      <c r="K113" s="2036">
        <f>IF(K$110="",0,HLOOKUP(K$109,MFG_inputs!$C$66:$D$71,ROW(MFG_inputs!$B71)-ROW(MFG_inputs!$B$66)+1,FALSE)/K31)</f>
        <v>0</v>
      </c>
      <c r="L113" s="2036">
        <f>IF(L$110="",0,HLOOKUP(L$109,MFG_inputs!$C$66:$D$71,ROW(MFG_inputs!$B71)-ROW(MFG_inputs!$B$66)+1,FALSE)/L31)</f>
        <v>1075.2343242737034</v>
      </c>
      <c r="M113" s="2036">
        <f>IF(M$110="",0,HLOOKUP(M$109,MFG_inputs!$C$66:$D$71,ROW(MFG_inputs!$B71)-ROW(MFG_inputs!$B$66)+1,FALSE)/M31)</f>
        <v>0</v>
      </c>
      <c r="N113" s="2036">
        <f>IF(N$110="",0,HLOOKUP(N$109,MFG_inputs!$C$66:$D$71,ROW(MFG_inputs!$B71)-ROW(MFG_inputs!$B$66)+1,FALSE)/N31)</f>
        <v>0</v>
      </c>
      <c r="O113" s="2036">
        <f>IF(O$110="",0,HLOOKUP(O$109,MFG_inputs!$C$66:$D$71,ROW(MFG_inputs!$B71)-ROW(MFG_inputs!$B$66)+1,FALSE)/O31)</f>
        <v>0</v>
      </c>
      <c r="P113" s="2036">
        <f>IF(P$110="",0,HLOOKUP(P$109,MFG_inputs!$C$66:$D$71,ROW(MFG_inputs!$B71)-ROW(MFG_inputs!$B$66)+1,FALSE)/P31)</f>
        <v>0</v>
      </c>
      <c r="Q113" s="2036">
        <f>IF(Q$110="",0,HLOOKUP(Q$109,MFG_inputs!$C$66:$D$71,ROW(MFG_inputs!$B71)-ROW(MFG_inputs!$B$66)+1,FALSE)/Q31)</f>
        <v>1322.9981158230478</v>
      </c>
      <c r="R113" s="2036">
        <f>IF(R$110="",0,HLOOKUP(R$109,MFG_inputs!$C$66:$D$71,ROW(MFG_inputs!$B71)-ROW(MFG_inputs!$B$66)+1,FALSE)/R31)</f>
        <v>1322.9981158230478</v>
      </c>
      <c r="S113" s="2036">
        <f>IF(S$110="",0,HLOOKUP(S$109,MFG_inputs!$C$66:$D$71,ROW(MFG_inputs!$B71)-ROW(MFG_inputs!$B$66)+1,FALSE)/S31)</f>
        <v>1322.9981158230478</v>
      </c>
      <c r="T113" s="2036">
        <f>IF(T$110="",0,HLOOKUP(T$109,MFG_inputs!$C$66:$D$71,ROW(MFG_inputs!$B71)-ROW(MFG_inputs!$B$66)+1,FALSE)/T31)</f>
        <v>1322.9981158230478</v>
      </c>
      <c r="U113" s="2036">
        <f>IF(U$110="",0,HLOOKUP(U$109,MFG_inputs!$C$66:$D$71,ROW(MFG_inputs!$B71)-ROW(MFG_inputs!$B$66)+1,FALSE)/U31)</f>
        <v>0</v>
      </c>
      <c r="V113" s="2036">
        <f>IF(V$110="",0,HLOOKUP(V$109,MFG_inputs!$C$66:$D$71,ROW(MFG_inputs!$B71)-ROW(MFG_inputs!$B$66)+1,FALSE)/V31)</f>
        <v>1322.9981158230478</v>
      </c>
      <c r="W113" s="2036">
        <f>IF(W$110="",0,HLOOKUP(W$109,MFG_inputs!$C$66:$D$71,ROW(MFG_inputs!$B71)-ROW(MFG_inputs!$B$66)+1,FALSE)/W31)</f>
        <v>1322.9981158230478</v>
      </c>
      <c r="X113" s="2036">
        <f>IF(X$110="",0,HLOOKUP(X$109,MFG_inputs!$C$66:$D$71,ROW(MFG_inputs!$B71)-ROW(MFG_inputs!$B$66)+1,FALSE)/X31)</f>
        <v>0</v>
      </c>
      <c r="Y113" s="2036">
        <f>IF(Y$110="",0,HLOOKUP(Y$109,MFG_inputs!$C$66:$D$71,ROW(MFG_inputs!$B71)-ROW(MFG_inputs!$B$66)+1,FALSE)/Y31)</f>
        <v>1075.2343242737034</v>
      </c>
      <c r="Z113" s="2036">
        <f>IF(Z$110="",0,HLOOKUP(Z$109,MFG_inputs!$C$66:$D$71,ROW(MFG_inputs!$B71)-ROW(MFG_inputs!$B$66)+1,FALSE)/Z31)</f>
        <v>0</v>
      </c>
      <c r="AA113" s="2036">
        <f>IF(AA$110="",0,HLOOKUP(AA$109,MFG_inputs!$C$66:$D$71,ROW(MFG_inputs!$B71)-ROW(MFG_inputs!$B$66)+1,FALSE)/AA31)</f>
        <v>1075.2343242737034</v>
      </c>
      <c r="AB113" s="2036">
        <f>IF(AB$110="",0,HLOOKUP(AB$109,MFG_inputs!$C$66:$D$71,ROW(MFG_inputs!$B71)-ROW(MFG_inputs!$B$66)+1,FALSE)/AB31)</f>
        <v>0</v>
      </c>
    </row>
    <row r="114" spans="1:28" x14ac:dyDescent="0.45">
      <c r="A114" s="1443" t="s">
        <v>79</v>
      </c>
      <c r="B114" s="1947"/>
      <c r="C114" s="1444">
        <f t="shared" ref="C114:AB114" ca="1" si="25">SUM(C111:C113)</f>
        <v>0</v>
      </c>
      <c r="D114" s="1445">
        <f t="shared" ca="1" si="25"/>
        <v>93046.25024472746</v>
      </c>
      <c r="E114" s="1445">
        <f t="shared" ca="1" si="25"/>
        <v>0</v>
      </c>
      <c r="F114" s="1445">
        <f t="shared" ca="1" si="25"/>
        <v>93046.25024472746</v>
      </c>
      <c r="G114" s="1445">
        <f t="shared" ca="1" si="25"/>
        <v>0</v>
      </c>
      <c r="H114" s="1445">
        <f t="shared" ca="1" si="25"/>
        <v>93046.25024472746</v>
      </c>
      <c r="I114" s="1445">
        <f t="shared" ca="1" si="25"/>
        <v>0</v>
      </c>
      <c r="J114" s="1445">
        <f t="shared" ca="1" si="25"/>
        <v>93046.25024472746</v>
      </c>
      <c r="K114" s="1445">
        <f t="shared" ca="1" si="25"/>
        <v>0</v>
      </c>
      <c r="L114" s="1445">
        <f t="shared" ca="1" si="25"/>
        <v>93046.25024472746</v>
      </c>
      <c r="M114" s="1445">
        <f t="shared" ca="1" si="25"/>
        <v>0</v>
      </c>
      <c r="N114" s="1445">
        <f t="shared" ca="1" si="25"/>
        <v>0</v>
      </c>
      <c r="O114" s="1445">
        <f t="shared" ca="1" si="25"/>
        <v>0</v>
      </c>
      <c r="P114" s="1445">
        <f t="shared" ca="1" si="25"/>
        <v>0</v>
      </c>
      <c r="Q114" s="1445">
        <f t="shared" ca="1" si="25"/>
        <v>68188.695166682039</v>
      </c>
      <c r="R114" s="1445">
        <f t="shared" ca="1" si="25"/>
        <v>68188.695166682039</v>
      </c>
      <c r="S114" s="1445">
        <f t="shared" ca="1" si="25"/>
        <v>68188.695166682039</v>
      </c>
      <c r="T114" s="1445">
        <f t="shared" ca="1" si="25"/>
        <v>68188.695166682039</v>
      </c>
      <c r="U114" s="1445">
        <f ca="1">SUM(U111:U113)</f>
        <v>0</v>
      </c>
      <c r="V114" s="1445">
        <f ca="1">SUM(V111:V113)</f>
        <v>68188.695166682039</v>
      </c>
      <c r="W114" s="1445">
        <f ca="1">SUM(W111:W113)</f>
        <v>68188.695166682039</v>
      </c>
      <c r="X114" s="1445">
        <f t="shared" ca="1" si="25"/>
        <v>0</v>
      </c>
      <c r="Y114" s="1445">
        <f t="shared" ca="1" si="25"/>
        <v>93046.25024472746</v>
      </c>
      <c r="Z114" s="1445">
        <f t="shared" ca="1" si="25"/>
        <v>0</v>
      </c>
      <c r="AA114" s="1445">
        <f t="shared" ca="1" si="25"/>
        <v>93046.25024472746</v>
      </c>
      <c r="AB114" s="1445">
        <f t="shared" ca="1" si="25"/>
        <v>0</v>
      </c>
    </row>
    <row r="115" spans="1:28" x14ac:dyDescent="0.45">
      <c r="A115" s="1439"/>
      <c r="B115" s="1953"/>
      <c r="C115" s="1953"/>
      <c r="D115" s="1955"/>
      <c r="E115" s="1955"/>
      <c r="F115" s="1955"/>
      <c r="G115" s="1953"/>
      <c r="H115" s="1953"/>
      <c r="I115" s="1953"/>
      <c r="J115" s="1953"/>
      <c r="K115" s="1953"/>
      <c r="L115" s="1953"/>
      <c r="M115" s="1953"/>
      <c r="N115" s="1953"/>
      <c r="O115" s="1953"/>
      <c r="P115" s="1953"/>
      <c r="Q115" s="1953"/>
      <c r="R115" s="1953"/>
      <c r="S115" s="1953"/>
      <c r="T115" s="1953"/>
      <c r="U115" s="1953"/>
      <c r="V115" s="1953"/>
      <c r="W115" s="1954"/>
      <c r="X115" s="1953"/>
      <c r="Y115" s="1953"/>
      <c r="Z115" s="1953"/>
      <c r="AA115" s="1953"/>
      <c r="AB115" s="1953"/>
    </row>
    <row r="116" spans="1:28" ht="42.75" x14ac:dyDescent="0.45">
      <c r="A116" s="1441" t="s">
        <v>86</v>
      </c>
      <c r="B116" s="1953" t="s">
        <v>103</v>
      </c>
      <c r="C116" s="1953"/>
      <c r="D116" s="1955"/>
      <c r="E116" s="1955"/>
      <c r="F116" s="1955"/>
      <c r="G116" s="1953"/>
      <c r="H116" s="1953"/>
      <c r="I116" s="1953"/>
      <c r="J116" s="1953"/>
      <c r="K116" s="1953"/>
      <c r="L116" s="1953"/>
      <c r="M116" s="1953"/>
      <c r="N116" s="1953"/>
      <c r="O116" s="1953"/>
      <c r="P116" s="1953"/>
      <c r="Q116" s="1953"/>
      <c r="R116" s="1953"/>
      <c r="S116" s="1953"/>
      <c r="T116" s="1953"/>
      <c r="U116" s="1953"/>
      <c r="V116" s="1953"/>
      <c r="W116" s="1954"/>
      <c r="X116" s="1953"/>
      <c r="Y116" s="1953"/>
      <c r="Z116" s="1953"/>
      <c r="AA116" s="1953"/>
      <c r="AB116" s="1953"/>
    </row>
    <row r="117" spans="1:28" x14ac:dyDescent="0.45">
      <c r="A117" s="1443" t="s">
        <v>78</v>
      </c>
      <c r="B117" s="1947"/>
      <c r="C117" s="1952">
        <f t="shared" ref="C117:AB117" si="26">C5*C10*(1-C24)*C88+C5*C10*C24*C89+C5*C11*C90+C5*C12*C91+C5*C13*(1-C25)*C92+C5*C13*C25*C93+C5*C14*(1-C26)*C94+C5*C14*C26*C95+C5*C15*C96+C5*C16*C97+C5*C17*C98+C5*C18*C99+C5*C19*C100+C5*C20*C101</f>
        <v>358567.56164193625</v>
      </c>
      <c r="D117" s="1446">
        <f t="shared" si="26"/>
        <v>285181.99532811745</v>
      </c>
      <c r="E117" s="1446">
        <f t="shared" si="26"/>
        <v>359823.90153382736</v>
      </c>
      <c r="F117" s="1446">
        <f t="shared" si="26"/>
        <v>296399.07922247791</v>
      </c>
      <c r="G117" s="1952">
        <f t="shared" si="26"/>
        <v>358567.56164193625</v>
      </c>
      <c r="H117" s="1952">
        <f t="shared" si="26"/>
        <v>285181.99532811745</v>
      </c>
      <c r="I117" s="1952">
        <f t="shared" si="26"/>
        <v>359823.90153382736</v>
      </c>
      <c r="J117" s="1952">
        <f t="shared" si="26"/>
        <v>296399.07922247791</v>
      </c>
      <c r="K117" s="1952">
        <f t="shared" si="26"/>
        <v>1020703.1211021036</v>
      </c>
      <c r="L117" s="1952">
        <f t="shared" si="26"/>
        <v>883275.91028995439</v>
      </c>
      <c r="M117" s="1952">
        <f t="shared" si="26"/>
        <v>33703373.334318884</v>
      </c>
      <c r="N117" s="1952">
        <f t="shared" si="26"/>
        <v>49279730.297791757</v>
      </c>
      <c r="O117" s="1952">
        <f t="shared" si="26"/>
        <v>33703373.334318884</v>
      </c>
      <c r="P117" s="1952">
        <f t="shared" si="26"/>
        <v>49279730.297791757</v>
      </c>
      <c r="Q117" s="1952">
        <f t="shared" si="26"/>
        <v>43981043.921818212</v>
      </c>
      <c r="R117" s="1952">
        <f t="shared" si="26"/>
        <v>55881796.983016081</v>
      </c>
      <c r="S117" s="1952">
        <f t="shared" si="26"/>
        <v>43981043.921818212</v>
      </c>
      <c r="T117" s="1952">
        <f t="shared" si="26"/>
        <v>55881796.983016081</v>
      </c>
      <c r="U117" s="1952">
        <f>U5*U10*(1-U24)*U88+U5*U10*U24*U89+U5*U11*U90+U5*U12*U91+U5*U13*(1-U25)*U92+U5*U13*U25*U93+U5*U14*(1-U26)*U94+U5*U14*U26*U95+U5*U15*U96+U5*U16*U97+U5*U17*U98+U5*U18*U99+U5*U19*U100+U5*U20*U101</f>
        <v>49279730.297791757</v>
      </c>
      <c r="V117" s="1952">
        <f>V5*V10*(1-V24)*V88+V5*V10*V24*V89+V5*V11*V90+V5*V12*V91+V5*V13*(1-V25)*V92+V5*V13*V25*V93+V5*V14*(1-V26)*V94+V5*V14*V26*V95+V5*V15*V96+V5*V16*V97+V5*V17*V98+V5*V18*V99+V5*V19*V100+V5*V20*V101</f>
        <v>55881796.983016081</v>
      </c>
      <c r="W117" s="1952">
        <f>W5*W10*(1-W24)*W88+W5*W10*W24*W89+W5*W11*W90+W5*W12*W91+W5*W13*(1-W25)*W92+W5*W13*W25*W93+W5*W14*(1-W26)*W94+W5*W14*W26*W95+W5*W15*W96+W5*W16*W97+W5*W17*W98+W5*W18*W99+W5*W19*W100+W5*W20*W101</f>
        <v>49279730.297791757</v>
      </c>
      <c r="X117" s="1952">
        <f t="shared" si="26"/>
        <v>3282627.8166244929</v>
      </c>
      <c r="Y117" s="1952">
        <f t="shared" si="26"/>
        <v>3280391.9854705124</v>
      </c>
      <c r="Z117" s="1952">
        <f t="shared" si="26"/>
        <v>3282627.8166244929</v>
      </c>
      <c r="AA117" s="1952">
        <f t="shared" si="26"/>
        <v>3280391.9854705124</v>
      </c>
      <c r="AB117" s="1952">
        <f t="shared" si="26"/>
        <v>867004836.74755406</v>
      </c>
    </row>
    <row r="118" spans="1:28" x14ac:dyDescent="0.45">
      <c r="A118" s="1443" t="s">
        <v>75</v>
      </c>
      <c r="B118" s="1947"/>
      <c r="C118" s="1952">
        <f t="shared" ref="C118:AB118" si="27">C105*C$5</f>
        <v>53324.650243008036</v>
      </c>
      <c r="D118" s="1446">
        <f t="shared" si="27"/>
        <v>44868.11480042999</v>
      </c>
      <c r="E118" s="1446">
        <f t="shared" si="27"/>
        <v>56233.267528990298</v>
      </c>
      <c r="F118" s="1446">
        <f t="shared" si="27"/>
        <v>44706.524951208761</v>
      </c>
      <c r="G118" s="1952">
        <f t="shared" si="27"/>
        <v>53324.650243008036</v>
      </c>
      <c r="H118" s="1952">
        <f t="shared" si="27"/>
        <v>44868.11480042999</v>
      </c>
      <c r="I118" s="1952">
        <f t="shared" si="27"/>
        <v>56233.267528990298</v>
      </c>
      <c r="J118" s="1952">
        <f t="shared" si="27"/>
        <v>44706.524951208761</v>
      </c>
      <c r="K118" s="1952">
        <f t="shared" si="27"/>
        <v>188521.49075810923</v>
      </c>
      <c r="L118" s="1952">
        <f t="shared" si="27"/>
        <v>161589.84922123648</v>
      </c>
      <c r="M118" s="1952">
        <f t="shared" si="27"/>
        <v>3665396.413168381</v>
      </c>
      <c r="N118" s="1952">
        <f t="shared" si="27"/>
        <v>5359396.6658376763</v>
      </c>
      <c r="O118" s="1952">
        <f t="shared" si="27"/>
        <v>3665396.413168381</v>
      </c>
      <c r="P118" s="1952">
        <f t="shared" si="27"/>
        <v>5359396.6658376763</v>
      </c>
      <c r="Q118" s="1952">
        <f t="shared" si="27"/>
        <v>4578379.0612683669</v>
      </c>
      <c r="R118" s="1952">
        <f t="shared" si="27"/>
        <v>5817234.5719645135</v>
      </c>
      <c r="S118" s="1952">
        <f t="shared" si="27"/>
        <v>4578379.0612683669</v>
      </c>
      <c r="T118" s="1952">
        <f t="shared" si="27"/>
        <v>5817234.5719645135</v>
      </c>
      <c r="U118" s="1952">
        <f t="shared" ref="U118:W119" si="28">U105*U$5</f>
        <v>5359396.6658376763</v>
      </c>
      <c r="V118" s="1952">
        <f t="shared" si="28"/>
        <v>5817234.5719645135</v>
      </c>
      <c r="W118" s="1952">
        <f t="shared" si="28"/>
        <v>5359396.6658376763</v>
      </c>
      <c r="X118" s="1952">
        <f t="shared" si="27"/>
        <v>700222.67995869135</v>
      </c>
      <c r="Y118" s="1952">
        <f t="shared" si="27"/>
        <v>667904.71011444414</v>
      </c>
      <c r="Z118" s="1952">
        <f t="shared" si="27"/>
        <v>700222.67995869135</v>
      </c>
      <c r="AA118" s="1952">
        <f t="shared" si="27"/>
        <v>667904.71011444414</v>
      </c>
      <c r="AB118" s="1952">
        <f t="shared" si="27"/>
        <v>100185706.51716661</v>
      </c>
    </row>
    <row r="119" spans="1:28" x14ac:dyDescent="0.45">
      <c r="A119" s="1443" t="s">
        <v>76</v>
      </c>
      <c r="B119" s="1947"/>
      <c r="C119" s="1952">
        <f t="shared" ref="C119:AB119" si="29">C106*C$5</f>
        <v>15181.96512783294</v>
      </c>
      <c r="D119" s="1446">
        <f t="shared" si="29"/>
        <v>12774.320153014989</v>
      </c>
      <c r="E119" s="1446">
        <f t="shared" si="29"/>
        <v>16010.072316623829</v>
      </c>
      <c r="F119" s="1446">
        <f t="shared" si="29"/>
        <v>12728.314198082162</v>
      </c>
      <c r="G119" s="1952">
        <f t="shared" si="29"/>
        <v>15181.96512783294</v>
      </c>
      <c r="H119" s="1952">
        <f t="shared" si="29"/>
        <v>12774.320153014989</v>
      </c>
      <c r="I119" s="1952">
        <f t="shared" si="29"/>
        <v>16010.072316623829</v>
      </c>
      <c r="J119" s="1952">
        <f t="shared" si="29"/>
        <v>12728.314198082162</v>
      </c>
      <c r="K119" s="1952">
        <f t="shared" si="29"/>
        <v>53673.614088298273</v>
      </c>
      <c r="L119" s="1952">
        <f t="shared" si="29"/>
        <v>46005.954932827095</v>
      </c>
      <c r="M119" s="1952">
        <f t="shared" si="29"/>
        <v>1043568.4110596279</v>
      </c>
      <c r="N119" s="1952">
        <f t="shared" si="29"/>
        <v>1525864.1719387653</v>
      </c>
      <c r="O119" s="1952">
        <f t="shared" si="29"/>
        <v>1043568.4110596279</v>
      </c>
      <c r="P119" s="1952">
        <f t="shared" si="29"/>
        <v>1525864.1719387653</v>
      </c>
      <c r="Q119" s="1952">
        <f t="shared" si="29"/>
        <v>1303502.0564301009</v>
      </c>
      <c r="R119" s="1952">
        <f t="shared" si="29"/>
        <v>1656214.3775817754</v>
      </c>
      <c r="S119" s="1952">
        <f t="shared" si="29"/>
        <v>1303502.0564301009</v>
      </c>
      <c r="T119" s="1952">
        <f t="shared" si="29"/>
        <v>1656214.3775817754</v>
      </c>
      <c r="U119" s="1952">
        <f t="shared" si="28"/>
        <v>1525864.1719387653</v>
      </c>
      <c r="V119" s="1952">
        <f t="shared" si="28"/>
        <v>1656214.3775817754</v>
      </c>
      <c r="W119" s="1952">
        <f t="shared" si="28"/>
        <v>1525864.1719387653</v>
      </c>
      <c r="X119" s="1952">
        <f t="shared" si="29"/>
        <v>199359.13804225074</v>
      </c>
      <c r="Y119" s="1952">
        <f t="shared" si="29"/>
        <v>190157.9470556853</v>
      </c>
      <c r="Z119" s="1952">
        <f t="shared" si="29"/>
        <v>199359.13804225074</v>
      </c>
      <c r="AA119" s="1952">
        <f t="shared" si="29"/>
        <v>190157.9470556853</v>
      </c>
      <c r="AB119" s="1952">
        <f t="shared" si="29"/>
        <v>28523692.058352798</v>
      </c>
    </row>
    <row r="120" spans="1:28" x14ac:dyDescent="0.45">
      <c r="A120" s="1443" t="s">
        <v>79</v>
      </c>
      <c r="B120" s="1947"/>
      <c r="C120" s="1445">
        <f t="shared" ref="C120:AB120" si="30">SUM(C117:C119)</f>
        <v>427074.17701277725</v>
      </c>
      <c r="D120" s="1445">
        <f t="shared" si="30"/>
        <v>342824.43028156238</v>
      </c>
      <c r="E120" s="1445">
        <f t="shared" si="30"/>
        <v>432067.24137944146</v>
      </c>
      <c r="F120" s="1445">
        <f t="shared" si="30"/>
        <v>353833.91837176884</v>
      </c>
      <c r="G120" s="1445">
        <f t="shared" si="30"/>
        <v>427074.17701277725</v>
      </c>
      <c r="H120" s="1445">
        <f t="shared" si="30"/>
        <v>342824.43028156238</v>
      </c>
      <c r="I120" s="1445">
        <f t="shared" si="30"/>
        <v>432067.24137944146</v>
      </c>
      <c r="J120" s="1445">
        <f t="shared" si="30"/>
        <v>353833.91837176884</v>
      </c>
      <c r="K120" s="1445">
        <f t="shared" si="30"/>
        <v>1262898.2259485112</v>
      </c>
      <c r="L120" s="1445">
        <f t="shared" si="30"/>
        <v>1090871.714444018</v>
      </c>
      <c r="M120" s="1445">
        <f t="shared" si="30"/>
        <v>38412338.158546887</v>
      </c>
      <c r="N120" s="1445">
        <f t="shared" si="30"/>
        <v>56164991.135568194</v>
      </c>
      <c r="O120" s="1445">
        <f t="shared" si="30"/>
        <v>38412338.158546887</v>
      </c>
      <c r="P120" s="1445">
        <f t="shared" si="30"/>
        <v>56164991.135568194</v>
      </c>
      <c r="Q120" s="1445">
        <f t="shared" si="30"/>
        <v>49862925.03951668</v>
      </c>
      <c r="R120" s="1445">
        <f t="shared" si="30"/>
        <v>63355245.932562366</v>
      </c>
      <c r="S120" s="1445">
        <f t="shared" si="30"/>
        <v>49862925.03951668</v>
      </c>
      <c r="T120" s="1445">
        <f t="shared" si="30"/>
        <v>63355245.932562366</v>
      </c>
      <c r="U120" s="1445">
        <f>SUM(U117:U119)</f>
        <v>56164991.135568194</v>
      </c>
      <c r="V120" s="1445">
        <f>SUM(V117:V119)</f>
        <v>63355245.932562366</v>
      </c>
      <c r="W120" s="1445">
        <f>SUM(W117:W119)</f>
        <v>56164991.135568194</v>
      </c>
      <c r="X120" s="1445">
        <f t="shared" si="30"/>
        <v>4182209.6346254349</v>
      </c>
      <c r="Y120" s="1445">
        <f t="shared" si="30"/>
        <v>4138454.6426406419</v>
      </c>
      <c r="Z120" s="1445">
        <f t="shared" si="30"/>
        <v>4182209.6346254349</v>
      </c>
      <c r="AA120" s="1445">
        <f t="shared" si="30"/>
        <v>4138454.6426406419</v>
      </c>
      <c r="AB120" s="1445">
        <f t="shared" si="30"/>
        <v>995714235.32307351</v>
      </c>
    </row>
    <row r="121" spans="1:28" x14ac:dyDescent="0.45">
      <c r="A121" s="1439"/>
      <c r="B121" s="1953"/>
      <c r="C121" s="1953"/>
      <c r="D121" s="1955"/>
      <c r="E121" s="1955"/>
      <c r="F121" s="1955"/>
      <c r="G121" s="1953"/>
      <c r="H121" s="1953"/>
      <c r="I121" s="1953"/>
      <c r="J121" s="1953"/>
      <c r="K121" s="1953"/>
      <c r="L121" s="1953"/>
      <c r="M121" s="1953"/>
      <c r="N121" s="1953"/>
      <c r="O121" s="1953"/>
      <c r="P121" s="1953"/>
      <c r="Q121" s="1953"/>
      <c r="R121" s="1953"/>
      <c r="S121" s="1953"/>
      <c r="T121" s="1953"/>
      <c r="U121" s="1953"/>
      <c r="V121" s="1953"/>
      <c r="W121" s="1954"/>
      <c r="X121" s="1953"/>
      <c r="Y121" s="1953"/>
      <c r="Z121" s="1953"/>
      <c r="AA121" s="1953"/>
      <c r="AB121" s="1953"/>
    </row>
    <row r="122" spans="1:28" ht="42.75" x14ac:dyDescent="0.45">
      <c r="A122" s="1441" t="s">
        <v>87</v>
      </c>
      <c r="B122" s="1953" t="s">
        <v>103</v>
      </c>
      <c r="C122" s="1953"/>
      <c r="D122" s="1955"/>
      <c r="E122" s="1955"/>
      <c r="F122" s="1955"/>
      <c r="G122" s="1953"/>
      <c r="H122" s="1953"/>
      <c r="I122" s="1953"/>
      <c r="J122" s="1953"/>
      <c r="K122" s="1953"/>
      <c r="L122" s="1953"/>
      <c r="M122" s="1953"/>
      <c r="N122" s="1953"/>
      <c r="O122" s="1953"/>
      <c r="P122" s="1953"/>
      <c r="Q122" s="1953"/>
      <c r="R122" s="1953"/>
      <c r="S122" s="1953"/>
      <c r="T122" s="1953"/>
      <c r="U122" s="1953"/>
      <c r="V122" s="1953"/>
      <c r="W122" s="1954"/>
      <c r="X122" s="1953"/>
      <c r="Y122" s="1953"/>
      <c r="Z122" s="1953"/>
      <c r="AA122" s="1953"/>
      <c r="AB122" s="1953"/>
    </row>
    <row r="123" spans="1:28" x14ac:dyDescent="0.45">
      <c r="A123" s="1443" t="s">
        <v>78</v>
      </c>
      <c r="B123" s="1947"/>
      <c r="C123" s="1952">
        <f t="shared" ref="C123:AB123" ca="1" si="31">C111*C$6*(1+C$36)</f>
        <v>0</v>
      </c>
      <c r="D123" s="1952">
        <f t="shared" ca="1" si="31"/>
        <v>578063.65728021075</v>
      </c>
      <c r="E123" s="1952">
        <f t="shared" ca="1" si="31"/>
        <v>0</v>
      </c>
      <c r="F123" s="1952">
        <f t="shared" ca="1" si="31"/>
        <v>624933.68354617374</v>
      </c>
      <c r="G123" s="1952">
        <f t="shared" ca="1" si="31"/>
        <v>0</v>
      </c>
      <c r="H123" s="1952">
        <f t="shared" ca="1" si="31"/>
        <v>578063.65728021075</v>
      </c>
      <c r="I123" s="1952">
        <f t="shared" ca="1" si="31"/>
        <v>0</v>
      </c>
      <c r="J123" s="1952">
        <f t="shared" ca="1" si="31"/>
        <v>578063.65728021075</v>
      </c>
      <c r="K123" s="1952">
        <f t="shared" ca="1" si="31"/>
        <v>0</v>
      </c>
      <c r="L123" s="1952">
        <f t="shared" ca="1" si="31"/>
        <v>1562334.2088654344</v>
      </c>
      <c r="M123" s="1952">
        <f t="shared" ca="1" si="31"/>
        <v>0</v>
      </c>
      <c r="N123" s="1952">
        <f t="shared" ca="1" si="31"/>
        <v>0</v>
      </c>
      <c r="O123" s="1952">
        <f t="shared" ca="1" si="31"/>
        <v>0</v>
      </c>
      <c r="P123" s="1952">
        <f t="shared" ca="1" si="31"/>
        <v>0</v>
      </c>
      <c r="Q123" s="1952">
        <f t="shared" ca="1" si="31"/>
        <v>19084100.966523696</v>
      </c>
      <c r="R123" s="1952">
        <f t="shared" ca="1" si="31"/>
        <v>34351381.739742652</v>
      </c>
      <c r="S123" s="1952">
        <f t="shared" ca="1" si="31"/>
        <v>19084100.966523696</v>
      </c>
      <c r="T123" s="1952">
        <f t="shared" ca="1" si="31"/>
        <v>34351381.739742652</v>
      </c>
      <c r="U123" s="1952">
        <f t="shared" ref="U123:V125" ca="1" si="32">U111*U$6*(1+U$36)</f>
        <v>0</v>
      </c>
      <c r="V123" s="1952">
        <f t="shared" ca="1" si="32"/>
        <v>58047473.773176245</v>
      </c>
      <c r="W123" s="1952">
        <f ca="1">W111*W$6*(1+W$36)</f>
        <v>3816820.1933047394</v>
      </c>
      <c r="X123" s="1952">
        <f t="shared" ca="1" si="31"/>
        <v>0</v>
      </c>
      <c r="Y123" s="1952">
        <f t="shared" ca="1" si="31"/>
        <v>6249336.8354617376</v>
      </c>
      <c r="Z123" s="1952">
        <f t="shared" ca="1" si="31"/>
        <v>0</v>
      </c>
      <c r="AA123" s="1952">
        <f t="shared" ca="1" si="31"/>
        <v>7811671.0443271715</v>
      </c>
      <c r="AB123" s="1952">
        <f t="shared" ca="1" si="31"/>
        <v>0</v>
      </c>
    </row>
    <row r="124" spans="1:28" x14ac:dyDescent="0.45">
      <c r="A124" s="1443" t="s">
        <v>75</v>
      </c>
      <c r="B124" s="1947"/>
      <c r="C124" s="1952">
        <f t="shared" ref="C124:AB124" si="33">C112*C$6*(1+C$36)</f>
        <v>0</v>
      </c>
      <c r="D124" s="1952">
        <f t="shared" si="33"/>
        <v>102521.86053114718</v>
      </c>
      <c r="E124" s="1952">
        <f t="shared" si="33"/>
        <v>0</v>
      </c>
      <c r="F124" s="1952">
        <f t="shared" si="33"/>
        <v>110834.4438174564</v>
      </c>
      <c r="G124" s="1952">
        <f t="shared" si="33"/>
        <v>0</v>
      </c>
      <c r="H124" s="1952">
        <f t="shared" si="33"/>
        <v>102521.86053114718</v>
      </c>
      <c r="I124" s="1952">
        <f t="shared" si="33"/>
        <v>0</v>
      </c>
      <c r="J124" s="1952">
        <f t="shared" si="33"/>
        <v>102521.86053114718</v>
      </c>
      <c r="K124" s="1952">
        <f t="shared" si="33"/>
        <v>0</v>
      </c>
      <c r="L124" s="1952">
        <f t="shared" si="33"/>
        <v>277086.10954364098</v>
      </c>
      <c r="M124" s="1952">
        <f t="shared" si="33"/>
        <v>0</v>
      </c>
      <c r="N124" s="1952">
        <f t="shared" si="33"/>
        <v>0</v>
      </c>
      <c r="O124" s="1952">
        <f t="shared" si="33"/>
        <v>0</v>
      </c>
      <c r="P124" s="1952">
        <f t="shared" si="33"/>
        <v>0</v>
      </c>
      <c r="Q124" s="1952">
        <f t="shared" si="33"/>
        <v>4987549.9717855379</v>
      </c>
      <c r="R124" s="1952">
        <f t="shared" si="33"/>
        <v>8977589.9492139686</v>
      </c>
      <c r="S124" s="1952">
        <f t="shared" si="33"/>
        <v>4987549.9717855379</v>
      </c>
      <c r="T124" s="1952">
        <f t="shared" si="33"/>
        <v>8977589.9492139686</v>
      </c>
      <c r="U124" s="1952">
        <f t="shared" si="32"/>
        <v>0</v>
      </c>
      <c r="V124" s="1952">
        <f t="shared" si="32"/>
        <v>15170464.497514345</v>
      </c>
      <c r="W124" s="1952">
        <f>W112*W$6*(1+W$36)</f>
        <v>997509.99435710767</v>
      </c>
      <c r="X124" s="1952">
        <f t="shared" si="33"/>
        <v>0</v>
      </c>
      <c r="Y124" s="1952">
        <f t="shared" si="33"/>
        <v>1108344.4381745639</v>
      </c>
      <c r="Z124" s="1952">
        <f t="shared" si="33"/>
        <v>0</v>
      </c>
      <c r="AA124" s="1952">
        <f t="shared" si="33"/>
        <v>1385430.547718205</v>
      </c>
      <c r="AB124" s="1952">
        <f t="shared" si="33"/>
        <v>0</v>
      </c>
    </row>
    <row r="125" spans="1:28" x14ac:dyDescent="0.45">
      <c r="A125" s="1443" t="s">
        <v>76</v>
      </c>
      <c r="B125" s="1947"/>
      <c r="C125" s="1952">
        <f t="shared" ref="C125:AB125" si="34">C113*C$6*(1+C$36)</f>
        <v>0</v>
      </c>
      <c r="D125" s="1952">
        <f t="shared" si="34"/>
        <v>7956.733999625405</v>
      </c>
      <c r="E125" s="1952">
        <f t="shared" si="34"/>
        <v>0</v>
      </c>
      <c r="F125" s="1952">
        <f t="shared" si="34"/>
        <v>8601.8745941896268</v>
      </c>
      <c r="G125" s="1952">
        <f t="shared" si="34"/>
        <v>0</v>
      </c>
      <c r="H125" s="1952">
        <f t="shared" si="34"/>
        <v>7956.733999625405</v>
      </c>
      <c r="I125" s="1952">
        <f t="shared" si="34"/>
        <v>0</v>
      </c>
      <c r="J125" s="1952">
        <f t="shared" si="34"/>
        <v>7956.733999625405</v>
      </c>
      <c r="K125" s="1952">
        <f t="shared" si="34"/>
        <v>0</v>
      </c>
      <c r="L125" s="1952">
        <f t="shared" si="34"/>
        <v>21504.686485474067</v>
      </c>
      <c r="M125" s="1952">
        <f t="shared" si="34"/>
        <v>0</v>
      </c>
      <c r="N125" s="1952">
        <f t="shared" si="34"/>
        <v>0</v>
      </c>
      <c r="O125" s="1952">
        <f t="shared" si="34"/>
        <v>0</v>
      </c>
      <c r="P125" s="1952">
        <f t="shared" si="34"/>
        <v>0</v>
      </c>
      <c r="Q125" s="1952">
        <f t="shared" si="34"/>
        <v>476279.32169629721</v>
      </c>
      <c r="R125" s="1952">
        <f t="shared" si="34"/>
        <v>857302.77905333496</v>
      </c>
      <c r="S125" s="1952">
        <f t="shared" si="34"/>
        <v>476279.32169629721</v>
      </c>
      <c r="T125" s="1952">
        <f t="shared" si="34"/>
        <v>857302.77905333496</v>
      </c>
      <c r="U125" s="1952">
        <f t="shared" si="32"/>
        <v>0</v>
      </c>
      <c r="V125" s="1952">
        <f t="shared" si="32"/>
        <v>1448682.9368262372</v>
      </c>
      <c r="W125" s="1952">
        <f>W113*W$6*(1+W$36)</f>
        <v>95255.864339259453</v>
      </c>
      <c r="X125" s="1952">
        <f t="shared" si="34"/>
        <v>0</v>
      </c>
      <c r="Y125" s="1952">
        <f t="shared" si="34"/>
        <v>86018.745941896268</v>
      </c>
      <c r="Z125" s="1952">
        <f t="shared" si="34"/>
        <v>0</v>
      </c>
      <c r="AA125" s="1952">
        <f t="shared" si="34"/>
        <v>107523.43242737034</v>
      </c>
      <c r="AB125" s="1952">
        <f t="shared" si="34"/>
        <v>0</v>
      </c>
    </row>
    <row r="126" spans="1:28" x14ac:dyDescent="0.45">
      <c r="A126" s="1443" t="s">
        <v>79</v>
      </c>
      <c r="B126" s="1947"/>
      <c r="C126" s="1445">
        <f t="shared" ref="C126:AB126" ca="1" si="35">SUM(C123:C125)</f>
        <v>0</v>
      </c>
      <c r="D126" s="1445">
        <f t="shared" ca="1" si="35"/>
        <v>688542.25181098341</v>
      </c>
      <c r="E126" s="1445">
        <f t="shared" ca="1" si="35"/>
        <v>0</v>
      </c>
      <c r="F126" s="1445">
        <f t="shared" ca="1" si="35"/>
        <v>744370.00195781968</v>
      </c>
      <c r="G126" s="1445">
        <f t="shared" ca="1" si="35"/>
        <v>0</v>
      </c>
      <c r="H126" s="1445">
        <f t="shared" ca="1" si="35"/>
        <v>688542.25181098341</v>
      </c>
      <c r="I126" s="1445">
        <f t="shared" ca="1" si="35"/>
        <v>0</v>
      </c>
      <c r="J126" s="1445">
        <f t="shared" ca="1" si="35"/>
        <v>688542.25181098341</v>
      </c>
      <c r="K126" s="1445">
        <f t="shared" ca="1" si="35"/>
        <v>0</v>
      </c>
      <c r="L126" s="1445">
        <f t="shared" ca="1" si="35"/>
        <v>1860925.0048945495</v>
      </c>
      <c r="M126" s="1445">
        <f t="shared" ca="1" si="35"/>
        <v>0</v>
      </c>
      <c r="N126" s="1445">
        <f t="shared" ca="1" si="35"/>
        <v>0</v>
      </c>
      <c r="O126" s="1445">
        <f t="shared" ca="1" si="35"/>
        <v>0</v>
      </c>
      <c r="P126" s="1445">
        <f t="shared" ca="1" si="35"/>
        <v>0</v>
      </c>
      <c r="Q126" s="1445">
        <f t="shared" ca="1" si="35"/>
        <v>24547930.26000553</v>
      </c>
      <c r="R126" s="1445">
        <f t="shared" ca="1" si="35"/>
        <v>44186274.468009956</v>
      </c>
      <c r="S126" s="1445">
        <f t="shared" ca="1" si="35"/>
        <v>24547930.26000553</v>
      </c>
      <c r="T126" s="1445">
        <f t="shared" ca="1" si="35"/>
        <v>44186274.468009956</v>
      </c>
      <c r="U126" s="1445">
        <f ca="1">SUM(U123:U125)</f>
        <v>0</v>
      </c>
      <c r="V126" s="1445">
        <f ca="1">SUM(V123:V125)</f>
        <v>74666621.207516834</v>
      </c>
      <c r="W126" s="1445">
        <f ca="1">SUM(W123:W125)</f>
        <v>4909586.0520011066</v>
      </c>
      <c r="X126" s="1445">
        <f t="shared" ca="1" si="35"/>
        <v>0</v>
      </c>
      <c r="Y126" s="1445">
        <f t="shared" ca="1" si="35"/>
        <v>7443700.019578198</v>
      </c>
      <c r="Z126" s="1445">
        <f t="shared" ca="1" si="35"/>
        <v>0</v>
      </c>
      <c r="AA126" s="1445">
        <f t="shared" ca="1" si="35"/>
        <v>9304625.024472747</v>
      </c>
      <c r="AB126" s="1445">
        <f t="shared" ca="1" si="35"/>
        <v>0</v>
      </c>
    </row>
    <row r="127" spans="1:28" x14ac:dyDescent="0.45">
      <c r="A127" s="1439"/>
      <c r="B127" s="1953"/>
      <c r="C127" s="1953"/>
      <c r="D127" s="1955"/>
      <c r="E127" s="1955"/>
      <c r="F127" s="1955"/>
      <c r="G127" s="1953"/>
      <c r="H127" s="1953"/>
      <c r="I127" s="1953"/>
      <c r="J127" s="1953"/>
      <c r="K127" s="1953"/>
      <c r="L127" s="1953"/>
      <c r="M127" s="1953"/>
      <c r="N127" s="1953"/>
      <c r="O127" s="1953"/>
      <c r="P127" s="1953"/>
      <c r="Q127" s="1953"/>
      <c r="R127" s="1953"/>
      <c r="S127" s="1953"/>
      <c r="T127" s="1953"/>
      <c r="U127" s="1953"/>
      <c r="V127" s="1953"/>
      <c r="W127" s="1954"/>
      <c r="X127" s="1953"/>
      <c r="Y127" s="1953"/>
      <c r="Z127" s="1953"/>
      <c r="AA127" s="1953"/>
      <c r="AB127" s="1953"/>
    </row>
    <row r="128" spans="1:28" ht="57" x14ac:dyDescent="0.45">
      <c r="A128" s="1441" t="s">
        <v>88</v>
      </c>
      <c r="B128" s="1953" t="s">
        <v>103</v>
      </c>
      <c r="C128" s="1953"/>
      <c r="D128" s="1955"/>
      <c r="E128" s="1955"/>
      <c r="F128" s="1955"/>
      <c r="G128" s="1953"/>
      <c r="H128" s="1953"/>
      <c r="I128" s="1953"/>
      <c r="J128" s="1953"/>
      <c r="K128" s="1953"/>
      <c r="L128" s="1953"/>
      <c r="M128" s="1953"/>
      <c r="N128" s="1953"/>
      <c r="O128" s="1953"/>
      <c r="P128" s="1953"/>
      <c r="Q128" s="1953"/>
      <c r="R128" s="1953"/>
      <c r="S128" s="1953"/>
      <c r="T128" s="1953"/>
      <c r="U128" s="1953"/>
      <c r="V128" s="1953"/>
      <c r="W128" s="1954"/>
      <c r="X128" s="1953"/>
      <c r="Y128" s="1953"/>
      <c r="Z128" s="1953"/>
      <c r="AA128" s="1953"/>
      <c r="AB128" s="1953"/>
    </row>
    <row r="129" spans="1:28" x14ac:dyDescent="0.45">
      <c r="A129" s="1443" t="s">
        <v>78</v>
      </c>
      <c r="B129" s="1947"/>
      <c r="C129" s="1952">
        <f t="shared" ref="C129:AB129" ca="1" si="36">C117+C123</f>
        <v>358567.56164193625</v>
      </c>
      <c r="D129" s="1952">
        <f t="shared" ca="1" si="36"/>
        <v>863245.65260832827</v>
      </c>
      <c r="E129" s="1952">
        <f t="shared" ca="1" si="36"/>
        <v>359823.90153382736</v>
      </c>
      <c r="F129" s="1952">
        <f t="shared" ca="1" si="36"/>
        <v>921332.76276865159</v>
      </c>
      <c r="G129" s="1952">
        <f t="shared" ca="1" si="36"/>
        <v>358567.56164193625</v>
      </c>
      <c r="H129" s="1952">
        <f t="shared" ca="1" si="36"/>
        <v>863245.65260832827</v>
      </c>
      <c r="I129" s="1952">
        <f t="shared" ca="1" si="36"/>
        <v>359823.90153382736</v>
      </c>
      <c r="J129" s="1952">
        <f t="shared" ca="1" si="36"/>
        <v>874462.73650268861</v>
      </c>
      <c r="K129" s="1952">
        <f t="shared" ca="1" si="36"/>
        <v>1020703.1211021036</v>
      </c>
      <c r="L129" s="1952">
        <f t="shared" ca="1" si="36"/>
        <v>2445610.1191553888</v>
      </c>
      <c r="M129" s="1952">
        <f t="shared" ca="1" si="36"/>
        <v>33703373.334318884</v>
      </c>
      <c r="N129" s="1952">
        <f t="shared" ca="1" si="36"/>
        <v>49279730.297791757</v>
      </c>
      <c r="O129" s="1952">
        <f t="shared" ca="1" si="36"/>
        <v>33703373.334318884</v>
      </c>
      <c r="P129" s="1952">
        <f t="shared" ca="1" si="36"/>
        <v>49279730.297791757</v>
      </c>
      <c r="Q129" s="1952">
        <f t="shared" ca="1" si="36"/>
        <v>63065144.888341904</v>
      </c>
      <c r="R129" s="1952">
        <f t="shared" ca="1" si="36"/>
        <v>90233178.72275874</v>
      </c>
      <c r="S129" s="1952">
        <f t="shared" ca="1" si="36"/>
        <v>63065144.888341904</v>
      </c>
      <c r="T129" s="1952">
        <f t="shared" ca="1" si="36"/>
        <v>90233178.72275874</v>
      </c>
      <c r="U129" s="1952">
        <f t="shared" ref="U129:V131" ca="1" si="37">U117+U123</f>
        <v>49279730.297791757</v>
      </c>
      <c r="V129" s="1952">
        <f t="shared" ca="1" si="37"/>
        <v>113929270.75619233</v>
      </c>
      <c r="W129" s="1952">
        <f ca="1">W117+W123</f>
        <v>53096550.491096497</v>
      </c>
      <c r="X129" s="1952">
        <f t="shared" ca="1" si="36"/>
        <v>3282627.8166244929</v>
      </c>
      <c r="Y129" s="1952">
        <f t="shared" ca="1" si="36"/>
        <v>9529728.8209322505</v>
      </c>
      <c r="Z129" s="1952">
        <f t="shared" ca="1" si="36"/>
        <v>3282627.8166244929</v>
      </c>
      <c r="AA129" s="1952">
        <f t="shared" ca="1" si="36"/>
        <v>11092063.029797684</v>
      </c>
      <c r="AB129" s="1952">
        <f t="shared" ca="1" si="36"/>
        <v>867004836.74755406</v>
      </c>
    </row>
    <row r="130" spans="1:28" x14ac:dyDescent="0.45">
      <c r="A130" s="1443" t="s">
        <v>75</v>
      </c>
      <c r="B130" s="1947"/>
      <c r="C130" s="1952">
        <f t="shared" ref="C130:AB130" si="38">C118+C124</f>
        <v>53324.650243008036</v>
      </c>
      <c r="D130" s="1952">
        <f t="shared" si="38"/>
        <v>147389.97533157718</v>
      </c>
      <c r="E130" s="1952">
        <f t="shared" si="38"/>
        <v>56233.267528990298</v>
      </c>
      <c r="F130" s="1952">
        <f t="shared" si="38"/>
        <v>155540.96876866516</v>
      </c>
      <c r="G130" s="1952">
        <f t="shared" si="38"/>
        <v>53324.650243008036</v>
      </c>
      <c r="H130" s="1952">
        <f t="shared" si="38"/>
        <v>147389.97533157718</v>
      </c>
      <c r="I130" s="1952">
        <f t="shared" si="38"/>
        <v>56233.267528990298</v>
      </c>
      <c r="J130" s="1952">
        <f t="shared" si="38"/>
        <v>147228.38548235595</v>
      </c>
      <c r="K130" s="1952">
        <f t="shared" si="38"/>
        <v>188521.49075810923</v>
      </c>
      <c r="L130" s="1952">
        <f t="shared" si="38"/>
        <v>438675.95876487746</v>
      </c>
      <c r="M130" s="1952">
        <f t="shared" si="38"/>
        <v>3665396.413168381</v>
      </c>
      <c r="N130" s="1952">
        <f t="shared" si="38"/>
        <v>5359396.6658376763</v>
      </c>
      <c r="O130" s="1952">
        <f t="shared" si="38"/>
        <v>3665396.413168381</v>
      </c>
      <c r="P130" s="1952">
        <f t="shared" si="38"/>
        <v>5359396.6658376763</v>
      </c>
      <c r="Q130" s="1952">
        <f t="shared" si="38"/>
        <v>9565929.0330539048</v>
      </c>
      <c r="R130" s="1952">
        <f t="shared" si="38"/>
        <v>14794824.521178482</v>
      </c>
      <c r="S130" s="1952">
        <f t="shared" si="38"/>
        <v>9565929.0330539048</v>
      </c>
      <c r="T130" s="1952">
        <f t="shared" si="38"/>
        <v>14794824.521178482</v>
      </c>
      <c r="U130" s="1952">
        <f t="shared" si="37"/>
        <v>5359396.6658376763</v>
      </c>
      <c r="V130" s="1952">
        <f t="shared" si="37"/>
        <v>20987699.069478858</v>
      </c>
      <c r="W130" s="1952">
        <f>W118+W124</f>
        <v>6356906.6601947844</v>
      </c>
      <c r="X130" s="1952">
        <f t="shared" si="38"/>
        <v>700222.67995869135</v>
      </c>
      <c r="Y130" s="1952">
        <f t="shared" si="38"/>
        <v>1776249.1482890081</v>
      </c>
      <c r="Z130" s="1952">
        <f t="shared" si="38"/>
        <v>700222.67995869135</v>
      </c>
      <c r="AA130" s="1952">
        <f t="shared" si="38"/>
        <v>2053335.2578326492</v>
      </c>
      <c r="AB130" s="1952">
        <f t="shared" si="38"/>
        <v>100185706.51716661</v>
      </c>
    </row>
    <row r="131" spans="1:28" x14ac:dyDescent="0.45">
      <c r="A131" s="1443" t="s">
        <v>76</v>
      </c>
      <c r="B131" s="1947"/>
      <c r="C131" s="1952">
        <f t="shared" ref="C131:AB131" si="39">C119+C125</f>
        <v>15181.96512783294</v>
      </c>
      <c r="D131" s="1952">
        <f t="shared" si="39"/>
        <v>20731.054152640394</v>
      </c>
      <c r="E131" s="1952">
        <f t="shared" si="39"/>
        <v>16010.072316623829</v>
      </c>
      <c r="F131" s="1952">
        <f t="shared" si="39"/>
        <v>21330.188792271787</v>
      </c>
      <c r="G131" s="1952">
        <f t="shared" si="39"/>
        <v>15181.96512783294</v>
      </c>
      <c r="H131" s="1952">
        <f t="shared" si="39"/>
        <v>20731.054152640394</v>
      </c>
      <c r="I131" s="1952">
        <f t="shared" si="39"/>
        <v>16010.072316623829</v>
      </c>
      <c r="J131" s="1952">
        <f t="shared" si="39"/>
        <v>20685.048197707569</v>
      </c>
      <c r="K131" s="1952">
        <f t="shared" si="39"/>
        <v>53673.614088298273</v>
      </c>
      <c r="L131" s="1952">
        <f t="shared" si="39"/>
        <v>67510.641418301166</v>
      </c>
      <c r="M131" s="1952">
        <f t="shared" si="39"/>
        <v>1043568.4110596279</v>
      </c>
      <c r="N131" s="1952">
        <f t="shared" si="39"/>
        <v>1525864.1719387653</v>
      </c>
      <c r="O131" s="1952">
        <f t="shared" si="39"/>
        <v>1043568.4110596279</v>
      </c>
      <c r="P131" s="1952">
        <f t="shared" si="39"/>
        <v>1525864.1719387653</v>
      </c>
      <c r="Q131" s="1952">
        <f t="shared" si="39"/>
        <v>1779781.3781263982</v>
      </c>
      <c r="R131" s="1952">
        <f t="shared" si="39"/>
        <v>2513517.1566351103</v>
      </c>
      <c r="S131" s="1952">
        <f t="shared" si="39"/>
        <v>1779781.3781263982</v>
      </c>
      <c r="T131" s="1952">
        <f t="shared" si="39"/>
        <v>2513517.1566351103</v>
      </c>
      <c r="U131" s="1952">
        <f t="shared" si="37"/>
        <v>1525864.1719387653</v>
      </c>
      <c r="V131" s="1952">
        <f t="shared" si="37"/>
        <v>3104897.3144080127</v>
      </c>
      <c r="W131" s="1952">
        <f>W119+W125</f>
        <v>1621120.0362780248</v>
      </c>
      <c r="X131" s="1952">
        <f t="shared" si="39"/>
        <v>199359.13804225074</v>
      </c>
      <c r="Y131" s="1952">
        <f t="shared" si="39"/>
        <v>276176.69299758156</v>
      </c>
      <c r="Z131" s="1952">
        <f t="shared" si="39"/>
        <v>199359.13804225074</v>
      </c>
      <c r="AA131" s="1952">
        <f t="shared" si="39"/>
        <v>297681.37948305567</v>
      </c>
      <c r="AB131" s="1952">
        <f t="shared" si="39"/>
        <v>28523692.058352798</v>
      </c>
    </row>
    <row r="132" spans="1:28" x14ac:dyDescent="0.45">
      <c r="A132" s="1443" t="s">
        <v>79</v>
      </c>
      <c r="B132" s="1947"/>
      <c r="C132" s="1445">
        <f t="shared" ref="C132:AB132" ca="1" si="40">SUM(C129:C131)</f>
        <v>427074.17701277725</v>
      </c>
      <c r="D132" s="1445">
        <f t="shared" ca="1" si="40"/>
        <v>1031366.6820925459</v>
      </c>
      <c r="E132" s="1445">
        <f t="shared" ca="1" si="40"/>
        <v>432067.24137944146</v>
      </c>
      <c r="F132" s="1445">
        <f t="shared" ca="1" si="40"/>
        <v>1098203.9203295885</v>
      </c>
      <c r="G132" s="1445">
        <f t="shared" ca="1" si="40"/>
        <v>427074.17701277725</v>
      </c>
      <c r="H132" s="1445">
        <f t="shared" ca="1" si="40"/>
        <v>1031366.6820925459</v>
      </c>
      <c r="I132" s="1445">
        <f t="shared" ca="1" si="40"/>
        <v>432067.24137944146</v>
      </c>
      <c r="J132" s="1445">
        <f t="shared" ca="1" si="40"/>
        <v>1042376.1701827522</v>
      </c>
      <c r="K132" s="1445">
        <f t="shared" ca="1" si="40"/>
        <v>1262898.2259485112</v>
      </c>
      <c r="L132" s="1445">
        <f t="shared" ca="1" si="40"/>
        <v>2951796.7193385675</v>
      </c>
      <c r="M132" s="1445">
        <f t="shared" ca="1" si="40"/>
        <v>38412338.158546887</v>
      </c>
      <c r="N132" s="1445">
        <f t="shared" ca="1" si="40"/>
        <v>56164991.135568194</v>
      </c>
      <c r="O132" s="1445">
        <f t="shared" ca="1" si="40"/>
        <v>38412338.158546887</v>
      </c>
      <c r="P132" s="1445">
        <f t="shared" ca="1" si="40"/>
        <v>56164991.135568194</v>
      </c>
      <c r="Q132" s="1445">
        <f t="shared" ca="1" si="40"/>
        <v>74410855.299522206</v>
      </c>
      <c r="R132" s="1445">
        <f t="shared" ca="1" si="40"/>
        <v>107541520.40057233</v>
      </c>
      <c r="S132" s="1445">
        <f t="shared" ca="1" si="40"/>
        <v>74410855.299522206</v>
      </c>
      <c r="T132" s="1445">
        <f t="shared" ca="1" si="40"/>
        <v>107541520.40057233</v>
      </c>
      <c r="U132" s="1445">
        <f ca="1">SUM(U129:U131)</f>
        <v>56164991.135568194</v>
      </c>
      <c r="V132" s="1445">
        <f ca="1">SUM(V129:V131)</f>
        <v>138021867.1400792</v>
      </c>
      <c r="W132" s="1445">
        <f ca="1">SUM(W129:W131)</f>
        <v>61074577.187569305</v>
      </c>
      <c r="X132" s="1445">
        <f t="shared" ca="1" si="40"/>
        <v>4182209.6346254349</v>
      </c>
      <c r="Y132" s="1445">
        <f t="shared" ca="1" si="40"/>
        <v>11582154.662218841</v>
      </c>
      <c r="Z132" s="1445">
        <f t="shared" ca="1" si="40"/>
        <v>4182209.6346254349</v>
      </c>
      <c r="AA132" s="1445">
        <f t="shared" ca="1" si="40"/>
        <v>13443079.66711339</v>
      </c>
      <c r="AB132" s="1445">
        <f t="shared" ca="1" si="40"/>
        <v>995714235.32307351</v>
      </c>
    </row>
    <row r="133" spans="1:28" x14ac:dyDescent="0.45">
      <c r="A133" s="1439"/>
      <c r="B133" s="1953"/>
      <c r="C133" s="1953"/>
      <c r="D133" s="1955"/>
      <c r="E133" s="1955"/>
      <c r="F133" s="1955"/>
      <c r="G133" s="1953"/>
      <c r="H133" s="1953"/>
      <c r="I133" s="1953"/>
      <c r="J133" s="1953"/>
      <c r="K133" s="1953"/>
      <c r="L133" s="1953"/>
      <c r="M133" s="1953"/>
      <c r="N133" s="1953"/>
      <c r="O133" s="1953"/>
      <c r="P133" s="1953"/>
      <c r="Q133" s="1953"/>
      <c r="R133" s="1953"/>
      <c r="S133" s="1953"/>
      <c r="T133" s="1953"/>
      <c r="U133" s="1953"/>
      <c r="V133" s="1953"/>
      <c r="W133" s="1954"/>
      <c r="X133" s="1953"/>
      <c r="Y133" s="1953"/>
      <c r="Z133" s="1953"/>
      <c r="AA133" s="1953"/>
      <c r="AB133" s="1953"/>
    </row>
    <row r="134" spans="1:28" x14ac:dyDescent="0.45">
      <c r="A134" s="1441" t="s">
        <v>89</v>
      </c>
      <c r="B134" s="1953"/>
      <c r="C134" s="1953"/>
      <c r="D134" s="1955"/>
      <c r="E134" s="1955"/>
      <c r="F134" s="1955"/>
      <c r="G134" s="1953"/>
      <c r="H134" s="1953"/>
      <c r="I134" s="1953"/>
      <c r="J134" s="1953"/>
      <c r="K134" s="1953"/>
      <c r="L134" s="1953"/>
      <c r="M134" s="1953"/>
      <c r="N134" s="1953"/>
      <c r="O134" s="1953"/>
      <c r="P134" s="1953"/>
      <c r="Q134" s="1953"/>
      <c r="R134" s="1953"/>
      <c r="S134" s="1953"/>
      <c r="T134" s="1953"/>
      <c r="U134" s="1953"/>
      <c r="V134" s="1953"/>
      <c r="W134" s="1954"/>
      <c r="X134" s="1953"/>
      <c r="Y134" s="1953"/>
      <c r="Z134" s="1953"/>
      <c r="AA134" s="1953"/>
      <c r="AB134" s="1953"/>
    </row>
    <row r="135" spans="1:28" x14ac:dyDescent="0.45">
      <c r="A135" s="1443" t="s">
        <v>90</v>
      </c>
      <c r="B135" s="1947"/>
      <c r="C135" s="1947" t="str">
        <f>'Base inputs'!C4</f>
        <v>ICE</v>
      </c>
      <c r="D135" s="1947" t="str">
        <f>'Base inputs'!D4</f>
        <v>BEV</v>
      </c>
      <c r="E135" s="1947" t="str">
        <f>'Base inputs'!E4</f>
        <v>ICE</v>
      </c>
      <c r="F135" s="1947" t="str">
        <f>'Base inputs'!F4</f>
        <v>BEV</v>
      </c>
      <c r="G135" s="1947" t="str">
        <f>'Base inputs'!G4</f>
        <v>ICE</v>
      </c>
      <c r="H135" s="1947" t="str">
        <f>'Base inputs'!H4</f>
        <v>BEV</v>
      </c>
      <c r="I135" s="1947" t="str">
        <f>'Base inputs'!I4</f>
        <v>ICE</v>
      </c>
      <c r="J135" s="1947" t="str">
        <f>'Base inputs'!J4</f>
        <v>BEV</v>
      </c>
      <c r="K135" s="1947" t="str">
        <f>'Base inputs'!K4</f>
        <v>ICE</v>
      </c>
      <c r="L135" s="1947" t="str">
        <f>'Base inputs'!L4</f>
        <v>BEV</v>
      </c>
      <c r="M135" s="1947" t="str">
        <f>'Base inputs'!M4</f>
        <v>ICE</v>
      </c>
      <c r="N135" s="1947" t="str">
        <f>'Base inputs'!N4</f>
        <v>ICE</v>
      </c>
      <c r="O135" s="1947" t="str">
        <f>'Base inputs'!O4</f>
        <v>ICE</v>
      </c>
      <c r="P135" s="1947" t="str">
        <f>'Base inputs'!P4</f>
        <v>ICE</v>
      </c>
      <c r="Q135" s="1947" t="str">
        <f>'Base inputs'!Q4</f>
        <v>BEV</v>
      </c>
      <c r="R135" s="1947" t="str">
        <f>'Base inputs'!R4</f>
        <v>BEV</v>
      </c>
      <c r="S135" s="1947" t="str">
        <f>'Base inputs'!S4</f>
        <v>BEV</v>
      </c>
      <c r="T135" s="1947" t="str">
        <f>'Base inputs'!T4</f>
        <v>BEV</v>
      </c>
      <c r="U135" s="1947" t="str">
        <f>'Base inputs'!U4</f>
        <v>ICE</v>
      </c>
      <c r="V135" s="1947" t="str">
        <f>'Base inputs'!V4</f>
        <v>BEV</v>
      </c>
      <c r="W135" s="1947" t="str">
        <f>'Base inputs'!W4</f>
        <v>FCEV</v>
      </c>
      <c r="X135" s="1947" t="str">
        <f>'Base inputs'!X4</f>
        <v>ICE</v>
      </c>
      <c r="Y135" s="1947" t="str">
        <f>'Base inputs'!Y4</f>
        <v>BEV</v>
      </c>
      <c r="Z135" s="1947" t="str">
        <f>'Base inputs'!Z4</f>
        <v>ICE</v>
      </c>
      <c r="AA135" s="1947" t="str">
        <f>'Base inputs'!AA4</f>
        <v>BEV</v>
      </c>
      <c r="AB135" s="1947" t="str">
        <f>'Base inputs'!AB4</f>
        <v>BEV</v>
      </c>
    </row>
    <row r="136" spans="1:28" x14ac:dyDescent="0.45">
      <c r="A136" s="1442" t="s">
        <v>91</v>
      </c>
      <c r="B136" s="2019" t="s">
        <v>104</v>
      </c>
      <c r="C136" s="2036">
        <f>HLOOKUP(C135,MFG_inputs!$D$81:$G$89,ROW(MFG_inputs!$B$88)-ROW(MFG_inputs!$B$81)+1,FALSE)</f>
        <v>4.6978087374752823E-8</v>
      </c>
      <c r="D136" s="2036">
        <f>HLOOKUP(D135,MFG_inputs!$D$81:$G$89,ROW(MFG_inputs!$B$88)-ROW(MFG_inputs!$B$81)+1,FALSE)</f>
        <v>1.0600383175615857E-8</v>
      </c>
      <c r="E136" s="2036">
        <f>HLOOKUP(E135,MFG_inputs!$D$81:$G$89,ROW(MFG_inputs!$B$88)-ROW(MFG_inputs!$B$81)+1,FALSE)</f>
        <v>4.6978087374752823E-8</v>
      </c>
      <c r="F136" s="2036">
        <f>HLOOKUP(F135,MFG_inputs!$D$81:$G$89,ROW(MFG_inputs!$B$88)-ROW(MFG_inputs!$B$81)+1,FALSE)</f>
        <v>1.0600383175615857E-8</v>
      </c>
      <c r="G136" s="2036">
        <f>HLOOKUP(G135,MFG_inputs!$D$81:$G$89,ROW(MFG_inputs!$B$88)-ROW(MFG_inputs!$B$81)+1,FALSE)</f>
        <v>4.6978087374752823E-8</v>
      </c>
      <c r="H136" s="2036">
        <f>HLOOKUP(H135,MFG_inputs!$D$81:$G$89,ROW(MFG_inputs!$B$88)-ROW(MFG_inputs!$B$81)+1,FALSE)</f>
        <v>1.0600383175615857E-8</v>
      </c>
      <c r="I136" s="2036">
        <f>HLOOKUP(I135,MFG_inputs!$D$81:$G$89,ROW(MFG_inputs!$B$88)-ROW(MFG_inputs!$B$81)+1,FALSE)</f>
        <v>4.6978087374752823E-8</v>
      </c>
      <c r="J136" s="2036">
        <f>HLOOKUP(J135,MFG_inputs!$D$81:$G$89,ROW(MFG_inputs!$B$88)-ROW(MFG_inputs!$B$81)+1,FALSE)</f>
        <v>1.0600383175615857E-8</v>
      </c>
      <c r="K136" s="2036">
        <f>HLOOKUP(K135,MFG_inputs!$D$81:$G$89,ROW(MFG_inputs!$B$88)-ROW(MFG_inputs!$B$81)+1,FALSE)</f>
        <v>4.6978087374752823E-8</v>
      </c>
      <c r="L136" s="2036">
        <f>HLOOKUP(L135,MFG_inputs!$D$81:$G$89,ROW(MFG_inputs!$B$88)-ROW(MFG_inputs!$B$81)+1,FALSE)</f>
        <v>1.0600383175615857E-8</v>
      </c>
      <c r="M136" s="2036">
        <f>HLOOKUP(M135,MFG_inputs!$D$81:$G$89,ROW(MFG_inputs!$B$88)-ROW(MFG_inputs!$B$81)+1,FALSE)</f>
        <v>4.6978087374752823E-8</v>
      </c>
      <c r="N136" s="2036">
        <f>HLOOKUP(N135,MFG_inputs!$D$81:$G$89,ROW(MFG_inputs!$B$88)-ROW(MFG_inputs!$B$81)+1,FALSE)</f>
        <v>4.6978087374752823E-8</v>
      </c>
      <c r="O136" s="2036">
        <f>HLOOKUP(O135,MFG_inputs!$D$81:$G$89,ROW(MFG_inputs!$B$88)-ROW(MFG_inputs!$B$81)+1,FALSE)</f>
        <v>4.6978087374752823E-8</v>
      </c>
      <c r="P136" s="2036">
        <f>HLOOKUP(P135,MFG_inputs!$D$81:$G$89,ROW(MFG_inputs!$B$88)-ROW(MFG_inputs!$B$81)+1,FALSE)</f>
        <v>4.6978087374752823E-8</v>
      </c>
      <c r="Q136" s="2036">
        <f>HLOOKUP(Q135,MFG_inputs!$D$81:$G$89,ROW(MFG_inputs!$B$88)-ROW(MFG_inputs!$B$81)+1,FALSE)</f>
        <v>1.0600383175615857E-8</v>
      </c>
      <c r="R136" s="2036">
        <f>HLOOKUP(R135,MFG_inputs!$D$81:$G$89,ROW(MFG_inputs!$B$88)-ROW(MFG_inputs!$B$81)+1,FALSE)</f>
        <v>1.0600383175615857E-8</v>
      </c>
      <c r="S136" s="2036">
        <f>HLOOKUP(S135,MFG_inputs!$D$81:$G$89,ROW(MFG_inputs!$B$88)-ROW(MFG_inputs!$B$81)+1,FALSE)</f>
        <v>1.0600383175615857E-8</v>
      </c>
      <c r="T136" s="2036">
        <f>HLOOKUP(T135,MFG_inputs!$D$81:$G$89,ROW(MFG_inputs!$B$88)-ROW(MFG_inputs!$B$81)+1,FALSE)</f>
        <v>1.0600383175615857E-8</v>
      </c>
      <c r="U136" s="2036">
        <f>HLOOKUP(U135,MFG_inputs!$D$81:$G$89,ROW(MFG_inputs!$B$88)-ROW(MFG_inputs!$B$81)+1,FALSE)</f>
        <v>4.6978087374752823E-8</v>
      </c>
      <c r="V136" s="2036">
        <f>HLOOKUP(V135,MFG_inputs!$D$81:$G$89,ROW(MFG_inputs!$B$88)-ROW(MFG_inputs!$B$81)+1,FALSE)</f>
        <v>1.0600383175615857E-8</v>
      </c>
      <c r="W136" s="2036">
        <f>HLOOKUP(W135,MFG_inputs!$D$81:$G$89,ROW(MFG_inputs!$B$88)-ROW(MFG_inputs!$B$81)+1,FALSE)</f>
        <v>9.0953298569628092E-9</v>
      </c>
      <c r="X136" s="2036">
        <f>HLOOKUP(X135,MFG_inputs!$D$81:$G$89,ROW(MFG_inputs!$B$88)-ROW(MFG_inputs!$B$81)+1,FALSE)</f>
        <v>4.6978087374752823E-8</v>
      </c>
      <c r="Y136" s="2036">
        <f>HLOOKUP(Y135,MFG_inputs!$D$81:$G$89,ROW(MFG_inputs!$B$88)-ROW(MFG_inputs!$B$81)+1,FALSE)</f>
        <v>1.0600383175615857E-8</v>
      </c>
      <c r="Z136" s="2036">
        <f>HLOOKUP(Z135,MFG_inputs!$D$81:$G$89,ROW(MFG_inputs!$B$88)-ROW(MFG_inputs!$B$81)+1,FALSE)</f>
        <v>4.6978087374752823E-8</v>
      </c>
      <c r="AA136" s="2036">
        <f>HLOOKUP(AA135,MFG_inputs!$D$81:$G$89,ROW(MFG_inputs!$B$88)-ROW(MFG_inputs!$B$81)+1,FALSE)</f>
        <v>1.0600383175615857E-8</v>
      </c>
      <c r="AB136" s="2059">
        <f>HLOOKUP(AB135,MFG_inputs!$D$81:$G$89,ROW(MFG_inputs!$B$88)-ROW(MFG_inputs!$B$81)+1,FALSE)</f>
        <v>1.0600383175615857E-8</v>
      </c>
    </row>
    <row r="137" spans="1:28" x14ac:dyDescent="0.45">
      <c r="A137" s="1443" t="s">
        <v>92</v>
      </c>
      <c r="B137" s="1947" t="s">
        <v>100</v>
      </c>
      <c r="C137" s="2060">
        <f>C136*C5*'Base variables computation'!C8</f>
        <v>0.30230399225653443</v>
      </c>
      <c r="D137" s="2060">
        <f>D136*D5*'Base variables computation'!D8</f>
        <v>5.7395774704372057E-2</v>
      </c>
      <c r="E137" s="2060">
        <f>E136*E5*'Base variables computation'!E8</f>
        <v>0.31879330092507269</v>
      </c>
      <c r="F137" s="2060">
        <f>F136*F5*'Base variables computation'!F8</f>
        <v>5.718906723244755E-2</v>
      </c>
      <c r="G137" s="2060">
        <f>G136*G5*'Base variables computation'!G8</f>
        <v>0.50228971021085722</v>
      </c>
      <c r="H137" s="2060">
        <f>H136*H5*'Base variables computation'!H8</f>
        <v>9.5365287201110496E-2</v>
      </c>
      <c r="I137" s="2060">
        <f>I136*I5*'Base variables computation'!I8</f>
        <v>0.52968733076781316</v>
      </c>
      <c r="J137" s="2060">
        <f>J136*J5*'Base variables computation'!J8</f>
        <v>9.5021834786220546E-2</v>
      </c>
      <c r="K137" s="2060">
        <f>K136*K5*'Base variables computation'!K8</f>
        <v>4.603852562725776</v>
      </c>
      <c r="L137" s="2060">
        <f>L136*L5*'Base variables computation'!L8</f>
        <v>0.89043218675173208</v>
      </c>
      <c r="M137" s="2060">
        <f>M136*M5*'Base variables computation'!M8</f>
        <v>230.17383690133894</v>
      </c>
      <c r="N137" s="2060">
        <f>N136*N5*'Base variables computation'!N8</f>
        <v>392.64285427818407</v>
      </c>
      <c r="O137" s="2060">
        <f>O136*O5*'Base variables computation'!O8</f>
        <v>230.17383690133894</v>
      </c>
      <c r="P137" s="2060">
        <f>P136*P5*'Base variables computation'!P8</f>
        <v>392.64285427818407</v>
      </c>
      <c r="Q137" s="2060">
        <f>Q136*Q5*'Base variables computation'!Q8</f>
        <v>64.87434503476905</v>
      </c>
      <c r="R137" s="2060">
        <f>R136*R5*'Base variables computation'!R8</f>
        <v>96.166676169187056</v>
      </c>
      <c r="S137" s="2060">
        <f>S136*S5*'Base variables computation'!S8</f>
        <v>64.87434503476905</v>
      </c>
      <c r="T137" s="2060">
        <f>T136*T5*'Base variables computation'!T8</f>
        <v>96.166676169187056</v>
      </c>
      <c r="U137" s="2060">
        <f>U136*U5*'Base variables computation'!U8</f>
        <v>687.12499498682223</v>
      </c>
      <c r="V137" s="2060">
        <f>V136*V5*'Base variables computation'!V8</f>
        <v>168.29168329607734</v>
      </c>
      <c r="W137" s="2060">
        <f>W136*W5*'Base variables computation'!W8</f>
        <v>133.03284215286652</v>
      </c>
      <c r="X137" s="2060">
        <f>X136*X5*'Base variables computation'!X8</f>
        <v>11.084479716072929</v>
      </c>
      <c r="Y137" s="2060">
        <f>Y136*Y5*'Base variables computation'!Y8</f>
        <v>2.3857222375041052</v>
      </c>
      <c r="Z137" s="2060">
        <f>Z136*Z5*'Base variables computation'!Z8</f>
        <v>29.314326521845761</v>
      </c>
      <c r="AA137" s="2060">
        <f>AA136*AA5*'Base variables computation'!AA8</f>
        <v>6.3093480661265584</v>
      </c>
      <c r="AB137" s="2060">
        <f>AB136*AB5*'Base variables computation'!AB8</f>
        <v>14132.939668123488</v>
      </c>
    </row>
    <row r="138" spans="1:28" ht="28.5" x14ac:dyDescent="0.45">
      <c r="A138" s="1442" t="s">
        <v>93</v>
      </c>
      <c r="B138" s="2019" t="s">
        <v>105</v>
      </c>
      <c r="C138" s="2036">
        <f>HLOOKUP(C135,MFG_inputs!$D$81:$G$89,ROW(MFG_inputs!$B$89)-ROW(MFG_inputs!$B$81)+1,FALSE)</f>
        <v>3.0617229900029861E-3</v>
      </c>
      <c r="D138" s="2036">
        <f>HLOOKUP(D135,MFG_inputs!$D$81:$G$89,ROW(MFG_inputs!$B$89)-ROW(MFG_inputs!$B$81)+1,FALSE)</f>
        <v>8.0372269832572438E-4</v>
      </c>
      <c r="E138" s="2036">
        <f>HLOOKUP(E135,MFG_inputs!$D$81:$G$89,ROW(MFG_inputs!$B$89)-ROW(MFG_inputs!$B$81)+1,FALSE)</f>
        <v>3.0617229900029861E-3</v>
      </c>
      <c r="F138" s="2036">
        <f>HLOOKUP(F135,MFG_inputs!$D$81:$G$89,ROW(MFG_inputs!$B$89)-ROW(MFG_inputs!$B$81)+1,FALSE)</f>
        <v>8.0372269832572438E-4</v>
      </c>
      <c r="G138" s="2036">
        <f>HLOOKUP(G135,MFG_inputs!$D$81:$G$89,ROW(MFG_inputs!$B$89)-ROW(MFG_inputs!$B$81)+1,FALSE)</f>
        <v>3.0617229900029861E-3</v>
      </c>
      <c r="H138" s="2036">
        <f>HLOOKUP(H135,MFG_inputs!$D$81:$G$89,ROW(MFG_inputs!$B$89)-ROW(MFG_inputs!$B$81)+1,FALSE)</f>
        <v>8.0372269832572438E-4</v>
      </c>
      <c r="I138" s="2036">
        <f>HLOOKUP(I135,MFG_inputs!$D$81:$G$89,ROW(MFG_inputs!$B$89)-ROW(MFG_inputs!$B$81)+1,FALSE)</f>
        <v>3.0617229900029861E-3</v>
      </c>
      <c r="J138" s="2036">
        <f>HLOOKUP(J135,MFG_inputs!$D$81:$G$89,ROW(MFG_inputs!$B$89)-ROW(MFG_inputs!$B$81)+1,FALSE)</f>
        <v>8.0372269832572438E-4</v>
      </c>
      <c r="K138" s="2036">
        <f>HLOOKUP(K135,MFG_inputs!$D$81:$G$89,ROW(MFG_inputs!$B$89)-ROW(MFG_inputs!$B$81)+1,FALSE)</f>
        <v>3.0617229900029861E-3</v>
      </c>
      <c r="L138" s="2036">
        <f>HLOOKUP(L135,MFG_inputs!$D$81:$G$89,ROW(MFG_inputs!$B$89)-ROW(MFG_inputs!$B$81)+1,FALSE)</f>
        <v>8.0372269832572438E-4</v>
      </c>
      <c r="M138" s="2036">
        <f>HLOOKUP(M135,MFG_inputs!$D$81:$G$89,ROW(MFG_inputs!$B$89)-ROW(MFG_inputs!$B$81)+1,FALSE)</f>
        <v>3.0617229900029861E-3</v>
      </c>
      <c r="N138" s="2036">
        <f>HLOOKUP(N135,MFG_inputs!$D$81:$G$89,ROW(MFG_inputs!$B$89)-ROW(MFG_inputs!$B$81)+1,FALSE)</f>
        <v>3.0617229900029861E-3</v>
      </c>
      <c r="O138" s="2036">
        <f>HLOOKUP(O135,MFG_inputs!$D$81:$G$89,ROW(MFG_inputs!$B$89)-ROW(MFG_inputs!$B$81)+1,FALSE)</f>
        <v>3.0617229900029861E-3</v>
      </c>
      <c r="P138" s="2036">
        <f>HLOOKUP(P135,MFG_inputs!$D$81:$G$89,ROW(MFG_inputs!$B$89)-ROW(MFG_inputs!$B$81)+1,FALSE)</f>
        <v>3.0617229900029861E-3</v>
      </c>
      <c r="Q138" s="2036">
        <f>HLOOKUP(Q135,MFG_inputs!$D$81:$G$89,ROW(MFG_inputs!$B$89)-ROW(MFG_inputs!$B$81)+1,FALSE)</f>
        <v>8.0372269832572438E-4</v>
      </c>
      <c r="R138" s="2036">
        <f>HLOOKUP(R135,MFG_inputs!$D$81:$G$89,ROW(MFG_inputs!$B$89)-ROW(MFG_inputs!$B$81)+1,FALSE)</f>
        <v>8.0372269832572438E-4</v>
      </c>
      <c r="S138" s="2036">
        <f>HLOOKUP(S135,MFG_inputs!$D$81:$G$89,ROW(MFG_inputs!$B$89)-ROW(MFG_inputs!$B$81)+1,FALSE)</f>
        <v>8.0372269832572438E-4</v>
      </c>
      <c r="T138" s="2036">
        <f>HLOOKUP(T135,MFG_inputs!$D$81:$G$89,ROW(MFG_inputs!$B$89)-ROW(MFG_inputs!$B$81)+1,FALSE)</f>
        <v>8.0372269832572438E-4</v>
      </c>
      <c r="U138" s="2036">
        <f>HLOOKUP(U135,MFG_inputs!$D$81:$G$89,ROW(MFG_inputs!$B$89)-ROW(MFG_inputs!$B$81)+1,FALSE)</f>
        <v>3.0617229900029861E-3</v>
      </c>
      <c r="V138" s="2036">
        <f>HLOOKUP(V135,MFG_inputs!$D$81:$G$89,ROW(MFG_inputs!$B$89)-ROW(MFG_inputs!$B$81)+1,FALSE)</f>
        <v>8.0372269832572438E-4</v>
      </c>
      <c r="W138" s="2036">
        <f>HLOOKUP(W135,MFG_inputs!$D$81:$G$89,ROW(MFG_inputs!$B$89)-ROW(MFG_inputs!$B$81)+1,FALSE)</f>
        <v>6.896093220116992E-4</v>
      </c>
      <c r="X138" s="2036">
        <f>HLOOKUP(X135,MFG_inputs!$D$81:$G$89,ROW(MFG_inputs!$B$89)-ROW(MFG_inputs!$B$81)+1,FALSE)</f>
        <v>3.0617229900029861E-3</v>
      </c>
      <c r="Y138" s="2036">
        <f>HLOOKUP(Y135,MFG_inputs!$D$81:$G$89,ROW(MFG_inputs!$B$89)-ROW(MFG_inputs!$B$81)+1,FALSE)</f>
        <v>8.0372269832572438E-4</v>
      </c>
      <c r="Z138" s="2036">
        <f>HLOOKUP(Z135,MFG_inputs!$D$81:$G$89,ROW(MFG_inputs!$B$89)-ROW(MFG_inputs!$B$81)+1,FALSE)</f>
        <v>3.0617229900029861E-3</v>
      </c>
      <c r="AA138" s="2036">
        <f>HLOOKUP(AA135,MFG_inputs!$D$81:$G$89,ROW(MFG_inputs!$B$89)-ROW(MFG_inputs!$B$81)+1,FALSE)</f>
        <v>8.0372269832572438E-4</v>
      </c>
      <c r="AB138" s="2036">
        <f>HLOOKUP(AB135,MFG_inputs!$D$81:$G$89,ROW(MFG_inputs!$B$89)-ROW(MFG_inputs!$B$81)+1,FALSE)</f>
        <v>8.0372269832572438E-4</v>
      </c>
    </row>
    <row r="139" spans="1:28" x14ac:dyDescent="0.45">
      <c r="A139" s="1443" t="s">
        <v>94</v>
      </c>
      <c r="B139" s="1947" t="s">
        <v>103</v>
      </c>
      <c r="C139" s="1952">
        <f>C138*C5*'Base variables computation'!C8</f>
        <v>19702.187440669215</v>
      </c>
      <c r="D139" s="1952">
        <f>D138*D5*'Base variables computation'!D8</f>
        <v>4351.7565500846349</v>
      </c>
      <c r="E139" s="1952">
        <f>E138*E5*'Base variables computation'!E8</f>
        <v>20776.852210160265</v>
      </c>
      <c r="F139" s="1952">
        <f>F138*F5*'Base variables computation'!F8</f>
        <v>4336.0839574672827</v>
      </c>
      <c r="G139" s="1952">
        <f>G138*G5*'Base variables computation'!G8</f>
        <v>32735.942209111927</v>
      </c>
      <c r="H139" s="1952">
        <f>H138*H5*'Base variables computation'!H8</f>
        <v>7230.6108832175469</v>
      </c>
      <c r="I139" s="1952">
        <f>I138*I5*'Base variables computation'!I8</f>
        <v>34521.539056881673</v>
      </c>
      <c r="J139" s="1952">
        <f>J138*J5*'Base variables computation'!J8</f>
        <v>7204.5702677917934</v>
      </c>
      <c r="K139" s="1952">
        <f>K138*K5*'Base variables computation'!K8</f>
        <v>300048.85302029265</v>
      </c>
      <c r="L139" s="1952">
        <f>L138*L5*'Base variables computation'!L8</f>
        <v>67512.706659360847</v>
      </c>
      <c r="M139" s="1952">
        <f>M138*M5*'Base variables computation'!M8</f>
        <v>15001217.961818632</v>
      </c>
      <c r="N139" s="1952">
        <f>N138*N5*'Base variables computation'!N8</f>
        <v>25589880.750444956</v>
      </c>
      <c r="O139" s="1952">
        <f>O138*O5*'Base variables computation'!O8</f>
        <v>15001217.961818632</v>
      </c>
      <c r="P139" s="1952">
        <f>P138*P5*'Base variables computation'!P8</f>
        <v>25589880.750444956</v>
      </c>
      <c r="Q139" s="1952">
        <f>Q138*Q5*'Base variables computation'!Q8</f>
        <v>4918782.9137534332</v>
      </c>
      <c r="R139" s="1952">
        <f>R138*R5*'Base variables computation'!R8</f>
        <v>7291372.3192109726</v>
      </c>
      <c r="S139" s="1952">
        <f>S138*S5*'Base variables computation'!S8</f>
        <v>4918782.9137534332</v>
      </c>
      <c r="T139" s="1952">
        <f>T138*T5*'Base variables computation'!T8</f>
        <v>7291372.3192109726</v>
      </c>
      <c r="U139" s="1952">
        <f>U138*U5*'Base variables computation'!U8</f>
        <v>44782291.313278675</v>
      </c>
      <c r="V139" s="1952">
        <f>V138*V5*'Base variables computation'!V8</f>
        <v>12759901.558619201</v>
      </c>
      <c r="W139" s="1952">
        <f>W138*W5*'Base variables computation'!W8</f>
        <v>10086570.748404117</v>
      </c>
      <c r="X139" s="1952">
        <f>X138*X5*'Base variables computation'!X8</f>
        <v>722413.53949120454</v>
      </c>
      <c r="Y139" s="1952">
        <f>Y138*Y5*'Base variables computation'!Y8</f>
        <v>180885.83048518753</v>
      </c>
      <c r="Z139" s="1952">
        <f>Z138*Z5*'Base variables computation'!Z8</f>
        <v>1910515.1457618633</v>
      </c>
      <c r="AA139" s="1952">
        <f>AA138*AA5*'Base variables computation'!AA8</f>
        <v>478375.75004347117</v>
      </c>
      <c r="AB139" s="1952">
        <f>AB138*AB5*'Base variables computation'!AB8</f>
        <v>1071561680.0973754</v>
      </c>
    </row>
    <row r="140" spans="1:28" x14ac:dyDescent="0.45">
      <c r="A140" s="1439"/>
      <c r="B140" s="1953"/>
      <c r="C140" s="1953"/>
      <c r="D140" s="1955"/>
      <c r="E140" s="1955"/>
      <c r="F140" s="1955"/>
      <c r="G140" s="1953"/>
      <c r="H140" s="1953"/>
      <c r="I140" s="1953"/>
      <c r="J140" s="1953"/>
      <c r="K140" s="1953"/>
      <c r="L140" s="1953"/>
      <c r="M140" s="1953"/>
      <c r="N140" s="1953"/>
      <c r="O140" s="1953"/>
      <c r="P140" s="1953"/>
      <c r="Q140" s="1953"/>
      <c r="R140" s="1953"/>
      <c r="S140" s="1953"/>
      <c r="T140" s="1953"/>
      <c r="U140" s="1953"/>
      <c r="V140" s="1953"/>
      <c r="W140" s="1954"/>
      <c r="X140" s="1953"/>
      <c r="Y140" s="1953"/>
      <c r="Z140" s="1953"/>
      <c r="AA140" s="1953"/>
      <c r="AB140" s="1953"/>
    </row>
    <row r="141" spans="1:28" x14ac:dyDescent="0.45">
      <c r="A141" s="1439"/>
      <c r="B141" s="1953"/>
      <c r="C141" s="1953"/>
      <c r="D141" s="1955"/>
      <c r="E141" s="1955"/>
      <c r="F141" s="1955"/>
      <c r="G141" s="1953"/>
      <c r="H141" s="1953"/>
      <c r="I141" s="1953"/>
      <c r="J141" s="1953"/>
      <c r="K141" s="1953"/>
      <c r="L141" s="1953"/>
      <c r="M141" s="1953"/>
      <c r="N141" s="1953"/>
      <c r="O141" s="1953"/>
      <c r="P141" s="1953"/>
      <c r="Q141" s="1953"/>
      <c r="R141" s="1953"/>
      <c r="S141" s="1953"/>
      <c r="T141" s="1953"/>
      <c r="U141" s="1953"/>
      <c r="V141" s="1953"/>
      <c r="W141" s="1954"/>
      <c r="X141" s="1953"/>
      <c r="Y141" s="1953"/>
      <c r="Z141" s="1953"/>
      <c r="AA141" s="1953"/>
      <c r="AB141" s="1953"/>
    </row>
    <row r="142" spans="1:28" ht="57" x14ac:dyDescent="0.45">
      <c r="A142" s="1443" t="s">
        <v>95</v>
      </c>
      <c r="B142" s="1947" t="s">
        <v>100</v>
      </c>
      <c r="C142" s="1952">
        <f t="shared" ref="C142:AB142" ca="1" si="41">C137+C84</f>
        <v>5969.5785430060532</v>
      </c>
      <c r="D142" s="1952">
        <f t="shared" ca="1" si="41"/>
        <v>14205.470549931375</v>
      </c>
      <c r="E142" s="1952">
        <f t="shared" ca="1" si="41"/>
        <v>5934.063275024113</v>
      </c>
      <c r="F142" s="1952">
        <f t="shared" ca="1" si="41"/>
        <v>14965.905398831574</v>
      </c>
      <c r="G142" s="1952">
        <f t="shared" ca="1" si="41"/>
        <v>5969.7785287240076</v>
      </c>
      <c r="H142" s="1952">
        <f t="shared" ca="1" si="41"/>
        <v>14205.508519443873</v>
      </c>
      <c r="I142" s="1952">
        <f t="shared" ca="1" si="41"/>
        <v>5934.274169053956</v>
      </c>
      <c r="J142" s="1952">
        <f t="shared" ca="1" si="41"/>
        <v>14202.577806016874</v>
      </c>
      <c r="K142" s="1952">
        <f t="shared" ca="1" si="41"/>
        <v>17541.055296282058</v>
      </c>
      <c r="L142" s="1952">
        <f t="shared" ca="1" si="41"/>
        <v>40405.209558908675</v>
      </c>
      <c r="M142" s="1952">
        <f t="shared" ca="1" si="41"/>
        <v>471366.73622657673</v>
      </c>
      <c r="N142" s="1952">
        <f t="shared" ca="1" si="41"/>
        <v>689269.76199862373</v>
      </c>
      <c r="O142" s="1952">
        <f t="shared" ca="1" si="41"/>
        <v>471366.73622657673</v>
      </c>
      <c r="P142" s="1952">
        <f t="shared" ca="1" si="41"/>
        <v>689269.76199862373</v>
      </c>
      <c r="Q142" s="1952">
        <f t="shared" ca="1" si="41"/>
        <v>934441.33162305085</v>
      </c>
      <c r="R142" s="1952">
        <f t="shared" ca="1" si="41"/>
        <v>1361029.7231460821</v>
      </c>
      <c r="S142" s="1952">
        <f t="shared" ca="1" si="41"/>
        <v>934441.33162305085</v>
      </c>
      <c r="T142" s="1952">
        <f t="shared" ca="1" si="41"/>
        <v>1361029.7231460821</v>
      </c>
      <c r="U142" s="1952">
        <f ca="1">U137+U84</f>
        <v>689564.24413933232</v>
      </c>
      <c r="V142" s="1952">
        <f ca="1">V137+V84</f>
        <v>1768553.2448520267</v>
      </c>
      <c r="W142" s="1952">
        <f ca="1">W137+W84</f>
        <v>754639.90715946222</v>
      </c>
      <c r="X142" s="1952">
        <f t="shared" ca="1" si="41"/>
        <v>58397.722607428681</v>
      </c>
      <c r="Y142" s="1952">
        <f t="shared" ca="1" si="41"/>
        <v>157430.47042415041</v>
      </c>
      <c r="Z142" s="1952">
        <f t="shared" ca="1" si="41"/>
        <v>58415.952454234452</v>
      </c>
      <c r="AA142" s="1952">
        <f t="shared" ca="1" si="41"/>
        <v>182879.90823605418</v>
      </c>
      <c r="AB142" s="1952">
        <f t="shared" ca="1" si="41"/>
        <v>12370577.355971687</v>
      </c>
    </row>
    <row r="143" spans="1:28" x14ac:dyDescent="0.45">
      <c r="A143" s="1439"/>
      <c r="B143" s="1953"/>
      <c r="C143" s="1953"/>
      <c r="D143" s="1955"/>
      <c r="E143" s="1955"/>
      <c r="F143" s="1955"/>
      <c r="G143" s="1955"/>
      <c r="H143" s="1955"/>
      <c r="I143" s="1955"/>
      <c r="J143" s="1955"/>
      <c r="K143" s="1953"/>
      <c r="L143" s="1953"/>
      <c r="M143" s="1953"/>
      <c r="N143" s="1953"/>
      <c r="O143" s="1953"/>
      <c r="P143" s="1953"/>
      <c r="Q143" s="1953"/>
      <c r="R143" s="1953"/>
      <c r="S143" s="1953"/>
      <c r="T143" s="1953"/>
      <c r="U143" s="1953"/>
      <c r="V143" s="1953"/>
      <c r="W143" s="1953"/>
      <c r="X143" s="1953"/>
      <c r="Y143" s="1953"/>
      <c r="Z143" s="1953"/>
      <c r="AA143" s="1953"/>
      <c r="AB143" s="1953"/>
    </row>
    <row r="144" spans="1:28" ht="57" x14ac:dyDescent="0.45">
      <c r="A144" s="1443" t="s">
        <v>96</v>
      </c>
      <c r="B144" s="1947" t="s">
        <v>103</v>
      </c>
      <c r="C144" s="1952">
        <f t="shared" ref="C144:AB144" ca="1" si="42">C132+C139</f>
        <v>446776.36445344647</v>
      </c>
      <c r="D144" s="1952">
        <f t="shared" ca="1" si="42"/>
        <v>1035718.4386426306</v>
      </c>
      <c r="E144" s="1952">
        <f t="shared" ca="1" si="42"/>
        <v>452844.09358960175</v>
      </c>
      <c r="F144" s="1952">
        <f t="shared" ca="1" si="42"/>
        <v>1102540.0042870557</v>
      </c>
      <c r="G144" s="1952">
        <f t="shared" ca="1" si="42"/>
        <v>459810.11922188918</v>
      </c>
      <c r="H144" s="1952">
        <f t="shared" ca="1" si="42"/>
        <v>1038597.2929757634</v>
      </c>
      <c r="I144" s="1952">
        <f t="shared" ca="1" si="42"/>
        <v>466588.78043632314</v>
      </c>
      <c r="J144" s="1952">
        <f t="shared" ca="1" si="42"/>
        <v>1049580.740450544</v>
      </c>
      <c r="K144" s="1952">
        <f t="shared" ca="1" si="42"/>
        <v>1562947.0789688039</v>
      </c>
      <c r="L144" s="1952">
        <f t="shared" ca="1" si="42"/>
        <v>3019309.4259979283</v>
      </c>
      <c r="M144" s="1952">
        <f t="shared" ca="1" si="42"/>
        <v>53413556.120365515</v>
      </c>
      <c r="N144" s="1952">
        <f t="shared" ca="1" si="42"/>
        <v>81754871.88601315</v>
      </c>
      <c r="O144" s="1952">
        <f t="shared" ca="1" si="42"/>
        <v>53413556.120365515</v>
      </c>
      <c r="P144" s="1952">
        <f t="shared" ca="1" si="42"/>
        <v>81754871.88601315</v>
      </c>
      <c r="Q144" s="1952">
        <f t="shared" ca="1" si="42"/>
        <v>79329638.213275641</v>
      </c>
      <c r="R144" s="1952">
        <f t="shared" ca="1" si="42"/>
        <v>114832892.71978331</v>
      </c>
      <c r="S144" s="1952">
        <f t="shared" ca="1" si="42"/>
        <v>79329638.213275641</v>
      </c>
      <c r="T144" s="1952">
        <f t="shared" ca="1" si="42"/>
        <v>114832892.71978331</v>
      </c>
      <c r="U144" s="1952">
        <f ca="1">U132+U139</f>
        <v>100947282.44884688</v>
      </c>
      <c r="V144" s="1952">
        <f ca="1">V132+V139</f>
        <v>150781768.6986984</v>
      </c>
      <c r="W144" s="1952">
        <f ca="1">W132+W139</f>
        <v>71161147.935973421</v>
      </c>
      <c r="X144" s="1952">
        <f t="shared" ca="1" si="42"/>
        <v>4904623.1741166394</v>
      </c>
      <c r="Y144" s="1952">
        <f t="shared" ca="1" si="42"/>
        <v>11763040.492704028</v>
      </c>
      <c r="Z144" s="1952">
        <f t="shared" ca="1" si="42"/>
        <v>6092724.7803872982</v>
      </c>
      <c r="AA144" s="1952">
        <f t="shared" ca="1" si="42"/>
        <v>13921455.41715686</v>
      </c>
      <c r="AB144" s="1952">
        <f t="shared" ca="1" si="42"/>
        <v>2067275915.4204488</v>
      </c>
    </row>
  </sheetData>
  <mergeCells count="1">
    <mergeCell ref="A1:AB1"/>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L155"/>
  <sheetViews>
    <sheetView showGridLines="0" topLeftCell="A60" zoomScale="70" zoomScaleNormal="70" workbookViewId="0">
      <selection activeCell="G1" sqref="G1"/>
    </sheetView>
  </sheetViews>
  <sheetFormatPr defaultColWidth="9.1328125" defaultRowHeight="14.25" x14ac:dyDescent="0.45"/>
  <cols>
    <col min="1" max="1" width="1.796875" style="39" customWidth="1"/>
    <col min="2" max="2" width="24.86328125" style="39" customWidth="1"/>
    <col min="3" max="3" width="14.46484375" style="39" customWidth="1"/>
    <col min="4" max="4" width="18.46484375" style="39" customWidth="1"/>
    <col min="5" max="5" width="14.1328125" style="39" customWidth="1"/>
    <col min="6" max="6" width="19.86328125" style="39" bestFit="1" customWidth="1"/>
    <col min="7" max="7" width="13.46484375" style="39" customWidth="1"/>
    <col min="8" max="8" width="14" style="39" customWidth="1"/>
    <col min="9" max="9" width="11.796875" style="39" customWidth="1"/>
    <col min="10" max="10" width="11.46484375" style="39" customWidth="1"/>
    <col min="11" max="11" width="12.796875" style="39" customWidth="1"/>
    <col min="12" max="12" width="10.796875" style="39" customWidth="1"/>
    <col min="13" max="17" width="9.1328125" style="39"/>
    <col min="18" max="18" width="12.1328125" style="39" bestFit="1" customWidth="1"/>
    <col min="19" max="19" width="14.46484375" style="39" bestFit="1" customWidth="1"/>
    <col min="20" max="21" width="9.1328125" style="39"/>
    <col min="22" max="22" width="1.796875" customWidth="1"/>
    <col min="23" max="23" width="24.86328125" customWidth="1"/>
    <col min="24" max="24" width="14.46484375" customWidth="1"/>
    <col min="25" max="25" width="18.46484375" customWidth="1"/>
    <col min="26" max="26" width="14.1328125" customWidth="1"/>
    <col min="27" max="27" width="19.86328125" bestFit="1" customWidth="1"/>
    <col min="28" max="28" width="13.46484375" customWidth="1"/>
    <col min="29" max="29" width="14" customWidth="1"/>
    <col min="30" max="30" width="11.796875" customWidth="1"/>
    <col min="31" max="31" width="11.46484375" customWidth="1"/>
    <col min="32" max="32" width="12.796875" customWidth="1"/>
    <col min="33" max="33" width="10.796875" customWidth="1"/>
    <col min="65" max="16384" width="9.1328125" style="39"/>
  </cols>
  <sheetData>
    <row r="1" spans="1:7" ht="15.4" x14ac:dyDescent="0.45">
      <c r="A1" s="140" t="s">
        <v>1861</v>
      </c>
      <c r="G1" s="230" t="s">
        <v>1626</v>
      </c>
    </row>
    <row r="2" spans="1:7" x14ac:dyDescent="0.45">
      <c r="A2" s="72" t="s">
        <v>1860</v>
      </c>
    </row>
    <row r="3" spans="1:7" x14ac:dyDescent="0.45">
      <c r="B3" s="380">
        <v>1</v>
      </c>
      <c r="C3" s="39" t="s">
        <v>1859</v>
      </c>
    </row>
    <row r="4" spans="1:7" x14ac:dyDescent="0.45">
      <c r="C4" s="39" t="s">
        <v>1858</v>
      </c>
    </row>
    <row r="5" spans="1:7" x14ac:dyDescent="0.45">
      <c r="C5" s="39" t="s">
        <v>1857</v>
      </c>
    </row>
    <row r="7" spans="1:7" x14ac:dyDescent="0.45">
      <c r="B7" s="39" t="s">
        <v>1856</v>
      </c>
    </row>
    <row r="8" spans="1:7" x14ac:dyDescent="0.45">
      <c r="B8" s="74">
        <v>1</v>
      </c>
      <c r="C8" s="39" t="s">
        <v>1855</v>
      </c>
    </row>
    <row r="9" spans="1:7" x14ac:dyDescent="0.45">
      <c r="C9" s="39" t="s">
        <v>1412</v>
      </c>
    </row>
    <row r="10" spans="1:7" x14ac:dyDescent="0.45">
      <c r="B10" s="39" t="s">
        <v>1854</v>
      </c>
    </row>
    <row r="11" spans="1:7" x14ac:dyDescent="0.45">
      <c r="B11" s="74">
        <v>1</v>
      </c>
      <c r="C11" s="379" t="s">
        <v>1853</v>
      </c>
    </row>
    <row r="13" spans="1:7" x14ac:dyDescent="0.45">
      <c r="B13" s="39" t="s">
        <v>1852</v>
      </c>
    </row>
    <row r="14" spans="1:7" x14ac:dyDescent="0.45">
      <c r="B14" s="74">
        <v>1</v>
      </c>
      <c r="C14" s="39" t="s">
        <v>1851</v>
      </c>
    </row>
    <row r="16" spans="1:7" x14ac:dyDescent="0.45">
      <c r="A16" s="72" t="s">
        <v>1850</v>
      </c>
    </row>
    <row r="17" spans="1:12" ht="39" x14ac:dyDescent="0.45">
      <c r="C17" s="87" t="s">
        <v>1481</v>
      </c>
      <c r="D17" s="103" t="s">
        <v>1480</v>
      </c>
      <c r="E17" s="103" t="s">
        <v>1479</v>
      </c>
      <c r="F17" s="103" t="s">
        <v>1478</v>
      </c>
      <c r="G17" s="103" t="s">
        <v>1477</v>
      </c>
      <c r="H17" s="103" t="s">
        <v>1476</v>
      </c>
      <c r="I17" s="103" t="s">
        <v>1475</v>
      </c>
      <c r="J17" s="103" t="s">
        <v>1474</v>
      </c>
      <c r="K17" s="103" t="s">
        <v>1473</v>
      </c>
      <c r="L17" s="86" t="s">
        <v>1472</v>
      </c>
    </row>
    <row r="18" spans="1:12" x14ac:dyDescent="0.45">
      <c r="C18" s="45">
        <v>3183.4712800000002</v>
      </c>
      <c r="D18" s="44">
        <v>2692.4687400000003</v>
      </c>
      <c r="E18" s="44">
        <v>3429.0623842499999</v>
      </c>
      <c r="F18" s="44">
        <v>2838.7506116</v>
      </c>
      <c r="G18" s="44">
        <v>3755.9311881404592</v>
      </c>
      <c r="H18" s="44">
        <v>3040.8240169871879</v>
      </c>
      <c r="I18" s="44">
        <v>3323.9268636545398</v>
      </c>
      <c r="J18" s="44">
        <v>2699.6322482577566</v>
      </c>
      <c r="K18" s="44">
        <v>3643.971348</v>
      </c>
      <c r="L18" s="43">
        <v>2930.3226395000002</v>
      </c>
    </row>
    <row r="20" spans="1:12" x14ac:dyDescent="0.45">
      <c r="A20" s="72" t="s">
        <v>1849</v>
      </c>
    </row>
    <row r="21" spans="1:12" x14ac:dyDescent="0.45">
      <c r="A21" s="41" t="s">
        <v>1848</v>
      </c>
    </row>
    <row r="22" spans="1:12" ht="39" x14ac:dyDescent="0.45">
      <c r="B22" s="91"/>
      <c r="C22" s="103" t="s">
        <v>1481</v>
      </c>
      <c r="D22" s="103" t="s">
        <v>1480</v>
      </c>
      <c r="E22" s="103" t="s">
        <v>1479</v>
      </c>
      <c r="F22" s="103" t="s">
        <v>1478</v>
      </c>
      <c r="G22" s="103" t="s">
        <v>1477</v>
      </c>
      <c r="H22" s="103" t="s">
        <v>1476</v>
      </c>
      <c r="I22" s="103" t="s">
        <v>1475</v>
      </c>
      <c r="J22" s="103" t="s">
        <v>1474</v>
      </c>
      <c r="K22" s="103" t="s">
        <v>1473</v>
      </c>
      <c r="L22" s="86" t="s">
        <v>1472</v>
      </c>
    </row>
    <row r="23" spans="1:12" x14ac:dyDescent="0.45">
      <c r="B23" s="110" t="s">
        <v>1471</v>
      </c>
      <c r="C23" s="207">
        <v>36</v>
      </c>
      <c r="D23" s="207">
        <v>23.400000000000002</v>
      </c>
      <c r="E23" s="207">
        <v>22.1</v>
      </c>
      <c r="F23" s="207">
        <v>14.365000000000002</v>
      </c>
      <c r="G23" s="207">
        <v>22.1</v>
      </c>
      <c r="H23" s="207">
        <v>14.365000000000002</v>
      </c>
      <c r="I23" s="207">
        <v>22.1</v>
      </c>
      <c r="J23" s="207">
        <v>14.365000000000002</v>
      </c>
      <c r="K23" s="207">
        <v>22.1</v>
      </c>
      <c r="L23" s="206">
        <v>14.365000000000002</v>
      </c>
    </row>
    <row r="24" spans="1:12" x14ac:dyDescent="0.45">
      <c r="B24" s="110" t="s">
        <v>1465</v>
      </c>
      <c r="C24" s="207"/>
      <c r="D24" s="207"/>
      <c r="E24" s="207">
        <v>89.063084250000017</v>
      </c>
      <c r="F24" s="207">
        <v>75.278271600000011</v>
      </c>
      <c r="G24" s="207">
        <v>635.31488941132079</v>
      </c>
      <c r="H24" s="207">
        <v>495.82055065471695</v>
      </c>
      <c r="I24" s="207">
        <v>912.86001882352946</v>
      </c>
      <c r="J24" s="207">
        <v>735.48752724923088</v>
      </c>
      <c r="K24" s="207">
        <v>105.55624800000001</v>
      </c>
      <c r="L24" s="206">
        <v>94.097839500000006</v>
      </c>
    </row>
    <row r="25" spans="1:12" x14ac:dyDescent="0.45">
      <c r="B25" s="108" t="s">
        <v>1456</v>
      </c>
      <c r="C25" s="205"/>
      <c r="D25" s="205"/>
      <c r="E25" s="205">
        <v>35.712010967304302</v>
      </c>
      <c r="F25" s="205">
        <v>30.184654883865775</v>
      </c>
      <c r="G25" s="205">
        <v>239.56228814045909</v>
      </c>
      <c r="H25" s="205">
        <v>186.96225698718817</v>
      </c>
      <c r="I25" s="205">
        <v>416.03308365454018</v>
      </c>
      <c r="J25" s="205">
        <v>335.19612825775687</v>
      </c>
      <c r="K25" s="205">
        <v>42.325346331619905</v>
      </c>
      <c r="L25" s="204">
        <v>37.730818604832216</v>
      </c>
    </row>
    <row r="27" spans="1:12" x14ac:dyDescent="0.45">
      <c r="A27" s="41" t="s">
        <v>1847</v>
      </c>
    </row>
    <row r="28" spans="1:12" ht="26.25" x14ac:dyDescent="0.45">
      <c r="A28" s="99"/>
      <c r="B28" s="91"/>
      <c r="C28" s="103" t="s">
        <v>1799</v>
      </c>
      <c r="D28" s="103" t="s">
        <v>1798</v>
      </c>
      <c r="E28" s="103" t="s">
        <v>1797</v>
      </c>
      <c r="F28" s="103" t="s">
        <v>1796</v>
      </c>
      <c r="G28" s="103" t="s">
        <v>1795</v>
      </c>
      <c r="H28" s="103" t="s">
        <v>1794</v>
      </c>
      <c r="I28" s="86" t="s">
        <v>1793</v>
      </c>
    </row>
    <row r="29" spans="1:12" x14ac:dyDescent="0.45">
      <c r="A29" s="99"/>
      <c r="B29" s="110" t="s">
        <v>1481</v>
      </c>
      <c r="C29" s="207">
        <v>8.5</v>
      </c>
      <c r="D29" s="207">
        <v>0</v>
      </c>
      <c r="E29" s="207">
        <v>2</v>
      </c>
      <c r="F29" s="207">
        <v>24.039656900000001</v>
      </c>
      <c r="G29" s="207">
        <v>23</v>
      </c>
      <c r="H29" s="207">
        <v>6</v>
      </c>
      <c r="I29" s="206">
        <v>30</v>
      </c>
    </row>
    <row r="30" spans="1:12" x14ac:dyDescent="0.45">
      <c r="A30" s="99"/>
      <c r="B30" s="110" t="s">
        <v>1846</v>
      </c>
      <c r="C30" s="207">
        <v>8.5</v>
      </c>
      <c r="D30" s="207">
        <v>0</v>
      </c>
      <c r="E30" s="207">
        <v>2</v>
      </c>
      <c r="F30" s="207">
        <v>24.039656900000001</v>
      </c>
      <c r="G30" s="207">
        <v>23</v>
      </c>
      <c r="H30" s="207">
        <v>6</v>
      </c>
      <c r="I30" s="206">
        <v>30</v>
      </c>
    </row>
    <row r="31" spans="1:12" x14ac:dyDescent="0.45">
      <c r="A31" s="99"/>
      <c r="B31" s="110" t="s">
        <v>1845</v>
      </c>
      <c r="C31" s="207">
        <v>8.5</v>
      </c>
      <c r="D31" s="207">
        <v>0</v>
      </c>
      <c r="E31" s="207">
        <v>2</v>
      </c>
      <c r="F31" s="207">
        <v>1.8492043499999999</v>
      </c>
      <c r="G31" s="207">
        <v>23</v>
      </c>
      <c r="H31" s="207">
        <v>6</v>
      </c>
      <c r="I31" s="206">
        <v>30</v>
      </c>
    </row>
    <row r="32" spans="1:12" x14ac:dyDescent="0.45">
      <c r="A32" s="99"/>
      <c r="B32" s="110" t="s">
        <v>294</v>
      </c>
      <c r="C32" s="207">
        <v>8.5</v>
      </c>
      <c r="D32" s="207">
        <v>0</v>
      </c>
      <c r="E32" s="207">
        <v>2</v>
      </c>
      <c r="F32" s="207">
        <v>1.8492043499999999</v>
      </c>
      <c r="G32" s="207">
        <v>23</v>
      </c>
      <c r="H32" s="207">
        <v>6</v>
      </c>
      <c r="I32" s="206">
        <v>30</v>
      </c>
    </row>
    <row r="33" spans="1:12" x14ac:dyDescent="0.45">
      <c r="A33" s="99"/>
      <c r="B33" s="110" t="s">
        <v>1453</v>
      </c>
      <c r="C33" s="207">
        <v>0</v>
      </c>
      <c r="D33" s="207">
        <v>0</v>
      </c>
      <c r="E33" s="207">
        <v>2</v>
      </c>
      <c r="F33" s="207">
        <v>1.8492043499999999</v>
      </c>
      <c r="G33" s="207">
        <v>15.770998518800001</v>
      </c>
      <c r="H33" s="207">
        <v>6</v>
      </c>
      <c r="I33" s="206">
        <v>30</v>
      </c>
    </row>
    <row r="34" spans="1:12" x14ac:dyDescent="0.45">
      <c r="A34" s="99"/>
      <c r="B34" s="108" t="s">
        <v>1844</v>
      </c>
      <c r="C34" s="205">
        <v>0</v>
      </c>
      <c r="D34" s="205">
        <v>0</v>
      </c>
      <c r="E34" s="205">
        <v>2</v>
      </c>
      <c r="F34" s="205">
        <v>1.8492043499999999</v>
      </c>
      <c r="G34" s="205">
        <v>15.770998518800001</v>
      </c>
      <c r="H34" s="205">
        <v>6</v>
      </c>
      <c r="I34" s="204">
        <v>30</v>
      </c>
    </row>
    <row r="36" spans="1:12" x14ac:dyDescent="0.45">
      <c r="A36" s="72" t="s">
        <v>1843</v>
      </c>
    </row>
    <row r="37" spans="1:12" x14ac:dyDescent="0.45">
      <c r="A37" s="41" t="s">
        <v>1842</v>
      </c>
    </row>
    <row r="38" spans="1:12" ht="39" x14ac:dyDescent="0.45">
      <c r="C38" s="87" t="s">
        <v>1481</v>
      </c>
      <c r="D38" s="103" t="s">
        <v>1480</v>
      </c>
      <c r="E38" s="103" t="s">
        <v>1479</v>
      </c>
      <c r="F38" s="103" t="s">
        <v>1478</v>
      </c>
      <c r="G38" s="103" t="s">
        <v>1477</v>
      </c>
      <c r="H38" s="103" t="s">
        <v>1476</v>
      </c>
      <c r="I38" s="103" t="s">
        <v>1475</v>
      </c>
      <c r="J38" s="103" t="s">
        <v>1474</v>
      </c>
      <c r="K38" s="103" t="s">
        <v>1473</v>
      </c>
      <c r="L38" s="86" t="s">
        <v>1472</v>
      </c>
    </row>
    <row r="39" spans="1:12" x14ac:dyDescent="0.45">
      <c r="C39" s="45">
        <v>3053.9316231000003</v>
      </c>
      <c r="D39" s="44">
        <v>2575.5290831000002</v>
      </c>
      <c r="E39" s="44">
        <v>3246.55009565</v>
      </c>
      <c r="F39" s="44">
        <v>2677.75813565</v>
      </c>
      <c r="G39" s="44">
        <v>3422.91969565</v>
      </c>
      <c r="H39" s="44">
        <v>2768.1475556499995</v>
      </c>
      <c r="I39" s="44">
        <v>2830.1735771311996</v>
      </c>
      <c r="J39" s="44">
        <v>2294.4509171311997</v>
      </c>
      <c r="K39" s="44">
        <v>3460.6948971311999</v>
      </c>
      <c r="L39" s="43">
        <v>2766.2395971312003</v>
      </c>
    </row>
    <row r="41" spans="1:12" x14ac:dyDescent="0.45">
      <c r="A41" s="41" t="s">
        <v>1841</v>
      </c>
    </row>
    <row r="42" spans="1:12" x14ac:dyDescent="0.45">
      <c r="B42" s="378">
        <v>102</v>
      </c>
      <c r="C42" s="39" t="s">
        <v>1840</v>
      </c>
    </row>
    <row r="43" spans="1:12" x14ac:dyDescent="0.45">
      <c r="B43" s="377">
        <v>66</v>
      </c>
      <c r="C43" s="39" t="s">
        <v>1839</v>
      </c>
    </row>
    <row r="45" spans="1:12" x14ac:dyDescent="0.45">
      <c r="A45" s="41" t="s">
        <v>1838</v>
      </c>
    </row>
    <row r="46" spans="1:12" x14ac:dyDescent="0.45">
      <c r="B46" s="376">
        <v>2.81</v>
      </c>
      <c r="C46" s="39" t="s">
        <v>1837</v>
      </c>
    </row>
    <row r="48" spans="1:12" x14ac:dyDescent="0.45">
      <c r="A48" s="41" t="s">
        <v>1836</v>
      </c>
    </row>
    <row r="49" spans="1:12" x14ac:dyDescent="0.45">
      <c r="B49" s="375">
        <v>286.62</v>
      </c>
      <c r="C49" s="217" t="s">
        <v>1835</v>
      </c>
    </row>
    <row r="50" spans="1:12" x14ac:dyDescent="0.45">
      <c r="B50" s="374">
        <v>300</v>
      </c>
      <c r="C50" s="217" t="s">
        <v>1834</v>
      </c>
    </row>
    <row r="51" spans="1:12" x14ac:dyDescent="0.45">
      <c r="B51" s="374">
        <v>185.46</v>
      </c>
      <c r="C51" s="217" t="s">
        <v>1833</v>
      </c>
    </row>
    <row r="52" spans="1:12" x14ac:dyDescent="0.45">
      <c r="B52" s="373">
        <v>196</v>
      </c>
      <c r="C52" s="217" t="s">
        <v>1832</v>
      </c>
    </row>
    <row r="54" spans="1:12" x14ac:dyDescent="0.45">
      <c r="A54" s="41" t="s">
        <v>1831</v>
      </c>
    </row>
    <row r="55" spans="1:12" ht="39" x14ac:dyDescent="0.45">
      <c r="B55" s="91"/>
      <c r="C55" s="103" t="s">
        <v>1481</v>
      </c>
      <c r="D55" s="103" t="s">
        <v>1480</v>
      </c>
      <c r="E55" s="103" t="s">
        <v>1479</v>
      </c>
      <c r="F55" s="103" t="s">
        <v>1478</v>
      </c>
      <c r="G55" s="103" t="s">
        <v>1477</v>
      </c>
      <c r="H55" s="103" t="s">
        <v>1476</v>
      </c>
      <c r="I55" s="103" t="s">
        <v>1475</v>
      </c>
      <c r="J55" s="103" t="s">
        <v>1474</v>
      </c>
      <c r="K55" s="103" t="s">
        <v>1473</v>
      </c>
      <c r="L55" s="86" t="s">
        <v>1472</v>
      </c>
    </row>
    <row r="56" spans="1:12" x14ac:dyDescent="0.45">
      <c r="B56" s="110" t="s">
        <v>1830</v>
      </c>
      <c r="C56" s="132">
        <v>0.24702521828888613</v>
      </c>
      <c r="D56" s="132">
        <v>0.28616405246234844</v>
      </c>
      <c r="E56" s="132">
        <v>0.22517709702642263</v>
      </c>
      <c r="F56" s="132">
        <v>0.2564410164565305</v>
      </c>
      <c r="G56" s="132">
        <v>0.23877089133008633</v>
      </c>
      <c r="H56" s="132">
        <v>0.26576316150674006</v>
      </c>
      <c r="I56" s="132">
        <v>4.7935222516142462E-2</v>
      </c>
      <c r="J56" s="132">
        <v>6.7881497432028093E-2</v>
      </c>
      <c r="K56" s="132">
        <v>8.2821516637481787E-2</v>
      </c>
      <c r="L56" s="136">
        <v>6.7044084031020329E-2</v>
      </c>
    </row>
    <row r="57" spans="1:12" x14ac:dyDescent="0.45">
      <c r="B57" s="110" t="s">
        <v>1829</v>
      </c>
      <c r="C57" s="132">
        <v>5.2533124305426546E-2</v>
      </c>
      <c r="D57" s="132">
        <v>6.1658062956724484E-2</v>
      </c>
      <c r="E57" s="132">
        <v>4.9834695103615718E-2</v>
      </c>
      <c r="F57" s="132">
        <v>5.9976770379984799E-2</v>
      </c>
      <c r="G57" s="132">
        <v>4.7319340535011481E-2</v>
      </c>
      <c r="H57" s="132">
        <v>5.8072722538048682E-2</v>
      </c>
      <c r="I57" s="132">
        <v>5.7296713696569135E-2</v>
      </c>
      <c r="J57" s="132">
        <v>7.0127267292019763E-2</v>
      </c>
      <c r="K57" s="132">
        <v>2.8134729281300164E-2</v>
      </c>
      <c r="L57" s="136">
        <v>3.2245216594726137E-2</v>
      </c>
    </row>
    <row r="58" spans="1:12" x14ac:dyDescent="0.45">
      <c r="B58" s="110" t="s">
        <v>1503</v>
      </c>
      <c r="C58" s="132">
        <v>0.23899999999999999</v>
      </c>
      <c r="D58" s="132">
        <v>0.23</v>
      </c>
      <c r="E58" s="132">
        <v>0.245</v>
      </c>
      <c r="F58" s="132">
        <v>0.245</v>
      </c>
      <c r="G58" s="132">
        <v>0.249</v>
      </c>
      <c r="H58" s="132">
        <v>0.25600000000000001</v>
      </c>
      <c r="I58" s="132">
        <v>0.28899999999999998</v>
      </c>
      <c r="J58" s="132">
        <v>0.312</v>
      </c>
      <c r="K58" s="132">
        <v>0.24996624861462841</v>
      </c>
      <c r="L58" s="136">
        <v>0.2729327261767891</v>
      </c>
    </row>
    <row r="59" spans="1:12" x14ac:dyDescent="0.45">
      <c r="B59" s="110" t="s">
        <v>1501</v>
      </c>
      <c r="C59" s="132">
        <v>0</v>
      </c>
      <c r="D59" s="132">
        <v>0</v>
      </c>
      <c r="E59" s="132">
        <v>2.1262803244209372E-2</v>
      </c>
      <c r="F59" s="132">
        <v>1.5593960298796047E-2</v>
      </c>
      <c r="G59" s="132">
        <v>3.2492613834041215E-2</v>
      </c>
      <c r="H59" s="132">
        <v>2.2454786048045489E-2</v>
      </c>
      <c r="I59" s="132">
        <v>7.1811881166366651E-2</v>
      </c>
      <c r="J59" s="132">
        <v>5.4231753372495271E-2</v>
      </c>
      <c r="K59" s="132">
        <v>4.2202093921950248E-2</v>
      </c>
      <c r="L59" s="136">
        <v>4.4912980256939974E-2</v>
      </c>
    </row>
    <row r="60" spans="1:12" x14ac:dyDescent="0.45">
      <c r="B60" s="110" t="s">
        <v>1500</v>
      </c>
      <c r="C60" s="132">
        <v>0</v>
      </c>
      <c r="D60" s="132">
        <v>0</v>
      </c>
      <c r="E60" s="132">
        <v>2.1262803244209372E-2</v>
      </c>
      <c r="F60" s="132">
        <v>1.5593960298796047E-2</v>
      </c>
      <c r="G60" s="132">
        <v>3.2492613834041215E-2</v>
      </c>
      <c r="H60" s="132">
        <v>2.2454786048045489E-2</v>
      </c>
      <c r="I60" s="132">
        <v>0</v>
      </c>
      <c r="J60" s="132">
        <v>0</v>
      </c>
      <c r="K60" s="132">
        <v>0</v>
      </c>
      <c r="L60" s="136">
        <v>0</v>
      </c>
    </row>
    <row r="61" spans="1:12" x14ac:dyDescent="0.45">
      <c r="B61" s="110" t="s">
        <v>1499</v>
      </c>
      <c r="C61" s="132">
        <v>0</v>
      </c>
      <c r="D61" s="132">
        <v>0</v>
      </c>
      <c r="E61" s="132">
        <v>1.7999999999999999E-2</v>
      </c>
      <c r="F61" s="132">
        <v>1.7999999999999999E-2</v>
      </c>
      <c r="G61" s="132">
        <v>1.7999999999999999E-2</v>
      </c>
      <c r="H61" s="132">
        <v>1.7000000000000001E-2</v>
      </c>
      <c r="I61" s="132">
        <v>5.8999999999999997E-2</v>
      </c>
      <c r="J61" s="132">
        <v>6.6000000000000003E-2</v>
      </c>
      <c r="K61" s="132">
        <v>3.6791569060161761E-2</v>
      </c>
      <c r="L61" s="136">
        <v>3.9154905865024597E-2</v>
      </c>
    </row>
    <row r="62" spans="1:12" x14ac:dyDescent="0.45">
      <c r="B62" s="110" t="s">
        <v>1496</v>
      </c>
      <c r="C62" s="132">
        <v>0</v>
      </c>
      <c r="D62" s="132">
        <v>0</v>
      </c>
      <c r="E62" s="132">
        <v>0</v>
      </c>
      <c r="F62" s="132">
        <v>0</v>
      </c>
      <c r="G62" s="132">
        <v>0</v>
      </c>
      <c r="H62" s="132">
        <v>0</v>
      </c>
      <c r="I62" s="132">
        <v>0</v>
      </c>
      <c r="J62" s="132">
        <v>0</v>
      </c>
      <c r="K62" s="132">
        <v>8.6687792168182745E-2</v>
      </c>
      <c r="L62" s="136">
        <v>7.0854310741291837E-2</v>
      </c>
    </row>
    <row r="63" spans="1:12" ht="26.25" x14ac:dyDescent="0.45">
      <c r="B63" s="84" t="s">
        <v>1828</v>
      </c>
      <c r="C63" s="122">
        <v>0.46144165740568732</v>
      </c>
      <c r="D63" s="122">
        <v>0.42217788458092709</v>
      </c>
      <c r="E63" s="122">
        <v>0.4194626013815429</v>
      </c>
      <c r="F63" s="122">
        <v>0.38939429256589264</v>
      </c>
      <c r="G63" s="122">
        <v>0.38192454046681967</v>
      </c>
      <c r="H63" s="122">
        <v>0.35825454385912014</v>
      </c>
      <c r="I63" s="122">
        <v>0.47495618262092176</v>
      </c>
      <c r="J63" s="122">
        <v>0.42975948190345692</v>
      </c>
      <c r="K63" s="122">
        <v>0.47339605031629484</v>
      </c>
      <c r="L63" s="56">
        <v>0.47285577633420806</v>
      </c>
    </row>
    <row r="65" spans="1:12" x14ac:dyDescent="0.45">
      <c r="A65" s="41" t="s">
        <v>1827</v>
      </c>
    </row>
    <row r="66" spans="1:12" x14ac:dyDescent="0.45">
      <c r="B66" s="372">
        <v>3</v>
      </c>
    </row>
    <row r="68" spans="1:12" x14ac:dyDescent="0.45">
      <c r="A68" s="41" t="s">
        <v>1826</v>
      </c>
    </row>
    <row r="69" spans="1:12" ht="39" x14ac:dyDescent="0.45">
      <c r="B69" s="371"/>
      <c r="C69" s="370" t="s">
        <v>1481</v>
      </c>
      <c r="D69" s="370" t="s">
        <v>1480</v>
      </c>
      <c r="E69" s="370" t="s">
        <v>1479</v>
      </c>
      <c r="F69" s="370" t="s">
        <v>1478</v>
      </c>
      <c r="G69" s="370" t="s">
        <v>1477</v>
      </c>
      <c r="H69" s="370" t="s">
        <v>1476</v>
      </c>
      <c r="I69" s="370" t="s">
        <v>1475</v>
      </c>
      <c r="J69" s="370" t="s">
        <v>1474</v>
      </c>
      <c r="K69" s="370" t="s">
        <v>1473</v>
      </c>
      <c r="L69" s="369" t="s">
        <v>1472</v>
      </c>
    </row>
    <row r="70" spans="1:12" x14ac:dyDescent="0.45">
      <c r="B70" s="91"/>
      <c r="C70" s="69">
        <v>20</v>
      </c>
      <c r="D70" s="69">
        <v>20</v>
      </c>
      <c r="E70" s="69">
        <v>20</v>
      </c>
      <c r="F70" s="69">
        <v>20</v>
      </c>
      <c r="G70" s="69">
        <v>20</v>
      </c>
      <c r="H70" s="69">
        <v>20</v>
      </c>
      <c r="I70" s="69">
        <v>20</v>
      </c>
      <c r="J70" s="69">
        <v>20</v>
      </c>
      <c r="K70" s="69">
        <v>20</v>
      </c>
      <c r="L70" s="68">
        <v>20</v>
      </c>
    </row>
    <row r="72" spans="1:12" x14ac:dyDescent="0.45">
      <c r="A72" s="72" t="s">
        <v>1825</v>
      </c>
    </row>
    <row r="73" spans="1:12" x14ac:dyDescent="0.45">
      <c r="A73" s="41" t="s">
        <v>1824</v>
      </c>
    </row>
    <row r="74" spans="1:12" x14ac:dyDescent="0.45">
      <c r="B74" s="368" t="s">
        <v>293</v>
      </c>
      <c r="C74" s="359">
        <v>1</v>
      </c>
      <c r="D74" s="68" t="s">
        <v>1823</v>
      </c>
    </row>
    <row r="75" spans="1:12" x14ac:dyDescent="0.45">
      <c r="B75" s="110" t="s">
        <v>294</v>
      </c>
      <c r="C75" s="358">
        <v>2</v>
      </c>
      <c r="D75" s="99" t="s">
        <v>1822</v>
      </c>
    </row>
    <row r="76" spans="1:12" x14ac:dyDescent="0.45">
      <c r="B76" s="110" t="s">
        <v>1453</v>
      </c>
      <c r="C76" s="358">
        <v>2</v>
      </c>
      <c r="D76" s="99" t="s">
        <v>1821</v>
      </c>
    </row>
    <row r="77" spans="1:12" x14ac:dyDescent="0.45">
      <c r="B77" s="108" t="s">
        <v>1548</v>
      </c>
      <c r="C77" s="357">
        <v>1</v>
      </c>
      <c r="D77" s="100"/>
    </row>
    <row r="79" spans="1:12" x14ac:dyDescent="0.45">
      <c r="A79" s="41" t="s">
        <v>1820</v>
      </c>
    </row>
    <row r="80" spans="1:12" x14ac:dyDescent="0.45">
      <c r="B80" s="104"/>
      <c r="C80" s="90" t="s">
        <v>1465</v>
      </c>
      <c r="D80" s="89" t="s">
        <v>1807</v>
      </c>
    </row>
    <row r="81" spans="1:5" x14ac:dyDescent="0.45">
      <c r="B81" s="110" t="s">
        <v>1479</v>
      </c>
      <c r="C81" s="48">
        <v>32.319000000000003</v>
      </c>
      <c r="D81" s="47">
        <v>32.319000000000003</v>
      </c>
    </row>
    <row r="82" spans="1:5" x14ac:dyDescent="0.45">
      <c r="B82" s="110" t="s">
        <v>1478</v>
      </c>
      <c r="C82" s="48">
        <v>27.316800000000004</v>
      </c>
      <c r="D82" s="47">
        <v>27.316800000000004</v>
      </c>
    </row>
    <row r="83" spans="1:5" x14ac:dyDescent="0.45">
      <c r="B83" s="110" t="s">
        <v>1473</v>
      </c>
      <c r="C83" s="48">
        <v>38.304000000000002</v>
      </c>
      <c r="D83" s="47">
        <v>38.304000000000002</v>
      </c>
    </row>
    <row r="84" spans="1:5" x14ac:dyDescent="0.45">
      <c r="B84" s="108" t="s">
        <v>1472</v>
      </c>
      <c r="C84" s="44">
        <v>34.146000000000001</v>
      </c>
      <c r="D84" s="43">
        <v>34.146000000000001</v>
      </c>
    </row>
    <row r="86" spans="1:5" x14ac:dyDescent="0.45">
      <c r="A86" s="41" t="s">
        <v>1819</v>
      </c>
    </row>
    <row r="87" spans="1:5" x14ac:dyDescent="0.45">
      <c r="B87" s="104"/>
      <c r="C87" s="90" t="s">
        <v>1465</v>
      </c>
      <c r="D87" s="89" t="s">
        <v>1807</v>
      </c>
    </row>
    <row r="88" spans="1:5" x14ac:dyDescent="0.45">
      <c r="B88" s="110" t="s">
        <v>1477</v>
      </c>
      <c r="C88" s="48">
        <v>15.273378000000001</v>
      </c>
      <c r="D88" s="47">
        <v>15.273378000000001</v>
      </c>
    </row>
    <row r="89" spans="1:5" x14ac:dyDescent="0.45">
      <c r="B89" s="110" t="s">
        <v>1476</v>
      </c>
      <c r="C89" s="48">
        <v>11.9198445</v>
      </c>
      <c r="D89" s="47">
        <v>11.9198445</v>
      </c>
    </row>
    <row r="90" spans="1:5" x14ac:dyDescent="0.45">
      <c r="B90" s="110" t="s">
        <v>1475</v>
      </c>
      <c r="C90" s="48">
        <v>26.914588235294119</v>
      </c>
      <c r="D90" s="47">
        <v>26.914588235294119</v>
      </c>
    </row>
    <row r="91" spans="1:5" x14ac:dyDescent="0.45">
      <c r="B91" s="108" t="s">
        <v>1474</v>
      </c>
      <c r="C91" s="44">
        <v>21.684972000000002</v>
      </c>
      <c r="D91" s="43">
        <v>21.684972000000002</v>
      </c>
    </row>
    <row r="93" spans="1:5" x14ac:dyDescent="0.45">
      <c r="A93" s="41" t="s">
        <v>1818</v>
      </c>
    </row>
    <row r="94" spans="1:5" x14ac:dyDescent="0.45">
      <c r="B94" s="91"/>
      <c r="C94" s="367" t="s">
        <v>1471</v>
      </c>
      <c r="D94" s="367" t="s">
        <v>1465</v>
      </c>
      <c r="E94" s="366" t="s">
        <v>1807</v>
      </c>
    </row>
    <row r="95" spans="1:5" x14ac:dyDescent="0.45">
      <c r="B95" s="110" t="s">
        <v>1551</v>
      </c>
      <c r="C95" s="363">
        <v>2</v>
      </c>
      <c r="D95" s="365"/>
      <c r="E95" s="364"/>
    </row>
    <row r="96" spans="1:5" x14ac:dyDescent="0.45">
      <c r="B96" s="110" t="s">
        <v>293</v>
      </c>
      <c r="C96" s="363">
        <v>2</v>
      </c>
      <c r="D96" s="363">
        <v>0</v>
      </c>
      <c r="E96" s="362">
        <v>0</v>
      </c>
    </row>
    <row r="97" spans="1:10" x14ac:dyDescent="0.45">
      <c r="B97" s="110" t="s">
        <v>294</v>
      </c>
      <c r="C97" s="363">
        <v>2</v>
      </c>
      <c r="D97" s="363">
        <v>0</v>
      </c>
      <c r="E97" s="362">
        <v>0</v>
      </c>
    </row>
    <row r="98" spans="1:10" x14ac:dyDescent="0.45">
      <c r="B98" s="110" t="s">
        <v>1453</v>
      </c>
      <c r="C98" s="363">
        <v>2</v>
      </c>
      <c r="D98" s="363">
        <v>0</v>
      </c>
      <c r="E98" s="362">
        <v>0</v>
      </c>
    </row>
    <row r="99" spans="1:10" x14ac:dyDescent="0.45">
      <c r="B99" s="108" t="s">
        <v>1548</v>
      </c>
      <c r="C99" s="361">
        <v>2</v>
      </c>
      <c r="D99" s="361">
        <v>0</v>
      </c>
      <c r="E99" s="360">
        <v>0</v>
      </c>
    </row>
    <row r="101" spans="1:10" x14ac:dyDescent="0.45">
      <c r="A101" s="41" t="s">
        <v>1817</v>
      </c>
    </row>
    <row r="102" spans="1:10" x14ac:dyDescent="0.45">
      <c r="B102" s="39" t="s">
        <v>293</v>
      </c>
      <c r="C102" s="359">
        <v>2</v>
      </c>
      <c r="D102" s="39" t="s">
        <v>1814</v>
      </c>
      <c r="H102" s="39" t="s">
        <v>1816</v>
      </c>
    </row>
    <row r="103" spans="1:10" x14ac:dyDescent="0.45">
      <c r="B103" s="39" t="s">
        <v>294</v>
      </c>
      <c r="C103" s="358">
        <v>2</v>
      </c>
      <c r="D103" s="39" t="s">
        <v>1814</v>
      </c>
    </row>
    <row r="104" spans="1:10" x14ac:dyDescent="0.45">
      <c r="B104" s="39" t="s">
        <v>1453</v>
      </c>
      <c r="C104" s="358">
        <v>2</v>
      </c>
      <c r="D104" s="39" t="s">
        <v>1815</v>
      </c>
    </row>
    <row r="105" spans="1:10" x14ac:dyDescent="0.45">
      <c r="B105" s="39" t="s">
        <v>1548</v>
      </c>
      <c r="C105" s="357">
        <v>2</v>
      </c>
      <c r="D105" s="39" t="s">
        <v>1814</v>
      </c>
    </row>
    <row r="107" spans="1:10" x14ac:dyDescent="0.45">
      <c r="A107" s="41" t="s">
        <v>1813</v>
      </c>
    </row>
    <row r="108" spans="1:10" x14ac:dyDescent="0.45">
      <c r="B108" s="61"/>
      <c r="C108" s="2189" t="s">
        <v>1465</v>
      </c>
      <c r="D108" s="2190"/>
      <c r="E108" s="2189" t="s">
        <v>1807</v>
      </c>
      <c r="F108" s="2190"/>
      <c r="H108" s="39" t="s">
        <v>1812</v>
      </c>
    </row>
    <row r="109" spans="1:10" x14ac:dyDescent="0.45">
      <c r="B109" s="57"/>
      <c r="C109" s="108" t="s">
        <v>1811</v>
      </c>
      <c r="D109" s="212" t="s">
        <v>1810</v>
      </c>
      <c r="E109" s="213" t="s">
        <v>1811</v>
      </c>
      <c r="F109" s="212" t="s">
        <v>1810</v>
      </c>
      <c r="H109" s="91" t="s">
        <v>299</v>
      </c>
      <c r="I109" s="69" t="s">
        <v>300</v>
      </c>
      <c r="J109" s="68" t="s">
        <v>1452</v>
      </c>
    </row>
    <row r="110" spans="1:10" x14ac:dyDescent="0.45">
      <c r="B110" s="110" t="s">
        <v>293</v>
      </c>
      <c r="C110" s="353">
        <v>800</v>
      </c>
      <c r="D110" s="47">
        <v>362.87761952281591</v>
      </c>
      <c r="E110" s="353">
        <v>1995.1401634938038</v>
      </c>
      <c r="F110" s="47">
        <v>904.98964142874161</v>
      </c>
      <c r="H110" s="356">
        <v>2279.4629578141803</v>
      </c>
      <c r="I110" s="355">
        <v>1995.1401634938038</v>
      </c>
      <c r="J110" s="354">
        <v>1279.5478773501993</v>
      </c>
    </row>
    <row r="111" spans="1:10" x14ac:dyDescent="0.45">
      <c r="B111" s="108" t="s">
        <v>1548</v>
      </c>
      <c r="C111" s="351">
        <v>800</v>
      </c>
      <c r="D111" s="43">
        <v>362.87761952281591</v>
      </c>
      <c r="E111" s="351">
        <v>1995.1401634938038</v>
      </c>
      <c r="F111" s="43">
        <v>904.98964142874161</v>
      </c>
      <c r="H111" s="48"/>
      <c r="I111" s="48"/>
      <c r="J111" s="48"/>
    </row>
    <row r="113" spans="1:21" x14ac:dyDescent="0.45">
      <c r="A113" s="41" t="s">
        <v>1809</v>
      </c>
      <c r="H113" s="39" t="s">
        <v>1808</v>
      </c>
    </row>
    <row r="114" spans="1:21" x14ac:dyDescent="0.45">
      <c r="B114" s="61"/>
      <c r="C114" s="2189" t="s">
        <v>1465</v>
      </c>
      <c r="D114" s="2190"/>
      <c r="E114" s="2189" t="s">
        <v>1807</v>
      </c>
      <c r="F114" s="2190"/>
      <c r="H114" s="61" t="s">
        <v>1806</v>
      </c>
      <c r="I114" s="101"/>
      <c r="J114" s="101"/>
      <c r="K114" s="61" t="s">
        <v>1805</v>
      </c>
      <c r="L114" s="101"/>
      <c r="M114" s="60"/>
      <c r="N114" s="101" t="s">
        <v>1453</v>
      </c>
      <c r="O114" s="101"/>
      <c r="P114" s="101"/>
      <c r="Q114" s="101"/>
      <c r="R114" s="101"/>
      <c r="S114" s="101"/>
      <c r="T114" s="101"/>
      <c r="U114" s="60"/>
    </row>
    <row r="115" spans="1:21" x14ac:dyDescent="0.45">
      <c r="B115" s="57"/>
      <c r="C115" s="108" t="s">
        <v>1804</v>
      </c>
      <c r="D115" s="212" t="s">
        <v>1803</v>
      </c>
      <c r="E115" s="213" t="s">
        <v>1804</v>
      </c>
      <c r="F115" s="212" t="s">
        <v>1803</v>
      </c>
      <c r="H115" s="91" t="s">
        <v>299</v>
      </c>
      <c r="I115" s="69" t="s">
        <v>300</v>
      </c>
      <c r="J115" s="69" t="s">
        <v>1452</v>
      </c>
      <c r="K115" s="91" t="s">
        <v>299</v>
      </c>
      <c r="L115" s="69" t="s">
        <v>300</v>
      </c>
      <c r="M115" s="68" t="s">
        <v>1452</v>
      </c>
      <c r="N115" s="69" t="s">
        <v>299</v>
      </c>
      <c r="O115" s="69" t="s">
        <v>300</v>
      </c>
      <c r="P115" s="69" t="s">
        <v>1452</v>
      </c>
      <c r="Q115" s="69" t="s">
        <v>303</v>
      </c>
      <c r="R115" s="69" t="s">
        <v>304</v>
      </c>
      <c r="S115" s="69" t="s">
        <v>305</v>
      </c>
      <c r="T115" s="69" t="s">
        <v>306</v>
      </c>
      <c r="U115" s="68" t="s">
        <v>307</v>
      </c>
    </row>
    <row r="116" spans="1:21" x14ac:dyDescent="0.45">
      <c r="B116" s="110" t="s">
        <v>294</v>
      </c>
      <c r="C116" s="353">
        <v>53</v>
      </c>
      <c r="D116" s="47">
        <v>24.040642293386554</v>
      </c>
      <c r="E116" s="353">
        <v>140.55504896103585</v>
      </c>
      <c r="F116" s="47">
        <v>63.755351973616911</v>
      </c>
      <c r="H116" s="352">
        <v>95.413135086213174</v>
      </c>
      <c r="I116" s="209">
        <v>113.1535065579547</v>
      </c>
      <c r="J116" s="209">
        <v>88.918120149836966</v>
      </c>
      <c r="K116" s="352">
        <v>116.58818073335337</v>
      </c>
      <c r="L116" s="209">
        <v>140.55504896103585</v>
      </c>
      <c r="M116" s="208">
        <v>111.47707343204202</v>
      </c>
      <c r="N116" s="209">
        <v>121.23932196229183</v>
      </c>
      <c r="O116" s="209">
        <v>142.62303541417381</v>
      </c>
      <c r="P116" s="209">
        <v>115.91337982671381</v>
      </c>
      <c r="Q116" s="209">
        <v>155.04780647427464</v>
      </c>
      <c r="R116" s="209">
        <v>149.22041422599696</v>
      </c>
      <c r="S116" s="209">
        <v>175</v>
      </c>
      <c r="T116" s="209">
        <v>200</v>
      </c>
      <c r="U116" s="208">
        <v>158.57163037285159</v>
      </c>
    </row>
    <row r="117" spans="1:21" x14ac:dyDescent="0.45">
      <c r="B117" s="108" t="s">
        <v>1453</v>
      </c>
      <c r="C117" s="351">
        <v>65</v>
      </c>
      <c r="D117" s="43">
        <v>29.483806586228791</v>
      </c>
      <c r="E117" s="350">
        <v>142.62303541417381</v>
      </c>
      <c r="F117" s="43">
        <v>64.693384475267081</v>
      </c>
    </row>
    <row r="119" spans="1:21" x14ac:dyDescent="0.45">
      <c r="A119" s="72" t="s">
        <v>1802</v>
      </c>
    </row>
    <row r="120" spans="1:21" x14ac:dyDescent="0.45">
      <c r="A120" s="41" t="s">
        <v>1801</v>
      </c>
    </row>
    <row r="121" spans="1:21" ht="26.25" x14ac:dyDescent="0.45">
      <c r="B121" s="87" t="s">
        <v>1799</v>
      </c>
      <c r="C121" s="103" t="s">
        <v>1798</v>
      </c>
      <c r="D121" s="103" t="s">
        <v>1797</v>
      </c>
      <c r="E121" s="103" t="s">
        <v>1796</v>
      </c>
      <c r="F121" s="103" t="s">
        <v>1795</v>
      </c>
      <c r="G121" s="103" t="s">
        <v>1794</v>
      </c>
      <c r="H121" s="86" t="s">
        <v>1793</v>
      </c>
    </row>
    <row r="122" spans="1:21" x14ac:dyDescent="0.45">
      <c r="B122" s="349">
        <v>39</v>
      </c>
      <c r="C122" s="348">
        <v>0</v>
      </c>
      <c r="D122" s="348">
        <v>3</v>
      </c>
      <c r="E122" s="348">
        <v>1</v>
      </c>
      <c r="F122" s="348">
        <v>3</v>
      </c>
      <c r="G122" s="348">
        <v>19</v>
      </c>
      <c r="H122" s="347">
        <v>0</v>
      </c>
    </row>
    <row r="124" spans="1:21" x14ac:dyDescent="0.45">
      <c r="A124" s="41" t="s">
        <v>1800</v>
      </c>
    </row>
    <row r="125" spans="1:21" ht="26.25" x14ac:dyDescent="0.45">
      <c r="B125" s="87" t="s">
        <v>1799</v>
      </c>
      <c r="C125" s="103" t="s">
        <v>1798</v>
      </c>
      <c r="D125" s="103" t="s">
        <v>1797</v>
      </c>
      <c r="E125" s="103" t="s">
        <v>1796</v>
      </c>
      <c r="F125" s="103" t="s">
        <v>1795</v>
      </c>
      <c r="G125" s="103" t="s">
        <v>1794</v>
      </c>
      <c r="H125" s="86" t="s">
        <v>1793</v>
      </c>
    </row>
    <row r="126" spans="1:21" x14ac:dyDescent="0.45">
      <c r="B126" s="135">
        <v>0.66666666666666663</v>
      </c>
      <c r="C126" s="346">
        <v>0.66666666666666663</v>
      </c>
      <c r="D126" s="346">
        <v>0.66666666666666663</v>
      </c>
      <c r="E126" s="346">
        <v>0.66666666666666663</v>
      </c>
      <c r="F126" s="346">
        <v>0.66666666666666663</v>
      </c>
      <c r="G126" s="346">
        <v>0</v>
      </c>
      <c r="H126" s="345">
        <v>0.66666666666666663</v>
      </c>
    </row>
    <row r="128" spans="1:21" x14ac:dyDescent="0.45">
      <c r="A128" s="72" t="s">
        <v>1792</v>
      </c>
    </row>
    <row r="129" spans="1:3" x14ac:dyDescent="0.45">
      <c r="A129" s="41" t="s">
        <v>1791</v>
      </c>
    </row>
    <row r="130" spans="1:3" x14ac:dyDescent="0.45">
      <c r="B130" s="343">
        <v>2.2999999999999998</v>
      </c>
      <c r="C130" s="39" t="s">
        <v>1790</v>
      </c>
    </row>
    <row r="131" spans="1:3" x14ac:dyDescent="0.45">
      <c r="B131" s="342">
        <v>2.2999999999999998</v>
      </c>
      <c r="C131" s="39" t="s">
        <v>1789</v>
      </c>
    </row>
    <row r="132" spans="1:3" x14ac:dyDescent="0.45">
      <c r="B132" s="344">
        <v>0.161</v>
      </c>
      <c r="C132" s="230" t="s">
        <v>1788</v>
      </c>
    </row>
    <row r="134" spans="1:3" x14ac:dyDescent="0.45">
      <c r="A134" s="41" t="s">
        <v>1787</v>
      </c>
    </row>
    <row r="135" spans="1:3" x14ac:dyDescent="0.45">
      <c r="B135" s="343">
        <v>0.28699999999999998</v>
      </c>
      <c r="C135" s="39" t="s">
        <v>1786</v>
      </c>
    </row>
    <row r="136" spans="1:3" x14ac:dyDescent="0.45">
      <c r="B136" s="342">
        <v>2.7589999999999999</v>
      </c>
      <c r="C136" s="39" t="s">
        <v>1785</v>
      </c>
    </row>
    <row r="137" spans="1:3" x14ac:dyDescent="0.45">
      <c r="B137" s="342">
        <v>0.99</v>
      </c>
      <c r="C137" s="39" t="s">
        <v>1784</v>
      </c>
    </row>
    <row r="138" spans="1:3" x14ac:dyDescent="0.45">
      <c r="B138" s="342">
        <v>2.9820000000000002</v>
      </c>
      <c r="C138" s="39" t="s">
        <v>1783</v>
      </c>
    </row>
    <row r="139" spans="1:3" x14ac:dyDescent="0.45">
      <c r="B139" s="342">
        <v>0.20499999999999999</v>
      </c>
      <c r="C139" s="39" t="s">
        <v>1782</v>
      </c>
    </row>
    <row r="140" spans="1:3" x14ac:dyDescent="0.45">
      <c r="B140" s="342">
        <v>0.27300000000000002</v>
      </c>
      <c r="C140" s="39" t="s">
        <v>1781</v>
      </c>
    </row>
    <row r="141" spans="1:3" x14ac:dyDescent="0.45">
      <c r="B141" s="342">
        <v>0.40899999999999997</v>
      </c>
      <c r="C141" s="39" t="s">
        <v>1780</v>
      </c>
    </row>
    <row r="142" spans="1:3" x14ac:dyDescent="0.45">
      <c r="B142" s="341">
        <v>1.4962315016000001</v>
      </c>
      <c r="C142" s="39" t="s">
        <v>1779</v>
      </c>
    </row>
    <row r="144" spans="1:3" x14ac:dyDescent="0.45">
      <c r="A144" s="72" t="s">
        <v>1778</v>
      </c>
    </row>
    <row r="145" spans="1:11" ht="39" x14ac:dyDescent="0.45">
      <c r="B145" s="87" t="s">
        <v>1481</v>
      </c>
      <c r="C145" s="103" t="s">
        <v>1480</v>
      </c>
      <c r="D145" s="103" t="s">
        <v>1479</v>
      </c>
      <c r="E145" s="103" t="s">
        <v>1478</v>
      </c>
      <c r="F145" s="103" t="s">
        <v>1477</v>
      </c>
      <c r="G145" s="103" t="s">
        <v>1476</v>
      </c>
      <c r="H145" s="103" t="s">
        <v>1475</v>
      </c>
      <c r="I145" s="103" t="s">
        <v>1474</v>
      </c>
      <c r="J145" s="103" t="s">
        <v>1473</v>
      </c>
      <c r="K145" s="86" t="s">
        <v>1472</v>
      </c>
    </row>
    <row r="146" spans="1:11" x14ac:dyDescent="0.45">
      <c r="B146" s="45">
        <v>173151</v>
      </c>
      <c r="C146" s="44">
        <v>173151</v>
      </c>
      <c r="D146" s="44">
        <v>173151</v>
      </c>
      <c r="E146" s="44">
        <v>173151</v>
      </c>
      <c r="F146" s="44">
        <v>173151</v>
      </c>
      <c r="G146" s="44">
        <v>173151</v>
      </c>
      <c r="H146" s="44">
        <v>121205.7</v>
      </c>
      <c r="I146" s="44">
        <v>121205.7</v>
      </c>
      <c r="J146" s="44">
        <v>173151</v>
      </c>
      <c r="K146" s="43">
        <v>173151</v>
      </c>
    </row>
    <row r="148" spans="1:11" x14ac:dyDescent="0.45">
      <c r="A148" s="72" t="s">
        <v>1777</v>
      </c>
    </row>
    <row r="149" spans="1:11" ht="42" customHeight="1" x14ac:dyDescent="0.45">
      <c r="B149" s="243" t="s">
        <v>1481</v>
      </c>
      <c r="C149" s="134" t="s">
        <v>1479</v>
      </c>
      <c r="D149" s="134" t="s">
        <v>1477</v>
      </c>
      <c r="E149" s="134" t="s">
        <v>1475</v>
      </c>
      <c r="F149" s="133" t="s">
        <v>1473</v>
      </c>
    </row>
    <row r="150" spans="1:11" x14ac:dyDescent="0.45">
      <c r="B150" s="340">
        <v>1</v>
      </c>
      <c r="C150" s="339">
        <v>0.98794175528088135</v>
      </c>
      <c r="D150" s="339">
        <v>1.0497854388413406</v>
      </c>
      <c r="E150" s="339">
        <v>1.0171662102360159</v>
      </c>
      <c r="F150" s="338">
        <v>0.98944259220382091</v>
      </c>
    </row>
    <row r="152" spans="1:11" x14ac:dyDescent="0.45">
      <c r="A152" s="72" t="s">
        <v>1776</v>
      </c>
    </row>
    <row r="153" spans="1:11" ht="42" customHeight="1" x14ac:dyDescent="0.45">
      <c r="B153" s="87" t="s">
        <v>1480</v>
      </c>
      <c r="C153" s="103" t="s">
        <v>1478</v>
      </c>
      <c r="D153" s="103" t="s">
        <v>1476</v>
      </c>
      <c r="E153" s="103" t="s">
        <v>1474</v>
      </c>
      <c r="F153" s="86" t="s">
        <v>1472</v>
      </c>
    </row>
    <row r="154" spans="1:11" x14ac:dyDescent="0.45">
      <c r="B154" s="337">
        <v>1.1265243641417177</v>
      </c>
      <c r="C154" s="336">
        <v>1.1371333537462518</v>
      </c>
      <c r="D154" s="336">
        <v>1.110246963060139</v>
      </c>
      <c r="E154" s="336">
        <v>1.1286368850787556</v>
      </c>
      <c r="F154" s="323">
        <v>1.1423171027524346</v>
      </c>
      <c r="G154" s="335"/>
    </row>
    <row r="155" spans="1:11" x14ac:dyDescent="0.45">
      <c r="G155" s="334"/>
    </row>
  </sheetData>
  <mergeCells count="4">
    <mergeCell ref="C108:D108"/>
    <mergeCell ref="E108:F108"/>
    <mergeCell ref="C114:D114"/>
    <mergeCell ref="E114:F114"/>
  </mergeCells>
  <dataValidations count="4">
    <dataValidation type="list" allowBlank="1" showInputMessage="1" showErrorMessage="1" sqref="C102:C103 C105" xr:uid="{00000000-0002-0000-4200-000000000000}">
      <formula1>"1,2,3,4"</formula1>
    </dataValidation>
    <dataValidation type="list" allowBlank="1" showInputMessage="1" showErrorMessage="1" sqref="C104" xr:uid="{00000000-0002-0000-4200-000001000000}">
      <formula1>"1,2,3,4,5,6,7,8,9"</formula1>
    </dataValidation>
    <dataValidation type="list" allowBlank="1" showInputMessage="1" showErrorMessage="1" sqref="B3" xr:uid="{00000000-0002-0000-4200-000002000000}">
      <formula1>"1,2,3"</formula1>
    </dataValidation>
    <dataValidation type="list" allowBlank="1" showInputMessage="1" showErrorMessage="1" sqref="C74:C77 B14 B8 B11" xr:uid="{00000000-0002-0000-4200-000003000000}">
      <formula1>"1,2"</formula1>
    </dataValidation>
  </dataValidations>
  <pageMargins left="0.75" right="0.75" top="1" bottom="1" header="0.5" footer="0.5"/>
  <pageSetup orientation="landscape" r:id="rId1"/>
  <headerFooter alignWithMargins="0"/>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autoPageBreaks="0" fitToPage="1"/>
  </sheetPr>
  <dimension ref="A1:M255"/>
  <sheetViews>
    <sheetView showGridLines="0" zoomScale="85" zoomScaleNormal="85" workbookViewId="0">
      <selection activeCell="G1" sqref="G1"/>
    </sheetView>
  </sheetViews>
  <sheetFormatPr defaultColWidth="9.1328125" defaultRowHeight="12.75" x14ac:dyDescent="0.35"/>
  <cols>
    <col min="1" max="1" width="24.19921875" style="39" customWidth="1"/>
    <col min="2" max="2" width="11" style="39" customWidth="1"/>
    <col min="3" max="3" width="11.46484375" style="39" customWidth="1"/>
    <col min="4" max="4" width="11" style="39" customWidth="1"/>
    <col min="5" max="5" width="14.19921875" style="39" customWidth="1"/>
    <col min="6" max="6" width="11.46484375" style="39" customWidth="1"/>
    <col min="7" max="7" width="12.19921875" style="39" customWidth="1"/>
    <col min="8" max="8" width="15.19921875" style="39" bestFit="1" customWidth="1"/>
    <col min="9" max="9" width="14.1328125" style="39" bestFit="1" customWidth="1"/>
    <col min="10" max="10" width="16.46484375" style="39" bestFit="1" customWidth="1"/>
    <col min="11" max="11" width="15.19921875" style="39" bestFit="1" customWidth="1"/>
    <col min="12" max="12" width="11.796875" style="39" customWidth="1"/>
    <col min="13" max="16384" width="9.1328125" style="39"/>
  </cols>
  <sheetData>
    <row r="1" spans="1:7" ht="15" x14ac:dyDescent="0.4">
      <c r="A1" s="140" t="s">
        <v>1559</v>
      </c>
      <c r="G1" s="230" t="s">
        <v>1626</v>
      </c>
    </row>
    <row r="3" spans="1:7" ht="13.9" x14ac:dyDescent="0.4">
      <c r="A3" s="72" t="s">
        <v>1629</v>
      </c>
    </row>
    <row r="4" spans="1:7" x14ac:dyDescent="0.35">
      <c r="A4" s="39" t="s">
        <v>1557</v>
      </c>
    </row>
    <row r="5" spans="1:7" x14ac:dyDescent="0.35">
      <c r="A5" s="220" t="s">
        <v>293</v>
      </c>
      <c r="B5" s="54">
        <v>1</v>
      </c>
      <c r="C5" s="39" t="s">
        <v>1556</v>
      </c>
    </row>
    <row r="6" spans="1:7" x14ac:dyDescent="0.35">
      <c r="A6" s="217" t="s">
        <v>294</v>
      </c>
      <c r="B6" s="229">
        <v>2</v>
      </c>
      <c r="C6" s="39" t="s">
        <v>1555</v>
      </c>
    </row>
    <row r="7" spans="1:7" x14ac:dyDescent="0.35">
      <c r="A7" s="217" t="s">
        <v>1453</v>
      </c>
      <c r="B7" s="229">
        <v>2</v>
      </c>
      <c r="C7" s="216"/>
      <c r="D7" s="216"/>
      <c r="E7" s="216"/>
    </row>
    <row r="8" spans="1:7" x14ac:dyDescent="0.35">
      <c r="A8" s="214" t="s">
        <v>1548</v>
      </c>
      <c r="B8" s="51">
        <v>1</v>
      </c>
      <c r="C8" s="216"/>
      <c r="D8" s="216"/>
      <c r="E8" s="216"/>
    </row>
    <row r="9" spans="1:7" ht="13.15" x14ac:dyDescent="0.4">
      <c r="A9" s="41"/>
      <c r="C9" s="216"/>
      <c r="D9" s="216"/>
      <c r="E9" s="216"/>
    </row>
    <row r="10" spans="1:7" ht="13.15" x14ac:dyDescent="0.4">
      <c r="A10" s="41"/>
    </row>
    <row r="11" spans="1:7" x14ac:dyDescent="0.35">
      <c r="A11" s="39" t="s">
        <v>1554</v>
      </c>
    </row>
    <row r="12" spans="1:7" ht="13.15" x14ac:dyDescent="0.4">
      <c r="A12" s="221"/>
      <c r="B12" s="219" t="s">
        <v>1465</v>
      </c>
      <c r="C12" s="218" t="s">
        <v>1456</v>
      </c>
    </row>
    <row r="13" spans="1:7" x14ac:dyDescent="0.35">
      <c r="A13" s="220" t="s">
        <v>1479</v>
      </c>
      <c r="B13" s="228">
        <v>32.319000000000003</v>
      </c>
      <c r="C13" s="227">
        <v>32.319000000000003</v>
      </c>
    </row>
    <row r="14" spans="1:7" x14ac:dyDescent="0.35">
      <c r="A14" s="217" t="s">
        <v>1478</v>
      </c>
      <c r="B14" s="226">
        <v>27.316800000000004</v>
      </c>
      <c r="C14" s="225">
        <v>27.316800000000004</v>
      </c>
    </row>
    <row r="15" spans="1:7" x14ac:dyDescent="0.35">
      <c r="A15" s="217" t="s">
        <v>1473</v>
      </c>
      <c r="B15" s="226">
        <v>38.304000000000002</v>
      </c>
      <c r="C15" s="225">
        <v>38.304000000000002</v>
      </c>
    </row>
    <row r="16" spans="1:7" x14ac:dyDescent="0.35">
      <c r="A16" s="214" t="s">
        <v>1472</v>
      </c>
      <c r="B16" s="224">
        <v>34.146000000000001</v>
      </c>
      <c r="C16" s="223">
        <v>34.146000000000001</v>
      </c>
    </row>
    <row r="17" spans="1:4" x14ac:dyDescent="0.35">
      <c r="A17" s="222"/>
      <c r="B17" s="216"/>
      <c r="C17" s="216"/>
    </row>
    <row r="18" spans="1:4" x14ac:dyDescent="0.35">
      <c r="A18" s="39" t="s">
        <v>1553</v>
      </c>
    </row>
    <row r="19" spans="1:4" ht="13.15" x14ac:dyDescent="0.4">
      <c r="A19" s="221"/>
      <c r="B19" s="219" t="s">
        <v>1465</v>
      </c>
      <c r="C19" s="218" t="s">
        <v>1456</v>
      </c>
    </row>
    <row r="20" spans="1:4" x14ac:dyDescent="0.35">
      <c r="A20" s="220" t="s">
        <v>1477</v>
      </c>
      <c r="B20" s="228">
        <v>15.273378000000001</v>
      </c>
      <c r="C20" s="227">
        <v>15.273378000000001</v>
      </c>
    </row>
    <row r="21" spans="1:4" x14ac:dyDescent="0.35">
      <c r="A21" s="217" t="s">
        <v>1476</v>
      </c>
      <c r="B21" s="226">
        <v>11.9198445</v>
      </c>
      <c r="C21" s="225">
        <v>11.9198445</v>
      </c>
    </row>
    <row r="22" spans="1:4" x14ac:dyDescent="0.35">
      <c r="A22" s="217" t="s">
        <v>1475</v>
      </c>
      <c r="B22" s="226">
        <v>26.914588235294119</v>
      </c>
      <c r="C22" s="225">
        <v>26.914588235294119</v>
      </c>
    </row>
    <row r="23" spans="1:4" x14ac:dyDescent="0.35">
      <c r="A23" s="214" t="s">
        <v>1474</v>
      </c>
      <c r="B23" s="224">
        <v>21.684972000000002</v>
      </c>
      <c r="C23" s="223">
        <v>21.684972000000002</v>
      </c>
    </row>
    <row r="24" spans="1:4" x14ac:dyDescent="0.35">
      <c r="A24" s="222"/>
      <c r="B24" s="216"/>
      <c r="C24" s="216"/>
    </row>
    <row r="25" spans="1:4" x14ac:dyDescent="0.35">
      <c r="A25" s="39" t="s">
        <v>1552</v>
      </c>
    </row>
    <row r="26" spans="1:4" ht="13.15" x14ac:dyDescent="0.4">
      <c r="A26" s="221"/>
      <c r="B26" s="219" t="s">
        <v>1471</v>
      </c>
      <c r="C26" s="219" t="s">
        <v>1465</v>
      </c>
      <c r="D26" s="218" t="s">
        <v>1456</v>
      </c>
    </row>
    <row r="27" spans="1:4" x14ac:dyDescent="0.35">
      <c r="A27" s="220" t="s">
        <v>1551</v>
      </c>
      <c r="B27" s="219">
        <v>2</v>
      </c>
      <c r="C27" s="219"/>
      <c r="D27" s="218"/>
    </row>
    <row r="28" spans="1:4" x14ac:dyDescent="0.35">
      <c r="A28" s="217" t="s">
        <v>293</v>
      </c>
      <c r="B28" s="216">
        <v>2</v>
      </c>
      <c r="C28" s="216">
        <v>0</v>
      </c>
      <c r="D28" s="215">
        <v>0</v>
      </c>
    </row>
    <row r="29" spans="1:4" x14ac:dyDescent="0.35">
      <c r="A29" s="217" t="s">
        <v>294</v>
      </c>
      <c r="B29" s="216">
        <v>2</v>
      </c>
      <c r="C29" s="216">
        <v>0</v>
      </c>
      <c r="D29" s="215">
        <v>0</v>
      </c>
    </row>
    <row r="30" spans="1:4" x14ac:dyDescent="0.35">
      <c r="A30" s="217" t="s">
        <v>1453</v>
      </c>
      <c r="B30" s="216">
        <v>2</v>
      </c>
      <c r="C30" s="216">
        <v>0</v>
      </c>
      <c r="D30" s="215">
        <v>0</v>
      </c>
    </row>
    <row r="31" spans="1:4" x14ac:dyDescent="0.35">
      <c r="A31" s="214" t="s">
        <v>1548</v>
      </c>
      <c r="B31" s="213">
        <v>2</v>
      </c>
      <c r="C31" s="213">
        <v>0</v>
      </c>
      <c r="D31" s="212">
        <v>0</v>
      </c>
    </row>
    <row r="33" spans="1:11" x14ac:dyDescent="0.35">
      <c r="A33" s="39" t="s">
        <v>1550</v>
      </c>
    </row>
    <row r="34" spans="1:11" x14ac:dyDescent="0.35">
      <c r="A34" s="91"/>
      <c r="B34" s="69" t="s">
        <v>1465</v>
      </c>
      <c r="C34" s="68" t="s">
        <v>1456</v>
      </c>
    </row>
    <row r="35" spans="1:11" x14ac:dyDescent="0.35">
      <c r="A35" s="59" t="s">
        <v>293</v>
      </c>
      <c r="B35" s="39">
        <v>800</v>
      </c>
      <c r="C35" s="211">
        <v>1995.1401634938038</v>
      </c>
    </row>
    <row r="36" spans="1:11" x14ac:dyDescent="0.35">
      <c r="A36" s="57" t="s">
        <v>1548</v>
      </c>
      <c r="B36" s="77">
        <v>800</v>
      </c>
      <c r="C36" s="208">
        <v>1995.1401634938038</v>
      </c>
    </row>
    <row r="38" spans="1:11" x14ac:dyDescent="0.35">
      <c r="A38" s="39" t="s">
        <v>1549</v>
      </c>
    </row>
    <row r="39" spans="1:11" x14ac:dyDescent="0.35">
      <c r="A39" s="91"/>
      <c r="B39" s="69" t="s">
        <v>1465</v>
      </c>
      <c r="C39" s="68" t="s">
        <v>1456</v>
      </c>
    </row>
    <row r="40" spans="1:11" x14ac:dyDescent="0.35">
      <c r="A40" s="59" t="s">
        <v>293</v>
      </c>
      <c r="B40" s="210">
        <v>53</v>
      </c>
      <c r="C40" s="185">
        <v>140.55504896103585</v>
      </c>
    </row>
    <row r="41" spans="1:11" x14ac:dyDescent="0.35">
      <c r="A41" s="57" t="s">
        <v>1548</v>
      </c>
      <c r="B41" s="209">
        <v>65</v>
      </c>
      <c r="C41" s="208">
        <v>142.62303541417381</v>
      </c>
    </row>
    <row r="43" spans="1:11" x14ac:dyDescent="0.35">
      <c r="A43" s="39" t="s">
        <v>1547</v>
      </c>
    </row>
    <row r="44" spans="1:11" ht="36" customHeight="1" x14ac:dyDescent="0.35">
      <c r="A44" s="61"/>
      <c r="B44" s="134" t="s">
        <v>1481</v>
      </c>
      <c r="C44" s="134" t="s">
        <v>1480</v>
      </c>
      <c r="D44" s="134" t="s">
        <v>1479</v>
      </c>
      <c r="E44" s="134" t="s">
        <v>1478</v>
      </c>
      <c r="F44" s="134" t="s">
        <v>1477</v>
      </c>
      <c r="G44" s="134" t="s">
        <v>1476</v>
      </c>
      <c r="H44" s="134" t="s">
        <v>1475</v>
      </c>
      <c r="I44" s="134" t="s">
        <v>1474</v>
      </c>
      <c r="J44" s="134" t="s">
        <v>1473</v>
      </c>
      <c r="K44" s="133" t="s">
        <v>1472</v>
      </c>
    </row>
    <row r="45" spans="1:11" x14ac:dyDescent="0.35">
      <c r="A45" s="59" t="s">
        <v>1471</v>
      </c>
      <c r="B45" s="207">
        <v>36</v>
      </c>
      <c r="C45" s="207">
        <v>23.400000000000002</v>
      </c>
      <c r="D45" s="207">
        <v>22.1</v>
      </c>
      <c r="E45" s="207">
        <v>14.365000000000002</v>
      </c>
      <c r="F45" s="207">
        <v>22.1</v>
      </c>
      <c r="G45" s="207">
        <v>14.365000000000002</v>
      </c>
      <c r="H45" s="207">
        <v>22.1</v>
      </c>
      <c r="I45" s="207">
        <v>14.365000000000002</v>
      </c>
      <c r="J45" s="207">
        <v>22.1</v>
      </c>
      <c r="K45" s="206">
        <v>14.365000000000002</v>
      </c>
    </row>
    <row r="46" spans="1:11" x14ac:dyDescent="0.35">
      <c r="A46" s="59" t="s">
        <v>1465</v>
      </c>
      <c r="B46" s="207"/>
      <c r="C46" s="207"/>
      <c r="D46" s="207">
        <v>89.063084250000017</v>
      </c>
      <c r="E46" s="207">
        <v>75.278271600000011</v>
      </c>
      <c r="F46" s="207">
        <v>635.31488941132079</v>
      </c>
      <c r="G46" s="207">
        <v>495.82055065471695</v>
      </c>
      <c r="H46" s="207">
        <v>912.86001882352946</v>
      </c>
      <c r="I46" s="207">
        <v>735.48752724923088</v>
      </c>
      <c r="J46" s="207">
        <v>105.55624800000001</v>
      </c>
      <c r="K46" s="206">
        <v>94.097839500000006</v>
      </c>
    </row>
    <row r="47" spans="1:11" x14ac:dyDescent="0.35">
      <c r="A47" s="57" t="s">
        <v>1456</v>
      </c>
      <c r="B47" s="205"/>
      <c r="C47" s="205"/>
      <c r="D47" s="205">
        <v>35.712010967304302</v>
      </c>
      <c r="E47" s="205">
        <v>30.184654883865775</v>
      </c>
      <c r="F47" s="205">
        <v>239.56228814045909</v>
      </c>
      <c r="G47" s="205">
        <v>186.96225698718817</v>
      </c>
      <c r="H47" s="205">
        <v>416.03308365454018</v>
      </c>
      <c r="I47" s="205">
        <v>335.19612825775687</v>
      </c>
      <c r="J47" s="205">
        <v>42.325346331619905</v>
      </c>
      <c r="K47" s="204">
        <v>37.730818604832216</v>
      </c>
    </row>
    <row r="49" spans="1:11" x14ac:dyDescent="0.35">
      <c r="A49" s="39" t="s">
        <v>1546</v>
      </c>
      <c r="B49" s="192"/>
      <c r="C49" s="192"/>
      <c r="D49" s="192"/>
      <c r="E49" s="192"/>
    </row>
    <row r="50" spans="1:11" ht="38.25" x14ac:dyDescent="0.35">
      <c r="A50" s="61"/>
      <c r="B50" s="134" t="s">
        <v>1481</v>
      </c>
      <c r="C50" s="134" t="s">
        <v>1480</v>
      </c>
      <c r="D50" s="134" t="s">
        <v>1479</v>
      </c>
      <c r="E50" s="134" t="s">
        <v>1478</v>
      </c>
      <c r="F50" s="134" t="s">
        <v>1477</v>
      </c>
      <c r="G50" s="134" t="s">
        <v>1476</v>
      </c>
      <c r="H50" s="134" t="s">
        <v>1475</v>
      </c>
      <c r="I50" s="134" t="s">
        <v>1474</v>
      </c>
      <c r="J50" s="134" t="s">
        <v>1473</v>
      </c>
      <c r="K50" s="133" t="s">
        <v>1472</v>
      </c>
    </row>
    <row r="51" spans="1:11" x14ac:dyDescent="0.35">
      <c r="A51" s="61" t="s">
        <v>1471</v>
      </c>
      <c r="B51" s="203"/>
      <c r="C51" s="203"/>
      <c r="D51" s="203"/>
      <c r="E51" s="203"/>
      <c r="F51" s="203"/>
      <c r="G51" s="203"/>
      <c r="H51" s="203"/>
      <c r="I51" s="203"/>
      <c r="J51" s="203"/>
      <c r="K51" s="202"/>
    </row>
    <row r="52" spans="1:11" x14ac:dyDescent="0.35">
      <c r="A52" s="59" t="s">
        <v>1543</v>
      </c>
      <c r="B52" s="197">
        <v>6.0999999999999999E-2</v>
      </c>
      <c r="C52" s="197">
        <v>6.0999999999999999E-2</v>
      </c>
      <c r="D52" s="197">
        <v>6.0999999999999999E-2</v>
      </c>
      <c r="E52" s="197">
        <v>6.0999999999999999E-2</v>
      </c>
      <c r="F52" s="197">
        <v>6.0999999999999999E-2</v>
      </c>
      <c r="G52" s="197">
        <v>6.0999999999999999E-2</v>
      </c>
      <c r="H52" s="197">
        <v>6.0999999999999999E-2</v>
      </c>
      <c r="I52" s="197">
        <v>6.0999999999999999E-2</v>
      </c>
      <c r="J52" s="197">
        <v>6.0999999999999999E-2</v>
      </c>
      <c r="K52" s="196">
        <v>6.0999999999999999E-2</v>
      </c>
    </row>
    <row r="53" spans="1:11" x14ac:dyDescent="0.35">
      <c r="A53" s="59" t="s">
        <v>1470</v>
      </c>
      <c r="B53" s="197">
        <v>0.69</v>
      </c>
      <c r="C53" s="197">
        <v>0.69</v>
      </c>
      <c r="D53" s="197">
        <v>0.69</v>
      </c>
      <c r="E53" s="197">
        <v>0.69</v>
      </c>
      <c r="F53" s="197">
        <v>0.69</v>
      </c>
      <c r="G53" s="197">
        <v>0.69</v>
      </c>
      <c r="H53" s="197">
        <v>0.69</v>
      </c>
      <c r="I53" s="197">
        <v>0.69</v>
      </c>
      <c r="J53" s="197">
        <v>0.69</v>
      </c>
      <c r="K53" s="196">
        <v>0.69</v>
      </c>
    </row>
    <row r="54" spans="1:11" x14ac:dyDescent="0.35">
      <c r="A54" s="59" t="s">
        <v>1469</v>
      </c>
      <c r="B54" s="197">
        <v>7.9000000000000001E-2</v>
      </c>
      <c r="C54" s="197">
        <v>7.9000000000000001E-2</v>
      </c>
      <c r="D54" s="197">
        <v>7.9000000000000001E-2</v>
      </c>
      <c r="E54" s="197">
        <v>7.9000000000000001E-2</v>
      </c>
      <c r="F54" s="197">
        <v>7.9000000000000001E-2</v>
      </c>
      <c r="G54" s="197">
        <v>7.9000000000000001E-2</v>
      </c>
      <c r="H54" s="197">
        <v>7.9000000000000001E-2</v>
      </c>
      <c r="I54" s="197">
        <v>7.9000000000000001E-2</v>
      </c>
      <c r="J54" s="197">
        <v>7.9000000000000001E-2</v>
      </c>
      <c r="K54" s="196">
        <v>7.9000000000000001E-2</v>
      </c>
    </row>
    <row r="55" spans="1:11" x14ac:dyDescent="0.35">
      <c r="A55" s="59" t="s">
        <v>1468</v>
      </c>
      <c r="B55" s="197">
        <v>2.1000000000000001E-2</v>
      </c>
      <c r="C55" s="197">
        <v>2.1000000000000001E-2</v>
      </c>
      <c r="D55" s="197">
        <v>2.1000000000000001E-2</v>
      </c>
      <c r="E55" s="197">
        <v>2.1000000000000001E-2</v>
      </c>
      <c r="F55" s="197">
        <v>2.1000000000000001E-2</v>
      </c>
      <c r="G55" s="197">
        <v>2.1000000000000001E-2</v>
      </c>
      <c r="H55" s="197">
        <v>2.1000000000000001E-2</v>
      </c>
      <c r="I55" s="197">
        <v>2.1000000000000001E-2</v>
      </c>
      <c r="J55" s="197">
        <v>2.1000000000000001E-2</v>
      </c>
      <c r="K55" s="196">
        <v>2.1000000000000001E-2</v>
      </c>
    </row>
    <row r="56" spans="1:11" x14ac:dyDescent="0.35">
      <c r="A56" s="59" t="s">
        <v>1467</v>
      </c>
      <c r="B56" s="197">
        <v>0.14099999999999999</v>
      </c>
      <c r="C56" s="197">
        <v>0.14099999999999999</v>
      </c>
      <c r="D56" s="197">
        <v>0.14099999999999999</v>
      </c>
      <c r="E56" s="197">
        <v>0.14099999999999999</v>
      </c>
      <c r="F56" s="197">
        <v>0.14099999999999999</v>
      </c>
      <c r="G56" s="197">
        <v>0.14099999999999999</v>
      </c>
      <c r="H56" s="197">
        <v>0.14099999999999999</v>
      </c>
      <c r="I56" s="197">
        <v>0.14099999999999999</v>
      </c>
      <c r="J56" s="197">
        <v>0.14099999999999999</v>
      </c>
      <c r="K56" s="196">
        <v>0.14099999999999999</v>
      </c>
    </row>
    <row r="57" spans="1:11" x14ac:dyDescent="0.35">
      <c r="A57" s="57" t="s">
        <v>1466</v>
      </c>
      <c r="B57" s="194">
        <v>8.0000000000001181E-3</v>
      </c>
      <c r="C57" s="194">
        <v>8.0000000000001181E-3</v>
      </c>
      <c r="D57" s="194">
        <v>8.0000000000001181E-3</v>
      </c>
      <c r="E57" s="194">
        <v>8.0000000000001181E-3</v>
      </c>
      <c r="F57" s="194">
        <v>8.0000000000001181E-3</v>
      </c>
      <c r="G57" s="194">
        <v>8.0000000000001181E-3</v>
      </c>
      <c r="H57" s="194">
        <v>8.0000000000001181E-3</v>
      </c>
      <c r="I57" s="194">
        <v>8.0000000000001181E-3</v>
      </c>
      <c r="J57" s="194">
        <v>8.0000000000001181E-3</v>
      </c>
      <c r="K57" s="193">
        <v>8.0000000000001181E-3</v>
      </c>
    </row>
    <row r="58" spans="1:11" x14ac:dyDescent="0.35">
      <c r="A58" s="59" t="s">
        <v>1465</v>
      </c>
      <c r="B58" s="198"/>
      <c r="C58" s="198"/>
      <c r="D58" s="198"/>
      <c r="E58" s="198"/>
      <c r="F58" s="198"/>
      <c r="G58" s="198"/>
      <c r="H58" s="198"/>
      <c r="I58" s="198"/>
      <c r="J58" s="198"/>
      <c r="K58" s="201"/>
    </row>
    <row r="59" spans="1:11" x14ac:dyDescent="0.35">
      <c r="A59" s="59" t="s">
        <v>1464</v>
      </c>
      <c r="B59" s="198"/>
      <c r="C59" s="198"/>
      <c r="D59" s="197">
        <v>0.12</v>
      </c>
      <c r="E59" s="197">
        <v>0.12</v>
      </c>
      <c r="F59" s="197">
        <v>0.12</v>
      </c>
      <c r="G59" s="197">
        <v>0.12</v>
      </c>
      <c r="H59" s="197">
        <v>0.12</v>
      </c>
      <c r="I59" s="197">
        <v>0.12</v>
      </c>
      <c r="J59" s="197">
        <v>0.12</v>
      </c>
      <c r="K59" s="196">
        <v>0.12</v>
      </c>
    </row>
    <row r="60" spans="1:11" x14ac:dyDescent="0.35">
      <c r="A60" s="59" t="s">
        <v>1438</v>
      </c>
      <c r="B60" s="198"/>
      <c r="C60" s="198"/>
      <c r="D60" s="197">
        <v>0.23699999999999999</v>
      </c>
      <c r="E60" s="197">
        <v>0.23699999999999999</v>
      </c>
      <c r="F60" s="197">
        <v>0.23699999999999999</v>
      </c>
      <c r="G60" s="197">
        <v>0.23699999999999999</v>
      </c>
      <c r="H60" s="197">
        <v>0.23699999999999999</v>
      </c>
      <c r="I60" s="197">
        <v>0.23699999999999999</v>
      </c>
      <c r="J60" s="197">
        <v>0.23699999999999999</v>
      </c>
      <c r="K60" s="196">
        <v>0.23699999999999999</v>
      </c>
    </row>
    <row r="61" spans="1:11" x14ac:dyDescent="0.35">
      <c r="A61" s="59" t="s">
        <v>1463</v>
      </c>
      <c r="B61" s="198"/>
      <c r="C61" s="198"/>
      <c r="D61" s="197">
        <v>5.0000000000000001E-3</v>
      </c>
      <c r="E61" s="197">
        <v>5.0000000000000001E-3</v>
      </c>
      <c r="F61" s="197">
        <v>5.0000000000000001E-3</v>
      </c>
      <c r="G61" s="197">
        <v>5.0000000000000001E-3</v>
      </c>
      <c r="H61" s="197">
        <v>5.0000000000000001E-3</v>
      </c>
      <c r="I61" s="197">
        <v>5.0000000000000001E-3</v>
      </c>
      <c r="J61" s="197">
        <v>5.0000000000000001E-3</v>
      </c>
      <c r="K61" s="196">
        <v>5.0000000000000001E-3</v>
      </c>
    </row>
    <row r="62" spans="1:11" x14ac:dyDescent="0.35">
      <c r="A62" s="59" t="s">
        <v>1447</v>
      </c>
      <c r="B62" s="198"/>
      <c r="C62" s="198"/>
      <c r="D62" s="197">
        <v>3.9E-2</v>
      </c>
      <c r="E62" s="197">
        <v>3.9E-2</v>
      </c>
      <c r="F62" s="197">
        <v>3.9E-2</v>
      </c>
      <c r="G62" s="197">
        <v>3.9E-2</v>
      </c>
      <c r="H62" s="197">
        <v>3.9E-2</v>
      </c>
      <c r="I62" s="197">
        <v>3.9E-2</v>
      </c>
      <c r="J62" s="197">
        <v>3.9E-2</v>
      </c>
      <c r="K62" s="196">
        <v>3.9E-2</v>
      </c>
    </row>
    <row r="63" spans="1:11" x14ac:dyDescent="0.35">
      <c r="A63" s="59" t="s">
        <v>1462</v>
      </c>
      <c r="B63" s="198"/>
      <c r="C63" s="198"/>
      <c r="D63" s="197">
        <v>0.01</v>
      </c>
      <c r="E63" s="197">
        <v>0.01</v>
      </c>
      <c r="F63" s="197">
        <v>0.01</v>
      </c>
      <c r="G63" s="197">
        <v>0.01</v>
      </c>
      <c r="H63" s="197">
        <v>0.01</v>
      </c>
      <c r="I63" s="197">
        <v>0.01</v>
      </c>
      <c r="J63" s="197">
        <v>0.01</v>
      </c>
      <c r="K63" s="196">
        <v>0.01</v>
      </c>
    </row>
    <row r="64" spans="1:11" x14ac:dyDescent="0.35">
      <c r="A64" s="59" t="s">
        <v>1461</v>
      </c>
      <c r="B64" s="198"/>
      <c r="C64" s="198"/>
      <c r="D64" s="197">
        <v>1.7999999999999999E-2</v>
      </c>
      <c r="E64" s="197">
        <v>1.7999999999999999E-2</v>
      </c>
      <c r="F64" s="197">
        <v>1.7999999999999999E-2</v>
      </c>
      <c r="G64" s="197">
        <v>1.7999999999999999E-2</v>
      </c>
      <c r="H64" s="197">
        <v>1.7999999999999999E-2</v>
      </c>
      <c r="I64" s="197">
        <v>1.7999999999999999E-2</v>
      </c>
      <c r="J64" s="197">
        <v>1.7999999999999999E-2</v>
      </c>
      <c r="K64" s="196">
        <v>1.7999999999999999E-2</v>
      </c>
    </row>
    <row r="65" spans="1:11" x14ac:dyDescent="0.35">
      <c r="A65" s="59" t="s">
        <v>1460</v>
      </c>
      <c r="B65" s="198"/>
      <c r="C65" s="198"/>
      <c r="D65" s="197">
        <v>0.28199999999999997</v>
      </c>
      <c r="E65" s="197">
        <v>0.28199999999999997</v>
      </c>
      <c r="F65" s="197">
        <v>0.28199999999999997</v>
      </c>
      <c r="G65" s="197">
        <v>0.28199999999999997</v>
      </c>
      <c r="H65" s="197">
        <v>0.28199999999999997</v>
      </c>
      <c r="I65" s="197">
        <v>0.28199999999999997</v>
      </c>
      <c r="J65" s="197">
        <v>0.28199999999999997</v>
      </c>
      <c r="K65" s="196">
        <v>0.28199999999999997</v>
      </c>
    </row>
    <row r="66" spans="1:11" x14ac:dyDescent="0.35">
      <c r="A66" s="59" t="s">
        <v>1459</v>
      </c>
      <c r="B66" s="198"/>
      <c r="C66" s="198"/>
      <c r="D66" s="197">
        <v>6.3E-2</v>
      </c>
      <c r="E66" s="197">
        <v>6.3E-2</v>
      </c>
      <c r="F66" s="197">
        <v>6.3E-2</v>
      </c>
      <c r="G66" s="197">
        <v>6.3E-2</v>
      </c>
      <c r="H66" s="197">
        <v>6.3E-2</v>
      </c>
      <c r="I66" s="197">
        <v>6.3E-2</v>
      </c>
      <c r="J66" s="197">
        <v>6.3E-2</v>
      </c>
      <c r="K66" s="196">
        <v>6.3E-2</v>
      </c>
    </row>
    <row r="67" spans="1:11" x14ac:dyDescent="0.35">
      <c r="A67" s="59" t="s">
        <v>1497</v>
      </c>
      <c r="B67" s="198"/>
      <c r="C67" s="198"/>
      <c r="D67" s="197">
        <v>0.22500000000000001</v>
      </c>
      <c r="E67" s="197">
        <v>0.22500000000000001</v>
      </c>
      <c r="F67" s="197">
        <v>0.22500000000000001</v>
      </c>
      <c r="G67" s="197">
        <v>0.22500000000000001</v>
      </c>
      <c r="H67" s="197">
        <v>0.22500000000000001</v>
      </c>
      <c r="I67" s="197">
        <v>0.22500000000000001</v>
      </c>
      <c r="J67" s="197">
        <v>0.22500000000000001</v>
      </c>
      <c r="K67" s="196">
        <v>0.22500000000000001</v>
      </c>
    </row>
    <row r="68" spans="1:11" x14ac:dyDescent="0.35">
      <c r="A68" s="59" t="s">
        <v>1457</v>
      </c>
      <c r="B68" s="198"/>
      <c r="C68" s="198"/>
      <c r="D68" s="197">
        <v>1.0000000000000009E-3</v>
      </c>
      <c r="E68" s="197">
        <v>1.0000000000000009E-3</v>
      </c>
      <c r="F68" s="197">
        <v>1.0000000000000009E-3</v>
      </c>
      <c r="G68" s="197">
        <v>1.0000000000000009E-3</v>
      </c>
      <c r="H68" s="197">
        <v>1.0000000000000009E-3</v>
      </c>
      <c r="I68" s="197">
        <v>1.0000000000000009E-3</v>
      </c>
      <c r="J68" s="197">
        <v>1.0000000000000009E-3</v>
      </c>
      <c r="K68" s="196">
        <v>1.0000000000000009E-3</v>
      </c>
    </row>
    <row r="69" spans="1:11" x14ac:dyDescent="0.35">
      <c r="A69" s="61" t="s">
        <v>1456</v>
      </c>
      <c r="B69" s="200"/>
      <c r="C69" s="200"/>
      <c r="D69" s="200"/>
      <c r="E69" s="200"/>
      <c r="F69" s="200"/>
      <c r="G69" s="200"/>
      <c r="H69" s="200"/>
      <c r="I69" s="200"/>
      <c r="J69" s="200"/>
      <c r="K69" s="199"/>
    </row>
    <row r="70" spans="1:11" x14ac:dyDescent="0.35">
      <c r="A70" s="59" t="s">
        <v>1451</v>
      </c>
      <c r="B70" s="198"/>
      <c r="C70" s="198"/>
      <c r="D70" s="197">
        <v>0.16262083323711099</v>
      </c>
      <c r="E70" s="197">
        <v>0.16262083323711099</v>
      </c>
      <c r="F70" s="197">
        <v>0.24784312730705699</v>
      </c>
      <c r="G70" s="197">
        <v>0.24784312730705699</v>
      </c>
      <c r="H70" s="197">
        <v>0.25166563505797701</v>
      </c>
      <c r="I70" s="197">
        <v>0.25166563505797701</v>
      </c>
      <c r="J70" s="197">
        <v>0.16262083323711099</v>
      </c>
      <c r="K70" s="196">
        <v>0.16262083323711099</v>
      </c>
    </row>
    <row r="71" spans="1:11" x14ac:dyDescent="0.35">
      <c r="A71" s="59" t="s">
        <v>1450</v>
      </c>
      <c r="B71" s="198"/>
      <c r="C71" s="198"/>
      <c r="D71" s="197">
        <v>0.102534491476213</v>
      </c>
      <c r="E71" s="197">
        <v>0.102534491476213</v>
      </c>
      <c r="F71" s="197">
        <v>0.15345400280798999</v>
      </c>
      <c r="G71" s="197">
        <v>0.15345400280798999</v>
      </c>
      <c r="H71" s="197">
        <v>0.15745210403031401</v>
      </c>
      <c r="I71" s="197">
        <v>0.15745210403031401</v>
      </c>
      <c r="J71" s="197">
        <v>0.102534491476213</v>
      </c>
      <c r="K71" s="196">
        <v>0.102534491476213</v>
      </c>
    </row>
    <row r="72" spans="1:11" x14ac:dyDescent="0.35">
      <c r="A72" s="59" t="s">
        <v>1449</v>
      </c>
      <c r="B72" s="198"/>
      <c r="C72" s="198"/>
      <c r="D72" s="197">
        <v>0</v>
      </c>
      <c r="E72" s="197">
        <v>0</v>
      </c>
      <c r="F72" s="197">
        <v>0</v>
      </c>
      <c r="G72" s="197">
        <v>0</v>
      </c>
      <c r="H72" s="197">
        <v>0</v>
      </c>
      <c r="I72" s="197">
        <v>0</v>
      </c>
      <c r="J72" s="197">
        <v>0</v>
      </c>
      <c r="K72" s="196">
        <v>0</v>
      </c>
    </row>
    <row r="73" spans="1:11" x14ac:dyDescent="0.35">
      <c r="A73" s="59" t="s">
        <v>1448</v>
      </c>
      <c r="B73" s="198"/>
      <c r="C73" s="198"/>
      <c r="D73" s="197">
        <v>1.3955543405964501E-2</v>
      </c>
      <c r="E73" s="197">
        <v>1.3955543405964501E-2</v>
      </c>
      <c r="F73" s="197">
        <v>2.1120901584998401E-2</v>
      </c>
      <c r="G73" s="197">
        <v>2.1120901584998401E-2</v>
      </c>
      <c r="H73" s="197">
        <v>2.1532512583594302E-2</v>
      </c>
      <c r="I73" s="197">
        <v>2.1532512583594302E-2</v>
      </c>
      <c r="J73" s="197">
        <v>1.3955543405964501E-2</v>
      </c>
      <c r="K73" s="196">
        <v>1.3955543405964501E-2</v>
      </c>
    </row>
    <row r="74" spans="1:11" x14ac:dyDescent="0.35">
      <c r="A74" s="59" t="s">
        <v>1447</v>
      </c>
      <c r="B74" s="198"/>
      <c r="C74" s="198"/>
      <c r="D74" s="197">
        <v>0.23213169761182301</v>
      </c>
      <c r="E74" s="197">
        <v>0.23213169761182301</v>
      </c>
      <c r="F74" s="197">
        <v>0.16437235080384799</v>
      </c>
      <c r="G74" s="197">
        <v>0.16437235080384799</v>
      </c>
      <c r="H74" s="197">
        <v>0.11734846603878001</v>
      </c>
      <c r="I74" s="197">
        <v>0.11734846603878001</v>
      </c>
      <c r="J74" s="197">
        <v>0.23213169761182301</v>
      </c>
      <c r="K74" s="196">
        <v>0.23213169761182301</v>
      </c>
    </row>
    <row r="75" spans="1:11" x14ac:dyDescent="0.35">
      <c r="A75" s="59" t="s">
        <v>1446</v>
      </c>
      <c r="B75" s="198"/>
      <c r="C75" s="198"/>
      <c r="D75" s="197">
        <v>0.19532339202445401</v>
      </c>
      <c r="E75" s="197">
        <v>0.19532339202445401</v>
      </c>
      <c r="F75" s="197">
        <v>0.186540406195461</v>
      </c>
      <c r="G75" s="197">
        <v>0.186540406195461</v>
      </c>
      <c r="H75" s="197">
        <v>0.23852132293342199</v>
      </c>
      <c r="I75" s="197">
        <v>0.23852132293342199</v>
      </c>
      <c r="J75" s="197">
        <v>0.19532339202445401</v>
      </c>
      <c r="K75" s="196">
        <v>0.19532339202445401</v>
      </c>
    </row>
    <row r="76" spans="1:11" x14ac:dyDescent="0.35">
      <c r="A76" s="59" t="s">
        <v>1445</v>
      </c>
      <c r="B76" s="198"/>
      <c r="C76" s="198"/>
      <c r="D76" s="197">
        <v>0</v>
      </c>
      <c r="E76" s="197">
        <v>0</v>
      </c>
      <c r="F76" s="197">
        <v>0</v>
      </c>
      <c r="G76" s="197">
        <v>0</v>
      </c>
      <c r="H76" s="197">
        <v>0</v>
      </c>
      <c r="I76" s="197">
        <v>0</v>
      </c>
      <c r="J76" s="197">
        <v>0</v>
      </c>
      <c r="K76" s="196">
        <v>0</v>
      </c>
    </row>
    <row r="77" spans="1:11" x14ac:dyDescent="0.35">
      <c r="A77" s="59" t="s">
        <v>1630</v>
      </c>
      <c r="B77" s="198"/>
      <c r="C77" s="198"/>
      <c r="D77" s="197">
        <v>1.2521658402665699E-2</v>
      </c>
      <c r="E77" s="197">
        <v>1.2521658402665699E-2</v>
      </c>
      <c r="F77" s="197">
        <v>1.65018967218367E-2</v>
      </c>
      <c r="G77" s="197">
        <v>1.65018967218367E-2</v>
      </c>
      <c r="H77" s="197">
        <v>1.6126946263199601E-2</v>
      </c>
      <c r="I77" s="197">
        <v>1.6126946263199601E-2</v>
      </c>
      <c r="J77" s="197">
        <v>1.2521658402665699E-2</v>
      </c>
      <c r="K77" s="196">
        <v>1.2521658402665699E-2</v>
      </c>
    </row>
    <row r="78" spans="1:11" x14ac:dyDescent="0.35">
      <c r="A78" s="59" t="s">
        <v>1443</v>
      </c>
      <c r="B78" s="198"/>
      <c r="C78" s="198"/>
      <c r="D78" s="197">
        <v>3.4955410224960702E-2</v>
      </c>
      <c r="E78" s="197">
        <v>3.4955410224960702E-2</v>
      </c>
      <c r="F78" s="197">
        <v>4.6066627187253101E-2</v>
      </c>
      <c r="G78" s="197">
        <v>4.6066627187253101E-2</v>
      </c>
      <c r="H78" s="197">
        <v>4.50199170252105E-2</v>
      </c>
      <c r="I78" s="197">
        <v>4.50199170252105E-2</v>
      </c>
      <c r="J78" s="197">
        <v>3.4955410224960702E-2</v>
      </c>
      <c r="K78" s="196">
        <v>3.4955410224960702E-2</v>
      </c>
    </row>
    <row r="79" spans="1:11" x14ac:dyDescent="0.35">
      <c r="A79" s="59" t="s">
        <v>1442</v>
      </c>
      <c r="B79" s="198"/>
      <c r="C79" s="198"/>
      <c r="D79" s="197">
        <v>3.495541022496066E-2</v>
      </c>
      <c r="E79" s="197">
        <v>3.495541022496066E-2</v>
      </c>
      <c r="F79" s="197">
        <v>4.6066627187253101E-2</v>
      </c>
      <c r="G79" s="197">
        <v>4.6066627187253101E-2</v>
      </c>
      <c r="H79" s="197">
        <v>4.50199170252105E-2</v>
      </c>
      <c r="I79" s="197">
        <v>4.50199170252105E-2</v>
      </c>
      <c r="J79" s="197">
        <v>3.495541022496066E-2</v>
      </c>
      <c r="K79" s="196">
        <v>3.495541022496066E-2</v>
      </c>
    </row>
    <row r="80" spans="1:11" x14ac:dyDescent="0.35">
      <c r="A80" s="59" t="s">
        <v>1631</v>
      </c>
      <c r="B80" s="198"/>
      <c r="C80" s="198"/>
      <c r="D80" s="197">
        <v>1.54440385354183E-2</v>
      </c>
      <c r="E80" s="197">
        <v>1.54440385354183E-2</v>
      </c>
      <c r="F80" s="197">
        <v>1.3506611478959299E-2</v>
      </c>
      <c r="G80" s="197">
        <v>1.3506611478959299E-2</v>
      </c>
      <c r="H80" s="197">
        <v>1.1037567619927901E-2</v>
      </c>
      <c r="I80" s="197">
        <v>1.1037567619927901E-2</v>
      </c>
      <c r="J80" s="197">
        <v>1.54440385354183E-2</v>
      </c>
      <c r="K80" s="196">
        <v>1.54440385354183E-2</v>
      </c>
    </row>
    <row r="81" spans="1:11" x14ac:dyDescent="0.35">
      <c r="A81" s="59" t="s">
        <v>1440</v>
      </c>
      <c r="B81" s="198"/>
      <c r="C81" s="198"/>
      <c r="D81" s="197">
        <v>4.8440277379864297E-3</v>
      </c>
      <c r="E81" s="197">
        <v>4.8440277379864297E-3</v>
      </c>
      <c r="F81" s="197">
        <v>3.6449162575518399E-3</v>
      </c>
      <c r="G81" s="197">
        <v>3.6449162575518399E-3</v>
      </c>
      <c r="H81" s="197">
        <v>3.6105331664017899E-3</v>
      </c>
      <c r="I81" s="197">
        <v>3.6105331664017899E-3</v>
      </c>
      <c r="J81" s="197">
        <v>4.8440277379864297E-3</v>
      </c>
      <c r="K81" s="196">
        <v>4.8440277379864297E-3</v>
      </c>
    </row>
    <row r="82" spans="1:11" x14ac:dyDescent="0.35">
      <c r="A82" s="59" t="s">
        <v>1439</v>
      </c>
      <c r="B82" s="198"/>
      <c r="C82" s="198"/>
      <c r="D82" s="197">
        <v>2.59439525129201E-3</v>
      </c>
      <c r="E82" s="197">
        <v>2.59439525129201E-3</v>
      </c>
      <c r="F82" s="197">
        <v>2.1569342081906198E-3</v>
      </c>
      <c r="G82" s="197">
        <v>2.1569342081906198E-3</v>
      </c>
      <c r="H82" s="197">
        <v>2.0592672049988699E-3</v>
      </c>
      <c r="I82" s="197">
        <v>2.0592672049988699E-3</v>
      </c>
      <c r="J82" s="197">
        <v>2.59439525129201E-3</v>
      </c>
      <c r="K82" s="196">
        <v>2.59439525129201E-3</v>
      </c>
    </row>
    <row r="83" spans="1:11" x14ac:dyDescent="0.35">
      <c r="A83" s="59" t="s">
        <v>1438</v>
      </c>
      <c r="B83" s="198"/>
      <c r="C83" s="198"/>
      <c r="D83" s="197">
        <v>1.2786179375867301E-2</v>
      </c>
      <c r="E83" s="197">
        <v>1.2786179375867301E-2</v>
      </c>
      <c r="F83" s="197">
        <v>1.00769652656567E-2</v>
      </c>
      <c r="G83" s="197">
        <v>1.00769652656567E-2</v>
      </c>
      <c r="H83" s="197">
        <v>6.1877267563183597E-3</v>
      </c>
      <c r="I83" s="197">
        <v>6.1877267563183597E-3</v>
      </c>
      <c r="J83" s="197">
        <v>1.2786179375867301E-2</v>
      </c>
      <c r="K83" s="196">
        <v>1.2786179375867301E-2</v>
      </c>
    </row>
    <row r="84" spans="1:11" x14ac:dyDescent="0.35">
      <c r="A84" s="59" t="s">
        <v>1437</v>
      </c>
      <c r="B84" s="198"/>
      <c r="C84" s="198"/>
      <c r="D84" s="197">
        <v>9.1901306307179305E-3</v>
      </c>
      <c r="E84" s="197">
        <v>9.1901306307179305E-3</v>
      </c>
      <c r="F84" s="197">
        <v>4.3901105099765298E-3</v>
      </c>
      <c r="G84" s="197">
        <v>4.3901105099765298E-3</v>
      </c>
      <c r="H84" s="197">
        <v>4.8514138103970001E-3</v>
      </c>
      <c r="I84" s="197">
        <v>4.8514138103970001E-3</v>
      </c>
      <c r="J84" s="197">
        <v>9.1901306307179305E-3</v>
      </c>
      <c r="K84" s="196">
        <v>9.1901306307179305E-3</v>
      </c>
    </row>
    <row r="85" spans="1:11" x14ac:dyDescent="0.35">
      <c r="A85" s="59" t="s">
        <v>1436</v>
      </c>
      <c r="B85" s="198"/>
      <c r="C85" s="198"/>
      <c r="D85" s="197">
        <v>7.0436032876330198E-2</v>
      </c>
      <c r="E85" s="197">
        <v>7.0436032876330198E-2</v>
      </c>
      <c r="F85" s="197">
        <v>3.4503198184749298E-2</v>
      </c>
      <c r="G85" s="197">
        <v>3.4503198184749298E-2</v>
      </c>
      <c r="H85" s="197">
        <v>4.3006838267339399E-2</v>
      </c>
      <c r="I85" s="197">
        <v>4.3006838267339399E-2</v>
      </c>
      <c r="J85" s="197">
        <v>7.0436032876330198E-2</v>
      </c>
      <c r="K85" s="196">
        <v>7.0436032876330198E-2</v>
      </c>
    </row>
    <row r="86" spans="1:11" x14ac:dyDescent="0.35">
      <c r="A86" s="57" t="s">
        <v>1435</v>
      </c>
      <c r="B86" s="195"/>
      <c r="C86" s="195"/>
      <c r="D86" s="194">
        <v>9.5706758984235196E-2</v>
      </c>
      <c r="E86" s="194">
        <v>9.5706758984235196E-2</v>
      </c>
      <c r="F86" s="194">
        <v>4.9755324299218584E-2</v>
      </c>
      <c r="G86" s="194">
        <v>4.9755324299218584E-2</v>
      </c>
      <c r="H86" s="194">
        <v>3.6559832216908839E-2</v>
      </c>
      <c r="I86" s="194">
        <v>3.6559832216908839E-2</v>
      </c>
      <c r="J86" s="194">
        <v>9.5706758984235196E-2</v>
      </c>
      <c r="K86" s="193">
        <v>9.5706758984235196E-2</v>
      </c>
    </row>
    <row r="87" spans="1:11" x14ac:dyDescent="0.35">
      <c r="B87" s="192"/>
      <c r="C87" s="192"/>
      <c r="D87" s="192"/>
      <c r="E87" s="192"/>
    </row>
    <row r="88" spans="1:11" ht="13.9" x14ac:dyDescent="0.4">
      <c r="A88" s="72" t="s">
        <v>1545</v>
      </c>
      <c r="B88" s="192"/>
      <c r="C88" s="192"/>
      <c r="D88" s="192"/>
      <c r="E88" s="192"/>
    </row>
    <row r="89" spans="1:11" ht="13.15" x14ac:dyDescent="0.4">
      <c r="A89" s="41" t="s">
        <v>1544</v>
      </c>
      <c r="B89" s="192"/>
      <c r="C89" s="192"/>
      <c r="D89" s="192"/>
      <c r="E89" s="192"/>
    </row>
    <row r="90" spans="1:11" ht="39.4" x14ac:dyDescent="0.4">
      <c r="A90" s="55"/>
      <c r="B90" s="180" t="s">
        <v>1481</v>
      </c>
      <c r="C90" s="180" t="s">
        <v>1480</v>
      </c>
      <c r="D90" s="180" t="s">
        <v>1479</v>
      </c>
      <c r="E90" s="180" t="s">
        <v>1478</v>
      </c>
      <c r="F90" s="180" t="s">
        <v>1477</v>
      </c>
      <c r="G90" s="180" t="s">
        <v>1476</v>
      </c>
      <c r="H90" s="180" t="s">
        <v>1475</v>
      </c>
      <c r="I90" s="180" t="s">
        <v>1474</v>
      </c>
      <c r="J90" s="180" t="s">
        <v>1473</v>
      </c>
      <c r="K90" s="179" t="s">
        <v>1472</v>
      </c>
    </row>
    <row r="91" spans="1:11" ht="13.15" x14ac:dyDescent="0.4">
      <c r="A91" s="178" t="s">
        <v>1540</v>
      </c>
      <c r="B91" s="177"/>
      <c r="C91" s="177"/>
      <c r="D91" s="177"/>
      <c r="E91" s="177"/>
      <c r="F91" s="177"/>
      <c r="G91" s="177"/>
      <c r="H91" s="177"/>
      <c r="I91" s="177"/>
      <c r="J91" s="177"/>
      <c r="K91" s="185"/>
    </row>
    <row r="92" spans="1:11" s="186" customFormat="1" x14ac:dyDescent="0.35">
      <c r="A92" s="191" t="s">
        <v>1543</v>
      </c>
      <c r="B92" s="186">
        <v>2.1959999999999997</v>
      </c>
      <c r="C92" s="186">
        <v>1.4274</v>
      </c>
      <c r="D92" s="186">
        <v>1.3481000000000001</v>
      </c>
      <c r="E92" s="186">
        <v>0.87626500000000007</v>
      </c>
      <c r="F92" s="186">
        <v>1.3481000000000001</v>
      </c>
      <c r="G92" s="186">
        <v>0.87626500000000007</v>
      </c>
      <c r="H92" s="186">
        <v>1.3481000000000001</v>
      </c>
      <c r="I92" s="186">
        <v>0.87626500000000007</v>
      </c>
      <c r="J92" s="186">
        <v>1.3481000000000001</v>
      </c>
      <c r="K92" s="190">
        <v>0.87626500000000007</v>
      </c>
    </row>
    <row r="93" spans="1:11" s="186" customFormat="1" x14ac:dyDescent="0.35">
      <c r="A93" s="191" t="s">
        <v>1470</v>
      </c>
      <c r="B93" s="186">
        <v>24.839999999999996</v>
      </c>
      <c r="C93" s="186">
        <v>16.146000000000001</v>
      </c>
      <c r="D93" s="186">
        <v>15.249000000000001</v>
      </c>
      <c r="E93" s="186">
        <v>9.9118500000000012</v>
      </c>
      <c r="F93" s="186">
        <v>15.249000000000001</v>
      </c>
      <c r="G93" s="186">
        <v>9.9118500000000012</v>
      </c>
      <c r="H93" s="186">
        <v>15.249000000000001</v>
      </c>
      <c r="I93" s="186">
        <v>9.9118500000000012</v>
      </c>
      <c r="J93" s="186">
        <v>15.249000000000001</v>
      </c>
      <c r="K93" s="190">
        <v>9.9118500000000012</v>
      </c>
    </row>
    <row r="94" spans="1:11" s="186" customFormat="1" x14ac:dyDescent="0.35">
      <c r="A94" s="191" t="s">
        <v>1469</v>
      </c>
      <c r="B94" s="186">
        <v>2.8439999999999999</v>
      </c>
      <c r="C94" s="186">
        <v>1.8486000000000002</v>
      </c>
      <c r="D94" s="186">
        <v>1.7459000000000002</v>
      </c>
      <c r="E94" s="186">
        <v>1.1348350000000003</v>
      </c>
      <c r="F94" s="186">
        <v>1.7459000000000002</v>
      </c>
      <c r="G94" s="186">
        <v>1.1348350000000003</v>
      </c>
      <c r="H94" s="186">
        <v>1.7459000000000002</v>
      </c>
      <c r="I94" s="186">
        <v>1.1348350000000003</v>
      </c>
      <c r="J94" s="186">
        <v>1.7459000000000002</v>
      </c>
      <c r="K94" s="190">
        <v>1.1348350000000003</v>
      </c>
    </row>
    <row r="95" spans="1:11" s="186" customFormat="1" x14ac:dyDescent="0.35">
      <c r="A95" s="191" t="s">
        <v>1468</v>
      </c>
      <c r="B95" s="186">
        <v>0.75600000000000001</v>
      </c>
      <c r="C95" s="186">
        <v>0.49140000000000006</v>
      </c>
      <c r="D95" s="186">
        <v>0.46410000000000007</v>
      </c>
      <c r="E95" s="186">
        <v>0.30166500000000007</v>
      </c>
      <c r="F95" s="186">
        <v>0.46410000000000007</v>
      </c>
      <c r="G95" s="186">
        <v>0.30166500000000007</v>
      </c>
      <c r="H95" s="186">
        <v>0.46410000000000007</v>
      </c>
      <c r="I95" s="186">
        <v>0.30166500000000007</v>
      </c>
      <c r="J95" s="186">
        <v>0.46410000000000007</v>
      </c>
      <c r="K95" s="190">
        <v>0.30166500000000007</v>
      </c>
    </row>
    <row r="96" spans="1:11" s="186" customFormat="1" x14ac:dyDescent="0.35">
      <c r="A96" s="191" t="s">
        <v>1467</v>
      </c>
      <c r="B96" s="186">
        <v>5.0759999999999996</v>
      </c>
      <c r="C96" s="186">
        <v>3.2993999999999999</v>
      </c>
      <c r="D96" s="186">
        <v>3.1160999999999999</v>
      </c>
      <c r="E96" s="186">
        <v>2.0254650000000001</v>
      </c>
      <c r="F96" s="186">
        <v>3.1160999999999999</v>
      </c>
      <c r="G96" s="186">
        <v>2.0254650000000001</v>
      </c>
      <c r="H96" s="186">
        <v>3.1160999999999999</v>
      </c>
      <c r="I96" s="186">
        <v>2.0254650000000001</v>
      </c>
      <c r="J96" s="186">
        <v>3.1160999999999999</v>
      </c>
      <c r="K96" s="190">
        <v>2.0254650000000001</v>
      </c>
    </row>
    <row r="97" spans="1:11" s="186" customFormat="1" x14ac:dyDescent="0.35">
      <c r="A97" s="189" t="s">
        <v>1466</v>
      </c>
      <c r="B97" s="188">
        <v>0.28800000000000425</v>
      </c>
      <c r="C97" s="188">
        <v>0.18720000000000278</v>
      </c>
      <c r="D97" s="188">
        <v>0.17680000000000262</v>
      </c>
      <c r="E97" s="188">
        <v>0.11492000000000172</v>
      </c>
      <c r="F97" s="188">
        <v>0.17680000000000262</v>
      </c>
      <c r="G97" s="188">
        <v>0.11492000000000172</v>
      </c>
      <c r="H97" s="188">
        <v>0.17680000000000262</v>
      </c>
      <c r="I97" s="188">
        <v>0.11492000000000172</v>
      </c>
      <c r="J97" s="188">
        <v>0.17680000000000262</v>
      </c>
      <c r="K97" s="187">
        <v>0.11492000000000172</v>
      </c>
    </row>
    <row r="98" spans="1:11" s="145" customFormat="1" ht="13.15" x14ac:dyDescent="0.4">
      <c r="A98" s="158" t="s">
        <v>320</v>
      </c>
      <c r="K98" s="144"/>
    </row>
    <row r="99" spans="1:11" s="145" customFormat="1" x14ac:dyDescent="0.35">
      <c r="A99" s="146" t="s">
        <v>1537</v>
      </c>
      <c r="B99" s="145">
        <v>0.78065467342840877</v>
      </c>
      <c r="C99" s="145">
        <v>0.50742553772846566</v>
      </c>
      <c r="D99" s="145">
        <v>0.47923523007688429</v>
      </c>
      <c r="E99" s="145">
        <v>0.31150289954997479</v>
      </c>
      <c r="F99" s="145">
        <v>0.47923523007688429</v>
      </c>
      <c r="G99" s="145">
        <v>0.31150289954997479</v>
      </c>
      <c r="H99" s="145">
        <v>0.47923523007688429</v>
      </c>
      <c r="I99" s="145">
        <v>0.31150289954997479</v>
      </c>
      <c r="J99" s="145">
        <v>0.47923523007688429</v>
      </c>
      <c r="K99" s="144">
        <v>0.31150289954997479</v>
      </c>
    </row>
    <row r="100" spans="1:11" s="145" customFormat="1" x14ac:dyDescent="0.35">
      <c r="A100" s="146" t="s">
        <v>1536</v>
      </c>
      <c r="B100" s="145">
        <v>0.74472577177292543</v>
      </c>
      <c r="C100" s="145">
        <v>0.48407175165240168</v>
      </c>
      <c r="D100" s="145">
        <v>0.45717887656060152</v>
      </c>
      <c r="E100" s="145">
        <v>0.29716626976439098</v>
      </c>
      <c r="F100" s="145">
        <v>0.45717887656060152</v>
      </c>
      <c r="G100" s="145">
        <v>0.29716626976439098</v>
      </c>
      <c r="H100" s="145">
        <v>0.45717887656060152</v>
      </c>
      <c r="I100" s="145">
        <v>0.29716626976439098</v>
      </c>
      <c r="J100" s="145">
        <v>0.45717887656060152</v>
      </c>
      <c r="K100" s="144">
        <v>0.29716626976439098</v>
      </c>
    </row>
    <row r="101" spans="1:11" s="145" customFormat="1" x14ac:dyDescent="0.35">
      <c r="A101" s="146" t="s">
        <v>1535</v>
      </c>
      <c r="B101" s="145">
        <v>0.37500000917348464</v>
      </c>
      <c r="C101" s="145">
        <v>0.24375000596276508</v>
      </c>
      <c r="D101" s="145">
        <v>0.2302083389648337</v>
      </c>
      <c r="E101" s="145">
        <v>0.14963542032714189</v>
      </c>
      <c r="F101" s="145">
        <v>0.2302083389648337</v>
      </c>
      <c r="G101" s="145">
        <v>0.14963542032714189</v>
      </c>
      <c r="H101" s="145">
        <v>0.2302083389648337</v>
      </c>
      <c r="I101" s="145">
        <v>0.14963542032714189</v>
      </c>
      <c r="J101" s="145">
        <v>0.2302083389648337</v>
      </c>
      <c r="K101" s="144">
        <v>0.14963542032714189</v>
      </c>
    </row>
    <row r="102" spans="1:11" s="145" customFormat="1" x14ac:dyDescent="0.35">
      <c r="A102" s="146" t="s">
        <v>1534</v>
      </c>
      <c r="B102" s="145">
        <v>0.30177406329371614</v>
      </c>
      <c r="C102" s="145">
        <v>0.19615314114091559</v>
      </c>
      <c r="D102" s="145">
        <v>0.18525574441086465</v>
      </c>
      <c r="E102" s="145">
        <v>0.12041623386706202</v>
      </c>
      <c r="F102" s="145">
        <v>0.18525574441086465</v>
      </c>
      <c r="G102" s="145">
        <v>0.12041623386706202</v>
      </c>
      <c r="H102" s="145">
        <v>0.18525574441086465</v>
      </c>
      <c r="I102" s="145">
        <v>0.12041623386706202</v>
      </c>
      <c r="J102" s="145">
        <v>0.18525574441086465</v>
      </c>
      <c r="K102" s="144">
        <v>0.12041623386706202</v>
      </c>
    </row>
    <row r="103" spans="1:11" s="145" customFormat="1" x14ac:dyDescent="0.35">
      <c r="A103" s="146" t="s">
        <v>1533</v>
      </c>
      <c r="B103" s="145">
        <v>6.7951699305724617E-2</v>
      </c>
      <c r="C103" s="145">
        <v>4.4168604548721013E-2</v>
      </c>
      <c r="D103" s="145">
        <v>4.1714793184903176E-2</v>
      </c>
      <c r="E103" s="145">
        <v>2.7114615570187073E-2</v>
      </c>
      <c r="F103" s="145">
        <v>4.1714793184903176E-2</v>
      </c>
      <c r="G103" s="145">
        <v>2.7114615570187073E-2</v>
      </c>
      <c r="H103" s="145">
        <v>4.1714793184903176E-2</v>
      </c>
      <c r="I103" s="145">
        <v>2.7114615570187073E-2</v>
      </c>
      <c r="J103" s="145">
        <v>4.1714793184903176E-2</v>
      </c>
      <c r="K103" s="144">
        <v>2.7114615570187073E-2</v>
      </c>
    </row>
    <row r="104" spans="1:11" s="48" customFormat="1" x14ac:dyDescent="0.35">
      <c r="A104" s="155" t="s">
        <v>1532</v>
      </c>
      <c r="B104" s="48">
        <v>32.921200656154738</v>
      </c>
      <c r="C104" s="48">
        <v>21.398780426500586</v>
      </c>
      <c r="D104" s="48">
        <v>20.209959291694993</v>
      </c>
      <c r="E104" s="48">
        <v>13.136473539601747</v>
      </c>
      <c r="F104" s="48">
        <v>20.209959291694993</v>
      </c>
      <c r="G104" s="48">
        <v>13.136473539601747</v>
      </c>
      <c r="H104" s="48">
        <v>20.209959291694993</v>
      </c>
      <c r="I104" s="48">
        <v>13.136473539601747</v>
      </c>
      <c r="J104" s="48">
        <v>20.209959291694993</v>
      </c>
      <c r="K104" s="47">
        <v>13.136473539601747</v>
      </c>
    </row>
    <row r="105" spans="1:11" s="145" customFormat="1" ht="13.15" x14ac:dyDescent="0.4">
      <c r="A105" s="158" t="s">
        <v>335</v>
      </c>
      <c r="B105" s="157"/>
      <c r="C105" s="157"/>
      <c r="D105" s="157"/>
      <c r="E105" s="157"/>
      <c r="F105" s="157"/>
      <c r="G105" s="157"/>
      <c r="H105" s="157"/>
      <c r="I105" s="157"/>
      <c r="J105" s="157"/>
      <c r="K105" s="156"/>
    </row>
    <row r="106" spans="1:11" s="145" customFormat="1" x14ac:dyDescent="0.35">
      <c r="A106" s="146" t="s">
        <v>1525</v>
      </c>
      <c r="B106" s="145">
        <v>23.685398046040163</v>
      </c>
      <c r="C106" s="145">
        <v>15.395508729926108</v>
      </c>
      <c r="D106" s="145">
        <v>14.540202689374658</v>
      </c>
      <c r="E106" s="145">
        <v>9.4511317480935286</v>
      </c>
      <c r="F106" s="145">
        <v>14.540202689374658</v>
      </c>
      <c r="G106" s="145">
        <v>9.4511317480935286</v>
      </c>
      <c r="H106" s="145">
        <v>14.540202689374658</v>
      </c>
      <c r="I106" s="145">
        <v>9.4511317480935286</v>
      </c>
      <c r="J106" s="145">
        <v>14.540202689374658</v>
      </c>
      <c r="K106" s="144">
        <v>9.4511317480935286</v>
      </c>
    </row>
    <row r="107" spans="1:11" s="145" customFormat="1" x14ac:dyDescent="0.35">
      <c r="A107" s="146" t="s">
        <v>1524</v>
      </c>
      <c r="B107" s="145">
        <v>41.624082946282527</v>
      </c>
      <c r="C107" s="145">
        <v>27.055653915083646</v>
      </c>
      <c r="D107" s="145">
        <v>25.552562030912338</v>
      </c>
      <c r="E107" s="145">
        <v>16.60916532009302</v>
      </c>
      <c r="F107" s="145">
        <v>25.552562030912338</v>
      </c>
      <c r="G107" s="145">
        <v>16.60916532009302</v>
      </c>
      <c r="H107" s="145">
        <v>25.552562030912338</v>
      </c>
      <c r="I107" s="145">
        <v>16.60916532009302</v>
      </c>
      <c r="J107" s="145">
        <v>25.552562030912338</v>
      </c>
      <c r="K107" s="144">
        <v>16.60916532009302</v>
      </c>
    </row>
    <row r="108" spans="1:11" s="145" customFormat="1" x14ac:dyDescent="0.35">
      <c r="A108" s="146" t="s">
        <v>1523</v>
      </c>
      <c r="B108" s="145">
        <v>52.222576598629303</v>
      </c>
      <c r="C108" s="145">
        <v>33.944674789109058</v>
      </c>
      <c r="D108" s="145">
        <v>32.058859523047438</v>
      </c>
      <c r="E108" s="145">
        <v>20.838258689980837</v>
      </c>
      <c r="F108" s="145">
        <v>32.058859523047438</v>
      </c>
      <c r="G108" s="145">
        <v>20.838258689980837</v>
      </c>
      <c r="H108" s="145">
        <v>32.058859523047438</v>
      </c>
      <c r="I108" s="145">
        <v>20.838258689980837</v>
      </c>
      <c r="J108" s="145">
        <v>32.058859523047438</v>
      </c>
      <c r="K108" s="144">
        <v>20.838258689980837</v>
      </c>
    </row>
    <row r="109" spans="1:11" s="145" customFormat="1" x14ac:dyDescent="0.35">
      <c r="A109" s="146" t="s">
        <v>1522</v>
      </c>
      <c r="B109" s="145">
        <v>51.710817574782908</v>
      </c>
      <c r="C109" s="145">
        <v>33.612031423608897</v>
      </c>
      <c r="D109" s="145">
        <v>31.744696344519507</v>
      </c>
      <c r="E109" s="145">
        <v>20.634052623937684</v>
      </c>
      <c r="F109" s="145">
        <v>31.744696344519507</v>
      </c>
      <c r="G109" s="145">
        <v>20.634052623937684</v>
      </c>
      <c r="H109" s="145">
        <v>31.744696344519507</v>
      </c>
      <c r="I109" s="145">
        <v>20.634052623937684</v>
      </c>
      <c r="J109" s="145">
        <v>31.744696344519507</v>
      </c>
      <c r="K109" s="144">
        <v>20.634052623937684</v>
      </c>
    </row>
    <row r="110" spans="1:11" s="145" customFormat="1" x14ac:dyDescent="0.35">
      <c r="A110" s="146" t="s">
        <v>1521</v>
      </c>
      <c r="B110" s="145">
        <v>25.331222962078712</v>
      </c>
      <c r="C110" s="145">
        <v>16.465294925351166</v>
      </c>
      <c r="D110" s="145">
        <v>15.550556318387214</v>
      </c>
      <c r="E110" s="145">
        <v>10.107861606951687</v>
      </c>
      <c r="F110" s="145">
        <v>15.550556318387214</v>
      </c>
      <c r="G110" s="145">
        <v>10.107861606951687</v>
      </c>
      <c r="H110" s="145">
        <v>15.550556318387214</v>
      </c>
      <c r="I110" s="145">
        <v>10.107861606951687</v>
      </c>
      <c r="J110" s="145">
        <v>15.550556318387214</v>
      </c>
      <c r="K110" s="144">
        <v>10.107861606951687</v>
      </c>
    </row>
    <row r="111" spans="1:11" s="145" customFormat="1" x14ac:dyDescent="0.35">
      <c r="A111" s="146" t="s">
        <v>1520</v>
      </c>
      <c r="B111" s="145">
        <v>605.47547881043738</v>
      </c>
      <c r="C111" s="145">
        <v>393.55906122678437</v>
      </c>
      <c r="D111" s="145">
        <v>371.69466893640742</v>
      </c>
      <c r="E111" s="145">
        <v>241.60153480866489</v>
      </c>
      <c r="F111" s="145">
        <v>371.69466893640742</v>
      </c>
      <c r="G111" s="145">
        <v>241.60153480866489</v>
      </c>
      <c r="H111" s="145">
        <v>371.69466893640742</v>
      </c>
      <c r="I111" s="145">
        <v>241.60153480866489</v>
      </c>
      <c r="J111" s="145">
        <v>371.69466893640742</v>
      </c>
      <c r="K111" s="144">
        <v>241.60153480866489</v>
      </c>
    </row>
    <row r="112" spans="1:11" s="145" customFormat="1" x14ac:dyDescent="0.35">
      <c r="A112" s="146" t="s">
        <v>1519</v>
      </c>
      <c r="B112" s="145">
        <v>0.31296089264008292</v>
      </c>
      <c r="C112" s="145">
        <v>0.20342458021605392</v>
      </c>
      <c r="D112" s="145">
        <v>0.19212321464849536</v>
      </c>
      <c r="E112" s="145">
        <v>0.12488008952152199</v>
      </c>
      <c r="F112" s="145">
        <v>0.19212321464849536</v>
      </c>
      <c r="G112" s="145">
        <v>0.12488008952152199</v>
      </c>
      <c r="H112" s="145">
        <v>0.19212321464849536</v>
      </c>
      <c r="I112" s="145">
        <v>0.12488008952152199</v>
      </c>
      <c r="J112" s="145">
        <v>0.19212321464849536</v>
      </c>
      <c r="K112" s="144">
        <v>0.12488008952152199</v>
      </c>
    </row>
    <row r="113" spans="1:11" s="145" customFormat="1" x14ac:dyDescent="0.35">
      <c r="A113" s="146" t="s">
        <v>1518</v>
      </c>
      <c r="B113" s="145">
        <v>0.54158600199414453</v>
      </c>
      <c r="C113" s="145">
        <v>0.35203090129619397</v>
      </c>
      <c r="D113" s="145">
        <v>0.33247362900196098</v>
      </c>
      <c r="E113" s="145">
        <v>0.21610785885127468</v>
      </c>
      <c r="F113" s="145">
        <v>0.33247362900196098</v>
      </c>
      <c r="G113" s="145">
        <v>0.21610785885127468</v>
      </c>
      <c r="H113" s="145">
        <v>0.33247362900196098</v>
      </c>
      <c r="I113" s="145">
        <v>0.21610785885127468</v>
      </c>
      <c r="J113" s="145">
        <v>0.33247362900196098</v>
      </c>
      <c r="K113" s="144">
        <v>0.21610785885127468</v>
      </c>
    </row>
    <row r="114" spans="1:11" s="145" customFormat="1" x14ac:dyDescent="0.35">
      <c r="A114" s="146" t="s">
        <v>1531</v>
      </c>
      <c r="B114" s="145">
        <v>194.56880771569513</v>
      </c>
      <c r="C114" s="145">
        <v>126.46972501520185</v>
      </c>
      <c r="D114" s="145">
        <v>119.44362918102399</v>
      </c>
      <c r="E114" s="145">
        <v>77.638358967665582</v>
      </c>
      <c r="F114" s="145">
        <v>119.44362918102399</v>
      </c>
      <c r="G114" s="145">
        <v>77.638358967665582</v>
      </c>
      <c r="H114" s="145">
        <v>119.44362918102399</v>
      </c>
      <c r="I114" s="145">
        <v>77.638358967665582</v>
      </c>
      <c r="J114" s="145">
        <v>119.44362918102399</v>
      </c>
      <c r="K114" s="144">
        <v>77.638358967665582</v>
      </c>
    </row>
    <row r="115" spans="1:11" s="145" customFormat="1" x14ac:dyDescent="0.35">
      <c r="A115" s="146" t="s">
        <v>1530</v>
      </c>
      <c r="B115" s="145">
        <v>0.73907862098617216</v>
      </c>
      <c r="C115" s="145">
        <v>0.48040110364101185</v>
      </c>
      <c r="D115" s="145">
        <v>0.4537121534387335</v>
      </c>
      <c r="E115" s="145">
        <v>0.29491289973517676</v>
      </c>
      <c r="F115" s="145">
        <v>0.4537121534387335</v>
      </c>
      <c r="G115" s="145">
        <v>0.29491289973517676</v>
      </c>
      <c r="H115" s="145">
        <v>0.4537121534387335</v>
      </c>
      <c r="I115" s="145">
        <v>0.29491289973517676</v>
      </c>
      <c r="J115" s="145">
        <v>0.4537121534387335</v>
      </c>
      <c r="K115" s="144">
        <v>0.29491289973517676</v>
      </c>
    </row>
    <row r="116" spans="1:11" s="48" customFormat="1" x14ac:dyDescent="0.35">
      <c r="A116" s="155" t="s">
        <v>1529</v>
      </c>
      <c r="B116" s="154">
        <v>35798.482057311194</v>
      </c>
      <c r="C116" s="154">
        <v>23269.013337252283</v>
      </c>
      <c r="D116" s="154">
        <v>21976.290374071603</v>
      </c>
      <c r="E116" s="154">
        <v>14284.588743146542</v>
      </c>
      <c r="F116" s="154">
        <v>21976.290374071603</v>
      </c>
      <c r="G116" s="154">
        <v>14284.588743146542</v>
      </c>
      <c r="H116" s="154">
        <v>21976.290374071603</v>
      </c>
      <c r="I116" s="154">
        <v>14284.588743146542</v>
      </c>
      <c r="J116" s="154">
        <v>21976.290374071603</v>
      </c>
      <c r="K116" s="153">
        <v>14284.588743146542</v>
      </c>
    </row>
    <row r="117" spans="1:11" s="48" customFormat="1" x14ac:dyDescent="0.35">
      <c r="A117" s="155" t="s">
        <v>1528</v>
      </c>
      <c r="B117" s="154">
        <v>35937.71082108932</v>
      </c>
      <c r="C117" s="154">
        <v>23359.512033708063</v>
      </c>
      <c r="D117" s="154">
        <v>22061.761365168728</v>
      </c>
      <c r="E117" s="154">
        <v>14340.144887359675</v>
      </c>
      <c r="F117" s="154">
        <v>22061.761365168728</v>
      </c>
      <c r="G117" s="154">
        <v>14340.144887359675</v>
      </c>
      <c r="H117" s="154">
        <v>22061.761365168728</v>
      </c>
      <c r="I117" s="154">
        <v>14340.144887359675</v>
      </c>
      <c r="J117" s="154">
        <v>22061.761365168728</v>
      </c>
      <c r="K117" s="153">
        <v>14340.144887359675</v>
      </c>
    </row>
    <row r="118" spans="1:11" s="48" customFormat="1" x14ac:dyDescent="0.35">
      <c r="A118" s="152" t="s">
        <v>1527</v>
      </c>
      <c r="B118" s="151">
        <v>41970.630887121508</v>
      </c>
      <c r="C118" s="151">
        <v>27280.910076628985</v>
      </c>
      <c r="D118" s="151">
        <v>25765.303961260714</v>
      </c>
      <c r="E118" s="151">
        <v>16747.447574819467</v>
      </c>
      <c r="F118" s="151">
        <v>25765.303961260714</v>
      </c>
      <c r="G118" s="151">
        <v>16747.447574819467</v>
      </c>
      <c r="H118" s="151">
        <v>25765.303961260714</v>
      </c>
      <c r="I118" s="151">
        <v>16747.447574819467</v>
      </c>
      <c r="J118" s="151">
        <v>25765.303961260714</v>
      </c>
      <c r="K118" s="150">
        <v>16747.447574819467</v>
      </c>
    </row>
    <row r="119" spans="1:11" s="145" customFormat="1" ht="13.15" x14ac:dyDescent="0.4">
      <c r="A119" s="149" t="s">
        <v>1526</v>
      </c>
      <c r="B119" s="148"/>
      <c r="C119" s="148"/>
      <c r="D119" s="148"/>
      <c r="E119" s="148"/>
      <c r="F119" s="148"/>
      <c r="G119" s="148"/>
      <c r="H119" s="148"/>
      <c r="I119" s="148"/>
      <c r="J119" s="148"/>
      <c r="K119" s="147"/>
    </row>
    <row r="120" spans="1:11" s="145" customFormat="1" x14ac:dyDescent="0.35">
      <c r="A120" s="146" t="s">
        <v>1525</v>
      </c>
      <c r="B120" s="145">
        <v>0.30801347468476559</v>
      </c>
      <c r="C120" s="145">
        <v>0.2002087585450977</v>
      </c>
      <c r="D120" s="145">
        <v>0.18908604973703669</v>
      </c>
      <c r="E120" s="145">
        <v>0.12290593232907385</v>
      </c>
      <c r="F120" s="145">
        <v>0.18908604973703669</v>
      </c>
      <c r="G120" s="145">
        <v>0.12290593232907385</v>
      </c>
      <c r="H120" s="145">
        <v>0.18908604973703669</v>
      </c>
      <c r="I120" s="145">
        <v>0.12290593232907385</v>
      </c>
      <c r="J120" s="145">
        <v>0.18908604973703669</v>
      </c>
      <c r="K120" s="144">
        <v>0.12290593232907385</v>
      </c>
    </row>
    <row r="121" spans="1:11" s="145" customFormat="1" x14ac:dyDescent="0.35">
      <c r="A121" s="146" t="s">
        <v>1524</v>
      </c>
      <c r="B121" s="145">
        <v>1.4523464409943783</v>
      </c>
      <c r="C121" s="145">
        <v>0.94402518664634605</v>
      </c>
      <c r="D121" s="145">
        <v>0.89157934294377117</v>
      </c>
      <c r="E121" s="145">
        <v>0.57952657291345133</v>
      </c>
      <c r="F121" s="145">
        <v>0.89157934294377117</v>
      </c>
      <c r="G121" s="145">
        <v>0.57952657291345133</v>
      </c>
      <c r="H121" s="145">
        <v>0.89157934294377117</v>
      </c>
      <c r="I121" s="145">
        <v>0.57952657291345133</v>
      </c>
      <c r="J121" s="145">
        <v>0.89157934294377117</v>
      </c>
      <c r="K121" s="144">
        <v>0.57952657291345133</v>
      </c>
    </row>
    <row r="122" spans="1:11" s="145" customFormat="1" x14ac:dyDescent="0.35">
      <c r="A122" s="146" t="s">
        <v>1523</v>
      </c>
      <c r="B122" s="145">
        <v>3.0756704332246168</v>
      </c>
      <c r="C122" s="145">
        <v>1.9991857815960008</v>
      </c>
      <c r="D122" s="145">
        <v>1.8881199048406676</v>
      </c>
      <c r="E122" s="145">
        <v>1.2272779381464343</v>
      </c>
      <c r="F122" s="145">
        <v>1.8881199048406676</v>
      </c>
      <c r="G122" s="145">
        <v>1.2272779381464343</v>
      </c>
      <c r="H122" s="145">
        <v>1.8881199048406676</v>
      </c>
      <c r="I122" s="145">
        <v>1.2272779381464343</v>
      </c>
      <c r="J122" s="145">
        <v>1.8881199048406676</v>
      </c>
      <c r="K122" s="144">
        <v>1.2272779381464343</v>
      </c>
    </row>
    <row r="123" spans="1:11" s="145" customFormat="1" x14ac:dyDescent="0.35">
      <c r="A123" s="146" t="s">
        <v>1522</v>
      </c>
      <c r="B123" s="145">
        <v>0.26668057570533482</v>
      </c>
      <c r="C123" s="145">
        <v>0.17334237420846768</v>
      </c>
      <c r="D123" s="145">
        <v>0.16371224230799725</v>
      </c>
      <c r="E123" s="145">
        <v>0.10641295750019822</v>
      </c>
      <c r="F123" s="145">
        <v>0.16371224230799725</v>
      </c>
      <c r="G123" s="145">
        <v>0.10641295750019822</v>
      </c>
      <c r="H123" s="145">
        <v>0.16371224230799725</v>
      </c>
      <c r="I123" s="145">
        <v>0.10641295750019822</v>
      </c>
      <c r="J123" s="145">
        <v>0.16371224230799725</v>
      </c>
      <c r="K123" s="144">
        <v>0.10641295750019822</v>
      </c>
    </row>
    <row r="124" spans="1:11" s="145" customFormat="1" x14ac:dyDescent="0.35">
      <c r="A124" s="146" t="s">
        <v>1521</v>
      </c>
      <c r="B124" s="145">
        <v>0.19969526200613835</v>
      </c>
      <c r="C124" s="145">
        <v>0.12980192030398993</v>
      </c>
      <c r="D124" s="145">
        <v>0.12259070250932384</v>
      </c>
      <c r="E124" s="145">
        <v>7.968395663106051E-2</v>
      </c>
      <c r="F124" s="145">
        <v>0.12259070250932384</v>
      </c>
      <c r="G124" s="145">
        <v>7.968395663106051E-2</v>
      </c>
      <c r="H124" s="145">
        <v>0.12259070250932384</v>
      </c>
      <c r="I124" s="145">
        <v>7.968395663106051E-2</v>
      </c>
      <c r="J124" s="145">
        <v>0.12259070250932384</v>
      </c>
      <c r="K124" s="144">
        <v>7.968395663106051E-2</v>
      </c>
    </row>
    <row r="125" spans="1:11" s="145" customFormat="1" x14ac:dyDescent="0.35">
      <c r="A125" s="146" t="s">
        <v>1520</v>
      </c>
      <c r="B125" s="145">
        <v>8.319259800141765</v>
      </c>
      <c r="C125" s="145">
        <v>5.4075188700921473</v>
      </c>
      <c r="D125" s="145">
        <v>5.1071011550870278</v>
      </c>
      <c r="E125" s="145">
        <v>3.3196157508065687</v>
      </c>
      <c r="F125" s="145">
        <v>5.1071011550870278</v>
      </c>
      <c r="G125" s="145">
        <v>3.3196157508065687</v>
      </c>
      <c r="H125" s="145">
        <v>5.1071011550870278</v>
      </c>
      <c r="I125" s="145">
        <v>3.3196157508065687</v>
      </c>
      <c r="J125" s="145">
        <v>5.1071011550870278</v>
      </c>
      <c r="K125" s="144">
        <v>3.3196157508065687</v>
      </c>
    </row>
    <row r="126" spans="1:11" s="145" customFormat="1" x14ac:dyDescent="0.35">
      <c r="A126" s="146" t="s">
        <v>1519</v>
      </c>
      <c r="B126" s="145">
        <v>1.3347285532694405E-2</v>
      </c>
      <c r="C126" s="145">
        <v>8.6757355962513646E-3</v>
      </c>
      <c r="D126" s="145">
        <v>8.1937502853485118E-3</v>
      </c>
      <c r="E126" s="145">
        <v>5.3259376854765325E-3</v>
      </c>
      <c r="F126" s="145">
        <v>8.1937502853485118E-3</v>
      </c>
      <c r="G126" s="145">
        <v>5.3259376854765325E-3</v>
      </c>
      <c r="H126" s="145">
        <v>8.1937502853485118E-3</v>
      </c>
      <c r="I126" s="145">
        <v>5.3259376854765325E-3</v>
      </c>
      <c r="J126" s="145">
        <v>8.1937502853485118E-3</v>
      </c>
      <c r="K126" s="144">
        <v>5.3259376854765325E-3</v>
      </c>
    </row>
    <row r="127" spans="1:11" s="145" customFormat="1" x14ac:dyDescent="0.35">
      <c r="A127" s="143" t="s">
        <v>1518</v>
      </c>
      <c r="B127" s="142">
        <v>3.7067858179931489E-2</v>
      </c>
      <c r="C127" s="142">
        <v>2.4094107816955472E-2</v>
      </c>
      <c r="D127" s="142">
        <v>2.2755546271569057E-2</v>
      </c>
      <c r="E127" s="142">
        <v>1.4791105076519892E-2</v>
      </c>
      <c r="F127" s="142">
        <v>2.2755546271569057E-2</v>
      </c>
      <c r="G127" s="142">
        <v>1.4791105076519892E-2</v>
      </c>
      <c r="H127" s="142">
        <v>2.2755546271569057E-2</v>
      </c>
      <c r="I127" s="142">
        <v>1.4791105076519892E-2</v>
      </c>
      <c r="J127" s="142">
        <v>2.2755546271569057E-2</v>
      </c>
      <c r="K127" s="141">
        <v>1.4791105076519892E-2</v>
      </c>
    </row>
    <row r="128" spans="1:11" x14ac:dyDescent="0.35">
      <c r="B128" s="120"/>
      <c r="C128" s="120"/>
      <c r="D128" s="120"/>
      <c r="E128" s="120"/>
    </row>
    <row r="129" spans="1:11" ht="13.15" x14ac:dyDescent="0.4">
      <c r="A129" s="41" t="s">
        <v>1542</v>
      </c>
      <c r="B129" s="120"/>
      <c r="C129" s="120"/>
      <c r="D129" s="120"/>
      <c r="E129" s="120"/>
    </row>
    <row r="130" spans="1:11" ht="39.4" x14ac:dyDescent="0.4">
      <c r="A130" s="55"/>
      <c r="B130" s="180" t="s">
        <v>1481</v>
      </c>
      <c r="C130" s="180" t="s">
        <v>1480</v>
      </c>
      <c r="D130" s="180" t="s">
        <v>1479</v>
      </c>
      <c r="E130" s="180" t="s">
        <v>1478</v>
      </c>
      <c r="F130" s="180" t="s">
        <v>1477</v>
      </c>
      <c r="G130" s="180" t="s">
        <v>1476</v>
      </c>
      <c r="H130" s="180" t="s">
        <v>1475</v>
      </c>
      <c r="I130" s="180" t="s">
        <v>1474</v>
      </c>
      <c r="J130" s="180" t="s">
        <v>1473</v>
      </c>
      <c r="K130" s="179" t="s">
        <v>1472</v>
      </c>
    </row>
    <row r="131" spans="1:11" ht="13.15" x14ac:dyDescent="0.4">
      <c r="A131" s="178" t="s">
        <v>1540</v>
      </c>
      <c r="B131" s="177"/>
      <c r="C131" s="177"/>
      <c r="D131" s="177"/>
      <c r="E131" s="177"/>
      <c r="F131" s="177"/>
      <c r="G131" s="177"/>
      <c r="H131" s="177"/>
      <c r="I131" s="177"/>
      <c r="J131" s="177"/>
      <c r="K131" s="185"/>
    </row>
    <row r="132" spans="1:11" x14ac:dyDescent="0.35">
      <c r="A132" s="50" t="s">
        <v>1464</v>
      </c>
      <c r="B132" s="176"/>
      <c r="C132" s="176"/>
      <c r="D132" s="175">
        <v>10.687570110000001</v>
      </c>
      <c r="E132" s="175">
        <v>9.0333925920000002</v>
      </c>
      <c r="F132" s="175">
        <v>76.23778672935849</v>
      </c>
      <c r="G132" s="175">
        <v>59.498466078566032</v>
      </c>
      <c r="H132" s="175">
        <v>109.54320225882353</v>
      </c>
      <c r="I132" s="175">
        <v>88.258503269907706</v>
      </c>
      <c r="J132" s="175">
        <v>12.66674976</v>
      </c>
      <c r="K132" s="174">
        <v>11.29174074</v>
      </c>
    </row>
    <row r="133" spans="1:11" x14ac:dyDescent="0.35">
      <c r="A133" s="50" t="s">
        <v>1438</v>
      </c>
      <c r="B133" s="176"/>
      <c r="C133" s="176"/>
      <c r="D133" s="175">
        <v>21.107950967250002</v>
      </c>
      <c r="E133" s="175">
        <v>17.840950369200002</v>
      </c>
      <c r="F133" s="175">
        <v>150.56962879048302</v>
      </c>
      <c r="G133" s="175">
        <v>117.50947050516791</v>
      </c>
      <c r="H133" s="175">
        <v>216.34782446117646</v>
      </c>
      <c r="I133" s="175">
        <v>174.31054395806771</v>
      </c>
      <c r="J133" s="175">
        <v>25.016830776000003</v>
      </c>
      <c r="K133" s="174">
        <v>22.301187961500002</v>
      </c>
    </row>
    <row r="134" spans="1:11" x14ac:dyDescent="0.35">
      <c r="A134" s="50" t="s">
        <v>1463</v>
      </c>
      <c r="B134" s="176"/>
      <c r="C134" s="176"/>
      <c r="D134" s="175">
        <v>0.44531542125000012</v>
      </c>
      <c r="E134" s="175">
        <v>0.37639135800000006</v>
      </c>
      <c r="F134" s="175">
        <v>3.1765744470566042</v>
      </c>
      <c r="G134" s="175">
        <v>2.479102753273585</v>
      </c>
      <c r="H134" s="175">
        <v>4.5643000941176473</v>
      </c>
      <c r="I134" s="175">
        <v>3.6774376362461543</v>
      </c>
      <c r="J134" s="175">
        <v>0.52778124000000004</v>
      </c>
      <c r="K134" s="174">
        <v>0.47048919750000007</v>
      </c>
    </row>
    <row r="135" spans="1:11" x14ac:dyDescent="0.35">
      <c r="A135" s="50" t="s">
        <v>1447</v>
      </c>
      <c r="B135" s="176"/>
      <c r="C135" s="176"/>
      <c r="D135" s="175">
        <v>3.4734602857500008</v>
      </c>
      <c r="E135" s="175">
        <v>2.9358525924000003</v>
      </c>
      <c r="F135" s="175">
        <v>24.777280687041511</v>
      </c>
      <c r="G135" s="175">
        <v>19.33700147553396</v>
      </c>
      <c r="H135" s="175">
        <v>35.601540734117648</v>
      </c>
      <c r="I135" s="175">
        <v>28.684013562720004</v>
      </c>
      <c r="J135" s="175">
        <v>4.1166936720000002</v>
      </c>
      <c r="K135" s="174">
        <v>3.6698157405000003</v>
      </c>
    </row>
    <row r="136" spans="1:11" x14ac:dyDescent="0.35">
      <c r="A136" s="50" t="s">
        <v>1462</v>
      </c>
      <c r="B136" s="176"/>
      <c r="C136" s="176"/>
      <c r="D136" s="175">
        <v>0.89063084250000024</v>
      </c>
      <c r="E136" s="175">
        <v>0.75278271600000013</v>
      </c>
      <c r="F136" s="175">
        <v>6.3531488941132084</v>
      </c>
      <c r="G136" s="175">
        <v>4.95820550654717</v>
      </c>
      <c r="H136" s="175">
        <v>9.1286001882352945</v>
      </c>
      <c r="I136" s="175">
        <v>7.3548752724923085</v>
      </c>
      <c r="J136" s="175">
        <v>1.0555624800000001</v>
      </c>
      <c r="K136" s="174">
        <v>0.94097839500000013</v>
      </c>
    </row>
    <row r="137" spans="1:11" x14ac:dyDescent="0.35">
      <c r="A137" s="50" t="s">
        <v>1461</v>
      </c>
      <c r="B137" s="176"/>
      <c r="C137" s="176"/>
      <c r="D137" s="175">
        <v>1.6031355165000001</v>
      </c>
      <c r="E137" s="175">
        <v>1.3550088888</v>
      </c>
      <c r="F137" s="175">
        <v>11.435668009403773</v>
      </c>
      <c r="G137" s="175">
        <v>8.9247699117849049</v>
      </c>
      <c r="H137" s="175">
        <v>16.43148033882353</v>
      </c>
      <c r="I137" s="175">
        <v>13.238775490486155</v>
      </c>
      <c r="J137" s="175">
        <v>1.900012464</v>
      </c>
      <c r="K137" s="174">
        <v>1.6937611109999999</v>
      </c>
    </row>
    <row r="138" spans="1:11" x14ac:dyDescent="0.35">
      <c r="A138" s="50" t="s">
        <v>1460</v>
      </c>
      <c r="B138" s="176"/>
      <c r="C138" s="176"/>
      <c r="D138" s="175">
        <v>25.115789758500004</v>
      </c>
      <c r="E138" s="175">
        <v>21.228472591200003</v>
      </c>
      <c r="F138" s="175">
        <v>179.15879881399243</v>
      </c>
      <c r="G138" s="175">
        <v>139.82139528463017</v>
      </c>
      <c r="H138" s="175">
        <v>257.42652530823528</v>
      </c>
      <c r="I138" s="175">
        <v>207.40748268428308</v>
      </c>
      <c r="J138" s="175">
        <v>29.766861936000002</v>
      </c>
      <c r="K138" s="174">
        <v>26.535590739</v>
      </c>
    </row>
    <row r="139" spans="1:11" x14ac:dyDescent="0.35">
      <c r="A139" s="50" t="s">
        <v>1459</v>
      </c>
      <c r="B139" s="176"/>
      <c r="C139" s="176"/>
      <c r="D139" s="175">
        <v>5.6109743077500012</v>
      </c>
      <c r="E139" s="175">
        <v>4.7425311108000008</v>
      </c>
      <c r="F139" s="175">
        <v>40.024838032913209</v>
      </c>
      <c r="G139" s="175">
        <v>31.23669469124717</v>
      </c>
      <c r="H139" s="175">
        <v>57.51018118588236</v>
      </c>
      <c r="I139" s="175">
        <v>46.335714216701547</v>
      </c>
      <c r="J139" s="175">
        <v>6.6500436240000012</v>
      </c>
      <c r="K139" s="174">
        <v>5.9281638885000003</v>
      </c>
    </row>
    <row r="140" spans="1:11" x14ac:dyDescent="0.35">
      <c r="A140" s="50" t="s">
        <v>1497</v>
      </c>
      <c r="B140" s="176"/>
      <c r="C140" s="176"/>
      <c r="D140" s="175">
        <v>20.039193956250003</v>
      </c>
      <c r="E140" s="175">
        <v>16.937611110000002</v>
      </c>
      <c r="F140" s="175">
        <v>142.9458501175472</v>
      </c>
      <c r="G140" s="175">
        <v>111.55962389731131</v>
      </c>
      <c r="H140" s="175">
        <v>205.39350423529413</v>
      </c>
      <c r="I140" s="175">
        <v>165.48469363107696</v>
      </c>
      <c r="J140" s="175">
        <v>23.750155800000002</v>
      </c>
      <c r="K140" s="174">
        <v>21.1720138875</v>
      </c>
    </row>
    <row r="141" spans="1:11" x14ac:dyDescent="0.35">
      <c r="A141" s="46" t="s">
        <v>1457</v>
      </c>
      <c r="B141" s="184"/>
      <c r="C141" s="184"/>
      <c r="D141" s="183">
        <v>8.9063084250000091E-2</v>
      </c>
      <c r="E141" s="183">
        <v>7.5278271600000071E-2</v>
      </c>
      <c r="F141" s="183">
        <v>0.6353148894113213</v>
      </c>
      <c r="G141" s="183">
        <v>0.49582055065471742</v>
      </c>
      <c r="H141" s="183">
        <v>0.91286001882353029</v>
      </c>
      <c r="I141" s="183">
        <v>0.7354875272492315</v>
      </c>
      <c r="J141" s="183">
        <v>0.1055562480000001</v>
      </c>
      <c r="K141" s="182">
        <v>9.4097839500000086E-2</v>
      </c>
    </row>
    <row r="142" spans="1:11" ht="13.15" x14ac:dyDescent="0.4">
      <c r="A142" s="158" t="s">
        <v>320</v>
      </c>
      <c r="B142" s="145"/>
      <c r="C142" s="145"/>
      <c r="D142" s="145"/>
      <c r="E142" s="145"/>
      <c r="F142" s="145"/>
      <c r="G142" s="145"/>
      <c r="H142" s="145"/>
      <c r="I142" s="145"/>
      <c r="J142" s="145"/>
      <c r="K142" s="144"/>
    </row>
    <row r="143" spans="1:11" x14ac:dyDescent="0.35">
      <c r="A143" s="146" t="s">
        <v>1537</v>
      </c>
      <c r="B143" s="145"/>
      <c r="C143" s="145"/>
      <c r="D143" s="164">
        <v>3.2629184821870516</v>
      </c>
      <c r="E143" s="164">
        <v>2.7578975709089781</v>
      </c>
      <c r="F143" s="164">
        <v>23.275420025315611</v>
      </c>
      <c r="G143" s="164">
        <v>18.164900218795616</v>
      </c>
      <c r="H143" s="164">
        <v>33.443573756193082</v>
      </c>
      <c r="I143" s="164">
        <v>26.945348527828106</v>
      </c>
      <c r="J143" s="164">
        <v>3.8671626455550245</v>
      </c>
      <c r="K143" s="163">
        <v>3.4473719636362228</v>
      </c>
    </row>
    <row r="144" spans="1:11" x14ac:dyDescent="0.35">
      <c r="A144" s="146" t="s">
        <v>1536</v>
      </c>
      <c r="B144" s="145"/>
      <c r="C144" s="145"/>
      <c r="D144" s="164">
        <v>2.963668323646377</v>
      </c>
      <c r="E144" s="164">
        <v>2.5049641035732337</v>
      </c>
      <c r="F144" s="164">
        <v>21.140774869238058</v>
      </c>
      <c r="G144" s="164">
        <v>16.498953214595062</v>
      </c>
      <c r="H144" s="164">
        <v>30.37638258873265</v>
      </c>
      <c r="I144" s="164">
        <v>24.474125338249181</v>
      </c>
      <c r="J144" s="164">
        <v>3.5124957909882983</v>
      </c>
      <c r="K144" s="163">
        <v>3.1312051294665419</v>
      </c>
    </row>
    <row r="145" spans="1:11" x14ac:dyDescent="0.35">
      <c r="A145" s="146" t="s">
        <v>1535</v>
      </c>
      <c r="B145" s="145"/>
      <c r="C145" s="145"/>
      <c r="D145" s="164">
        <v>0.99333313792071942</v>
      </c>
      <c r="E145" s="164">
        <v>0.83958917856222992</v>
      </c>
      <c r="F145" s="164">
        <v>7.0857565508877141</v>
      </c>
      <c r="G145" s="164">
        <v>5.5299565198633793</v>
      </c>
      <c r="H145" s="164">
        <v>10.181256517403206</v>
      </c>
      <c r="I145" s="164">
        <v>8.2029961065942878</v>
      </c>
      <c r="J145" s="164">
        <v>1.1772837190171488</v>
      </c>
      <c r="K145" s="163">
        <v>1.0494864732027873</v>
      </c>
    </row>
    <row r="146" spans="1:11" x14ac:dyDescent="0.35">
      <c r="A146" s="146" t="s">
        <v>1534</v>
      </c>
      <c r="B146" s="145"/>
      <c r="C146" s="145"/>
      <c r="D146" s="164">
        <v>1.5695684720866576</v>
      </c>
      <c r="E146" s="164">
        <v>1.3266372114946874</v>
      </c>
      <c r="F146" s="164">
        <v>11.196223762790142</v>
      </c>
      <c r="G146" s="164">
        <v>8.737899778271931</v>
      </c>
      <c r="H146" s="164">
        <v>16.087431925802012</v>
      </c>
      <c r="I146" s="164">
        <v>12.961577112498986</v>
      </c>
      <c r="J146" s="164">
        <v>1.8602293002508534</v>
      </c>
      <c r="K146" s="163">
        <v>1.6582965143683595</v>
      </c>
    </row>
    <row r="147" spans="1:11" x14ac:dyDescent="0.35">
      <c r="A147" s="146" t="s">
        <v>1533</v>
      </c>
      <c r="B147" s="145"/>
      <c r="C147" s="145"/>
      <c r="D147" s="164">
        <v>0.40076671363899979</v>
      </c>
      <c r="E147" s="164">
        <v>0.33873771351631637</v>
      </c>
      <c r="F147" s="164">
        <v>2.8587945555602019</v>
      </c>
      <c r="G147" s="164">
        <v>2.2310969164597521</v>
      </c>
      <c r="H147" s="164">
        <v>4.1076941455274314</v>
      </c>
      <c r="I147" s="164">
        <v>3.3095521191559065</v>
      </c>
      <c r="J147" s="164">
        <v>0.47498277172029602</v>
      </c>
      <c r="K147" s="163">
        <v>0.42342214189539545</v>
      </c>
    </row>
    <row r="148" spans="1:11" x14ac:dyDescent="0.35">
      <c r="A148" s="155" t="s">
        <v>1532</v>
      </c>
      <c r="B148" s="48"/>
      <c r="C148" s="48"/>
      <c r="D148" s="173">
        <v>444.0010673526287</v>
      </c>
      <c r="E148" s="173">
        <v>375.28043431598405</v>
      </c>
      <c r="F148" s="173">
        <v>3167.1987488311543</v>
      </c>
      <c r="G148" s="173">
        <v>2471.7856512594599</v>
      </c>
      <c r="H148" s="173">
        <v>4550.8285067186825</v>
      </c>
      <c r="I148" s="173">
        <v>3666.5836342087382</v>
      </c>
      <c r="J148" s="173">
        <v>526.22348723274501</v>
      </c>
      <c r="K148" s="181">
        <v>469.10054289497998</v>
      </c>
    </row>
    <row r="149" spans="1:11" ht="13.15" x14ac:dyDescent="0.4">
      <c r="A149" s="158" t="s">
        <v>335</v>
      </c>
      <c r="B149" s="157"/>
      <c r="C149" s="157"/>
      <c r="D149" s="172"/>
      <c r="E149" s="172"/>
      <c r="F149" s="172"/>
      <c r="G149" s="172"/>
      <c r="H149" s="172"/>
      <c r="I149" s="172"/>
      <c r="J149" s="172"/>
      <c r="K149" s="171"/>
    </row>
    <row r="150" spans="1:11" x14ac:dyDescent="0.35">
      <c r="A150" s="146" t="s">
        <v>1525</v>
      </c>
      <c r="B150" s="145"/>
      <c r="C150" s="145"/>
      <c r="D150" s="164">
        <v>66.364186635460015</v>
      </c>
      <c r="E150" s="164">
        <v>56.092614668880039</v>
      </c>
      <c r="F150" s="164">
        <v>473.3965396351017</v>
      </c>
      <c r="G150" s="164">
        <v>369.45416654315102</v>
      </c>
      <c r="H150" s="164">
        <v>680.20564492470101</v>
      </c>
      <c r="I150" s="164">
        <v>548.0388641090758</v>
      </c>
      <c r="J150" s="164">
        <v>78.653850827211855</v>
      </c>
      <c r="K150" s="163">
        <v>70.115768336100047</v>
      </c>
    </row>
    <row r="151" spans="1:11" x14ac:dyDescent="0.35">
      <c r="A151" s="146" t="s">
        <v>1524</v>
      </c>
      <c r="B151" s="145"/>
      <c r="C151" s="145"/>
      <c r="D151" s="164">
        <v>380.69526723306109</v>
      </c>
      <c r="E151" s="164">
        <v>321.77284185624814</v>
      </c>
      <c r="F151" s="164">
        <v>2715.6186386121631</v>
      </c>
      <c r="G151" s="164">
        <v>2119.3577408716446</v>
      </c>
      <c r="H151" s="164">
        <v>3901.9700669348949</v>
      </c>
      <c r="I151" s="164">
        <v>3143.8010831376441</v>
      </c>
      <c r="J151" s="164">
        <v>451.19439079473904</v>
      </c>
      <c r="K151" s="163">
        <v>402.21605232031015</v>
      </c>
    </row>
    <row r="152" spans="1:11" x14ac:dyDescent="0.35">
      <c r="A152" s="146" t="s">
        <v>1523</v>
      </c>
      <c r="B152" s="145"/>
      <c r="C152" s="145"/>
      <c r="D152" s="164">
        <v>421.05019833220933</v>
      </c>
      <c r="E152" s="164">
        <v>355.88180506207794</v>
      </c>
      <c r="F152" s="164">
        <v>3003.4830080572042</v>
      </c>
      <c r="G152" s="164">
        <v>2344.0165243362744</v>
      </c>
      <c r="H152" s="164">
        <v>4315.5915294410142</v>
      </c>
      <c r="I152" s="164">
        <v>3477.0541782484347</v>
      </c>
      <c r="J152" s="164">
        <v>499.02245728261852</v>
      </c>
      <c r="K152" s="163">
        <v>444.85225632759733</v>
      </c>
    </row>
    <row r="153" spans="1:11" x14ac:dyDescent="0.35">
      <c r="A153" s="146" t="s">
        <v>1522</v>
      </c>
      <c r="B153" s="145"/>
      <c r="C153" s="145"/>
      <c r="D153" s="164">
        <v>177.023599560988</v>
      </c>
      <c r="E153" s="164">
        <v>149.62462528195792</v>
      </c>
      <c r="F153" s="164">
        <v>1262.7648090716441</v>
      </c>
      <c r="G153" s="164">
        <v>985.50302128358146</v>
      </c>
      <c r="H153" s="164">
        <v>1814.4191590518874</v>
      </c>
      <c r="I153" s="164">
        <v>1461.8699835321399</v>
      </c>
      <c r="J153" s="164">
        <v>209.8057476278376</v>
      </c>
      <c r="K153" s="163">
        <v>187.03078160244735</v>
      </c>
    </row>
    <row r="154" spans="1:11" x14ac:dyDescent="0.35">
      <c r="A154" s="146" t="s">
        <v>1521</v>
      </c>
      <c r="B154" s="145"/>
      <c r="C154" s="145"/>
      <c r="D154" s="164">
        <v>68.271154158367054</v>
      </c>
      <c r="E154" s="164">
        <v>57.704429713582748</v>
      </c>
      <c r="F154" s="164">
        <v>486.99953655721487</v>
      </c>
      <c r="G154" s="164">
        <v>380.07039093343121</v>
      </c>
      <c r="H154" s="164">
        <v>699.75127848900001</v>
      </c>
      <c r="I154" s="164">
        <v>563.78669992431128</v>
      </c>
      <c r="J154" s="164">
        <v>80.913960483990579</v>
      </c>
      <c r="K154" s="163">
        <v>72.130537141978436</v>
      </c>
    </row>
    <row r="155" spans="1:11" x14ac:dyDescent="0.35">
      <c r="A155" s="146" t="s">
        <v>1520</v>
      </c>
      <c r="B155" s="145"/>
      <c r="C155" s="145"/>
      <c r="D155" s="164">
        <v>8172.2770570670518</v>
      </c>
      <c r="E155" s="164">
        <v>6907.4061051545295</v>
      </c>
      <c r="F155" s="164">
        <v>58295.413172256347</v>
      </c>
      <c r="G155" s="164">
        <v>45495.650017733293</v>
      </c>
      <c r="H155" s="164">
        <v>83762.48196396057</v>
      </c>
      <c r="I155" s="164">
        <v>67487.083962038581</v>
      </c>
      <c r="J155" s="164">
        <v>9685.6616972646498</v>
      </c>
      <c r="K155" s="163">
        <v>8634.2576314431608</v>
      </c>
    </row>
    <row r="156" spans="1:11" x14ac:dyDescent="0.35">
      <c r="A156" s="146" t="s">
        <v>1519</v>
      </c>
      <c r="B156" s="145"/>
      <c r="C156" s="145"/>
      <c r="D156" s="164">
        <v>6.2739020523364912</v>
      </c>
      <c r="E156" s="164">
        <v>5.3028536645089721</v>
      </c>
      <c r="F156" s="164">
        <v>44.753709374909903</v>
      </c>
      <c r="G156" s="164">
        <v>34.927260789795035</v>
      </c>
      <c r="H156" s="164">
        <v>64.304918180428587</v>
      </c>
      <c r="I156" s="164">
        <v>51.81020560352804</v>
      </c>
      <c r="J156" s="164">
        <v>7.4357357657321366</v>
      </c>
      <c r="K156" s="163">
        <v>6.6285670806362136</v>
      </c>
    </row>
    <row r="157" spans="1:11" x14ac:dyDescent="0.35">
      <c r="A157" s="146" t="s">
        <v>1518</v>
      </c>
      <c r="B157" s="145"/>
      <c r="C157" s="145"/>
      <c r="D157" s="164">
        <v>3.9792626345769722</v>
      </c>
      <c r="E157" s="164">
        <v>3.363368963650244</v>
      </c>
      <c r="F157" s="164">
        <v>28.385327343128356</v>
      </c>
      <c r="G157" s="164">
        <v>22.152839274434783</v>
      </c>
      <c r="H157" s="164">
        <v>40.785806982691618</v>
      </c>
      <c r="I157" s="164">
        <v>32.860955355700888</v>
      </c>
      <c r="J157" s="164">
        <v>4.7161631224615972</v>
      </c>
      <c r="K157" s="163">
        <v>4.2042112045628057</v>
      </c>
    </row>
    <row r="158" spans="1:11" x14ac:dyDescent="0.35">
      <c r="A158" s="146" t="s">
        <v>1531</v>
      </c>
      <c r="B158" s="145"/>
      <c r="C158" s="145"/>
      <c r="D158" s="164">
        <v>562.3171516950772</v>
      </c>
      <c r="E158" s="164">
        <v>475.28404868418215</v>
      </c>
      <c r="F158" s="164">
        <v>4011.1844548348527</v>
      </c>
      <c r="G158" s="164">
        <v>3130.4597425958232</v>
      </c>
      <c r="H158" s="164">
        <v>5763.5197568532622</v>
      </c>
      <c r="I158" s="164">
        <v>4643.6439397172899</v>
      </c>
      <c r="J158" s="164">
        <v>666.44995756453579</v>
      </c>
      <c r="K158" s="163">
        <v>594.10506085522763</v>
      </c>
    </row>
    <row r="159" spans="1:11" x14ac:dyDescent="0.35">
      <c r="A159" s="146" t="s">
        <v>1530</v>
      </c>
      <c r="B159" s="145"/>
      <c r="C159" s="145"/>
      <c r="D159" s="164">
        <v>5.3147546665849745</v>
      </c>
      <c r="E159" s="164">
        <v>4.4921591100024267</v>
      </c>
      <c r="F159" s="164">
        <v>37.911810506941137</v>
      </c>
      <c r="G159" s="164">
        <v>29.587618793707883</v>
      </c>
      <c r="H159" s="164">
        <v>54.474051576326367</v>
      </c>
      <c r="I159" s="164">
        <v>43.889517195368107</v>
      </c>
      <c r="J159" s="164">
        <v>6.2989684937303396</v>
      </c>
      <c r="K159" s="163">
        <v>5.6151988875030332</v>
      </c>
    </row>
    <row r="160" spans="1:11" x14ac:dyDescent="0.35">
      <c r="A160" s="155" t="s">
        <v>1529</v>
      </c>
      <c r="B160" s="154"/>
      <c r="C160" s="154"/>
      <c r="D160" s="170">
        <v>195182.84412847864</v>
      </c>
      <c r="E160" s="170">
        <v>164973.25772730674</v>
      </c>
      <c r="F160" s="170">
        <v>1392300.3910845525</v>
      </c>
      <c r="G160" s="170">
        <v>1086596.832672972</v>
      </c>
      <c r="H160" s="170">
        <v>2000543.9544965345</v>
      </c>
      <c r="I160" s="170">
        <v>1611829.9584884052</v>
      </c>
      <c r="J160" s="170">
        <v>231327.81526338207</v>
      </c>
      <c r="K160" s="169">
        <v>206216.57215913339</v>
      </c>
    </row>
    <row r="161" spans="1:11" x14ac:dyDescent="0.35">
      <c r="A161" s="155" t="s">
        <v>1528</v>
      </c>
      <c r="B161" s="154"/>
      <c r="C161" s="154"/>
      <c r="D161" s="170">
        <v>195987.9145967635</v>
      </c>
      <c r="E161" s="170">
        <v>165653.72274689403</v>
      </c>
      <c r="F161" s="170">
        <v>1398043.2110175674</v>
      </c>
      <c r="G161" s="170">
        <v>1091078.7174657821</v>
      </c>
      <c r="H161" s="170">
        <v>2008795.5960045899</v>
      </c>
      <c r="I161" s="170">
        <v>1618478.271793142</v>
      </c>
      <c r="J161" s="170">
        <v>232281.9728554234</v>
      </c>
      <c r="K161" s="169">
        <v>207067.15343361752</v>
      </c>
    </row>
    <row r="162" spans="1:11" x14ac:dyDescent="0.35">
      <c r="A162" s="152" t="s">
        <v>1527</v>
      </c>
      <c r="B162" s="151"/>
      <c r="C162" s="151"/>
      <c r="D162" s="168">
        <v>222959.07320843212</v>
      </c>
      <c r="E162" s="168">
        <v>188450.39793991452</v>
      </c>
      <c r="F162" s="168">
        <v>1590436.9372730947</v>
      </c>
      <c r="G162" s="168">
        <v>1241229.083661227</v>
      </c>
      <c r="H162" s="168">
        <v>2285238.8897134555</v>
      </c>
      <c r="I162" s="168">
        <v>1841207.4858259803</v>
      </c>
      <c r="J162" s="168">
        <v>264247.79046925285</v>
      </c>
      <c r="K162" s="167">
        <v>235562.99742489314</v>
      </c>
    </row>
    <row r="163" spans="1:11" ht="13.15" x14ac:dyDescent="0.4">
      <c r="A163" s="149" t="s">
        <v>1526</v>
      </c>
      <c r="B163" s="148"/>
      <c r="C163" s="148"/>
      <c r="D163" s="166"/>
      <c r="E163" s="166"/>
      <c r="F163" s="166"/>
      <c r="G163" s="166"/>
      <c r="H163" s="166"/>
      <c r="I163" s="166"/>
      <c r="J163" s="166"/>
      <c r="K163" s="165"/>
    </row>
    <row r="164" spans="1:11" x14ac:dyDescent="0.35">
      <c r="A164" s="146" t="s">
        <v>1525</v>
      </c>
      <c r="B164" s="145"/>
      <c r="C164" s="145"/>
      <c r="D164" s="164">
        <v>2.0128343945929443</v>
      </c>
      <c r="E164" s="164">
        <v>1.7012962836169603</v>
      </c>
      <c r="F164" s="164">
        <v>14.358178493062002</v>
      </c>
      <c r="G164" s="164">
        <v>11.205592825669825</v>
      </c>
      <c r="H164" s="164">
        <v>20.630725499906124</v>
      </c>
      <c r="I164" s="164">
        <v>16.622089882782912</v>
      </c>
      <c r="J164" s="164">
        <v>2.3855815047027482</v>
      </c>
      <c r="K164" s="163">
        <v>2.1266203545211999</v>
      </c>
    </row>
    <row r="165" spans="1:11" x14ac:dyDescent="0.35">
      <c r="A165" s="146" t="s">
        <v>1524</v>
      </c>
      <c r="B165" s="145"/>
      <c r="C165" s="145"/>
      <c r="D165" s="164">
        <v>8.9410165990541248</v>
      </c>
      <c r="E165" s="164">
        <v>7.5571633476605635</v>
      </c>
      <c r="F165" s="164">
        <v>63.779073223066092</v>
      </c>
      <c r="G165" s="164">
        <v>49.775277949191178</v>
      </c>
      <c r="H165" s="164">
        <v>91.641746405318742</v>
      </c>
      <c r="I165" s="164">
        <v>73.83537461013367</v>
      </c>
      <c r="J165" s="164">
        <v>10.596760413693779</v>
      </c>
      <c r="K165" s="163">
        <v>9.4464541845757033</v>
      </c>
    </row>
    <row r="166" spans="1:11" x14ac:dyDescent="0.35">
      <c r="A166" s="146" t="s">
        <v>1523</v>
      </c>
      <c r="B166" s="145"/>
      <c r="C166" s="145"/>
      <c r="D166" s="164">
        <v>19.54679484125198</v>
      </c>
      <c r="E166" s="164">
        <v>16.521423475958791</v>
      </c>
      <c r="F166" s="164">
        <v>139.43341292849709</v>
      </c>
      <c r="G166" s="164">
        <v>108.8184028583575</v>
      </c>
      <c r="H166" s="164">
        <v>200.3466156262711</v>
      </c>
      <c r="I166" s="164">
        <v>161.41843643193212</v>
      </c>
      <c r="J166" s="164">
        <v>23.166571663706051</v>
      </c>
      <c r="K166" s="163">
        <v>20.65177934494848</v>
      </c>
    </row>
    <row r="167" spans="1:11" x14ac:dyDescent="0.35">
      <c r="A167" s="146" t="s">
        <v>1522</v>
      </c>
      <c r="B167" s="145"/>
      <c r="C167" s="145"/>
      <c r="D167" s="164">
        <v>2.031853623116318</v>
      </c>
      <c r="E167" s="164">
        <v>1.717371795288958</v>
      </c>
      <c r="F167" s="164">
        <v>14.493848610123052</v>
      </c>
      <c r="G167" s="164">
        <v>11.31147422915925</v>
      </c>
      <c r="H167" s="164">
        <v>20.825664777543544</v>
      </c>
      <c r="I167" s="164">
        <v>16.779151649446849</v>
      </c>
      <c r="J167" s="164">
        <v>2.408122812582302</v>
      </c>
      <c r="K167" s="163">
        <v>2.1467147441111973</v>
      </c>
    </row>
    <row r="168" spans="1:11" x14ac:dyDescent="0.35">
      <c r="A168" s="146" t="s">
        <v>1521</v>
      </c>
      <c r="B168" s="145"/>
      <c r="C168" s="145"/>
      <c r="D168" s="164">
        <v>1.4950852646503208</v>
      </c>
      <c r="E168" s="164">
        <v>1.2636822041956708</v>
      </c>
      <c r="F168" s="164">
        <v>10.664911703546958</v>
      </c>
      <c r="G168" s="164">
        <v>8.3232464430926676</v>
      </c>
      <c r="H168" s="164">
        <v>15.324009653657072</v>
      </c>
      <c r="I168" s="164">
        <v>12.346490957328667</v>
      </c>
      <c r="J168" s="164">
        <v>1.7719529062522319</v>
      </c>
      <c r="K168" s="163">
        <v>1.5796027552445884</v>
      </c>
    </row>
    <row r="169" spans="1:11" x14ac:dyDescent="0.35">
      <c r="A169" s="146" t="s">
        <v>1520</v>
      </c>
      <c r="B169" s="145"/>
      <c r="C169" s="145"/>
      <c r="D169" s="164">
        <v>63.946788799860073</v>
      </c>
      <c r="E169" s="164">
        <v>54.049371586002579</v>
      </c>
      <c r="F169" s="164">
        <v>456.15248334039342</v>
      </c>
      <c r="G169" s="164">
        <v>355.99634014861215</v>
      </c>
      <c r="H169" s="164">
        <v>655.42831038376619</v>
      </c>
      <c r="I169" s="164">
        <v>528.07586853739451</v>
      </c>
      <c r="J169" s="164">
        <v>75.788786725760076</v>
      </c>
      <c r="K169" s="163">
        <v>67.56171448250322</v>
      </c>
    </row>
    <row r="170" spans="1:11" x14ac:dyDescent="0.35">
      <c r="A170" s="146" t="s">
        <v>1519</v>
      </c>
      <c r="B170" s="145"/>
      <c r="C170" s="145"/>
      <c r="D170" s="164">
        <v>9.707465555282023E-2</v>
      </c>
      <c r="E170" s="164">
        <v>8.2049845317159531E-2</v>
      </c>
      <c r="F170" s="164">
        <v>0.69246393807860995</v>
      </c>
      <c r="G170" s="164">
        <v>0.5404215402614051</v>
      </c>
      <c r="H170" s="164">
        <v>0.99497533283814044</v>
      </c>
      <c r="I170" s="164">
        <v>0.80164749483301834</v>
      </c>
      <c r="J170" s="164">
        <v>0.11505144361815731</v>
      </c>
      <c r="K170" s="163">
        <v>0.10256230664644943</v>
      </c>
    </row>
    <row r="171" spans="1:11" x14ac:dyDescent="0.35">
      <c r="A171" s="143" t="s">
        <v>1518</v>
      </c>
      <c r="B171" s="142"/>
      <c r="C171" s="142"/>
      <c r="D171" s="162">
        <v>0.23516341209339128</v>
      </c>
      <c r="E171" s="162">
        <v>0.1987658001631471</v>
      </c>
      <c r="F171" s="162">
        <v>1.6774943109799356</v>
      </c>
      <c r="G171" s="162">
        <v>1.3091715098333505</v>
      </c>
      <c r="H171" s="162">
        <v>2.4103283486971598</v>
      </c>
      <c r="I171" s="162">
        <v>1.9419915435957993</v>
      </c>
      <c r="J171" s="162">
        <v>0.27871219211068599</v>
      </c>
      <c r="K171" s="161">
        <v>0.2484572502039338</v>
      </c>
    </row>
    <row r="172" spans="1:11" ht="13.15" x14ac:dyDescent="0.4">
      <c r="A172" s="41"/>
    </row>
    <row r="173" spans="1:11" ht="13.15" x14ac:dyDescent="0.4">
      <c r="A173" s="41" t="s">
        <v>1541</v>
      </c>
      <c r="B173" s="120"/>
      <c r="C173" s="120"/>
      <c r="D173" s="120"/>
      <c r="E173" s="120"/>
    </row>
    <row r="174" spans="1:11" ht="39.4" x14ac:dyDescent="0.4">
      <c r="A174" s="55"/>
      <c r="B174" s="180" t="s">
        <v>1481</v>
      </c>
      <c r="C174" s="180" t="s">
        <v>1480</v>
      </c>
      <c r="D174" s="180" t="s">
        <v>1479</v>
      </c>
      <c r="E174" s="180" t="s">
        <v>1478</v>
      </c>
      <c r="F174" s="180" t="s">
        <v>1477</v>
      </c>
      <c r="G174" s="180" t="s">
        <v>1476</v>
      </c>
      <c r="H174" s="180" t="s">
        <v>1475</v>
      </c>
      <c r="I174" s="180" t="s">
        <v>1474</v>
      </c>
      <c r="J174" s="180" t="s">
        <v>1473</v>
      </c>
      <c r="K174" s="179" t="s">
        <v>1472</v>
      </c>
    </row>
    <row r="175" spans="1:11" ht="13.15" x14ac:dyDescent="0.4">
      <c r="A175" s="178" t="s">
        <v>1540</v>
      </c>
      <c r="B175" s="177"/>
      <c r="C175" s="177"/>
      <c r="D175" s="177"/>
      <c r="E175" s="177"/>
      <c r="F175" s="177"/>
      <c r="G175" s="177"/>
      <c r="H175" s="177"/>
      <c r="I175" s="177"/>
      <c r="J175" s="177"/>
      <c r="K175" s="60"/>
    </row>
    <row r="176" spans="1:11" x14ac:dyDescent="0.35">
      <c r="A176" s="50" t="s">
        <v>1451</v>
      </c>
      <c r="B176" s="176"/>
      <c r="C176" s="176"/>
      <c r="D176" s="175">
        <v>5.8075169800758717</v>
      </c>
      <c r="E176" s="175">
        <v>4.9086537281888845</v>
      </c>
      <c r="F176" s="175">
        <v>59.373866677565672</v>
      </c>
      <c r="G176" s="175">
        <v>46.337310460090379</v>
      </c>
      <c r="H176" s="175">
        <v>104.70123020304833</v>
      </c>
      <c r="I176" s="175">
        <v>84.357346486963493</v>
      </c>
      <c r="J176" s="175">
        <v>6.8829830874973279</v>
      </c>
      <c r="K176" s="174">
        <v>6.1358171602361047</v>
      </c>
    </row>
    <row r="177" spans="1:11" x14ac:dyDescent="0.35">
      <c r="A177" s="50" t="s">
        <v>1450</v>
      </c>
      <c r="B177" s="176"/>
      <c r="C177" s="176"/>
      <c r="D177" s="175">
        <v>3.6617128841254885</v>
      </c>
      <c r="E177" s="175">
        <v>3.0949682389021667</v>
      </c>
      <c r="F177" s="175">
        <v>36.761792036994514</v>
      </c>
      <c r="G177" s="175">
        <v>28.690106708700117</v>
      </c>
      <c r="H177" s="175">
        <v>65.505284367626984</v>
      </c>
      <c r="I177" s="175">
        <v>52.777335656998815</v>
      </c>
      <c r="J177" s="175">
        <v>4.3398078626672447</v>
      </c>
      <c r="K177" s="174">
        <v>3.868710298627708</v>
      </c>
    </row>
    <row r="178" spans="1:11" x14ac:dyDescent="0.35">
      <c r="A178" s="50" t="s">
        <v>1449</v>
      </c>
      <c r="B178" s="176"/>
      <c r="C178" s="176"/>
      <c r="D178" s="175">
        <v>0</v>
      </c>
      <c r="E178" s="175">
        <v>0</v>
      </c>
      <c r="F178" s="175">
        <v>0</v>
      </c>
      <c r="G178" s="175">
        <v>0</v>
      </c>
      <c r="H178" s="175">
        <v>0</v>
      </c>
      <c r="I178" s="175">
        <v>0</v>
      </c>
      <c r="J178" s="175">
        <v>0</v>
      </c>
      <c r="K178" s="174">
        <v>0</v>
      </c>
    </row>
    <row r="179" spans="1:11" x14ac:dyDescent="0.35">
      <c r="A179" s="50" t="s">
        <v>1448</v>
      </c>
      <c r="B179" s="176"/>
      <c r="C179" s="176"/>
      <c r="D179" s="175">
        <v>0.49838051916849546</v>
      </c>
      <c r="E179" s="175">
        <v>0.42124326142584717</v>
      </c>
      <c r="F179" s="175">
        <v>5.0597715112916664</v>
      </c>
      <c r="G179" s="175">
        <v>3.948811429935581</v>
      </c>
      <c r="H179" s="175">
        <v>8.9582376089829268</v>
      </c>
      <c r="I179" s="175">
        <v>7.2176148496822394</v>
      </c>
      <c r="J179" s="175">
        <v>0.59067320790340194</v>
      </c>
      <c r="K179" s="174">
        <v>0.52655407678230892</v>
      </c>
    </row>
    <row r="180" spans="1:11" x14ac:dyDescent="0.35">
      <c r="A180" s="50" t="s">
        <v>1447</v>
      </c>
      <c r="B180" s="176"/>
      <c r="C180" s="176"/>
      <c r="D180" s="175">
        <v>8.2898897309723889</v>
      </c>
      <c r="E180" s="175">
        <v>7.0068151800187666</v>
      </c>
      <c r="F180" s="175">
        <v>39.377416465596056</v>
      </c>
      <c r="G180" s="175">
        <v>30.731425692577272</v>
      </c>
      <c r="H180" s="175">
        <v>48.820844188243726</v>
      </c>
      <c r="I180" s="175">
        <v>39.334751473185932</v>
      </c>
      <c r="J180" s="175">
        <v>9.8250544959672741</v>
      </c>
      <c r="K180" s="174">
        <v>8.758518975023458</v>
      </c>
    </row>
    <row r="181" spans="1:11" x14ac:dyDescent="0.35">
      <c r="A181" s="50" t="s">
        <v>1446</v>
      </c>
      <c r="B181" s="176"/>
      <c r="C181" s="176"/>
      <c r="D181" s="175">
        <v>6.9753911181483792</v>
      </c>
      <c r="E181" s="175">
        <v>5.8957691790041649</v>
      </c>
      <c r="F181" s="175">
        <v>44.688046538835309</v>
      </c>
      <c r="G181" s="175">
        <v>34.87601536161025</v>
      </c>
      <c r="H181" s="175">
        <v>99.232761497351945</v>
      </c>
      <c r="I181" s="175">
        <v>79.951423954201161</v>
      </c>
      <c r="J181" s="175">
        <v>8.2671302141017815</v>
      </c>
      <c r="K181" s="174">
        <v>7.3697114737552054</v>
      </c>
    </row>
    <row r="182" spans="1:11" x14ac:dyDescent="0.35">
      <c r="A182" s="50" t="s">
        <v>1445</v>
      </c>
      <c r="B182" s="176"/>
      <c r="C182" s="176"/>
      <c r="D182" s="175">
        <v>0</v>
      </c>
      <c r="E182" s="175">
        <v>0</v>
      </c>
      <c r="F182" s="175">
        <v>0</v>
      </c>
      <c r="G182" s="175">
        <v>0</v>
      </c>
      <c r="H182" s="175">
        <v>0</v>
      </c>
      <c r="I182" s="175">
        <v>0</v>
      </c>
      <c r="J182" s="175">
        <v>0</v>
      </c>
      <c r="K182" s="174">
        <v>0</v>
      </c>
    </row>
    <row r="183" spans="1:11" x14ac:dyDescent="0.35">
      <c r="A183" s="50" t="s">
        <v>1630</v>
      </c>
      <c r="B183" s="176"/>
      <c r="C183" s="176"/>
      <c r="D183" s="175">
        <v>0.44717360220483549</v>
      </c>
      <c r="E183" s="175">
        <v>0.37796193745812212</v>
      </c>
      <c r="F183" s="175">
        <v>3.9532321373407409</v>
      </c>
      <c r="G183" s="175">
        <v>3.085231855684071</v>
      </c>
      <c r="H183" s="175">
        <v>6.7093431838099935</v>
      </c>
      <c r="I183" s="175">
        <v>5.4056899480454064</v>
      </c>
      <c r="J183" s="175">
        <v>0.52998352853906416</v>
      </c>
      <c r="K183" s="174">
        <v>0.47245242182265262</v>
      </c>
    </row>
    <row r="184" spans="1:11" x14ac:dyDescent="0.35">
      <c r="A184" s="50" t="s">
        <v>1443</v>
      </c>
      <c r="B184" s="176"/>
      <c r="C184" s="176"/>
      <c r="D184" s="175">
        <v>1.2483279933204174</v>
      </c>
      <c r="E184" s="175">
        <v>1.0551169939643916</v>
      </c>
      <c r="F184" s="175">
        <v>11.035826615891834</v>
      </c>
      <c r="G184" s="175">
        <v>8.6127205907162043</v>
      </c>
      <c r="H184" s="175">
        <v>18.729774905869856</v>
      </c>
      <c r="I184" s="175">
        <v>15.090501881336031</v>
      </c>
      <c r="J184" s="175">
        <v>1.4794998439353093</v>
      </c>
      <c r="K184" s="174">
        <v>1.3188962424554895</v>
      </c>
    </row>
    <row r="185" spans="1:11" x14ac:dyDescent="0.35">
      <c r="A185" s="50" t="s">
        <v>1442</v>
      </c>
      <c r="B185" s="176"/>
      <c r="C185" s="176"/>
      <c r="D185" s="175">
        <v>1.2483279933204161</v>
      </c>
      <c r="E185" s="175">
        <v>1.0551169939643905</v>
      </c>
      <c r="F185" s="175">
        <v>11.035826615891834</v>
      </c>
      <c r="G185" s="175">
        <v>8.6127205907162043</v>
      </c>
      <c r="H185" s="175">
        <v>18.729774905869856</v>
      </c>
      <c r="I185" s="175">
        <v>15.090501881336031</v>
      </c>
      <c r="J185" s="175">
        <v>1.4794998439353075</v>
      </c>
      <c r="K185" s="174">
        <v>1.318896242455488</v>
      </c>
    </row>
    <row r="186" spans="1:11" x14ac:dyDescent="0.35">
      <c r="A186" s="50" t="s">
        <v>1631</v>
      </c>
      <c r="B186" s="176"/>
      <c r="C186" s="176"/>
      <c r="D186" s="175">
        <v>0.55153767355632866</v>
      </c>
      <c r="E186" s="175">
        <v>0.46617297320472523</v>
      </c>
      <c r="F186" s="175">
        <v>3.2356747509236801</v>
      </c>
      <c r="G186" s="175">
        <v>2.5252265663552942</v>
      </c>
      <c r="H186" s="175">
        <v>4.5919932929641085</v>
      </c>
      <c r="I186" s="175">
        <v>3.6997499315830167</v>
      </c>
      <c r="J186" s="175">
        <v>0.65367427977046344</v>
      </c>
      <c r="K186" s="174">
        <v>0.58271621650590644</v>
      </c>
    </row>
    <row r="187" spans="1:11" x14ac:dyDescent="0.35">
      <c r="A187" s="50" t="s">
        <v>1440</v>
      </c>
      <c r="B187" s="176"/>
      <c r="C187" s="176"/>
      <c r="D187" s="175">
        <v>0.17298997170489763</v>
      </c>
      <c r="E187" s="175">
        <v>0.14621530551899337</v>
      </c>
      <c r="F187" s="175">
        <v>0.87318447873947769</v>
      </c>
      <c r="G187" s="175">
        <v>0.68146177004118724</v>
      </c>
      <c r="H187" s="175">
        <v>1.5021012468551276</v>
      </c>
      <c r="I187" s="175">
        <v>1.2102367383240993</v>
      </c>
      <c r="J187" s="175">
        <v>0.20502515165024898</v>
      </c>
      <c r="K187" s="174">
        <v>0.18276913189874169</v>
      </c>
    </row>
    <row r="188" spans="1:11" x14ac:dyDescent="0.35">
      <c r="A188" s="50" t="s">
        <v>1439</v>
      </c>
      <c r="B188" s="176"/>
      <c r="C188" s="176"/>
      <c r="D188" s="175">
        <v>9.2651071667662455E-2</v>
      </c>
      <c r="E188" s="175">
        <v>7.8310925292589539E-2</v>
      </c>
      <c r="F188" s="175">
        <v>0.51672009428257426</v>
      </c>
      <c r="G188" s="175">
        <v>0.40326528773619191</v>
      </c>
      <c r="H188" s="175">
        <v>0.85672328536434594</v>
      </c>
      <c r="I188" s="175">
        <v>0.69025839416379375</v>
      </c>
      <c r="J188" s="175">
        <v>0.10980867753204437</v>
      </c>
      <c r="K188" s="174">
        <v>9.7888656615736924E-2</v>
      </c>
    </row>
    <row r="189" spans="1:11" x14ac:dyDescent="0.35">
      <c r="A189" s="50" t="s">
        <v>1438</v>
      </c>
      <c r="B189" s="176"/>
      <c r="C189" s="176"/>
      <c r="D189" s="175">
        <v>0.45662017810089311</v>
      </c>
      <c r="E189" s="175">
        <v>0.38594641174375677</v>
      </c>
      <c r="F189" s="175">
        <v>2.414060856552648</v>
      </c>
      <c r="G189" s="175">
        <v>1.8840121696486769</v>
      </c>
      <c r="H189" s="175">
        <v>2.5742990432428328</v>
      </c>
      <c r="I189" s="175">
        <v>2.0741020514348429</v>
      </c>
      <c r="J189" s="175">
        <v>0.54117947034179914</v>
      </c>
      <c r="K189" s="174">
        <v>0.4824330146796959</v>
      </c>
    </row>
    <row r="190" spans="1:11" x14ac:dyDescent="0.35">
      <c r="A190" s="50" t="s">
        <v>1437</v>
      </c>
      <c r="B190" s="176"/>
      <c r="C190" s="176"/>
      <c r="D190" s="175">
        <v>0.32819804587515794</v>
      </c>
      <c r="E190" s="175">
        <v>0.27740092142586442</v>
      </c>
      <c r="F190" s="175">
        <v>1.0517049189594552</v>
      </c>
      <c r="G190" s="175">
        <v>0.82078496936838763</v>
      </c>
      <c r="H190" s="175">
        <v>2.0183486476236867</v>
      </c>
      <c r="I190" s="175">
        <v>1.6261751258212858</v>
      </c>
      <c r="J190" s="175">
        <v>0.38897546177796488</v>
      </c>
      <c r="K190" s="174">
        <v>0.34675115178233051</v>
      </c>
    </row>
    <row r="191" spans="1:11" x14ac:dyDescent="0.35">
      <c r="A191" s="50" t="s">
        <v>1436</v>
      </c>
      <c r="B191" s="176"/>
      <c r="C191" s="176"/>
      <c r="D191" s="175">
        <v>2.5154123785729103</v>
      </c>
      <c r="E191" s="175">
        <v>2.1260873437606507</v>
      </c>
      <c r="F191" s="175">
        <v>8.2656651053022756</v>
      </c>
      <c r="G191" s="175">
        <v>6.4507958058969823</v>
      </c>
      <c r="H191" s="175">
        <v>17.892267542593292</v>
      </c>
      <c r="I191" s="175">
        <v>14.415725675819703</v>
      </c>
      <c r="J191" s="175">
        <v>2.9812294857160415</v>
      </c>
      <c r="K191" s="174">
        <v>2.6576091797008132</v>
      </c>
    </row>
    <row r="192" spans="1:11" x14ac:dyDescent="0.35">
      <c r="A192" s="50" t="s">
        <v>1435</v>
      </c>
      <c r="B192" s="176"/>
      <c r="C192" s="176"/>
      <c r="D192" s="175">
        <v>3.417880826490157</v>
      </c>
      <c r="E192" s="175">
        <v>2.8888754899924596</v>
      </c>
      <c r="F192" s="175">
        <v>11.919499336291388</v>
      </c>
      <c r="G192" s="175">
        <v>9.3023677281113937</v>
      </c>
      <c r="H192" s="175">
        <v>15.210099735093188</v>
      </c>
      <c r="I192" s="175">
        <v>12.254714208861047</v>
      </c>
      <c r="J192" s="175">
        <v>4.0508217202846293</v>
      </c>
      <c r="K192" s="174">
        <v>3.611094362490574</v>
      </c>
    </row>
    <row r="193" spans="1:11" ht="13.15" x14ac:dyDescent="0.4">
      <c r="A193" s="158" t="s">
        <v>320</v>
      </c>
      <c r="B193" s="157"/>
      <c r="C193" s="157"/>
      <c r="D193" s="157"/>
      <c r="E193" s="157"/>
      <c r="F193" s="157"/>
      <c r="G193" s="157"/>
      <c r="H193" s="157"/>
      <c r="I193" s="157"/>
      <c r="J193" s="157"/>
      <c r="K193" s="156"/>
    </row>
    <row r="194" spans="1:11" x14ac:dyDescent="0.35">
      <c r="A194" s="146" t="s">
        <v>1537</v>
      </c>
      <c r="B194" s="145"/>
      <c r="C194" s="145"/>
      <c r="D194" s="164">
        <v>2.654165705501359</v>
      </c>
      <c r="E194" s="164">
        <v>2.2433650095621611</v>
      </c>
      <c r="F194" s="164">
        <v>18.031772430679446</v>
      </c>
      <c r="G194" s="164">
        <v>14.07258587020409</v>
      </c>
      <c r="H194" s="164">
        <v>32.050628142014986</v>
      </c>
      <c r="I194" s="164">
        <v>25.823058029570927</v>
      </c>
      <c r="J194" s="164">
        <v>3.1538143633897859</v>
      </c>
      <c r="K194" s="163">
        <v>2.8114595147323422</v>
      </c>
    </row>
    <row r="195" spans="1:11" x14ac:dyDescent="0.35">
      <c r="A195" s="146" t="s">
        <v>1536</v>
      </c>
      <c r="B195" s="145"/>
      <c r="C195" s="145"/>
      <c r="D195" s="164">
        <v>2.4301477131462854</v>
      </c>
      <c r="E195" s="164">
        <v>2.0540195875637997</v>
      </c>
      <c r="F195" s="164">
        <v>16.599641878480444</v>
      </c>
      <c r="G195" s="164">
        <v>12.954904275084056</v>
      </c>
      <c r="H195" s="164">
        <v>29.662746521091886</v>
      </c>
      <c r="I195" s="164">
        <v>23.899151721350709</v>
      </c>
      <c r="J195" s="164">
        <v>2.887860624767244</v>
      </c>
      <c r="K195" s="163">
        <v>2.5743757543155366</v>
      </c>
    </row>
    <row r="196" spans="1:11" x14ac:dyDescent="0.35">
      <c r="A196" s="146" t="s">
        <v>1535</v>
      </c>
      <c r="B196" s="145"/>
      <c r="C196" s="145"/>
      <c r="D196" s="164">
        <v>0.96652415047079354</v>
      </c>
      <c r="E196" s="164">
        <v>0.81692957435504088</v>
      </c>
      <c r="F196" s="164">
        <v>6.3738468281282286</v>
      </c>
      <c r="G196" s="164">
        <v>4.9743588522530313</v>
      </c>
      <c r="H196" s="164">
        <v>11.987022512399184</v>
      </c>
      <c r="I196" s="164">
        <v>9.6578942717718856</v>
      </c>
      <c r="J196" s="164">
        <v>1.1465989640483987</v>
      </c>
      <c r="K196" s="163">
        <v>1.0221326291352499</v>
      </c>
    </row>
    <row r="197" spans="1:11" x14ac:dyDescent="0.35">
      <c r="A197" s="146" t="s">
        <v>1534</v>
      </c>
      <c r="B197" s="145"/>
      <c r="C197" s="145"/>
      <c r="D197" s="164">
        <v>1.2455862036737402</v>
      </c>
      <c r="E197" s="164">
        <v>1.0527995670817418</v>
      </c>
      <c r="F197" s="164">
        <v>8.4978525204459281</v>
      </c>
      <c r="G197" s="164">
        <v>6.632002470419347</v>
      </c>
      <c r="H197" s="164">
        <v>14.55835035058233</v>
      </c>
      <c r="I197" s="164">
        <v>11.729602435625678</v>
      </c>
      <c r="J197" s="164">
        <v>1.4827889391282352</v>
      </c>
      <c r="K197" s="163">
        <v>1.3218282977097098</v>
      </c>
    </row>
    <row r="198" spans="1:11" x14ac:dyDescent="0.35">
      <c r="A198" s="146" t="s">
        <v>1533</v>
      </c>
      <c r="B198" s="145"/>
      <c r="C198" s="145"/>
      <c r="D198" s="164">
        <v>0.21803742153066427</v>
      </c>
      <c r="E198" s="164">
        <v>0.18429049897796493</v>
      </c>
      <c r="F198" s="164">
        <v>1.7279431691783396</v>
      </c>
      <c r="G198" s="164">
        <v>1.3485434513205259</v>
      </c>
      <c r="H198" s="164">
        <v>3.1173747854172862</v>
      </c>
      <c r="I198" s="164">
        <v>2.5116559222196524</v>
      </c>
      <c r="J198" s="164">
        <v>0.25847279569895082</v>
      </c>
      <c r="K198" s="163">
        <v>0.23041489353426214</v>
      </c>
    </row>
    <row r="199" spans="1:11" x14ac:dyDescent="0.35">
      <c r="A199" s="155" t="s">
        <v>1532</v>
      </c>
      <c r="B199" s="48"/>
      <c r="C199" s="48"/>
      <c r="D199" s="173">
        <v>266.60597007475167</v>
      </c>
      <c r="E199" s="173">
        <v>225.34181018403956</v>
      </c>
      <c r="F199" s="164">
        <v>1994.0928615780213</v>
      </c>
      <c r="G199" s="164">
        <v>1556.2553895130497</v>
      </c>
      <c r="H199" s="164">
        <v>3586.9266909270673</v>
      </c>
      <c r="I199" s="164">
        <v>2889.9719430523223</v>
      </c>
      <c r="J199" s="164">
        <v>316.56008500332246</v>
      </c>
      <c r="K199" s="163">
        <v>282.19665472335646</v>
      </c>
    </row>
    <row r="200" spans="1:11" ht="13.15" x14ac:dyDescent="0.4">
      <c r="A200" s="158" t="s">
        <v>335</v>
      </c>
      <c r="B200" s="157"/>
      <c r="C200" s="157"/>
      <c r="D200" s="172"/>
      <c r="E200" s="172"/>
      <c r="F200" s="172"/>
      <c r="G200" s="172"/>
      <c r="H200" s="172"/>
      <c r="I200" s="172"/>
      <c r="J200" s="172"/>
      <c r="K200" s="171"/>
    </row>
    <row r="201" spans="1:11" x14ac:dyDescent="0.35">
      <c r="A201" s="146" t="s">
        <v>1525</v>
      </c>
      <c r="B201" s="145"/>
      <c r="C201" s="145"/>
      <c r="D201" s="164">
        <v>40.571079574532099</v>
      </c>
      <c r="E201" s="164">
        <v>34.291657121865718</v>
      </c>
      <c r="F201" s="164">
        <v>249.39309147570651</v>
      </c>
      <c r="G201" s="164">
        <v>194.63453793683999</v>
      </c>
      <c r="H201" s="164">
        <v>458.66171476617433</v>
      </c>
      <c r="I201" s="164">
        <v>369.54183936330202</v>
      </c>
      <c r="J201" s="164">
        <v>48.168923155745716</v>
      </c>
      <c r="K201" s="163">
        <v>42.940059786865419</v>
      </c>
    </row>
    <row r="202" spans="1:11" x14ac:dyDescent="0.35">
      <c r="A202" s="146" t="s">
        <v>1524</v>
      </c>
      <c r="B202" s="145"/>
      <c r="C202" s="145"/>
      <c r="D202" s="164">
        <v>101.31098323338838</v>
      </c>
      <c r="E202" s="164">
        <v>85.630491871339572</v>
      </c>
      <c r="F202" s="164">
        <v>722.99003480659121</v>
      </c>
      <c r="G202" s="164">
        <v>564.24510608878745</v>
      </c>
      <c r="H202" s="164">
        <v>1234.6776919517677</v>
      </c>
      <c r="I202" s="164">
        <v>994.77469039964774</v>
      </c>
      <c r="J202" s="164">
        <v>120.40504020583533</v>
      </c>
      <c r="K202" s="163">
        <v>107.33475623612296</v>
      </c>
    </row>
    <row r="203" spans="1:11" x14ac:dyDescent="0.35">
      <c r="A203" s="146" t="s">
        <v>1523</v>
      </c>
      <c r="B203" s="145"/>
      <c r="C203" s="145"/>
      <c r="D203" s="164">
        <v>223.87227772686822</v>
      </c>
      <c r="E203" s="164">
        <v>189.22226047245627</v>
      </c>
      <c r="F203" s="164">
        <v>1675.4760972770371</v>
      </c>
      <c r="G203" s="164">
        <v>1307.5964297491457</v>
      </c>
      <c r="H203" s="164">
        <v>2939.5802353728136</v>
      </c>
      <c r="I203" s="164">
        <v>2368.4075913976653</v>
      </c>
      <c r="J203" s="164">
        <v>265.8388170509831</v>
      </c>
      <c r="K203" s="163">
        <v>236.98131388426458</v>
      </c>
    </row>
    <row r="204" spans="1:11" x14ac:dyDescent="0.35">
      <c r="A204" s="146" t="s">
        <v>1522</v>
      </c>
      <c r="B204" s="145"/>
      <c r="C204" s="145"/>
      <c r="D204" s="164">
        <v>87.833727714451754</v>
      </c>
      <c r="E204" s="164">
        <v>74.239189740713996</v>
      </c>
      <c r="F204" s="164">
        <v>767.66005288274607</v>
      </c>
      <c r="G204" s="164">
        <v>599.10705144756514</v>
      </c>
      <c r="H204" s="164">
        <v>1396.9428788415621</v>
      </c>
      <c r="I204" s="164">
        <v>1125.5110778010987</v>
      </c>
      <c r="J204" s="164">
        <v>104.13938563745145</v>
      </c>
      <c r="K204" s="163">
        <v>92.834781275491238</v>
      </c>
    </row>
    <row r="205" spans="1:11" x14ac:dyDescent="0.35">
      <c r="A205" s="146" t="s">
        <v>1521</v>
      </c>
      <c r="B205" s="145"/>
      <c r="C205" s="145"/>
      <c r="D205" s="164">
        <v>31.727411677624744</v>
      </c>
      <c r="E205" s="164">
        <v>26.816775250327659</v>
      </c>
      <c r="F205" s="164">
        <v>258.86929262611545</v>
      </c>
      <c r="G205" s="164">
        <v>202.03007572576885</v>
      </c>
      <c r="H205" s="164">
        <v>476.05083511435987</v>
      </c>
      <c r="I205" s="164">
        <v>383.55218143350135</v>
      </c>
      <c r="J205" s="164">
        <v>37.631902092922864</v>
      </c>
      <c r="K205" s="163">
        <v>33.546860089414778</v>
      </c>
    </row>
    <row r="206" spans="1:11" x14ac:dyDescent="0.35">
      <c r="A206" s="146" t="s">
        <v>1520</v>
      </c>
      <c r="B206" s="145"/>
      <c r="C206" s="145"/>
      <c r="D206" s="164">
        <v>1900.4285255681434</v>
      </c>
      <c r="E206" s="164">
        <v>1606.2881260942429</v>
      </c>
      <c r="F206" s="164">
        <v>15185.24147516461</v>
      </c>
      <c r="G206" s="164">
        <v>11851.059868937487</v>
      </c>
      <c r="H206" s="164">
        <v>25814.159077311117</v>
      </c>
      <c r="I206" s="164">
        <v>20798.360796059951</v>
      </c>
      <c r="J206" s="164">
        <v>2252.7108040698899</v>
      </c>
      <c r="K206" s="163">
        <v>2008.1731181017774</v>
      </c>
    </row>
    <row r="207" spans="1:11" x14ac:dyDescent="0.35">
      <c r="A207" s="146" t="s">
        <v>1519</v>
      </c>
      <c r="B207" s="145"/>
      <c r="C207" s="145"/>
      <c r="D207" s="164">
        <v>2.4097611646828074</v>
      </c>
      <c r="E207" s="164">
        <v>2.0367883840281968</v>
      </c>
      <c r="F207" s="164">
        <v>19.279647273836236</v>
      </c>
      <c r="G207" s="164">
        <v>15.046468274338315</v>
      </c>
      <c r="H207" s="164">
        <v>33.430766428396687</v>
      </c>
      <c r="I207" s="164">
        <v>26.935029716994659</v>
      </c>
      <c r="J207" s="164">
        <v>2.8603732430649673</v>
      </c>
      <c r="K207" s="163">
        <v>2.5498722002322576</v>
      </c>
    </row>
    <row r="208" spans="1:11" x14ac:dyDescent="0.35">
      <c r="A208" s="146" t="s">
        <v>1518</v>
      </c>
      <c r="B208" s="145"/>
      <c r="C208" s="145"/>
      <c r="D208" s="164">
        <v>3.1663526457206066</v>
      </c>
      <c r="E208" s="164">
        <v>2.6762777917825633</v>
      </c>
      <c r="F208" s="164">
        <v>23.637799487083466</v>
      </c>
      <c r="G208" s="164">
        <v>18.447713021193781</v>
      </c>
      <c r="H208" s="164">
        <v>41.489629218422792</v>
      </c>
      <c r="I208" s="164">
        <v>33.428022008973841</v>
      </c>
      <c r="J208" s="164">
        <v>3.7628682775172857</v>
      </c>
      <c r="K208" s="163">
        <v>3.3543990237078436</v>
      </c>
    </row>
    <row r="209" spans="1:13" x14ac:dyDescent="0.35">
      <c r="A209" s="146" t="s">
        <v>1531</v>
      </c>
      <c r="B209" s="145"/>
      <c r="C209" s="145"/>
      <c r="D209" s="164">
        <v>410.89669963355834</v>
      </c>
      <c r="E209" s="164">
        <v>347.29982253627844</v>
      </c>
      <c r="F209" s="164">
        <v>2785.6361909231241</v>
      </c>
      <c r="G209" s="164">
        <v>2174.0017322543804</v>
      </c>
      <c r="H209" s="164">
        <v>4941.7063403157326</v>
      </c>
      <c r="I209" s="164">
        <v>3981.512281932115</v>
      </c>
      <c r="J209" s="164">
        <v>488.45777073015108</v>
      </c>
      <c r="K209" s="163">
        <v>435.4343943022069</v>
      </c>
    </row>
    <row r="210" spans="1:13" x14ac:dyDescent="0.35">
      <c r="A210" s="146" t="s">
        <v>1530</v>
      </c>
      <c r="B210" s="145"/>
      <c r="C210" s="145"/>
      <c r="D210" s="164">
        <v>3.7181359122890365</v>
      </c>
      <c r="E210" s="164">
        <v>3.1426583461374777</v>
      </c>
      <c r="F210" s="164">
        <v>25.169849563541312</v>
      </c>
      <c r="G210" s="164">
        <v>19.643375086101141</v>
      </c>
      <c r="H210" s="164">
        <v>45.046707246619746</v>
      </c>
      <c r="I210" s="164">
        <v>36.29394500838707</v>
      </c>
      <c r="J210" s="164">
        <v>4.4205136328073449</v>
      </c>
      <c r="K210" s="163">
        <v>3.9406552450354946</v>
      </c>
    </row>
    <row r="211" spans="1:13" x14ac:dyDescent="0.35">
      <c r="A211" s="155" t="s">
        <v>1529</v>
      </c>
      <c r="B211" s="154"/>
      <c r="C211" s="154"/>
      <c r="D211" s="170">
        <v>186673.13126935158</v>
      </c>
      <c r="E211" s="170">
        <v>157780.64272590805</v>
      </c>
      <c r="F211" s="170">
        <v>1260434.6479439433</v>
      </c>
      <c r="G211" s="170">
        <v>983684.48721062532</v>
      </c>
      <c r="H211" s="170">
        <v>2285791.5321893678</v>
      </c>
      <c r="I211" s="170">
        <v>1841652.7475744183</v>
      </c>
      <c r="J211" s="170">
        <v>221743.75537018364</v>
      </c>
      <c r="K211" s="169">
        <v>197672.88718855189</v>
      </c>
    </row>
    <row r="212" spans="1:13" x14ac:dyDescent="0.35">
      <c r="A212" s="155" t="s">
        <v>1528</v>
      </c>
      <c r="B212" s="154"/>
      <c r="C212" s="154"/>
      <c r="D212" s="170">
        <v>186958.78077434466</v>
      </c>
      <c r="E212" s="170">
        <v>158022.08059211663</v>
      </c>
      <c r="F212" s="170">
        <v>1262348.0502765961</v>
      </c>
      <c r="G212" s="170">
        <v>985177.76906819199</v>
      </c>
      <c r="H212" s="170">
        <v>2289161.2356686941</v>
      </c>
      <c r="I212" s="170">
        <v>1844367.7036777288</v>
      </c>
      <c r="J212" s="170">
        <v>222083.08976767585</v>
      </c>
      <c r="K212" s="169">
        <v>197975.38594421101</v>
      </c>
    </row>
    <row r="213" spans="1:13" x14ac:dyDescent="0.35">
      <c r="A213" s="152" t="s">
        <v>1527</v>
      </c>
      <c r="B213" s="151"/>
      <c r="C213" s="151"/>
      <c r="D213" s="168">
        <v>202099.47067319701</v>
      </c>
      <c r="E213" s="168">
        <v>170819.35766841756</v>
      </c>
      <c r="F213" s="168">
        <v>1364301.375095515</v>
      </c>
      <c r="G213" s="168">
        <v>1064745.4834336392</v>
      </c>
      <c r="H213" s="168">
        <v>2475362.0230806926</v>
      </c>
      <c r="I213" s="168">
        <v>1994388.9050465936</v>
      </c>
      <c r="J213" s="168">
        <v>240075.34983852791</v>
      </c>
      <c r="K213" s="167">
        <v>214014.53883631929</v>
      </c>
      <c r="M213" s="48"/>
    </row>
    <row r="214" spans="1:13" ht="13.15" x14ac:dyDescent="0.4">
      <c r="A214" s="149" t="s">
        <v>1526</v>
      </c>
      <c r="B214" s="148"/>
      <c r="C214" s="148"/>
      <c r="D214" s="166"/>
      <c r="E214" s="166"/>
      <c r="F214" s="166"/>
      <c r="G214" s="166"/>
      <c r="H214" s="166"/>
      <c r="I214" s="166"/>
      <c r="J214" s="166"/>
      <c r="K214" s="165"/>
    </row>
    <row r="215" spans="1:13" x14ac:dyDescent="0.35">
      <c r="A215" s="146" t="s">
        <v>1525</v>
      </c>
      <c r="B215" s="145"/>
      <c r="C215" s="145"/>
      <c r="D215" s="164">
        <v>1.587114231686525</v>
      </c>
      <c r="E215" s="164">
        <v>1.3414673116165245</v>
      </c>
      <c r="F215" s="164">
        <v>11.219997945425632</v>
      </c>
      <c r="G215" s="164">
        <v>8.7564539291696288</v>
      </c>
      <c r="H215" s="164">
        <v>19.839628838576445</v>
      </c>
      <c r="I215" s="164">
        <v>15.984706587142082</v>
      </c>
      <c r="J215" s="164">
        <v>1.8853885541281612</v>
      </c>
      <c r="K215" s="163">
        <v>1.6807246650287226</v>
      </c>
    </row>
    <row r="216" spans="1:13" x14ac:dyDescent="0.35">
      <c r="A216" s="146" t="s">
        <v>1524</v>
      </c>
      <c r="B216" s="145"/>
      <c r="C216" s="145"/>
      <c r="D216" s="164">
        <v>7.6941128887321666</v>
      </c>
      <c r="E216" s="164">
        <v>6.5032501921135806</v>
      </c>
      <c r="F216" s="164">
        <v>50.683768867953582</v>
      </c>
      <c r="G216" s="164">
        <v>39.555273468642469</v>
      </c>
      <c r="H216" s="164">
        <v>88.243553151710529</v>
      </c>
      <c r="I216" s="164">
        <v>71.097464413965355</v>
      </c>
      <c r="J216" s="164">
        <v>9.1435883268270661</v>
      </c>
      <c r="K216" s="163">
        <v>8.1510277518754428</v>
      </c>
    </row>
    <row r="217" spans="1:13" x14ac:dyDescent="0.35">
      <c r="A217" s="146" t="s">
        <v>1523</v>
      </c>
      <c r="B217" s="145"/>
      <c r="C217" s="145"/>
      <c r="D217" s="164">
        <v>20.733505041477049</v>
      </c>
      <c r="E217" s="164">
        <v>17.524459621802038</v>
      </c>
      <c r="F217" s="164">
        <v>136.05482281897355</v>
      </c>
      <c r="G217" s="164">
        <v>106.18164046468411</v>
      </c>
      <c r="H217" s="164">
        <v>247.81783388011559</v>
      </c>
      <c r="I217" s="164">
        <v>199.66579989300857</v>
      </c>
      <c r="J217" s="164">
        <v>24.615947383514673</v>
      </c>
      <c r="K217" s="163">
        <v>21.943821516225249</v>
      </c>
    </row>
    <row r="218" spans="1:13" x14ac:dyDescent="0.35">
      <c r="A218" s="146" t="s">
        <v>1522</v>
      </c>
      <c r="B218" s="145"/>
      <c r="C218" s="145"/>
      <c r="D218" s="164">
        <v>2.5088117814422324</v>
      </c>
      <c r="E218" s="164">
        <v>2.1205083595192042</v>
      </c>
      <c r="F218" s="164">
        <v>16.402069108057837</v>
      </c>
      <c r="G218" s="164">
        <v>12.800712013171093</v>
      </c>
      <c r="H218" s="164">
        <v>30.648535966530932</v>
      </c>
      <c r="I218" s="164">
        <v>24.693398184843293</v>
      </c>
      <c r="J218" s="164">
        <v>2.9765355544542742</v>
      </c>
      <c r="K218" s="163">
        <v>2.6534247870299614</v>
      </c>
    </row>
    <row r="219" spans="1:13" x14ac:dyDescent="0.35">
      <c r="A219" s="146" t="s">
        <v>1521</v>
      </c>
      <c r="B219" s="145"/>
      <c r="C219" s="145"/>
      <c r="D219" s="164">
        <v>1.813755726432678</v>
      </c>
      <c r="E219" s="164">
        <v>1.5330301812499203</v>
      </c>
      <c r="F219" s="164">
        <v>11.855065489943083</v>
      </c>
      <c r="G219" s="164">
        <v>9.2520814437669152</v>
      </c>
      <c r="H219" s="164">
        <v>22.090947261760562</v>
      </c>
      <c r="I219" s="164">
        <v>17.79858449391282</v>
      </c>
      <c r="J219" s="164">
        <v>2.1519504804170997</v>
      </c>
      <c r="K219" s="163">
        <v>1.9183505927402438</v>
      </c>
    </row>
    <row r="220" spans="1:13" x14ac:dyDescent="0.35">
      <c r="A220" s="146" t="s">
        <v>1520</v>
      </c>
      <c r="B220" s="145"/>
      <c r="C220" s="145"/>
      <c r="D220" s="164">
        <v>85.913060660705696</v>
      </c>
      <c r="E220" s="164">
        <v>72.615795521407364</v>
      </c>
      <c r="F220" s="164">
        <v>557.98586555469103</v>
      </c>
      <c r="G220" s="164">
        <v>435.47044737646269</v>
      </c>
      <c r="H220" s="164">
        <v>1053.9935787757174</v>
      </c>
      <c r="I220" s="164">
        <v>849.19825055913464</v>
      </c>
      <c r="J220" s="164">
        <v>101.92658144866864</v>
      </c>
      <c r="K220" s="163">
        <v>90.862182804569741</v>
      </c>
    </row>
    <row r="221" spans="1:13" x14ac:dyDescent="0.35">
      <c r="A221" s="146" t="s">
        <v>1519</v>
      </c>
      <c r="B221" s="145"/>
      <c r="C221" s="145"/>
      <c r="D221" s="164">
        <v>0.10273846126327449</v>
      </c>
      <c r="E221" s="164">
        <v>8.6837030806541565E-2</v>
      </c>
      <c r="F221" s="164">
        <v>0.67928256739757964</v>
      </c>
      <c r="G221" s="164">
        <v>0.53013436680084236</v>
      </c>
      <c r="H221" s="164">
        <v>1.2384227052735968</v>
      </c>
      <c r="I221" s="164">
        <v>0.99779203208488998</v>
      </c>
      <c r="J221" s="164">
        <v>0.12191135428512581</v>
      </c>
      <c r="K221" s="163">
        <v>0.10867755595812201</v>
      </c>
    </row>
    <row r="222" spans="1:13" x14ac:dyDescent="0.35">
      <c r="A222" s="143" t="s">
        <v>1518</v>
      </c>
      <c r="B222" s="142"/>
      <c r="C222" s="142"/>
      <c r="D222" s="162">
        <v>0.23438015450000127</v>
      </c>
      <c r="E222" s="162">
        <v>0.19810377191267159</v>
      </c>
      <c r="F222" s="162">
        <v>1.5280481015826792</v>
      </c>
      <c r="G222" s="162">
        <v>1.1925387926224138</v>
      </c>
      <c r="H222" s="162">
        <v>2.7492179969687038</v>
      </c>
      <c r="I222" s="162">
        <v>2.215033526241533</v>
      </c>
      <c r="J222" s="162">
        <v>0.27814954095155359</v>
      </c>
      <c r="K222" s="161">
        <v>0.24795567630878623</v>
      </c>
    </row>
    <row r="224" spans="1:13" ht="13.9" x14ac:dyDescent="0.4">
      <c r="A224" s="72" t="s">
        <v>1538</v>
      </c>
    </row>
    <row r="225" spans="1:11" ht="39.4" x14ac:dyDescent="0.4">
      <c r="A225" s="70"/>
      <c r="B225" s="160" t="s">
        <v>1481</v>
      </c>
      <c r="C225" s="160" t="s">
        <v>1480</v>
      </c>
      <c r="D225" s="160" t="s">
        <v>1479</v>
      </c>
      <c r="E225" s="160" t="s">
        <v>1478</v>
      </c>
      <c r="F225" s="160" t="s">
        <v>1477</v>
      </c>
      <c r="G225" s="160" t="s">
        <v>1476</v>
      </c>
      <c r="H225" s="160" t="s">
        <v>1475</v>
      </c>
      <c r="I225" s="160" t="s">
        <v>1474</v>
      </c>
      <c r="J225" s="160" t="s">
        <v>1473</v>
      </c>
      <c r="K225" s="159" t="s">
        <v>1472</v>
      </c>
    </row>
    <row r="226" spans="1:11" ht="13.15" x14ac:dyDescent="0.4">
      <c r="A226" s="149" t="s">
        <v>320</v>
      </c>
      <c r="B226" s="145"/>
      <c r="C226" s="145"/>
      <c r="D226" s="145"/>
      <c r="E226" s="145"/>
      <c r="F226" s="145"/>
      <c r="G226" s="145"/>
      <c r="H226" s="145"/>
      <c r="I226" s="145"/>
      <c r="J226" s="145"/>
      <c r="K226" s="144"/>
    </row>
    <row r="227" spans="1:11" x14ac:dyDescent="0.35">
      <c r="A227" s="146" t="s">
        <v>1537</v>
      </c>
      <c r="B227" s="145">
        <v>0.78065467342840877</v>
      </c>
      <c r="C227" s="145">
        <v>0.50742553772846566</v>
      </c>
      <c r="D227" s="145">
        <v>3.7421537122639359</v>
      </c>
      <c r="E227" s="145">
        <v>3.069400470458953</v>
      </c>
      <c r="F227" s="145">
        <v>18.511007660756331</v>
      </c>
      <c r="G227" s="145">
        <v>14.384088769754065</v>
      </c>
      <c r="H227" s="145">
        <v>32.529863372091867</v>
      </c>
      <c r="I227" s="145">
        <v>26.134560929120902</v>
      </c>
      <c r="J227" s="145">
        <v>4.3463978756319088</v>
      </c>
      <c r="K227" s="144">
        <v>3.7588748631861977</v>
      </c>
    </row>
    <row r="228" spans="1:11" x14ac:dyDescent="0.35">
      <c r="A228" s="146" t="s">
        <v>1536</v>
      </c>
      <c r="B228" s="145">
        <v>0.74472577177292543</v>
      </c>
      <c r="C228" s="145">
        <v>0.48407175165240168</v>
      </c>
      <c r="D228" s="145">
        <v>3.4208472002069783</v>
      </c>
      <c r="E228" s="145">
        <v>2.8021303733376248</v>
      </c>
      <c r="F228" s="145">
        <v>17.056820755041045</v>
      </c>
      <c r="G228" s="145">
        <v>13.252070544848447</v>
      </c>
      <c r="H228" s="145">
        <v>30.119925397652487</v>
      </c>
      <c r="I228" s="145">
        <v>24.196317991115098</v>
      </c>
      <c r="J228" s="145">
        <v>3.9696746675489001</v>
      </c>
      <c r="K228" s="144">
        <v>3.428371399230933</v>
      </c>
    </row>
    <row r="229" spans="1:11" x14ac:dyDescent="0.35">
      <c r="A229" s="146" t="s">
        <v>1535</v>
      </c>
      <c r="B229" s="145">
        <v>0.37500000917348464</v>
      </c>
      <c r="C229" s="145">
        <v>0.24375000596276508</v>
      </c>
      <c r="D229" s="145">
        <v>1.223541476885553</v>
      </c>
      <c r="E229" s="145">
        <v>0.98922459888937175</v>
      </c>
      <c r="F229" s="145">
        <v>6.6040551670930618</v>
      </c>
      <c r="G229" s="145">
        <v>5.1239942725801733</v>
      </c>
      <c r="H229" s="145">
        <v>12.217230851364018</v>
      </c>
      <c r="I229" s="145">
        <v>9.8075296920990276</v>
      </c>
      <c r="J229" s="145">
        <v>1.4074920579819825</v>
      </c>
      <c r="K229" s="144">
        <v>1.1991218935299293</v>
      </c>
    </row>
    <row r="230" spans="1:11" x14ac:dyDescent="0.35">
      <c r="A230" s="146" t="s">
        <v>1534</v>
      </c>
      <c r="B230" s="145">
        <v>0.30177406329371614</v>
      </c>
      <c r="C230" s="145">
        <v>0.19615314114091559</v>
      </c>
      <c r="D230" s="145">
        <v>1.7548242164975221</v>
      </c>
      <c r="E230" s="145">
        <v>1.4470534453617496</v>
      </c>
      <c r="F230" s="145">
        <v>8.683107625584741</v>
      </c>
      <c r="G230" s="145">
        <v>6.7524182053775608</v>
      </c>
      <c r="H230" s="145">
        <v>14.743604967686279</v>
      </c>
      <c r="I230" s="145">
        <v>11.850017761226232</v>
      </c>
      <c r="J230" s="145">
        <v>2.0454850446617185</v>
      </c>
      <c r="K230" s="144">
        <v>1.7787127482354215</v>
      </c>
    </row>
    <row r="231" spans="1:11" x14ac:dyDescent="0.35">
      <c r="A231" s="146" t="s">
        <v>1533</v>
      </c>
      <c r="B231" s="145">
        <v>6.7951699305724617E-2</v>
      </c>
      <c r="C231" s="145">
        <v>4.4168604548721013E-2</v>
      </c>
      <c r="D231" s="145">
        <v>0.44248150682390297</v>
      </c>
      <c r="E231" s="145">
        <v>0.36585232908650345</v>
      </c>
      <c r="F231" s="145">
        <v>1.7696579623632427</v>
      </c>
      <c r="G231" s="145">
        <v>1.375658066890713</v>
      </c>
      <c r="H231" s="145">
        <v>3.1590895786021895</v>
      </c>
      <c r="I231" s="145">
        <v>2.5387705377898393</v>
      </c>
      <c r="J231" s="145">
        <v>0.51669756490519925</v>
      </c>
      <c r="K231" s="144">
        <v>0.45053675746558253</v>
      </c>
    </row>
    <row r="232" spans="1:11" x14ac:dyDescent="0.35">
      <c r="A232" s="146" t="s">
        <v>1532</v>
      </c>
      <c r="B232" s="48">
        <v>32.921200656154738</v>
      </c>
      <c r="C232" s="48">
        <v>21.398780426500586</v>
      </c>
      <c r="D232" s="48">
        <v>464.21102664432368</v>
      </c>
      <c r="E232" s="48">
        <v>388.41690785558581</v>
      </c>
      <c r="F232" s="48">
        <v>2014.3028208697162</v>
      </c>
      <c r="G232" s="48">
        <v>1569.3918630526514</v>
      </c>
      <c r="H232" s="48">
        <v>3607.1366502187625</v>
      </c>
      <c r="I232" s="48">
        <v>2903.1084165919242</v>
      </c>
      <c r="J232" s="48">
        <v>546.43344652444</v>
      </c>
      <c r="K232" s="47">
        <v>482.23701643458173</v>
      </c>
    </row>
    <row r="233" spans="1:11" ht="13.15" x14ac:dyDescent="0.4">
      <c r="A233" s="158" t="s">
        <v>335</v>
      </c>
      <c r="B233" s="157"/>
      <c r="C233" s="157"/>
      <c r="D233" s="157"/>
      <c r="E233" s="157"/>
      <c r="F233" s="157"/>
      <c r="G233" s="157"/>
      <c r="H233" s="157"/>
      <c r="I233" s="157"/>
      <c r="J233" s="157"/>
      <c r="K233" s="156"/>
    </row>
    <row r="234" spans="1:11" x14ac:dyDescent="0.35">
      <c r="A234" s="146" t="s">
        <v>1525</v>
      </c>
      <c r="B234" s="145">
        <v>23.685398046040163</v>
      </c>
      <c r="C234" s="145">
        <v>15.395508729926108</v>
      </c>
      <c r="D234" s="145">
        <v>80.904389324834668</v>
      </c>
      <c r="E234" s="145">
        <v>65.543746416973562</v>
      </c>
      <c r="F234" s="145">
        <v>263.93329416508118</v>
      </c>
      <c r="G234" s="145">
        <v>204.08566968493352</v>
      </c>
      <c r="H234" s="145">
        <v>473.20191745554899</v>
      </c>
      <c r="I234" s="145">
        <v>378.99297111139555</v>
      </c>
      <c r="J234" s="145">
        <v>93.194053516586507</v>
      </c>
      <c r="K234" s="144">
        <v>79.566900084193577</v>
      </c>
    </row>
    <row r="235" spans="1:11" x14ac:dyDescent="0.35">
      <c r="A235" s="146" t="s">
        <v>1524</v>
      </c>
      <c r="B235" s="145">
        <v>41.624082946282527</v>
      </c>
      <c r="C235" s="145">
        <v>27.055653915083646</v>
      </c>
      <c r="D235" s="145">
        <v>406.24782926397341</v>
      </c>
      <c r="E235" s="145">
        <v>338.38200717634118</v>
      </c>
      <c r="F235" s="145">
        <v>748.54259683750354</v>
      </c>
      <c r="G235" s="145">
        <v>580.85427140888044</v>
      </c>
      <c r="H235" s="145">
        <v>1260.2302539826801</v>
      </c>
      <c r="I235" s="145">
        <v>1011.3838557197407</v>
      </c>
      <c r="J235" s="145">
        <v>476.74695282565136</v>
      </c>
      <c r="K235" s="144">
        <v>418.8252176404032</v>
      </c>
    </row>
    <row r="236" spans="1:11" x14ac:dyDescent="0.35">
      <c r="A236" s="146" t="s">
        <v>1523</v>
      </c>
      <c r="B236" s="145">
        <v>52.222576598629303</v>
      </c>
      <c r="C236" s="145">
        <v>33.944674789109058</v>
      </c>
      <c r="D236" s="145">
        <v>453.10905785525676</v>
      </c>
      <c r="E236" s="145">
        <v>376.72006375205876</v>
      </c>
      <c r="F236" s="145">
        <v>1707.5349568000845</v>
      </c>
      <c r="G236" s="145">
        <v>1328.4346884391266</v>
      </c>
      <c r="H236" s="145">
        <v>2971.639094895861</v>
      </c>
      <c r="I236" s="145">
        <v>2389.245850087646</v>
      </c>
      <c r="J236" s="145">
        <v>531.08131680566601</v>
      </c>
      <c r="K236" s="144">
        <v>465.69051501757815</v>
      </c>
    </row>
    <row r="237" spans="1:11" x14ac:dyDescent="0.35">
      <c r="A237" s="146" t="s">
        <v>1522</v>
      </c>
      <c r="B237" s="145">
        <v>51.710817574782908</v>
      </c>
      <c r="C237" s="145">
        <v>33.612031423608897</v>
      </c>
      <c r="D237" s="145">
        <v>208.7682959055075</v>
      </c>
      <c r="E237" s="145">
        <v>170.25867790589561</v>
      </c>
      <c r="F237" s="145">
        <v>799.4047492272656</v>
      </c>
      <c r="G237" s="145">
        <v>619.74110407150283</v>
      </c>
      <c r="H237" s="145">
        <v>1428.6875751860816</v>
      </c>
      <c r="I237" s="145">
        <v>1146.1451304250363</v>
      </c>
      <c r="J237" s="145">
        <v>241.5504439723571</v>
      </c>
      <c r="K237" s="144">
        <v>207.66483422638504</v>
      </c>
    </row>
    <row r="238" spans="1:11" x14ac:dyDescent="0.35">
      <c r="A238" s="146" t="s">
        <v>1521</v>
      </c>
      <c r="B238" s="145">
        <v>25.331222962078712</v>
      </c>
      <c r="C238" s="145">
        <v>16.465294925351166</v>
      </c>
      <c r="D238" s="145">
        <v>83.821710476754262</v>
      </c>
      <c r="E238" s="145">
        <v>67.812291320534428</v>
      </c>
      <c r="F238" s="145">
        <v>274.41984894450269</v>
      </c>
      <c r="G238" s="145">
        <v>212.13793733272053</v>
      </c>
      <c r="H238" s="145">
        <v>491.60139143274711</v>
      </c>
      <c r="I238" s="145">
        <v>393.66004304045305</v>
      </c>
      <c r="J238" s="145">
        <v>96.464516802377787</v>
      </c>
      <c r="K238" s="144">
        <v>82.238398748930123</v>
      </c>
    </row>
    <row r="239" spans="1:11" x14ac:dyDescent="0.35">
      <c r="A239" s="146" t="s">
        <v>1520</v>
      </c>
      <c r="B239" s="145">
        <v>605.47547881043738</v>
      </c>
      <c r="C239" s="145">
        <v>393.55906122678437</v>
      </c>
      <c r="D239" s="145">
        <v>8543.9717260034595</v>
      </c>
      <c r="E239" s="145">
        <v>7149.0076399631944</v>
      </c>
      <c r="F239" s="145">
        <v>15556.936144101017</v>
      </c>
      <c r="G239" s="145">
        <v>12092.661403746153</v>
      </c>
      <c r="H239" s="145">
        <v>26185.853746247525</v>
      </c>
      <c r="I239" s="145">
        <v>21039.962330868617</v>
      </c>
      <c r="J239" s="145">
        <v>10057.356366201057</v>
      </c>
      <c r="K239" s="144">
        <v>8875.8591662518265</v>
      </c>
    </row>
    <row r="240" spans="1:11" x14ac:dyDescent="0.35">
      <c r="A240" s="146" t="s">
        <v>1519</v>
      </c>
      <c r="B240" s="145">
        <v>0.31296089264008292</v>
      </c>
      <c r="C240" s="145">
        <v>0.20342458021605392</v>
      </c>
      <c r="D240" s="145">
        <v>6.4660252669849863</v>
      </c>
      <c r="E240" s="145">
        <v>5.427733754030494</v>
      </c>
      <c r="F240" s="145">
        <v>19.471770488484733</v>
      </c>
      <c r="G240" s="145">
        <v>15.171348363859837</v>
      </c>
      <c r="H240" s="145">
        <v>33.622889643045184</v>
      </c>
      <c r="I240" s="145">
        <v>27.059909806516181</v>
      </c>
      <c r="J240" s="145">
        <v>7.6278589803806316</v>
      </c>
      <c r="K240" s="144">
        <v>6.7534471701577354</v>
      </c>
    </row>
    <row r="241" spans="1:11" x14ac:dyDescent="0.35">
      <c r="A241" s="146" t="s">
        <v>1518</v>
      </c>
      <c r="B241" s="145">
        <v>0.54158600199414453</v>
      </c>
      <c r="C241" s="145">
        <v>0.35203090129619397</v>
      </c>
      <c r="D241" s="145">
        <v>4.3117362635789327</v>
      </c>
      <c r="E241" s="145">
        <v>3.5794768225015186</v>
      </c>
      <c r="F241" s="145">
        <v>23.970273116085426</v>
      </c>
      <c r="G241" s="145">
        <v>18.663820880045055</v>
      </c>
      <c r="H241" s="145">
        <v>41.822102847424752</v>
      </c>
      <c r="I241" s="145">
        <v>33.644129867825114</v>
      </c>
      <c r="J241" s="145">
        <v>5.0486367514635582</v>
      </c>
      <c r="K241" s="144">
        <v>4.4203190634140803</v>
      </c>
    </row>
    <row r="242" spans="1:11" x14ac:dyDescent="0.35">
      <c r="A242" s="146" t="s">
        <v>1531</v>
      </c>
      <c r="B242" s="145">
        <v>194.56880771569513</v>
      </c>
      <c r="C242" s="145">
        <v>126.46972501520185</v>
      </c>
      <c r="D242" s="145">
        <v>681.76078087610119</v>
      </c>
      <c r="E242" s="145">
        <v>552.92240765184772</v>
      </c>
      <c r="F242" s="145">
        <v>2905.079820104148</v>
      </c>
      <c r="G242" s="145">
        <v>2251.6400912220461</v>
      </c>
      <c r="H242" s="145">
        <v>5061.149969496757</v>
      </c>
      <c r="I242" s="145">
        <v>4059.1506408997807</v>
      </c>
      <c r="J242" s="145">
        <v>785.89358674555979</v>
      </c>
      <c r="K242" s="144">
        <v>671.7434198228932</v>
      </c>
    </row>
    <row r="243" spans="1:11" x14ac:dyDescent="0.35">
      <c r="A243" s="146" t="s">
        <v>1530</v>
      </c>
      <c r="B243" s="145">
        <v>0.73907862098617216</v>
      </c>
      <c r="C243" s="145">
        <v>0.48040110364101185</v>
      </c>
      <c r="D243" s="145">
        <v>5.7684668200237077</v>
      </c>
      <c r="E243" s="145">
        <v>4.7870720097376038</v>
      </c>
      <c r="F243" s="145">
        <v>25.623561716980046</v>
      </c>
      <c r="G243" s="145">
        <v>19.938287985836318</v>
      </c>
      <c r="H243" s="145">
        <v>45.500419400058483</v>
      </c>
      <c r="I243" s="145">
        <v>36.588857908122243</v>
      </c>
      <c r="J243" s="145">
        <v>6.7526806471690728</v>
      </c>
      <c r="K243" s="144">
        <v>5.9101117872382103</v>
      </c>
    </row>
    <row r="244" spans="1:11" x14ac:dyDescent="0.35">
      <c r="A244" s="155" t="s">
        <v>1529</v>
      </c>
      <c r="B244" s="154">
        <v>35798.482057311194</v>
      </c>
      <c r="C244" s="154">
        <v>23269.013337252283</v>
      </c>
      <c r="D244" s="154">
        <v>217159.13450255024</v>
      </c>
      <c r="E244" s="154">
        <v>179257.84647045328</v>
      </c>
      <c r="F244" s="154">
        <v>1282410.9383180148</v>
      </c>
      <c r="G244" s="154">
        <v>997969.07595377183</v>
      </c>
      <c r="H244" s="154">
        <v>2307767.8225634396</v>
      </c>
      <c r="I244" s="154">
        <v>1855937.3363175648</v>
      </c>
      <c r="J244" s="154">
        <v>253304.10563745367</v>
      </c>
      <c r="K244" s="153">
        <v>220501.16090227992</v>
      </c>
    </row>
    <row r="245" spans="1:11" x14ac:dyDescent="0.35">
      <c r="A245" s="155" t="s">
        <v>1528</v>
      </c>
      <c r="B245" s="154">
        <v>35937.71082108932</v>
      </c>
      <c r="C245" s="154">
        <v>23359.512033708063</v>
      </c>
      <c r="D245" s="154">
        <v>218049.67596193223</v>
      </c>
      <c r="E245" s="154">
        <v>179993.86763425369</v>
      </c>
      <c r="F245" s="154">
        <v>1284409.8116417648</v>
      </c>
      <c r="G245" s="154">
        <v>999517.91395555169</v>
      </c>
      <c r="H245" s="154">
        <v>2311222.9970338629</v>
      </c>
      <c r="I245" s="154">
        <v>1858707.8485650884</v>
      </c>
      <c r="J245" s="154">
        <v>254343.73422059213</v>
      </c>
      <c r="K245" s="153">
        <v>221407.29832097719</v>
      </c>
    </row>
    <row r="246" spans="1:11" x14ac:dyDescent="0.35">
      <c r="A246" s="152" t="s">
        <v>1527</v>
      </c>
      <c r="B246" s="151">
        <v>41970.630887121508</v>
      </c>
      <c r="C246" s="151">
        <v>27280.910076628985</v>
      </c>
      <c r="D246" s="151">
        <v>248724.37716969283</v>
      </c>
      <c r="E246" s="151">
        <v>205197.84551473398</v>
      </c>
      <c r="F246" s="151">
        <v>1390066.6790567758</v>
      </c>
      <c r="G246" s="151">
        <v>1081492.9310084586</v>
      </c>
      <c r="H246" s="151">
        <v>2501127.3270419533</v>
      </c>
      <c r="I246" s="151">
        <v>2011136.3526214131</v>
      </c>
      <c r="J246" s="151">
        <v>290013.09443051356</v>
      </c>
      <c r="K246" s="150">
        <v>252310.44499971261</v>
      </c>
    </row>
    <row r="247" spans="1:11" ht="13.15" x14ac:dyDescent="0.4">
      <c r="A247" s="149" t="s">
        <v>1526</v>
      </c>
      <c r="B247" s="148"/>
      <c r="C247" s="148"/>
      <c r="D247" s="148"/>
      <c r="E247" s="148"/>
      <c r="F247" s="148"/>
      <c r="G247" s="148"/>
      <c r="H247" s="148"/>
      <c r="I247" s="148"/>
      <c r="J247" s="148"/>
      <c r="K247" s="147"/>
    </row>
    <row r="248" spans="1:11" x14ac:dyDescent="0.35">
      <c r="A248" s="146" t="s">
        <v>1525</v>
      </c>
      <c r="B248" s="145">
        <v>0.30801347468476559</v>
      </c>
      <c r="C248" s="145">
        <v>0.2002087585450977</v>
      </c>
      <c r="D248" s="145">
        <v>2.2019204443299811</v>
      </c>
      <c r="E248" s="145">
        <v>1.824202215946034</v>
      </c>
      <c r="F248" s="145">
        <v>11.409083995162669</v>
      </c>
      <c r="G248" s="145">
        <v>8.8793598614987026</v>
      </c>
      <c r="H248" s="145">
        <v>20.02871488831348</v>
      </c>
      <c r="I248" s="145">
        <v>16.107612519471157</v>
      </c>
      <c r="J248" s="145">
        <v>2.574667554439785</v>
      </c>
      <c r="K248" s="144">
        <v>2.2495262868502737</v>
      </c>
    </row>
    <row r="249" spans="1:11" x14ac:dyDescent="0.35">
      <c r="A249" s="146" t="s">
        <v>1524</v>
      </c>
      <c r="B249" s="145">
        <v>1.4523464409943783</v>
      </c>
      <c r="C249" s="145">
        <v>0.94402518664634605</v>
      </c>
      <c r="D249" s="145">
        <v>9.8325959419978961</v>
      </c>
      <c r="E249" s="145">
        <v>8.136689920574014</v>
      </c>
      <c r="F249" s="145">
        <v>51.575348210897353</v>
      </c>
      <c r="G249" s="145">
        <v>40.13480004155592</v>
      </c>
      <c r="H249" s="145">
        <v>89.1351324946543</v>
      </c>
      <c r="I249" s="145">
        <v>71.676990986878806</v>
      </c>
      <c r="J249" s="145">
        <v>11.488339756637551</v>
      </c>
      <c r="K249" s="144">
        <v>10.025980757489155</v>
      </c>
    </row>
    <row r="250" spans="1:11" x14ac:dyDescent="0.35">
      <c r="A250" s="146" t="s">
        <v>1523</v>
      </c>
      <c r="B250" s="145">
        <v>3.0756704332246168</v>
      </c>
      <c r="C250" s="145">
        <v>1.9991857815960008</v>
      </c>
      <c r="D250" s="145">
        <v>21.434914746092648</v>
      </c>
      <c r="E250" s="145">
        <v>17.748701414105227</v>
      </c>
      <c r="F250" s="145">
        <v>137.94294272381421</v>
      </c>
      <c r="G250" s="145">
        <v>107.40891840283054</v>
      </c>
      <c r="H250" s="145">
        <v>249.70595378495625</v>
      </c>
      <c r="I250" s="145">
        <v>200.89307783115501</v>
      </c>
      <c r="J250" s="145">
        <v>25.054691568546719</v>
      </c>
      <c r="K250" s="144">
        <v>21.879057283094916</v>
      </c>
    </row>
    <row r="251" spans="1:11" x14ac:dyDescent="0.35">
      <c r="A251" s="146" t="s">
        <v>1522</v>
      </c>
      <c r="B251" s="145">
        <v>0.26668057570533482</v>
      </c>
      <c r="C251" s="145">
        <v>0.17334237420846768</v>
      </c>
      <c r="D251" s="145">
        <v>2.1955658654243151</v>
      </c>
      <c r="E251" s="145">
        <v>1.8237847527891562</v>
      </c>
      <c r="F251" s="145">
        <v>16.565781350365835</v>
      </c>
      <c r="G251" s="145">
        <v>12.907124970671292</v>
      </c>
      <c r="H251" s="145">
        <v>30.81224820883893</v>
      </c>
      <c r="I251" s="145">
        <v>24.79981114234349</v>
      </c>
      <c r="J251" s="145">
        <v>2.5718350548902991</v>
      </c>
      <c r="K251" s="144">
        <v>2.2531277016113958</v>
      </c>
    </row>
    <row r="252" spans="1:11" x14ac:dyDescent="0.35">
      <c r="A252" s="146" t="s">
        <v>1521</v>
      </c>
      <c r="B252" s="145">
        <v>0.19969526200613835</v>
      </c>
      <c r="C252" s="145">
        <v>0.12980192030398993</v>
      </c>
      <c r="D252" s="145">
        <v>1.6176759671596446</v>
      </c>
      <c r="E252" s="145">
        <v>1.3433661608267313</v>
      </c>
      <c r="F252" s="145">
        <v>11.977656192452407</v>
      </c>
      <c r="G252" s="145">
        <v>9.3317654003979751</v>
      </c>
      <c r="H252" s="145">
        <v>22.213537964269886</v>
      </c>
      <c r="I252" s="145">
        <v>17.878268450543882</v>
      </c>
      <c r="J252" s="145">
        <v>1.8945436087615557</v>
      </c>
      <c r="K252" s="144">
        <v>1.6592867118756489</v>
      </c>
    </row>
    <row r="253" spans="1:11" x14ac:dyDescent="0.35">
      <c r="A253" s="146" t="s">
        <v>1520</v>
      </c>
      <c r="B253" s="145">
        <v>8.319259800141765</v>
      </c>
      <c r="C253" s="145">
        <v>5.4075188700921473</v>
      </c>
      <c r="D253" s="145">
        <v>69.053889954947095</v>
      </c>
      <c r="E253" s="145">
        <v>57.368987336809148</v>
      </c>
      <c r="F253" s="145">
        <v>563.09296670977801</v>
      </c>
      <c r="G253" s="145">
        <v>438.79006312726926</v>
      </c>
      <c r="H253" s="145">
        <v>1059.1006799308045</v>
      </c>
      <c r="I253" s="145">
        <v>852.51786630994116</v>
      </c>
      <c r="J253" s="145">
        <v>80.895887880847098</v>
      </c>
      <c r="K253" s="144">
        <v>70.881330233309782</v>
      </c>
    </row>
    <row r="254" spans="1:11" x14ac:dyDescent="0.35">
      <c r="A254" s="146" t="s">
        <v>1519</v>
      </c>
      <c r="B254" s="145">
        <v>1.3347285532694405E-2</v>
      </c>
      <c r="C254" s="145">
        <v>8.6757355962513646E-3</v>
      </c>
      <c r="D254" s="145">
        <v>0.10526840583816874</v>
      </c>
      <c r="E254" s="145">
        <v>8.737578300263607E-2</v>
      </c>
      <c r="F254" s="145">
        <v>0.68747631768292816</v>
      </c>
      <c r="G254" s="145">
        <v>0.53546030448631887</v>
      </c>
      <c r="H254" s="145">
        <v>1.2466164555589452</v>
      </c>
      <c r="I254" s="145">
        <v>1.0031179697703665</v>
      </c>
      <c r="J254" s="145">
        <v>0.12324519390350581</v>
      </c>
      <c r="K254" s="144">
        <v>0.10788824433192595</v>
      </c>
    </row>
    <row r="255" spans="1:11" x14ac:dyDescent="0.35">
      <c r="A255" s="143" t="s">
        <v>1518</v>
      </c>
      <c r="B255" s="142">
        <v>3.7067858179931489E-2</v>
      </c>
      <c r="C255" s="142">
        <v>2.4094107816955472E-2</v>
      </c>
      <c r="D255" s="142">
        <v>0.25791895836496032</v>
      </c>
      <c r="E255" s="142">
        <v>0.213556905239667</v>
      </c>
      <c r="F255" s="142">
        <v>1.5508036478542482</v>
      </c>
      <c r="G255" s="142">
        <v>1.2073298976989337</v>
      </c>
      <c r="H255" s="142">
        <v>2.7719735432402728</v>
      </c>
      <c r="I255" s="142">
        <v>2.2298246313180528</v>
      </c>
      <c r="J255" s="142">
        <v>0.30146773838225505</v>
      </c>
      <c r="K255" s="141">
        <v>0.26324835528045371</v>
      </c>
    </row>
  </sheetData>
  <pageMargins left="0.75" right="0.75" top="1" bottom="1" header="0.5" footer="0.5"/>
  <pageSetup orientation="landscape" r:id="rId1"/>
  <headerFooter alignWithMargins="0">
    <oddHeader>&amp;A</oddHeader>
    <oddFooter>Page &amp;P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T135"/>
  <sheetViews>
    <sheetView showGridLines="0" zoomScale="85" zoomScaleNormal="85" workbookViewId="0">
      <selection activeCell="G1" sqref="G1"/>
    </sheetView>
  </sheetViews>
  <sheetFormatPr defaultColWidth="8.86328125" defaultRowHeight="12.75" x14ac:dyDescent="0.35"/>
  <cols>
    <col min="1" max="1" width="29.1328125" style="39" customWidth="1"/>
    <col min="2" max="3" width="12.796875" style="39" bestFit="1" customWidth="1"/>
    <col min="4" max="4" width="19.1328125" style="39" bestFit="1" customWidth="1"/>
    <col min="5" max="5" width="14" style="39" bestFit="1" customWidth="1"/>
    <col min="6" max="6" width="15.19921875" style="39" bestFit="1" customWidth="1"/>
    <col min="7" max="7" width="14.1328125" style="39" bestFit="1" customWidth="1"/>
    <col min="8" max="8" width="12.796875" style="39" bestFit="1" customWidth="1"/>
    <col min="9" max="9" width="11" style="39" bestFit="1" customWidth="1"/>
    <col min="10" max="10" width="11.19921875" style="39" bestFit="1" customWidth="1"/>
    <col min="11" max="12" width="12.796875" style="39" bestFit="1" customWidth="1"/>
    <col min="13" max="13" width="11.19921875" style="39" bestFit="1" customWidth="1"/>
    <col min="14" max="15" width="12.796875" style="39" bestFit="1" customWidth="1"/>
    <col min="16" max="16" width="11.86328125" style="39" bestFit="1" customWidth="1"/>
    <col min="17" max="17" width="13.46484375" style="39" customWidth="1"/>
    <col min="18" max="18" width="12.46484375" style="39" customWidth="1"/>
    <col min="19" max="19" width="10.46484375" style="39" bestFit="1" customWidth="1"/>
    <col min="20" max="20" width="10.796875" style="39" customWidth="1"/>
    <col min="21" max="21" width="10.19921875" style="39" bestFit="1" customWidth="1"/>
    <col min="22" max="22" width="10.19921875" style="39" customWidth="1"/>
    <col min="23" max="24" width="8.86328125" style="39"/>
    <col min="25" max="25" width="10.19921875" style="39" bestFit="1" customWidth="1"/>
    <col min="26" max="26" width="12" style="39" customWidth="1"/>
    <col min="27" max="27" width="10.19921875" style="39" bestFit="1" customWidth="1"/>
    <col min="28" max="28" width="9.19921875" style="39" bestFit="1" customWidth="1"/>
    <col min="29" max="29" width="10.19921875" style="39" bestFit="1" customWidth="1"/>
    <col min="30" max="30" width="8.86328125" style="39"/>
    <col min="31" max="31" width="9.86328125" style="39" customWidth="1"/>
    <col min="32" max="36" width="8.86328125" style="39"/>
    <col min="37" max="37" width="10" style="39" customWidth="1"/>
    <col min="38" max="39" width="8.86328125" style="39"/>
    <col min="40" max="42" width="9.19921875" style="39" bestFit="1" customWidth="1"/>
    <col min="43" max="43" width="10.19921875" style="39" customWidth="1"/>
    <col min="44" max="16384" width="8.86328125" style="39"/>
  </cols>
  <sheetData>
    <row r="1" spans="1:12" ht="15" x14ac:dyDescent="0.4">
      <c r="A1" s="140" t="s">
        <v>1723</v>
      </c>
      <c r="G1" s="230" t="s">
        <v>1626</v>
      </c>
    </row>
    <row r="3" spans="1:12" ht="13.9" x14ac:dyDescent="0.4">
      <c r="A3" s="72" t="s">
        <v>1775</v>
      </c>
    </row>
    <row r="4" spans="1:12" ht="14.65" x14ac:dyDescent="0.5">
      <c r="A4" s="41" t="s">
        <v>1774</v>
      </c>
    </row>
    <row r="5" spans="1:12" ht="15" x14ac:dyDescent="0.5">
      <c r="A5" s="55"/>
      <c r="B5" s="333" t="s">
        <v>1773</v>
      </c>
      <c r="C5" s="333"/>
      <c r="D5" s="332" t="s">
        <v>1772</v>
      </c>
      <c r="E5" s="331"/>
      <c r="F5" s="54" t="s">
        <v>1771</v>
      </c>
    </row>
    <row r="6" spans="1:12" ht="25.5" x14ac:dyDescent="0.35">
      <c r="A6" s="46"/>
      <c r="B6" s="329" t="s">
        <v>1770</v>
      </c>
      <c r="C6" s="330" t="s">
        <v>1769</v>
      </c>
      <c r="D6" s="329" t="s">
        <v>1768</v>
      </c>
      <c r="E6" s="328" t="s">
        <v>1767</v>
      </c>
      <c r="F6" s="328" t="s">
        <v>1766</v>
      </c>
    </row>
    <row r="7" spans="1:12" x14ac:dyDescent="0.35">
      <c r="A7" s="327" t="s">
        <v>1765</v>
      </c>
      <c r="B7" s="326">
        <v>1</v>
      </c>
      <c r="C7" s="326">
        <v>0</v>
      </c>
      <c r="D7" s="325">
        <v>0</v>
      </c>
      <c r="E7" s="324">
        <v>0</v>
      </c>
      <c r="F7" s="323">
        <v>0</v>
      </c>
    </row>
    <row r="9" spans="1:12" ht="15" x14ac:dyDescent="0.5">
      <c r="A9" s="41" t="s">
        <v>1764</v>
      </c>
      <c r="E9" s="40">
        <v>7.0000000000000001E-3</v>
      </c>
      <c r="F9" s="39" t="s">
        <v>1763</v>
      </c>
    </row>
    <row r="11" spans="1:12" ht="13.15" x14ac:dyDescent="0.4">
      <c r="A11" s="41" t="s">
        <v>1762</v>
      </c>
      <c r="D11" s="39">
        <v>6.5716740664043496E-2</v>
      </c>
    </row>
    <row r="12" spans="1:12" ht="84.4" x14ac:dyDescent="0.4">
      <c r="A12" s="311"/>
      <c r="B12" s="307" t="s">
        <v>1761</v>
      </c>
      <c r="C12" s="307" t="s">
        <v>1760</v>
      </c>
      <c r="D12" s="307" t="s">
        <v>1759</v>
      </c>
      <c r="E12" s="307" t="s">
        <v>1758</v>
      </c>
      <c r="F12" s="307" t="s">
        <v>1757</v>
      </c>
      <c r="G12" s="307" t="s">
        <v>1756</v>
      </c>
      <c r="H12" s="307" t="s">
        <v>1755</v>
      </c>
      <c r="I12" s="307" t="s">
        <v>1754</v>
      </c>
      <c r="J12" s="307" t="s">
        <v>1753</v>
      </c>
      <c r="K12" s="307" t="s">
        <v>1752</v>
      </c>
      <c r="L12" s="305" t="s">
        <v>1724</v>
      </c>
    </row>
    <row r="13" spans="1:12" ht="15" x14ac:dyDescent="0.5">
      <c r="A13" s="50" t="s">
        <v>1751</v>
      </c>
      <c r="B13" s="120"/>
      <c r="C13" s="120"/>
      <c r="D13" s="42">
        <v>6.5716740664043538E-2</v>
      </c>
      <c r="H13" s="120"/>
      <c r="L13" s="99"/>
    </row>
    <row r="14" spans="1:12" x14ac:dyDescent="0.35">
      <c r="A14" s="50" t="s">
        <v>1750</v>
      </c>
      <c r="B14" s="42">
        <v>0.04</v>
      </c>
      <c r="C14" s="120"/>
      <c r="H14" s="120"/>
      <c r="J14" s="42">
        <v>0.74</v>
      </c>
      <c r="L14" s="99"/>
    </row>
    <row r="15" spans="1:12" ht="15" x14ac:dyDescent="0.5">
      <c r="A15" s="50" t="s">
        <v>1749</v>
      </c>
      <c r="B15" s="42">
        <v>2.48</v>
      </c>
      <c r="C15" s="42">
        <v>2.4</v>
      </c>
      <c r="F15" s="42">
        <v>2</v>
      </c>
      <c r="G15" s="42">
        <v>2</v>
      </c>
      <c r="H15" s="120"/>
      <c r="L15" s="99"/>
    </row>
    <row r="16" spans="1:12" x14ac:dyDescent="0.35">
      <c r="A16" s="50" t="s">
        <v>1748</v>
      </c>
      <c r="B16" s="42">
        <v>5.45</v>
      </c>
      <c r="C16" s="120"/>
      <c r="H16" s="120"/>
      <c r="L16" s="99"/>
    </row>
    <row r="17" spans="1:12" x14ac:dyDescent="0.35">
      <c r="A17" s="50" t="s">
        <v>1747</v>
      </c>
      <c r="B17" s="42">
        <v>0.09</v>
      </c>
      <c r="C17" s="42">
        <v>1.9</v>
      </c>
      <c r="H17" s="120"/>
      <c r="L17" s="99"/>
    </row>
    <row r="18" spans="1:12" x14ac:dyDescent="0.35">
      <c r="A18" s="50" t="s">
        <v>1746</v>
      </c>
      <c r="B18" s="42">
        <v>0.02</v>
      </c>
      <c r="C18" s="120"/>
      <c r="H18" s="120"/>
      <c r="L18" s="99"/>
    </row>
    <row r="19" spans="1:12" ht="15" x14ac:dyDescent="0.5">
      <c r="A19" s="50" t="s">
        <v>1745</v>
      </c>
      <c r="B19" s="42">
        <v>0.05</v>
      </c>
      <c r="C19" s="120"/>
      <c r="H19" s="120"/>
      <c r="L19" s="99"/>
    </row>
    <row r="20" spans="1:12" x14ac:dyDescent="0.35">
      <c r="A20" s="50" t="s">
        <v>1744</v>
      </c>
      <c r="B20" s="42">
        <v>7.1000000000000002E-4</v>
      </c>
      <c r="C20" s="120"/>
      <c r="H20" s="120"/>
      <c r="L20" s="99"/>
    </row>
    <row r="21" spans="1:12" x14ac:dyDescent="0.35">
      <c r="A21" s="50" t="s">
        <v>1743</v>
      </c>
      <c r="B21" s="322"/>
      <c r="C21" s="120"/>
      <c r="E21" s="42">
        <v>2.14</v>
      </c>
      <c r="H21" s="120"/>
      <c r="L21" s="99"/>
    </row>
    <row r="22" spans="1:12" ht="15" x14ac:dyDescent="0.5">
      <c r="A22" s="50" t="s">
        <v>1742</v>
      </c>
      <c r="B22" s="322"/>
      <c r="C22" s="120"/>
      <c r="E22" s="42">
        <v>2.5</v>
      </c>
      <c r="H22" s="120"/>
      <c r="J22" s="42">
        <v>0.23</v>
      </c>
      <c r="L22" s="99"/>
    </row>
    <row r="23" spans="1:12" x14ac:dyDescent="0.35">
      <c r="A23" s="50" t="s">
        <v>1741</v>
      </c>
      <c r="B23" s="322"/>
      <c r="C23" s="120"/>
      <c r="E23" s="42">
        <v>0.13</v>
      </c>
      <c r="H23" s="120"/>
      <c r="L23" s="99"/>
    </row>
    <row r="24" spans="1:12" x14ac:dyDescent="0.35">
      <c r="A24" s="50" t="s">
        <v>1740</v>
      </c>
      <c r="B24" s="322"/>
      <c r="C24" s="120"/>
      <c r="F24" s="42">
        <v>0.188</v>
      </c>
      <c r="H24" s="120"/>
      <c r="L24" s="99"/>
    </row>
    <row r="25" spans="1:12" x14ac:dyDescent="0.35">
      <c r="A25" s="50" t="s">
        <v>1739</v>
      </c>
      <c r="B25" s="322"/>
      <c r="C25" s="120"/>
      <c r="H25" s="120"/>
      <c r="J25" s="42">
        <v>0.51</v>
      </c>
      <c r="K25" s="42">
        <v>0.86</v>
      </c>
      <c r="L25" s="144"/>
    </row>
    <row r="26" spans="1:12" x14ac:dyDescent="0.35">
      <c r="A26" s="50" t="s">
        <v>1738</v>
      </c>
      <c r="B26" s="322"/>
      <c r="C26" s="120"/>
      <c r="H26" s="120"/>
      <c r="J26" s="145"/>
      <c r="K26" s="145"/>
      <c r="L26" s="321">
        <v>0.73</v>
      </c>
    </row>
    <row r="27" spans="1:12" ht="15" customHeight="1" x14ac:dyDescent="0.5">
      <c r="A27" s="50" t="s">
        <v>1737</v>
      </c>
      <c r="B27" s="120"/>
      <c r="C27" s="120"/>
      <c r="H27" s="42">
        <v>0.20433868871498501</v>
      </c>
      <c r="I27" s="42">
        <v>0.01</v>
      </c>
      <c r="J27" s="42">
        <v>0.38</v>
      </c>
      <c r="L27" s="99"/>
    </row>
    <row r="28" spans="1:12" ht="15" x14ac:dyDescent="0.5">
      <c r="A28" s="46" t="s">
        <v>1736</v>
      </c>
      <c r="B28" s="119"/>
      <c r="C28" s="119"/>
      <c r="D28" s="77"/>
      <c r="E28" s="77"/>
      <c r="F28" s="77"/>
      <c r="G28" s="77"/>
      <c r="H28" s="320">
        <v>0.87312667643724295</v>
      </c>
      <c r="I28" s="77"/>
      <c r="J28" s="77"/>
      <c r="K28" s="77"/>
      <c r="L28" s="100"/>
    </row>
    <row r="30" spans="1:12" ht="15" x14ac:dyDescent="0.5">
      <c r="A30" s="39" t="s">
        <v>1735</v>
      </c>
      <c r="C30" s="319" t="s">
        <v>1056</v>
      </c>
    </row>
    <row r="32" spans="1:12" ht="13.9" x14ac:dyDescent="0.4">
      <c r="A32" s="72" t="s">
        <v>1734</v>
      </c>
    </row>
    <row r="33" spans="1:20" ht="67.5" x14ac:dyDescent="0.35">
      <c r="A33" s="70"/>
      <c r="B33" s="307" t="s">
        <v>1733</v>
      </c>
      <c r="C33" s="307" t="s">
        <v>1683</v>
      </c>
      <c r="D33" s="307" t="s">
        <v>1732</v>
      </c>
      <c r="E33" s="307" t="s">
        <v>1731</v>
      </c>
      <c r="F33" s="307" t="s">
        <v>1730</v>
      </c>
      <c r="G33" s="307" t="s">
        <v>1691</v>
      </c>
      <c r="H33" s="307" t="s">
        <v>1729</v>
      </c>
      <c r="I33" s="309" t="s">
        <v>1728</v>
      </c>
      <c r="J33" s="309" t="s">
        <v>1727</v>
      </c>
      <c r="K33" s="307" t="s">
        <v>1726</v>
      </c>
      <c r="L33" s="309" t="s">
        <v>1725</v>
      </c>
      <c r="M33" s="307" t="s">
        <v>1724</v>
      </c>
      <c r="N33" s="307" t="s">
        <v>1723</v>
      </c>
      <c r="O33" s="307" t="s">
        <v>1722</v>
      </c>
      <c r="P33" s="309" t="s">
        <v>1721</v>
      </c>
      <c r="Q33" s="309" t="s">
        <v>1720</v>
      </c>
      <c r="R33" s="307" t="s">
        <v>1719</v>
      </c>
      <c r="S33" s="307" t="s">
        <v>1718</v>
      </c>
      <c r="T33" s="305" t="s">
        <v>1694</v>
      </c>
    </row>
    <row r="34" spans="1:20" x14ac:dyDescent="0.35">
      <c r="A34" s="50" t="s">
        <v>1717</v>
      </c>
      <c r="B34" s="132">
        <v>1</v>
      </c>
      <c r="C34" s="132">
        <v>1</v>
      </c>
      <c r="D34" s="132">
        <v>1</v>
      </c>
      <c r="E34" s="132">
        <v>1</v>
      </c>
      <c r="F34" s="132">
        <v>1</v>
      </c>
      <c r="G34" s="132">
        <v>1</v>
      </c>
      <c r="H34" s="132">
        <v>1</v>
      </c>
      <c r="I34" s="302">
        <v>1</v>
      </c>
      <c r="J34" s="302">
        <v>1</v>
      </c>
      <c r="K34" s="132">
        <v>1</v>
      </c>
      <c r="L34" s="302">
        <v>1</v>
      </c>
      <c r="M34" s="132">
        <v>1</v>
      </c>
      <c r="N34" s="132">
        <v>1</v>
      </c>
      <c r="O34" s="132">
        <v>1</v>
      </c>
      <c r="P34" s="302">
        <v>1</v>
      </c>
      <c r="Q34" s="302">
        <v>1</v>
      </c>
      <c r="R34" s="132">
        <v>1</v>
      </c>
      <c r="S34" s="132">
        <v>1</v>
      </c>
      <c r="T34" s="136">
        <v>1</v>
      </c>
    </row>
    <row r="35" spans="1:20" x14ac:dyDescent="0.35">
      <c r="A35" s="50" t="s">
        <v>1716</v>
      </c>
      <c r="B35" s="132">
        <v>0</v>
      </c>
      <c r="C35" s="132">
        <v>0</v>
      </c>
      <c r="D35" s="132">
        <v>0</v>
      </c>
      <c r="E35" s="132">
        <v>0</v>
      </c>
      <c r="F35" s="132">
        <v>0</v>
      </c>
      <c r="G35" s="132">
        <v>0</v>
      </c>
      <c r="H35" s="132">
        <v>0</v>
      </c>
      <c r="I35" s="302">
        <v>0</v>
      </c>
      <c r="J35" s="302">
        <v>0</v>
      </c>
      <c r="K35" s="132">
        <v>0</v>
      </c>
      <c r="L35" s="302">
        <v>0</v>
      </c>
      <c r="M35" s="132">
        <v>0</v>
      </c>
      <c r="N35" s="132">
        <v>0</v>
      </c>
      <c r="O35" s="132">
        <v>0</v>
      </c>
      <c r="P35" s="302">
        <v>0</v>
      </c>
      <c r="Q35" s="302">
        <v>0</v>
      </c>
      <c r="R35" s="132">
        <v>0</v>
      </c>
      <c r="S35" s="132">
        <v>0</v>
      </c>
      <c r="T35" s="136">
        <v>0</v>
      </c>
    </row>
    <row r="36" spans="1:20" x14ac:dyDescent="0.35">
      <c r="A36" s="55" t="s">
        <v>1715</v>
      </c>
      <c r="B36" s="138">
        <v>0</v>
      </c>
      <c r="C36" s="138">
        <v>0.23</v>
      </c>
      <c r="D36" s="138">
        <v>1</v>
      </c>
      <c r="E36" s="138">
        <v>0</v>
      </c>
      <c r="F36" s="138">
        <v>1</v>
      </c>
      <c r="G36" s="138">
        <v>0</v>
      </c>
      <c r="H36" s="138">
        <v>0</v>
      </c>
      <c r="I36" s="315">
        <v>0</v>
      </c>
      <c r="J36" s="315">
        <v>0</v>
      </c>
      <c r="K36" s="138">
        <v>0</v>
      </c>
      <c r="L36" s="315">
        <v>0</v>
      </c>
      <c r="M36" s="138">
        <v>0</v>
      </c>
      <c r="N36" s="138">
        <v>0</v>
      </c>
      <c r="O36" s="138">
        <v>0</v>
      </c>
      <c r="P36" s="315">
        <v>0</v>
      </c>
      <c r="Q36" s="315">
        <v>0</v>
      </c>
      <c r="R36" s="138">
        <v>0</v>
      </c>
      <c r="S36" s="138">
        <v>0</v>
      </c>
      <c r="T36" s="137">
        <v>0</v>
      </c>
    </row>
    <row r="37" spans="1:20" x14ac:dyDescent="0.35">
      <c r="A37" s="50" t="s">
        <v>1714</v>
      </c>
      <c r="B37" s="132">
        <v>0</v>
      </c>
      <c r="C37" s="132">
        <v>0.77</v>
      </c>
      <c r="D37" s="132">
        <v>0</v>
      </c>
      <c r="E37" s="132">
        <v>0</v>
      </c>
      <c r="F37" s="132">
        <v>0</v>
      </c>
      <c r="G37" s="132">
        <v>0</v>
      </c>
      <c r="H37" s="132">
        <v>0</v>
      </c>
      <c r="I37" s="302">
        <v>0</v>
      </c>
      <c r="J37" s="302">
        <v>0</v>
      </c>
      <c r="K37" s="132">
        <v>0</v>
      </c>
      <c r="L37" s="302">
        <v>0</v>
      </c>
      <c r="M37" s="132">
        <v>0</v>
      </c>
      <c r="N37" s="132">
        <v>0</v>
      </c>
      <c r="O37" s="132">
        <v>0</v>
      </c>
      <c r="P37" s="302">
        <v>0</v>
      </c>
      <c r="Q37" s="302">
        <v>0</v>
      </c>
      <c r="R37" s="132">
        <v>0</v>
      </c>
      <c r="S37" s="132">
        <v>0</v>
      </c>
      <c r="T37" s="136">
        <v>0</v>
      </c>
    </row>
    <row r="38" spans="1:20" x14ac:dyDescent="0.35">
      <c r="A38" s="46" t="s">
        <v>1713</v>
      </c>
      <c r="B38" s="122">
        <v>1</v>
      </c>
      <c r="C38" s="122">
        <v>0</v>
      </c>
      <c r="D38" s="122">
        <v>0</v>
      </c>
      <c r="E38" s="122">
        <v>1</v>
      </c>
      <c r="F38" s="122">
        <v>0</v>
      </c>
      <c r="G38" s="122">
        <v>1</v>
      </c>
      <c r="H38" s="122">
        <v>1</v>
      </c>
      <c r="I38" s="293">
        <v>1</v>
      </c>
      <c r="J38" s="293">
        <v>1</v>
      </c>
      <c r="K38" s="122">
        <v>1</v>
      </c>
      <c r="L38" s="293">
        <v>1</v>
      </c>
      <c r="M38" s="122">
        <v>1</v>
      </c>
      <c r="N38" s="122">
        <v>1</v>
      </c>
      <c r="O38" s="122">
        <v>1</v>
      </c>
      <c r="P38" s="293">
        <v>1</v>
      </c>
      <c r="Q38" s="293">
        <v>1</v>
      </c>
      <c r="R38" s="122">
        <v>1</v>
      </c>
      <c r="S38" s="122">
        <v>1</v>
      </c>
      <c r="T38" s="56">
        <v>1</v>
      </c>
    </row>
    <row r="39" spans="1:20" x14ac:dyDescent="0.35">
      <c r="A39" s="50" t="s">
        <v>1712</v>
      </c>
      <c r="B39" s="132">
        <v>1</v>
      </c>
      <c r="C39" s="132">
        <v>1</v>
      </c>
      <c r="D39" s="132">
        <v>1</v>
      </c>
      <c r="E39" s="132">
        <v>1</v>
      </c>
      <c r="F39" s="132">
        <v>1</v>
      </c>
      <c r="G39" s="132">
        <v>1</v>
      </c>
      <c r="H39" s="132">
        <v>1</v>
      </c>
      <c r="I39" s="302">
        <v>1</v>
      </c>
      <c r="J39" s="302">
        <v>1</v>
      </c>
      <c r="K39" s="132">
        <v>1</v>
      </c>
      <c r="L39" s="302">
        <v>1</v>
      </c>
      <c r="M39" s="132">
        <v>1</v>
      </c>
      <c r="N39" s="132">
        <v>1</v>
      </c>
      <c r="O39" s="132">
        <v>1</v>
      </c>
      <c r="P39" s="302">
        <v>1</v>
      </c>
      <c r="Q39" s="302">
        <v>1</v>
      </c>
      <c r="R39" s="132">
        <v>1</v>
      </c>
      <c r="S39" s="132">
        <v>1</v>
      </c>
      <c r="T39" s="136">
        <v>1</v>
      </c>
    </row>
    <row r="40" spans="1:20" x14ac:dyDescent="0.35">
      <c r="A40" s="70" t="s">
        <v>1711</v>
      </c>
      <c r="B40" s="317">
        <v>1</v>
      </c>
      <c r="C40" s="317">
        <v>1</v>
      </c>
      <c r="D40" s="317">
        <v>1</v>
      </c>
      <c r="E40" s="317">
        <v>1</v>
      </c>
      <c r="F40" s="317">
        <v>1</v>
      </c>
      <c r="G40" s="317">
        <v>1</v>
      </c>
      <c r="H40" s="317">
        <v>1</v>
      </c>
      <c r="I40" s="318">
        <v>1</v>
      </c>
      <c r="J40" s="318">
        <v>1</v>
      </c>
      <c r="K40" s="317">
        <v>1</v>
      </c>
      <c r="L40" s="318">
        <v>1</v>
      </c>
      <c r="M40" s="317">
        <v>1</v>
      </c>
      <c r="N40" s="317">
        <v>1</v>
      </c>
      <c r="O40" s="317">
        <v>1</v>
      </c>
      <c r="P40" s="318">
        <v>1</v>
      </c>
      <c r="Q40" s="318">
        <v>1</v>
      </c>
      <c r="R40" s="317">
        <v>1</v>
      </c>
      <c r="S40" s="317">
        <v>1</v>
      </c>
      <c r="T40" s="316">
        <v>1</v>
      </c>
    </row>
    <row r="41" spans="1:20" x14ac:dyDescent="0.35">
      <c r="A41" s="50" t="s">
        <v>1710</v>
      </c>
      <c r="B41" s="132">
        <v>1</v>
      </c>
      <c r="C41" s="132">
        <v>0</v>
      </c>
      <c r="D41" s="132">
        <v>0</v>
      </c>
      <c r="E41" s="132">
        <v>1</v>
      </c>
      <c r="F41" s="132">
        <v>0</v>
      </c>
      <c r="G41" s="132">
        <v>1</v>
      </c>
      <c r="H41" s="132">
        <v>0.15</v>
      </c>
      <c r="I41" s="302">
        <v>1</v>
      </c>
      <c r="J41" s="302">
        <v>1</v>
      </c>
      <c r="K41" s="132">
        <v>1</v>
      </c>
      <c r="L41" s="302">
        <v>1</v>
      </c>
      <c r="M41" s="132">
        <v>0</v>
      </c>
      <c r="N41" s="132">
        <v>0</v>
      </c>
      <c r="O41" s="132">
        <v>1</v>
      </c>
      <c r="P41" s="302">
        <v>1</v>
      </c>
      <c r="Q41" s="302">
        <v>1</v>
      </c>
      <c r="R41" s="132">
        <v>0.74</v>
      </c>
      <c r="S41" s="132">
        <v>0.86</v>
      </c>
      <c r="T41" s="136">
        <v>1</v>
      </c>
    </row>
    <row r="42" spans="1:20" x14ac:dyDescent="0.35">
      <c r="A42" s="50" t="s">
        <v>1709</v>
      </c>
      <c r="B42" s="132">
        <v>0</v>
      </c>
      <c r="C42" s="132">
        <v>1</v>
      </c>
      <c r="D42" s="132">
        <v>0</v>
      </c>
      <c r="E42" s="132">
        <v>0</v>
      </c>
      <c r="F42" s="132">
        <v>0</v>
      </c>
      <c r="G42" s="132">
        <v>0</v>
      </c>
      <c r="H42" s="132">
        <v>0</v>
      </c>
      <c r="I42" s="302">
        <v>0</v>
      </c>
      <c r="J42" s="302">
        <v>0</v>
      </c>
      <c r="K42" s="132">
        <v>0</v>
      </c>
      <c r="L42" s="302">
        <v>0</v>
      </c>
      <c r="M42" s="132">
        <v>0</v>
      </c>
      <c r="N42" s="132">
        <v>0</v>
      </c>
      <c r="O42" s="132">
        <v>0</v>
      </c>
      <c r="P42" s="302">
        <v>0</v>
      </c>
      <c r="Q42" s="302">
        <v>0</v>
      </c>
      <c r="R42" s="132">
        <v>0</v>
      </c>
      <c r="S42" s="132">
        <v>0</v>
      </c>
      <c r="T42" s="136">
        <v>0</v>
      </c>
    </row>
    <row r="43" spans="1:20" x14ac:dyDescent="0.35">
      <c r="A43" s="50" t="s">
        <v>1708</v>
      </c>
      <c r="B43" s="132">
        <v>0</v>
      </c>
      <c r="C43" s="132">
        <v>0</v>
      </c>
      <c r="D43" s="132">
        <v>0</v>
      </c>
      <c r="E43" s="132">
        <v>0</v>
      </c>
      <c r="F43" s="132">
        <v>0</v>
      </c>
      <c r="G43" s="132">
        <v>0</v>
      </c>
      <c r="H43" s="132">
        <v>0</v>
      </c>
      <c r="I43" s="302">
        <v>0</v>
      </c>
      <c r="J43" s="302">
        <v>0</v>
      </c>
      <c r="K43" s="132">
        <v>0</v>
      </c>
      <c r="L43" s="302">
        <v>0</v>
      </c>
      <c r="M43" s="132">
        <v>0</v>
      </c>
      <c r="N43" s="132">
        <v>0</v>
      </c>
      <c r="O43" s="132">
        <v>0</v>
      </c>
      <c r="P43" s="302">
        <v>0</v>
      </c>
      <c r="Q43" s="302">
        <v>0</v>
      </c>
      <c r="R43" s="132">
        <v>0</v>
      </c>
      <c r="S43" s="132">
        <v>0</v>
      </c>
      <c r="T43" s="136">
        <v>0</v>
      </c>
    </row>
    <row r="44" spans="1:20" x14ac:dyDescent="0.35">
      <c r="A44" s="50" t="s">
        <v>1707</v>
      </c>
      <c r="B44" s="132">
        <v>0</v>
      </c>
      <c r="C44" s="132">
        <v>0</v>
      </c>
      <c r="D44" s="132">
        <v>0</v>
      </c>
      <c r="E44" s="132">
        <v>0</v>
      </c>
      <c r="F44" s="132">
        <v>0</v>
      </c>
      <c r="G44" s="132">
        <v>0</v>
      </c>
      <c r="H44" s="132">
        <v>0</v>
      </c>
      <c r="I44" s="302">
        <v>0</v>
      </c>
      <c r="J44" s="302">
        <v>0</v>
      </c>
      <c r="K44" s="132">
        <v>0</v>
      </c>
      <c r="L44" s="302">
        <v>0</v>
      </c>
      <c r="M44" s="132">
        <v>0</v>
      </c>
      <c r="N44" s="132">
        <v>0</v>
      </c>
      <c r="O44" s="132">
        <v>0</v>
      </c>
      <c r="P44" s="302">
        <v>0</v>
      </c>
      <c r="Q44" s="302">
        <v>0</v>
      </c>
      <c r="R44" s="132">
        <v>0</v>
      </c>
      <c r="S44" s="132">
        <v>0</v>
      </c>
      <c r="T44" s="136">
        <v>0</v>
      </c>
    </row>
    <row r="45" spans="1:20" x14ac:dyDescent="0.35">
      <c r="A45" s="50" t="s">
        <v>1706</v>
      </c>
      <c r="B45" s="132">
        <v>0</v>
      </c>
      <c r="C45" s="132">
        <v>0</v>
      </c>
      <c r="D45" s="132">
        <v>0</v>
      </c>
      <c r="E45" s="132">
        <v>0</v>
      </c>
      <c r="F45" s="132">
        <v>0</v>
      </c>
      <c r="G45" s="132">
        <v>0</v>
      </c>
      <c r="H45" s="132">
        <v>0</v>
      </c>
      <c r="I45" s="302">
        <v>0</v>
      </c>
      <c r="J45" s="302">
        <v>0</v>
      </c>
      <c r="K45" s="132">
        <v>0</v>
      </c>
      <c r="L45" s="302">
        <v>0</v>
      </c>
      <c r="M45" s="132">
        <v>1</v>
      </c>
      <c r="N45" s="132">
        <v>1</v>
      </c>
      <c r="O45" s="132">
        <v>0</v>
      </c>
      <c r="P45" s="302">
        <v>0</v>
      </c>
      <c r="Q45" s="302">
        <v>0</v>
      </c>
      <c r="R45" s="132">
        <v>0</v>
      </c>
      <c r="S45" s="132">
        <v>0</v>
      </c>
      <c r="T45" s="136">
        <v>0</v>
      </c>
    </row>
    <row r="46" spans="1:20" x14ac:dyDescent="0.35">
      <c r="A46" s="50" t="s">
        <v>1705</v>
      </c>
      <c r="B46" s="132">
        <v>0</v>
      </c>
      <c r="C46" s="132">
        <v>0</v>
      </c>
      <c r="D46" s="132">
        <v>1</v>
      </c>
      <c r="E46" s="132">
        <v>0</v>
      </c>
      <c r="F46" s="132">
        <v>1</v>
      </c>
      <c r="G46" s="132">
        <v>0</v>
      </c>
      <c r="H46" s="132">
        <v>0</v>
      </c>
      <c r="I46" s="302">
        <v>0</v>
      </c>
      <c r="J46" s="302">
        <v>0</v>
      </c>
      <c r="K46" s="132">
        <v>0</v>
      </c>
      <c r="L46" s="302">
        <v>0</v>
      </c>
      <c r="M46" s="132">
        <v>0</v>
      </c>
      <c r="N46" s="132">
        <v>0</v>
      </c>
      <c r="O46" s="132">
        <v>0</v>
      </c>
      <c r="P46" s="302">
        <v>0</v>
      </c>
      <c r="Q46" s="302">
        <v>0</v>
      </c>
      <c r="R46" s="132">
        <v>0</v>
      </c>
      <c r="S46" s="132">
        <v>0</v>
      </c>
      <c r="T46" s="136">
        <v>0</v>
      </c>
    </row>
    <row r="47" spans="1:20" x14ac:dyDescent="0.35">
      <c r="A47" s="50" t="s">
        <v>1704</v>
      </c>
      <c r="B47" s="132">
        <v>0</v>
      </c>
      <c r="C47" s="132">
        <v>0</v>
      </c>
      <c r="D47" s="132">
        <v>0</v>
      </c>
      <c r="E47" s="132">
        <v>0</v>
      </c>
      <c r="F47" s="132">
        <v>0</v>
      </c>
      <c r="G47" s="132">
        <v>0</v>
      </c>
      <c r="H47" s="132">
        <v>0.85</v>
      </c>
      <c r="I47" s="302">
        <v>0</v>
      </c>
      <c r="J47" s="302">
        <v>0</v>
      </c>
      <c r="K47" s="132">
        <v>0</v>
      </c>
      <c r="L47" s="302">
        <v>0</v>
      </c>
      <c r="M47" s="132">
        <v>0</v>
      </c>
      <c r="N47" s="132">
        <v>0</v>
      </c>
      <c r="O47" s="132">
        <v>0</v>
      </c>
      <c r="P47" s="302">
        <v>0</v>
      </c>
      <c r="Q47" s="302">
        <v>0</v>
      </c>
      <c r="R47" s="132">
        <v>0.26</v>
      </c>
      <c r="S47" s="132">
        <v>0.14000000000000001</v>
      </c>
      <c r="T47" s="136">
        <v>0</v>
      </c>
    </row>
    <row r="48" spans="1:20" x14ac:dyDescent="0.35">
      <c r="A48" s="55" t="s">
        <v>1703</v>
      </c>
      <c r="B48" s="138">
        <v>0</v>
      </c>
      <c r="C48" s="138">
        <v>1</v>
      </c>
      <c r="D48" s="138">
        <v>1</v>
      </c>
      <c r="E48" s="138">
        <v>0</v>
      </c>
      <c r="F48" s="138">
        <v>1</v>
      </c>
      <c r="G48" s="138">
        <v>1</v>
      </c>
      <c r="H48" s="138">
        <v>1</v>
      </c>
      <c r="I48" s="315">
        <v>1</v>
      </c>
      <c r="J48" s="315">
        <v>1</v>
      </c>
      <c r="K48" s="138">
        <v>1</v>
      </c>
      <c r="L48" s="315">
        <v>1</v>
      </c>
      <c r="M48" s="138">
        <v>1</v>
      </c>
      <c r="N48" s="138">
        <v>1</v>
      </c>
      <c r="O48" s="138">
        <v>1</v>
      </c>
      <c r="P48" s="315">
        <v>1</v>
      </c>
      <c r="Q48" s="315">
        <v>1</v>
      </c>
      <c r="R48" s="138">
        <v>1</v>
      </c>
      <c r="S48" s="138">
        <v>1</v>
      </c>
      <c r="T48" s="137">
        <v>1</v>
      </c>
    </row>
    <row r="49" spans="1:46" x14ac:dyDescent="0.35">
      <c r="A49" s="46" t="s">
        <v>1702</v>
      </c>
      <c r="B49" s="122">
        <v>1</v>
      </c>
      <c r="C49" s="122">
        <v>0</v>
      </c>
      <c r="D49" s="122">
        <v>0</v>
      </c>
      <c r="E49" s="122">
        <v>1</v>
      </c>
      <c r="F49" s="122">
        <v>0</v>
      </c>
      <c r="G49" s="122">
        <v>0</v>
      </c>
      <c r="H49" s="122">
        <v>0</v>
      </c>
      <c r="I49" s="293">
        <v>0</v>
      </c>
      <c r="J49" s="293">
        <v>0</v>
      </c>
      <c r="K49" s="122">
        <v>0</v>
      </c>
      <c r="L49" s="293">
        <v>0</v>
      </c>
      <c r="M49" s="122">
        <v>0</v>
      </c>
      <c r="N49" s="122">
        <v>0</v>
      </c>
      <c r="O49" s="122">
        <v>0</v>
      </c>
      <c r="P49" s="293">
        <v>0</v>
      </c>
      <c r="Q49" s="293">
        <v>0</v>
      </c>
      <c r="R49" s="122">
        <v>0</v>
      </c>
      <c r="S49" s="122">
        <v>0</v>
      </c>
      <c r="T49" s="56">
        <v>0</v>
      </c>
    </row>
    <row r="51" spans="1:46" ht="13.9" x14ac:dyDescent="0.4">
      <c r="A51" s="72" t="s">
        <v>1701</v>
      </c>
    </row>
    <row r="52" spans="1:46" ht="30" customHeight="1" x14ac:dyDescent="0.5">
      <c r="A52" s="314"/>
      <c r="B52" s="2193" t="s">
        <v>1700</v>
      </c>
      <c r="C52" s="2194"/>
      <c r="D52" s="2194"/>
      <c r="E52" s="2194"/>
      <c r="F52" s="2194"/>
      <c r="G52" s="2194"/>
      <c r="H52" s="2194"/>
      <c r="I52" s="2194"/>
      <c r="J52" s="2194"/>
      <c r="K52" s="2194"/>
      <c r="L52" s="2194"/>
      <c r="M52" s="2194"/>
      <c r="N52" s="2194"/>
      <c r="O52" s="2194"/>
      <c r="P52" s="2195"/>
      <c r="Q52" s="2193" t="s">
        <v>1699</v>
      </c>
      <c r="R52" s="2194"/>
      <c r="S52" s="2194"/>
      <c r="T52" s="2194"/>
      <c r="U52" s="2194"/>
      <c r="V52" s="2194"/>
      <c r="W52" s="2194"/>
      <c r="X52" s="2194"/>
      <c r="Y52" s="2194"/>
      <c r="Z52" s="2194"/>
      <c r="AA52" s="2194"/>
      <c r="AB52" s="2195"/>
      <c r="AC52" s="2203" t="s">
        <v>1698</v>
      </c>
      <c r="AD52" s="2223"/>
      <c r="AE52" s="2224"/>
      <c r="AF52" s="2203" t="s">
        <v>1697</v>
      </c>
      <c r="AG52" s="2223"/>
      <c r="AH52" s="2224"/>
      <c r="AI52" s="2191" t="s">
        <v>1696</v>
      </c>
      <c r="AJ52" s="2196"/>
      <c r="AK52" s="2196"/>
      <c r="AL52" s="2192"/>
      <c r="AM52" s="2191" t="s">
        <v>1695</v>
      </c>
      <c r="AN52" s="2196"/>
      <c r="AO52" s="2196"/>
      <c r="AP52" s="2196"/>
      <c r="AQ52" s="2196"/>
      <c r="AR52" s="2192"/>
      <c r="AS52" s="2203" t="s">
        <v>1694</v>
      </c>
      <c r="AT52" s="2204"/>
    </row>
    <row r="53" spans="1:46" ht="15.75" x14ac:dyDescent="0.5">
      <c r="A53" s="313"/>
      <c r="B53" s="2193" t="s">
        <v>1693</v>
      </c>
      <c r="C53" s="2194"/>
      <c r="D53" s="2194"/>
      <c r="E53" s="2194"/>
      <c r="F53" s="2194"/>
      <c r="G53" s="2194"/>
      <c r="H53" s="2194"/>
      <c r="I53" s="2194"/>
      <c r="J53" s="2195"/>
      <c r="K53" s="2193" t="s">
        <v>1692</v>
      </c>
      <c r="L53" s="2194"/>
      <c r="M53" s="2194"/>
      <c r="N53" s="2194"/>
      <c r="O53" s="2194"/>
      <c r="P53" s="2195"/>
      <c r="Q53" s="2212" t="s">
        <v>1691</v>
      </c>
      <c r="R53" s="2215"/>
      <c r="S53" s="2193" t="s">
        <v>1690</v>
      </c>
      <c r="T53" s="2194"/>
      <c r="U53" s="2194"/>
      <c r="V53" s="2194"/>
      <c r="W53" s="2194"/>
      <c r="X53" s="2195"/>
      <c r="Y53" s="2191" t="s">
        <v>1689</v>
      </c>
      <c r="Z53" s="2196"/>
      <c r="AA53" s="2196"/>
      <c r="AB53" s="2192"/>
      <c r="AC53" s="2225"/>
      <c r="AD53" s="2226"/>
      <c r="AE53" s="2215"/>
      <c r="AF53" s="2225"/>
      <c r="AG53" s="2226"/>
      <c r="AH53" s="2215"/>
      <c r="AI53" s="2212" t="s">
        <v>1688</v>
      </c>
      <c r="AJ53" s="2218"/>
      <c r="AK53" s="2230" t="s">
        <v>1676</v>
      </c>
      <c r="AL53" s="2231"/>
      <c r="AM53" s="2234" t="s">
        <v>1687</v>
      </c>
      <c r="AN53" s="2231"/>
      <c r="AO53" s="2203" t="s">
        <v>1686</v>
      </c>
      <c r="AP53" s="2221"/>
      <c r="AQ53" s="2228" t="s">
        <v>1685</v>
      </c>
      <c r="AR53" s="2229"/>
      <c r="AS53" s="2212"/>
      <c r="AT53" s="2213"/>
    </row>
    <row r="54" spans="1:46" ht="26.25" customHeight="1" x14ac:dyDescent="0.4">
      <c r="A54" s="312"/>
      <c r="B54" s="2191" t="s">
        <v>1684</v>
      </c>
      <c r="C54" s="2196"/>
      <c r="D54" s="2192"/>
      <c r="E54" s="2191" t="s">
        <v>1683</v>
      </c>
      <c r="F54" s="2196"/>
      <c r="G54" s="2192"/>
      <c r="H54" s="2191" t="s">
        <v>1682</v>
      </c>
      <c r="I54" s="2196"/>
      <c r="J54" s="2192"/>
      <c r="K54" s="2191" t="s">
        <v>1681</v>
      </c>
      <c r="L54" s="2196"/>
      <c r="M54" s="2192"/>
      <c r="N54" s="2191" t="s">
        <v>1680</v>
      </c>
      <c r="O54" s="2196"/>
      <c r="P54" s="2192"/>
      <c r="Q54" s="2216"/>
      <c r="R54" s="2217"/>
      <c r="S54" s="2191" t="s">
        <v>1679</v>
      </c>
      <c r="T54" s="2192"/>
      <c r="U54" s="2206" t="s">
        <v>1676</v>
      </c>
      <c r="V54" s="2207"/>
      <c r="W54" s="2206" t="s">
        <v>1678</v>
      </c>
      <c r="X54" s="2207"/>
      <c r="Y54" s="2191" t="s">
        <v>1677</v>
      </c>
      <c r="Z54" s="2192"/>
      <c r="AA54" s="2206" t="s">
        <v>1676</v>
      </c>
      <c r="AB54" s="2207"/>
      <c r="AC54" s="2216"/>
      <c r="AD54" s="2227"/>
      <c r="AE54" s="2217"/>
      <c r="AF54" s="2216"/>
      <c r="AG54" s="2227"/>
      <c r="AH54" s="2217"/>
      <c r="AI54" s="2219"/>
      <c r="AJ54" s="2220"/>
      <c r="AK54" s="2232"/>
      <c r="AL54" s="2233"/>
      <c r="AM54" s="2235"/>
      <c r="AN54" s="2233"/>
      <c r="AO54" s="2219"/>
      <c r="AP54" s="2222"/>
      <c r="AQ54" s="2220"/>
      <c r="AR54" s="2222"/>
      <c r="AS54" s="2214"/>
      <c r="AT54" s="2211"/>
    </row>
    <row r="55" spans="1:46" ht="81.75" customHeight="1" x14ac:dyDescent="0.4">
      <c r="A55" s="311"/>
      <c r="B55" s="307" t="s">
        <v>1674</v>
      </c>
      <c r="C55" s="307" t="s">
        <v>1673</v>
      </c>
      <c r="D55" s="307" t="s">
        <v>1675</v>
      </c>
      <c r="E55" s="306" t="s">
        <v>1674</v>
      </c>
      <c r="F55" s="307" t="s">
        <v>1673</v>
      </c>
      <c r="G55" s="305" t="s">
        <v>1675</v>
      </c>
      <c r="H55" s="307" t="s">
        <v>1674</v>
      </c>
      <c r="I55" s="307" t="s">
        <v>1673</v>
      </c>
      <c r="J55" s="305" t="s">
        <v>1675</v>
      </c>
      <c r="K55" s="307" t="s">
        <v>1674</v>
      </c>
      <c r="L55" s="307" t="s">
        <v>1673</v>
      </c>
      <c r="M55" s="307" t="s">
        <v>1675</v>
      </c>
      <c r="N55" s="306" t="s">
        <v>1674</v>
      </c>
      <c r="O55" s="307" t="s">
        <v>1673</v>
      </c>
      <c r="P55" s="305" t="s">
        <v>1675</v>
      </c>
      <c r="Q55" s="306" t="s">
        <v>1674</v>
      </c>
      <c r="R55" s="305" t="s">
        <v>1673</v>
      </c>
      <c r="S55" s="306" t="s">
        <v>1674</v>
      </c>
      <c r="T55" s="307" t="s">
        <v>1673</v>
      </c>
      <c r="U55" s="310" t="s">
        <v>1674</v>
      </c>
      <c r="V55" s="308" t="s">
        <v>1673</v>
      </c>
      <c r="W55" s="309" t="s">
        <v>1674</v>
      </c>
      <c r="X55" s="308" t="s">
        <v>1673</v>
      </c>
      <c r="Y55" s="306" t="s">
        <v>1674</v>
      </c>
      <c r="Z55" s="305" t="s">
        <v>1673</v>
      </c>
      <c r="AA55" s="309" t="s">
        <v>1674</v>
      </c>
      <c r="AB55" s="308" t="s">
        <v>1673</v>
      </c>
      <c r="AC55" s="306" t="s">
        <v>1674</v>
      </c>
      <c r="AD55" s="307" t="s">
        <v>1673</v>
      </c>
      <c r="AE55" s="305" t="s">
        <v>1675</v>
      </c>
      <c r="AF55" s="306" t="s">
        <v>1674</v>
      </c>
      <c r="AG55" s="307" t="s">
        <v>1673</v>
      </c>
      <c r="AH55" s="305" t="s">
        <v>1675</v>
      </c>
      <c r="AI55" s="306" t="s">
        <v>1674</v>
      </c>
      <c r="AJ55" s="307" t="s">
        <v>1673</v>
      </c>
      <c r="AK55" s="310" t="s">
        <v>1674</v>
      </c>
      <c r="AL55" s="308" t="s">
        <v>1673</v>
      </c>
      <c r="AM55" s="309" t="s">
        <v>1674</v>
      </c>
      <c r="AN55" s="308" t="s">
        <v>1673</v>
      </c>
      <c r="AO55" s="306" t="s">
        <v>1674</v>
      </c>
      <c r="AP55" s="305" t="s">
        <v>1673</v>
      </c>
      <c r="AQ55" s="307" t="s">
        <v>1674</v>
      </c>
      <c r="AR55" s="305" t="s">
        <v>1673</v>
      </c>
      <c r="AS55" s="306" t="s">
        <v>1674</v>
      </c>
      <c r="AT55" s="305" t="s">
        <v>1673</v>
      </c>
    </row>
    <row r="56" spans="1:46" ht="13.15" x14ac:dyDescent="0.4">
      <c r="A56" s="304" t="s">
        <v>1672</v>
      </c>
      <c r="B56" s="145">
        <v>4.6500000000000004</v>
      </c>
      <c r="E56" s="59">
        <v>0.13</v>
      </c>
      <c r="G56" s="99"/>
      <c r="H56" s="39">
        <v>10</v>
      </c>
      <c r="J56" s="99"/>
      <c r="K56" s="145">
        <v>4.6500000000000004</v>
      </c>
      <c r="N56" s="59">
        <v>39.200000000000003</v>
      </c>
      <c r="P56" s="99"/>
      <c r="Q56" s="59">
        <v>4.08</v>
      </c>
      <c r="R56" s="99"/>
      <c r="S56" s="59">
        <v>9.33</v>
      </c>
      <c r="U56" s="282">
        <v>1.0900000000000001</v>
      </c>
      <c r="V56" s="278"/>
      <c r="W56" s="281">
        <v>0.37</v>
      </c>
      <c r="X56" s="278"/>
      <c r="Y56" s="59">
        <v>4.4000000000000004</v>
      </c>
      <c r="Z56" s="99"/>
      <c r="AA56" s="281">
        <v>0.54</v>
      </c>
      <c r="AB56" s="278"/>
      <c r="AC56" s="59">
        <v>2.57</v>
      </c>
      <c r="AE56" s="99"/>
      <c r="AF56" s="59">
        <v>13.2</v>
      </c>
      <c r="AH56" s="99"/>
      <c r="AI56" s="59">
        <v>2.4</v>
      </c>
      <c r="AK56" s="282">
        <v>2.4</v>
      </c>
      <c r="AL56" s="278"/>
      <c r="AM56" s="281">
        <v>2.4</v>
      </c>
      <c r="AN56" s="278"/>
      <c r="AO56" s="59">
        <v>1.52</v>
      </c>
      <c r="AP56" s="99"/>
      <c r="AQ56" s="39">
        <v>3.3</v>
      </c>
      <c r="AR56" s="99"/>
      <c r="AS56" s="59">
        <v>0.54</v>
      </c>
      <c r="AT56" s="99"/>
    </row>
    <row r="57" spans="1:46" ht="13.15" x14ac:dyDescent="0.4">
      <c r="A57" s="238" t="s">
        <v>1671</v>
      </c>
      <c r="B57" s="132">
        <v>0</v>
      </c>
      <c r="C57" s="132"/>
      <c r="D57" s="132"/>
      <c r="E57" s="295">
        <v>0</v>
      </c>
      <c r="F57" s="132"/>
      <c r="G57" s="136"/>
      <c r="H57" s="132">
        <v>0</v>
      </c>
      <c r="I57" s="132"/>
      <c r="J57" s="136"/>
      <c r="K57" s="132">
        <v>0</v>
      </c>
      <c r="L57" s="132"/>
      <c r="M57" s="132"/>
      <c r="N57" s="295">
        <v>0</v>
      </c>
      <c r="O57" s="132"/>
      <c r="P57" s="136"/>
      <c r="Q57" s="295">
        <v>0</v>
      </c>
      <c r="R57" s="136"/>
      <c r="S57" s="295">
        <v>0</v>
      </c>
      <c r="T57" s="132"/>
      <c r="U57" s="303">
        <v>0</v>
      </c>
      <c r="V57" s="301"/>
      <c r="W57" s="302">
        <v>0</v>
      </c>
      <c r="X57" s="301"/>
      <c r="Y57" s="295">
        <v>0</v>
      </c>
      <c r="Z57" s="136"/>
      <c r="AA57" s="302">
        <v>0</v>
      </c>
      <c r="AB57" s="301"/>
      <c r="AC57" s="295">
        <v>0</v>
      </c>
      <c r="AD57" s="132"/>
      <c r="AE57" s="136"/>
      <c r="AF57" s="295">
        <v>0</v>
      </c>
      <c r="AG57" s="132"/>
      <c r="AH57" s="136"/>
      <c r="AI57" s="295">
        <v>0</v>
      </c>
      <c r="AJ57" s="132"/>
      <c r="AK57" s="303">
        <v>0</v>
      </c>
      <c r="AL57" s="301"/>
      <c r="AM57" s="302">
        <v>0</v>
      </c>
      <c r="AN57" s="301"/>
      <c r="AO57" s="295">
        <v>0</v>
      </c>
      <c r="AP57" s="136"/>
      <c r="AQ57" s="132">
        <v>0</v>
      </c>
      <c r="AR57" s="136"/>
      <c r="AS57" s="295">
        <v>0</v>
      </c>
      <c r="AT57" s="136"/>
    </row>
    <row r="58" spans="1:46" ht="13.15" x14ac:dyDescent="0.4">
      <c r="A58" s="178" t="s">
        <v>1670</v>
      </c>
      <c r="B58" s="101"/>
      <c r="C58" s="101"/>
      <c r="D58" s="101"/>
      <c r="E58" s="61"/>
      <c r="F58" s="101"/>
      <c r="G58" s="60"/>
      <c r="H58" s="101"/>
      <c r="I58" s="101"/>
      <c r="J58" s="60"/>
      <c r="K58" s="101"/>
      <c r="L58" s="101"/>
      <c r="M58" s="101"/>
      <c r="N58" s="61"/>
      <c r="O58" s="101"/>
      <c r="P58" s="60"/>
      <c r="Q58" s="61"/>
      <c r="R58" s="60"/>
      <c r="S58" s="61"/>
      <c r="T58" s="101"/>
      <c r="U58" s="300"/>
      <c r="V58" s="287"/>
      <c r="W58" s="261"/>
      <c r="X58" s="287"/>
      <c r="Y58" s="61"/>
      <c r="Z58" s="60"/>
      <c r="AA58" s="261"/>
      <c r="AB58" s="287"/>
      <c r="AC58" s="61"/>
      <c r="AD58" s="101"/>
      <c r="AE58" s="60"/>
      <c r="AF58" s="61"/>
      <c r="AG58" s="101"/>
      <c r="AH58" s="60"/>
      <c r="AI58" s="61"/>
      <c r="AJ58" s="101"/>
      <c r="AK58" s="300"/>
      <c r="AL58" s="287"/>
      <c r="AM58" s="261"/>
      <c r="AN58" s="287"/>
      <c r="AO58" s="61"/>
      <c r="AP58" s="60"/>
      <c r="AQ58" s="101"/>
      <c r="AR58" s="60"/>
      <c r="AS58" s="61"/>
      <c r="AT58" s="60"/>
    </row>
    <row r="59" spans="1:46" x14ac:dyDescent="0.35">
      <c r="A59" s="50" t="s">
        <v>1668</v>
      </c>
      <c r="B59" s="132">
        <v>8.6999999999999994E-2</v>
      </c>
      <c r="C59" s="132"/>
      <c r="D59" s="132"/>
      <c r="E59" s="295"/>
      <c r="F59" s="132"/>
      <c r="G59" s="136"/>
      <c r="H59" s="132"/>
      <c r="I59" s="132"/>
      <c r="J59" s="136"/>
      <c r="K59" s="132">
        <v>8.6999999999999994E-2</v>
      </c>
      <c r="L59" s="132"/>
      <c r="M59" s="132"/>
      <c r="N59" s="295">
        <v>0.81499999999999995</v>
      </c>
      <c r="O59" s="132"/>
      <c r="P59" s="136"/>
      <c r="Q59" s="299">
        <v>5.0999999999999997E-2</v>
      </c>
      <c r="R59" s="99"/>
      <c r="S59" s="59"/>
      <c r="U59" s="282"/>
      <c r="V59" s="278"/>
      <c r="W59" s="281"/>
      <c r="X59" s="278"/>
      <c r="Y59" s="59"/>
      <c r="Z59" s="99"/>
      <c r="AA59" s="281"/>
      <c r="AB59" s="278"/>
      <c r="AC59" s="295"/>
      <c r="AD59" s="132"/>
      <c r="AE59" s="136"/>
      <c r="AF59" s="295"/>
      <c r="AH59" s="99"/>
      <c r="AI59" s="59"/>
      <c r="AK59" s="282"/>
      <c r="AL59" s="278"/>
      <c r="AM59" s="281"/>
      <c r="AN59" s="278"/>
      <c r="AO59" s="59"/>
      <c r="AP59" s="99"/>
      <c r="AR59" s="99"/>
      <c r="AS59" s="59"/>
      <c r="AT59" s="99"/>
    </row>
    <row r="60" spans="1:46" x14ac:dyDescent="0.35">
      <c r="A60" s="50" t="s">
        <v>1667</v>
      </c>
      <c r="B60" s="132">
        <v>3.7000000000000002E-3</v>
      </c>
      <c r="C60" s="132"/>
      <c r="D60" s="132"/>
      <c r="E60" s="295">
        <v>1</v>
      </c>
      <c r="F60" s="132"/>
      <c r="G60" s="136"/>
      <c r="H60" s="132">
        <v>0.59899999999999998</v>
      </c>
      <c r="I60" s="132"/>
      <c r="J60" s="136"/>
      <c r="K60" s="132">
        <v>3.7000000000000002E-3</v>
      </c>
      <c r="L60" s="132"/>
      <c r="M60" s="132"/>
      <c r="N60" s="295">
        <v>0.13500000000000001</v>
      </c>
      <c r="O60" s="132"/>
      <c r="P60" s="136"/>
      <c r="Q60" s="59"/>
      <c r="R60" s="99"/>
      <c r="S60" s="59"/>
      <c r="U60" s="282"/>
      <c r="V60" s="278"/>
      <c r="W60" s="281"/>
      <c r="X60" s="278"/>
      <c r="Y60" s="59"/>
      <c r="Z60" s="99"/>
      <c r="AA60" s="281"/>
      <c r="AB60" s="278"/>
      <c r="AC60" s="295"/>
      <c r="AD60" s="132"/>
      <c r="AE60" s="136"/>
      <c r="AF60" s="295"/>
      <c r="AH60" s="99"/>
      <c r="AI60" s="59"/>
      <c r="AK60" s="282"/>
      <c r="AL60" s="278"/>
      <c r="AM60" s="281"/>
      <c r="AN60" s="278"/>
      <c r="AO60" s="59"/>
      <c r="AP60" s="99"/>
      <c r="AR60" s="99"/>
      <c r="AS60" s="59"/>
      <c r="AT60" s="99"/>
    </row>
    <row r="61" spans="1:46" x14ac:dyDescent="0.35">
      <c r="A61" s="50" t="s">
        <v>1666</v>
      </c>
      <c r="B61" s="132">
        <v>2.9999999999999997E-4</v>
      </c>
      <c r="C61" s="132"/>
      <c r="D61" s="132"/>
      <c r="E61" s="295"/>
      <c r="F61" s="132"/>
      <c r="G61" s="136"/>
      <c r="H61" s="132"/>
      <c r="I61" s="132"/>
      <c r="J61" s="136"/>
      <c r="K61" s="132">
        <v>2.9999999999999997E-4</v>
      </c>
      <c r="L61" s="132"/>
      <c r="M61" s="132"/>
      <c r="N61" s="295"/>
      <c r="O61" s="132"/>
      <c r="P61" s="136"/>
      <c r="Q61" s="59"/>
      <c r="R61" s="99"/>
      <c r="S61" s="59"/>
      <c r="U61" s="282"/>
      <c r="V61" s="278"/>
      <c r="W61" s="281"/>
      <c r="X61" s="278"/>
      <c r="Y61" s="59"/>
      <c r="Z61" s="99"/>
      <c r="AA61" s="281"/>
      <c r="AB61" s="278"/>
      <c r="AC61" s="295"/>
      <c r="AD61" s="132"/>
      <c r="AE61" s="136"/>
      <c r="AF61" s="295"/>
      <c r="AH61" s="99"/>
      <c r="AI61" s="59"/>
      <c r="AK61" s="282"/>
      <c r="AL61" s="278"/>
      <c r="AM61" s="281"/>
      <c r="AN61" s="278"/>
      <c r="AO61" s="59"/>
      <c r="AP61" s="99"/>
      <c r="AR61" s="99"/>
      <c r="AS61" s="59"/>
      <c r="AT61" s="99"/>
    </row>
    <row r="62" spans="1:46" x14ac:dyDescent="0.35">
      <c r="A62" s="50" t="s">
        <v>1665</v>
      </c>
      <c r="B62" s="132">
        <v>0</v>
      </c>
      <c r="C62" s="132"/>
      <c r="D62" s="132"/>
      <c r="E62" s="295"/>
      <c r="F62" s="132"/>
      <c r="G62" s="136"/>
      <c r="H62" s="132"/>
      <c r="I62" s="132"/>
      <c r="J62" s="136"/>
      <c r="K62" s="132">
        <v>0</v>
      </c>
      <c r="L62" s="132"/>
      <c r="M62" s="132"/>
      <c r="N62" s="295">
        <v>0.05</v>
      </c>
      <c r="O62" s="132"/>
      <c r="P62" s="136"/>
      <c r="Q62" s="59"/>
      <c r="R62" s="99"/>
      <c r="S62" s="59"/>
      <c r="U62" s="282"/>
      <c r="V62" s="278"/>
      <c r="W62" s="281"/>
      <c r="X62" s="278"/>
      <c r="Y62" s="59"/>
      <c r="Z62" s="99"/>
      <c r="AA62" s="281"/>
      <c r="AB62" s="278"/>
      <c r="AC62" s="295"/>
      <c r="AD62" s="132"/>
      <c r="AE62" s="136"/>
      <c r="AF62" s="295"/>
      <c r="AH62" s="99"/>
      <c r="AI62" s="59"/>
      <c r="AK62" s="282"/>
      <c r="AL62" s="278"/>
      <c r="AM62" s="281"/>
      <c r="AN62" s="278"/>
      <c r="AO62" s="59"/>
      <c r="AP62" s="99"/>
      <c r="AR62" s="99"/>
      <c r="AS62" s="59"/>
      <c r="AT62" s="99"/>
    </row>
    <row r="63" spans="1:46" ht="14.25" x14ac:dyDescent="0.45">
      <c r="A63" s="50" t="s">
        <v>1534</v>
      </c>
      <c r="B63" s="132">
        <v>0</v>
      </c>
      <c r="C63" s="132"/>
      <c r="D63" s="132"/>
      <c r="E63" s="295"/>
      <c r="F63" s="132"/>
      <c r="G63" s="136"/>
      <c r="H63" s="132">
        <v>0.2258</v>
      </c>
      <c r="I63" s="132"/>
      <c r="J63" s="136"/>
      <c r="K63" s="132">
        <v>0</v>
      </c>
      <c r="L63" s="132"/>
      <c r="M63" s="132"/>
      <c r="N63" s="295"/>
      <c r="O63" s="132"/>
      <c r="P63" s="136"/>
      <c r="Q63" s="299">
        <v>0.52400000000000002</v>
      </c>
      <c r="R63" s="99"/>
      <c r="S63" s="299">
        <v>0.66</v>
      </c>
      <c r="U63" s="298">
        <v>0.57899999999999996</v>
      </c>
      <c r="V63" s="278"/>
      <c r="W63" s="281"/>
      <c r="X63" s="278"/>
      <c r="Y63" s="59"/>
      <c r="Z63" s="99"/>
      <c r="AA63" s="281"/>
      <c r="AB63" s="278"/>
      <c r="AC63" s="295">
        <v>0.97276264591439698</v>
      </c>
      <c r="AD63" s="132"/>
      <c r="AE63" s="136"/>
      <c r="AF63" s="295">
        <v>0.99880000000000002</v>
      </c>
      <c r="AG63" s="297"/>
      <c r="AH63" s="99"/>
      <c r="AI63" s="59"/>
      <c r="AK63" s="282"/>
      <c r="AL63" s="278"/>
      <c r="AM63" s="296">
        <v>1</v>
      </c>
      <c r="AN63" s="278"/>
      <c r="AO63" s="81">
        <v>1</v>
      </c>
      <c r="AP63" s="99"/>
      <c r="AQ63" s="73">
        <v>1</v>
      </c>
      <c r="AR63" s="99"/>
      <c r="AS63" s="81">
        <v>1</v>
      </c>
      <c r="AT63" s="99"/>
    </row>
    <row r="64" spans="1:46" x14ac:dyDescent="0.35">
      <c r="A64" s="50" t="s">
        <v>1535</v>
      </c>
      <c r="B64" s="132">
        <v>0.90900000000000003</v>
      </c>
      <c r="C64" s="132"/>
      <c r="D64" s="132"/>
      <c r="E64" s="295"/>
      <c r="F64" s="132"/>
      <c r="G64" s="136"/>
      <c r="H64" s="132"/>
      <c r="I64" s="132"/>
      <c r="J64" s="136"/>
      <c r="K64" s="132">
        <v>0.90900000000000003</v>
      </c>
      <c r="L64" s="132"/>
      <c r="M64" s="132"/>
      <c r="N64" s="295"/>
      <c r="O64" s="132"/>
      <c r="P64" s="136"/>
      <c r="Q64" s="59"/>
      <c r="R64" s="99"/>
      <c r="S64" s="59"/>
      <c r="U64" s="282"/>
      <c r="V64" s="278"/>
      <c r="W64" s="281"/>
      <c r="X64" s="278"/>
      <c r="Y64" s="59"/>
      <c r="Z64" s="99"/>
      <c r="AA64" s="281"/>
      <c r="AB64" s="278"/>
      <c r="AC64" s="295"/>
      <c r="AD64" s="132"/>
      <c r="AE64" s="136"/>
      <c r="AF64" s="295"/>
      <c r="AH64" s="99"/>
      <c r="AI64" s="59"/>
      <c r="AK64" s="282"/>
      <c r="AL64" s="278"/>
      <c r="AM64" s="281"/>
      <c r="AN64" s="278"/>
      <c r="AO64" s="59"/>
      <c r="AP64" s="99"/>
      <c r="AR64" s="99"/>
      <c r="AS64" s="59"/>
      <c r="AT64" s="99"/>
    </row>
    <row r="65" spans="1:46" x14ac:dyDescent="0.35">
      <c r="A65" s="46" t="s">
        <v>1664</v>
      </c>
      <c r="B65" s="122">
        <v>0</v>
      </c>
      <c r="C65" s="122"/>
      <c r="D65" s="122"/>
      <c r="E65" s="123">
        <v>0</v>
      </c>
      <c r="F65" s="122"/>
      <c r="G65" s="56"/>
      <c r="H65" s="122">
        <v>0.17520000000000002</v>
      </c>
      <c r="I65" s="122"/>
      <c r="J65" s="56"/>
      <c r="K65" s="122">
        <v>0</v>
      </c>
      <c r="L65" s="122"/>
      <c r="M65" s="122"/>
      <c r="N65" s="123">
        <v>0</v>
      </c>
      <c r="O65" s="122"/>
      <c r="P65" s="56"/>
      <c r="Q65" s="123">
        <v>0.42499999999999993</v>
      </c>
      <c r="R65" s="100"/>
      <c r="S65" s="123">
        <v>0.33999999999999997</v>
      </c>
      <c r="T65" s="77"/>
      <c r="U65" s="294">
        <v>0.42100000000000004</v>
      </c>
      <c r="V65" s="274"/>
      <c r="W65" s="293">
        <v>1</v>
      </c>
      <c r="X65" s="274"/>
      <c r="Y65" s="123">
        <v>1</v>
      </c>
      <c r="Z65" s="100"/>
      <c r="AA65" s="293">
        <v>1</v>
      </c>
      <c r="AB65" s="274"/>
      <c r="AC65" s="123">
        <v>2.7237354085603016E-2</v>
      </c>
      <c r="AD65" s="122"/>
      <c r="AE65" s="56"/>
      <c r="AF65" s="123">
        <v>1.1999999999999789E-3</v>
      </c>
      <c r="AG65" s="77"/>
      <c r="AH65" s="100"/>
      <c r="AI65" s="123">
        <v>1</v>
      </c>
      <c r="AJ65" s="77"/>
      <c r="AK65" s="294">
        <v>1</v>
      </c>
      <c r="AL65" s="274"/>
      <c r="AM65" s="293">
        <v>0</v>
      </c>
      <c r="AN65" s="274"/>
      <c r="AO65" s="123">
        <v>0</v>
      </c>
      <c r="AP65" s="100"/>
      <c r="AQ65" s="122">
        <v>0</v>
      </c>
      <c r="AR65" s="100"/>
      <c r="AS65" s="123">
        <v>0</v>
      </c>
      <c r="AT65" s="100"/>
    </row>
    <row r="66" spans="1:46" ht="13.15" x14ac:dyDescent="0.4">
      <c r="A66" s="238" t="s">
        <v>1669</v>
      </c>
      <c r="E66" s="59"/>
      <c r="G66" s="99"/>
      <c r="J66" s="99"/>
      <c r="N66" s="59"/>
      <c r="P66" s="99"/>
      <c r="Q66" s="59"/>
      <c r="R66" s="99"/>
      <c r="S66" s="59"/>
      <c r="U66" s="282"/>
      <c r="V66" s="278"/>
      <c r="W66" s="281"/>
      <c r="X66" s="278"/>
      <c r="Y66" s="59"/>
      <c r="Z66" s="99"/>
      <c r="AA66" s="281"/>
      <c r="AB66" s="278"/>
      <c r="AC66" s="59"/>
      <c r="AE66" s="99"/>
      <c r="AF66" s="59"/>
      <c r="AH66" s="99"/>
      <c r="AI66" s="59"/>
      <c r="AK66" s="282"/>
      <c r="AL66" s="278"/>
      <c r="AM66" s="281"/>
      <c r="AN66" s="278"/>
      <c r="AO66" s="59"/>
      <c r="AP66" s="99"/>
      <c r="AR66" s="99"/>
      <c r="AS66" s="59"/>
      <c r="AT66" s="99"/>
    </row>
    <row r="67" spans="1:46" x14ac:dyDescent="0.35">
      <c r="A67" s="50" t="s">
        <v>1668</v>
      </c>
      <c r="B67" s="120">
        <v>0.40455000000000002</v>
      </c>
      <c r="E67" s="277">
        <v>0</v>
      </c>
      <c r="G67" s="99"/>
      <c r="H67" s="120">
        <v>0</v>
      </c>
      <c r="J67" s="99"/>
      <c r="K67" s="120">
        <v>0.40455000000000002</v>
      </c>
      <c r="N67" s="277">
        <v>31.948</v>
      </c>
      <c r="P67" s="99"/>
      <c r="Q67" s="277">
        <v>0.20807999999999999</v>
      </c>
      <c r="R67" s="99"/>
      <c r="S67" s="277">
        <v>0</v>
      </c>
      <c r="U67" s="280">
        <v>0</v>
      </c>
      <c r="V67" s="278"/>
      <c r="W67" s="279">
        <v>0</v>
      </c>
      <c r="X67" s="278"/>
      <c r="Y67" s="277">
        <v>0</v>
      </c>
      <c r="Z67" s="99"/>
      <c r="AA67" s="279">
        <v>0</v>
      </c>
      <c r="AB67" s="278"/>
      <c r="AC67" s="277">
        <v>0</v>
      </c>
      <c r="AE67" s="99"/>
      <c r="AF67" s="277">
        <v>0</v>
      </c>
      <c r="AH67" s="99"/>
      <c r="AI67" s="277">
        <v>0</v>
      </c>
      <c r="AK67" s="280">
        <v>0</v>
      </c>
      <c r="AL67" s="278"/>
      <c r="AM67" s="279">
        <v>0</v>
      </c>
      <c r="AN67" s="278"/>
      <c r="AO67" s="277">
        <v>0</v>
      </c>
      <c r="AP67" s="99"/>
      <c r="AQ67" s="120">
        <v>0</v>
      </c>
      <c r="AR67" s="99"/>
      <c r="AS67" s="277">
        <v>0</v>
      </c>
      <c r="AT67" s="99"/>
    </row>
    <row r="68" spans="1:46" x14ac:dyDescent="0.35">
      <c r="A68" s="50" t="s">
        <v>1667</v>
      </c>
      <c r="B68" s="120">
        <v>1.7205000000000002E-2</v>
      </c>
      <c r="E68" s="277">
        <v>0.13</v>
      </c>
      <c r="G68" s="99"/>
      <c r="H68" s="120">
        <v>5.99</v>
      </c>
      <c r="J68" s="99"/>
      <c r="K68" s="120">
        <v>1.7205000000000002E-2</v>
      </c>
      <c r="N68" s="277">
        <v>5.2920000000000007</v>
      </c>
      <c r="P68" s="99"/>
      <c r="Q68" s="277">
        <v>0</v>
      </c>
      <c r="R68" s="99"/>
      <c r="S68" s="277">
        <v>0</v>
      </c>
      <c r="U68" s="280">
        <v>0</v>
      </c>
      <c r="V68" s="278"/>
      <c r="W68" s="279">
        <v>0</v>
      </c>
      <c r="X68" s="278"/>
      <c r="Y68" s="277">
        <v>0</v>
      </c>
      <c r="Z68" s="99"/>
      <c r="AA68" s="279">
        <v>0</v>
      </c>
      <c r="AB68" s="278"/>
      <c r="AC68" s="277">
        <v>0</v>
      </c>
      <c r="AE68" s="99"/>
      <c r="AF68" s="277">
        <v>0</v>
      </c>
      <c r="AH68" s="99"/>
      <c r="AI68" s="277">
        <v>0</v>
      </c>
      <c r="AK68" s="280">
        <v>0</v>
      </c>
      <c r="AL68" s="278"/>
      <c r="AM68" s="279">
        <v>0</v>
      </c>
      <c r="AN68" s="278"/>
      <c r="AO68" s="277">
        <v>0</v>
      </c>
      <c r="AP68" s="99"/>
      <c r="AQ68" s="120">
        <v>0</v>
      </c>
      <c r="AR68" s="99"/>
      <c r="AS68" s="277">
        <v>0</v>
      </c>
      <c r="AT68" s="99"/>
    </row>
    <row r="69" spans="1:46" x14ac:dyDescent="0.35">
      <c r="A69" s="50" t="s">
        <v>1666</v>
      </c>
      <c r="B69" s="120">
        <v>1.395E-3</v>
      </c>
      <c r="E69" s="277">
        <v>0</v>
      </c>
      <c r="G69" s="99"/>
      <c r="H69" s="120">
        <v>0</v>
      </c>
      <c r="J69" s="99"/>
      <c r="K69" s="120">
        <v>1.395E-3</v>
      </c>
      <c r="N69" s="277">
        <v>0</v>
      </c>
      <c r="P69" s="99"/>
      <c r="Q69" s="277">
        <v>0</v>
      </c>
      <c r="R69" s="99"/>
      <c r="S69" s="277">
        <v>0</v>
      </c>
      <c r="U69" s="280">
        <v>0</v>
      </c>
      <c r="V69" s="278"/>
      <c r="W69" s="279">
        <v>0</v>
      </c>
      <c r="X69" s="278"/>
      <c r="Y69" s="277">
        <v>0</v>
      </c>
      <c r="Z69" s="99"/>
      <c r="AA69" s="279">
        <v>0</v>
      </c>
      <c r="AB69" s="278"/>
      <c r="AC69" s="277">
        <v>0</v>
      </c>
      <c r="AE69" s="99"/>
      <c r="AF69" s="277">
        <v>0</v>
      </c>
      <c r="AH69" s="99"/>
      <c r="AI69" s="277">
        <v>0</v>
      </c>
      <c r="AK69" s="280">
        <v>0</v>
      </c>
      <c r="AL69" s="278"/>
      <c r="AM69" s="279">
        <v>0</v>
      </c>
      <c r="AN69" s="278"/>
      <c r="AO69" s="277">
        <v>0</v>
      </c>
      <c r="AP69" s="99"/>
      <c r="AQ69" s="120">
        <v>0</v>
      </c>
      <c r="AR69" s="99"/>
      <c r="AS69" s="277">
        <v>0</v>
      </c>
      <c r="AT69" s="99"/>
    </row>
    <row r="70" spans="1:46" x14ac:dyDescent="0.35">
      <c r="A70" s="50" t="s">
        <v>1665</v>
      </c>
      <c r="B70" s="120">
        <v>0</v>
      </c>
      <c r="E70" s="277">
        <v>0</v>
      </c>
      <c r="G70" s="99"/>
      <c r="H70" s="120">
        <v>0</v>
      </c>
      <c r="J70" s="99"/>
      <c r="K70" s="120">
        <v>0</v>
      </c>
      <c r="N70" s="277">
        <v>1.9600000000000002</v>
      </c>
      <c r="P70" s="99"/>
      <c r="Q70" s="277">
        <v>0</v>
      </c>
      <c r="R70" s="99"/>
      <c r="S70" s="277">
        <v>0</v>
      </c>
      <c r="U70" s="280">
        <v>0</v>
      </c>
      <c r="V70" s="278"/>
      <c r="W70" s="279">
        <v>0</v>
      </c>
      <c r="X70" s="278"/>
      <c r="Y70" s="277">
        <v>0</v>
      </c>
      <c r="Z70" s="99"/>
      <c r="AA70" s="279">
        <v>0</v>
      </c>
      <c r="AB70" s="278"/>
      <c r="AC70" s="277">
        <v>0</v>
      </c>
      <c r="AE70" s="99"/>
      <c r="AF70" s="277">
        <v>0</v>
      </c>
      <c r="AH70" s="99"/>
      <c r="AI70" s="277">
        <v>0</v>
      </c>
      <c r="AK70" s="280">
        <v>0</v>
      </c>
      <c r="AL70" s="278"/>
      <c r="AM70" s="279">
        <v>0</v>
      </c>
      <c r="AN70" s="278"/>
      <c r="AO70" s="277">
        <v>0</v>
      </c>
      <c r="AP70" s="99"/>
      <c r="AQ70" s="120">
        <v>0</v>
      </c>
      <c r="AR70" s="99"/>
      <c r="AS70" s="277">
        <v>0</v>
      </c>
      <c r="AT70" s="99"/>
    </row>
    <row r="71" spans="1:46" x14ac:dyDescent="0.35">
      <c r="A71" s="50" t="s">
        <v>1534</v>
      </c>
      <c r="B71" s="120">
        <v>0</v>
      </c>
      <c r="E71" s="277">
        <v>0</v>
      </c>
      <c r="G71" s="99"/>
      <c r="H71" s="120">
        <v>2.258</v>
      </c>
      <c r="J71" s="99"/>
      <c r="K71" s="120">
        <v>0</v>
      </c>
      <c r="N71" s="277">
        <v>0</v>
      </c>
      <c r="P71" s="99"/>
      <c r="Q71" s="277">
        <v>2.1379200000000003</v>
      </c>
      <c r="S71" s="277">
        <v>6.1577999999999999</v>
      </c>
      <c r="U71" s="280">
        <v>0.63110999999999995</v>
      </c>
      <c r="V71" s="278"/>
      <c r="W71" s="279">
        <v>0</v>
      </c>
      <c r="X71" s="278"/>
      <c r="Y71" s="277">
        <v>0</v>
      </c>
      <c r="Z71" s="99"/>
      <c r="AA71" s="279">
        <v>0</v>
      </c>
      <c r="AB71" s="278"/>
      <c r="AC71" s="277">
        <v>2.5</v>
      </c>
      <c r="AE71" s="99"/>
      <c r="AF71" s="277">
        <v>13.18416</v>
      </c>
      <c r="AH71" s="99"/>
      <c r="AI71" s="277">
        <v>0</v>
      </c>
      <c r="AK71" s="280">
        <v>0</v>
      </c>
      <c r="AL71" s="278"/>
      <c r="AM71" s="279">
        <v>2.4</v>
      </c>
      <c r="AN71" s="278"/>
      <c r="AO71" s="277">
        <v>1.52</v>
      </c>
      <c r="AP71" s="99"/>
      <c r="AQ71" s="120">
        <v>3.3</v>
      </c>
      <c r="AR71" s="99"/>
      <c r="AS71" s="277">
        <v>0.54</v>
      </c>
      <c r="AT71" s="99"/>
    </row>
    <row r="72" spans="1:46" x14ac:dyDescent="0.35">
      <c r="A72" s="50" t="s">
        <v>1535</v>
      </c>
      <c r="B72" s="120">
        <v>4.2268500000000007</v>
      </c>
      <c r="E72" s="277">
        <v>0</v>
      </c>
      <c r="G72" s="99"/>
      <c r="H72" s="120">
        <v>0</v>
      </c>
      <c r="J72" s="99"/>
      <c r="K72" s="120">
        <v>4.2268500000000007</v>
      </c>
      <c r="N72" s="277">
        <v>0</v>
      </c>
      <c r="P72" s="99"/>
      <c r="Q72" s="277">
        <v>0</v>
      </c>
      <c r="S72" s="277">
        <v>0</v>
      </c>
      <c r="U72" s="280">
        <v>0</v>
      </c>
      <c r="V72" s="278"/>
      <c r="W72" s="279">
        <v>0</v>
      </c>
      <c r="X72" s="278"/>
      <c r="Y72" s="277">
        <v>0</v>
      </c>
      <c r="Z72" s="99"/>
      <c r="AA72" s="279">
        <v>0</v>
      </c>
      <c r="AB72" s="278"/>
      <c r="AC72" s="277">
        <v>0</v>
      </c>
      <c r="AE72" s="99"/>
      <c r="AF72" s="277">
        <v>0</v>
      </c>
      <c r="AH72" s="99"/>
      <c r="AI72" s="277">
        <v>0</v>
      </c>
      <c r="AK72" s="280">
        <v>0</v>
      </c>
      <c r="AL72" s="278"/>
      <c r="AM72" s="279">
        <v>0</v>
      </c>
      <c r="AN72" s="278"/>
      <c r="AO72" s="277">
        <v>0</v>
      </c>
      <c r="AP72" s="99"/>
      <c r="AQ72" s="120">
        <v>0</v>
      </c>
      <c r="AR72" s="99"/>
      <c r="AS72" s="277">
        <v>0</v>
      </c>
      <c r="AT72" s="99"/>
    </row>
    <row r="73" spans="1:46" x14ac:dyDescent="0.35">
      <c r="A73" s="50" t="s">
        <v>1664</v>
      </c>
      <c r="B73" s="120">
        <v>0</v>
      </c>
      <c r="E73" s="277">
        <v>0</v>
      </c>
      <c r="G73" s="99"/>
      <c r="H73" s="120">
        <v>1.7520000000000002</v>
      </c>
      <c r="J73" s="99"/>
      <c r="K73" s="120">
        <v>0</v>
      </c>
      <c r="N73" s="277">
        <v>0</v>
      </c>
      <c r="P73" s="99"/>
      <c r="Q73" s="277">
        <v>1.7339999999999998</v>
      </c>
      <c r="S73" s="277">
        <v>3.1721999999999997</v>
      </c>
      <c r="U73" s="280">
        <v>0.45889000000000008</v>
      </c>
      <c r="V73" s="278"/>
      <c r="W73" s="279">
        <v>0.37</v>
      </c>
      <c r="X73" s="278"/>
      <c r="Y73" s="277">
        <v>4.4000000000000004</v>
      </c>
      <c r="Z73" s="99"/>
      <c r="AA73" s="279">
        <v>0.54</v>
      </c>
      <c r="AB73" s="278"/>
      <c r="AC73" s="277">
        <v>6.9999999999999743E-2</v>
      </c>
      <c r="AE73" s="99"/>
      <c r="AF73" s="277">
        <v>1.5839999999999719E-2</v>
      </c>
      <c r="AH73" s="99"/>
      <c r="AI73" s="277">
        <v>2.4</v>
      </c>
      <c r="AK73" s="280">
        <v>2.4</v>
      </c>
      <c r="AL73" s="278"/>
      <c r="AM73" s="279">
        <v>0</v>
      </c>
      <c r="AN73" s="278"/>
      <c r="AO73" s="277">
        <v>0</v>
      </c>
      <c r="AP73" s="99"/>
      <c r="AQ73" s="120">
        <v>0</v>
      </c>
      <c r="AR73" s="99"/>
      <c r="AS73" s="277">
        <v>0</v>
      </c>
      <c r="AT73" s="99"/>
    </row>
    <row r="74" spans="1:46" x14ac:dyDescent="0.35">
      <c r="A74" s="55" t="s">
        <v>1537</v>
      </c>
      <c r="B74" s="157">
        <v>4.8429852893653811</v>
      </c>
      <c r="C74" s="101"/>
      <c r="D74" s="157">
        <v>1.7807714242575774</v>
      </c>
      <c r="E74" s="237">
        <v>0.1530853910249243</v>
      </c>
      <c r="F74" s="101"/>
      <c r="G74" s="156">
        <v>0.28116491178290176</v>
      </c>
      <c r="H74" s="157">
        <v>13.981499313146628</v>
      </c>
      <c r="I74" s="101"/>
      <c r="J74" s="156">
        <v>1.9270299582903523</v>
      </c>
      <c r="K74" s="157">
        <v>4.8054866275564549</v>
      </c>
      <c r="L74" s="101"/>
      <c r="M74" s="157">
        <v>0.28116491178290176</v>
      </c>
      <c r="N74" s="237">
        <v>45.225526182868066</v>
      </c>
      <c r="O74" s="101"/>
      <c r="P74" s="156">
        <v>1.26110607454023</v>
      </c>
      <c r="Q74" s="237">
        <v>6.1887898636572176</v>
      </c>
      <c r="R74" s="60"/>
      <c r="S74" s="237">
        <v>13.361031262153586</v>
      </c>
      <c r="T74" s="101"/>
      <c r="U74" s="288">
        <v>1.6466166251703576</v>
      </c>
      <c r="V74" s="287"/>
      <c r="W74" s="257">
        <v>0.7668440677845384</v>
      </c>
      <c r="X74" s="287"/>
      <c r="Y74" s="237">
        <v>9.1192267520323487</v>
      </c>
      <c r="Z74" s="60"/>
      <c r="AA74" s="257">
        <v>1.1191778286585157</v>
      </c>
      <c r="AB74" s="287"/>
      <c r="AC74" s="237">
        <v>2.9003172008470206</v>
      </c>
      <c r="AD74" s="101"/>
      <c r="AE74" s="156">
        <v>0.75914526181383446</v>
      </c>
      <c r="AF74" s="237">
        <v>14.563031797880909</v>
      </c>
      <c r="AG74" s="101"/>
      <c r="AH74" s="156">
        <v>3.0365810472553382E-2</v>
      </c>
      <c r="AI74" s="237">
        <v>4.9741236829267361</v>
      </c>
      <c r="AJ74" s="101"/>
      <c r="AK74" s="288">
        <v>4.9741236829267361</v>
      </c>
      <c r="AL74" s="287"/>
      <c r="AM74" s="257">
        <v>2.6450290496911917</v>
      </c>
      <c r="AN74" s="287"/>
      <c r="AO74" s="237">
        <v>1.6751850648044213</v>
      </c>
      <c r="AP74" s="60"/>
      <c r="AQ74" s="157">
        <v>3.6369149433253884</v>
      </c>
      <c r="AR74" s="60"/>
      <c r="AS74" s="237">
        <v>0.59513153618051817</v>
      </c>
      <c r="AT74" s="60"/>
    </row>
    <row r="75" spans="1:46" x14ac:dyDescent="0.35">
      <c r="A75" s="50" t="s">
        <v>1536</v>
      </c>
      <c r="B75" s="145">
        <v>4.8375150355594609</v>
      </c>
      <c r="D75" s="145">
        <v>1.7721141546342845</v>
      </c>
      <c r="E75" s="232">
        <v>0.1523518346394106</v>
      </c>
      <c r="G75" s="144">
        <v>0.27974644199651044</v>
      </c>
      <c r="H75" s="145">
        <v>12.491693886003059</v>
      </c>
      <c r="J75" s="144">
        <v>1.9176130396614373</v>
      </c>
      <c r="K75" s="145">
        <v>4.8000720803534902</v>
      </c>
      <c r="M75" s="145">
        <v>0.27974644199651044</v>
      </c>
      <c r="N75" s="232">
        <v>45.025129226123568</v>
      </c>
      <c r="P75" s="144">
        <v>1.2547438266593456</v>
      </c>
      <c r="Q75" s="232">
        <v>5.4969104398835027</v>
      </c>
      <c r="R75" s="99"/>
      <c r="S75" s="232">
        <v>12.095672771731802</v>
      </c>
      <c r="U75" s="286">
        <v>1.463753411199594</v>
      </c>
      <c r="V75" s="278"/>
      <c r="W75" s="256">
        <v>0.61976197706569403</v>
      </c>
      <c r="X75" s="278"/>
      <c r="Y75" s="232">
        <v>7.3701424299704161</v>
      </c>
      <c r="Z75" s="99"/>
      <c r="AA75" s="256">
        <v>0.90451748004182386</v>
      </c>
      <c r="AB75" s="278"/>
      <c r="AC75" s="232">
        <v>2.870725538121587</v>
      </c>
      <c r="AE75" s="144">
        <v>0.75531539339057796</v>
      </c>
      <c r="AF75" s="232">
        <v>14.547425383259764</v>
      </c>
      <c r="AH75" s="144">
        <v>3.0212615735623127E-2</v>
      </c>
      <c r="AI75" s="232">
        <v>4.020077689074772</v>
      </c>
      <c r="AK75" s="286">
        <v>4.020077689074772</v>
      </c>
      <c r="AL75" s="278"/>
      <c r="AM75" s="256">
        <v>2.6433343413026305</v>
      </c>
      <c r="AN75" s="278"/>
      <c r="AO75" s="232">
        <v>1.674111749491666</v>
      </c>
      <c r="AP75" s="99"/>
      <c r="AQ75" s="145">
        <v>3.6345847192911167</v>
      </c>
      <c r="AR75" s="99"/>
      <c r="AS75" s="232">
        <v>0.59475022679309186</v>
      </c>
      <c r="AT75" s="99"/>
    </row>
    <row r="76" spans="1:46" x14ac:dyDescent="0.35">
      <c r="A76" s="50" t="s">
        <v>1535</v>
      </c>
      <c r="B76" s="145">
        <v>4.2426983167379735</v>
      </c>
      <c r="D76" s="145">
        <v>2.0355604986626571E-2</v>
      </c>
      <c r="E76" s="232">
        <v>1.7690613638870916E-3</v>
      </c>
      <c r="G76" s="144">
        <v>3.3396819130441465E-3</v>
      </c>
      <c r="H76" s="145">
        <v>1.4376801520653917</v>
      </c>
      <c r="J76" s="144">
        <v>2.2145961851023372E-2</v>
      </c>
      <c r="K76" s="145">
        <v>4.2424313222674099</v>
      </c>
      <c r="M76" s="145">
        <v>3.3396819130441465E-3</v>
      </c>
      <c r="N76" s="232">
        <v>0.47033277525014755</v>
      </c>
      <c r="P76" s="144">
        <v>1.4979440787491008E-2</v>
      </c>
      <c r="Q76" s="232">
        <v>1.6706018257851447</v>
      </c>
      <c r="R76" s="99"/>
      <c r="S76" s="232">
        <v>3.0554512360569586</v>
      </c>
      <c r="U76" s="286">
        <v>0.44155873087942155</v>
      </c>
      <c r="V76" s="278"/>
      <c r="W76" s="256">
        <v>0.35515896916477485</v>
      </c>
      <c r="X76" s="278"/>
      <c r="Y76" s="232">
        <v>4.223512065743269</v>
      </c>
      <c r="Z76" s="99"/>
      <c r="AA76" s="256">
        <v>0.5183401171594012</v>
      </c>
      <c r="AB76" s="278"/>
      <c r="AC76" s="232">
        <v>7.1451475480466903E-2</v>
      </c>
      <c r="AE76" s="144">
        <v>9.0171411652191953E-3</v>
      </c>
      <c r="AF76" s="232">
        <v>3.7666433918690123E-2</v>
      </c>
      <c r="AH76" s="144">
        <v>3.606856466087678E-4</v>
      </c>
      <c r="AI76" s="232">
        <v>2.3037338540417829</v>
      </c>
      <c r="AK76" s="286">
        <v>2.3037338540417829</v>
      </c>
      <c r="AL76" s="278"/>
      <c r="AM76" s="256">
        <v>4.0888685480785347E-3</v>
      </c>
      <c r="AN76" s="278"/>
      <c r="AO76" s="232">
        <v>2.5896167471164055E-3</v>
      </c>
      <c r="AP76" s="99"/>
      <c r="AQ76" s="145">
        <v>5.6221942536079849E-3</v>
      </c>
      <c r="AR76" s="99"/>
      <c r="AS76" s="232">
        <v>9.1999542331767036E-4</v>
      </c>
      <c r="AT76" s="99"/>
    </row>
    <row r="77" spans="1:46" x14ac:dyDescent="0.35">
      <c r="A77" s="50" t="s">
        <v>1534</v>
      </c>
      <c r="B77" s="145">
        <v>4.4964190072232749E-2</v>
      </c>
      <c r="D77" s="145">
        <v>0.17425252749676548</v>
      </c>
      <c r="E77" s="232">
        <v>1.3898913575025422E-2</v>
      </c>
      <c r="G77" s="144">
        <v>3.0778720159080491E-2</v>
      </c>
      <c r="H77" s="145">
        <v>3.5234137390049134</v>
      </c>
      <c r="J77" s="144">
        <v>0.19164230435902363</v>
      </c>
      <c r="K77" s="145">
        <v>5.0139174133116304E-2</v>
      </c>
      <c r="M77" s="145">
        <v>3.0778720159080491E-2</v>
      </c>
      <c r="N77" s="232">
        <v>5.5832125836979616</v>
      </c>
      <c r="P77" s="144">
        <v>0.13805147560219369</v>
      </c>
      <c r="Q77" s="232">
        <v>3.5435693639148074</v>
      </c>
      <c r="R77" s="99"/>
      <c r="S77" s="232">
        <v>8.9117569789426589</v>
      </c>
      <c r="U77" s="286">
        <v>1.0046649903694262</v>
      </c>
      <c r="V77" s="278"/>
      <c r="W77" s="256">
        <v>0.25253429349015155</v>
      </c>
      <c r="X77" s="278"/>
      <c r="Y77" s="232">
        <v>3.0031105171801813</v>
      </c>
      <c r="Z77" s="99"/>
      <c r="AA77" s="256">
        <v>0.36856356347211311</v>
      </c>
      <c r="AB77" s="278"/>
      <c r="AC77" s="232">
        <v>2.7868437955948062</v>
      </c>
      <c r="AE77" s="144">
        <v>8.3102544429517117E-2</v>
      </c>
      <c r="AF77" s="232">
        <v>14.455730426410533</v>
      </c>
      <c r="AH77" s="144">
        <v>3.3241017771806947E-3</v>
      </c>
      <c r="AI77" s="232">
        <v>1.6380602820982806</v>
      </c>
      <c r="AK77" s="286">
        <v>1.6380602820982806</v>
      </c>
      <c r="AL77" s="278"/>
      <c r="AM77" s="256">
        <v>2.6295043558722617</v>
      </c>
      <c r="AN77" s="278"/>
      <c r="AO77" s="232">
        <v>1.6653527587190993</v>
      </c>
      <c r="AP77" s="99"/>
      <c r="AQ77" s="145">
        <v>3.6155684893243603</v>
      </c>
      <c r="AR77" s="99"/>
      <c r="AS77" s="232">
        <v>0.59163848007125897</v>
      </c>
      <c r="AT77" s="99"/>
    </row>
    <row r="78" spans="1:46" x14ac:dyDescent="0.35">
      <c r="A78" s="50" t="s">
        <v>1533</v>
      </c>
      <c r="B78" s="142">
        <v>0.54985252874925417</v>
      </c>
      <c r="C78" s="77"/>
      <c r="D78" s="142">
        <v>1.5775060221508925</v>
      </c>
      <c r="E78" s="231">
        <v>0.13668385970049809</v>
      </c>
      <c r="F78" s="77"/>
      <c r="G78" s="141">
        <v>0.24562803992438581</v>
      </c>
      <c r="H78" s="142">
        <v>7.5305999949327553</v>
      </c>
      <c r="I78" s="77"/>
      <c r="J78" s="141">
        <v>1.7038247734513905</v>
      </c>
      <c r="K78" s="142">
        <v>0.50750158395296419</v>
      </c>
      <c r="L78" s="77"/>
      <c r="M78" s="142">
        <v>0.24562803992438581</v>
      </c>
      <c r="N78" s="231">
        <v>38.971583867175454</v>
      </c>
      <c r="O78" s="77"/>
      <c r="P78" s="141">
        <v>1.1017129102696608</v>
      </c>
      <c r="Q78" s="231">
        <v>0.28273925018355128</v>
      </c>
      <c r="R78" s="100"/>
      <c r="S78" s="231">
        <v>0.12846455673218746</v>
      </c>
      <c r="T78" s="77"/>
      <c r="U78" s="292">
        <v>1.7529689950746143E-2</v>
      </c>
      <c r="V78" s="274"/>
      <c r="W78" s="255">
        <v>1.206871441076765E-2</v>
      </c>
      <c r="X78" s="274"/>
      <c r="Y78" s="231">
        <v>0.14351984704696666</v>
      </c>
      <c r="Z78" s="100"/>
      <c r="AA78" s="255">
        <v>1.7613799410309543E-2</v>
      </c>
      <c r="AB78" s="274"/>
      <c r="AC78" s="231">
        <v>1.2430267046314489E-2</v>
      </c>
      <c r="AD78" s="77"/>
      <c r="AE78" s="141">
        <v>0.66319570779584158</v>
      </c>
      <c r="AF78" s="231">
        <v>5.4028522930541306E-2</v>
      </c>
      <c r="AG78" s="77"/>
      <c r="AH78" s="141">
        <v>2.6527828311833666E-2</v>
      </c>
      <c r="AI78" s="231">
        <v>7.828355293470908E-2</v>
      </c>
      <c r="AJ78" s="77"/>
      <c r="AK78" s="292">
        <v>7.828355293470908E-2</v>
      </c>
      <c r="AL78" s="274"/>
      <c r="AM78" s="255">
        <v>9.7411168822900632E-3</v>
      </c>
      <c r="AN78" s="274"/>
      <c r="AO78" s="231">
        <v>6.1693740254503736E-3</v>
      </c>
      <c r="AP78" s="100"/>
      <c r="AQ78" s="142">
        <v>1.3394035713148835E-2</v>
      </c>
      <c r="AR78" s="100"/>
      <c r="AS78" s="231">
        <v>2.1917512985152642E-3</v>
      </c>
      <c r="AT78" s="100"/>
    </row>
    <row r="79" spans="1:46" s="48" customFormat="1" x14ac:dyDescent="0.35">
      <c r="A79" s="290" t="s">
        <v>1532</v>
      </c>
      <c r="B79" s="290">
        <v>27.821999999479022</v>
      </c>
      <c r="C79" s="291"/>
      <c r="D79" s="289">
        <v>33.42591937743839</v>
      </c>
      <c r="E79" s="48">
        <v>3.4240427796528765</v>
      </c>
      <c r="F79" s="44"/>
      <c r="G79" s="48">
        <v>5.3415169386989909</v>
      </c>
      <c r="H79" s="290">
        <v>1365.8294754456858</v>
      </c>
      <c r="I79" s="291"/>
      <c r="J79" s="289">
        <v>36.231499806625486</v>
      </c>
      <c r="K79" s="48">
        <v>25.437408143706946</v>
      </c>
      <c r="L79" s="44"/>
      <c r="M79" s="48">
        <v>5.3415169386989909</v>
      </c>
      <c r="N79" s="290">
        <v>799.8184185456945</v>
      </c>
      <c r="O79" s="291"/>
      <c r="P79" s="289">
        <v>23.95825075020074</v>
      </c>
      <c r="Q79" s="48">
        <v>356.95135351781914</v>
      </c>
      <c r="R79" s="44"/>
      <c r="S79" s="290">
        <v>652.21964194567556</v>
      </c>
      <c r="T79" s="289"/>
      <c r="U79" s="48">
        <v>93.517111184651824</v>
      </c>
      <c r="W79" s="290">
        <v>73.77011101735647</v>
      </c>
      <c r="X79" s="289"/>
      <c r="Y79" s="48">
        <v>877.26618507126625</v>
      </c>
      <c r="Z79" s="43"/>
      <c r="AA79" s="48">
        <v>107.66448634965541</v>
      </c>
      <c r="AC79" s="290">
        <v>21.97503612214599</v>
      </c>
      <c r="AD79" s="291"/>
      <c r="AE79" s="289">
        <v>14.422095734487272</v>
      </c>
      <c r="AF79" s="290">
        <v>45.445184047786505</v>
      </c>
      <c r="AG79" s="291"/>
      <c r="AH79" s="289">
        <v>0.57688382937949101</v>
      </c>
      <c r="AI79" s="48">
        <v>478.50882822069065</v>
      </c>
      <c r="AJ79" s="44"/>
      <c r="AK79" s="290">
        <v>478.50882822069065</v>
      </c>
      <c r="AL79" s="289"/>
      <c r="AM79" s="48">
        <v>7.6977874870808609</v>
      </c>
      <c r="AO79" s="290">
        <v>4.8752654084845455</v>
      </c>
      <c r="AP79" s="289"/>
      <c r="AQ79" s="48">
        <v>10.584457794736185</v>
      </c>
      <c r="AR79" s="43"/>
      <c r="AS79" s="48">
        <v>1.7320021845931939</v>
      </c>
      <c r="AT79" s="43"/>
    </row>
    <row r="80" spans="1:46" ht="13.15" x14ac:dyDescent="0.4">
      <c r="A80" s="178" t="s">
        <v>1663</v>
      </c>
      <c r="B80" s="157"/>
      <c r="C80" s="101"/>
      <c r="D80" s="101"/>
      <c r="E80" s="237"/>
      <c r="F80" s="101"/>
      <c r="G80" s="60"/>
      <c r="H80" s="157"/>
      <c r="I80" s="101"/>
      <c r="J80" s="60"/>
      <c r="K80" s="157"/>
      <c r="L80" s="101"/>
      <c r="M80" s="101"/>
      <c r="N80" s="237"/>
      <c r="O80" s="101"/>
      <c r="P80" s="60"/>
      <c r="Q80" s="237"/>
      <c r="R80" s="60"/>
      <c r="S80" s="237"/>
      <c r="T80" s="101"/>
      <c r="U80" s="288"/>
      <c r="V80" s="287"/>
      <c r="W80" s="257"/>
      <c r="X80" s="287"/>
      <c r="Y80" s="237"/>
      <c r="Z80" s="60"/>
      <c r="AA80" s="257"/>
      <c r="AB80" s="287"/>
      <c r="AC80" s="237"/>
      <c r="AD80" s="101"/>
      <c r="AE80" s="60"/>
      <c r="AF80" s="237"/>
      <c r="AG80" s="101"/>
      <c r="AH80" s="60"/>
      <c r="AI80" s="237"/>
      <c r="AJ80" s="101"/>
      <c r="AK80" s="288"/>
      <c r="AL80" s="287"/>
      <c r="AM80" s="257"/>
      <c r="AN80" s="287"/>
      <c r="AO80" s="237"/>
      <c r="AP80" s="60"/>
      <c r="AQ80" s="157"/>
      <c r="AR80" s="60"/>
      <c r="AS80" s="237"/>
      <c r="AT80" s="60"/>
    </row>
    <row r="81" spans="1:46" x14ac:dyDescent="0.35">
      <c r="A81" s="50" t="s">
        <v>1525</v>
      </c>
      <c r="B81" s="145">
        <v>79.148356913526996</v>
      </c>
      <c r="D81" s="145">
        <v>77.850163784154844</v>
      </c>
      <c r="E81" s="232">
        <v>3.1972694194589106</v>
      </c>
      <c r="G81" s="144">
        <v>8.0294391683301622</v>
      </c>
      <c r="H81" s="145">
        <v>709.01340534040071</v>
      </c>
      <c r="J81" s="144">
        <v>80.227290990516281</v>
      </c>
      <c r="K81" s="145">
        <v>77.674231900299404</v>
      </c>
      <c r="M81" s="145">
        <v>8.0294391683301622</v>
      </c>
      <c r="N81" s="232">
        <v>622.33621242395509</v>
      </c>
      <c r="O81" s="109">
        <v>2.4</v>
      </c>
      <c r="P81" s="144">
        <v>47.233403289053619</v>
      </c>
      <c r="Q81" s="232">
        <v>54.987117338561703</v>
      </c>
      <c r="R81" s="99"/>
      <c r="S81" s="232">
        <v>637.07557840063021</v>
      </c>
      <c r="U81" s="286">
        <v>15.025756999152062</v>
      </c>
      <c r="V81" s="278"/>
      <c r="W81" s="256">
        <v>5.5704008230317843</v>
      </c>
      <c r="X81" s="278"/>
      <c r="Y81" s="232">
        <v>66.242604381999598</v>
      </c>
      <c r="Z81" s="99"/>
      <c r="AA81" s="256">
        <v>8.1297741741544964</v>
      </c>
      <c r="AB81" s="278"/>
      <c r="AC81" s="232">
        <v>276.85794137678772</v>
      </c>
      <c r="AE81" s="144">
        <v>21.679485754491441</v>
      </c>
      <c r="AF81" s="232">
        <v>1454.7365304150849</v>
      </c>
      <c r="AH81" s="144">
        <v>0.8671794301796576</v>
      </c>
      <c r="AI81" s="232">
        <v>36.132329662908866</v>
      </c>
      <c r="AK81" s="286">
        <v>36.132329662908866</v>
      </c>
      <c r="AL81" s="278"/>
      <c r="AM81" s="256">
        <v>30.867918491154786</v>
      </c>
      <c r="AN81" s="278"/>
      <c r="AO81" s="232">
        <v>58.065873711064704</v>
      </c>
      <c r="AP81" s="99"/>
      <c r="AQ81" s="145">
        <v>87.469907925337836</v>
      </c>
      <c r="AR81" s="99"/>
      <c r="AS81" s="232">
        <v>6.9452816605098278</v>
      </c>
      <c r="AT81" s="99"/>
    </row>
    <row r="82" spans="1:46" x14ac:dyDescent="0.35">
      <c r="A82" s="50" t="s">
        <v>1524</v>
      </c>
      <c r="B82" s="145">
        <v>462.95656351150262</v>
      </c>
      <c r="D82" s="145">
        <v>202.04476747969804</v>
      </c>
      <c r="E82" s="232">
        <v>78.045359882545483</v>
      </c>
      <c r="G82" s="144">
        <v>24.313036620639512</v>
      </c>
      <c r="H82" s="145">
        <v>2619.9532809617772</v>
      </c>
      <c r="J82" s="144">
        <v>211.4883114326239</v>
      </c>
      <c r="K82" s="145">
        <v>456.97911778786283</v>
      </c>
      <c r="M82" s="145">
        <v>24.313036620639512</v>
      </c>
      <c r="N82" s="232">
        <v>3487.2766788437762</v>
      </c>
      <c r="O82" s="109">
        <v>19</v>
      </c>
      <c r="P82" s="144">
        <v>145.14139377992623</v>
      </c>
      <c r="Q82" s="232">
        <v>198.71586670844675</v>
      </c>
      <c r="R82" s="99"/>
      <c r="S82" s="232">
        <v>612.5594398306431</v>
      </c>
      <c r="U82" s="286">
        <v>53.49702655773504</v>
      </c>
      <c r="V82" s="278"/>
      <c r="W82" s="256">
        <v>15.554964989824192</v>
      </c>
      <c r="X82" s="278"/>
      <c r="Y82" s="232">
        <v>184.97796204115258</v>
      </c>
      <c r="Z82" s="99"/>
      <c r="AA82" s="256">
        <v>22.701840795959637</v>
      </c>
      <c r="AB82" s="278"/>
      <c r="AC82" s="232">
        <v>207.91357019093687</v>
      </c>
      <c r="AE82" s="144">
        <v>65.645198875726663</v>
      </c>
      <c r="AF82" s="232">
        <v>1081.612727857882</v>
      </c>
      <c r="AH82" s="144">
        <v>2.6258079550290665</v>
      </c>
      <c r="AI82" s="232">
        <v>100.89707020426503</v>
      </c>
      <c r="AK82" s="286">
        <v>100.89707020426503</v>
      </c>
      <c r="AL82" s="278"/>
      <c r="AM82" s="256">
        <v>130.07590941757996</v>
      </c>
      <c r="AN82" s="278"/>
      <c r="AO82" s="232">
        <v>93.364017297800658</v>
      </c>
      <c r="AP82" s="99"/>
      <c r="AQ82" s="145">
        <v>191.69335544917246</v>
      </c>
      <c r="AR82" s="99"/>
      <c r="AS82" s="232">
        <v>29.267079618955499</v>
      </c>
      <c r="AT82" s="99"/>
    </row>
    <row r="83" spans="1:46" x14ac:dyDescent="0.35">
      <c r="A83" s="50" t="s">
        <v>1523</v>
      </c>
      <c r="B83" s="145">
        <v>321.19440852188933</v>
      </c>
      <c r="D83" s="145">
        <v>1328.3602661370237</v>
      </c>
      <c r="E83" s="232">
        <v>231.888605910563</v>
      </c>
      <c r="G83" s="144">
        <v>58.562654228677474</v>
      </c>
      <c r="H83" s="145">
        <v>4951.4255153102858</v>
      </c>
      <c r="J83" s="144">
        <v>1294.9937801070364</v>
      </c>
      <c r="K83" s="145">
        <v>295.25167970927589</v>
      </c>
      <c r="M83" s="145">
        <v>58.562654228677474</v>
      </c>
      <c r="N83" s="232">
        <v>8982.1231003054891</v>
      </c>
      <c r="O83" s="109">
        <v>115</v>
      </c>
      <c r="P83" s="144">
        <v>847.2789360316948</v>
      </c>
      <c r="Q83" s="232">
        <v>361.7356990917242</v>
      </c>
      <c r="R83" s="99"/>
      <c r="S83" s="232">
        <v>1102.9581484122664</v>
      </c>
      <c r="U83" s="286">
        <v>91.554579706494565</v>
      </c>
      <c r="V83" s="278"/>
      <c r="W83" s="256">
        <v>34.935145932606027</v>
      </c>
      <c r="X83" s="278"/>
      <c r="Y83" s="232">
        <v>415.4449786580177</v>
      </c>
      <c r="Z83" s="99"/>
      <c r="AA83" s="256">
        <v>50.986429198938531</v>
      </c>
      <c r="AB83" s="278"/>
      <c r="AC83" s="232">
        <v>356.64776445978873</v>
      </c>
      <c r="AE83" s="144">
        <v>158.11916641742917</v>
      </c>
      <c r="AF83" s="232">
        <v>1847.4805766818117</v>
      </c>
      <c r="AH83" s="144">
        <v>6.3247666566971672</v>
      </c>
      <c r="AI83" s="232">
        <v>226.60635199528235</v>
      </c>
      <c r="AK83" s="286">
        <v>226.60635199528235</v>
      </c>
      <c r="AL83" s="278"/>
      <c r="AM83" s="256">
        <v>183.39687602552934</v>
      </c>
      <c r="AN83" s="278"/>
      <c r="AO83" s="232">
        <v>141.28607481616859</v>
      </c>
      <c r="AP83" s="99"/>
      <c r="AQ83" s="145">
        <v>281.55390453510284</v>
      </c>
      <c r="AR83" s="99"/>
      <c r="AS83" s="232">
        <v>41.264297105744106</v>
      </c>
      <c r="AT83" s="99"/>
    </row>
    <row r="84" spans="1:46" x14ac:dyDescent="0.35">
      <c r="A84" s="50" t="s">
        <v>1522</v>
      </c>
      <c r="B84" s="145">
        <v>138.20634912489197</v>
      </c>
      <c r="C84" s="109">
        <v>17.5</v>
      </c>
      <c r="D84" s="145">
        <v>102.95845954518661</v>
      </c>
      <c r="E84" s="232">
        <v>7.5350720224969292</v>
      </c>
      <c r="G84" s="144">
        <v>2.2148468702843545</v>
      </c>
      <c r="H84" s="145">
        <v>683.83101770660164</v>
      </c>
      <c r="I84" s="109">
        <v>58.3</v>
      </c>
      <c r="J84" s="144">
        <v>98.181887625987613</v>
      </c>
      <c r="K84" s="145">
        <v>137.09574936572511</v>
      </c>
      <c r="L84" s="109">
        <v>17.5</v>
      </c>
      <c r="M84" s="145">
        <v>2.2148468702843545</v>
      </c>
      <c r="N84" s="232">
        <v>1510.1122400040595</v>
      </c>
      <c r="O84" s="109">
        <v>970</v>
      </c>
      <c r="P84" s="144">
        <v>26.352322011412255</v>
      </c>
      <c r="Q84" s="232">
        <v>45.859690049930535</v>
      </c>
      <c r="R84" s="99"/>
      <c r="S84" s="232">
        <v>531.32507155627991</v>
      </c>
      <c r="U84" s="286">
        <v>10.337883809318964</v>
      </c>
      <c r="V84" s="278"/>
      <c r="W84" s="256">
        <v>6.3096395321057788</v>
      </c>
      <c r="X84" s="278"/>
      <c r="Y84" s="232">
        <v>75.033551192609266</v>
      </c>
      <c r="Z84" s="99"/>
      <c r="AA84" s="256">
        <v>9.2086631009111368</v>
      </c>
      <c r="AB84" s="278"/>
      <c r="AC84" s="232">
        <v>227.37850604493713</v>
      </c>
      <c r="AE84" s="144">
        <v>5.9800865497677567</v>
      </c>
      <c r="AF84" s="232">
        <v>1193.0927075690417</v>
      </c>
      <c r="AH84" s="144">
        <v>0.2392034619907103</v>
      </c>
      <c r="AI84" s="232">
        <v>40.927391559605049</v>
      </c>
      <c r="AK84" s="286">
        <v>40.927391559605049</v>
      </c>
      <c r="AL84" s="278"/>
      <c r="AM84" s="256">
        <v>9.5541988394706863</v>
      </c>
      <c r="AN84" s="278"/>
      <c r="AO84" s="232">
        <v>40.233026198331437</v>
      </c>
      <c r="AP84" s="99"/>
      <c r="AQ84" s="145">
        <v>53.096789404272194</v>
      </c>
      <c r="AR84" s="99"/>
      <c r="AS84" s="232">
        <v>2.1496947388809047</v>
      </c>
      <c r="AT84" s="99"/>
    </row>
    <row r="85" spans="1:46" x14ac:dyDescent="0.35">
      <c r="A85" s="50" t="s">
        <v>1521</v>
      </c>
      <c r="B85" s="145">
        <v>99.095889206230567</v>
      </c>
      <c r="D85" s="145">
        <v>91.245599598617304</v>
      </c>
      <c r="E85" s="232">
        <v>7.3680557437127749</v>
      </c>
      <c r="G85" s="144">
        <v>1.2339888786782593</v>
      </c>
      <c r="H85" s="145">
        <v>593.21859696981517</v>
      </c>
      <c r="J85" s="144">
        <v>86.325500659524437</v>
      </c>
      <c r="K85" s="145">
        <v>98.120059436673486</v>
      </c>
      <c r="M85" s="145">
        <v>1.2339888786782593</v>
      </c>
      <c r="N85" s="232">
        <v>876.33518513489992</v>
      </c>
      <c r="O85" s="120"/>
      <c r="P85" s="144">
        <v>24.194762410659088</v>
      </c>
      <c r="Q85" s="232">
        <v>24.992476543350229</v>
      </c>
      <c r="R85" s="99"/>
      <c r="S85" s="232">
        <v>500.45271732096302</v>
      </c>
      <c r="U85" s="286">
        <v>5.8853850716084679</v>
      </c>
      <c r="V85" s="278"/>
      <c r="W85" s="256">
        <v>2.7460570564941129</v>
      </c>
      <c r="X85" s="278"/>
      <c r="Y85" s="232">
        <v>32.655813644794854</v>
      </c>
      <c r="Z85" s="99"/>
      <c r="AA85" s="256">
        <v>4.0077589473157325</v>
      </c>
      <c r="AB85" s="278"/>
      <c r="AC85" s="232">
        <v>226.57442595639537</v>
      </c>
      <c r="AE85" s="144">
        <v>3.3317699724313008</v>
      </c>
      <c r="AF85" s="232">
        <v>1192.2551577758818</v>
      </c>
      <c r="AH85" s="144">
        <v>0.13327079889725202</v>
      </c>
      <c r="AI85" s="232">
        <v>17.81226198806992</v>
      </c>
      <c r="AK85" s="286">
        <v>17.81226198806992</v>
      </c>
      <c r="AL85" s="278"/>
      <c r="AM85" s="256">
        <v>9.4295055824736043</v>
      </c>
      <c r="AN85" s="278"/>
      <c r="AO85" s="232">
        <v>40.154053802233285</v>
      </c>
      <c r="AP85" s="99"/>
      <c r="AQ85" s="145">
        <v>52.925336175901208</v>
      </c>
      <c r="AR85" s="99"/>
      <c r="AS85" s="232">
        <v>2.1216387560565608</v>
      </c>
      <c r="AT85" s="99"/>
    </row>
    <row r="86" spans="1:46" x14ac:dyDescent="0.35">
      <c r="A86" s="50" t="s">
        <v>1520</v>
      </c>
      <c r="B86" s="145">
        <v>399.60528180737583</v>
      </c>
      <c r="D86" s="145">
        <v>759.63284745992758</v>
      </c>
      <c r="E86" s="232">
        <v>3.0608773342053075</v>
      </c>
      <c r="G86" s="144">
        <v>3.6152207629911071</v>
      </c>
      <c r="H86" s="145">
        <v>950.49908938824478</v>
      </c>
      <c r="J86" s="144">
        <v>712.39772931802406</v>
      </c>
      <c r="K86" s="145">
        <v>396.24895333346279</v>
      </c>
      <c r="M86" s="145">
        <v>3.6152207629911071</v>
      </c>
      <c r="N86" s="232">
        <v>22418.923796806346</v>
      </c>
      <c r="O86" s="109">
        <v>0.76</v>
      </c>
      <c r="P86" s="144">
        <v>16.213576972124152</v>
      </c>
      <c r="Q86" s="232">
        <v>615.2214883331344</v>
      </c>
      <c r="R86" s="99"/>
      <c r="S86" s="232">
        <v>1042.2023346714318</v>
      </c>
      <c r="U86" s="286">
        <v>125.16678657989164</v>
      </c>
      <c r="V86" s="278"/>
      <c r="W86" s="256">
        <v>94.873175784090364</v>
      </c>
      <c r="X86" s="278"/>
      <c r="Y86" s="232">
        <v>1128.2215498648586</v>
      </c>
      <c r="Z86" s="99"/>
      <c r="AA86" s="256">
        <v>138.46355384705083</v>
      </c>
      <c r="AB86" s="278"/>
      <c r="AC86" s="232">
        <v>121.99097229024964</v>
      </c>
      <c r="AE86" s="144">
        <v>9.7610960600759888</v>
      </c>
      <c r="AF86" s="232">
        <v>552.74411101517921</v>
      </c>
      <c r="AH86" s="144">
        <v>0.39044384240303953</v>
      </c>
      <c r="AI86" s="232">
        <v>615.39357265355909</v>
      </c>
      <c r="AK86" s="286">
        <v>615.39357265355909</v>
      </c>
      <c r="AL86" s="278"/>
      <c r="AM86" s="256">
        <v>28.524870841450955</v>
      </c>
      <c r="AN86" s="278"/>
      <c r="AO86" s="232">
        <v>29.815614401688013</v>
      </c>
      <c r="AP86" s="99"/>
      <c r="AQ86" s="145">
        <v>52.957620092651219</v>
      </c>
      <c r="AR86" s="99"/>
      <c r="AS86" s="232">
        <v>6.4180959393264656</v>
      </c>
      <c r="AT86" s="99"/>
    </row>
    <row r="87" spans="1:46" x14ac:dyDescent="0.35">
      <c r="A87" s="50" t="s">
        <v>1519</v>
      </c>
      <c r="B87" s="145">
        <v>4.7037978327632182</v>
      </c>
      <c r="D87" s="145">
        <v>13.472890633841264</v>
      </c>
      <c r="E87" s="232">
        <v>5.3674358220184004</v>
      </c>
      <c r="G87" s="144">
        <v>0.13167226146445046</v>
      </c>
      <c r="H87" s="145">
        <v>224.66048399031126</v>
      </c>
      <c r="J87" s="144">
        <v>12.698789056177432</v>
      </c>
      <c r="K87" s="145">
        <v>4.56236580781498</v>
      </c>
      <c r="M87" s="145">
        <v>0.13167226146445046</v>
      </c>
      <c r="N87" s="232">
        <v>206.55444791824911</v>
      </c>
      <c r="O87" s="120"/>
      <c r="P87" s="144">
        <v>2.1709136313872381</v>
      </c>
      <c r="Q87" s="232">
        <v>2.7443359623498207</v>
      </c>
      <c r="R87" s="99"/>
      <c r="S87" s="232">
        <v>80.816199915635295</v>
      </c>
      <c r="U87" s="286">
        <v>0.70058196551960139</v>
      </c>
      <c r="V87" s="278"/>
      <c r="W87" s="256">
        <v>0.20339834427958314</v>
      </c>
      <c r="X87" s="278"/>
      <c r="Y87" s="232">
        <v>2.4187911211626103</v>
      </c>
      <c r="Z87" s="99"/>
      <c r="AA87" s="256">
        <v>0.29685163759722943</v>
      </c>
      <c r="AB87" s="278"/>
      <c r="AC87" s="232">
        <v>37.492756117181429</v>
      </c>
      <c r="AE87" s="144">
        <v>0.3555151059540162</v>
      </c>
      <c r="AF87" s="232">
        <v>197.52997120396302</v>
      </c>
      <c r="AH87" s="144">
        <v>1.4220604238160649E-2</v>
      </c>
      <c r="AI87" s="232">
        <v>1.319340611543242</v>
      </c>
      <c r="AK87" s="286">
        <v>1.319340611543242</v>
      </c>
      <c r="AL87" s="278"/>
      <c r="AM87" s="256">
        <v>1.7048763353709575</v>
      </c>
      <c r="AN87" s="278"/>
      <c r="AO87" s="232">
        <v>6.7197905564016063</v>
      </c>
      <c r="AP87" s="99"/>
      <c r="AQ87" s="145">
        <v>8.9375663511350663</v>
      </c>
      <c r="AR87" s="99"/>
      <c r="AS87" s="232">
        <v>0.38359717545846544</v>
      </c>
      <c r="AT87" s="99"/>
    </row>
    <row r="88" spans="1:46" x14ac:dyDescent="0.35">
      <c r="A88" s="50" t="s">
        <v>1518</v>
      </c>
      <c r="B88" s="145">
        <v>8.9540120050261294</v>
      </c>
      <c r="D88" s="145">
        <v>34.489998441345755</v>
      </c>
      <c r="E88" s="232">
        <v>1.6544238888225298</v>
      </c>
      <c r="G88" s="144">
        <v>0.23741307283260504</v>
      </c>
      <c r="H88" s="145">
        <v>216.17912814235567</v>
      </c>
      <c r="J88" s="144">
        <v>32.414409047228588</v>
      </c>
      <c r="K88" s="145">
        <v>8.5596185971214034</v>
      </c>
      <c r="M88" s="145">
        <v>0.23741307283260504</v>
      </c>
      <c r="N88" s="232">
        <v>147.01038714844572</v>
      </c>
      <c r="O88" s="120"/>
      <c r="P88" s="144">
        <v>19.647778614725734</v>
      </c>
      <c r="Q88" s="232">
        <v>6.0334851669769947</v>
      </c>
      <c r="R88" s="99"/>
      <c r="S88" s="232">
        <v>208.02988655205891</v>
      </c>
      <c r="U88" s="286">
        <v>1.6349197697492994</v>
      </c>
      <c r="V88" s="278"/>
      <c r="W88" s="256">
        <v>0.47750098439388772</v>
      </c>
      <c r="X88" s="278"/>
      <c r="Y88" s="232">
        <v>5.6783900846840707</v>
      </c>
      <c r="Z88" s="99"/>
      <c r="AA88" s="256">
        <v>0.69689332857486319</v>
      </c>
      <c r="AB88" s="278"/>
      <c r="AC88" s="232">
        <v>96.768278536238711</v>
      </c>
      <c r="AE88" s="144">
        <v>0.64101529664803369</v>
      </c>
      <c r="AF88" s="232">
        <v>509.86741667744678</v>
      </c>
      <c r="AH88" s="144">
        <v>2.5640611865921346E-2</v>
      </c>
      <c r="AI88" s="232">
        <v>3.0973036825549474</v>
      </c>
      <c r="AK88" s="286">
        <v>3.0973036825549474</v>
      </c>
      <c r="AL88" s="278"/>
      <c r="AM88" s="256">
        <v>3.965213291677645</v>
      </c>
      <c r="AN88" s="278"/>
      <c r="AO88" s="232">
        <v>17.141212132195843</v>
      </c>
      <c r="AP88" s="99"/>
      <c r="AQ88" s="145">
        <v>22.554948124056761</v>
      </c>
      <c r="AR88" s="99"/>
      <c r="AS88" s="232">
        <v>0.89217299062747024</v>
      </c>
      <c r="AT88" s="99"/>
    </row>
    <row r="89" spans="1:46" x14ac:dyDescent="0.35">
      <c r="A89" s="50" t="s">
        <v>1531</v>
      </c>
      <c r="B89" s="145">
        <v>673.46132817998716</v>
      </c>
      <c r="D89" s="145">
        <v>190.24873864653148</v>
      </c>
      <c r="E89" s="232">
        <v>14.567777578561554</v>
      </c>
      <c r="G89" s="144">
        <v>31.705066629655718</v>
      </c>
      <c r="H89" s="145">
        <v>1794.6625182406542</v>
      </c>
      <c r="J89" s="144">
        <v>207.44511280289279</v>
      </c>
      <c r="K89" s="145">
        <v>670.56202048486807</v>
      </c>
      <c r="M89" s="145">
        <v>31.705066629655718</v>
      </c>
      <c r="N89" s="232">
        <v>4380.9853643728848</v>
      </c>
      <c r="P89" s="144">
        <v>130.69462769996125</v>
      </c>
      <c r="Q89" s="232">
        <v>958.35328419736709</v>
      </c>
      <c r="R89" s="99"/>
      <c r="S89" s="232">
        <v>2220.7340897510098</v>
      </c>
      <c r="U89" s="286">
        <v>262.21781387755323</v>
      </c>
      <c r="V89" s="278"/>
      <c r="W89" s="256">
        <v>98.399309000755466</v>
      </c>
      <c r="X89" s="278"/>
      <c r="Y89" s="232">
        <v>1170.153944873849</v>
      </c>
      <c r="Z89" s="99"/>
      <c r="AA89" s="256">
        <v>143.60980232542693</v>
      </c>
      <c r="AB89" s="278"/>
      <c r="AC89" s="232">
        <v>578.37754802708241</v>
      </c>
      <c r="AE89" s="144">
        <v>85.603679900070418</v>
      </c>
      <c r="AF89" s="232">
        <v>2956.206427788482</v>
      </c>
      <c r="AH89" s="144">
        <v>3.4241471960028167</v>
      </c>
      <c r="AI89" s="232">
        <v>638.2657881130084</v>
      </c>
      <c r="AK89" s="286">
        <v>638.2657881130084</v>
      </c>
      <c r="AL89" s="278"/>
      <c r="AM89" s="256">
        <v>533.075004038835</v>
      </c>
      <c r="AN89" s="278"/>
      <c r="AO89" s="232">
        <v>338.3215772245955</v>
      </c>
      <c r="AP89" s="99"/>
      <c r="AQ89" s="145">
        <v>733.80511055339809</v>
      </c>
      <c r="AR89" s="99"/>
      <c r="AS89" s="232">
        <v>119.94187590873788</v>
      </c>
      <c r="AT89" s="99"/>
    </row>
    <row r="90" spans="1:46" x14ac:dyDescent="0.35">
      <c r="A90" s="50" t="s">
        <v>1530</v>
      </c>
      <c r="B90" s="145">
        <v>0.95877083655209394</v>
      </c>
      <c r="D90" s="145">
        <v>1.4893041345366107</v>
      </c>
      <c r="E90" s="232">
        <v>0.11479941690670305</v>
      </c>
      <c r="G90" s="144">
        <v>8.7860069934401458E-2</v>
      </c>
      <c r="H90" s="145">
        <v>16.95578197754066</v>
      </c>
      <c r="J90" s="144">
        <v>1.4728186520814393</v>
      </c>
      <c r="K90" s="145">
        <v>0.9253278662537463</v>
      </c>
      <c r="M90" s="145">
        <v>8.7860069934401458E-2</v>
      </c>
      <c r="N90" s="232">
        <v>76.545438703292817</v>
      </c>
      <c r="P90" s="144">
        <v>1.9185264446599952</v>
      </c>
      <c r="Q90" s="232">
        <v>8.7609196555299658</v>
      </c>
      <c r="R90" s="99"/>
      <c r="S90" s="232">
        <v>16.246708508082222</v>
      </c>
      <c r="U90" s="286">
        <v>2.3555241370593563</v>
      </c>
      <c r="V90" s="278"/>
      <c r="W90" s="256">
        <v>0.79677978285851181</v>
      </c>
      <c r="X90" s="278"/>
      <c r="Y90" s="232">
        <v>9.4752190393985192</v>
      </c>
      <c r="Z90" s="99"/>
      <c r="AA90" s="256">
        <v>1.1628677911989092</v>
      </c>
      <c r="AB90" s="278"/>
      <c r="AC90" s="232">
        <v>3.6920855280003719</v>
      </c>
      <c r="AE90" s="144">
        <v>0.23722218882288393</v>
      </c>
      <c r="AF90" s="232">
        <v>18.709966025248086</v>
      </c>
      <c r="AH90" s="144">
        <v>9.4888875529153573E-3</v>
      </c>
      <c r="AI90" s="232">
        <v>5.1683012942173736</v>
      </c>
      <c r="AK90" s="286">
        <v>5.1683012942173736</v>
      </c>
      <c r="AL90" s="278"/>
      <c r="AM90" s="256">
        <v>5.1996896706422717</v>
      </c>
      <c r="AN90" s="278"/>
      <c r="AO90" s="232">
        <v>2.9967367914067715</v>
      </c>
      <c r="AP90" s="99"/>
      <c r="AQ90" s="145">
        <v>6.803073297133122</v>
      </c>
      <c r="AR90" s="99"/>
      <c r="AS90" s="232">
        <v>1.1699301758945113</v>
      </c>
      <c r="AT90" s="99"/>
    </row>
    <row r="91" spans="1:46" x14ac:dyDescent="0.35">
      <c r="A91" s="46" t="s">
        <v>1529</v>
      </c>
      <c r="B91" s="44">
        <v>472445.19006707682</v>
      </c>
      <c r="C91" s="285">
        <v>127273</v>
      </c>
      <c r="D91" s="44">
        <v>140227.34344777162</v>
      </c>
      <c r="E91" s="45">
        <v>11633.012520449454</v>
      </c>
      <c r="F91" s="77"/>
      <c r="G91" s="43">
        <v>21527.748574548044</v>
      </c>
      <c r="H91" s="44">
        <v>947668.5104566341</v>
      </c>
      <c r="I91" s="77"/>
      <c r="J91" s="43">
        <v>151167.12602605487</v>
      </c>
      <c r="K91" s="44">
        <v>469572.128870001</v>
      </c>
      <c r="L91" s="285">
        <v>127273</v>
      </c>
      <c r="M91" s="44">
        <v>21527.748574548044</v>
      </c>
      <c r="N91" s="45">
        <v>3699423.0426280871</v>
      </c>
      <c r="O91" s="77"/>
      <c r="P91" s="43">
        <v>96498.166233437543</v>
      </c>
      <c r="Q91" s="45">
        <v>401518.34511342924</v>
      </c>
      <c r="R91" s="43"/>
      <c r="S91" s="45">
        <v>843234.4970588095</v>
      </c>
      <c r="T91" s="285">
        <v>483505</v>
      </c>
      <c r="U91" s="284">
        <v>105251.27973631927</v>
      </c>
      <c r="V91" s="274"/>
      <c r="W91" s="260">
        <v>51554.893961305519</v>
      </c>
      <c r="X91" s="274"/>
      <c r="Y91" s="45">
        <v>613085.22548579541</v>
      </c>
      <c r="Z91" s="100"/>
      <c r="AA91" s="260">
        <v>75242.277673256714</v>
      </c>
      <c r="AB91" s="274"/>
      <c r="AC91" s="45">
        <v>172515.68179172016</v>
      </c>
      <c r="AD91" s="285">
        <v>505777.11051316699</v>
      </c>
      <c r="AE91" s="43">
        <v>58124.921151279726</v>
      </c>
      <c r="AF91" s="45">
        <v>860559.48736212135</v>
      </c>
      <c r="AG91" s="285">
        <v>110401.871880098</v>
      </c>
      <c r="AH91" s="43">
        <v>2324.9968460511891</v>
      </c>
      <c r="AI91" s="45">
        <v>334410.122992252</v>
      </c>
      <c r="AJ91" s="77"/>
      <c r="AK91" s="284">
        <v>334410.122992252</v>
      </c>
      <c r="AL91" s="274"/>
      <c r="AM91" s="260">
        <v>157097.19387626831</v>
      </c>
      <c r="AN91" s="274"/>
      <c r="AO91" s="45">
        <v>99355.643567236606</v>
      </c>
      <c r="AP91" s="283">
        <v>342143.99999999994</v>
      </c>
      <c r="AQ91" s="44">
        <v>215845.85919086894</v>
      </c>
      <c r="AR91" s="283">
        <v>1149081.9029787376</v>
      </c>
      <c r="AS91" s="45">
        <v>35346.868622160378</v>
      </c>
      <c r="AT91" s="100"/>
    </row>
    <row r="92" spans="1:46" ht="13.15" x14ac:dyDescent="0.4">
      <c r="A92" s="238" t="s">
        <v>1662</v>
      </c>
      <c r="E92" s="59"/>
      <c r="G92" s="99"/>
      <c r="J92" s="99"/>
      <c r="N92" s="59"/>
      <c r="P92" s="99"/>
      <c r="Q92" s="59"/>
      <c r="R92" s="99"/>
      <c r="S92" s="59"/>
      <c r="U92" s="282"/>
      <c r="V92" s="278"/>
      <c r="W92" s="281"/>
      <c r="X92" s="278"/>
      <c r="Y92" s="59"/>
      <c r="Z92" s="99"/>
      <c r="AA92" s="281"/>
      <c r="AB92" s="278"/>
      <c r="AC92" s="59"/>
      <c r="AE92" s="99"/>
      <c r="AF92" s="59"/>
      <c r="AH92" s="99"/>
      <c r="AI92" s="59"/>
      <c r="AK92" s="282"/>
      <c r="AL92" s="278"/>
      <c r="AM92" s="281"/>
      <c r="AN92" s="278"/>
      <c r="AO92" s="59"/>
      <c r="AP92" s="99"/>
      <c r="AR92" s="99"/>
      <c r="AS92" s="59"/>
      <c r="AT92" s="99"/>
    </row>
    <row r="93" spans="1:46" x14ac:dyDescent="0.35">
      <c r="A93" s="50" t="s">
        <v>1525</v>
      </c>
      <c r="B93" s="120">
        <v>1.2428481940350296</v>
      </c>
      <c r="D93" s="145">
        <v>3.8405214094067706</v>
      </c>
      <c r="E93" s="277">
        <v>0.39350971423432723</v>
      </c>
      <c r="G93" s="144">
        <v>0.70956344713021224</v>
      </c>
      <c r="H93" s="120">
        <v>21.156531866949745</v>
      </c>
      <c r="J93" s="144">
        <v>4.2531964428932776</v>
      </c>
      <c r="K93" s="120">
        <v>1.0511565093181925</v>
      </c>
      <c r="M93" s="145">
        <v>0.70956344713021224</v>
      </c>
      <c r="N93" s="277">
        <v>69.823776074882986</v>
      </c>
      <c r="P93" s="144">
        <v>3.1825976000111726</v>
      </c>
      <c r="Q93" s="277">
        <v>3.4769302507113835</v>
      </c>
      <c r="R93" s="99"/>
      <c r="S93" s="277">
        <v>7.0928047368659133</v>
      </c>
      <c r="U93" s="280">
        <v>0.8703321455161519</v>
      </c>
      <c r="V93" s="278"/>
      <c r="W93" s="279">
        <v>0.3966112073484423</v>
      </c>
      <c r="X93" s="278"/>
      <c r="Y93" s="277">
        <v>4.7164576009003953</v>
      </c>
      <c r="Z93" s="99"/>
      <c r="AA93" s="279">
        <v>0.57883797829232131</v>
      </c>
      <c r="AB93" s="278"/>
      <c r="AC93" s="277">
        <v>1.5741304924656596</v>
      </c>
      <c r="AE93" s="144">
        <v>1.9158213072515733</v>
      </c>
      <c r="AF93" s="277">
        <v>7.9227075372322009</v>
      </c>
      <c r="AH93" s="144">
        <v>7.6632852290062933E-2</v>
      </c>
      <c r="AI93" s="277">
        <v>2.5726132368547607</v>
      </c>
      <c r="AK93" s="280">
        <v>2.5726132368547607</v>
      </c>
      <c r="AL93" s="278"/>
      <c r="AM93" s="279">
        <v>1.4391321021351002</v>
      </c>
      <c r="AN93" s="278"/>
      <c r="AO93" s="277">
        <v>0.91145033135223019</v>
      </c>
      <c r="AP93" s="99"/>
      <c r="AQ93" s="120">
        <v>1.9788066404357627</v>
      </c>
      <c r="AR93" s="99"/>
      <c r="AS93" s="277">
        <v>0.32380472298039759</v>
      </c>
      <c r="AT93" s="99"/>
    </row>
    <row r="94" spans="1:46" x14ac:dyDescent="0.35">
      <c r="A94" s="50" t="s">
        <v>1524</v>
      </c>
      <c r="B94" s="120">
        <v>1.7022353402681794</v>
      </c>
      <c r="D94" s="145">
        <v>3.0237785954781016</v>
      </c>
      <c r="E94" s="277">
        <v>0.28501778300094111</v>
      </c>
      <c r="G94" s="144">
        <v>0.53159110301974088</v>
      </c>
      <c r="H94" s="120">
        <v>23.681560328597666</v>
      </c>
      <c r="J94" s="144">
        <v>3.3231776983224082</v>
      </c>
      <c r="K94" s="120">
        <v>1.2517083633034369</v>
      </c>
      <c r="M94" s="145">
        <v>0.53159110301974088</v>
      </c>
      <c r="N94" s="277">
        <v>60.908560388542881</v>
      </c>
      <c r="P94" s="144">
        <v>2.3843400833293611</v>
      </c>
      <c r="Q94" s="277">
        <v>21.028837590519561</v>
      </c>
      <c r="R94" s="99"/>
      <c r="S94" s="277">
        <v>44.384592618524898</v>
      </c>
      <c r="U94" s="280">
        <v>5.6711934882159483</v>
      </c>
      <c r="V94" s="278"/>
      <c r="W94" s="279">
        <v>3.1039804581387154</v>
      </c>
      <c r="X94" s="278"/>
      <c r="Y94" s="277">
        <v>36.912200042730674</v>
      </c>
      <c r="Z94" s="99"/>
      <c r="AA94" s="279">
        <v>4.530133641607855</v>
      </c>
      <c r="AB94" s="278"/>
      <c r="AC94" s="277">
        <v>7.8027118799998361</v>
      </c>
      <c r="AE94" s="144">
        <v>1.4352959781533006</v>
      </c>
      <c r="AF94" s="277">
        <v>38.18486061025623</v>
      </c>
      <c r="AH94" s="144">
        <v>5.7411839126132021E-2</v>
      </c>
      <c r="AI94" s="277">
        <v>20.133927296034908</v>
      </c>
      <c r="AK94" s="280">
        <v>20.133927296034908</v>
      </c>
      <c r="AL94" s="278"/>
      <c r="AM94" s="279">
        <v>6.9268534405108673</v>
      </c>
      <c r="AN94" s="278"/>
      <c r="AO94" s="277">
        <v>4.3870071789902161</v>
      </c>
      <c r="AP94" s="99"/>
      <c r="AQ94" s="120">
        <v>9.5244234807024419</v>
      </c>
      <c r="AR94" s="99"/>
      <c r="AS94" s="277">
        <v>1.5585420241149452</v>
      </c>
      <c r="AT94" s="99"/>
    </row>
    <row r="95" spans="1:46" x14ac:dyDescent="0.35">
      <c r="A95" s="50" t="s">
        <v>1523</v>
      </c>
      <c r="B95" s="120">
        <v>6.1065808249431637</v>
      </c>
      <c r="D95" s="145">
        <v>5.5868473980020923</v>
      </c>
      <c r="E95" s="277">
        <v>0.50719446721881967</v>
      </c>
      <c r="G95" s="144">
        <v>0.95868764047430199</v>
      </c>
      <c r="H95" s="120">
        <v>55.97103620831102</v>
      </c>
      <c r="J95" s="144">
        <v>6.1178813780974313</v>
      </c>
      <c r="K95" s="120">
        <v>4.5251467571061692</v>
      </c>
      <c r="M95" s="145">
        <v>0.95868764047430199</v>
      </c>
      <c r="N95" s="277">
        <v>118.36055549052671</v>
      </c>
      <c r="P95" s="144">
        <v>4.2999917711008804</v>
      </c>
      <c r="Q95" s="277">
        <v>46.096412678687436</v>
      </c>
      <c r="R95" s="99"/>
      <c r="S95" s="277">
        <v>90.958917202684148</v>
      </c>
      <c r="U95" s="280">
        <v>12.261476266594741</v>
      </c>
      <c r="V95" s="278"/>
      <c r="W95" s="279">
        <v>8.1293236952871517</v>
      </c>
      <c r="X95" s="278"/>
      <c r="Y95" s="277">
        <v>96.673038538549918</v>
      </c>
      <c r="Z95" s="99"/>
      <c r="AA95" s="279">
        <v>11.864418366094762</v>
      </c>
      <c r="AB95" s="278"/>
      <c r="AC95" s="277">
        <v>10.170142069239722</v>
      </c>
      <c r="AE95" s="144">
        <v>2.5884566292806155</v>
      </c>
      <c r="AF95" s="277">
        <v>45.871144449220324</v>
      </c>
      <c r="AH95" s="144">
        <v>0.10353826517122464</v>
      </c>
      <c r="AI95" s="277">
        <v>52.730748293754495</v>
      </c>
      <c r="AK95" s="280">
        <v>52.730748293754495</v>
      </c>
      <c r="AL95" s="278"/>
      <c r="AM95" s="279">
        <v>8.2868754342450117</v>
      </c>
      <c r="AN95" s="278"/>
      <c r="AO95" s="277">
        <v>5.248354441688508</v>
      </c>
      <c r="AP95" s="99"/>
      <c r="AQ95" s="120">
        <v>11.394453722086892</v>
      </c>
      <c r="AR95" s="99"/>
      <c r="AS95" s="277">
        <v>1.864546972705128</v>
      </c>
      <c r="AT95" s="99"/>
    </row>
    <row r="96" spans="1:46" x14ac:dyDescent="0.35">
      <c r="A96" s="50" t="s">
        <v>1522</v>
      </c>
      <c r="B96" s="120">
        <v>0.40534012222857774</v>
      </c>
      <c r="D96" s="145">
        <v>0.83743922674281368</v>
      </c>
      <c r="E96" s="277">
        <v>7.8946397860088294E-2</v>
      </c>
      <c r="G96" s="144">
        <v>0.14239659443625313</v>
      </c>
      <c r="H96" s="120">
        <v>8.9087857780739412</v>
      </c>
      <c r="J96" s="144">
        <v>0.91580794759533735</v>
      </c>
      <c r="K96" s="120">
        <v>0.33626004419211075</v>
      </c>
      <c r="M96" s="145">
        <v>0.14239659443625313</v>
      </c>
      <c r="N96" s="277">
        <v>17.837298477027542</v>
      </c>
      <c r="P96" s="144">
        <v>0.63868997414605855</v>
      </c>
      <c r="Q96" s="277">
        <v>4.8234147054648195</v>
      </c>
      <c r="R96" s="99"/>
      <c r="S96" s="277">
        <v>8.6861454589826472</v>
      </c>
      <c r="U96" s="280">
        <v>1.2524532885605768</v>
      </c>
      <c r="V96" s="278"/>
      <c r="W96" s="279">
        <v>1.0018433260185982</v>
      </c>
      <c r="X96" s="278"/>
      <c r="Y96" s="277">
        <v>11.913812525626573</v>
      </c>
      <c r="Z96" s="99"/>
      <c r="AA96" s="279">
        <v>1.4621497190541703</v>
      </c>
      <c r="AB96" s="278"/>
      <c r="AC96" s="277">
        <v>0.22884911111438841</v>
      </c>
      <c r="AE96" s="144">
        <v>0.3844708049778835</v>
      </c>
      <c r="AF96" s="277">
        <v>0.25020370395815972</v>
      </c>
      <c r="AH96" s="144">
        <v>1.5378832199115339E-2</v>
      </c>
      <c r="AI96" s="277">
        <v>6.4984431957963116</v>
      </c>
      <c r="AK96" s="280">
        <v>6.4984431957963116</v>
      </c>
      <c r="AL96" s="278"/>
      <c r="AM96" s="279">
        <v>3.7738737187516809E-2</v>
      </c>
      <c r="AN96" s="278"/>
      <c r="AO96" s="277">
        <v>2.3901200218760646E-2</v>
      </c>
      <c r="AP96" s="99"/>
      <c r="AQ96" s="120">
        <v>5.189076363283561E-2</v>
      </c>
      <c r="AR96" s="99"/>
      <c r="AS96" s="277">
        <v>8.4912158671912822E-3</v>
      </c>
      <c r="AT96" s="99"/>
    </row>
    <row r="97" spans="1:46" x14ac:dyDescent="0.35">
      <c r="A97" s="50" t="s">
        <v>1521</v>
      </c>
      <c r="B97" s="120">
        <v>0.34037166191973955</v>
      </c>
      <c r="D97" s="145">
        <v>0.65923078570420302</v>
      </c>
      <c r="E97" s="277">
        <v>6.1747935884185375E-2</v>
      </c>
      <c r="G97" s="144">
        <v>0.11083602767420023</v>
      </c>
      <c r="H97" s="120">
        <v>6.2017443713960745</v>
      </c>
      <c r="J97" s="144">
        <v>0.71973662607142663</v>
      </c>
      <c r="K97" s="120">
        <v>0.28256530162294163</v>
      </c>
      <c r="M97" s="145">
        <v>0.11083602767420023</v>
      </c>
      <c r="N97" s="277">
        <v>14.347758404950699</v>
      </c>
      <c r="P97" s="144">
        <v>0.49713169005159996</v>
      </c>
      <c r="Q97" s="277">
        <v>3.5618401630809999</v>
      </c>
      <c r="R97" s="99"/>
      <c r="S97" s="277">
        <v>6.4063912234679048</v>
      </c>
      <c r="U97" s="280">
        <v>0.92320562250160632</v>
      </c>
      <c r="V97" s="278"/>
      <c r="W97" s="279">
        <v>0.73743373272005852</v>
      </c>
      <c r="X97" s="278"/>
      <c r="Y97" s="277">
        <v>8.7694822269412374</v>
      </c>
      <c r="Z97" s="99"/>
      <c r="AA97" s="279">
        <v>1.0762546369427881</v>
      </c>
      <c r="AB97" s="278"/>
      <c r="AC97" s="277">
        <v>0.1736147979865737</v>
      </c>
      <c r="AE97" s="144">
        <v>0.29925727472034064</v>
      </c>
      <c r="AF97" s="277">
        <v>0.2114037027714685</v>
      </c>
      <c r="AH97" s="144">
        <v>1.1970290988813624E-2</v>
      </c>
      <c r="AI97" s="277">
        <v>4.7833539419679472</v>
      </c>
      <c r="AK97" s="280">
        <v>4.7833539419679472</v>
      </c>
      <c r="AL97" s="278"/>
      <c r="AM97" s="279">
        <v>3.2736295692008699E-2</v>
      </c>
      <c r="AN97" s="278"/>
      <c r="AO97" s="277">
        <v>2.073298727160551E-2</v>
      </c>
      <c r="AP97" s="99"/>
      <c r="AQ97" s="120">
        <v>4.5012406576511961E-2</v>
      </c>
      <c r="AR97" s="99"/>
      <c r="AS97" s="277">
        <v>7.365666530701958E-3</v>
      </c>
      <c r="AT97" s="99"/>
    </row>
    <row r="98" spans="1:46" x14ac:dyDescent="0.35">
      <c r="A98" s="50" t="s">
        <v>1520</v>
      </c>
      <c r="B98" s="120">
        <v>2.5458990454408221</v>
      </c>
      <c r="D98" s="145">
        <v>6.4466980215942851</v>
      </c>
      <c r="E98" s="277">
        <v>0.62014830553824862</v>
      </c>
      <c r="G98" s="144">
        <v>1.1131900035185787</v>
      </c>
      <c r="H98" s="120">
        <v>162.66960754334613</v>
      </c>
      <c r="J98" s="144">
        <v>7.0660153992282355</v>
      </c>
      <c r="K98" s="120">
        <v>2.3941399992484369</v>
      </c>
      <c r="M98" s="145">
        <v>1.1131900035185787</v>
      </c>
      <c r="N98" s="277">
        <v>133.96360666588171</v>
      </c>
      <c r="P98" s="144">
        <v>4.9929796241385445</v>
      </c>
      <c r="Q98" s="277">
        <v>158.81308935102268</v>
      </c>
      <c r="R98" s="99"/>
      <c r="S98" s="277">
        <v>289.8986095686065</v>
      </c>
      <c r="U98" s="280">
        <v>41.862320196154506</v>
      </c>
      <c r="V98" s="278"/>
      <c r="W98" s="279">
        <v>33.607576965856893</v>
      </c>
      <c r="X98" s="278"/>
      <c r="Y98" s="277">
        <v>399.65767202640632</v>
      </c>
      <c r="Z98" s="99"/>
      <c r="AA98" s="279">
        <v>49.048896112331683</v>
      </c>
      <c r="AB98" s="278"/>
      <c r="AC98" s="277">
        <v>7.0741903891867413</v>
      </c>
      <c r="AE98" s="144">
        <v>3.0056130095001619</v>
      </c>
      <c r="AF98" s="277">
        <v>5.2147118470173988</v>
      </c>
      <c r="AH98" s="144">
        <v>0.12022452038000646</v>
      </c>
      <c r="AI98" s="277">
        <v>217.99509383258524</v>
      </c>
      <c r="AK98" s="280">
        <v>217.99509383258524</v>
      </c>
      <c r="AL98" s="278"/>
      <c r="AM98" s="279">
        <v>0.68736014630690667</v>
      </c>
      <c r="AN98" s="278"/>
      <c r="AO98" s="277">
        <v>0.43532809266104089</v>
      </c>
      <c r="AP98" s="99"/>
      <c r="AQ98" s="120">
        <v>0.94512020117199669</v>
      </c>
      <c r="AR98" s="99"/>
      <c r="AS98" s="277">
        <v>0.15465603291905403</v>
      </c>
      <c r="AT98" s="99"/>
    </row>
    <row r="99" spans="1:46" x14ac:dyDescent="0.35">
      <c r="A99" s="50" t="s">
        <v>1519</v>
      </c>
      <c r="B99" s="120">
        <v>3.7224877327139722E-2</v>
      </c>
      <c r="D99" s="145">
        <v>8.0308042599326793E-2</v>
      </c>
      <c r="E99" s="277">
        <v>7.7557788348163953E-3</v>
      </c>
      <c r="G99" s="144">
        <v>1.3786312918930878E-2</v>
      </c>
      <c r="H99" s="120">
        <v>0.58282757295051224</v>
      </c>
      <c r="J99" s="144">
        <v>8.7946728601151977E-2</v>
      </c>
      <c r="K99" s="120">
        <v>2.9649522273330148E-2</v>
      </c>
      <c r="M99" s="145">
        <v>1.3786312918930878E-2</v>
      </c>
      <c r="N99" s="277">
        <v>1.6787903274857321</v>
      </c>
      <c r="P99" s="144">
        <v>6.1835606930215337E-2</v>
      </c>
      <c r="Q99" s="277">
        <v>0.22029440008513448</v>
      </c>
      <c r="R99" s="99"/>
      <c r="S99" s="277">
        <v>0.39264556855965033</v>
      </c>
      <c r="U99" s="280">
        <v>5.6126157883423372E-2</v>
      </c>
      <c r="V99" s="278"/>
      <c r="W99" s="279">
        <v>4.3933595998278917E-2</v>
      </c>
      <c r="X99" s="278"/>
      <c r="Y99" s="277">
        <v>0.52245357403358716</v>
      </c>
      <c r="Z99" s="99"/>
      <c r="AA99" s="279">
        <v>6.411930226775843E-2</v>
      </c>
      <c r="AB99" s="278"/>
      <c r="AC99" s="277">
        <v>1.4799585616308945E-2</v>
      </c>
      <c r="AE99" s="144">
        <v>3.7223044881113367E-2</v>
      </c>
      <c r="AF99" s="277">
        <v>3.6095437847608616E-2</v>
      </c>
      <c r="AH99" s="144">
        <v>1.4889217952445348E-3</v>
      </c>
      <c r="AI99" s="277">
        <v>0.28497467674559296</v>
      </c>
      <c r="AK99" s="280">
        <v>0.28497467674559296</v>
      </c>
      <c r="AL99" s="278"/>
      <c r="AM99" s="279">
        <v>6.2283112427800142E-3</v>
      </c>
      <c r="AN99" s="278"/>
      <c r="AO99" s="277">
        <v>3.9445971204273428E-3</v>
      </c>
      <c r="AP99" s="99"/>
      <c r="AQ99" s="120">
        <v>8.5639279588225203E-3</v>
      </c>
      <c r="AR99" s="99"/>
      <c r="AS99" s="277">
        <v>1.4013700296255033E-3</v>
      </c>
      <c r="AT99" s="99"/>
    </row>
    <row r="100" spans="1:46" x14ac:dyDescent="0.35">
      <c r="A100" s="46" t="s">
        <v>1518</v>
      </c>
      <c r="B100" s="119">
        <v>0.12592445847677311</v>
      </c>
      <c r="C100" s="77"/>
      <c r="D100" s="142">
        <v>0.11506419442992451</v>
      </c>
      <c r="E100" s="273">
        <v>1.0829208497153331E-2</v>
      </c>
      <c r="F100" s="77"/>
      <c r="G100" s="141">
        <v>1.9376697188712478E-2</v>
      </c>
      <c r="H100" s="119">
        <v>0.95991362886210929</v>
      </c>
      <c r="I100" s="77"/>
      <c r="J100" s="141">
        <v>0.12565431730335253</v>
      </c>
      <c r="K100" s="119">
        <v>0.10569325376872686</v>
      </c>
      <c r="L100" s="77"/>
      <c r="M100" s="142">
        <v>1.9376697188712478E-2</v>
      </c>
      <c r="N100" s="273">
        <v>2.5078038576072834</v>
      </c>
      <c r="O100" s="77"/>
      <c r="P100" s="141">
        <v>8.6910099749857639E-2</v>
      </c>
      <c r="Q100" s="273">
        <v>0.55199873852686621</v>
      </c>
      <c r="R100" s="100"/>
      <c r="S100" s="273">
        <v>0.99480212932894596</v>
      </c>
      <c r="T100" s="77"/>
      <c r="U100" s="276">
        <v>0.14282564779693296</v>
      </c>
      <c r="V100" s="274"/>
      <c r="W100" s="275">
        <v>0.11303854429876854</v>
      </c>
      <c r="X100" s="274"/>
      <c r="Y100" s="273">
        <v>1.3442421484177882</v>
      </c>
      <c r="Z100" s="100"/>
      <c r="AA100" s="275">
        <v>0.16497517276036491</v>
      </c>
      <c r="AB100" s="274"/>
      <c r="AC100" s="273">
        <v>3.1805236879834269E-2</v>
      </c>
      <c r="AD100" s="77"/>
      <c r="AE100" s="141">
        <v>5.2317082409523694E-2</v>
      </c>
      <c r="AF100" s="273">
        <v>5.9788563620425006E-2</v>
      </c>
      <c r="AG100" s="77"/>
      <c r="AH100" s="141">
        <v>2.0926832963809481E-3</v>
      </c>
      <c r="AI100" s="273">
        <v>0.73322299004606617</v>
      </c>
      <c r="AJ100" s="77"/>
      <c r="AK100" s="276">
        <v>0.73322299004606617</v>
      </c>
      <c r="AL100" s="274"/>
      <c r="AM100" s="275">
        <v>1.0002783683351122E-2</v>
      </c>
      <c r="AN100" s="274"/>
      <c r="AO100" s="273">
        <v>6.3350963327890438E-3</v>
      </c>
      <c r="AP100" s="100"/>
      <c r="AQ100" s="119">
        <v>1.3753827564607793E-2</v>
      </c>
      <c r="AR100" s="100"/>
      <c r="AS100" s="273">
        <v>2.2506263287540027E-3</v>
      </c>
      <c r="AT100" s="100"/>
    </row>
    <row r="101" spans="1:46" x14ac:dyDescent="0.35">
      <c r="B101" s="120"/>
      <c r="D101" s="145"/>
      <c r="E101" s="120"/>
      <c r="G101" s="145"/>
      <c r="H101" s="120"/>
      <c r="J101" s="145"/>
      <c r="K101" s="120"/>
      <c r="M101" s="145"/>
      <c r="N101" s="120"/>
      <c r="P101" s="145"/>
      <c r="Q101" s="120"/>
      <c r="S101" s="120"/>
      <c r="U101" s="120"/>
      <c r="W101" s="120"/>
      <c r="Y101" s="120"/>
      <c r="AA101" s="120"/>
      <c r="AC101" s="120"/>
      <c r="AE101" s="145"/>
      <c r="AF101" s="120"/>
      <c r="AH101" s="145"/>
      <c r="AI101" s="120"/>
      <c r="AK101" s="120"/>
      <c r="AM101" s="120"/>
      <c r="AO101" s="120"/>
      <c r="AQ101" s="120"/>
      <c r="AS101" s="120"/>
    </row>
    <row r="102" spans="1:46" ht="13.9" x14ac:dyDescent="0.4">
      <c r="A102" s="72" t="s">
        <v>1661</v>
      </c>
    </row>
    <row r="103" spans="1:46" ht="15.75" customHeight="1" x14ac:dyDescent="0.5">
      <c r="A103" s="272"/>
      <c r="B103" s="2193" t="s">
        <v>1660</v>
      </c>
      <c r="C103" s="2194"/>
      <c r="D103" s="2194"/>
      <c r="E103" s="2194"/>
      <c r="F103" s="2194"/>
      <c r="G103" s="2194"/>
      <c r="H103" s="2194"/>
      <c r="I103" s="2194"/>
      <c r="J103" s="2194"/>
      <c r="K103" s="2194"/>
      <c r="L103" s="2194"/>
      <c r="M103" s="2194"/>
      <c r="N103" s="2194"/>
      <c r="O103" s="2194"/>
      <c r="P103" s="2195"/>
      <c r="Q103" s="2191" t="s">
        <v>1635</v>
      </c>
      <c r="R103" s="2196"/>
      <c r="S103" s="2196"/>
      <c r="T103" s="2196"/>
      <c r="U103" s="2192"/>
      <c r="V103" s="2208" t="s">
        <v>1659</v>
      </c>
      <c r="W103" s="2208" t="s">
        <v>1658</v>
      </c>
      <c r="X103" s="2191" t="s">
        <v>1633</v>
      </c>
      <c r="Y103" s="2196"/>
      <c r="Z103" s="2192"/>
    </row>
    <row r="104" spans="1:46" ht="29.25" customHeight="1" x14ac:dyDescent="0.5">
      <c r="A104" s="59"/>
      <c r="B104" s="2191" t="s">
        <v>1657</v>
      </c>
      <c r="C104" s="2196"/>
      <c r="D104" s="2196"/>
      <c r="E104" s="2196"/>
      <c r="F104" s="2196"/>
      <c r="G104" s="2196"/>
      <c r="H104" s="2196"/>
      <c r="I104" s="2196"/>
      <c r="J104" s="2192"/>
      <c r="K104" s="2191" t="s">
        <v>1656</v>
      </c>
      <c r="L104" s="2196"/>
      <c r="M104" s="2192"/>
      <c r="N104" s="2191" t="s">
        <v>1655</v>
      </c>
      <c r="O104" s="2196"/>
      <c r="P104" s="2192"/>
      <c r="Q104" s="2204" t="s">
        <v>1654</v>
      </c>
      <c r="R104" s="2191" t="s">
        <v>1653</v>
      </c>
      <c r="S104" s="2192"/>
      <c r="T104" s="2191" t="s">
        <v>1652</v>
      </c>
      <c r="U104" s="2192"/>
      <c r="V104" s="2209"/>
      <c r="W104" s="2209"/>
      <c r="X104" s="2191" t="s">
        <v>1651</v>
      </c>
      <c r="Y104" s="2196"/>
      <c r="Z104" s="2192"/>
    </row>
    <row r="105" spans="1:46" ht="26.25" customHeight="1" x14ac:dyDescent="0.5">
      <c r="A105" s="59"/>
      <c r="B105" s="271" t="s">
        <v>1650</v>
      </c>
      <c r="C105" s="270" t="s">
        <v>1649</v>
      </c>
      <c r="D105" s="270" t="s">
        <v>1648</v>
      </c>
      <c r="E105" s="270" t="s">
        <v>1647</v>
      </c>
      <c r="F105" s="270" t="s">
        <v>1646</v>
      </c>
      <c r="G105" s="270" t="s">
        <v>1645</v>
      </c>
      <c r="H105" s="270" t="s">
        <v>1644</v>
      </c>
      <c r="I105" s="270" t="s">
        <v>1643</v>
      </c>
      <c r="J105" s="270" t="s">
        <v>1636</v>
      </c>
      <c r="K105" s="271" t="s">
        <v>1642</v>
      </c>
      <c r="L105" s="270" t="s">
        <v>1641</v>
      </c>
      <c r="M105" s="269" t="s">
        <v>1636</v>
      </c>
      <c r="N105" s="270" t="s">
        <v>1640</v>
      </c>
      <c r="O105" s="270" t="s">
        <v>1639</v>
      </c>
      <c r="P105" s="269" t="s">
        <v>1638</v>
      </c>
      <c r="Q105" s="2211"/>
      <c r="R105" s="268" t="s">
        <v>1637</v>
      </c>
      <c r="S105" s="267" t="s">
        <v>1635</v>
      </c>
      <c r="T105" s="266" t="s">
        <v>1636</v>
      </c>
      <c r="U105" s="265" t="s">
        <v>1635</v>
      </c>
      <c r="V105" s="2210"/>
      <c r="W105" s="2210"/>
      <c r="X105" s="264" t="s">
        <v>1633</v>
      </c>
      <c r="Y105" s="263" t="s">
        <v>1634</v>
      </c>
      <c r="Z105" s="262" t="s">
        <v>1633</v>
      </c>
    </row>
    <row r="106" spans="1:46" ht="13.15" x14ac:dyDescent="0.4">
      <c r="A106" s="131" t="s">
        <v>1632</v>
      </c>
      <c r="B106" s="61"/>
      <c r="C106" s="101"/>
      <c r="D106" s="101"/>
      <c r="E106" s="101"/>
      <c r="F106" s="101"/>
      <c r="G106" s="101"/>
      <c r="H106" s="101"/>
      <c r="I106" s="101"/>
      <c r="J106" s="101"/>
      <c r="K106" s="61"/>
      <c r="L106" s="101"/>
      <c r="M106" s="60"/>
      <c r="N106" s="101"/>
      <c r="O106" s="101"/>
      <c r="P106" s="60"/>
      <c r="Q106" s="60"/>
      <c r="R106" s="101"/>
      <c r="S106" s="101"/>
      <c r="T106" s="61"/>
      <c r="U106" s="60"/>
      <c r="V106" s="61"/>
      <c r="W106" s="55"/>
      <c r="X106" s="261"/>
      <c r="Y106" s="101"/>
      <c r="Z106" s="60"/>
    </row>
    <row r="107" spans="1:46" x14ac:dyDescent="0.35">
      <c r="A107" s="50" t="s">
        <v>1537</v>
      </c>
      <c r="B107" s="232">
        <v>157.14211371725344</v>
      </c>
      <c r="C107" s="145">
        <v>30.589530371156098</v>
      </c>
      <c r="D107" s="145">
        <v>6.6237567136229583</v>
      </c>
      <c r="E107" s="145">
        <v>0.43425030280782606</v>
      </c>
      <c r="F107" s="145">
        <v>4.4122572473208459</v>
      </c>
      <c r="G107" s="145">
        <v>0</v>
      </c>
      <c r="H107" s="145">
        <v>1.2126980208835976</v>
      </c>
      <c r="I107" s="145">
        <v>67.865226238159252</v>
      </c>
      <c r="J107" s="145">
        <v>36.431613650302957</v>
      </c>
      <c r="K107" s="232">
        <v>5.086651539339357</v>
      </c>
      <c r="L107" s="145">
        <v>4.2875794954802293</v>
      </c>
      <c r="M107" s="144">
        <v>66.840996993235194</v>
      </c>
      <c r="N107" s="145">
        <v>13.076664202366622</v>
      </c>
      <c r="O107" s="145">
        <v>33.455370123325558</v>
      </c>
      <c r="P107" s="144">
        <v>39.669183640251639</v>
      </c>
      <c r="Q107" s="144">
        <v>16.515657398213602</v>
      </c>
      <c r="R107" s="145">
        <v>88.270098570255968</v>
      </c>
      <c r="S107" s="145">
        <v>31.480736657831685</v>
      </c>
      <c r="T107" s="232">
        <v>19.292529830711061</v>
      </c>
      <c r="U107" s="144">
        <v>29.953192209853931</v>
      </c>
      <c r="V107" s="232">
        <v>5.338439819429766</v>
      </c>
      <c r="W107" s="146">
        <v>33.455370123325558</v>
      </c>
      <c r="X107" s="256">
        <v>29.413110659578027</v>
      </c>
      <c r="Y107" s="145">
        <v>1.7680657942672533</v>
      </c>
      <c r="Z107" s="144">
        <v>43.970862239273579</v>
      </c>
    </row>
    <row r="108" spans="1:46" x14ac:dyDescent="0.35">
      <c r="A108" s="50" t="s">
        <v>1536</v>
      </c>
      <c r="B108" s="232">
        <v>156.06960700180139</v>
      </c>
      <c r="C108" s="145">
        <v>25.681966423558855</v>
      </c>
      <c r="D108" s="145">
        <v>6.6096291901937452</v>
      </c>
      <c r="E108" s="145">
        <v>0.43209827663592104</v>
      </c>
      <c r="F108" s="145">
        <v>4.2466365252738729</v>
      </c>
      <c r="G108" s="145">
        <v>0</v>
      </c>
      <c r="H108" s="145">
        <v>1.1533223075181107</v>
      </c>
      <c r="I108" s="145">
        <v>4.5548181993924883</v>
      </c>
      <c r="J108" s="145">
        <v>34.626498905525231</v>
      </c>
      <c r="K108" s="232">
        <v>5.079818522350001</v>
      </c>
      <c r="L108" s="145">
        <v>4.2064249702399712</v>
      </c>
      <c r="M108" s="144">
        <v>66.463644949878855</v>
      </c>
      <c r="N108" s="145">
        <v>11.447735661702268</v>
      </c>
      <c r="O108" s="145">
        <v>31.648494771175478</v>
      </c>
      <c r="P108" s="144">
        <v>38.154055446306167</v>
      </c>
      <c r="Q108" s="144">
        <v>15.753296328760079</v>
      </c>
      <c r="R108" s="145">
        <v>91.017133147419187</v>
      </c>
      <c r="S108" s="145">
        <v>30.14545276949665</v>
      </c>
      <c r="T108" s="232">
        <v>17.52977947467042</v>
      </c>
      <c r="U108" s="144">
        <v>28.154973541346603</v>
      </c>
      <c r="V108" s="232">
        <v>4.3663426781300245</v>
      </c>
      <c r="W108" s="146">
        <v>31.648494771175478</v>
      </c>
      <c r="X108" s="256">
        <v>29.914192417717441</v>
      </c>
      <c r="Y108" s="145">
        <v>1.7664558986071819</v>
      </c>
      <c r="Z108" s="144">
        <v>39.475329840402928</v>
      </c>
    </row>
    <row r="109" spans="1:46" x14ac:dyDescent="0.35">
      <c r="A109" s="50" t="s">
        <v>1535</v>
      </c>
      <c r="B109" s="232">
        <v>2.5895887069718007</v>
      </c>
      <c r="C109" s="145">
        <v>5.5730633075465583</v>
      </c>
      <c r="D109" s="145">
        <v>4.2630539217246</v>
      </c>
      <c r="E109" s="145">
        <v>5.1087432769312381E-3</v>
      </c>
      <c r="F109" s="145">
        <v>3.548281829027641</v>
      </c>
      <c r="G109" s="145">
        <v>0</v>
      </c>
      <c r="H109" s="145">
        <v>6.2562334089676055E-2</v>
      </c>
      <c r="I109" s="145">
        <v>0.1046864379020376</v>
      </c>
      <c r="J109" s="145">
        <v>12.605512831642443</v>
      </c>
      <c r="K109" s="232">
        <v>4.2457710041804537</v>
      </c>
      <c r="L109" s="145">
        <v>3.5845726032668046</v>
      </c>
      <c r="M109" s="144">
        <v>17.485850572277656</v>
      </c>
      <c r="N109" s="145">
        <v>3.9327945995954066</v>
      </c>
      <c r="O109" s="145">
        <v>6.0476489600181074</v>
      </c>
      <c r="P109" s="144">
        <v>7.0448907744257596</v>
      </c>
      <c r="Q109" s="144">
        <v>1.8407811552677464</v>
      </c>
      <c r="R109" s="145">
        <v>14.404251414488236</v>
      </c>
      <c r="S109" s="145">
        <v>5.7603545756170602</v>
      </c>
      <c r="T109" s="232">
        <v>12.715054074104177</v>
      </c>
      <c r="U109" s="144">
        <v>6.0700324738629492</v>
      </c>
      <c r="V109" s="232">
        <v>2.4297889823582075</v>
      </c>
      <c r="W109" s="146">
        <v>6.0476489600181074</v>
      </c>
      <c r="X109" s="256">
        <v>11.203630142832775</v>
      </c>
      <c r="Y109" s="145">
        <v>6.8476279536294664E-3</v>
      </c>
      <c r="Z109" s="144">
        <v>9.3456886832427486</v>
      </c>
    </row>
    <row r="110" spans="1:46" x14ac:dyDescent="0.35">
      <c r="A110" s="50" t="s">
        <v>1534</v>
      </c>
      <c r="B110" s="232">
        <v>152.84000832740105</v>
      </c>
      <c r="C110" s="145">
        <v>15.625048933133074</v>
      </c>
      <c r="D110" s="145">
        <v>0.21921671756899824</v>
      </c>
      <c r="E110" s="145">
        <v>4.4677633734105909E-2</v>
      </c>
      <c r="F110" s="145">
        <v>0.31032870107459792</v>
      </c>
      <c r="G110" s="145">
        <v>0</v>
      </c>
      <c r="H110" s="145">
        <v>0.15683246242635906</v>
      </c>
      <c r="I110" s="145">
        <v>1.7319808334488931</v>
      </c>
      <c r="J110" s="145">
        <v>5.1642094767210338</v>
      </c>
      <c r="K110" s="232">
        <v>8.0917894292196799E-2</v>
      </c>
      <c r="L110" s="145">
        <v>0.39744099425546575</v>
      </c>
      <c r="M110" s="144">
        <v>6.6706048946868126</v>
      </c>
      <c r="N110" s="145">
        <v>5.7231168380127766</v>
      </c>
      <c r="O110" s="145">
        <v>20.511308304546507</v>
      </c>
      <c r="P110" s="144">
        <v>20.819123168939896</v>
      </c>
      <c r="Q110" s="144">
        <v>13.587716554256877</v>
      </c>
      <c r="R110" s="145">
        <v>73.847662058134077</v>
      </c>
      <c r="S110" s="145">
        <v>22.326037497420099</v>
      </c>
      <c r="T110" s="232">
        <v>3.164946305764575</v>
      </c>
      <c r="U110" s="144">
        <v>20.102781489797103</v>
      </c>
      <c r="V110" s="232">
        <v>1.6897023768654909</v>
      </c>
      <c r="W110" s="146">
        <v>20.511308304546507</v>
      </c>
      <c r="X110" s="256">
        <v>16.674700611385862</v>
      </c>
      <c r="Y110" s="145">
        <v>1.6752545387079807</v>
      </c>
      <c r="Z110" s="144">
        <v>20.271551094283272</v>
      </c>
    </row>
    <row r="111" spans="1:46" x14ac:dyDescent="0.35">
      <c r="A111" s="46" t="s">
        <v>1533</v>
      </c>
      <c r="B111" s="231">
        <v>0.64000996742849992</v>
      </c>
      <c r="C111" s="142">
        <v>4.4838541828792247</v>
      </c>
      <c r="D111" s="142">
        <v>2.1273585509001469</v>
      </c>
      <c r="E111" s="142">
        <v>0.38231189962488388</v>
      </c>
      <c r="F111" s="142">
        <v>0.38802599517163422</v>
      </c>
      <c r="G111" s="142">
        <v>0</v>
      </c>
      <c r="H111" s="142">
        <v>0.93392751100207561</v>
      </c>
      <c r="I111" s="142">
        <v>2.7973378789426091</v>
      </c>
      <c r="J111" s="142">
        <v>16.856832819896894</v>
      </c>
      <c r="K111" s="231">
        <v>0.75312962387734994</v>
      </c>
      <c r="L111" s="142">
        <v>0.22441137271770084</v>
      </c>
      <c r="M111" s="141">
        <v>42.307189482914389</v>
      </c>
      <c r="N111" s="142">
        <v>1.7918242240940858</v>
      </c>
      <c r="O111" s="142">
        <v>5.0895489950908406</v>
      </c>
      <c r="P111" s="141">
        <v>10.290041502940516</v>
      </c>
      <c r="Q111" s="141">
        <v>0.32479861923545295</v>
      </c>
      <c r="R111" s="142">
        <v>2.7652196747968683</v>
      </c>
      <c r="S111" s="142">
        <v>2.059060696459492</v>
      </c>
      <c r="T111" s="231">
        <v>1.6497790948016666</v>
      </c>
      <c r="U111" s="141">
        <v>1.9821595776865533</v>
      </c>
      <c r="V111" s="231">
        <v>0.24685188113367801</v>
      </c>
      <c r="W111" s="143">
        <v>5.0895489950908406</v>
      </c>
      <c r="X111" s="255">
        <v>2.0358616634988009</v>
      </c>
      <c r="Y111" s="142">
        <v>8.4353731945571789E-2</v>
      </c>
      <c r="Z111" s="141">
        <v>9.8581114275162633</v>
      </c>
    </row>
    <row r="112" spans="1:46" s="48" customFormat="1" x14ac:dyDescent="0.35">
      <c r="A112" s="152" t="s">
        <v>1532</v>
      </c>
      <c r="B112" s="45">
        <v>3110.9473328935242</v>
      </c>
      <c r="C112" s="44">
        <v>4060.1170826351299</v>
      </c>
      <c r="D112" s="44">
        <v>61.247919376917409</v>
      </c>
      <c r="E112" s="44">
        <v>8.7655597183518665</v>
      </c>
      <c r="F112" s="44">
        <v>152.26166579447306</v>
      </c>
      <c r="G112" s="44">
        <v>0</v>
      </c>
      <c r="H112" s="44">
        <v>64.171766010352485</v>
      </c>
      <c r="I112" s="44">
        <v>2015.7239938875296</v>
      </c>
      <c r="J112" s="44">
        <v>1782.4761013351697</v>
      </c>
      <c r="K112" s="45">
        <v>30.778925082405937</v>
      </c>
      <c r="L112" s="44">
        <v>38370.838210870163</v>
      </c>
      <c r="M112" s="43">
        <v>73802.238690146987</v>
      </c>
      <c r="N112" s="44">
        <v>855.21675030914207</v>
      </c>
      <c r="O112" s="44">
        <v>1156.9634559206738</v>
      </c>
      <c r="P112" s="43">
        <v>15873.387304883014</v>
      </c>
      <c r="Q112" s="43">
        <v>561.39267261308078</v>
      </c>
      <c r="R112" s="44">
        <v>20104.34350359056</v>
      </c>
      <c r="S112" s="44">
        <v>1577.6351726227103</v>
      </c>
      <c r="T112" s="45">
        <v>938.82403523607809</v>
      </c>
      <c r="U112" s="43">
        <v>984.57269900229778</v>
      </c>
      <c r="V112" s="45">
        <v>496.33358923404234</v>
      </c>
      <c r="W112" s="152">
        <v>1156.9634559206738</v>
      </c>
      <c r="X112" s="260">
        <v>3848.8722163269181</v>
      </c>
      <c r="Y112" s="44">
        <v>17113.056501963696</v>
      </c>
      <c r="Z112" s="43">
        <v>13967.081670110265</v>
      </c>
    </row>
    <row r="113" spans="1:26" ht="13.15" x14ac:dyDescent="0.4">
      <c r="A113" s="178" t="s">
        <v>1564</v>
      </c>
      <c r="B113" s="232"/>
      <c r="C113" s="145"/>
      <c r="D113" s="145"/>
      <c r="E113" s="145"/>
      <c r="F113" s="145"/>
      <c r="G113" s="145"/>
      <c r="H113" s="145"/>
      <c r="I113" s="145"/>
      <c r="J113" s="145"/>
      <c r="K113" s="232"/>
      <c r="L113" s="145"/>
      <c r="M113" s="144"/>
      <c r="N113" s="145"/>
      <c r="O113" s="145"/>
      <c r="P113" s="144"/>
      <c r="Q113" s="144"/>
      <c r="R113" s="145"/>
      <c r="S113" s="145"/>
      <c r="T113" s="232"/>
      <c r="U113" s="144"/>
      <c r="V113" s="232"/>
      <c r="W113" s="146"/>
      <c r="X113" s="256"/>
      <c r="Y113" s="145"/>
      <c r="Z113" s="144"/>
    </row>
    <row r="114" spans="1:26" x14ac:dyDescent="0.35">
      <c r="A114" s="50" t="s">
        <v>1525</v>
      </c>
      <c r="B114" s="232">
        <v>1167.4993236410548</v>
      </c>
      <c r="C114" s="145">
        <v>265.66428634357629</v>
      </c>
      <c r="D114" s="145">
        <v>156.99852069768184</v>
      </c>
      <c r="E114" s="145">
        <v>11.226708587789073</v>
      </c>
      <c r="F114" s="145">
        <v>93.126421452451595</v>
      </c>
      <c r="G114" s="145">
        <v>0</v>
      </c>
      <c r="H114" s="145">
        <v>30.494318958504461</v>
      </c>
      <c r="I114" s="145">
        <v>3420.6254557125758</v>
      </c>
      <c r="J114" s="145">
        <v>1262.7438988705633</v>
      </c>
      <c r="K114" s="232">
        <v>85.703671068629561</v>
      </c>
      <c r="L114" s="145">
        <v>91.536559758330654</v>
      </c>
      <c r="M114" s="144">
        <v>1051.5778898185479</v>
      </c>
      <c r="N114" s="145">
        <v>388.42189961578879</v>
      </c>
      <c r="O114" s="145">
        <v>2052.7726645902972</v>
      </c>
      <c r="P114" s="144">
        <v>2009.6232791994316</v>
      </c>
      <c r="Q114" s="144">
        <v>131.71136761572714</v>
      </c>
      <c r="R114" s="145">
        <v>3441.664012082193</v>
      </c>
      <c r="S114" s="145">
        <v>1961.9842245512559</v>
      </c>
      <c r="T114" s="232">
        <v>237.64994651925872</v>
      </c>
      <c r="U114" s="144">
        <v>1843.3063105571703</v>
      </c>
      <c r="V114" s="232">
        <v>48.7597686516145</v>
      </c>
      <c r="W114" s="146">
        <v>2052.7726645902972</v>
      </c>
      <c r="X114" s="256">
        <v>849.30809489986621</v>
      </c>
      <c r="Y114" s="145">
        <v>61.986409901725615</v>
      </c>
      <c r="Z114" s="144">
        <v>796.52274507833772</v>
      </c>
    </row>
    <row r="115" spans="1:26" x14ac:dyDescent="0.35">
      <c r="A115" s="50" t="s">
        <v>1524</v>
      </c>
      <c r="B115" s="232">
        <v>2885.0268819498042</v>
      </c>
      <c r="C115" s="145">
        <v>1458.4675521600241</v>
      </c>
      <c r="D115" s="145">
        <v>665.00133099120069</v>
      </c>
      <c r="E115" s="145">
        <v>102.35839650318499</v>
      </c>
      <c r="F115" s="145">
        <v>460.5714515605207</v>
      </c>
      <c r="G115" s="145">
        <v>0</v>
      </c>
      <c r="H115" s="145">
        <v>98.774933326683254</v>
      </c>
      <c r="I115" s="145">
        <v>28617.58385414489</v>
      </c>
      <c r="J115" s="145">
        <v>5163.5455181245616</v>
      </c>
      <c r="K115" s="232">
        <v>481.29215440850237</v>
      </c>
      <c r="L115" s="145">
        <v>435.51129265593647</v>
      </c>
      <c r="M115" s="144">
        <v>5633.9906992503875</v>
      </c>
      <c r="N115" s="145">
        <v>530.5114055381332</v>
      </c>
      <c r="O115" s="145">
        <v>2602.5543164361825</v>
      </c>
      <c r="P115" s="144">
        <v>2698.6844678597172</v>
      </c>
      <c r="Q115" s="144">
        <v>388.31043011833617</v>
      </c>
      <c r="R115" s="145">
        <v>3922.0909063936519</v>
      </c>
      <c r="S115" s="145">
        <v>1894.8051751964465</v>
      </c>
      <c r="T115" s="232">
        <v>1147.5622708581573</v>
      </c>
      <c r="U115" s="144">
        <v>1781.933565788418</v>
      </c>
      <c r="V115" s="232">
        <v>152.53252538551067</v>
      </c>
      <c r="W115" s="146">
        <v>2602.5543164361825</v>
      </c>
      <c r="X115" s="256">
        <v>1830.0133086365913</v>
      </c>
      <c r="Y115" s="145">
        <v>104.83431577172087</v>
      </c>
      <c r="Z115" s="144">
        <v>3329.2201936083029</v>
      </c>
    </row>
    <row r="116" spans="1:26" x14ac:dyDescent="0.35">
      <c r="A116" s="50" t="s">
        <v>1563</v>
      </c>
      <c r="B116" s="232">
        <v>4160.1567747763738</v>
      </c>
      <c r="C116" s="145">
        <v>3054.3140114692637</v>
      </c>
      <c r="D116" s="145">
        <v>1649.554674658913</v>
      </c>
      <c r="E116" s="145">
        <v>290.4512601392405</v>
      </c>
      <c r="F116" s="145">
        <v>474.72845053693186</v>
      </c>
      <c r="G116" s="145">
        <v>0</v>
      </c>
      <c r="H116" s="145">
        <v>237.19536325297628</v>
      </c>
      <c r="I116" s="145">
        <v>7587.1486525052514</v>
      </c>
      <c r="J116" s="145">
        <v>12102.41902104331</v>
      </c>
      <c r="K116" s="232">
        <v>353.81433393795339</v>
      </c>
      <c r="L116" s="145">
        <v>403.70535998289301</v>
      </c>
      <c r="M116" s="144">
        <v>11560.596621755769</v>
      </c>
      <c r="N116" s="145">
        <v>1105.9695904028363</v>
      </c>
      <c r="O116" s="145">
        <v>5292.4493290868786</v>
      </c>
      <c r="P116" s="144">
        <v>5181.7340505000557</v>
      </c>
      <c r="Q116" s="144">
        <v>635.12764298146692</v>
      </c>
      <c r="R116" s="145">
        <v>7579.2259217799774</v>
      </c>
      <c r="S116" s="145">
        <v>3255.213878368746</v>
      </c>
      <c r="T116" s="232">
        <v>1123.0736465339246</v>
      </c>
      <c r="U116" s="144">
        <v>3048.9442923106949</v>
      </c>
      <c r="V116" s="232">
        <v>347.63054220571547</v>
      </c>
      <c r="W116" s="146">
        <v>5292.4493290868786</v>
      </c>
      <c r="X116" s="256">
        <v>2315.920017196072</v>
      </c>
      <c r="Y116" s="145">
        <v>162.55416576991564</v>
      </c>
      <c r="Z116" s="144">
        <v>7299.3573314468913</v>
      </c>
    </row>
    <row r="117" spans="1:26" x14ac:dyDescent="0.35">
      <c r="A117" s="50" t="s">
        <v>1522</v>
      </c>
      <c r="B117" s="232">
        <v>294.47284017794942</v>
      </c>
      <c r="C117" s="145">
        <v>474.73369184956863</v>
      </c>
      <c r="D117" s="145">
        <v>258.66480867007857</v>
      </c>
      <c r="E117" s="145">
        <v>9.7499188927812845</v>
      </c>
      <c r="F117" s="145">
        <v>141.87284872740196</v>
      </c>
      <c r="G117" s="145">
        <v>0</v>
      </c>
      <c r="H117" s="145">
        <v>12.820836816167464</v>
      </c>
      <c r="I117" s="145">
        <v>6429.0435154709849</v>
      </c>
      <c r="J117" s="145">
        <v>1571.9022555962838</v>
      </c>
      <c r="K117" s="232">
        <v>156.81059623600947</v>
      </c>
      <c r="L117" s="145">
        <v>130.42978784720151</v>
      </c>
      <c r="M117" s="144">
        <v>3130.6265898915772</v>
      </c>
      <c r="N117" s="145">
        <v>2479.0219903048255</v>
      </c>
      <c r="O117" s="145">
        <v>3679.0325879373959</v>
      </c>
      <c r="P117" s="144">
        <v>3997.5402744754338</v>
      </c>
      <c r="Q117" s="144">
        <v>65.211485320509183</v>
      </c>
      <c r="R117" s="145">
        <v>1370.5241095937281</v>
      </c>
      <c r="S117" s="145">
        <v>3474.566692152137</v>
      </c>
      <c r="T117" s="232">
        <v>388.6547436646282</v>
      </c>
      <c r="U117" s="144">
        <v>3437.2493429240121</v>
      </c>
      <c r="V117" s="232">
        <v>56.646414115567886</v>
      </c>
      <c r="W117" s="146">
        <v>3679.0325879373959</v>
      </c>
      <c r="X117" s="256">
        <v>580.83392391511052</v>
      </c>
      <c r="Y117" s="145">
        <v>43.133049661557116</v>
      </c>
      <c r="Z117" s="144">
        <v>1018.4410014793569</v>
      </c>
    </row>
    <row r="118" spans="1:26" x14ac:dyDescent="0.35">
      <c r="A118" s="50" t="s">
        <v>1521</v>
      </c>
      <c r="B118" s="232">
        <v>260.9398370425684</v>
      </c>
      <c r="C118" s="145">
        <v>209.5227612971556</v>
      </c>
      <c r="D118" s="145">
        <v>190.34148880484787</v>
      </c>
      <c r="E118" s="145">
        <v>8.6020446223910341</v>
      </c>
      <c r="F118" s="145">
        <v>103.43045001380852</v>
      </c>
      <c r="G118" s="145">
        <v>0</v>
      </c>
      <c r="H118" s="145">
        <v>6.3773609603999644</v>
      </c>
      <c r="I118" s="145">
        <v>2477.8895824773535</v>
      </c>
      <c r="J118" s="145">
        <v>1218.2399536621015</v>
      </c>
      <c r="K118" s="232">
        <v>99.354048315351747</v>
      </c>
      <c r="L118" s="145">
        <v>98.845602938794727</v>
      </c>
      <c r="M118" s="144">
        <v>1326.7863090861133</v>
      </c>
      <c r="N118" s="145">
        <v>1348.8365475164089</v>
      </c>
      <c r="O118" s="145">
        <v>2619.0271550363841</v>
      </c>
      <c r="P118" s="144">
        <v>2641.2073749685178</v>
      </c>
      <c r="Q118" s="144">
        <v>42.140592143194482</v>
      </c>
      <c r="R118" s="145">
        <v>879.79802842497293</v>
      </c>
      <c r="S118" s="145">
        <v>2444.4953860543637</v>
      </c>
      <c r="T118" s="232">
        <v>231.36391027549834</v>
      </c>
      <c r="U118" s="144">
        <v>2417.3701984065333</v>
      </c>
      <c r="V118" s="232">
        <v>29.994661524690933</v>
      </c>
      <c r="W118" s="146">
        <v>2619.0271550363841</v>
      </c>
      <c r="X118" s="256">
        <v>373.53963155707203</v>
      </c>
      <c r="Y118" s="145">
        <v>40.916727582681276</v>
      </c>
      <c r="Z118" s="144">
        <v>681.04798140873481</v>
      </c>
    </row>
    <row r="119" spans="1:26" x14ac:dyDescent="0.35">
      <c r="A119" s="50" t="s">
        <v>1520</v>
      </c>
      <c r="B119" s="232">
        <v>2253.7937617341663</v>
      </c>
      <c r="C119" s="145">
        <v>3158.6985327046882</v>
      </c>
      <c r="D119" s="145">
        <v>1159.2381292673035</v>
      </c>
      <c r="E119" s="145">
        <v>6.6760980971964141</v>
      </c>
      <c r="F119" s="145">
        <v>209.38120602786836</v>
      </c>
      <c r="G119" s="145">
        <v>0</v>
      </c>
      <c r="H119" s="145">
        <v>18200.079910870558</v>
      </c>
      <c r="I119" s="145">
        <v>3507.2516078983072</v>
      </c>
      <c r="J119" s="145">
        <v>5631.8785079547333</v>
      </c>
      <c r="K119" s="232">
        <v>399.86417409645389</v>
      </c>
      <c r="L119" s="145">
        <v>178.25692169846607</v>
      </c>
      <c r="M119" s="144">
        <v>23734.259542837044</v>
      </c>
      <c r="N119" s="145">
        <v>1171.7480275792425</v>
      </c>
      <c r="O119" s="145">
        <v>2727.0296851173175</v>
      </c>
      <c r="P119" s="144">
        <v>6426.0464884041821</v>
      </c>
      <c r="Q119" s="144">
        <v>763.33346848325778</v>
      </c>
      <c r="R119" s="145">
        <v>8459.4580625560284</v>
      </c>
      <c r="S119" s="145">
        <v>2064.6102365331967</v>
      </c>
      <c r="T119" s="232">
        <v>1927.9498980577664</v>
      </c>
      <c r="U119" s="144">
        <v>1970.1737698770539</v>
      </c>
      <c r="V119" s="232">
        <v>671.71235773310639</v>
      </c>
      <c r="W119" s="146">
        <v>2727.0296851173175</v>
      </c>
      <c r="X119" s="256">
        <v>2418.6313347948922</v>
      </c>
      <c r="Y119" s="145">
        <v>33.560663965620797</v>
      </c>
      <c r="Z119" s="144">
        <v>4708.2959665536564</v>
      </c>
    </row>
    <row r="120" spans="1:26" x14ac:dyDescent="0.35">
      <c r="A120" s="50" t="s">
        <v>1519</v>
      </c>
      <c r="B120" s="232">
        <v>32.658244771857049</v>
      </c>
      <c r="C120" s="145">
        <v>24.608887817179486</v>
      </c>
      <c r="D120" s="145">
        <v>18.176688466604482</v>
      </c>
      <c r="E120" s="145">
        <v>5.4991080834828505</v>
      </c>
      <c r="F120" s="145">
        <v>10.583435885299433</v>
      </c>
      <c r="G120" s="145">
        <v>0</v>
      </c>
      <c r="H120" s="145">
        <v>0.68951199501233718</v>
      </c>
      <c r="I120" s="145">
        <v>300.4054648398826</v>
      </c>
      <c r="J120" s="145">
        <v>314.59222772080039</v>
      </c>
      <c r="K120" s="232">
        <v>4.6940380692794301</v>
      </c>
      <c r="L120" s="145">
        <v>10.02280650315836</v>
      </c>
      <c r="M120" s="144">
        <v>239.03438527190787</v>
      </c>
      <c r="N120" s="145">
        <v>40.547373640661242</v>
      </c>
      <c r="O120" s="145">
        <v>297.23054868572513</v>
      </c>
      <c r="P120" s="144">
        <v>281.79115823758497</v>
      </c>
      <c r="Q120" s="144">
        <v>4.8905293645648058</v>
      </c>
      <c r="R120" s="145">
        <v>125.94780135637973</v>
      </c>
      <c r="S120" s="145">
        <v>239.70390217327156</v>
      </c>
      <c r="T120" s="232">
        <v>11.806867259721471</v>
      </c>
      <c r="U120" s="144">
        <v>235.35978516701417</v>
      </c>
      <c r="V120" s="232">
        <v>4.465262888751246</v>
      </c>
      <c r="W120" s="146">
        <v>297.23054868572513</v>
      </c>
      <c r="X120" s="256">
        <v>34.771139128929207</v>
      </c>
      <c r="Y120" s="145">
        <v>6.9102056814244399</v>
      </c>
      <c r="Z120" s="144">
        <v>147.93093222099921</v>
      </c>
    </row>
    <row r="121" spans="1:26" x14ac:dyDescent="0.35">
      <c r="A121" s="50" t="s">
        <v>1518</v>
      </c>
      <c r="B121" s="232">
        <v>58.455455029524167</v>
      </c>
      <c r="C121" s="145">
        <v>50.938468221316775</v>
      </c>
      <c r="D121" s="145">
        <v>43.444010446371884</v>
      </c>
      <c r="E121" s="145">
        <v>1.8918369616551347</v>
      </c>
      <c r="F121" s="145">
        <v>17.037465554984458</v>
      </c>
      <c r="G121" s="145">
        <v>0</v>
      </c>
      <c r="H121" s="145">
        <v>1.2910075322538546</v>
      </c>
      <c r="I121" s="145">
        <v>714.2036847388232</v>
      </c>
      <c r="J121" s="145">
        <v>370.78774015918555</v>
      </c>
      <c r="K121" s="232">
        <v>8.7970316699540092</v>
      </c>
      <c r="L121" s="145">
        <v>15.870151981274374</v>
      </c>
      <c r="M121" s="144">
        <v>217.92433053548237</v>
      </c>
      <c r="N121" s="145">
        <v>103.47279326861724</v>
      </c>
      <c r="O121" s="145">
        <v>676.00419399333896</v>
      </c>
      <c r="P121" s="144">
        <v>644.76828531832984</v>
      </c>
      <c r="Q121" s="144">
        <v>9.8749871455508931</v>
      </c>
      <c r="R121" s="145">
        <v>292.52876188201833</v>
      </c>
      <c r="S121" s="145">
        <v>615.07075060916884</v>
      </c>
      <c r="T121" s="232">
        <v>23.27245342459209</v>
      </c>
      <c r="U121" s="144">
        <v>604.99337599358012</v>
      </c>
      <c r="V121" s="232">
        <v>6.8051810841468026</v>
      </c>
      <c r="W121" s="146">
        <v>676.00419399333896</v>
      </c>
      <c r="X121" s="256">
        <v>76.55468386540511</v>
      </c>
      <c r="Y121" s="145">
        <v>17.285427279679521</v>
      </c>
      <c r="Z121" s="144">
        <v>203.50552584809682</v>
      </c>
    </row>
    <row r="122" spans="1:26" x14ac:dyDescent="0.35">
      <c r="A122" s="50" t="s">
        <v>1531</v>
      </c>
      <c r="B122" s="232">
        <v>24298.793744438775</v>
      </c>
      <c r="C122" s="145">
        <v>4898.2635098508972</v>
      </c>
      <c r="D122" s="145">
        <v>863.71006682651864</v>
      </c>
      <c r="E122" s="145">
        <v>46.272844208217272</v>
      </c>
      <c r="F122" s="145">
        <v>637.10067871737431</v>
      </c>
      <c r="G122" s="145">
        <v>0</v>
      </c>
      <c r="H122" s="145">
        <v>138.59147560429881</v>
      </c>
      <c r="I122" s="145">
        <v>2605.6032813425577</v>
      </c>
      <c r="J122" s="145">
        <v>4658.344751296665</v>
      </c>
      <c r="K122" s="232">
        <v>702.26708711452375</v>
      </c>
      <c r="L122" s="145">
        <v>619.06438685933074</v>
      </c>
      <c r="M122" s="144">
        <v>7373.3433361804318</v>
      </c>
      <c r="N122" s="145">
        <v>1852.6945199748834</v>
      </c>
      <c r="O122" s="145">
        <v>5529.1476417259419</v>
      </c>
      <c r="P122" s="144">
        <v>6083.9268924241296</v>
      </c>
      <c r="Q122" s="144">
        <v>2555.1908111497337</v>
      </c>
      <c r="R122" s="145">
        <v>15864.393796730488</v>
      </c>
      <c r="S122" s="145">
        <v>5473.7096271092214</v>
      </c>
      <c r="T122" s="232">
        <v>2574.6881191028965</v>
      </c>
      <c r="U122" s="144">
        <v>5103.3759777711848</v>
      </c>
      <c r="V122" s="232">
        <v>684.8492356259751</v>
      </c>
      <c r="W122" s="146">
        <v>5529.1476417259419</v>
      </c>
      <c r="X122" s="256">
        <v>4920.1152120532142</v>
      </c>
      <c r="Y122" s="145">
        <v>348.63205036977115</v>
      </c>
      <c r="Z122" s="144">
        <v>6722.4993502537673</v>
      </c>
    </row>
    <row r="123" spans="1:26" x14ac:dyDescent="0.35">
      <c r="A123" s="50" t="s">
        <v>1530</v>
      </c>
      <c r="B123" s="232">
        <v>56.351061740524742</v>
      </c>
      <c r="C123" s="145">
        <v>43.419497176515627</v>
      </c>
      <c r="D123" s="145">
        <v>2.4480749710887046</v>
      </c>
      <c r="E123" s="145">
        <v>0.20265948684110452</v>
      </c>
      <c r="F123" s="145">
        <v>1.4063474589091072</v>
      </c>
      <c r="G123" s="145">
        <v>0</v>
      </c>
      <c r="H123" s="145">
        <v>0.60915327908999362</v>
      </c>
      <c r="I123" s="145">
        <v>724.26694380564629</v>
      </c>
      <c r="J123" s="145">
        <v>28.01235911362506</v>
      </c>
      <c r="K123" s="232">
        <v>1.0131879361881477</v>
      </c>
      <c r="L123" s="145">
        <v>1.0301773738593618</v>
      </c>
      <c r="M123" s="144">
        <v>82.85295320513714</v>
      </c>
      <c r="N123" s="145">
        <v>12.881689619096054</v>
      </c>
      <c r="O123" s="145">
        <v>35.690810485909878</v>
      </c>
      <c r="P123" s="144">
        <v>46.896865570920212</v>
      </c>
      <c r="Q123" s="144">
        <v>12.464127766075537</v>
      </c>
      <c r="R123" s="145">
        <v>1395.0204107963941</v>
      </c>
      <c r="S123" s="145">
        <v>83.971517342305205</v>
      </c>
      <c r="T123" s="232">
        <v>11.501594911774815</v>
      </c>
      <c r="U123" s="144">
        <v>32.317022579221486</v>
      </c>
      <c r="V123" s="232">
        <v>5.4484248853536243</v>
      </c>
      <c r="W123" s="146">
        <v>35.690810485909878</v>
      </c>
      <c r="X123" s="256">
        <v>269.48990277274066</v>
      </c>
      <c r="Y123" s="145">
        <v>3.0508999332585764</v>
      </c>
      <c r="Z123" s="144">
        <v>52.477067059855656</v>
      </c>
    </row>
    <row r="124" spans="1:26" x14ac:dyDescent="0.35">
      <c r="A124" s="50" t="s">
        <v>1529</v>
      </c>
      <c r="B124" s="49">
        <v>9402358.9802260809</v>
      </c>
      <c r="C124" s="48">
        <v>1864166.3711213365</v>
      </c>
      <c r="D124" s="48">
        <v>739945.53351484844</v>
      </c>
      <c r="E124" s="48">
        <v>33160.761094997499</v>
      </c>
      <c r="F124" s="48">
        <v>1152633.8042754256</v>
      </c>
      <c r="G124" s="48">
        <v>0</v>
      </c>
      <c r="H124" s="48">
        <v>89488.624619674083</v>
      </c>
      <c r="I124" s="48">
        <v>2038221.2988009108</v>
      </c>
      <c r="J124" s="48">
        <v>3298851.9731500237</v>
      </c>
      <c r="K124" s="49">
        <v>618372.87744454911</v>
      </c>
      <c r="L124" s="48">
        <v>1147821.0384050268</v>
      </c>
      <c r="M124" s="47">
        <v>7460876.087697994</v>
      </c>
      <c r="N124" s="48">
        <v>1380098.0958069609</v>
      </c>
      <c r="O124" s="48">
        <v>2852369.9060958871</v>
      </c>
      <c r="P124" s="47">
        <v>3702832.4560627658</v>
      </c>
      <c r="Q124" s="47">
        <v>1019410.7318471875</v>
      </c>
      <c r="R124" s="48">
        <v>6743871.3072583918</v>
      </c>
      <c r="S124" s="48">
        <v>2690072.1835855376</v>
      </c>
      <c r="T124" s="49">
        <v>1849830.9803748936</v>
      </c>
      <c r="U124" s="47">
        <v>2556278.8565117312</v>
      </c>
      <c r="V124" s="49">
        <v>367398.64272375224</v>
      </c>
      <c r="W124" s="155">
        <v>2852369.9060958871</v>
      </c>
      <c r="X124" s="259">
        <v>2661690.7545299442</v>
      </c>
      <c r="Y124" s="48">
        <v>448676.3696359903</v>
      </c>
      <c r="Z124" s="47">
        <v>4236695.0603806349</v>
      </c>
    </row>
    <row r="125" spans="1:26" x14ac:dyDescent="0.35">
      <c r="A125" s="50" t="s">
        <v>1528</v>
      </c>
      <c r="B125" s="240">
        <v>9410531.3001230657</v>
      </c>
      <c r="C125" s="154">
        <v>1867286.2357290729</v>
      </c>
      <c r="D125" s="154">
        <v>741479.84766258043</v>
      </c>
      <c r="E125" s="154">
        <v>33356.599912220161</v>
      </c>
      <c r="F125" s="154">
        <v>1153647.8034271188</v>
      </c>
      <c r="G125" s="154">
        <v>0</v>
      </c>
      <c r="H125" s="154">
        <v>89738.882999465262</v>
      </c>
      <c r="I125" s="154">
        <v>2093852.737051538</v>
      </c>
      <c r="J125" s="154">
        <v>3310901.6679252228</v>
      </c>
      <c r="K125" s="240">
        <v>619396.30346202152</v>
      </c>
      <c r="L125" s="154">
        <v>1148790.7022380661</v>
      </c>
      <c r="M125" s="153">
        <v>7473006.9194105603</v>
      </c>
      <c r="N125" s="154">
        <v>1382142.3381742281</v>
      </c>
      <c r="O125" s="154">
        <v>2862857.442445403</v>
      </c>
      <c r="P125" s="153">
        <v>3713336.5718276692</v>
      </c>
      <c r="Q125" s="153">
        <v>1020431.4343807282</v>
      </c>
      <c r="R125" s="154">
        <v>6760761.1124727614</v>
      </c>
      <c r="S125" s="154">
        <v>2699164.5854083165</v>
      </c>
      <c r="T125" s="240">
        <v>1852374.9681814653</v>
      </c>
      <c r="U125" s="153">
        <v>2564824.0091639683</v>
      </c>
      <c r="V125" s="154">
        <v>367790.30463784601</v>
      </c>
      <c r="W125" s="239">
        <v>2862857.442445403</v>
      </c>
      <c r="X125" s="258">
        <v>2667213.499958335</v>
      </c>
      <c r="Y125" s="154">
        <v>449034.30025258719</v>
      </c>
      <c r="Z125" s="153">
        <v>4244409.1880022753</v>
      </c>
    </row>
    <row r="126" spans="1:26" x14ac:dyDescent="0.35">
      <c r="A126" s="46" t="s">
        <v>1527</v>
      </c>
      <c r="B126" s="240">
        <v>10154428.143817468</v>
      </c>
      <c r="C126" s="154">
        <v>2025740.3077763766</v>
      </c>
      <c r="D126" s="154">
        <v>768039.88953471452</v>
      </c>
      <c r="E126" s="154">
        <v>34798.490002479572</v>
      </c>
      <c r="F126" s="154">
        <v>1173133.5058652509</v>
      </c>
      <c r="G126" s="154">
        <v>0</v>
      </c>
      <c r="H126" s="154">
        <v>94058.05288655308</v>
      </c>
      <c r="I126" s="154">
        <v>2363951.5756003112</v>
      </c>
      <c r="J126" s="154">
        <v>3458075.2856292333</v>
      </c>
      <c r="K126" s="240">
        <v>640732.81087854714</v>
      </c>
      <c r="L126" s="154">
        <v>1167635.6308479188</v>
      </c>
      <c r="M126" s="153">
        <v>7716163.2520953342</v>
      </c>
      <c r="N126" s="154">
        <v>1441136.8215225351</v>
      </c>
      <c r="O126" s="154">
        <v>3038189.9364759475</v>
      </c>
      <c r="P126" s="153">
        <v>3908282.0479766871</v>
      </c>
      <c r="Q126" s="153">
        <v>1100390.1525732302</v>
      </c>
      <c r="R126" s="154">
        <v>7606373.3352357205</v>
      </c>
      <c r="S126" s="154">
        <v>2885628.3263173038</v>
      </c>
      <c r="T126" s="240">
        <v>1932663.5344061726</v>
      </c>
      <c r="U126" s="153">
        <v>2726489.2994805975</v>
      </c>
      <c r="V126" s="154">
        <v>389779.61430124397</v>
      </c>
      <c r="W126" s="239">
        <v>3038189.9364759475</v>
      </c>
      <c r="X126" s="258">
        <v>2886231.7805547076</v>
      </c>
      <c r="Y126" s="154">
        <v>460301.75024599384</v>
      </c>
      <c r="Z126" s="153">
        <v>4459990.59128075</v>
      </c>
    </row>
    <row r="127" spans="1:26" ht="13.15" x14ac:dyDescent="0.4">
      <c r="A127" s="238" t="s">
        <v>1562</v>
      </c>
      <c r="B127" s="237"/>
      <c r="C127" s="157"/>
      <c r="D127" s="157"/>
      <c r="E127" s="157"/>
      <c r="F127" s="157"/>
      <c r="G127" s="157"/>
      <c r="H127" s="157"/>
      <c r="I127" s="157"/>
      <c r="J127" s="157"/>
      <c r="K127" s="237"/>
      <c r="L127" s="157"/>
      <c r="M127" s="156"/>
      <c r="N127" s="157"/>
      <c r="O127" s="157"/>
      <c r="P127" s="156"/>
      <c r="Q127" s="156"/>
      <c r="R127" s="157"/>
      <c r="S127" s="157"/>
      <c r="T127" s="237"/>
      <c r="U127" s="156"/>
      <c r="V127" s="157"/>
      <c r="W127" s="241"/>
      <c r="X127" s="257"/>
      <c r="Y127" s="157"/>
      <c r="Z127" s="156"/>
    </row>
    <row r="128" spans="1:26" x14ac:dyDescent="0.35">
      <c r="A128" s="50" t="s">
        <v>1525</v>
      </c>
      <c r="B128" s="232">
        <v>59.615742823977563</v>
      </c>
      <c r="C128" s="145">
        <v>14.208181488151373</v>
      </c>
      <c r="D128" s="145">
        <v>5.0833696034417999</v>
      </c>
      <c r="E128" s="145">
        <v>1.1030731613645395</v>
      </c>
      <c r="F128" s="145">
        <v>1.2317032446028291</v>
      </c>
      <c r="G128" s="145">
        <v>0</v>
      </c>
      <c r="H128" s="145">
        <v>2.6729390718871353</v>
      </c>
      <c r="I128" s="145">
        <v>2.0422032491447264</v>
      </c>
      <c r="J128" s="145">
        <v>44.842511125256991</v>
      </c>
      <c r="K128" s="232">
        <v>1.7607199564484048</v>
      </c>
      <c r="L128" s="145">
        <v>1.0851971060098387</v>
      </c>
      <c r="M128" s="144">
        <v>79.293976071789032</v>
      </c>
      <c r="N128" s="145">
        <v>10.624623333294364</v>
      </c>
      <c r="O128" s="145">
        <v>26.439042370941294</v>
      </c>
      <c r="P128" s="144">
        <v>33.478809542425921</v>
      </c>
      <c r="Q128" s="144">
        <v>7.3946825613690317</v>
      </c>
      <c r="R128" s="145">
        <v>537.84721150675546</v>
      </c>
      <c r="S128" s="145">
        <v>38.657311721629796</v>
      </c>
      <c r="T128" s="232">
        <v>8.2378975137972041</v>
      </c>
      <c r="U128" s="144">
        <v>18.959303624656911</v>
      </c>
      <c r="V128" s="145">
        <v>3.0210383481073304</v>
      </c>
      <c r="W128" s="146">
        <v>26.439042370941294</v>
      </c>
      <c r="X128" s="256">
        <v>106.07584777830193</v>
      </c>
      <c r="Y128" s="145">
        <v>1.163073607559755</v>
      </c>
      <c r="Z128" s="144">
        <v>31.383010612875474</v>
      </c>
    </row>
    <row r="129" spans="1:26" x14ac:dyDescent="0.35">
      <c r="A129" s="50" t="s">
        <v>1524</v>
      </c>
      <c r="B129" s="232">
        <v>263.15064259500974</v>
      </c>
      <c r="C129" s="145">
        <v>53.11851930230948</v>
      </c>
      <c r="D129" s="145">
        <v>4.7260139357462805</v>
      </c>
      <c r="E129" s="145">
        <v>0.81660888602068193</v>
      </c>
      <c r="F129" s="145">
        <v>2.3434498075060533</v>
      </c>
      <c r="G129" s="145">
        <v>0</v>
      </c>
      <c r="H129" s="145">
        <v>2.3020308450476725</v>
      </c>
      <c r="I129" s="145">
        <v>1.9035845843933226</v>
      </c>
      <c r="J129" s="145">
        <v>45.627875358458795</v>
      </c>
      <c r="K129" s="232">
        <v>1.7832994663231778</v>
      </c>
      <c r="L129" s="145">
        <v>3.0706815615310692</v>
      </c>
      <c r="M129" s="144">
        <v>73.407114157956897</v>
      </c>
      <c r="N129" s="145">
        <v>44.922766687733613</v>
      </c>
      <c r="O129" s="145">
        <v>86.789078643407152</v>
      </c>
      <c r="P129" s="144">
        <v>92.465451873197026</v>
      </c>
      <c r="Q129" s="144">
        <v>38.322240125512224</v>
      </c>
      <c r="R129" s="145">
        <v>234.06537059397331</v>
      </c>
      <c r="S129" s="145">
        <v>87.186111422220918</v>
      </c>
      <c r="T129" s="232">
        <v>40.478798975377032</v>
      </c>
      <c r="U129" s="144">
        <v>85.736923127194927</v>
      </c>
      <c r="V129" s="145">
        <v>20.590206049619496</v>
      </c>
      <c r="W129" s="146">
        <v>86.789078643407152</v>
      </c>
      <c r="X129" s="256">
        <v>54.497742044824207</v>
      </c>
      <c r="Y129" s="145">
        <v>4.5593436648437837</v>
      </c>
      <c r="Z129" s="144">
        <v>75.087035173430024</v>
      </c>
    </row>
    <row r="130" spans="1:26" x14ac:dyDescent="0.35">
      <c r="A130" s="50" t="s">
        <v>1523</v>
      </c>
      <c r="B130" s="232">
        <v>429.7993219551538</v>
      </c>
      <c r="C130" s="145">
        <v>139.04388975303743</v>
      </c>
      <c r="D130" s="145">
        <v>11.693428222945256</v>
      </c>
      <c r="E130" s="145">
        <v>1.4658821076931217</v>
      </c>
      <c r="F130" s="145">
        <v>8.1234180215644614</v>
      </c>
      <c r="G130" s="145">
        <v>0</v>
      </c>
      <c r="H130" s="145">
        <v>4.6637207212578105</v>
      </c>
      <c r="I130" s="145">
        <v>3.8087372728068782</v>
      </c>
      <c r="J130" s="145">
        <v>105.60643051782908</v>
      </c>
      <c r="K130" s="232">
        <v>5.4838343975804715</v>
      </c>
      <c r="L130" s="145">
        <v>8.2373567242532175</v>
      </c>
      <c r="M130" s="144">
        <v>151.47272759190184</v>
      </c>
      <c r="N130" s="145">
        <v>104.47734198928183</v>
      </c>
      <c r="O130" s="145">
        <v>158.77611662037376</v>
      </c>
      <c r="P130" s="144">
        <v>168.14837562070176</v>
      </c>
      <c r="Q130" s="144">
        <v>74.341423257196027</v>
      </c>
      <c r="R130" s="145">
        <v>445.23762200347619</v>
      </c>
      <c r="S130" s="145">
        <v>156.54185925554631</v>
      </c>
      <c r="T130" s="232">
        <v>107.64070733371086</v>
      </c>
      <c r="U130" s="144">
        <v>159.19179807741435</v>
      </c>
      <c r="V130" s="145">
        <v>53.786812598932784</v>
      </c>
      <c r="W130" s="146">
        <v>158.77611662037376</v>
      </c>
      <c r="X130" s="256">
        <v>102.95921716605949</v>
      </c>
      <c r="Y130" s="145">
        <v>5.5618712657613454</v>
      </c>
      <c r="Z130" s="144">
        <v>171.70182585302888</v>
      </c>
    </row>
    <row r="131" spans="1:26" x14ac:dyDescent="0.35">
      <c r="A131" s="50" t="s">
        <v>1522</v>
      </c>
      <c r="B131" s="232">
        <v>56.054007112223836</v>
      </c>
      <c r="C131" s="145">
        <v>20.353523583987542</v>
      </c>
      <c r="D131" s="145">
        <v>1.2427793489713914</v>
      </c>
      <c r="E131" s="145">
        <v>0.22134299229634141</v>
      </c>
      <c r="F131" s="145">
        <v>0.84859913548983867</v>
      </c>
      <c r="G131" s="145">
        <v>0</v>
      </c>
      <c r="H131" s="145">
        <v>0.71085331372907468</v>
      </c>
      <c r="I131" s="145">
        <v>0.57502067728968198</v>
      </c>
      <c r="J131" s="145">
        <v>15.039471615054307</v>
      </c>
      <c r="K131" s="232">
        <v>0.47865663862836388</v>
      </c>
      <c r="L131" s="145">
        <v>0.73604350707656208</v>
      </c>
      <c r="M131" s="144">
        <v>21.023247047327139</v>
      </c>
      <c r="N131" s="145">
        <v>12.013781538740416</v>
      </c>
      <c r="O131" s="145">
        <v>13.828281591307237</v>
      </c>
      <c r="P131" s="144">
        <v>15.050998416702811</v>
      </c>
      <c r="Q131" s="144">
        <v>8.5071013540392855</v>
      </c>
      <c r="R131" s="145">
        <v>35.931321365022953</v>
      </c>
      <c r="S131" s="145">
        <v>12.331077731491684</v>
      </c>
      <c r="T131" s="232">
        <v>12.8711258028833</v>
      </c>
      <c r="U131" s="144">
        <v>13.385204651367584</v>
      </c>
      <c r="V131" s="145">
        <v>6.6488379119468544</v>
      </c>
      <c r="W131" s="146">
        <v>13.828281591307237</v>
      </c>
      <c r="X131" s="256">
        <v>7.7501404310685595</v>
      </c>
      <c r="Y131" s="145">
        <v>7.0430768917905368E-2</v>
      </c>
      <c r="Z131" s="144">
        <v>22.812723857254877</v>
      </c>
    </row>
    <row r="132" spans="1:26" x14ac:dyDescent="0.35">
      <c r="A132" s="50" t="s">
        <v>1521</v>
      </c>
      <c r="B132" s="232">
        <v>53.328565262115006</v>
      </c>
      <c r="C132" s="145">
        <v>13.68298033678918</v>
      </c>
      <c r="D132" s="145">
        <v>0.99960244762394257</v>
      </c>
      <c r="E132" s="145">
        <v>0.17258396355838559</v>
      </c>
      <c r="F132" s="145">
        <v>0.59369244585757219</v>
      </c>
      <c r="G132" s="145">
        <v>0</v>
      </c>
      <c r="H132" s="145">
        <v>0.52545559218353832</v>
      </c>
      <c r="I132" s="145">
        <v>0.46371502023497913</v>
      </c>
      <c r="J132" s="145">
        <v>10.968431219840372</v>
      </c>
      <c r="K132" s="232">
        <v>0.39340132929714189</v>
      </c>
      <c r="L132" s="145">
        <v>0.56345561126075294</v>
      </c>
      <c r="M132" s="144">
        <v>16.859618946710871</v>
      </c>
      <c r="N132" s="145">
        <v>8.8886532716254649</v>
      </c>
      <c r="O132" s="145">
        <v>10.225569135540335</v>
      </c>
      <c r="P132" s="144">
        <v>11.429366710622867</v>
      </c>
      <c r="Q132" s="144">
        <v>7.066419656396933</v>
      </c>
      <c r="R132" s="145">
        <v>28.932292896626628</v>
      </c>
      <c r="S132" s="145">
        <v>9.2565220232510068</v>
      </c>
      <c r="T132" s="232">
        <v>9.556284885535522</v>
      </c>
      <c r="U132" s="144">
        <v>9.9370130053148102</v>
      </c>
      <c r="V132" s="145">
        <v>4.8930382541663509</v>
      </c>
      <c r="W132" s="146">
        <v>10.225569135540335</v>
      </c>
      <c r="X132" s="256">
        <v>6.2588100188520981</v>
      </c>
      <c r="Y132" s="145">
        <v>5.7006372163891907E-2</v>
      </c>
      <c r="Z132" s="144">
        <v>15.985209201119359</v>
      </c>
    </row>
    <row r="133" spans="1:26" x14ac:dyDescent="0.35">
      <c r="A133" s="50" t="s">
        <v>1520</v>
      </c>
      <c r="B133" s="232">
        <v>267.92238615380671</v>
      </c>
      <c r="C133" s="145">
        <v>495.28298445070322</v>
      </c>
      <c r="D133" s="145">
        <v>8.9925970670351063</v>
      </c>
      <c r="E133" s="145">
        <v>1.7333383090568273</v>
      </c>
      <c r="F133" s="145">
        <v>16.527453073180261</v>
      </c>
      <c r="G133" s="145">
        <v>0</v>
      </c>
      <c r="H133" s="145">
        <v>9.010570969125915</v>
      </c>
      <c r="I133" s="145">
        <v>4.3884869010652379</v>
      </c>
      <c r="J133" s="145">
        <v>223.23639198195156</v>
      </c>
      <c r="K133" s="232">
        <v>3.5073300027670156</v>
      </c>
      <c r="L133" s="145">
        <v>19.234255238673679</v>
      </c>
      <c r="M133" s="144">
        <v>183.91926325014109</v>
      </c>
      <c r="N133" s="145">
        <v>377.81253313426851</v>
      </c>
      <c r="O133" s="145">
        <v>380.82896935031334</v>
      </c>
      <c r="P133" s="144">
        <v>372.79495882121694</v>
      </c>
      <c r="Q133" s="144">
        <v>176.42007531998414</v>
      </c>
      <c r="R133" s="145">
        <v>812.39631740466075</v>
      </c>
      <c r="S133" s="145">
        <v>367.85525583105527</v>
      </c>
      <c r="T133" s="232">
        <v>406.67233203194036</v>
      </c>
      <c r="U133" s="144">
        <v>418.31202880332864</v>
      </c>
      <c r="V133" s="145">
        <v>220.22745775240475</v>
      </c>
      <c r="W133" s="146">
        <v>380.82896935031334</v>
      </c>
      <c r="X133" s="256">
        <v>160.43252782391716</v>
      </c>
      <c r="Y133" s="145">
        <v>0.81025268617645629</v>
      </c>
      <c r="Z133" s="144">
        <v>493.08331397456158</v>
      </c>
    </row>
    <row r="134" spans="1:26" x14ac:dyDescent="0.35">
      <c r="A134" s="50" t="s">
        <v>1519</v>
      </c>
      <c r="B134" s="232">
        <v>4.0194435191296654</v>
      </c>
      <c r="C134" s="145">
        <v>0.93509886204226578</v>
      </c>
      <c r="D134" s="145">
        <v>0.11753291992646651</v>
      </c>
      <c r="E134" s="145">
        <v>2.1542091753747272E-2</v>
      </c>
      <c r="F134" s="145">
        <v>4.9285361914240475E-2</v>
      </c>
      <c r="G134" s="145">
        <v>0</v>
      </c>
      <c r="H134" s="145">
        <v>5.8164473105776521E-2</v>
      </c>
      <c r="I134" s="145">
        <v>5.3350199898768387E-2</v>
      </c>
      <c r="J134" s="145">
        <v>1.124446082378413</v>
      </c>
      <c r="K134" s="232">
        <v>4.3435835192261026E-2</v>
      </c>
      <c r="L134" s="145">
        <v>4.1626264164838105E-2</v>
      </c>
      <c r="M134" s="144">
        <v>1.9239618407905663</v>
      </c>
      <c r="N134" s="145">
        <v>0.58223338955043635</v>
      </c>
      <c r="O134" s="145">
        <v>0.77571570197572304</v>
      </c>
      <c r="P134" s="144">
        <v>0.93908770365662919</v>
      </c>
      <c r="Q134" s="144">
        <v>0.48443912744554918</v>
      </c>
      <c r="R134" s="145">
        <v>2.0730468330014897</v>
      </c>
      <c r="S134" s="145">
        <v>0.64333659742672189</v>
      </c>
      <c r="T134" s="232">
        <v>0.6093252444181092</v>
      </c>
      <c r="U134" s="144">
        <v>0.67045658541715036</v>
      </c>
      <c r="V134" s="145">
        <v>0.29621913756937707</v>
      </c>
      <c r="W134" s="146">
        <v>0.77571570197572304</v>
      </c>
      <c r="X134" s="256">
        <v>0.4828327862315821</v>
      </c>
      <c r="Y134" s="145">
        <v>8.4091618547382299E-3</v>
      </c>
      <c r="Z134" s="144">
        <v>1.2418951872009056</v>
      </c>
    </row>
    <row r="135" spans="1:26" x14ac:dyDescent="0.35">
      <c r="A135" s="46" t="s">
        <v>1518</v>
      </c>
      <c r="B135" s="231">
        <v>10.115890050091378</v>
      </c>
      <c r="C135" s="142">
        <v>1.9989721912409348</v>
      </c>
      <c r="D135" s="142">
        <v>0.24098865290669763</v>
      </c>
      <c r="E135" s="142">
        <v>3.0205905685865807E-2</v>
      </c>
      <c r="F135" s="142">
        <v>0.14360558436672677</v>
      </c>
      <c r="G135" s="142">
        <v>0</v>
      </c>
      <c r="H135" s="142">
        <v>8.7131922229795211E-2</v>
      </c>
      <c r="I135" s="142">
        <v>8.1167207004625513E-2</v>
      </c>
      <c r="J135" s="142">
        <v>1.9451396064331461</v>
      </c>
      <c r="K135" s="231">
        <v>0.12506995095743934</v>
      </c>
      <c r="L135" s="142">
        <v>0.13566812583919388</v>
      </c>
      <c r="M135" s="141">
        <v>3.152651278749464</v>
      </c>
      <c r="N135" s="142">
        <v>1.3837334631011691</v>
      </c>
      <c r="O135" s="142">
        <v>1.6675231231754573</v>
      </c>
      <c r="P135" s="141">
        <v>1.9142644749046123</v>
      </c>
      <c r="Q135" s="141">
        <v>1.2167820615346998</v>
      </c>
      <c r="R135" s="142">
        <v>5.6905541373397792</v>
      </c>
      <c r="S135" s="142">
        <v>1.5397755758332083</v>
      </c>
      <c r="T135" s="231">
        <v>1.5943820503326669</v>
      </c>
      <c r="U135" s="141">
        <v>1.5958497841050125</v>
      </c>
      <c r="V135" s="142">
        <v>0.75267438611039761</v>
      </c>
      <c r="W135" s="143">
        <v>1.6675231231754573</v>
      </c>
      <c r="X135" s="255">
        <v>1.3299668634181083</v>
      </c>
      <c r="Y135" s="142">
        <v>1.267433477902778E-2</v>
      </c>
      <c r="Z135" s="141">
        <v>2.5157654895032455</v>
      </c>
    </row>
  </sheetData>
  <mergeCells count="39">
    <mergeCell ref="AK53:AL54"/>
    <mergeCell ref="AM53:AN54"/>
    <mergeCell ref="W54:X54"/>
    <mergeCell ref="Y54:Z54"/>
    <mergeCell ref="B54:D54"/>
    <mergeCell ref="E54:G54"/>
    <mergeCell ref="H54:J54"/>
    <mergeCell ref="AS52:AT54"/>
    <mergeCell ref="B53:J53"/>
    <mergeCell ref="K53:P53"/>
    <mergeCell ref="Q53:R54"/>
    <mergeCell ref="S53:X53"/>
    <mergeCell ref="Y53:AB53"/>
    <mergeCell ref="AI53:AJ54"/>
    <mergeCell ref="S54:T54"/>
    <mergeCell ref="AO53:AP54"/>
    <mergeCell ref="B52:P52"/>
    <mergeCell ref="Q52:AB52"/>
    <mergeCell ref="AC52:AE54"/>
    <mergeCell ref="AF52:AH54"/>
    <mergeCell ref="AI52:AL52"/>
    <mergeCell ref="AM52:AR52"/>
    <mergeCell ref="AQ53:AR54"/>
    <mergeCell ref="R104:S104"/>
    <mergeCell ref="T104:U104"/>
    <mergeCell ref="X104:Z104"/>
    <mergeCell ref="AA54:AB54"/>
    <mergeCell ref="B103:P103"/>
    <mergeCell ref="Q103:U103"/>
    <mergeCell ref="V103:V105"/>
    <mergeCell ref="W103:W105"/>
    <mergeCell ref="X103:Z103"/>
    <mergeCell ref="B104:J104"/>
    <mergeCell ref="K104:M104"/>
    <mergeCell ref="N104:P104"/>
    <mergeCell ref="Q104:Q105"/>
    <mergeCell ref="K54:M54"/>
    <mergeCell ref="N54:P54"/>
    <mergeCell ref="U54:V54"/>
  </mergeCells>
  <dataValidations count="1">
    <dataValidation type="list" allowBlank="1" showInputMessage="1" showErrorMessage="1" sqref="C30" xr:uid="{00000000-0002-0000-4400-000000000000}">
      <formula1>"Ethanol,Methanol"</formula1>
    </dataValidation>
  </dataValidations>
  <pageMargins left="0.75" right="0.75" top="1" bottom="1" header="0.5" footer="0.5"/>
  <pageSetup orientation="portrait" verticalDpi="0" r:id="rId1"/>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C488"/>
  <sheetViews>
    <sheetView showGridLines="0" zoomScale="85" zoomScaleNormal="85" workbookViewId="0">
      <pane xSplit="2" topLeftCell="C1" activePane="topRight" state="frozen"/>
      <selection activeCell="G1" sqref="G1"/>
      <selection pane="topRight" activeCell="G1" sqref="G1"/>
    </sheetView>
  </sheetViews>
  <sheetFormatPr defaultColWidth="8.86328125" defaultRowHeight="12.75" x14ac:dyDescent="0.35"/>
  <cols>
    <col min="1" max="1" width="1.46484375" style="39" customWidth="1"/>
    <col min="2" max="2" width="36.796875" style="39" customWidth="1"/>
    <col min="3" max="3" width="12.46484375" style="39" customWidth="1"/>
    <col min="4" max="4" width="17" style="39" customWidth="1"/>
    <col min="5" max="5" width="11.86328125" style="39" customWidth="1"/>
    <col min="6" max="6" width="17.46484375" style="39" customWidth="1"/>
    <col min="7" max="7" width="11.86328125" style="39" customWidth="1"/>
    <col min="8" max="8" width="10.796875" style="39" customWidth="1"/>
    <col min="9" max="9" width="11.1328125" style="39" bestFit="1" customWidth="1"/>
    <col min="10" max="10" width="10.796875" style="39" customWidth="1"/>
    <col min="11" max="11" width="11.86328125" style="39" bestFit="1" customWidth="1"/>
    <col min="12" max="12" width="10.796875" style="39" customWidth="1"/>
    <col min="13" max="14" width="8.86328125" style="39"/>
    <col min="15" max="15" width="11.46484375" style="39" customWidth="1"/>
    <col min="16" max="16" width="10.1328125" style="39" customWidth="1"/>
    <col min="17" max="25" width="8.86328125" style="39"/>
    <col min="26" max="26" width="9" style="39" customWidth="1"/>
    <col min="27" max="27" width="12.19921875" style="39" customWidth="1"/>
    <col min="28" max="28" width="13.86328125" style="39" customWidth="1"/>
    <col min="29" max="16384" width="8.86328125" style="39"/>
  </cols>
  <sheetData>
    <row r="1" spans="1:12" ht="15" x14ac:dyDescent="0.4">
      <c r="A1" s="140" t="s">
        <v>1517</v>
      </c>
      <c r="G1" s="230" t="s">
        <v>1626</v>
      </c>
    </row>
    <row r="2" spans="1:12" ht="13.9" x14ac:dyDescent="0.4">
      <c r="A2" s="72" t="s">
        <v>1516</v>
      </c>
    </row>
    <row r="3" spans="1:12" ht="13.15" x14ac:dyDescent="0.4">
      <c r="A3" s="41" t="s">
        <v>1515</v>
      </c>
    </row>
    <row r="4" spans="1:12" ht="38.25" x14ac:dyDescent="0.35">
      <c r="B4" s="61"/>
      <c r="C4" s="134" t="s">
        <v>1481</v>
      </c>
      <c r="D4" s="134" t="s">
        <v>1480</v>
      </c>
      <c r="E4" s="134" t="s">
        <v>1479</v>
      </c>
      <c r="F4" s="134" t="s">
        <v>1478</v>
      </c>
      <c r="G4" s="134" t="s">
        <v>1477</v>
      </c>
      <c r="H4" s="134" t="s">
        <v>1476</v>
      </c>
      <c r="I4" s="134" t="s">
        <v>1475</v>
      </c>
      <c r="J4" s="134" t="s">
        <v>1474</v>
      </c>
      <c r="K4" s="134" t="s">
        <v>1473</v>
      </c>
      <c r="L4" s="133" t="s">
        <v>1472</v>
      </c>
    </row>
    <row r="5" spans="1:12" ht="13.15" x14ac:dyDescent="0.4">
      <c r="B5" s="131" t="s">
        <v>405</v>
      </c>
      <c r="C5" s="138"/>
      <c r="D5" s="138"/>
      <c r="E5" s="138"/>
      <c r="F5" s="138"/>
      <c r="G5" s="138"/>
      <c r="H5" s="138"/>
      <c r="I5" s="138"/>
      <c r="J5" s="138"/>
      <c r="K5" s="138"/>
      <c r="L5" s="137"/>
    </row>
    <row r="6" spans="1:12" x14ac:dyDescent="0.35">
      <c r="B6" s="59" t="s">
        <v>1438</v>
      </c>
      <c r="C6" s="132">
        <v>0.68300000000000005</v>
      </c>
      <c r="D6" s="132">
        <v>0.111</v>
      </c>
      <c r="E6" s="132">
        <v>0.68300000000000005</v>
      </c>
      <c r="F6" s="132">
        <v>0.108</v>
      </c>
      <c r="G6" s="132">
        <v>0.68300000000000005</v>
      </c>
      <c r="H6" s="132">
        <v>0.105</v>
      </c>
      <c r="I6" s="132">
        <v>0.68300000000000005</v>
      </c>
      <c r="J6" s="132">
        <v>0.10299999999999999</v>
      </c>
      <c r="K6" s="132">
        <v>0.68300000000000005</v>
      </c>
      <c r="L6" s="136">
        <v>0.10299999999999999</v>
      </c>
    </row>
    <row r="7" spans="1:12" x14ac:dyDescent="0.35">
      <c r="B7" s="59" t="s">
        <v>1446</v>
      </c>
      <c r="C7" s="132">
        <v>7.0000000000000001E-3</v>
      </c>
      <c r="D7" s="132">
        <v>9.0999999999999998E-2</v>
      </c>
      <c r="E7" s="132">
        <v>7.0000000000000001E-3</v>
      </c>
      <c r="F7" s="132">
        <v>8.8999999999999996E-2</v>
      </c>
      <c r="G7" s="132">
        <v>7.0000000000000001E-3</v>
      </c>
      <c r="H7" s="132">
        <v>6.7000000000000004E-2</v>
      </c>
      <c r="I7" s="132">
        <v>7.0000000000000001E-3</v>
      </c>
      <c r="J7" s="132">
        <v>6.6000000000000003E-2</v>
      </c>
      <c r="K7" s="132">
        <v>7.0000000000000001E-3</v>
      </c>
      <c r="L7" s="136">
        <v>8.5000000000000006E-2</v>
      </c>
    </row>
    <row r="8" spans="1:12" x14ac:dyDescent="0.35">
      <c r="B8" s="59" t="s">
        <v>290</v>
      </c>
      <c r="C8" s="132">
        <v>0</v>
      </c>
      <c r="D8" s="132">
        <v>0</v>
      </c>
      <c r="E8" s="132">
        <v>0</v>
      </c>
      <c r="F8" s="132">
        <v>0</v>
      </c>
      <c r="G8" s="132">
        <v>0</v>
      </c>
      <c r="H8" s="132">
        <v>0</v>
      </c>
      <c r="I8" s="132">
        <v>0</v>
      </c>
      <c r="J8" s="132">
        <v>0</v>
      </c>
      <c r="K8" s="132">
        <v>0</v>
      </c>
      <c r="L8" s="136">
        <v>0</v>
      </c>
    </row>
    <row r="9" spans="1:12" x14ac:dyDescent="0.35">
      <c r="B9" s="59" t="s">
        <v>1498</v>
      </c>
      <c r="C9" s="132">
        <v>1.9E-2</v>
      </c>
      <c r="D9" s="132">
        <v>3.5999999999999997E-2</v>
      </c>
      <c r="E9" s="132">
        <v>1.9E-2</v>
      </c>
      <c r="F9" s="132">
        <v>3.5000000000000003E-2</v>
      </c>
      <c r="G9" s="132">
        <v>1.9E-2</v>
      </c>
      <c r="H9" s="132">
        <v>3.4000000000000002E-2</v>
      </c>
      <c r="I9" s="132">
        <v>1.9E-2</v>
      </c>
      <c r="J9" s="132">
        <v>3.3000000000000002E-2</v>
      </c>
      <c r="K9" s="132">
        <v>1.9E-2</v>
      </c>
      <c r="L9" s="136">
        <v>3.3000000000000002E-2</v>
      </c>
    </row>
    <row r="10" spans="1:12" x14ac:dyDescent="0.35">
      <c r="B10" s="59" t="s">
        <v>241</v>
      </c>
      <c r="C10" s="132">
        <v>0</v>
      </c>
      <c r="D10" s="132">
        <v>0</v>
      </c>
      <c r="E10" s="132">
        <v>0</v>
      </c>
      <c r="F10" s="132">
        <v>0</v>
      </c>
      <c r="G10" s="132">
        <v>0</v>
      </c>
      <c r="H10" s="132">
        <v>0</v>
      </c>
      <c r="I10" s="132">
        <v>0</v>
      </c>
      <c r="J10" s="132">
        <v>0</v>
      </c>
      <c r="K10" s="132">
        <v>0</v>
      </c>
      <c r="L10" s="136">
        <v>0</v>
      </c>
    </row>
    <row r="11" spans="1:12" x14ac:dyDescent="0.35">
      <c r="B11" s="59" t="s">
        <v>1462</v>
      </c>
      <c r="C11" s="132">
        <v>4.0000000000000002E-4</v>
      </c>
      <c r="D11" s="132">
        <v>8.9999999999999993E-3</v>
      </c>
      <c r="E11" s="132">
        <v>4.0000000000000002E-4</v>
      </c>
      <c r="F11" s="132">
        <v>8.9999999999999993E-3</v>
      </c>
      <c r="G11" s="132">
        <v>4.0000000000000002E-4</v>
      </c>
      <c r="H11" s="132">
        <v>8.9999999999999993E-3</v>
      </c>
      <c r="I11" s="132">
        <v>4.0000000000000002E-4</v>
      </c>
      <c r="J11" s="132">
        <v>8.9999999999999993E-3</v>
      </c>
      <c r="K11" s="132">
        <v>4.0000000000000002E-4</v>
      </c>
      <c r="L11" s="136">
        <v>8.9999999999999993E-3</v>
      </c>
    </row>
    <row r="12" spans="1:12" x14ac:dyDescent="0.35">
      <c r="B12" s="59" t="s">
        <v>1493</v>
      </c>
      <c r="C12" s="132">
        <v>0</v>
      </c>
      <c r="D12" s="132">
        <v>0</v>
      </c>
      <c r="E12" s="132">
        <v>0</v>
      </c>
      <c r="F12" s="132">
        <v>0</v>
      </c>
      <c r="G12" s="132">
        <v>0</v>
      </c>
      <c r="H12" s="132">
        <v>0</v>
      </c>
      <c r="I12" s="132">
        <v>0</v>
      </c>
      <c r="J12" s="132">
        <v>0</v>
      </c>
      <c r="K12" s="132">
        <v>0</v>
      </c>
      <c r="L12" s="136">
        <v>0</v>
      </c>
    </row>
    <row r="13" spans="1:12" x14ac:dyDescent="0.35">
      <c r="B13" s="59" t="s">
        <v>1514</v>
      </c>
      <c r="C13" s="132">
        <v>6.5000000000000002E-2</v>
      </c>
      <c r="D13" s="132">
        <v>7.6999999999999999E-2</v>
      </c>
      <c r="E13" s="132">
        <v>6.5000000000000002E-2</v>
      </c>
      <c r="F13" s="132">
        <v>7.4999999999999997E-2</v>
      </c>
      <c r="G13" s="132">
        <v>6.5000000000000002E-2</v>
      </c>
      <c r="H13" s="132">
        <v>7.2999999999999995E-2</v>
      </c>
      <c r="I13" s="132">
        <v>6.5000000000000002E-2</v>
      </c>
      <c r="J13" s="132">
        <v>7.1999999999999995E-2</v>
      </c>
      <c r="K13" s="132">
        <v>6.5000000000000002E-2</v>
      </c>
      <c r="L13" s="136">
        <v>7.1999999999999995E-2</v>
      </c>
    </row>
    <row r="14" spans="1:12" x14ac:dyDescent="0.35">
      <c r="B14" s="59" t="s">
        <v>1504</v>
      </c>
      <c r="C14" s="132">
        <v>0</v>
      </c>
      <c r="D14" s="132">
        <v>0.38100000000000001</v>
      </c>
      <c r="E14" s="132">
        <v>0</v>
      </c>
      <c r="F14" s="132">
        <v>0.39700000000000002</v>
      </c>
      <c r="G14" s="132">
        <v>0</v>
      </c>
      <c r="H14" s="132">
        <v>0.41199999999999998</v>
      </c>
      <c r="I14" s="132">
        <v>0</v>
      </c>
      <c r="J14" s="132">
        <v>0.42599999999999999</v>
      </c>
      <c r="K14" s="132">
        <v>0</v>
      </c>
      <c r="L14" s="136">
        <v>0.42299999999999999</v>
      </c>
    </row>
    <row r="15" spans="1:12" x14ac:dyDescent="0.35">
      <c r="B15" s="59" t="s">
        <v>1497</v>
      </c>
      <c r="C15" s="132">
        <v>0.18099999999999999</v>
      </c>
      <c r="D15" s="132">
        <v>0.23599999999999999</v>
      </c>
      <c r="E15" s="132">
        <v>0.18099999999999999</v>
      </c>
      <c r="F15" s="132">
        <v>0.22900000000000001</v>
      </c>
      <c r="G15" s="132">
        <v>0.18099999999999999</v>
      </c>
      <c r="H15" s="132">
        <v>0.24299999999999999</v>
      </c>
      <c r="I15" s="132">
        <v>0.18099999999999999</v>
      </c>
      <c r="J15" s="132">
        <v>0.23799999999999999</v>
      </c>
      <c r="K15" s="132">
        <v>0.18099999999999999</v>
      </c>
      <c r="L15" s="136">
        <v>0.22</v>
      </c>
    </row>
    <row r="16" spans="1:12" x14ac:dyDescent="0.35">
      <c r="B16" s="59" t="s">
        <v>1457</v>
      </c>
      <c r="C16" s="132">
        <v>5.0000000000000001E-3</v>
      </c>
      <c r="D16" s="132">
        <v>8.9999999999999993E-3</v>
      </c>
      <c r="E16" s="132">
        <v>5.0000000000000001E-3</v>
      </c>
      <c r="F16" s="132">
        <v>8.0000000000000002E-3</v>
      </c>
      <c r="G16" s="132">
        <v>5.0000000000000001E-3</v>
      </c>
      <c r="H16" s="132">
        <v>8.0000000000000002E-3</v>
      </c>
      <c r="I16" s="132">
        <v>5.0000000000000001E-3</v>
      </c>
      <c r="J16" s="132">
        <v>8.0000000000000002E-3</v>
      </c>
      <c r="K16" s="132">
        <v>5.0000000000000001E-3</v>
      </c>
      <c r="L16" s="136">
        <v>8.0000000000000002E-3</v>
      </c>
    </row>
    <row r="17" spans="2:12" x14ac:dyDescent="0.35">
      <c r="B17" s="57" t="s">
        <v>1466</v>
      </c>
      <c r="C17" s="122">
        <v>3.9599999999999969E-2</v>
      </c>
      <c r="D17" s="122">
        <v>4.9999999999999933E-2</v>
      </c>
      <c r="E17" s="122">
        <v>3.9599999999999969E-2</v>
      </c>
      <c r="F17" s="122">
        <v>4.9999999999999933E-2</v>
      </c>
      <c r="G17" s="122">
        <v>3.9599999999999969E-2</v>
      </c>
      <c r="H17" s="122">
        <v>4.9000000000000044E-2</v>
      </c>
      <c r="I17" s="122">
        <v>3.9599999999999969E-2</v>
      </c>
      <c r="J17" s="122">
        <v>4.500000000000004E-2</v>
      </c>
      <c r="K17" s="122">
        <v>3.9599999999999969E-2</v>
      </c>
      <c r="L17" s="56">
        <v>4.7000000000000042E-2</v>
      </c>
    </row>
    <row r="18" spans="2:12" ht="13.15" x14ac:dyDescent="0.4">
      <c r="B18" s="128" t="s">
        <v>1513</v>
      </c>
      <c r="C18" s="132"/>
      <c r="D18" s="132"/>
      <c r="E18" s="132"/>
      <c r="F18" s="132"/>
      <c r="G18" s="132"/>
      <c r="H18" s="132"/>
      <c r="I18" s="132"/>
      <c r="J18" s="132"/>
      <c r="K18" s="132"/>
      <c r="L18" s="136"/>
    </row>
    <row r="19" spans="2:12" x14ac:dyDescent="0.35">
      <c r="B19" s="59" t="s">
        <v>1438</v>
      </c>
      <c r="C19" s="132">
        <v>0.39500000000000002</v>
      </c>
      <c r="D19" s="132">
        <v>0.54800000000000004</v>
      </c>
      <c r="E19" s="132">
        <v>0.48399999999999999</v>
      </c>
      <c r="F19" s="132">
        <v>0.59599999999999997</v>
      </c>
      <c r="G19" s="132">
        <v>0.502</v>
      </c>
      <c r="H19" s="132">
        <v>0.60699999999999998</v>
      </c>
      <c r="I19" s="132">
        <v>0.5</v>
      </c>
      <c r="J19" s="132">
        <v>0</v>
      </c>
      <c r="K19" s="132">
        <v>0.18710919904856269</v>
      </c>
      <c r="L19" s="136">
        <v>0.18710919904856269</v>
      </c>
    </row>
    <row r="20" spans="2:12" x14ac:dyDescent="0.35">
      <c r="B20" s="59" t="s">
        <v>1495</v>
      </c>
      <c r="C20" s="132">
        <v>0</v>
      </c>
      <c r="D20" s="132">
        <v>3.5999999999999997E-2</v>
      </c>
      <c r="E20" s="132">
        <v>0</v>
      </c>
      <c r="F20" s="132">
        <v>3.2000000000000001E-2</v>
      </c>
      <c r="G20" s="132">
        <v>0</v>
      </c>
      <c r="H20" s="132">
        <v>0.03</v>
      </c>
      <c r="I20" s="132">
        <v>0</v>
      </c>
      <c r="J20" s="132">
        <v>0</v>
      </c>
      <c r="K20" s="132">
        <v>0.31347914244110364</v>
      </c>
      <c r="L20" s="136">
        <v>0.31347914244110364</v>
      </c>
    </row>
    <row r="21" spans="2:12" x14ac:dyDescent="0.35">
      <c r="B21" s="59" t="s">
        <v>1512</v>
      </c>
      <c r="C21" s="132">
        <v>0.28599999999999998</v>
      </c>
      <c r="D21" s="132">
        <v>5.2999999999999999E-2</v>
      </c>
      <c r="E21" s="132">
        <v>0.24</v>
      </c>
      <c r="F21" s="132">
        <v>4.7E-2</v>
      </c>
      <c r="G21" s="132">
        <v>0.22800000000000001</v>
      </c>
      <c r="H21" s="132">
        <v>4.3999999999999997E-2</v>
      </c>
      <c r="I21" s="132">
        <v>0</v>
      </c>
      <c r="J21" s="132">
        <v>0</v>
      </c>
      <c r="K21" s="132">
        <v>7.6391227457442282E-4</v>
      </c>
      <c r="L21" s="136">
        <v>7.6391227457442282E-4</v>
      </c>
    </row>
    <row r="22" spans="2:12" x14ac:dyDescent="0.35">
      <c r="B22" s="59" t="s">
        <v>1446</v>
      </c>
      <c r="C22" s="132">
        <v>0</v>
      </c>
      <c r="D22" s="132">
        <v>1.7999999999999999E-2</v>
      </c>
      <c r="E22" s="132">
        <v>0</v>
      </c>
      <c r="F22" s="132">
        <v>2.5000000000000001E-2</v>
      </c>
      <c r="G22" s="132">
        <v>0</v>
      </c>
      <c r="H22" s="132">
        <v>2.7E-2</v>
      </c>
      <c r="I22" s="132">
        <v>0</v>
      </c>
      <c r="J22" s="132">
        <v>0.3</v>
      </c>
      <c r="K22" s="132">
        <v>0.16794927778569879</v>
      </c>
      <c r="L22" s="136">
        <v>0.16794927778569879</v>
      </c>
    </row>
    <row r="23" spans="2:12" x14ac:dyDescent="0.35">
      <c r="B23" s="59" t="s">
        <v>1445</v>
      </c>
      <c r="C23" s="132">
        <v>0.17100000000000001</v>
      </c>
      <c r="D23" s="132">
        <v>0.17799999999999999</v>
      </c>
      <c r="E23" s="132">
        <v>0.14399999999999999</v>
      </c>
      <c r="F23" s="132">
        <v>0.158</v>
      </c>
      <c r="G23" s="132">
        <v>0.13700000000000001</v>
      </c>
      <c r="H23" s="132">
        <v>0.14899999999999999</v>
      </c>
      <c r="I23" s="132">
        <v>0</v>
      </c>
      <c r="J23" s="132">
        <v>0</v>
      </c>
      <c r="K23" s="132">
        <v>0</v>
      </c>
      <c r="L23" s="136">
        <v>0</v>
      </c>
    </row>
    <row r="24" spans="2:12" x14ac:dyDescent="0.35">
      <c r="B24" s="59" t="s">
        <v>1498</v>
      </c>
      <c r="C24" s="132">
        <v>2.9000000000000001E-2</v>
      </c>
      <c r="D24" s="132">
        <v>3.7999999999999999E-2</v>
      </c>
      <c r="E24" s="132">
        <v>2.5999999999999999E-2</v>
      </c>
      <c r="F24" s="132">
        <v>3.2000000000000001E-2</v>
      </c>
      <c r="G24" s="132">
        <v>2.8000000000000001E-2</v>
      </c>
      <c r="H24" s="132">
        <v>3.4000000000000002E-2</v>
      </c>
      <c r="I24" s="132">
        <v>0.20499999999999999</v>
      </c>
      <c r="J24" s="132">
        <v>0.28299999999999997</v>
      </c>
      <c r="K24" s="132">
        <v>1.7274919301796213E-2</v>
      </c>
      <c r="L24" s="136">
        <v>1.7274919301796213E-2</v>
      </c>
    </row>
    <row r="25" spans="2:12" x14ac:dyDescent="0.35">
      <c r="B25" s="59" t="s">
        <v>1427</v>
      </c>
      <c r="C25" s="132">
        <v>0</v>
      </c>
      <c r="D25" s="132">
        <v>0</v>
      </c>
      <c r="E25" s="132">
        <v>0</v>
      </c>
      <c r="F25" s="132">
        <v>0</v>
      </c>
      <c r="G25" s="132">
        <v>0</v>
      </c>
      <c r="H25" s="132">
        <v>0</v>
      </c>
      <c r="I25" s="132">
        <v>0</v>
      </c>
      <c r="J25" s="132">
        <v>0</v>
      </c>
      <c r="K25" s="132">
        <v>0</v>
      </c>
      <c r="L25" s="136">
        <v>0</v>
      </c>
    </row>
    <row r="26" spans="2:12" x14ac:dyDescent="0.35">
      <c r="B26" s="59" t="s">
        <v>1493</v>
      </c>
      <c r="C26" s="132">
        <v>0</v>
      </c>
      <c r="D26" s="132">
        <v>0</v>
      </c>
      <c r="E26" s="132">
        <v>0</v>
      </c>
      <c r="F26" s="132">
        <v>0</v>
      </c>
      <c r="G26" s="132">
        <v>0</v>
      </c>
      <c r="H26" s="132">
        <v>0</v>
      </c>
      <c r="I26" s="132">
        <v>0</v>
      </c>
      <c r="J26" s="132">
        <v>0</v>
      </c>
      <c r="K26" s="132">
        <v>2.5916749175188158E-2</v>
      </c>
      <c r="L26" s="136">
        <v>2.5916749175188158E-2</v>
      </c>
    </row>
    <row r="27" spans="2:12" x14ac:dyDescent="0.35">
      <c r="B27" s="59" t="s">
        <v>1497</v>
      </c>
      <c r="C27" s="132">
        <v>9.2999999999999999E-2</v>
      </c>
      <c r="D27" s="132">
        <v>0.111</v>
      </c>
      <c r="E27" s="132">
        <v>8.4000000000000005E-2</v>
      </c>
      <c r="F27" s="132">
        <v>9.4E-2</v>
      </c>
      <c r="G27" s="132">
        <v>8.4000000000000005E-2</v>
      </c>
      <c r="H27" s="132">
        <v>9.4E-2</v>
      </c>
      <c r="I27" s="132">
        <v>0.29499999999999998</v>
      </c>
      <c r="J27" s="132">
        <v>0.40699999999999997</v>
      </c>
      <c r="K27" s="132">
        <v>0.16617678413030071</v>
      </c>
      <c r="L27" s="136">
        <v>0.16617678413030071</v>
      </c>
    </row>
    <row r="28" spans="2:12" x14ac:dyDescent="0.35">
      <c r="B28" s="59" t="s">
        <v>1457</v>
      </c>
      <c r="C28" s="132">
        <v>2.5999999999999999E-2</v>
      </c>
      <c r="D28" s="132">
        <v>1.7999999999999999E-2</v>
      </c>
      <c r="E28" s="132">
        <v>2.1999999999999999E-2</v>
      </c>
      <c r="F28" s="132">
        <v>1.6E-2</v>
      </c>
      <c r="G28" s="132">
        <v>2.1000000000000001E-2</v>
      </c>
      <c r="H28" s="132">
        <v>1.4999999999999999E-2</v>
      </c>
      <c r="I28" s="132">
        <v>0</v>
      </c>
      <c r="J28" s="132">
        <v>0</v>
      </c>
      <c r="K28" s="132">
        <v>6.4615988571509395E-2</v>
      </c>
      <c r="L28" s="136">
        <v>6.4615988571509395E-2</v>
      </c>
    </row>
    <row r="29" spans="2:12" x14ac:dyDescent="0.35">
      <c r="B29" s="59" t="s">
        <v>1504</v>
      </c>
      <c r="C29" s="132">
        <v>0</v>
      </c>
      <c r="D29" s="132">
        <v>0</v>
      </c>
      <c r="E29" s="132">
        <v>0</v>
      </c>
      <c r="F29" s="132">
        <v>0</v>
      </c>
      <c r="G29" s="132">
        <v>0</v>
      </c>
      <c r="H29" s="132">
        <v>0</v>
      </c>
      <c r="I29" s="132">
        <v>0</v>
      </c>
      <c r="J29" s="132">
        <v>0</v>
      </c>
      <c r="K29" s="132">
        <v>0</v>
      </c>
      <c r="L29" s="136">
        <v>0</v>
      </c>
    </row>
    <row r="30" spans="2:12" x14ac:dyDescent="0.35">
      <c r="B30" s="59" t="s">
        <v>1511</v>
      </c>
      <c r="C30" s="132">
        <v>0</v>
      </c>
      <c r="D30" s="132">
        <v>0</v>
      </c>
      <c r="E30" s="132">
        <v>0</v>
      </c>
      <c r="F30" s="132">
        <v>0</v>
      </c>
      <c r="G30" s="132">
        <v>0</v>
      </c>
      <c r="H30" s="132">
        <v>0</v>
      </c>
      <c r="I30" s="132">
        <v>0</v>
      </c>
      <c r="J30" s="132">
        <v>0</v>
      </c>
      <c r="K30" s="132">
        <v>6.1984188925405387E-3</v>
      </c>
      <c r="L30" s="136">
        <v>6.1984188925405387E-3</v>
      </c>
    </row>
    <row r="31" spans="2:12" x14ac:dyDescent="0.35">
      <c r="B31" s="59" t="s">
        <v>1510</v>
      </c>
      <c r="C31" s="132">
        <v>0</v>
      </c>
      <c r="D31" s="132">
        <v>0</v>
      </c>
      <c r="E31" s="132">
        <v>0</v>
      </c>
      <c r="F31" s="132">
        <v>0</v>
      </c>
      <c r="G31" s="132">
        <v>0</v>
      </c>
      <c r="H31" s="132">
        <v>0</v>
      </c>
      <c r="I31" s="132">
        <v>0</v>
      </c>
      <c r="J31" s="132">
        <v>0</v>
      </c>
      <c r="K31" s="132">
        <v>2.1400740290504861E-2</v>
      </c>
      <c r="L31" s="136">
        <v>2.1400740290504861E-2</v>
      </c>
    </row>
    <row r="32" spans="2:12" x14ac:dyDescent="0.35">
      <c r="B32" s="59" t="s">
        <v>1509</v>
      </c>
      <c r="C32" s="132">
        <v>0</v>
      </c>
      <c r="D32" s="132">
        <v>0</v>
      </c>
      <c r="E32" s="132">
        <v>0</v>
      </c>
      <c r="F32" s="132">
        <v>0</v>
      </c>
      <c r="G32" s="132">
        <v>0</v>
      </c>
      <c r="H32" s="132">
        <v>0</v>
      </c>
      <c r="I32" s="132">
        <v>0</v>
      </c>
      <c r="J32" s="132">
        <v>0</v>
      </c>
      <c r="K32" s="132">
        <v>2.565086908263094E-2</v>
      </c>
      <c r="L32" s="136">
        <v>2.565086908263094E-2</v>
      </c>
    </row>
    <row r="33" spans="2:12" x14ac:dyDescent="0.35">
      <c r="B33" s="59" t="s">
        <v>1508</v>
      </c>
      <c r="C33" s="132">
        <v>0</v>
      </c>
      <c r="D33" s="132">
        <v>0</v>
      </c>
      <c r="E33" s="132">
        <v>0</v>
      </c>
      <c r="F33" s="132">
        <v>0</v>
      </c>
      <c r="G33" s="132">
        <v>0</v>
      </c>
      <c r="H33" s="132">
        <v>0</v>
      </c>
      <c r="I33" s="132">
        <v>0</v>
      </c>
      <c r="J33" s="132">
        <v>0</v>
      </c>
      <c r="K33" s="132">
        <v>0</v>
      </c>
      <c r="L33" s="136">
        <v>0</v>
      </c>
    </row>
    <row r="34" spans="2:12" x14ac:dyDescent="0.35">
      <c r="B34" s="59" t="s">
        <v>1507</v>
      </c>
      <c r="C34" s="132">
        <v>2.0000000000000002E-5</v>
      </c>
      <c r="D34" s="132">
        <v>3.0000000000000001E-5</v>
      </c>
      <c r="E34" s="132">
        <v>2.0000000000000002E-5</v>
      </c>
      <c r="F34" s="132">
        <v>2.0000000000000002E-5</v>
      </c>
      <c r="G34" s="132">
        <v>2.0000000000000002E-5</v>
      </c>
      <c r="H34" s="132">
        <v>2.0000000000000002E-5</v>
      </c>
      <c r="I34" s="132">
        <v>0</v>
      </c>
      <c r="J34" s="132">
        <v>0</v>
      </c>
      <c r="K34" s="132">
        <v>1.7668053030533081E-4</v>
      </c>
      <c r="L34" s="136">
        <v>1.7668053030533081E-4</v>
      </c>
    </row>
    <row r="35" spans="2:12" x14ac:dyDescent="0.35">
      <c r="B35" s="59" t="s">
        <v>1506</v>
      </c>
      <c r="C35" s="132">
        <v>0</v>
      </c>
      <c r="D35" s="132">
        <v>0</v>
      </c>
      <c r="E35" s="132">
        <v>0</v>
      </c>
      <c r="F35" s="132">
        <v>0</v>
      </c>
      <c r="G35" s="132">
        <v>0</v>
      </c>
      <c r="H35" s="132">
        <v>0</v>
      </c>
      <c r="I35" s="132">
        <v>0</v>
      </c>
      <c r="J35" s="132">
        <v>0</v>
      </c>
      <c r="K35" s="132">
        <v>2.7278836091788705E-3</v>
      </c>
      <c r="L35" s="136">
        <v>2.7278836091788705E-3</v>
      </c>
    </row>
    <row r="36" spans="2:12" x14ac:dyDescent="0.35">
      <c r="B36" s="59" t="s">
        <v>1460</v>
      </c>
      <c r="C36" s="132">
        <v>0</v>
      </c>
      <c r="D36" s="132">
        <v>0</v>
      </c>
      <c r="E36" s="132">
        <v>0</v>
      </c>
      <c r="F36" s="132">
        <v>0</v>
      </c>
      <c r="G36" s="132">
        <v>0</v>
      </c>
      <c r="H36" s="132">
        <v>0</v>
      </c>
      <c r="I36" s="132">
        <v>0</v>
      </c>
      <c r="J36" s="132">
        <v>0</v>
      </c>
      <c r="K36" s="132">
        <v>1.912608023438235E-5</v>
      </c>
      <c r="L36" s="136">
        <v>1.912608023438235E-5</v>
      </c>
    </row>
    <row r="37" spans="2:12" x14ac:dyDescent="0.35">
      <c r="B37" s="59" t="s">
        <v>1449</v>
      </c>
      <c r="C37" s="132">
        <v>0</v>
      </c>
      <c r="D37" s="132">
        <v>0</v>
      </c>
      <c r="E37" s="132">
        <v>0</v>
      </c>
      <c r="F37" s="132">
        <v>0</v>
      </c>
      <c r="G37" s="132">
        <v>0</v>
      </c>
      <c r="H37" s="132">
        <v>0</v>
      </c>
      <c r="I37" s="132">
        <v>0</v>
      </c>
      <c r="J37" s="132">
        <v>0</v>
      </c>
      <c r="K37" s="132">
        <v>5.4030878587086771E-4</v>
      </c>
      <c r="L37" s="136">
        <v>5.4030878587086771E-4</v>
      </c>
    </row>
    <row r="38" spans="2:12" x14ac:dyDescent="0.35">
      <c r="B38" s="59" t="s">
        <v>1466</v>
      </c>
      <c r="C38" s="132">
        <v>-1.9999999999908979E-5</v>
      </c>
      <c r="D38" s="132">
        <v>-3.0000000000196536E-5</v>
      </c>
      <c r="E38" s="132">
        <v>-1.9999999999908979E-5</v>
      </c>
      <c r="F38" s="132">
        <v>-1.9999999999908979E-5</v>
      </c>
      <c r="G38" s="132">
        <v>-1.9999999999908979E-5</v>
      </c>
      <c r="H38" s="132">
        <v>-1.9999999999908979E-5</v>
      </c>
      <c r="I38" s="132">
        <v>0</v>
      </c>
      <c r="J38" s="132">
        <v>1.0000000000000009E-2</v>
      </c>
      <c r="K38" s="132">
        <v>0</v>
      </c>
      <c r="L38" s="136">
        <v>0</v>
      </c>
    </row>
    <row r="39" spans="2:12" ht="13.15" x14ac:dyDescent="0.4">
      <c r="B39" s="131" t="s">
        <v>1505</v>
      </c>
      <c r="C39" s="138"/>
      <c r="D39" s="138"/>
      <c r="E39" s="138"/>
      <c r="F39" s="138"/>
      <c r="G39" s="138"/>
      <c r="H39" s="138"/>
      <c r="I39" s="138"/>
      <c r="J39" s="138"/>
      <c r="K39" s="138"/>
      <c r="L39" s="137"/>
    </row>
    <row r="40" spans="2:12" x14ac:dyDescent="0.35">
      <c r="B40" s="59" t="s">
        <v>1438</v>
      </c>
      <c r="C40" s="132">
        <v>0.3</v>
      </c>
      <c r="D40" s="132">
        <v>0.3</v>
      </c>
      <c r="E40" s="132">
        <v>0.60499999999999998</v>
      </c>
      <c r="F40" s="132">
        <v>0.60499999999999998</v>
      </c>
      <c r="G40" s="132">
        <v>0.60499999999999998</v>
      </c>
      <c r="H40" s="132">
        <v>0.60499999999999998</v>
      </c>
      <c r="I40" s="132">
        <v>0.60499999999999998</v>
      </c>
      <c r="J40" s="132">
        <v>0.60499999999999998</v>
      </c>
      <c r="K40" s="132">
        <v>0.60499999999999998</v>
      </c>
      <c r="L40" s="136">
        <v>0.60499999999999998</v>
      </c>
    </row>
    <row r="41" spans="2:12" x14ac:dyDescent="0.35">
      <c r="B41" s="59" t="s">
        <v>1447</v>
      </c>
      <c r="C41" s="132">
        <v>0</v>
      </c>
      <c r="D41" s="132">
        <v>0</v>
      </c>
      <c r="E41" s="132">
        <v>0.189</v>
      </c>
      <c r="F41" s="132">
        <v>0.189</v>
      </c>
      <c r="G41" s="132">
        <v>0.189</v>
      </c>
      <c r="H41" s="132">
        <v>0.189</v>
      </c>
      <c r="I41" s="132">
        <v>0.189</v>
      </c>
      <c r="J41" s="132">
        <v>0.189</v>
      </c>
      <c r="K41" s="132">
        <v>0.189</v>
      </c>
      <c r="L41" s="136">
        <v>0.189</v>
      </c>
    </row>
    <row r="42" spans="2:12" x14ac:dyDescent="0.35">
      <c r="B42" s="59" t="s">
        <v>1502</v>
      </c>
      <c r="C42" s="132">
        <v>0.3</v>
      </c>
      <c r="D42" s="132">
        <v>0</v>
      </c>
      <c r="E42" s="132">
        <v>0</v>
      </c>
      <c r="F42" s="132">
        <v>0</v>
      </c>
      <c r="G42" s="132">
        <v>0</v>
      </c>
      <c r="H42" s="132">
        <v>0</v>
      </c>
      <c r="I42" s="132">
        <v>0</v>
      </c>
      <c r="J42" s="132">
        <v>0</v>
      </c>
      <c r="K42" s="132">
        <v>0</v>
      </c>
      <c r="L42" s="136">
        <v>0</v>
      </c>
    </row>
    <row r="43" spans="2:12" x14ac:dyDescent="0.35">
      <c r="B43" s="59" t="s">
        <v>1427</v>
      </c>
      <c r="C43" s="132">
        <v>0</v>
      </c>
      <c r="D43" s="132">
        <v>0</v>
      </c>
      <c r="E43" s="132">
        <v>0</v>
      </c>
      <c r="F43" s="132">
        <v>0</v>
      </c>
      <c r="G43" s="132">
        <v>0</v>
      </c>
      <c r="H43" s="132">
        <v>0</v>
      </c>
      <c r="I43" s="132">
        <v>0</v>
      </c>
      <c r="J43" s="132">
        <v>0</v>
      </c>
      <c r="K43" s="132">
        <v>0</v>
      </c>
      <c r="L43" s="136">
        <v>0</v>
      </c>
    </row>
    <row r="44" spans="2:12" x14ac:dyDescent="0.35">
      <c r="B44" s="59" t="s">
        <v>1446</v>
      </c>
      <c r="C44" s="132">
        <v>0.3</v>
      </c>
      <c r="D44" s="132">
        <v>0.3</v>
      </c>
      <c r="E44" s="132">
        <v>0.2</v>
      </c>
      <c r="F44" s="132">
        <v>0.2</v>
      </c>
      <c r="G44" s="132">
        <v>0.2</v>
      </c>
      <c r="H44" s="132">
        <v>0.2</v>
      </c>
      <c r="I44" s="132">
        <v>0.2</v>
      </c>
      <c r="J44" s="132">
        <v>0.2</v>
      </c>
      <c r="K44" s="132">
        <v>0.2</v>
      </c>
      <c r="L44" s="136">
        <v>0.2</v>
      </c>
    </row>
    <row r="45" spans="2:12" x14ac:dyDescent="0.35">
      <c r="B45" s="59" t="s">
        <v>1445</v>
      </c>
      <c r="C45" s="132">
        <v>0</v>
      </c>
      <c r="D45" s="132">
        <v>0.3</v>
      </c>
      <c r="E45" s="132">
        <v>0</v>
      </c>
      <c r="F45" s="132">
        <v>0</v>
      </c>
      <c r="G45" s="132">
        <v>0</v>
      </c>
      <c r="H45" s="132">
        <v>0</v>
      </c>
      <c r="I45" s="132">
        <v>0</v>
      </c>
      <c r="J45" s="132">
        <v>0</v>
      </c>
      <c r="K45" s="132">
        <v>0</v>
      </c>
      <c r="L45" s="136">
        <v>0</v>
      </c>
    </row>
    <row r="46" spans="2:12" x14ac:dyDescent="0.35">
      <c r="B46" s="59" t="s">
        <v>1504</v>
      </c>
      <c r="C46" s="132">
        <v>0</v>
      </c>
      <c r="D46" s="132">
        <v>0</v>
      </c>
      <c r="E46" s="132">
        <v>0</v>
      </c>
      <c r="F46" s="132">
        <v>0</v>
      </c>
      <c r="G46" s="132">
        <v>0</v>
      </c>
      <c r="H46" s="132">
        <v>0</v>
      </c>
      <c r="I46" s="132">
        <v>0</v>
      </c>
      <c r="J46" s="132">
        <v>0</v>
      </c>
      <c r="K46" s="132">
        <v>0</v>
      </c>
      <c r="L46" s="136">
        <v>0</v>
      </c>
    </row>
    <row r="47" spans="2:12" x14ac:dyDescent="0.35">
      <c r="B47" s="59" t="s">
        <v>1497</v>
      </c>
      <c r="C47" s="132">
        <v>0.05</v>
      </c>
      <c r="D47" s="132">
        <v>0.05</v>
      </c>
      <c r="E47" s="132">
        <v>2E-3</v>
      </c>
      <c r="F47" s="132">
        <v>2E-3</v>
      </c>
      <c r="G47" s="132">
        <v>2E-3</v>
      </c>
      <c r="H47" s="132">
        <v>2E-3</v>
      </c>
      <c r="I47" s="132">
        <v>2E-3</v>
      </c>
      <c r="J47" s="132">
        <v>2E-3</v>
      </c>
      <c r="K47" s="132">
        <v>2E-3</v>
      </c>
      <c r="L47" s="136">
        <v>2E-3</v>
      </c>
    </row>
    <row r="48" spans="2:12" x14ac:dyDescent="0.35">
      <c r="B48" s="59" t="s">
        <v>1457</v>
      </c>
      <c r="C48" s="132">
        <v>0.05</v>
      </c>
      <c r="D48" s="132">
        <v>0.05</v>
      </c>
      <c r="E48" s="132">
        <v>0</v>
      </c>
      <c r="F48" s="132">
        <v>0</v>
      </c>
      <c r="G48" s="132">
        <v>0</v>
      </c>
      <c r="H48" s="132">
        <v>0</v>
      </c>
      <c r="I48" s="132">
        <v>0</v>
      </c>
      <c r="J48" s="132">
        <v>0</v>
      </c>
      <c r="K48" s="132">
        <v>0</v>
      </c>
      <c r="L48" s="136">
        <v>0</v>
      </c>
    </row>
    <row r="49" spans="2:12" x14ac:dyDescent="0.35">
      <c r="B49" s="57" t="s">
        <v>1466</v>
      </c>
      <c r="C49" s="122">
        <v>0</v>
      </c>
      <c r="D49" s="122">
        <v>0</v>
      </c>
      <c r="E49" s="122">
        <v>4.0000000000000036E-3</v>
      </c>
      <c r="F49" s="122">
        <v>4.0000000000000036E-3</v>
      </c>
      <c r="G49" s="122">
        <v>4.0000000000000036E-3</v>
      </c>
      <c r="H49" s="122">
        <v>4.0000000000000036E-3</v>
      </c>
      <c r="I49" s="122">
        <v>4.0000000000000036E-3</v>
      </c>
      <c r="J49" s="122">
        <v>4.0000000000000036E-3</v>
      </c>
      <c r="K49" s="122">
        <v>4.0000000000000036E-3</v>
      </c>
      <c r="L49" s="56">
        <v>4.0000000000000036E-3</v>
      </c>
    </row>
    <row r="50" spans="2:12" ht="13.15" x14ac:dyDescent="0.4">
      <c r="B50" s="128" t="s">
        <v>1503</v>
      </c>
      <c r="C50" s="132"/>
      <c r="D50" s="132"/>
      <c r="E50" s="132"/>
      <c r="F50" s="132"/>
      <c r="G50" s="132"/>
      <c r="H50" s="132"/>
      <c r="I50" s="132"/>
      <c r="J50" s="132"/>
      <c r="K50" s="132"/>
      <c r="L50" s="136"/>
    </row>
    <row r="51" spans="2:12" x14ac:dyDescent="0.35">
      <c r="B51" s="59" t="s">
        <v>1438</v>
      </c>
      <c r="C51" s="132">
        <v>0.84099999999999997</v>
      </c>
      <c r="D51" s="132">
        <v>0.36899999999999999</v>
      </c>
      <c r="E51" s="132">
        <v>0.84099999999999997</v>
      </c>
      <c r="F51" s="132">
        <v>0.35599999999999998</v>
      </c>
      <c r="G51" s="132">
        <v>0.84099999999999997</v>
      </c>
      <c r="H51" s="132">
        <v>0.34799999999999998</v>
      </c>
      <c r="I51" s="132">
        <v>0.84099999999999997</v>
      </c>
      <c r="J51" s="132">
        <v>0.34300000000000003</v>
      </c>
      <c r="K51" s="132">
        <v>0.84099999999999997</v>
      </c>
      <c r="L51" s="136">
        <v>0.34399999999999997</v>
      </c>
    </row>
    <row r="52" spans="2:12" x14ac:dyDescent="0.35">
      <c r="B52" s="59" t="s">
        <v>1502</v>
      </c>
      <c r="C52" s="132">
        <v>6.9000000000000006E-2</v>
      </c>
      <c r="D52" s="132">
        <v>8.6999999999999994E-2</v>
      </c>
      <c r="E52" s="132">
        <v>6.9000000000000006E-2</v>
      </c>
      <c r="F52" s="132">
        <v>8.6999999999999994E-2</v>
      </c>
      <c r="G52" s="132">
        <v>6.9000000000000006E-2</v>
      </c>
      <c r="H52" s="132">
        <v>8.8999999999999996E-2</v>
      </c>
      <c r="I52" s="132">
        <v>6.9000000000000006E-2</v>
      </c>
      <c r="J52" s="132">
        <v>9.1999999999999998E-2</v>
      </c>
      <c r="K52" s="132">
        <v>6.9000000000000006E-2</v>
      </c>
      <c r="L52" s="136">
        <v>9.0999999999999998E-2</v>
      </c>
    </row>
    <row r="53" spans="2:12" x14ac:dyDescent="0.35">
      <c r="B53" s="59" t="s">
        <v>1446</v>
      </c>
      <c r="C53" s="132">
        <v>0</v>
      </c>
      <c r="D53" s="132">
        <v>2.3E-2</v>
      </c>
      <c r="E53" s="132">
        <v>0</v>
      </c>
      <c r="F53" s="132">
        <v>2.1999999999999999E-2</v>
      </c>
      <c r="G53" s="132">
        <v>0</v>
      </c>
      <c r="H53" s="132">
        <v>2.1000000000000001E-2</v>
      </c>
      <c r="I53" s="132">
        <v>0</v>
      </c>
      <c r="J53" s="132">
        <v>0.02</v>
      </c>
      <c r="K53" s="132">
        <v>0</v>
      </c>
      <c r="L53" s="136">
        <v>0.02</v>
      </c>
    </row>
    <row r="54" spans="2:12" x14ac:dyDescent="0.35">
      <c r="B54" s="59" t="s">
        <v>1445</v>
      </c>
      <c r="C54" s="132">
        <v>0.01</v>
      </c>
      <c r="D54" s="132">
        <v>0.31</v>
      </c>
      <c r="E54" s="132">
        <v>0.01</v>
      </c>
      <c r="F54" s="132">
        <v>0.33200000000000002</v>
      </c>
      <c r="G54" s="132">
        <v>0.01</v>
      </c>
      <c r="H54" s="132">
        <v>0.34200000000000003</v>
      </c>
      <c r="I54" s="132">
        <v>0.01</v>
      </c>
      <c r="J54" s="132">
        <v>0.34699999999999998</v>
      </c>
      <c r="K54" s="132">
        <v>0.01</v>
      </c>
      <c r="L54" s="136">
        <v>0.34599999999999997</v>
      </c>
    </row>
    <row r="55" spans="2:12" x14ac:dyDescent="0.35">
      <c r="B55" s="59" t="s">
        <v>1498</v>
      </c>
      <c r="C55" s="132">
        <v>1.2E-2</v>
      </c>
      <c r="D55" s="132">
        <v>2.1000000000000001E-2</v>
      </c>
      <c r="E55" s="132">
        <v>1.2E-2</v>
      </c>
      <c r="F55" s="132">
        <v>0.02</v>
      </c>
      <c r="G55" s="132">
        <v>1.2E-2</v>
      </c>
      <c r="H55" s="132">
        <v>1.9E-2</v>
      </c>
      <c r="I55" s="132">
        <v>1.2E-2</v>
      </c>
      <c r="J55" s="132">
        <v>1.7999999999999999E-2</v>
      </c>
      <c r="K55" s="132">
        <v>1.2E-2</v>
      </c>
      <c r="L55" s="136">
        <v>1.7999999999999999E-2</v>
      </c>
    </row>
    <row r="56" spans="2:12" x14ac:dyDescent="0.35">
      <c r="B56" s="59" t="s">
        <v>241</v>
      </c>
      <c r="C56" s="132">
        <v>0</v>
      </c>
      <c r="D56" s="132">
        <v>0</v>
      </c>
      <c r="E56" s="132">
        <v>0</v>
      </c>
      <c r="F56" s="132">
        <v>0</v>
      </c>
      <c r="G56" s="132">
        <v>0</v>
      </c>
      <c r="H56" s="132">
        <v>0</v>
      </c>
      <c r="I56" s="132">
        <v>0</v>
      </c>
      <c r="J56" s="132">
        <v>0</v>
      </c>
      <c r="K56" s="132">
        <v>0</v>
      </c>
      <c r="L56" s="136">
        <v>0</v>
      </c>
    </row>
    <row r="57" spans="2:12" x14ac:dyDescent="0.35">
      <c r="B57" s="59" t="s">
        <v>1427</v>
      </c>
      <c r="C57" s="132">
        <v>0</v>
      </c>
      <c r="D57" s="132">
        <v>0</v>
      </c>
      <c r="E57" s="132">
        <v>0</v>
      </c>
      <c r="F57" s="132">
        <v>0</v>
      </c>
      <c r="G57" s="132">
        <v>0</v>
      </c>
      <c r="H57" s="132">
        <v>0</v>
      </c>
      <c r="I57" s="132">
        <v>0</v>
      </c>
      <c r="J57" s="132">
        <v>0</v>
      </c>
      <c r="K57" s="132">
        <v>0</v>
      </c>
      <c r="L57" s="136">
        <v>0</v>
      </c>
    </row>
    <row r="58" spans="2:12" x14ac:dyDescent="0.35">
      <c r="B58" s="59" t="s">
        <v>1493</v>
      </c>
      <c r="C58" s="132">
        <v>0</v>
      </c>
      <c r="D58" s="132">
        <v>7.8E-2</v>
      </c>
      <c r="E58" s="132">
        <v>0</v>
      </c>
      <c r="F58" s="132">
        <v>7.8E-2</v>
      </c>
      <c r="G58" s="132">
        <v>0</v>
      </c>
      <c r="H58" s="132">
        <v>0.08</v>
      </c>
      <c r="I58" s="132">
        <v>0</v>
      </c>
      <c r="J58" s="132">
        <v>8.3000000000000004E-2</v>
      </c>
      <c r="K58" s="132">
        <v>0</v>
      </c>
      <c r="L58" s="136">
        <v>8.2000000000000003E-2</v>
      </c>
    </row>
    <row r="59" spans="2:12" x14ac:dyDescent="0.35">
      <c r="B59" s="59" t="s">
        <v>1497</v>
      </c>
      <c r="C59" s="132">
        <v>1.7999999999999999E-2</v>
      </c>
      <c r="D59" s="132">
        <v>3.1E-2</v>
      </c>
      <c r="E59" s="132">
        <v>1.7999999999999999E-2</v>
      </c>
      <c r="F59" s="132">
        <v>2.9000000000000001E-2</v>
      </c>
      <c r="G59" s="132">
        <v>1.7999999999999999E-2</v>
      </c>
      <c r="H59" s="132">
        <v>2.7E-2</v>
      </c>
      <c r="I59" s="132">
        <v>1.7999999999999999E-2</v>
      </c>
      <c r="J59" s="132">
        <v>2.5999999999999999E-2</v>
      </c>
      <c r="K59" s="132">
        <v>1.7999999999999999E-2</v>
      </c>
      <c r="L59" s="136">
        <v>2.5999999999999999E-2</v>
      </c>
    </row>
    <row r="60" spans="2:12" x14ac:dyDescent="0.35">
      <c r="B60" s="59" t="s">
        <v>1457</v>
      </c>
      <c r="C60" s="132">
        <v>4.3999999999999997E-2</v>
      </c>
      <c r="D60" s="132">
        <v>7.3999999999999996E-2</v>
      </c>
      <c r="E60" s="132">
        <v>4.3999999999999997E-2</v>
      </c>
      <c r="F60" s="132">
        <v>6.9000000000000006E-2</v>
      </c>
      <c r="G60" s="132">
        <v>4.3999999999999997E-2</v>
      </c>
      <c r="H60" s="132">
        <v>6.6000000000000003E-2</v>
      </c>
      <c r="I60" s="132">
        <v>4.3999999999999997E-2</v>
      </c>
      <c r="J60" s="132">
        <v>6.4000000000000001E-2</v>
      </c>
      <c r="K60" s="132">
        <v>4.3999999999999997E-2</v>
      </c>
      <c r="L60" s="136">
        <v>6.4000000000000001E-2</v>
      </c>
    </row>
    <row r="61" spans="2:12" x14ac:dyDescent="0.35">
      <c r="B61" s="59" t="s">
        <v>1466</v>
      </c>
      <c r="C61" s="132">
        <v>6.0000000000000053E-3</v>
      </c>
      <c r="D61" s="132">
        <v>7.0000000000001172E-3</v>
      </c>
      <c r="E61" s="132">
        <v>6.0000000000000053E-3</v>
      </c>
      <c r="F61" s="132">
        <v>7.0000000000001172E-3</v>
      </c>
      <c r="G61" s="132">
        <v>6.0000000000000053E-3</v>
      </c>
      <c r="H61" s="132">
        <v>8.0000000000000071E-3</v>
      </c>
      <c r="I61" s="132">
        <v>6.0000000000000053E-3</v>
      </c>
      <c r="J61" s="132">
        <v>6.9999999999998952E-3</v>
      </c>
      <c r="K61" s="132">
        <v>6.0000000000000053E-3</v>
      </c>
      <c r="L61" s="136">
        <v>9.000000000000119E-3</v>
      </c>
    </row>
    <row r="62" spans="2:12" ht="13.15" x14ac:dyDescent="0.4">
      <c r="B62" s="131" t="s">
        <v>1501</v>
      </c>
      <c r="C62" s="138"/>
      <c r="D62" s="138"/>
      <c r="E62" s="138"/>
      <c r="F62" s="138"/>
      <c r="G62" s="138"/>
      <c r="H62" s="138"/>
      <c r="I62" s="138"/>
      <c r="J62" s="138"/>
      <c r="K62" s="138"/>
      <c r="L62" s="137"/>
    </row>
    <row r="63" spans="2:12" x14ac:dyDescent="0.35">
      <c r="B63" s="59" t="s">
        <v>1438</v>
      </c>
      <c r="C63" s="132"/>
      <c r="D63" s="132"/>
      <c r="E63" s="132">
        <v>0.36099999999999999</v>
      </c>
      <c r="F63" s="132">
        <v>0.36099999999999999</v>
      </c>
      <c r="G63" s="132">
        <v>0.36099999999999999</v>
      </c>
      <c r="H63" s="132">
        <v>0.36099999999999999</v>
      </c>
      <c r="I63" s="132">
        <v>0.36099999999999999</v>
      </c>
      <c r="J63" s="132">
        <v>0.36099999999999999</v>
      </c>
      <c r="K63" s="132">
        <v>0.36099999999999999</v>
      </c>
      <c r="L63" s="136">
        <v>0.36099999999999999</v>
      </c>
    </row>
    <row r="64" spans="2:12" x14ac:dyDescent="0.35">
      <c r="B64" s="59" t="s">
        <v>1495</v>
      </c>
      <c r="C64" s="132"/>
      <c r="D64" s="132"/>
      <c r="E64" s="132">
        <v>0</v>
      </c>
      <c r="F64" s="132">
        <v>0</v>
      </c>
      <c r="G64" s="132">
        <v>0</v>
      </c>
      <c r="H64" s="132">
        <v>0</v>
      </c>
      <c r="I64" s="132">
        <v>0</v>
      </c>
      <c r="J64" s="132">
        <v>0</v>
      </c>
      <c r="K64" s="132">
        <v>0</v>
      </c>
      <c r="L64" s="136">
        <v>0</v>
      </c>
    </row>
    <row r="65" spans="2:12" x14ac:dyDescent="0.35">
      <c r="B65" s="59" t="s">
        <v>1445</v>
      </c>
      <c r="C65" s="132"/>
      <c r="D65" s="132"/>
      <c r="E65" s="132">
        <v>0.36099999999999999</v>
      </c>
      <c r="F65" s="132">
        <v>0.36099999999999999</v>
      </c>
      <c r="G65" s="132">
        <v>0.36099999999999999</v>
      </c>
      <c r="H65" s="132">
        <v>0.36099999999999999</v>
      </c>
      <c r="I65" s="132">
        <v>0.36099999999999999</v>
      </c>
      <c r="J65" s="132">
        <v>0.36099999999999999</v>
      </c>
      <c r="K65" s="132">
        <v>0.36099999999999999</v>
      </c>
      <c r="L65" s="136">
        <v>0.36099999999999999</v>
      </c>
    </row>
    <row r="66" spans="2:12" x14ac:dyDescent="0.35">
      <c r="B66" s="59" t="s">
        <v>1498</v>
      </c>
      <c r="C66" s="132"/>
      <c r="D66" s="132"/>
      <c r="E66" s="132">
        <v>0.27800000000000002</v>
      </c>
      <c r="F66" s="132">
        <v>0.27800000000000002</v>
      </c>
      <c r="G66" s="132">
        <v>0.27800000000000002</v>
      </c>
      <c r="H66" s="132">
        <v>0.27800000000000002</v>
      </c>
      <c r="I66" s="132">
        <v>0.27800000000000002</v>
      </c>
      <c r="J66" s="132">
        <v>0.27800000000000002</v>
      </c>
      <c r="K66" s="132">
        <v>0.27800000000000002</v>
      </c>
      <c r="L66" s="136">
        <v>0.27800000000000002</v>
      </c>
    </row>
    <row r="67" spans="2:12" x14ac:dyDescent="0.35">
      <c r="B67" s="57" t="s">
        <v>1466</v>
      </c>
      <c r="C67" s="122"/>
      <c r="D67" s="122"/>
      <c r="E67" s="122">
        <v>0</v>
      </c>
      <c r="F67" s="122">
        <v>0</v>
      </c>
      <c r="G67" s="122">
        <v>0</v>
      </c>
      <c r="H67" s="122">
        <v>0</v>
      </c>
      <c r="I67" s="122">
        <v>0</v>
      </c>
      <c r="J67" s="122">
        <v>0</v>
      </c>
      <c r="K67" s="122">
        <v>0</v>
      </c>
      <c r="L67" s="56">
        <v>0</v>
      </c>
    </row>
    <row r="68" spans="2:12" ht="13.15" x14ac:dyDescent="0.4">
      <c r="B68" s="128" t="s">
        <v>1500</v>
      </c>
      <c r="C68" s="132"/>
      <c r="D68" s="132"/>
      <c r="E68" s="132"/>
      <c r="F68" s="132"/>
      <c r="G68" s="132"/>
      <c r="H68" s="132"/>
      <c r="I68" s="132"/>
      <c r="J68" s="132"/>
      <c r="K68" s="132"/>
      <c r="L68" s="136"/>
    </row>
    <row r="69" spans="2:12" x14ac:dyDescent="0.35">
      <c r="B69" s="59" t="s">
        <v>1438</v>
      </c>
      <c r="C69" s="132"/>
      <c r="D69" s="132"/>
      <c r="E69" s="132">
        <v>0.36099999999999999</v>
      </c>
      <c r="F69" s="132">
        <v>0.36099999999999999</v>
      </c>
      <c r="G69" s="132">
        <v>0.36099999999999999</v>
      </c>
      <c r="H69" s="132">
        <v>0.36099999999999999</v>
      </c>
      <c r="I69" s="132">
        <v>0</v>
      </c>
      <c r="J69" s="132">
        <v>0</v>
      </c>
      <c r="K69" s="132"/>
      <c r="L69" s="136"/>
    </row>
    <row r="70" spans="2:12" x14ac:dyDescent="0.35">
      <c r="B70" s="59" t="s">
        <v>1445</v>
      </c>
      <c r="C70" s="132"/>
      <c r="D70" s="132"/>
      <c r="E70" s="132">
        <v>0.36099999999999999</v>
      </c>
      <c r="F70" s="132">
        <v>0.36099999999999999</v>
      </c>
      <c r="G70" s="132">
        <v>0.36099999999999999</v>
      </c>
      <c r="H70" s="132">
        <v>0.36099999999999999</v>
      </c>
      <c r="I70" s="132">
        <v>0</v>
      </c>
      <c r="J70" s="132">
        <v>0</v>
      </c>
      <c r="K70" s="132"/>
      <c r="L70" s="136"/>
    </row>
    <row r="71" spans="2:12" x14ac:dyDescent="0.35">
      <c r="B71" s="59" t="s">
        <v>1498</v>
      </c>
      <c r="C71" s="132"/>
      <c r="D71" s="132"/>
      <c r="E71" s="132">
        <v>0.27800000000000002</v>
      </c>
      <c r="F71" s="132">
        <v>0.27800000000000002</v>
      </c>
      <c r="G71" s="132">
        <v>0.27800000000000002</v>
      </c>
      <c r="H71" s="132">
        <v>0.27800000000000002</v>
      </c>
      <c r="I71" s="132">
        <v>0</v>
      </c>
      <c r="J71" s="132">
        <v>0</v>
      </c>
      <c r="K71" s="132"/>
      <c r="L71" s="136"/>
    </row>
    <row r="72" spans="2:12" x14ac:dyDescent="0.35">
      <c r="B72" s="59" t="s">
        <v>1466</v>
      </c>
      <c r="C72" s="132"/>
      <c r="D72" s="132"/>
      <c r="E72" s="132">
        <v>0</v>
      </c>
      <c r="F72" s="132">
        <v>0</v>
      </c>
      <c r="G72" s="132">
        <v>0</v>
      </c>
      <c r="H72" s="132">
        <v>0</v>
      </c>
      <c r="I72" s="132">
        <v>0</v>
      </c>
      <c r="J72" s="132">
        <v>0</v>
      </c>
      <c r="K72" s="132"/>
      <c r="L72" s="136"/>
    </row>
    <row r="73" spans="2:12" ht="13.15" x14ac:dyDescent="0.4">
      <c r="B73" s="131" t="s">
        <v>1499</v>
      </c>
      <c r="C73" s="138"/>
      <c r="D73" s="138"/>
      <c r="E73" s="138"/>
      <c r="F73" s="138"/>
      <c r="G73" s="138"/>
      <c r="H73" s="138"/>
      <c r="I73" s="138"/>
      <c r="J73" s="138"/>
      <c r="K73" s="138"/>
      <c r="L73" s="137"/>
    </row>
    <row r="74" spans="2:12" x14ac:dyDescent="0.35">
      <c r="B74" s="59" t="s">
        <v>1438</v>
      </c>
      <c r="C74" s="132"/>
      <c r="D74" s="132"/>
      <c r="E74" s="132">
        <v>0.05</v>
      </c>
      <c r="F74" s="132">
        <v>0.05</v>
      </c>
      <c r="G74" s="132">
        <v>0.05</v>
      </c>
      <c r="H74" s="132">
        <v>0.05</v>
      </c>
      <c r="I74" s="132">
        <v>0.05</v>
      </c>
      <c r="J74" s="132">
        <v>0.05</v>
      </c>
      <c r="K74" s="132">
        <v>0.05</v>
      </c>
      <c r="L74" s="136">
        <v>0.05</v>
      </c>
    </row>
    <row r="75" spans="2:12" x14ac:dyDescent="0.35">
      <c r="B75" s="59" t="s">
        <v>1445</v>
      </c>
      <c r="C75" s="132"/>
      <c r="D75" s="132"/>
      <c r="E75" s="132">
        <v>0.46899999999999997</v>
      </c>
      <c r="F75" s="132">
        <v>0.46899999999999997</v>
      </c>
      <c r="G75" s="132">
        <v>0.46899999999999997</v>
      </c>
      <c r="H75" s="132">
        <v>0.46899999999999997</v>
      </c>
      <c r="I75" s="132">
        <v>0.46899999999999997</v>
      </c>
      <c r="J75" s="132">
        <v>0.46899999999999997</v>
      </c>
      <c r="K75" s="132">
        <v>0.46899999999999997</v>
      </c>
      <c r="L75" s="136">
        <v>0.46899999999999997</v>
      </c>
    </row>
    <row r="76" spans="2:12" x14ac:dyDescent="0.35">
      <c r="B76" s="59" t="s">
        <v>1498</v>
      </c>
      <c r="C76" s="132"/>
      <c r="D76" s="132"/>
      <c r="E76" s="132">
        <v>8.2000000000000003E-2</v>
      </c>
      <c r="F76" s="132">
        <v>8.2000000000000003E-2</v>
      </c>
      <c r="G76" s="132">
        <v>8.2000000000000003E-2</v>
      </c>
      <c r="H76" s="132">
        <v>8.2000000000000003E-2</v>
      </c>
      <c r="I76" s="132">
        <v>8.2000000000000003E-2</v>
      </c>
      <c r="J76" s="132">
        <v>8.2000000000000003E-2</v>
      </c>
      <c r="K76" s="132">
        <v>8.2000000000000003E-2</v>
      </c>
      <c r="L76" s="136">
        <v>8.2000000000000003E-2</v>
      </c>
    </row>
    <row r="77" spans="2:12" x14ac:dyDescent="0.35">
      <c r="B77" s="59" t="s">
        <v>1457</v>
      </c>
      <c r="C77" s="132"/>
      <c r="D77" s="132"/>
      <c r="E77" s="132">
        <v>3.6999999999999998E-2</v>
      </c>
      <c r="F77" s="132">
        <v>3.6999999999999998E-2</v>
      </c>
      <c r="G77" s="132">
        <v>3.6999999999999998E-2</v>
      </c>
      <c r="H77" s="132">
        <v>3.6999999999999998E-2</v>
      </c>
      <c r="I77" s="132">
        <v>3.6999999999999998E-2</v>
      </c>
      <c r="J77" s="132">
        <v>3.6999999999999998E-2</v>
      </c>
      <c r="K77" s="132">
        <v>3.6999999999999998E-2</v>
      </c>
      <c r="L77" s="136">
        <v>3.6999999999999998E-2</v>
      </c>
    </row>
    <row r="78" spans="2:12" x14ac:dyDescent="0.35">
      <c r="B78" s="59" t="s">
        <v>1497</v>
      </c>
      <c r="C78" s="132"/>
      <c r="D78" s="132"/>
      <c r="E78" s="132">
        <v>0.23799999999999999</v>
      </c>
      <c r="F78" s="132">
        <v>0.23799999999999999</v>
      </c>
      <c r="G78" s="132">
        <v>0.23799999999999999</v>
      </c>
      <c r="H78" s="132">
        <v>0.23799999999999999</v>
      </c>
      <c r="I78" s="132">
        <v>0.23799999999999999</v>
      </c>
      <c r="J78" s="132">
        <v>0.23799999999999999</v>
      </c>
      <c r="K78" s="132">
        <v>0.23799999999999999</v>
      </c>
      <c r="L78" s="136">
        <v>0.23799999999999999</v>
      </c>
    </row>
    <row r="79" spans="2:12" x14ac:dyDescent="0.35">
      <c r="B79" s="59" t="s">
        <v>1466</v>
      </c>
      <c r="C79" s="132"/>
      <c r="D79" s="132"/>
      <c r="E79" s="132">
        <v>0.124</v>
      </c>
      <c r="F79" s="132">
        <v>0.124</v>
      </c>
      <c r="G79" s="132">
        <v>0.124</v>
      </c>
      <c r="H79" s="132">
        <v>0.124</v>
      </c>
      <c r="I79" s="132">
        <v>0.124</v>
      </c>
      <c r="J79" s="132">
        <v>0.124</v>
      </c>
      <c r="K79" s="132">
        <v>0.124</v>
      </c>
      <c r="L79" s="136">
        <v>0.124</v>
      </c>
    </row>
    <row r="80" spans="2:12" ht="13.15" x14ac:dyDescent="0.4">
      <c r="B80" s="139" t="s">
        <v>1496</v>
      </c>
      <c r="C80" s="138"/>
      <c r="D80" s="138"/>
      <c r="E80" s="138"/>
      <c r="F80" s="138"/>
      <c r="G80" s="138"/>
      <c r="H80" s="138"/>
      <c r="I80" s="138"/>
      <c r="J80" s="138"/>
      <c r="K80" s="138"/>
      <c r="L80" s="137"/>
    </row>
    <row r="81" spans="1:12" x14ac:dyDescent="0.35">
      <c r="B81" s="59" t="s">
        <v>1438</v>
      </c>
      <c r="C81" s="132"/>
      <c r="D81" s="132"/>
      <c r="E81" s="132"/>
      <c r="F81" s="132"/>
      <c r="G81" s="132"/>
      <c r="H81" s="132"/>
      <c r="I81" s="132"/>
      <c r="J81" s="132"/>
      <c r="K81" s="132">
        <v>9.1528724440116851E-2</v>
      </c>
      <c r="L81" s="136">
        <v>9.1528724440116851E-2</v>
      </c>
    </row>
    <row r="82" spans="1:12" x14ac:dyDescent="0.35">
      <c r="B82" s="59" t="s">
        <v>1495</v>
      </c>
      <c r="C82" s="132"/>
      <c r="D82" s="132"/>
      <c r="E82" s="132"/>
      <c r="F82" s="132"/>
      <c r="G82" s="132"/>
      <c r="H82" s="132"/>
      <c r="I82" s="132"/>
      <c r="J82" s="132"/>
      <c r="K82" s="132">
        <v>8.081791626095422E-2</v>
      </c>
      <c r="L82" s="136">
        <v>8.081791626095422E-2</v>
      </c>
    </row>
    <row r="83" spans="1:12" x14ac:dyDescent="0.35">
      <c r="B83" s="59" t="s">
        <v>1494</v>
      </c>
      <c r="C83" s="132"/>
      <c r="D83" s="132"/>
      <c r="E83" s="132"/>
      <c r="F83" s="132"/>
      <c r="G83" s="132"/>
      <c r="H83" s="132"/>
      <c r="I83" s="132"/>
      <c r="J83" s="132"/>
      <c r="K83" s="132">
        <v>0.65628042843232726</v>
      </c>
      <c r="L83" s="136">
        <v>0.65628042843232726</v>
      </c>
    </row>
    <row r="84" spans="1:12" x14ac:dyDescent="0.35">
      <c r="B84" s="59" t="s">
        <v>1493</v>
      </c>
      <c r="C84" s="132"/>
      <c r="D84" s="132"/>
      <c r="E84" s="132"/>
      <c r="F84" s="132"/>
      <c r="G84" s="132"/>
      <c r="H84" s="132"/>
      <c r="I84" s="132"/>
      <c r="J84" s="132"/>
      <c r="K84" s="132">
        <v>4.4790652385589089E-2</v>
      </c>
      <c r="L84" s="136">
        <v>4.4790652385589089E-2</v>
      </c>
    </row>
    <row r="85" spans="1:12" x14ac:dyDescent="0.35">
      <c r="B85" s="59" t="s">
        <v>1446</v>
      </c>
      <c r="C85" s="132"/>
      <c r="D85" s="132"/>
      <c r="E85" s="132"/>
      <c r="F85" s="132"/>
      <c r="G85" s="132"/>
      <c r="H85" s="132"/>
      <c r="I85" s="132"/>
      <c r="J85" s="132"/>
      <c r="K85" s="132">
        <v>0</v>
      </c>
      <c r="L85" s="136">
        <v>0</v>
      </c>
    </row>
    <row r="86" spans="1:12" x14ac:dyDescent="0.35">
      <c r="B86" s="59" t="s">
        <v>1447</v>
      </c>
      <c r="C86" s="132"/>
      <c r="D86" s="132"/>
      <c r="E86" s="132"/>
      <c r="F86" s="132"/>
      <c r="G86" s="132"/>
      <c r="H86" s="132"/>
      <c r="I86" s="132"/>
      <c r="J86" s="132"/>
      <c r="K86" s="132">
        <v>0</v>
      </c>
      <c r="L86" s="136">
        <v>0</v>
      </c>
    </row>
    <row r="87" spans="1:12" x14ac:dyDescent="0.35">
      <c r="B87" s="59" t="s">
        <v>1492</v>
      </c>
      <c r="C87" s="132"/>
      <c r="D87" s="132"/>
      <c r="E87" s="132"/>
      <c r="F87" s="132"/>
      <c r="G87" s="132"/>
      <c r="H87" s="132"/>
      <c r="I87" s="132"/>
      <c r="J87" s="132"/>
      <c r="K87" s="132">
        <v>7.7896786757546244E-2</v>
      </c>
      <c r="L87" s="136">
        <v>7.7896786757546244E-2</v>
      </c>
    </row>
    <row r="88" spans="1:12" x14ac:dyDescent="0.35">
      <c r="B88" s="59" t="s">
        <v>1457</v>
      </c>
      <c r="C88" s="132"/>
      <c r="D88" s="132"/>
      <c r="E88" s="132"/>
      <c r="F88" s="132"/>
      <c r="G88" s="132"/>
      <c r="H88" s="132"/>
      <c r="I88" s="132"/>
      <c r="J88" s="132"/>
      <c r="K88" s="132">
        <v>0</v>
      </c>
      <c r="L88" s="136">
        <v>0</v>
      </c>
    </row>
    <row r="89" spans="1:12" x14ac:dyDescent="0.35">
      <c r="B89" s="59" t="s">
        <v>1460</v>
      </c>
      <c r="C89" s="132"/>
      <c r="D89" s="132"/>
      <c r="E89" s="132"/>
      <c r="F89" s="132"/>
      <c r="G89" s="132"/>
      <c r="H89" s="132"/>
      <c r="I89" s="132"/>
      <c r="J89" s="132"/>
      <c r="K89" s="132">
        <v>0</v>
      </c>
      <c r="L89" s="136">
        <v>0</v>
      </c>
    </row>
    <row r="90" spans="1:12" x14ac:dyDescent="0.35">
      <c r="B90" s="59" t="s">
        <v>1449</v>
      </c>
      <c r="C90" s="132"/>
      <c r="D90" s="132"/>
      <c r="E90" s="132"/>
      <c r="F90" s="132"/>
      <c r="G90" s="132"/>
      <c r="H90" s="132"/>
      <c r="I90" s="132"/>
      <c r="J90" s="132"/>
      <c r="K90" s="132">
        <v>9.7370983446932804E-3</v>
      </c>
      <c r="L90" s="136">
        <v>9.7370983446932804E-3</v>
      </c>
    </row>
    <row r="91" spans="1:12" x14ac:dyDescent="0.35">
      <c r="B91" s="57" t="s">
        <v>1466</v>
      </c>
      <c r="C91" s="122"/>
      <c r="D91" s="122"/>
      <c r="E91" s="122"/>
      <c r="F91" s="122"/>
      <c r="G91" s="122"/>
      <c r="H91" s="122"/>
      <c r="I91" s="122"/>
      <c r="J91" s="122"/>
      <c r="K91" s="122">
        <v>3.8948393378772983E-2</v>
      </c>
      <c r="L91" s="56">
        <v>3.8948393378772983E-2</v>
      </c>
    </row>
    <row r="93" spans="1:12" ht="13.15" x14ac:dyDescent="0.4">
      <c r="A93" s="41" t="s">
        <v>1491</v>
      </c>
    </row>
    <row r="94" spans="1:12" ht="38.25" x14ac:dyDescent="0.35">
      <c r="B94" s="91"/>
      <c r="C94" s="103" t="s">
        <v>1481</v>
      </c>
      <c r="D94" s="103" t="s">
        <v>1480</v>
      </c>
      <c r="E94" s="103" t="s">
        <v>1479</v>
      </c>
      <c r="F94" s="103" t="s">
        <v>1478</v>
      </c>
      <c r="G94" s="103" t="s">
        <v>1477</v>
      </c>
      <c r="H94" s="103" t="s">
        <v>1476</v>
      </c>
      <c r="I94" s="103" t="s">
        <v>1475</v>
      </c>
      <c r="J94" s="103" t="s">
        <v>1474</v>
      </c>
      <c r="K94" s="103" t="s">
        <v>1473</v>
      </c>
      <c r="L94" s="86" t="s">
        <v>1472</v>
      </c>
    </row>
    <row r="95" spans="1:12" x14ac:dyDescent="0.35">
      <c r="B95" s="61" t="s">
        <v>234</v>
      </c>
      <c r="C95" s="132">
        <v>0.62949855052382242</v>
      </c>
      <c r="D95" s="132">
        <v>0.30704706482486721</v>
      </c>
      <c r="E95" s="132">
        <v>0.6479254061843891</v>
      </c>
      <c r="F95" s="132">
        <v>0.3305582148208302</v>
      </c>
      <c r="G95" s="132">
        <v>0.64311431679840092</v>
      </c>
      <c r="H95" s="132">
        <v>0.34021931880200718</v>
      </c>
      <c r="I95" s="132">
        <v>0.65495028487564355</v>
      </c>
      <c r="J95" s="132">
        <v>0.21658588631519882</v>
      </c>
      <c r="K95" s="132">
        <v>0.59107825370866074</v>
      </c>
      <c r="L95" s="136">
        <v>0.19930245952027761</v>
      </c>
    </row>
    <row r="96" spans="1:12" x14ac:dyDescent="0.35">
      <c r="B96" s="59" t="s">
        <v>287</v>
      </c>
      <c r="C96" s="132">
        <v>0</v>
      </c>
      <c r="D96" s="132">
        <v>1.0301905888644543E-2</v>
      </c>
      <c r="E96" s="132">
        <v>0</v>
      </c>
      <c r="F96" s="132">
        <v>8.2061125266089767E-3</v>
      </c>
      <c r="G96" s="132">
        <v>0</v>
      </c>
      <c r="H96" s="132">
        <v>7.9728948452022011E-3</v>
      </c>
      <c r="I96" s="132">
        <v>0</v>
      </c>
      <c r="J96" s="132">
        <v>0</v>
      </c>
      <c r="K96" s="132">
        <v>3.2968744739484586E-2</v>
      </c>
      <c r="L96" s="136">
        <v>2.6743219720010897E-2</v>
      </c>
    </row>
    <row r="97" spans="2:12" x14ac:dyDescent="0.35">
      <c r="B97" s="59" t="s">
        <v>288</v>
      </c>
      <c r="C97" s="132">
        <v>0.1029001497222494</v>
      </c>
      <c r="D97" s="132">
        <v>3.5176694780504468E-2</v>
      </c>
      <c r="E97" s="132">
        <v>7.0947503286341432E-2</v>
      </c>
      <c r="F97" s="132">
        <v>3.336772777345693E-2</v>
      </c>
      <c r="G97" s="132">
        <v>7.1620763223259692E-2</v>
      </c>
      <c r="H97" s="132">
        <v>3.4477579106296563E-2</v>
      </c>
      <c r="I97" s="132">
        <v>1.9941E-2</v>
      </c>
      <c r="J97" s="132">
        <v>2.8704E-2</v>
      </c>
      <c r="K97" s="132">
        <v>1.7310939527567605E-2</v>
      </c>
      <c r="L97" s="136">
        <v>2.4888093880816704E-2</v>
      </c>
    </row>
    <row r="98" spans="2:12" x14ac:dyDescent="0.35">
      <c r="B98" s="59" t="s">
        <v>289</v>
      </c>
      <c r="C98" s="132">
        <v>1.8990028893467775E-2</v>
      </c>
      <c r="D98" s="132">
        <v>6.7356559328203974E-2</v>
      </c>
      <c r="E98" s="132">
        <v>1.2903177230393945E-2</v>
      </c>
      <c r="F98" s="132">
        <v>5.8452471525774666E-2</v>
      </c>
      <c r="G98" s="132">
        <v>1.2137339890270034E-2</v>
      </c>
      <c r="H98" s="132">
        <v>4.8169204306852766E-2</v>
      </c>
      <c r="I98" s="132">
        <v>1.478403601766028E-2</v>
      </c>
      <c r="J98" s="132">
        <v>6.899402849364053E-2</v>
      </c>
      <c r="K98" s="132">
        <v>2.2850532112855398E-2</v>
      </c>
      <c r="L98" s="136">
        <v>6.3360444323702261E-2</v>
      </c>
    </row>
    <row r="99" spans="2:12" x14ac:dyDescent="0.35">
      <c r="B99" s="59" t="s">
        <v>290</v>
      </c>
      <c r="C99" s="132">
        <v>4.463131232739953E-2</v>
      </c>
      <c r="D99" s="132">
        <v>0.14073462022531535</v>
      </c>
      <c r="E99" s="132">
        <v>5.8669245914124021E-2</v>
      </c>
      <c r="F99" s="132">
        <v>0.14155851993586258</v>
      </c>
      <c r="G99" s="132">
        <v>6.7103279300399582E-2</v>
      </c>
      <c r="H99" s="132">
        <v>0.15133606659119314</v>
      </c>
      <c r="I99" s="132">
        <v>5.6485089101058358E-2</v>
      </c>
      <c r="J99" s="132">
        <v>0.1587956629674708</v>
      </c>
      <c r="K99" s="132">
        <v>3.4989864281186181E-2</v>
      </c>
      <c r="L99" s="136">
        <v>0.12901195998062087</v>
      </c>
    </row>
    <row r="100" spans="2:12" x14ac:dyDescent="0.35">
      <c r="B100" s="59" t="s">
        <v>291</v>
      </c>
      <c r="C100" s="132">
        <v>1.8799122821085756E-2</v>
      </c>
      <c r="D100" s="132">
        <v>3.0902637838482617E-2</v>
      </c>
      <c r="E100" s="132">
        <v>3.9481269927300076E-2</v>
      </c>
      <c r="F100" s="132">
        <v>4.8216764294362946E-2</v>
      </c>
      <c r="G100" s="132">
        <v>4.5415399878956077E-2</v>
      </c>
      <c r="H100" s="132">
        <v>5.0935207584843739E-2</v>
      </c>
      <c r="I100" s="132">
        <v>5.7949669938508218E-2</v>
      </c>
      <c r="J100" s="132">
        <v>7.2751007631823461E-2</v>
      </c>
      <c r="K100" s="132">
        <v>3.3491409563151178E-2</v>
      </c>
      <c r="L100" s="136">
        <v>4.3466067560274359E-2</v>
      </c>
    </row>
    <row r="101" spans="2:12" x14ac:dyDescent="0.35">
      <c r="B101" s="59" t="s">
        <v>241</v>
      </c>
      <c r="C101" s="132">
        <v>0</v>
      </c>
      <c r="D101" s="132">
        <v>0</v>
      </c>
      <c r="E101" s="132">
        <v>0</v>
      </c>
      <c r="F101" s="132">
        <v>0</v>
      </c>
      <c r="G101" s="132">
        <v>0</v>
      </c>
      <c r="H101" s="132">
        <v>0</v>
      </c>
      <c r="I101" s="132">
        <v>0</v>
      </c>
      <c r="J101" s="132">
        <v>0</v>
      </c>
      <c r="K101" s="132">
        <v>0</v>
      </c>
      <c r="L101" s="136">
        <v>0</v>
      </c>
    </row>
    <row r="102" spans="2:12" x14ac:dyDescent="0.35">
      <c r="B102" s="59" t="s">
        <v>1427</v>
      </c>
      <c r="C102" s="132">
        <v>1.8457666296227494E-4</v>
      </c>
      <c r="D102" s="132">
        <v>3.7996009612283436E-3</v>
      </c>
      <c r="E102" s="132">
        <v>1.6778504055261717E-4</v>
      </c>
      <c r="F102" s="132">
        <v>3.5045486330930334E-3</v>
      </c>
      <c r="G102" s="132">
        <v>1.5276981618672788E-4</v>
      </c>
      <c r="H102" s="132">
        <v>3.2242908947320813E-3</v>
      </c>
      <c r="I102" s="132">
        <v>1.899824730483687E-4</v>
      </c>
      <c r="J102" s="132">
        <v>3.8678353371311121E-3</v>
      </c>
      <c r="K102" s="132">
        <v>1.8935842012651795E-4</v>
      </c>
      <c r="L102" s="136">
        <v>4.2557019870078719E-3</v>
      </c>
    </row>
    <row r="103" spans="2:12" x14ac:dyDescent="0.35">
      <c r="B103" s="59" t="s">
        <v>242</v>
      </c>
      <c r="C103" s="132">
        <v>2.9993707731369678E-2</v>
      </c>
      <c r="D103" s="132">
        <v>3.2507697112731382E-2</v>
      </c>
      <c r="E103" s="132">
        <v>2.7265069089800288E-2</v>
      </c>
      <c r="F103" s="132">
        <v>2.9204571942441946E-2</v>
      </c>
      <c r="G103" s="132">
        <v>2.482509513034328E-2</v>
      </c>
      <c r="H103" s="132">
        <v>2.615258170171577E-2</v>
      </c>
      <c r="I103" s="132">
        <v>3.0872151870359917E-2</v>
      </c>
      <c r="J103" s="132">
        <v>3.0942682697048897E-2</v>
      </c>
      <c r="K103" s="132">
        <v>3.0770743270559165E-2</v>
      </c>
      <c r="L103" s="136">
        <v>3.4045615896062975E-2</v>
      </c>
    </row>
    <row r="104" spans="2:12" x14ac:dyDescent="0.35">
      <c r="B104" s="59" t="s">
        <v>1490</v>
      </c>
      <c r="C104" s="132">
        <v>0.11342294150656715</v>
      </c>
      <c r="D104" s="132">
        <v>0.14161109373225569</v>
      </c>
      <c r="E104" s="132">
        <v>0.103631276390486</v>
      </c>
      <c r="F104" s="132">
        <v>0.12478570208526325</v>
      </c>
      <c r="G104" s="132">
        <v>9.8045735377291637E-2</v>
      </c>
      <c r="H104" s="132">
        <v>0.12311173678447584</v>
      </c>
      <c r="I104" s="132">
        <v>0.119466553124042</v>
      </c>
      <c r="J104" s="132">
        <v>0.15387078068244223</v>
      </c>
      <c r="K104" s="132">
        <v>0.1195124542298121</v>
      </c>
      <c r="L104" s="136">
        <v>0.13716837311709154</v>
      </c>
    </row>
    <row r="105" spans="2:12" x14ac:dyDescent="0.35">
      <c r="B105" s="59" t="s">
        <v>239</v>
      </c>
      <c r="C105" s="132">
        <v>2.18725201778108E-2</v>
      </c>
      <c r="D105" s="132">
        <v>2.9053457053386841E-2</v>
      </c>
      <c r="E105" s="132">
        <v>1.8497209141489012E-2</v>
      </c>
      <c r="F105" s="132">
        <v>2.478921060383163E-2</v>
      </c>
      <c r="G105" s="132">
        <v>1.8545811420265911E-2</v>
      </c>
      <c r="H105" s="132">
        <v>2.4377483773474064E-2</v>
      </c>
      <c r="I105" s="132">
        <v>1.7273780913104608E-2</v>
      </c>
      <c r="J105" s="132">
        <v>2.5848075855227654E-2</v>
      </c>
      <c r="K105" s="132">
        <v>2.0078377418373705E-2</v>
      </c>
      <c r="L105" s="136">
        <v>2.7031391970529801E-2</v>
      </c>
    </row>
    <row r="106" spans="2:12" ht="25.5" x14ac:dyDescent="0.35">
      <c r="B106" s="98" t="s">
        <v>1384</v>
      </c>
      <c r="C106" s="132">
        <v>0</v>
      </c>
      <c r="D106" s="132">
        <v>0.16084977402533324</v>
      </c>
      <c r="E106" s="132">
        <v>0</v>
      </c>
      <c r="F106" s="132">
        <v>0.15458953414865939</v>
      </c>
      <c r="G106" s="132">
        <v>0</v>
      </c>
      <c r="H106" s="132">
        <v>0.14760087206995748</v>
      </c>
      <c r="I106" s="132">
        <v>0</v>
      </c>
      <c r="J106" s="132">
        <v>0.18307753929087264</v>
      </c>
      <c r="K106" s="132">
        <v>0</v>
      </c>
      <c r="L106" s="136">
        <v>0.20001799338937001</v>
      </c>
    </row>
    <row r="107" spans="2:12" ht="25.5" x14ac:dyDescent="0.35">
      <c r="B107" s="98" t="s">
        <v>1383</v>
      </c>
      <c r="C107" s="132">
        <v>0</v>
      </c>
      <c r="D107" s="132">
        <v>0</v>
      </c>
      <c r="E107" s="132">
        <v>0</v>
      </c>
      <c r="F107" s="132">
        <v>0</v>
      </c>
      <c r="G107" s="132">
        <v>0</v>
      </c>
      <c r="H107" s="132">
        <v>0</v>
      </c>
      <c r="I107" s="132">
        <v>0</v>
      </c>
      <c r="J107" s="132">
        <v>0</v>
      </c>
      <c r="K107" s="132">
        <v>5.6891501383987512E-2</v>
      </c>
      <c r="L107" s="136">
        <v>4.6500297409572254E-2</v>
      </c>
    </row>
    <row r="108" spans="2:12" x14ac:dyDescent="0.35">
      <c r="B108" s="59" t="s">
        <v>1368</v>
      </c>
      <c r="C108" s="132">
        <v>0</v>
      </c>
      <c r="D108" s="132">
        <v>1.7940000000000001E-2</v>
      </c>
      <c r="E108" s="132">
        <v>0</v>
      </c>
      <c r="F108" s="132">
        <v>1.9109999999999999E-2</v>
      </c>
      <c r="G108" s="132">
        <v>0</v>
      </c>
      <c r="H108" s="132">
        <v>2.0480000000000002E-2</v>
      </c>
      <c r="I108" s="132">
        <v>0</v>
      </c>
      <c r="J108" s="132">
        <v>2.5896000000000002E-2</v>
      </c>
      <c r="K108" s="132">
        <v>6.0292672380815541E-3</v>
      </c>
      <c r="L108" s="136">
        <v>2.7291659058442615E-2</v>
      </c>
    </row>
    <row r="109" spans="2:12" x14ac:dyDescent="0.35">
      <c r="B109" s="59" t="s">
        <v>237</v>
      </c>
      <c r="C109" s="132">
        <v>0</v>
      </c>
      <c r="D109" s="132">
        <v>0</v>
      </c>
      <c r="E109" s="132">
        <v>0</v>
      </c>
      <c r="F109" s="132">
        <v>0</v>
      </c>
      <c r="G109" s="132">
        <v>0</v>
      </c>
      <c r="H109" s="132">
        <v>0</v>
      </c>
      <c r="I109" s="132">
        <v>0</v>
      </c>
      <c r="J109" s="132">
        <v>0</v>
      </c>
      <c r="K109" s="132">
        <v>1.5840509723417094E-6</v>
      </c>
      <c r="L109" s="136">
        <v>1.2822905304179673E-6</v>
      </c>
    </row>
    <row r="110" spans="2:12" x14ac:dyDescent="0.35">
      <c r="B110" s="59" t="s">
        <v>1489</v>
      </c>
      <c r="C110" s="132">
        <v>0</v>
      </c>
      <c r="D110" s="132">
        <v>0</v>
      </c>
      <c r="E110" s="132">
        <v>0</v>
      </c>
      <c r="F110" s="132">
        <v>0</v>
      </c>
      <c r="G110" s="132">
        <v>0</v>
      </c>
      <c r="H110" s="132">
        <v>0</v>
      </c>
      <c r="I110" s="132">
        <v>0</v>
      </c>
      <c r="J110" s="132">
        <v>0</v>
      </c>
      <c r="K110" s="132">
        <v>5.1336245343462769E-4</v>
      </c>
      <c r="L110" s="136">
        <v>4.1556731709095184E-4</v>
      </c>
    </row>
    <row r="111" spans="2:12" x14ac:dyDescent="0.35">
      <c r="B111" s="59" t="s">
        <v>1488</v>
      </c>
      <c r="C111" s="132">
        <v>0</v>
      </c>
      <c r="D111" s="132">
        <v>0</v>
      </c>
      <c r="E111" s="132">
        <v>0</v>
      </c>
      <c r="F111" s="132">
        <v>0</v>
      </c>
      <c r="G111" s="132">
        <v>0</v>
      </c>
      <c r="H111" s="132">
        <v>0</v>
      </c>
      <c r="I111" s="132">
        <v>0</v>
      </c>
      <c r="J111" s="132">
        <v>0</v>
      </c>
      <c r="K111" s="132">
        <v>1.7724417680244752E-3</v>
      </c>
      <c r="L111" s="136">
        <v>1.4347930303626503E-3</v>
      </c>
    </row>
    <row r="112" spans="2:12" x14ac:dyDescent="0.35">
      <c r="B112" s="59" t="s">
        <v>1185</v>
      </c>
      <c r="C112" s="132">
        <v>0</v>
      </c>
      <c r="D112" s="132">
        <v>0</v>
      </c>
      <c r="E112" s="132">
        <v>0</v>
      </c>
      <c r="F112" s="132">
        <v>0</v>
      </c>
      <c r="G112" s="132">
        <v>0</v>
      </c>
      <c r="H112" s="132">
        <v>0</v>
      </c>
      <c r="I112" s="132">
        <v>0</v>
      </c>
      <c r="J112" s="132">
        <v>0</v>
      </c>
      <c r="K112" s="132">
        <v>2.1244438804929855E-3</v>
      </c>
      <c r="L112" s="136">
        <v>1.7197390222446101E-3</v>
      </c>
    </row>
    <row r="113" spans="1:12" x14ac:dyDescent="0.35">
      <c r="B113" s="59" t="s">
        <v>1487</v>
      </c>
      <c r="C113" s="132">
        <v>0</v>
      </c>
      <c r="D113" s="132">
        <v>0</v>
      </c>
      <c r="E113" s="132">
        <v>0</v>
      </c>
      <c r="F113" s="132">
        <v>0</v>
      </c>
      <c r="G113" s="132">
        <v>0</v>
      </c>
      <c r="H113" s="132">
        <v>0</v>
      </c>
      <c r="I113" s="132">
        <v>0</v>
      </c>
      <c r="J113" s="132">
        <v>0</v>
      </c>
      <c r="K113" s="132">
        <v>0</v>
      </c>
      <c r="L113" s="136">
        <v>0</v>
      </c>
    </row>
    <row r="114" spans="1:12" x14ac:dyDescent="0.35">
      <c r="B114" s="59" t="s">
        <v>1486</v>
      </c>
      <c r="C114" s="132">
        <v>4.9405043657777228E-6</v>
      </c>
      <c r="D114" s="132">
        <v>8.5849215738704534E-6</v>
      </c>
      <c r="E114" s="132">
        <v>4.5035419405284531E-6</v>
      </c>
      <c r="F114" s="132">
        <v>5.1288203291306102E-6</v>
      </c>
      <c r="G114" s="132">
        <v>4.7754178266017273E-6</v>
      </c>
      <c r="H114" s="132">
        <v>5.3152632301348015E-6</v>
      </c>
      <c r="I114" s="132">
        <v>0</v>
      </c>
      <c r="J114" s="132">
        <v>0</v>
      </c>
      <c r="K114" s="132">
        <v>1.4632949480202061E-5</v>
      </c>
      <c r="L114" s="136">
        <v>1.1845384320435833E-5</v>
      </c>
    </row>
    <row r="115" spans="1:12" x14ac:dyDescent="0.35">
      <c r="B115" s="59" t="s">
        <v>1485</v>
      </c>
      <c r="C115" s="132">
        <v>0</v>
      </c>
      <c r="D115" s="132">
        <v>0</v>
      </c>
      <c r="E115" s="132">
        <v>0</v>
      </c>
      <c r="F115" s="132">
        <v>0</v>
      </c>
      <c r="G115" s="132">
        <v>0</v>
      </c>
      <c r="H115" s="132">
        <v>0</v>
      </c>
      <c r="I115" s="132">
        <v>0</v>
      </c>
      <c r="J115" s="132">
        <v>0</v>
      </c>
      <c r="K115" s="132">
        <v>8.8883675072430894E-4</v>
      </c>
      <c r="L115" s="136">
        <v>7.2613989947604117E-4</v>
      </c>
    </row>
    <row r="116" spans="1:12" x14ac:dyDescent="0.35">
      <c r="B116" s="59" t="s">
        <v>1484</v>
      </c>
      <c r="C116" s="132">
        <v>0</v>
      </c>
      <c r="D116" s="132">
        <v>0</v>
      </c>
      <c r="E116" s="132">
        <v>0</v>
      </c>
      <c r="F116" s="132">
        <v>0</v>
      </c>
      <c r="G116" s="132">
        <v>0</v>
      </c>
      <c r="H116" s="132">
        <v>0</v>
      </c>
      <c r="I116" s="132">
        <v>0</v>
      </c>
      <c r="J116" s="132">
        <v>0</v>
      </c>
      <c r="K116" s="132">
        <v>2.2592745772272168E-4</v>
      </c>
      <c r="L116" s="136">
        <v>1.8288845792063121E-4</v>
      </c>
    </row>
    <row r="117" spans="1:12" x14ac:dyDescent="0.35">
      <c r="B117" s="57" t="s">
        <v>292</v>
      </c>
      <c r="C117" s="122">
        <v>1.9702149128899449E-2</v>
      </c>
      <c r="D117" s="122">
        <v>2.2710309307472643E-2</v>
      </c>
      <c r="E117" s="122">
        <v>2.0507554253183069E-2</v>
      </c>
      <c r="F117" s="122">
        <v>2.3651492889485315E-2</v>
      </c>
      <c r="G117" s="122">
        <v>1.9034713746799548E-2</v>
      </c>
      <c r="H117" s="122">
        <v>2.1937448276018956E-2</v>
      </c>
      <c r="I117" s="122">
        <v>2.8087451686574672E-2</v>
      </c>
      <c r="J117" s="122">
        <v>3.0666500729143897E-2</v>
      </c>
      <c r="K117" s="122">
        <v>2.8297324795302004E-2</v>
      </c>
      <c r="L117" s="56">
        <v>3.2424466784274575E-2</v>
      </c>
    </row>
    <row r="119" spans="1:12" ht="13.15" x14ac:dyDescent="0.4">
      <c r="A119" s="41" t="s">
        <v>1483</v>
      </c>
    </row>
    <row r="120" spans="1:12" x14ac:dyDescent="0.35">
      <c r="B120" s="104" t="s">
        <v>239</v>
      </c>
      <c r="C120" s="89" t="s">
        <v>234</v>
      </c>
    </row>
    <row r="121" spans="1:12" x14ac:dyDescent="0.35">
      <c r="B121" s="135">
        <v>0.66700000000000004</v>
      </c>
      <c r="C121" s="56">
        <v>0.33299999999999996</v>
      </c>
    </row>
    <row r="123" spans="1:12" ht="13.9" x14ac:dyDescent="0.4">
      <c r="A123" s="72" t="s">
        <v>1482</v>
      </c>
    </row>
    <row r="124" spans="1:12" ht="38.25" x14ac:dyDescent="0.35">
      <c r="B124" s="61"/>
      <c r="C124" s="134" t="s">
        <v>1481</v>
      </c>
      <c r="D124" s="134" t="s">
        <v>1480</v>
      </c>
      <c r="E124" s="134" t="s">
        <v>1479</v>
      </c>
      <c r="F124" s="134" t="s">
        <v>1478</v>
      </c>
      <c r="G124" s="134" t="s">
        <v>1477</v>
      </c>
      <c r="H124" s="134" t="s">
        <v>1476</v>
      </c>
      <c r="I124" s="134" t="s">
        <v>1475</v>
      </c>
      <c r="J124" s="134" t="s">
        <v>1474</v>
      </c>
      <c r="K124" s="134" t="s">
        <v>1473</v>
      </c>
      <c r="L124" s="133" t="s">
        <v>1472</v>
      </c>
    </row>
    <row r="125" spans="1:12" ht="14.25" x14ac:dyDescent="0.45">
      <c r="B125" s="131" t="s">
        <v>1471</v>
      </c>
      <c r="C125" s="130"/>
      <c r="D125" s="130"/>
      <c r="E125" s="130"/>
      <c r="F125" s="130"/>
      <c r="G125" s="130"/>
      <c r="H125" s="130"/>
      <c r="I125" s="130"/>
      <c r="J125" s="130"/>
      <c r="K125" s="130"/>
      <c r="L125" s="129"/>
    </row>
    <row r="126" spans="1:12" ht="14.25" x14ac:dyDescent="0.45">
      <c r="B126" s="59" t="s">
        <v>1441</v>
      </c>
      <c r="C126" s="88">
        <v>6.0999999999999999E-2</v>
      </c>
      <c r="D126" s="88">
        <v>6.0999999999999999E-2</v>
      </c>
      <c r="E126" s="88">
        <v>6.0999999999999999E-2</v>
      </c>
      <c r="F126" s="88">
        <v>6.0999999999999999E-2</v>
      </c>
      <c r="G126" s="88">
        <v>6.0999999999999999E-2</v>
      </c>
      <c r="H126" s="88">
        <v>6.0999999999999999E-2</v>
      </c>
      <c r="I126" s="88">
        <v>6.0999999999999999E-2</v>
      </c>
      <c r="J126" s="88">
        <v>6.0999999999999999E-2</v>
      </c>
      <c r="K126" s="88">
        <v>6.0999999999999999E-2</v>
      </c>
      <c r="L126" s="80">
        <v>6.0999999999999999E-2</v>
      </c>
    </row>
    <row r="127" spans="1:12" ht="14.25" x14ac:dyDescent="0.45">
      <c r="B127" s="59" t="s">
        <v>1470</v>
      </c>
      <c r="C127" s="88">
        <v>0.69</v>
      </c>
      <c r="D127" s="88">
        <v>0.69</v>
      </c>
      <c r="E127" s="88">
        <v>0.69</v>
      </c>
      <c r="F127" s="88">
        <v>0.69</v>
      </c>
      <c r="G127" s="88">
        <v>0.69</v>
      </c>
      <c r="H127" s="88">
        <v>0.69</v>
      </c>
      <c r="I127" s="88">
        <v>0.69</v>
      </c>
      <c r="J127" s="88">
        <v>0.69</v>
      </c>
      <c r="K127" s="88">
        <v>0.69</v>
      </c>
      <c r="L127" s="80">
        <v>0.69</v>
      </c>
    </row>
    <row r="128" spans="1:12" ht="14.25" x14ac:dyDescent="0.45">
      <c r="B128" s="59" t="s">
        <v>1469</v>
      </c>
      <c r="C128" s="88">
        <v>7.9000000000000001E-2</v>
      </c>
      <c r="D128" s="88">
        <v>7.9000000000000001E-2</v>
      </c>
      <c r="E128" s="88">
        <v>7.9000000000000001E-2</v>
      </c>
      <c r="F128" s="88">
        <v>7.9000000000000001E-2</v>
      </c>
      <c r="G128" s="88">
        <v>7.9000000000000001E-2</v>
      </c>
      <c r="H128" s="88">
        <v>7.9000000000000001E-2</v>
      </c>
      <c r="I128" s="88">
        <v>7.9000000000000001E-2</v>
      </c>
      <c r="J128" s="88">
        <v>7.9000000000000001E-2</v>
      </c>
      <c r="K128" s="88">
        <v>7.9000000000000001E-2</v>
      </c>
      <c r="L128" s="80">
        <v>7.9000000000000001E-2</v>
      </c>
    </row>
    <row r="129" spans="2:29" ht="14.25" x14ac:dyDescent="0.45">
      <c r="B129" s="59" t="s">
        <v>1468</v>
      </c>
      <c r="C129" s="88">
        <v>2.1000000000000001E-2</v>
      </c>
      <c r="D129" s="88">
        <v>2.1000000000000001E-2</v>
      </c>
      <c r="E129" s="88">
        <v>2.1000000000000001E-2</v>
      </c>
      <c r="F129" s="88">
        <v>2.1000000000000001E-2</v>
      </c>
      <c r="G129" s="88">
        <v>2.1000000000000001E-2</v>
      </c>
      <c r="H129" s="88">
        <v>2.1000000000000001E-2</v>
      </c>
      <c r="I129" s="88">
        <v>2.1000000000000001E-2</v>
      </c>
      <c r="J129" s="88">
        <v>2.1000000000000001E-2</v>
      </c>
      <c r="K129" s="88">
        <v>2.1000000000000001E-2</v>
      </c>
      <c r="L129" s="80">
        <v>2.1000000000000001E-2</v>
      </c>
    </row>
    <row r="130" spans="2:29" ht="14.25" x14ac:dyDescent="0.45">
      <c r="B130" s="59" t="s">
        <v>1467</v>
      </c>
      <c r="C130" s="88">
        <v>0.14099999999999999</v>
      </c>
      <c r="D130" s="88">
        <v>0.14099999999999999</v>
      </c>
      <c r="E130" s="88">
        <v>0.14099999999999999</v>
      </c>
      <c r="F130" s="88">
        <v>0.14099999999999999</v>
      </c>
      <c r="G130" s="88">
        <v>0.14099999999999999</v>
      </c>
      <c r="H130" s="88">
        <v>0.14099999999999999</v>
      </c>
      <c r="I130" s="88">
        <v>0.14099999999999999</v>
      </c>
      <c r="J130" s="88">
        <v>0.14099999999999999</v>
      </c>
      <c r="K130" s="88">
        <v>0.14099999999999999</v>
      </c>
      <c r="L130" s="80">
        <v>0.14099999999999999</v>
      </c>
    </row>
    <row r="131" spans="2:29" ht="14.25" x14ac:dyDescent="0.45">
      <c r="B131" s="57" t="s">
        <v>1466</v>
      </c>
      <c r="C131" s="78">
        <v>8.0000000000001181E-3</v>
      </c>
      <c r="D131" s="78">
        <v>8.0000000000001181E-3</v>
      </c>
      <c r="E131" s="78">
        <v>8.0000000000001181E-3</v>
      </c>
      <c r="F131" s="78">
        <v>8.0000000000001181E-3</v>
      </c>
      <c r="G131" s="78">
        <v>8.0000000000001181E-3</v>
      </c>
      <c r="H131" s="78">
        <v>8.0000000000001181E-3</v>
      </c>
      <c r="I131" s="78">
        <v>8.0000000000001181E-3</v>
      </c>
      <c r="J131" s="78">
        <v>8.0000000000001181E-3</v>
      </c>
      <c r="K131" s="78">
        <v>8.0000000000001181E-3</v>
      </c>
      <c r="L131" s="76">
        <v>8.0000000000001181E-3</v>
      </c>
    </row>
    <row r="132" spans="2:29" ht="14.25" x14ac:dyDescent="0.45">
      <c r="B132" s="128" t="s">
        <v>1465</v>
      </c>
      <c r="C132" s="73"/>
      <c r="D132" s="73"/>
      <c r="E132" s="73"/>
      <c r="F132" s="73"/>
      <c r="G132" s="73"/>
      <c r="H132" s="73"/>
      <c r="I132" s="73"/>
      <c r="J132" s="73"/>
      <c r="K132" s="73"/>
      <c r="L132" s="97"/>
    </row>
    <row r="133" spans="2:29" ht="14.25" x14ac:dyDescent="0.45">
      <c r="B133" s="59" t="s">
        <v>1464</v>
      </c>
      <c r="C133" s="73"/>
      <c r="D133" s="73"/>
      <c r="E133" s="88">
        <v>0.12</v>
      </c>
      <c r="F133" s="88">
        <v>0.12</v>
      </c>
      <c r="G133" s="88">
        <v>0.12</v>
      </c>
      <c r="H133" s="88">
        <v>0.12</v>
      </c>
      <c r="I133" s="88">
        <v>0.12</v>
      </c>
      <c r="J133" s="88">
        <v>0.12</v>
      </c>
      <c r="K133" s="88">
        <v>0.12</v>
      </c>
      <c r="L133" s="80">
        <v>0.12</v>
      </c>
      <c r="M133" s="132"/>
    </row>
    <row r="134" spans="2:29" ht="14.25" x14ac:dyDescent="0.45">
      <c r="B134" s="59" t="s">
        <v>1438</v>
      </c>
      <c r="C134" s="73"/>
      <c r="D134" s="73"/>
      <c r="E134" s="88">
        <v>0.23699999999999999</v>
      </c>
      <c r="F134" s="88">
        <v>0.23699999999999999</v>
      </c>
      <c r="G134" s="88">
        <v>0.23699999999999999</v>
      </c>
      <c r="H134" s="88">
        <v>0.23699999999999999</v>
      </c>
      <c r="I134" s="88">
        <v>0.23699999999999999</v>
      </c>
      <c r="J134" s="88">
        <v>0.23699999999999999</v>
      </c>
      <c r="K134" s="88">
        <v>0.23699999999999999</v>
      </c>
      <c r="L134" s="80">
        <v>0.23699999999999999</v>
      </c>
    </row>
    <row r="135" spans="2:29" ht="14.25" x14ac:dyDescent="0.45">
      <c r="B135" s="59" t="s">
        <v>1463</v>
      </c>
      <c r="C135" s="73"/>
      <c r="D135" s="73"/>
      <c r="E135" s="88">
        <v>5.0000000000000001E-3</v>
      </c>
      <c r="F135" s="88">
        <v>5.0000000000000001E-3</v>
      </c>
      <c r="G135" s="88">
        <v>5.0000000000000001E-3</v>
      </c>
      <c r="H135" s="88">
        <v>5.0000000000000001E-3</v>
      </c>
      <c r="I135" s="88">
        <v>5.0000000000000001E-3</v>
      </c>
      <c r="J135" s="88">
        <v>5.0000000000000001E-3</v>
      </c>
      <c r="K135" s="88">
        <v>5.0000000000000001E-3</v>
      </c>
      <c r="L135" s="80">
        <v>5.0000000000000001E-3</v>
      </c>
    </row>
    <row r="136" spans="2:29" ht="14.25" x14ac:dyDescent="0.45">
      <c r="B136" s="59" t="s">
        <v>1447</v>
      </c>
      <c r="C136" s="73"/>
      <c r="D136" s="73"/>
      <c r="E136" s="88">
        <v>3.9E-2</v>
      </c>
      <c r="F136" s="88">
        <v>3.9E-2</v>
      </c>
      <c r="G136" s="88">
        <v>3.9E-2</v>
      </c>
      <c r="H136" s="88">
        <v>3.9E-2</v>
      </c>
      <c r="I136" s="88">
        <v>3.9E-2</v>
      </c>
      <c r="J136" s="88">
        <v>3.9E-2</v>
      </c>
      <c r="K136" s="88">
        <v>3.9E-2</v>
      </c>
      <c r="L136" s="80">
        <v>3.9E-2</v>
      </c>
    </row>
    <row r="137" spans="2:29" ht="14.25" x14ac:dyDescent="0.45">
      <c r="B137" s="59" t="s">
        <v>1462</v>
      </c>
      <c r="C137" s="73"/>
      <c r="D137" s="73"/>
      <c r="E137" s="88">
        <v>0.01</v>
      </c>
      <c r="F137" s="88">
        <v>0.01</v>
      </c>
      <c r="G137" s="88">
        <v>0.01</v>
      </c>
      <c r="H137" s="88">
        <v>0.01</v>
      </c>
      <c r="I137" s="88">
        <v>0.01</v>
      </c>
      <c r="J137" s="88">
        <v>0.01</v>
      </c>
      <c r="K137" s="88">
        <v>0.01</v>
      </c>
      <c r="L137" s="80">
        <v>0.01</v>
      </c>
    </row>
    <row r="138" spans="2:29" ht="14.25" x14ac:dyDescent="0.45">
      <c r="B138" s="59" t="s">
        <v>1461</v>
      </c>
      <c r="C138" s="73"/>
      <c r="D138" s="73"/>
      <c r="E138" s="88">
        <v>1.7999999999999999E-2</v>
      </c>
      <c r="F138" s="88">
        <v>1.7999999999999999E-2</v>
      </c>
      <c r="G138" s="88">
        <v>1.7999999999999999E-2</v>
      </c>
      <c r="H138" s="88">
        <v>1.7999999999999999E-2</v>
      </c>
      <c r="I138" s="88">
        <v>1.7999999999999999E-2</v>
      </c>
      <c r="J138" s="88">
        <v>1.7999999999999999E-2</v>
      </c>
      <c r="K138" s="88">
        <v>1.7999999999999999E-2</v>
      </c>
      <c r="L138" s="80">
        <v>1.7999999999999999E-2</v>
      </c>
    </row>
    <row r="139" spans="2:29" ht="14.25" x14ac:dyDescent="0.45">
      <c r="B139" s="59" t="s">
        <v>1460</v>
      </c>
      <c r="C139" s="73"/>
      <c r="D139" s="73"/>
      <c r="E139" s="88">
        <v>0.28199999999999997</v>
      </c>
      <c r="F139" s="88">
        <v>0.28199999999999997</v>
      </c>
      <c r="G139" s="88">
        <v>0.28199999999999997</v>
      </c>
      <c r="H139" s="88">
        <v>0.28199999999999997</v>
      </c>
      <c r="I139" s="88">
        <v>0.28199999999999997</v>
      </c>
      <c r="J139" s="88">
        <v>0.28199999999999997</v>
      </c>
      <c r="K139" s="88">
        <v>0.28199999999999997</v>
      </c>
      <c r="L139" s="80">
        <v>0.28199999999999997</v>
      </c>
    </row>
    <row r="140" spans="2:29" ht="14.25" x14ac:dyDescent="0.45">
      <c r="B140" s="59" t="s">
        <v>1459</v>
      </c>
      <c r="C140" s="73"/>
      <c r="D140" s="73"/>
      <c r="E140" s="88">
        <v>6.3E-2</v>
      </c>
      <c r="F140" s="88">
        <v>6.3E-2</v>
      </c>
      <c r="G140" s="88">
        <v>6.3E-2</v>
      </c>
      <c r="H140" s="88">
        <v>6.3E-2</v>
      </c>
      <c r="I140" s="88">
        <v>6.3E-2</v>
      </c>
      <c r="J140" s="88">
        <v>6.3E-2</v>
      </c>
      <c r="K140" s="88">
        <v>6.3E-2</v>
      </c>
      <c r="L140" s="80">
        <v>6.3E-2</v>
      </c>
    </row>
    <row r="141" spans="2:29" ht="14.25" x14ac:dyDescent="0.45">
      <c r="B141" s="59" t="s">
        <v>1458</v>
      </c>
      <c r="C141" s="73"/>
      <c r="D141" s="73"/>
      <c r="E141" s="88">
        <v>0.22500000000000001</v>
      </c>
      <c r="F141" s="88">
        <v>0.22500000000000001</v>
      </c>
      <c r="G141" s="88">
        <v>0.22500000000000001</v>
      </c>
      <c r="H141" s="88">
        <v>0.22500000000000001</v>
      </c>
      <c r="I141" s="88">
        <v>0.22500000000000001</v>
      </c>
      <c r="J141" s="88">
        <v>0.22500000000000001</v>
      </c>
      <c r="K141" s="88">
        <v>0.22500000000000001</v>
      </c>
      <c r="L141" s="80">
        <v>0.22500000000000001</v>
      </c>
    </row>
    <row r="142" spans="2:29" ht="14.25" x14ac:dyDescent="0.45">
      <c r="B142" s="59" t="s">
        <v>1457</v>
      </c>
      <c r="C142" s="73"/>
      <c r="D142" s="73"/>
      <c r="E142" s="73">
        <v>1.0000000000000009E-3</v>
      </c>
      <c r="F142" s="73">
        <v>1.0000000000000009E-3</v>
      </c>
      <c r="G142" s="73">
        <v>1.0000000000000009E-3</v>
      </c>
      <c r="H142" s="73">
        <v>1.0000000000000009E-3</v>
      </c>
      <c r="I142" s="73">
        <v>1.0000000000000009E-3</v>
      </c>
      <c r="J142" s="73">
        <v>1.0000000000000009E-3</v>
      </c>
      <c r="K142" s="73">
        <v>1.0000000000000009E-3</v>
      </c>
      <c r="L142" s="97">
        <v>1.0000000000000009E-3</v>
      </c>
    </row>
    <row r="143" spans="2:29" ht="14.25" x14ac:dyDescent="0.45">
      <c r="B143" s="131" t="s">
        <v>1456</v>
      </c>
      <c r="C143" s="130"/>
      <c r="D143" s="130"/>
      <c r="E143" s="130"/>
      <c r="F143" s="130"/>
      <c r="G143" s="130"/>
      <c r="H143" s="130"/>
      <c r="I143" s="130"/>
      <c r="J143" s="130"/>
      <c r="K143" s="130"/>
      <c r="L143" s="129"/>
    </row>
    <row r="144" spans="2:29" ht="14.25" x14ac:dyDescent="0.45">
      <c r="B144" s="128"/>
      <c r="C144" s="73"/>
      <c r="D144" s="73"/>
      <c r="E144" s="73"/>
      <c r="F144" s="73"/>
      <c r="G144" s="73"/>
      <c r="H144" s="73"/>
      <c r="I144" s="73"/>
      <c r="J144" s="73"/>
      <c r="K144" s="73"/>
      <c r="L144" s="97"/>
      <c r="M144" s="61" t="s">
        <v>293</v>
      </c>
      <c r="N144" s="101"/>
      <c r="O144" s="101"/>
      <c r="P144" s="61" t="s">
        <v>1455</v>
      </c>
      <c r="Q144" s="101"/>
      <c r="R144" s="60"/>
      <c r="S144" s="101" t="s">
        <v>1454</v>
      </c>
      <c r="T144" s="101"/>
      <c r="U144" s="101"/>
      <c r="V144" s="61" t="s">
        <v>1453</v>
      </c>
      <c r="W144" s="101"/>
      <c r="X144" s="101"/>
      <c r="Y144" s="101"/>
      <c r="Z144" s="101"/>
      <c r="AA144" s="101"/>
      <c r="AB144" s="101"/>
      <c r="AC144" s="60"/>
    </row>
    <row r="145" spans="2:29" ht="14.25" x14ac:dyDescent="0.45">
      <c r="B145" s="128"/>
      <c r="C145" s="73"/>
      <c r="D145" s="73"/>
      <c r="E145" s="73"/>
      <c r="F145" s="73"/>
      <c r="G145" s="73"/>
      <c r="H145" s="75"/>
      <c r="I145" s="75"/>
      <c r="J145" s="75"/>
      <c r="K145" s="75"/>
      <c r="L145" s="97"/>
      <c r="M145" s="57" t="s">
        <v>299</v>
      </c>
      <c r="N145" s="77" t="s">
        <v>300</v>
      </c>
      <c r="O145" s="77" t="s">
        <v>1452</v>
      </c>
      <c r="P145" s="57" t="s">
        <v>299</v>
      </c>
      <c r="Q145" s="77" t="s">
        <v>300</v>
      </c>
      <c r="R145" s="100" t="s">
        <v>1452</v>
      </c>
      <c r="S145" s="77" t="s">
        <v>299</v>
      </c>
      <c r="T145" s="77" t="s">
        <v>300</v>
      </c>
      <c r="U145" s="77" t="s">
        <v>1452</v>
      </c>
      <c r="V145" s="57" t="s">
        <v>299</v>
      </c>
      <c r="W145" s="77" t="s">
        <v>300</v>
      </c>
      <c r="X145" s="77" t="s">
        <v>1452</v>
      </c>
      <c r="Y145" s="77" t="s">
        <v>303</v>
      </c>
      <c r="Z145" s="77" t="s">
        <v>304</v>
      </c>
      <c r="AA145" s="77" t="s">
        <v>305</v>
      </c>
      <c r="AB145" s="77" t="s">
        <v>306</v>
      </c>
      <c r="AC145" s="100" t="s">
        <v>307</v>
      </c>
    </row>
    <row r="146" spans="2:29" ht="14.25" x14ac:dyDescent="0.45">
      <c r="B146" s="59" t="s">
        <v>1451</v>
      </c>
      <c r="C146" s="73"/>
      <c r="D146" s="73"/>
      <c r="E146" s="75">
        <v>0.16262083323711099</v>
      </c>
      <c r="F146" s="75">
        <v>0.16262083323711099</v>
      </c>
      <c r="G146" s="75">
        <v>0.24784312730705699</v>
      </c>
      <c r="H146" s="75">
        <v>0.24784312730705699</v>
      </c>
      <c r="I146" s="75">
        <v>0.25166563505797701</v>
      </c>
      <c r="J146" s="75">
        <v>0.25166563505797701</v>
      </c>
      <c r="K146" s="75">
        <v>0.16262083323711099</v>
      </c>
      <c r="L146" s="127">
        <v>0.16262083323711099</v>
      </c>
      <c r="M146" s="126">
        <v>0.174889144601519</v>
      </c>
      <c r="N146" s="125">
        <v>0.16262083323711099</v>
      </c>
      <c r="O146" s="125">
        <v>0.15511670325360799</v>
      </c>
      <c r="P146" s="126">
        <v>0.24167243115655199</v>
      </c>
      <c r="Q146" s="125">
        <v>0.199301600739134</v>
      </c>
      <c r="R146" s="124">
        <v>0.181397595039928</v>
      </c>
      <c r="S146" s="125">
        <v>0.29554520762450098</v>
      </c>
      <c r="T146" s="125">
        <v>0.24784312730705699</v>
      </c>
      <c r="U146" s="125">
        <v>0.228048479399794</v>
      </c>
      <c r="V146" s="126">
        <v>0.30747205901326002</v>
      </c>
      <c r="W146" s="125">
        <v>0.25166563505797701</v>
      </c>
      <c r="X146" s="125">
        <v>0.237508278181772</v>
      </c>
      <c r="Y146" s="125">
        <v>0.23067106275545901</v>
      </c>
      <c r="Z146" s="125">
        <v>0.22151739741811299</v>
      </c>
      <c r="AA146" s="125">
        <v>0.19520000000000001</v>
      </c>
      <c r="AB146" s="125">
        <v>0.23868549869820699</v>
      </c>
      <c r="AC146" s="124">
        <v>0.21638570069111901</v>
      </c>
    </row>
    <row r="147" spans="2:29" ht="14.25" x14ac:dyDescent="0.45">
      <c r="B147" s="59" t="s">
        <v>1450</v>
      </c>
      <c r="C147" s="73"/>
      <c r="D147" s="73"/>
      <c r="E147" s="75">
        <v>0.102534491476213</v>
      </c>
      <c r="F147" s="75">
        <v>0.102534491476213</v>
      </c>
      <c r="G147" s="75">
        <v>0.15345400280798999</v>
      </c>
      <c r="H147" s="75">
        <v>0.15345400280798999</v>
      </c>
      <c r="I147" s="75">
        <v>0.15745210403031401</v>
      </c>
      <c r="J147" s="75">
        <v>0.15745210403031401</v>
      </c>
      <c r="K147" s="75">
        <v>0.102534491476213</v>
      </c>
      <c r="L147" s="127">
        <v>0.102534491476213</v>
      </c>
      <c r="M147" s="126">
        <v>7.3090889514284899E-2</v>
      </c>
      <c r="N147" s="125">
        <v>0.102534491476213</v>
      </c>
      <c r="O147" s="125">
        <v>9.0552349146087299E-2</v>
      </c>
      <c r="P147" s="126">
        <v>9.9356823227732302E-2</v>
      </c>
      <c r="Q147" s="125">
        <v>0.12437698368184499</v>
      </c>
      <c r="R147" s="124">
        <v>0.105524944804934</v>
      </c>
      <c r="S147" s="125">
        <v>0.120686400889097</v>
      </c>
      <c r="T147" s="125">
        <v>0.15345400280798999</v>
      </c>
      <c r="U147" s="125">
        <v>0.13181141343984901</v>
      </c>
      <c r="V147" s="126">
        <v>0.12667593230792901</v>
      </c>
      <c r="W147" s="125">
        <v>0.15745210403031401</v>
      </c>
      <c r="X147" s="125">
        <v>0.138420371574873</v>
      </c>
      <c r="Y147" s="125">
        <v>0.16535121624230401</v>
      </c>
      <c r="Z147" s="125">
        <v>0.15915238760921499</v>
      </c>
      <c r="AA147" s="125">
        <v>0.20219999999999999</v>
      </c>
      <c r="AB147" s="125">
        <v>5.5644789551493899E-2</v>
      </c>
      <c r="AC147" s="124">
        <v>0.170830579365259</v>
      </c>
    </row>
    <row r="148" spans="2:29" ht="14.25" x14ac:dyDescent="0.45">
      <c r="B148" s="59" t="s">
        <v>1449</v>
      </c>
      <c r="C148" s="73"/>
      <c r="D148" s="73"/>
      <c r="E148" s="75">
        <v>0</v>
      </c>
      <c r="F148" s="75">
        <v>0</v>
      </c>
      <c r="G148" s="75">
        <v>0</v>
      </c>
      <c r="H148" s="75">
        <v>0</v>
      </c>
      <c r="I148" s="75">
        <v>0</v>
      </c>
      <c r="J148" s="75">
        <v>0</v>
      </c>
      <c r="K148" s="75">
        <v>0</v>
      </c>
      <c r="L148" s="127">
        <v>0</v>
      </c>
      <c r="M148" s="126">
        <v>0</v>
      </c>
      <c r="N148" s="125">
        <v>0</v>
      </c>
      <c r="O148" s="125">
        <v>0</v>
      </c>
      <c r="P148" s="126">
        <v>0</v>
      </c>
      <c r="Q148" s="125">
        <v>0</v>
      </c>
      <c r="R148" s="125">
        <v>0</v>
      </c>
      <c r="S148" s="126">
        <v>0</v>
      </c>
      <c r="T148" s="125">
        <v>0</v>
      </c>
      <c r="U148" s="125">
        <v>0</v>
      </c>
      <c r="V148" s="126">
        <v>0</v>
      </c>
      <c r="W148" s="125">
        <v>0</v>
      </c>
      <c r="X148" s="125">
        <v>0</v>
      </c>
      <c r="Y148" s="125">
        <v>0</v>
      </c>
      <c r="Z148" s="125">
        <v>0</v>
      </c>
      <c r="AA148" s="125">
        <v>0</v>
      </c>
      <c r="AB148" s="125">
        <v>1.6951556715386399E-2</v>
      </c>
      <c r="AC148" s="124">
        <v>0</v>
      </c>
    </row>
    <row r="149" spans="2:29" ht="14.25" x14ac:dyDescent="0.45">
      <c r="B149" s="59" t="s">
        <v>1448</v>
      </c>
      <c r="C149" s="73"/>
      <c r="D149" s="73"/>
      <c r="E149" s="75">
        <v>1.3955543405964501E-2</v>
      </c>
      <c r="F149" s="75">
        <v>1.3955543405964501E-2</v>
      </c>
      <c r="G149" s="75">
        <v>2.1120901584998401E-2</v>
      </c>
      <c r="H149" s="75">
        <v>2.1120901584998401E-2</v>
      </c>
      <c r="I149" s="75">
        <v>2.1532512583594302E-2</v>
      </c>
      <c r="J149" s="75">
        <v>2.1532512583594302E-2</v>
      </c>
      <c r="K149" s="75">
        <v>1.3955543405964501E-2</v>
      </c>
      <c r="L149" s="127">
        <v>1.3955543405964501E-2</v>
      </c>
      <c r="M149" s="126">
        <v>1.30515807429372E-2</v>
      </c>
      <c r="N149" s="125">
        <v>1.3955543405964501E-2</v>
      </c>
      <c r="O149" s="125">
        <v>1.2929950126299199E-2</v>
      </c>
      <c r="P149" s="126">
        <v>1.7948908125486902E-2</v>
      </c>
      <c r="Q149" s="125">
        <v>1.70357149695252E-2</v>
      </c>
      <c r="R149" s="124">
        <v>1.51011863076243E-2</v>
      </c>
      <c r="S149" s="125">
        <v>2.19069267638725E-2</v>
      </c>
      <c r="T149" s="125">
        <v>2.1120901584998401E-2</v>
      </c>
      <c r="U149" s="125">
        <v>1.8939994359981199E-2</v>
      </c>
      <c r="V149" s="126">
        <v>2.2849894280062601E-2</v>
      </c>
      <c r="W149" s="125">
        <v>2.1532512583594302E-2</v>
      </c>
      <c r="X149" s="125">
        <v>1.9785718408244501E-2</v>
      </c>
      <c r="Y149" s="125">
        <v>2.0843277841987602E-2</v>
      </c>
      <c r="Z149" s="125">
        <v>2.5423473030304001E-2</v>
      </c>
      <c r="AA149" s="125">
        <v>2.0899999999999998E-2</v>
      </c>
      <c r="AB149" s="125">
        <v>2.0472446311063801E-2</v>
      </c>
      <c r="AC149" s="124">
        <v>2.0379804213493599E-2</v>
      </c>
    </row>
    <row r="150" spans="2:29" ht="14.25" x14ac:dyDescent="0.45">
      <c r="B150" s="59" t="s">
        <v>1447</v>
      </c>
      <c r="C150" s="73"/>
      <c r="D150" s="73"/>
      <c r="E150" s="75">
        <v>0.23213169761182301</v>
      </c>
      <c r="F150" s="75">
        <v>0.23213169761182301</v>
      </c>
      <c r="G150" s="75">
        <v>0.16437235080384799</v>
      </c>
      <c r="H150" s="75">
        <v>0.16437235080384799</v>
      </c>
      <c r="I150" s="75">
        <v>0.11734846603878001</v>
      </c>
      <c r="J150" s="75">
        <v>0.11734846603878001</v>
      </c>
      <c r="K150" s="75">
        <v>0.23213169761182301</v>
      </c>
      <c r="L150" s="127">
        <v>0.23213169761182301</v>
      </c>
      <c r="M150" s="126">
        <v>0.23776061820198299</v>
      </c>
      <c r="N150" s="125">
        <v>0.23213169761182301</v>
      </c>
      <c r="O150" s="125">
        <v>0.24282656044058601</v>
      </c>
      <c r="P150" s="126">
        <v>0.194585288223833</v>
      </c>
      <c r="Q150" s="125">
        <v>0.21248575151111801</v>
      </c>
      <c r="R150" s="124">
        <v>0.198355506643281</v>
      </c>
      <c r="S150" s="125">
        <v>0.15154107864712699</v>
      </c>
      <c r="T150" s="125">
        <v>0.16437235080384799</v>
      </c>
      <c r="U150" s="125">
        <v>0.14559973775417001</v>
      </c>
      <c r="V150" s="126">
        <v>0.11573974054201799</v>
      </c>
      <c r="W150" s="125">
        <v>0.11734846603878001</v>
      </c>
      <c r="X150" s="125">
        <v>0.10406491042558701</v>
      </c>
      <c r="Y150" s="125">
        <v>0.11789866161432599</v>
      </c>
      <c r="Z150" s="125">
        <v>0.115318319052162</v>
      </c>
      <c r="AA150" s="125">
        <v>0.14779999999999999</v>
      </c>
      <c r="AB150" s="125">
        <v>0.197733143985833</v>
      </c>
      <c r="AC150" s="124">
        <v>0.121398158345359</v>
      </c>
    </row>
    <row r="151" spans="2:29" ht="14.25" x14ac:dyDescent="0.45">
      <c r="B151" s="59" t="s">
        <v>1446</v>
      </c>
      <c r="C151" s="73"/>
      <c r="D151" s="73"/>
      <c r="E151" s="75">
        <v>0.19532339202445401</v>
      </c>
      <c r="F151" s="75">
        <v>0.19532339202445401</v>
      </c>
      <c r="G151" s="75">
        <v>0.186540406195461</v>
      </c>
      <c r="H151" s="75">
        <v>0.186540406195461</v>
      </c>
      <c r="I151" s="75">
        <v>0.23852132293342199</v>
      </c>
      <c r="J151" s="75">
        <v>0.23852132293342199</v>
      </c>
      <c r="K151" s="75">
        <v>0.19532339202445401</v>
      </c>
      <c r="L151" s="127">
        <v>0.19532339202445401</v>
      </c>
      <c r="M151" s="126">
        <v>0.19775332095095999</v>
      </c>
      <c r="N151" s="125">
        <v>0.19532339202445401</v>
      </c>
      <c r="O151" s="125">
        <v>0.201081097422776</v>
      </c>
      <c r="P151" s="126">
        <v>0.20565181280150099</v>
      </c>
      <c r="Q151" s="125">
        <v>0.18190195883509899</v>
      </c>
      <c r="R151" s="124">
        <v>0.205542894526938</v>
      </c>
      <c r="S151" s="125">
        <v>0.201201439958684</v>
      </c>
      <c r="T151" s="125">
        <v>0.186540406195461</v>
      </c>
      <c r="U151" s="125">
        <v>0.203766387471224</v>
      </c>
      <c r="V151" s="126">
        <v>0.22665047077912401</v>
      </c>
      <c r="W151" s="125">
        <v>0.23852132293342199</v>
      </c>
      <c r="X151" s="125">
        <v>0.230849837505751</v>
      </c>
      <c r="Y151" s="125">
        <v>0.24578149702392699</v>
      </c>
      <c r="Z151" s="125">
        <v>0.24537707099353601</v>
      </c>
      <c r="AA151" s="125">
        <v>0.2235</v>
      </c>
      <c r="AB151" s="125">
        <v>0.249827333567544</v>
      </c>
      <c r="AC151" s="124">
        <v>0.24925031471543199</v>
      </c>
    </row>
    <row r="152" spans="2:29" ht="14.25" x14ac:dyDescent="0.45">
      <c r="B152" s="59" t="s">
        <v>1445</v>
      </c>
      <c r="C152" s="73"/>
      <c r="D152" s="73"/>
      <c r="E152" s="75">
        <v>0</v>
      </c>
      <c r="F152" s="75">
        <v>0</v>
      </c>
      <c r="G152" s="75">
        <v>0</v>
      </c>
      <c r="H152" s="75">
        <v>0</v>
      </c>
      <c r="I152" s="75">
        <v>0</v>
      </c>
      <c r="J152" s="75">
        <v>0</v>
      </c>
      <c r="K152" s="75">
        <v>0</v>
      </c>
      <c r="L152" s="127">
        <v>0</v>
      </c>
      <c r="M152" s="126">
        <v>0</v>
      </c>
      <c r="N152" s="125">
        <v>0</v>
      </c>
      <c r="O152" s="125">
        <v>0</v>
      </c>
      <c r="P152" s="126">
        <v>0</v>
      </c>
      <c r="Q152" s="125">
        <v>0</v>
      </c>
      <c r="R152" s="125">
        <v>0</v>
      </c>
      <c r="S152" s="126">
        <v>0</v>
      </c>
      <c r="T152" s="125">
        <v>0</v>
      </c>
      <c r="U152" s="125">
        <v>0</v>
      </c>
      <c r="V152" s="126">
        <v>0</v>
      </c>
      <c r="W152" s="125">
        <v>0</v>
      </c>
      <c r="X152" s="125">
        <v>0</v>
      </c>
      <c r="Y152" s="125">
        <v>0</v>
      </c>
      <c r="Z152" s="125">
        <v>0</v>
      </c>
      <c r="AA152" s="125">
        <v>0</v>
      </c>
      <c r="AB152" s="125">
        <v>0</v>
      </c>
      <c r="AC152" s="124">
        <v>0</v>
      </c>
    </row>
    <row r="153" spans="2:29" ht="14.25" x14ac:dyDescent="0.45">
      <c r="B153" s="59" t="s">
        <v>1444</v>
      </c>
      <c r="C153" s="73"/>
      <c r="D153" s="73"/>
      <c r="E153" s="75">
        <v>1.2521658402665699E-2</v>
      </c>
      <c r="F153" s="75">
        <v>1.2521658402665699E-2</v>
      </c>
      <c r="G153" s="75">
        <v>1.65018967218367E-2</v>
      </c>
      <c r="H153" s="75">
        <v>1.65018967218367E-2</v>
      </c>
      <c r="I153" s="75">
        <v>1.6126946263199601E-2</v>
      </c>
      <c r="J153" s="75">
        <v>1.6126946263199601E-2</v>
      </c>
      <c r="K153" s="75">
        <v>1.2521658402665699E-2</v>
      </c>
      <c r="L153" s="127">
        <v>1.2521658402665699E-2</v>
      </c>
      <c r="M153" s="126">
        <v>1.15415168156558E-2</v>
      </c>
      <c r="N153" s="125">
        <v>1.2521658402665699E-2</v>
      </c>
      <c r="O153" s="125">
        <v>1.9443381641884201E-2</v>
      </c>
      <c r="P153" s="126">
        <v>1.47129505856003E-2</v>
      </c>
      <c r="Q153" s="125">
        <v>1.44988161886243E-2</v>
      </c>
      <c r="R153" s="124">
        <v>2.0505301681940799E-2</v>
      </c>
      <c r="S153" s="125">
        <v>1.6507311419533599E-2</v>
      </c>
      <c r="T153" s="125">
        <v>1.65018967218367E-2</v>
      </c>
      <c r="U153" s="125">
        <v>2.4078107222399499E-2</v>
      </c>
      <c r="V153" s="126">
        <v>1.6505262533353899E-2</v>
      </c>
      <c r="W153" s="125">
        <v>1.6126946263199601E-2</v>
      </c>
      <c r="X153" s="125">
        <v>2.4508889343154899E-2</v>
      </c>
      <c r="Y153" s="125">
        <v>1.6016442062976099E-2</v>
      </c>
      <c r="Z153" s="125">
        <v>1.8334144977653399E-2</v>
      </c>
      <c r="AA153" s="125">
        <v>1.9E-2</v>
      </c>
      <c r="AB153" s="125">
        <v>1.9203797299898798E-2</v>
      </c>
      <c r="AC153" s="124">
        <v>1.5939564324773201E-2</v>
      </c>
    </row>
    <row r="154" spans="2:29" ht="14.25" x14ac:dyDescent="0.45">
      <c r="B154" s="59" t="s">
        <v>1443</v>
      </c>
      <c r="C154" s="73"/>
      <c r="D154" s="73"/>
      <c r="E154" s="75">
        <v>3.4955410224960702E-2</v>
      </c>
      <c r="F154" s="75">
        <v>3.4955410224960702E-2</v>
      </c>
      <c r="G154" s="75">
        <v>4.6066627187253101E-2</v>
      </c>
      <c r="H154" s="75">
        <v>4.6066627187253101E-2</v>
      </c>
      <c r="I154" s="75">
        <v>4.50199170252105E-2</v>
      </c>
      <c r="J154" s="75">
        <v>4.50199170252105E-2</v>
      </c>
      <c r="K154" s="75">
        <v>3.4955410224960702E-2</v>
      </c>
      <c r="L154" s="127">
        <v>3.4955410224960702E-2</v>
      </c>
      <c r="M154" s="126">
        <v>3.2219250991836999E-2</v>
      </c>
      <c r="N154" s="125">
        <v>3.4955410224960702E-2</v>
      </c>
      <c r="O154" s="125">
        <v>5.4278064422189E-2</v>
      </c>
      <c r="P154" s="126">
        <v>4.1072612492746699E-2</v>
      </c>
      <c r="Q154" s="125">
        <v>4.0474835788665897E-2</v>
      </c>
      <c r="R154" s="124">
        <v>5.7242516049329902E-2</v>
      </c>
      <c r="S154" s="125">
        <v>4.60817428351291E-2</v>
      </c>
      <c r="T154" s="125">
        <v>4.6066627187253101E-2</v>
      </c>
      <c r="U154" s="125">
        <v>6.7216345338121194E-2</v>
      </c>
      <c r="V154" s="126">
        <v>4.6076023172875701E-2</v>
      </c>
      <c r="W154" s="125">
        <v>4.50199170252105E-2</v>
      </c>
      <c r="X154" s="125">
        <v>6.8418914939075898E-2</v>
      </c>
      <c r="Y154" s="125">
        <v>4.4711433953226E-2</v>
      </c>
      <c r="Z154" s="125">
        <v>5.1181523901126597E-2</v>
      </c>
      <c r="AA154" s="125">
        <v>5.4800000000000001E-2</v>
      </c>
      <c r="AB154" s="125">
        <v>5.5530453759101803E-2</v>
      </c>
      <c r="AC154" s="124">
        <v>4.4496822374660898E-2</v>
      </c>
    </row>
    <row r="155" spans="2:29" ht="14.25" x14ac:dyDescent="0.45">
      <c r="B155" s="59" t="s">
        <v>1442</v>
      </c>
      <c r="C155" s="73"/>
      <c r="D155" s="73"/>
      <c r="E155" s="75">
        <v>3.495541022496066E-2</v>
      </c>
      <c r="F155" s="75">
        <v>3.495541022496066E-2</v>
      </c>
      <c r="G155" s="75">
        <v>4.6066627187253101E-2</v>
      </c>
      <c r="H155" s="75">
        <v>4.6066627187253101E-2</v>
      </c>
      <c r="I155" s="75">
        <v>4.50199170252105E-2</v>
      </c>
      <c r="J155" s="75">
        <v>4.50199170252105E-2</v>
      </c>
      <c r="K155" s="75">
        <v>3.495541022496066E-2</v>
      </c>
      <c r="L155" s="127">
        <v>3.495541022496066E-2</v>
      </c>
      <c r="M155" s="126">
        <v>3.2219250991836999E-2</v>
      </c>
      <c r="N155" s="125">
        <v>3.495541022496066E-2</v>
      </c>
      <c r="O155" s="125">
        <v>5.4278064422189021E-2</v>
      </c>
      <c r="P155" s="126">
        <v>4.1072612492746664E-2</v>
      </c>
      <c r="Q155" s="125">
        <v>4.0474835788665897E-2</v>
      </c>
      <c r="R155" s="124">
        <v>5.7242516049329902E-2</v>
      </c>
      <c r="S155" s="125">
        <v>4.6081742835129148E-2</v>
      </c>
      <c r="T155" s="125">
        <v>4.6066627187253101E-2</v>
      </c>
      <c r="U155" s="125">
        <v>6.7216345338121208E-2</v>
      </c>
      <c r="V155" s="126">
        <v>4.6076023172875735E-2</v>
      </c>
      <c r="W155" s="125">
        <v>4.50199170252105E-2</v>
      </c>
      <c r="X155" s="125">
        <v>6.8418914939075939E-2</v>
      </c>
      <c r="Y155" s="125">
        <v>4.4711433953225993E-2</v>
      </c>
      <c r="Z155" s="125">
        <v>5.1181523901126624E-2</v>
      </c>
      <c r="AA155" s="125">
        <v>5.4800000000000001E-2</v>
      </c>
      <c r="AB155" s="125">
        <v>5.5530453759101803E-2</v>
      </c>
      <c r="AC155" s="124">
        <v>4.4496822374660933E-2</v>
      </c>
    </row>
    <row r="156" spans="2:29" ht="14.25" x14ac:dyDescent="0.45">
      <c r="B156" s="59" t="s">
        <v>1441</v>
      </c>
      <c r="C156" s="73"/>
      <c r="D156" s="73"/>
      <c r="E156" s="75">
        <v>1.54440385354183E-2</v>
      </c>
      <c r="F156" s="75">
        <v>1.54440385354183E-2</v>
      </c>
      <c r="G156" s="75">
        <v>1.3506611478959299E-2</v>
      </c>
      <c r="H156" s="75">
        <v>1.3506611478959299E-2</v>
      </c>
      <c r="I156" s="75">
        <v>1.1037567619927901E-2</v>
      </c>
      <c r="J156" s="75">
        <v>1.1037567619927901E-2</v>
      </c>
      <c r="K156" s="75">
        <v>1.54440385354183E-2</v>
      </c>
      <c r="L156" s="127">
        <v>1.54440385354183E-2</v>
      </c>
      <c r="M156" s="126">
        <v>1.48571266980865E-2</v>
      </c>
      <c r="N156" s="125">
        <v>1.54440385354183E-2</v>
      </c>
      <c r="O156" s="125">
        <v>1.9815487421825199E-2</v>
      </c>
      <c r="P156" s="126">
        <v>1.55304037814282E-2</v>
      </c>
      <c r="Q156" s="125">
        <v>1.5499852005645499E-2</v>
      </c>
      <c r="R156" s="124">
        <v>1.43589922085317E-2</v>
      </c>
      <c r="S156" s="125">
        <v>1.3336443418351499E-2</v>
      </c>
      <c r="T156" s="125">
        <v>1.3506611478959299E-2</v>
      </c>
      <c r="U156" s="125">
        <v>1.1573919807589299E-2</v>
      </c>
      <c r="V156" s="126">
        <v>1.11279533457759E-2</v>
      </c>
      <c r="W156" s="125">
        <v>1.1037567619927901E-2</v>
      </c>
      <c r="X156" s="125">
        <v>9.6805349367548692E-3</v>
      </c>
      <c r="Y156" s="125">
        <v>1.09632028894252E-2</v>
      </c>
      <c r="Z156" s="125">
        <v>1.06812607985262E-2</v>
      </c>
      <c r="AA156" s="125">
        <v>2.1399999999999999E-2</v>
      </c>
      <c r="AB156" s="125">
        <v>2.7502156161200601E-2</v>
      </c>
      <c r="AC156" s="124">
        <v>1.1311737806353099E-2</v>
      </c>
    </row>
    <row r="157" spans="2:29" ht="14.25" x14ac:dyDescent="0.45">
      <c r="B157" s="59" t="s">
        <v>1440</v>
      </c>
      <c r="C157" s="73"/>
      <c r="D157" s="73"/>
      <c r="E157" s="75">
        <v>4.8440277379864297E-3</v>
      </c>
      <c r="F157" s="75">
        <v>4.8440277379864297E-3</v>
      </c>
      <c r="G157" s="75">
        <v>3.6449162575518399E-3</v>
      </c>
      <c r="H157" s="75">
        <v>3.6449162575518399E-3</v>
      </c>
      <c r="I157" s="75">
        <v>3.6105331664017899E-3</v>
      </c>
      <c r="J157" s="75">
        <v>3.6105331664017899E-3</v>
      </c>
      <c r="K157" s="75">
        <v>4.8440277379864297E-3</v>
      </c>
      <c r="L157" s="127">
        <v>4.8440277379864297E-3</v>
      </c>
      <c r="M157" s="126">
        <v>4.8903623088712104E-3</v>
      </c>
      <c r="N157" s="125">
        <v>4.8440277379864297E-3</v>
      </c>
      <c r="O157" s="125">
        <v>5.4628457910317601E-3</v>
      </c>
      <c r="P157" s="126">
        <v>4.3458103363713096E-3</v>
      </c>
      <c r="Q157" s="125">
        <v>4.45957370777609E-3</v>
      </c>
      <c r="R157" s="124">
        <v>3.9923466148782004E-3</v>
      </c>
      <c r="S157" s="125">
        <v>3.52268840160948E-3</v>
      </c>
      <c r="T157" s="125">
        <v>3.6449162575518399E-3</v>
      </c>
      <c r="U157" s="125">
        <v>3.05021465850378E-3</v>
      </c>
      <c r="V157" s="126">
        <v>3.4772333226007501E-3</v>
      </c>
      <c r="W157" s="125">
        <v>3.6105331664017899E-3</v>
      </c>
      <c r="X157" s="125">
        <v>3.0510425444329001E-3</v>
      </c>
      <c r="Y157" s="125">
        <v>3.6839508063888798E-3</v>
      </c>
      <c r="Z157" s="125">
        <v>3.5709730736116102E-3</v>
      </c>
      <c r="AA157" s="125">
        <v>4.0000000000000001E-3</v>
      </c>
      <c r="AB157" s="125">
        <v>5.6415269064953996E-3</v>
      </c>
      <c r="AC157" s="124">
        <v>3.8053249161112399E-3</v>
      </c>
    </row>
    <row r="158" spans="2:29" ht="14.25" x14ac:dyDescent="0.45">
      <c r="B158" s="59" t="s">
        <v>1439</v>
      </c>
      <c r="C158" s="73"/>
      <c r="D158" s="73"/>
      <c r="E158" s="75">
        <v>2.59439525129201E-3</v>
      </c>
      <c r="F158" s="75">
        <v>2.59439525129201E-3</v>
      </c>
      <c r="G158" s="75">
        <v>2.1569342081906198E-3</v>
      </c>
      <c r="H158" s="75">
        <v>2.1569342081906198E-3</v>
      </c>
      <c r="I158" s="75">
        <v>2.0592672049988699E-3</v>
      </c>
      <c r="J158" s="75">
        <v>2.0592672049988699E-3</v>
      </c>
      <c r="K158" s="75">
        <v>2.59439525129201E-3</v>
      </c>
      <c r="L158" s="127">
        <v>2.59439525129201E-3</v>
      </c>
      <c r="M158" s="126">
        <v>2.52681877834554E-3</v>
      </c>
      <c r="N158" s="125">
        <v>2.59439525129201E-3</v>
      </c>
      <c r="O158" s="125">
        <v>2.8726958292788099E-3</v>
      </c>
      <c r="P158" s="126">
        <v>2.0833199686797199E-3</v>
      </c>
      <c r="Q158" s="125">
        <v>2.1192230048191199E-3</v>
      </c>
      <c r="R158" s="124">
        <v>2.2185079092080198E-3</v>
      </c>
      <c r="S158" s="125">
        <v>2.10836886394292E-3</v>
      </c>
      <c r="T158" s="125">
        <v>2.1569342081906198E-3</v>
      </c>
      <c r="U158" s="125">
        <v>2.29408040311968E-3</v>
      </c>
      <c r="V158" s="126">
        <v>2.03170194567824E-3</v>
      </c>
      <c r="W158" s="125">
        <v>2.0592672049988699E-3</v>
      </c>
      <c r="X158" s="125">
        <v>2.2341622446212001E-3</v>
      </c>
      <c r="Y158" s="125">
        <v>2.08468311766881E-3</v>
      </c>
      <c r="Z158" s="125">
        <v>2.1268526385915098E-3</v>
      </c>
      <c r="AA158" s="125">
        <v>1.23E-2</v>
      </c>
      <c r="AB158" s="125">
        <v>1.15174465821776E-2</v>
      </c>
      <c r="AC158" s="124">
        <v>2.0813342973265898E-3</v>
      </c>
    </row>
    <row r="159" spans="2:29" ht="14.25" x14ac:dyDescent="0.45">
      <c r="B159" s="59" t="s">
        <v>1438</v>
      </c>
      <c r="C159" s="73"/>
      <c r="D159" s="73"/>
      <c r="E159" s="75">
        <v>1.2786179375867301E-2</v>
      </c>
      <c r="F159" s="75">
        <v>1.2786179375867301E-2</v>
      </c>
      <c r="G159" s="75">
        <v>1.00769652656567E-2</v>
      </c>
      <c r="H159" s="75">
        <v>1.00769652656567E-2</v>
      </c>
      <c r="I159" s="75">
        <v>6.1877267563183597E-3</v>
      </c>
      <c r="J159" s="75">
        <v>6.1877267563183597E-3</v>
      </c>
      <c r="K159" s="75">
        <v>1.2786179375867301E-2</v>
      </c>
      <c r="L159" s="127">
        <v>1.2786179375867301E-2</v>
      </c>
      <c r="M159" s="126">
        <v>1.2378989117244599E-2</v>
      </c>
      <c r="N159" s="125">
        <v>1.2786179375867301E-2</v>
      </c>
      <c r="O159" s="125">
        <v>1.42235538701923E-2</v>
      </c>
      <c r="P159" s="126">
        <v>9.5076840221613099E-3</v>
      </c>
      <c r="Q159" s="125">
        <v>9.7482875220888405E-3</v>
      </c>
      <c r="R159" s="124">
        <v>1.0621918008887499E-2</v>
      </c>
      <c r="S159" s="125">
        <v>9.8440962889694006E-3</v>
      </c>
      <c r="T159" s="125">
        <v>1.00769652656567E-2</v>
      </c>
      <c r="U159" s="125">
        <v>1.10589022545545E-2</v>
      </c>
      <c r="V159" s="126">
        <v>6.1348401726151998E-3</v>
      </c>
      <c r="W159" s="125">
        <v>6.1877267563183597E-3</v>
      </c>
      <c r="X159" s="125">
        <v>7.0906810184397104E-3</v>
      </c>
      <c r="Y159" s="125">
        <v>6.2228072902844002E-3</v>
      </c>
      <c r="Z159" s="125">
        <v>6.3842649390416098E-3</v>
      </c>
      <c r="AA159" s="125">
        <v>1.4200000000000001E-2</v>
      </c>
      <c r="AB159" s="125">
        <v>1.24071068756486E-2</v>
      </c>
      <c r="AC159" s="124">
        <v>6.1883823386734401E-3</v>
      </c>
    </row>
    <row r="160" spans="2:29" ht="14.25" x14ac:dyDescent="0.45">
      <c r="B160" s="59" t="s">
        <v>1437</v>
      </c>
      <c r="C160" s="73"/>
      <c r="D160" s="73"/>
      <c r="E160" s="75">
        <v>9.1901306307179305E-3</v>
      </c>
      <c r="F160" s="75">
        <v>9.1901306307179305E-3</v>
      </c>
      <c r="G160" s="75">
        <v>4.3901105099765298E-3</v>
      </c>
      <c r="H160" s="75">
        <v>4.3901105099765298E-3</v>
      </c>
      <c r="I160" s="75">
        <v>4.8514138103970001E-3</v>
      </c>
      <c r="J160" s="75">
        <v>4.8514138103970001E-3</v>
      </c>
      <c r="K160" s="75">
        <v>9.1901306307179305E-3</v>
      </c>
      <c r="L160" s="127">
        <v>9.1901306307179305E-3</v>
      </c>
      <c r="M160" s="126">
        <v>9.9216062037081401E-3</v>
      </c>
      <c r="N160" s="125">
        <v>9.1901306307179305E-3</v>
      </c>
      <c r="O160" s="125">
        <v>7.2916442900519103E-3</v>
      </c>
      <c r="P160" s="126">
        <v>5.1187344255155002E-3</v>
      </c>
      <c r="Q160" s="125">
        <v>5.9460293314453801E-3</v>
      </c>
      <c r="R160" s="124">
        <v>5.5921403820510703E-3</v>
      </c>
      <c r="S160" s="125">
        <v>3.7999912944197702E-3</v>
      </c>
      <c r="T160" s="125">
        <v>4.3901105099765298E-3</v>
      </c>
      <c r="U160" s="125">
        <v>4.1793055820743196E-3</v>
      </c>
      <c r="V160" s="126">
        <v>4.3452574965425501E-3</v>
      </c>
      <c r="W160" s="125">
        <v>4.8514138103970001E-3</v>
      </c>
      <c r="X160" s="125">
        <v>4.6457615017394703E-3</v>
      </c>
      <c r="Y160" s="125">
        <v>5.1019219728491499E-3</v>
      </c>
      <c r="Z160" s="125">
        <v>5.0865116900215401E-3</v>
      </c>
      <c r="AA160" s="125">
        <v>3.8999999999999998E-3</v>
      </c>
      <c r="AB160" s="125">
        <v>4.0638386006806798E-3</v>
      </c>
      <c r="AC160" s="124">
        <v>5.18478394495063E-3</v>
      </c>
    </row>
    <row r="161" spans="1:29" ht="14.25" x14ac:dyDescent="0.45">
      <c r="B161" s="59" t="s">
        <v>1436</v>
      </c>
      <c r="C161" s="73"/>
      <c r="D161" s="73"/>
      <c r="E161" s="75">
        <v>7.0436032876330198E-2</v>
      </c>
      <c r="F161" s="75">
        <v>7.0436032876330198E-2</v>
      </c>
      <c r="G161" s="75">
        <v>3.4503198184749298E-2</v>
      </c>
      <c r="H161" s="75">
        <v>3.4503198184749298E-2</v>
      </c>
      <c r="I161" s="75">
        <v>4.3006838267339399E-2</v>
      </c>
      <c r="J161" s="75">
        <v>4.3006838267339399E-2</v>
      </c>
      <c r="K161" s="75">
        <v>7.0436032876330198E-2</v>
      </c>
      <c r="L161" s="127">
        <v>7.0436032876330198E-2</v>
      </c>
      <c r="M161" s="126">
        <v>7.4077976158456196E-2</v>
      </c>
      <c r="N161" s="125">
        <v>7.0436032876330198E-2</v>
      </c>
      <c r="O161" s="125">
        <v>5.7321282604789199E-2</v>
      </c>
      <c r="P161" s="126">
        <v>4.02991552482184E-2</v>
      </c>
      <c r="Q161" s="125">
        <v>5.1308009257653997E-2</v>
      </c>
      <c r="R161" s="124">
        <v>5.7928660903243098E-2</v>
      </c>
      <c r="S161" s="125">
        <v>2.6937568723038201E-2</v>
      </c>
      <c r="T161" s="125">
        <v>3.4503198184749298E-2</v>
      </c>
      <c r="U161" s="125">
        <v>4.1059608371681502E-2</v>
      </c>
      <c r="V161" s="126">
        <v>3.41234634961258E-2</v>
      </c>
      <c r="W161" s="125">
        <v>4.3006838267339399E-2</v>
      </c>
      <c r="X161" s="125">
        <v>5.1003643494064103E-2</v>
      </c>
      <c r="Y161" s="125">
        <v>4.6256747742549703E-2</v>
      </c>
      <c r="Z161" s="125">
        <v>4.6318514755860601E-2</v>
      </c>
      <c r="AA161" s="125">
        <v>1.12E-2</v>
      </c>
      <c r="AB161" s="125">
        <v>1.2597151762914901E-2</v>
      </c>
      <c r="AC161" s="124">
        <v>4.7623663243967398E-2</v>
      </c>
    </row>
    <row r="162" spans="1:29" ht="14.25" x14ac:dyDescent="0.45">
      <c r="B162" s="57" t="s">
        <v>1435</v>
      </c>
      <c r="C162" s="78"/>
      <c r="D162" s="78"/>
      <c r="E162" s="78">
        <v>9.5706758984235196E-2</v>
      </c>
      <c r="F162" s="78">
        <v>9.5706758984235196E-2</v>
      </c>
      <c r="G162" s="78">
        <v>4.9755324299218584E-2</v>
      </c>
      <c r="H162" s="78">
        <v>4.9755324299218584E-2</v>
      </c>
      <c r="I162" s="78">
        <v>3.6559832216908839E-2</v>
      </c>
      <c r="J162" s="78">
        <v>3.6559832216908839E-2</v>
      </c>
      <c r="K162" s="78">
        <v>9.5706758984235196E-2</v>
      </c>
      <c r="L162" s="76">
        <v>9.5706758984235196E-2</v>
      </c>
      <c r="M162" s="123">
        <v>0.10882154792427401</v>
      </c>
      <c r="N162" s="122">
        <v>9.5706758984235196E-2</v>
      </c>
      <c r="O162" s="122">
        <v>6.2506319317212178E-2</v>
      </c>
      <c r="P162" s="123">
        <v>6.7041453111426841E-2</v>
      </c>
      <c r="Q162" s="122">
        <v>8.0368527667893819E-2</v>
      </c>
      <c r="R162" s="56">
        <v>6.4374972869894687E-2</v>
      </c>
      <c r="S162" s="122">
        <v>4.0898992036595305E-2</v>
      </c>
      <c r="T162" s="122">
        <v>4.9755324299218584E-2</v>
      </c>
      <c r="U162" s="122">
        <v>4.0107158598816972E-2</v>
      </c>
      <c r="V162" s="123">
        <v>3.0714144419162426E-2</v>
      </c>
      <c r="W162" s="122">
        <v>3.6559832216908839E-2</v>
      </c>
      <c r="X162" s="122">
        <v>3.0318338942413536E-2</v>
      </c>
      <c r="Y162" s="122">
        <v>3.97016607334022E-2</v>
      </c>
      <c r="Z162" s="122">
        <v>3.834578122111032E-2</v>
      </c>
      <c r="AA162" s="122">
        <v>1.4800000000000146E-2</v>
      </c>
      <c r="AB162" s="122">
        <v>1.6691299463251652E-2</v>
      </c>
      <c r="AC162" s="56">
        <v>4.0627007047860153E-2</v>
      </c>
    </row>
    <row r="164" spans="1:29" ht="13.9" x14ac:dyDescent="0.4">
      <c r="A164" s="72" t="s">
        <v>1434</v>
      </c>
    </row>
    <row r="165" spans="1:29" ht="14.25" x14ac:dyDescent="0.45">
      <c r="B165" s="88">
        <v>0.5</v>
      </c>
      <c r="C165" s="39" t="s">
        <v>1433</v>
      </c>
    </row>
    <row r="166" spans="1:29" ht="14.25" x14ac:dyDescent="0.45">
      <c r="B166" s="88">
        <v>0.5</v>
      </c>
      <c r="C166" s="39" t="s">
        <v>1432</v>
      </c>
    </row>
    <row r="168" spans="1:29" ht="13.9" x14ac:dyDescent="0.4">
      <c r="A168" s="72" t="s">
        <v>1431</v>
      </c>
    </row>
    <row r="169" spans="1:29" ht="13.15" x14ac:dyDescent="0.4">
      <c r="A169" s="41" t="s">
        <v>1430</v>
      </c>
    </row>
    <row r="170" spans="1:29" ht="25.9" x14ac:dyDescent="0.4">
      <c r="A170" s="41"/>
      <c r="B170" s="91"/>
      <c r="C170" s="103" t="s">
        <v>1429</v>
      </c>
      <c r="D170" s="86" t="s">
        <v>1428</v>
      </c>
    </row>
    <row r="171" spans="1:29" ht="14.25" x14ac:dyDescent="0.45">
      <c r="A171" s="41"/>
      <c r="B171" s="110" t="s">
        <v>234</v>
      </c>
      <c r="C171" s="88">
        <v>0.73599999999999999</v>
      </c>
      <c r="D171" s="97">
        <v>0.26400000000000001</v>
      </c>
    </row>
    <row r="172" spans="1:29" ht="14.25" x14ac:dyDescent="0.45">
      <c r="A172" s="41"/>
      <c r="B172" s="110" t="s">
        <v>289</v>
      </c>
      <c r="C172" s="88">
        <v>0.89</v>
      </c>
      <c r="D172" s="97">
        <v>0.10999999999999999</v>
      </c>
    </row>
    <row r="173" spans="1:29" ht="14.25" x14ac:dyDescent="0.45">
      <c r="A173" s="41"/>
      <c r="B173" s="110" t="s">
        <v>290</v>
      </c>
      <c r="C173" s="88">
        <v>0.15</v>
      </c>
      <c r="D173" s="97">
        <v>0.85</v>
      </c>
    </row>
    <row r="174" spans="1:29" ht="14.25" x14ac:dyDescent="0.45">
      <c r="A174" s="41"/>
      <c r="B174" s="110" t="s">
        <v>236</v>
      </c>
      <c r="C174" s="88">
        <v>0.27</v>
      </c>
      <c r="D174" s="97">
        <v>0.73</v>
      </c>
    </row>
    <row r="175" spans="1:29" ht="14.25" x14ac:dyDescent="0.45">
      <c r="A175" s="41"/>
      <c r="B175" s="110" t="s">
        <v>237</v>
      </c>
      <c r="C175" s="88">
        <v>0.56000000000000005</v>
      </c>
      <c r="D175" s="97">
        <v>0.43999999999999995</v>
      </c>
    </row>
    <row r="176" spans="1:29" ht="14.25" x14ac:dyDescent="0.45">
      <c r="A176" s="41"/>
      <c r="B176" s="108" t="s">
        <v>1427</v>
      </c>
      <c r="C176" s="95">
        <v>0.47899999999999998</v>
      </c>
      <c r="D176" s="76">
        <v>0.52100000000000002</v>
      </c>
    </row>
    <row r="177" spans="1:10" ht="13.15" x14ac:dyDescent="0.4">
      <c r="A177" s="41"/>
    </row>
    <row r="178" spans="1:10" ht="13.15" x14ac:dyDescent="0.4">
      <c r="A178" s="41" t="s">
        <v>1426</v>
      </c>
    </row>
    <row r="179" spans="1:10" ht="13.15" x14ac:dyDescent="0.4">
      <c r="A179" s="41"/>
      <c r="B179" s="87" t="s">
        <v>1415</v>
      </c>
      <c r="C179" s="103" t="s">
        <v>1414</v>
      </c>
      <c r="D179" s="86" t="s">
        <v>1425</v>
      </c>
    </row>
    <row r="180" spans="1:10" ht="14.25" x14ac:dyDescent="0.45">
      <c r="A180" s="41"/>
      <c r="B180" s="85">
        <v>0.21099999999999999</v>
      </c>
      <c r="C180" s="95">
        <v>0.191</v>
      </c>
      <c r="D180" s="76">
        <v>0.59800000000000009</v>
      </c>
    </row>
    <row r="181" spans="1:10" ht="13.15" x14ac:dyDescent="0.4">
      <c r="A181" s="41"/>
    </row>
    <row r="182" spans="1:10" ht="13.15" x14ac:dyDescent="0.4">
      <c r="A182" s="41" t="s">
        <v>1424</v>
      </c>
    </row>
    <row r="183" spans="1:10" ht="25.9" x14ac:dyDescent="0.4">
      <c r="A183" s="41"/>
      <c r="B183" s="91"/>
      <c r="C183" s="103" t="s">
        <v>1323</v>
      </c>
      <c r="D183" s="103" t="s">
        <v>1423</v>
      </c>
      <c r="E183" s="103" t="s">
        <v>1322</v>
      </c>
      <c r="F183" s="103" t="s">
        <v>1422</v>
      </c>
      <c r="G183" s="103" t="s">
        <v>1321</v>
      </c>
      <c r="H183" s="103" t="s">
        <v>1331</v>
      </c>
      <c r="I183" s="103" t="s">
        <v>1330</v>
      </c>
      <c r="J183" s="86" t="s">
        <v>1310</v>
      </c>
    </row>
    <row r="184" spans="1:10" ht="13.15" x14ac:dyDescent="0.4">
      <c r="A184" s="41"/>
      <c r="B184" s="59" t="s">
        <v>1421</v>
      </c>
      <c r="C184" s="109">
        <v>1.0309999999999999</v>
      </c>
      <c r="D184" s="109">
        <v>1.0149999999999999</v>
      </c>
      <c r="E184" s="109">
        <v>1.054</v>
      </c>
      <c r="F184" s="109">
        <v>1</v>
      </c>
      <c r="G184" s="64">
        <v>1</v>
      </c>
      <c r="H184" s="120"/>
      <c r="I184" s="120"/>
      <c r="J184" s="121"/>
    </row>
    <row r="185" spans="1:10" ht="13.15" x14ac:dyDescent="0.4">
      <c r="A185" s="41"/>
      <c r="B185" s="59" t="s">
        <v>1420</v>
      </c>
      <c r="C185" s="120"/>
      <c r="D185" s="120"/>
      <c r="E185" s="120"/>
      <c r="F185" s="120"/>
      <c r="G185" s="120"/>
      <c r="H185" s="109">
        <v>1.0429999999999999</v>
      </c>
      <c r="I185" s="109">
        <v>1</v>
      </c>
      <c r="J185" s="93">
        <v>1</v>
      </c>
    </row>
    <row r="186" spans="1:10" ht="13.15" x14ac:dyDescent="0.4">
      <c r="A186" s="41"/>
      <c r="B186" s="59" t="s">
        <v>1419</v>
      </c>
      <c r="C186" s="120"/>
      <c r="D186" s="120"/>
      <c r="E186" s="120"/>
      <c r="F186" s="120"/>
      <c r="G186" s="120"/>
      <c r="H186" s="109">
        <v>1.0429999999999999</v>
      </c>
      <c r="I186" s="109">
        <v>1</v>
      </c>
      <c r="J186" s="93">
        <v>1</v>
      </c>
    </row>
    <row r="187" spans="1:10" ht="13.15" x14ac:dyDescent="0.4">
      <c r="A187" s="41"/>
      <c r="B187" s="57" t="s">
        <v>287</v>
      </c>
      <c r="C187" s="119"/>
      <c r="D187" s="119"/>
      <c r="E187" s="119"/>
      <c r="F187" s="119"/>
      <c r="G187" s="119"/>
      <c r="H187" s="106">
        <v>1.61</v>
      </c>
      <c r="I187" s="106">
        <v>1</v>
      </c>
      <c r="J187" s="92">
        <v>1</v>
      </c>
    </row>
    <row r="188" spans="1:10" ht="13.15" x14ac:dyDescent="0.4">
      <c r="A188" s="41"/>
    </row>
    <row r="189" spans="1:10" ht="13.15" x14ac:dyDescent="0.4">
      <c r="A189" s="41" t="s">
        <v>1418</v>
      </c>
    </row>
    <row r="190" spans="1:10" ht="13.15" x14ac:dyDescent="0.4">
      <c r="A190" s="41"/>
      <c r="B190" s="87" t="s">
        <v>288</v>
      </c>
      <c r="C190" s="86" t="s">
        <v>1417</v>
      </c>
    </row>
    <row r="191" spans="1:10" ht="14.25" x14ac:dyDescent="0.45">
      <c r="A191" s="41"/>
      <c r="B191" s="85">
        <v>0.85</v>
      </c>
      <c r="C191" s="76">
        <v>0.15000000000000002</v>
      </c>
    </row>
    <row r="192" spans="1:10" ht="13.15" x14ac:dyDescent="0.4">
      <c r="A192" s="41"/>
    </row>
    <row r="193" spans="1:13" ht="13.15" x14ac:dyDescent="0.4">
      <c r="A193" s="41" t="s">
        <v>1416</v>
      </c>
    </row>
    <row r="194" spans="1:13" ht="13.15" x14ac:dyDescent="0.4">
      <c r="A194" s="41"/>
      <c r="B194" s="87" t="s">
        <v>1415</v>
      </c>
      <c r="C194" s="103" t="s">
        <v>1414</v>
      </c>
      <c r="D194" s="86" t="s">
        <v>1413</v>
      </c>
    </row>
    <row r="195" spans="1:13" ht="14.25" x14ac:dyDescent="0.45">
      <c r="A195" s="41"/>
      <c r="B195" s="85">
        <v>0</v>
      </c>
      <c r="C195" s="95">
        <v>0.13</v>
      </c>
      <c r="D195" s="76">
        <v>0.87</v>
      </c>
    </row>
    <row r="196" spans="1:13" ht="13.15" x14ac:dyDescent="0.4">
      <c r="A196" s="41"/>
      <c r="E196" s="39" t="s">
        <v>1412</v>
      </c>
    </row>
    <row r="197" spans="1:13" ht="13.15" x14ac:dyDescent="0.4">
      <c r="A197" s="41" t="s">
        <v>1411</v>
      </c>
    </row>
    <row r="198" spans="1:13" ht="38.65" x14ac:dyDescent="0.4">
      <c r="A198" s="41"/>
      <c r="B198" s="91"/>
      <c r="C198" s="103" t="s">
        <v>1318</v>
      </c>
      <c r="D198" s="103" t="s">
        <v>1403</v>
      </c>
      <c r="E198" s="103" t="s">
        <v>1316</v>
      </c>
      <c r="F198" s="103" t="s">
        <v>1402</v>
      </c>
      <c r="G198" s="103" t="s">
        <v>1314</v>
      </c>
      <c r="H198" s="103" t="s">
        <v>1401</v>
      </c>
      <c r="I198" s="103" t="s">
        <v>1400</v>
      </c>
      <c r="J198" s="103" t="s">
        <v>1323</v>
      </c>
      <c r="K198" s="103" t="s">
        <v>1322</v>
      </c>
      <c r="L198" s="103" t="s">
        <v>1321</v>
      </c>
      <c r="M198" s="86" t="s">
        <v>1320</v>
      </c>
    </row>
    <row r="199" spans="1:13" ht="14.25" x14ac:dyDescent="0.45">
      <c r="A199" s="41"/>
      <c r="B199" s="117" t="s">
        <v>1410</v>
      </c>
      <c r="C199" s="115">
        <v>1</v>
      </c>
      <c r="D199" s="115">
        <v>1</v>
      </c>
      <c r="E199" s="115">
        <v>1</v>
      </c>
      <c r="F199" s="115">
        <v>1</v>
      </c>
      <c r="G199" s="115">
        <v>1.02</v>
      </c>
      <c r="H199" s="116"/>
      <c r="I199" s="116"/>
      <c r="J199" s="115">
        <v>1.0349999999999999</v>
      </c>
      <c r="K199" s="116"/>
      <c r="L199" s="114">
        <v>1</v>
      </c>
      <c r="M199" s="113"/>
    </row>
    <row r="200" spans="1:13" ht="14.25" x14ac:dyDescent="0.45">
      <c r="A200" s="41"/>
      <c r="B200" s="117" t="s">
        <v>1409</v>
      </c>
      <c r="C200" s="115">
        <v>1</v>
      </c>
      <c r="D200" s="115">
        <v>1</v>
      </c>
      <c r="E200" s="115">
        <v>1</v>
      </c>
      <c r="F200" s="115">
        <v>1</v>
      </c>
      <c r="G200" s="115">
        <v>1.02</v>
      </c>
      <c r="H200" s="116"/>
      <c r="I200" s="116"/>
      <c r="J200" s="115">
        <v>1.0349999999999999</v>
      </c>
      <c r="K200" s="115">
        <v>1</v>
      </c>
      <c r="L200" s="114">
        <v>1</v>
      </c>
      <c r="M200" s="113"/>
    </row>
    <row r="201" spans="1:13" ht="14.25" x14ac:dyDescent="0.45">
      <c r="A201" s="41"/>
      <c r="B201" s="117" t="s">
        <v>1408</v>
      </c>
      <c r="C201" s="115">
        <v>1</v>
      </c>
      <c r="D201" s="115">
        <v>1</v>
      </c>
      <c r="E201" s="115">
        <v>1</v>
      </c>
      <c r="F201" s="115">
        <v>1</v>
      </c>
      <c r="G201" s="115">
        <v>1.02</v>
      </c>
      <c r="H201" s="116"/>
      <c r="I201" s="116"/>
      <c r="J201" s="116"/>
      <c r="K201" s="116"/>
      <c r="L201" s="116"/>
      <c r="M201" s="118">
        <v>1</v>
      </c>
    </row>
    <row r="202" spans="1:13" ht="14.25" x14ac:dyDescent="0.45">
      <c r="A202" s="41"/>
      <c r="B202" s="117" t="s">
        <v>1407</v>
      </c>
      <c r="C202" s="116"/>
      <c r="D202" s="116"/>
      <c r="E202" s="116"/>
      <c r="F202" s="116"/>
      <c r="G202" s="116"/>
      <c r="H202" s="115">
        <v>0.96799999999999997</v>
      </c>
      <c r="I202" s="115">
        <v>1</v>
      </c>
      <c r="J202" s="115">
        <v>1.0349999999999999</v>
      </c>
      <c r="K202" s="116"/>
      <c r="L202" s="114">
        <v>1</v>
      </c>
      <c r="M202" s="113"/>
    </row>
    <row r="203" spans="1:13" ht="14.25" x14ac:dyDescent="0.45">
      <c r="A203" s="41"/>
      <c r="B203" s="117" t="s">
        <v>1406</v>
      </c>
      <c r="C203" s="116"/>
      <c r="D203" s="116"/>
      <c r="E203" s="116"/>
      <c r="F203" s="116"/>
      <c r="G203" s="116"/>
      <c r="H203" s="115">
        <v>0.96799999999999997</v>
      </c>
      <c r="I203" s="115">
        <v>1</v>
      </c>
      <c r="J203" s="115">
        <v>1.0349999999999999</v>
      </c>
      <c r="K203" s="115">
        <v>1</v>
      </c>
      <c r="L203" s="114">
        <v>1</v>
      </c>
      <c r="M203" s="113"/>
    </row>
    <row r="204" spans="1:13" ht="14.25" x14ac:dyDescent="0.45">
      <c r="A204" s="41"/>
      <c r="B204" s="84" t="s">
        <v>1405</v>
      </c>
      <c r="C204" s="112"/>
      <c r="D204" s="112"/>
      <c r="E204" s="112"/>
      <c r="F204" s="112"/>
      <c r="G204" s="112"/>
      <c r="H204" s="107">
        <v>0.96799999999999997</v>
      </c>
      <c r="I204" s="107">
        <v>1</v>
      </c>
      <c r="J204" s="112"/>
      <c r="K204" s="112"/>
      <c r="L204" s="112"/>
      <c r="M204" s="111">
        <v>1</v>
      </c>
    </row>
    <row r="205" spans="1:13" ht="13.15" x14ac:dyDescent="0.4">
      <c r="A205" s="41"/>
    </row>
    <row r="206" spans="1:13" ht="13.15" x14ac:dyDescent="0.4">
      <c r="A206" s="41" t="s">
        <v>1404</v>
      </c>
    </row>
    <row r="207" spans="1:13" ht="38.65" x14ac:dyDescent="0.4">
      <c r="A207" s="41"/>
      <c r="B207" s="91"/>
      <c r="C207" s="103" t="s">
        <v>1318</v>
      </c>
      <c r="D207" s="103" t="s">
        <v>1403</v>
      </c>
      <c r="E207" s="103" t="s">
        <v>1316</v>
      </c>
      <c r="F207" s="103" t="s">
        <v>1402</v>
      </c>
      <c r="G207" s="103" t="s">
        <v>1314</v>
      </c>
      <c r="H207" s="103" t="s">
        <v>1401</v>
      </c>
      <c r="I207" s="103" t="s">
        <v>1400</v>
      </c>
      <c r="J207" s="103" t="s">
        <v>1311</v>
      </c>
      <c r="K207" s="86" t="s">
        <v>1310</v>
      </c>
    </row>
    <row r="208" spans="1:13" ht="13.15" x14ac:dyDescent="0.4">
      <c r="A208" s="41"/>
      <c r="B208" s="110" t="s">
        <v>1399</v>
      </c>
      <c r="C208" s="109">
        <v>1</v>
      </c>
      <c r="D208" s="109">
        <v>1</v>
      </c>
      <c r="E208" s="109">
        <v>1</v>
      </c>
      <c r="F208" s="109">
        <v>1</v>
      </c>
      <c r="G208" s="109">
        <v>1.02</v>
      </c>
      <c r="J208" s="109">
        <v>1.107</v>
      </c>
      <c r="K208" s="93">
        <v>1</v>
      </c>
    </row>
    <row r="209" spans="1:17" ht="14.25" x14ac:dyDescent="0.45">
      <c r="A209" s="41"/>
      <c r="B209" s="108" t="s">
        <v>1398</v>
      </c>
      <c r="C209" s="77"/>
      <c r="D209" s="77"/>
      <c r="E209" s="77"/>
      <c r="F209" s="77"/>
      <c r="G209" s="77"/>
      <c r="H209" s="106">
        <v>0.96799999999999997</v>
      </c>
      <c r="I209" s="107">
        <v>1</v>
      </c>
      <c r="J209" s="106">
        <v>1.107</v>
      </c>
      <c r="K209" s="92">
        <v>1</v>
      </c>
    </row>
    <row r="210" spans="1:17" ht="13.15" x14ac:dyDescent="0.4">
      <c r="A210" s="41"/>
    </row>
    <row r="211" spans="1:17" ht="13.15" x14ac:dyDescent="0.4">
      <c r="A211" s="41" t="s">
        <v>1397</v>
      </c>
    </row>
    <row r="212" spans="1:17" ht="14.25" x14ac:dyDescent="0.45">
      <c r="A212" s="41"/>
      <c r="B212" s="105">
        <v>0.63300000000000001</v>
      </c>
    </row>
    <row r="213" spans="1:17" ht="13.15" x14ac:dyDescent="0.4">
      <c r="A213" s="41"/>
    </row>
    <row r="214" spans="1:17" ht="13.15" x14ac:dyDescent="0.4">
      <c r="A214" s="41" t="s">
        <v>1396</v>
      </c>
    </row>
    <row r="215" spans="1:17" ht="13.15" x14ac:dyDescent="0.4">
      <c r="A215" s="41"/>
      <c r="B215" s="104" t="s">
        <v>242</v>
      </c>
      <c r="C215" s="89" t="s">
        <v>1388</v>
      </c>
    </row>
    <row r="216" spans="1:17" ht="14.25" x14ac:dyDescent="0.45">
      <c r="A216" s="41"/>
      <c r="B216" s="85">
        <v>0</v>
      </c>
      <c r="C216" s="76">
        <v>1</v>
      </c>
    </row>
    <row r="217" spans="1:17" ht="13.15" x14ac:dyDescent="0.4">
      <c r="A217" s="41"/>
    </row>
    <row r="218" spans="1:17" ht="13.15" x14ac:dyDescent="0.4">
      <c r="A218" s="41" t="s">
        <v>1395</v>
      </c>
    </row>
    <row r="219" spans="1:17" ht="27" customHeight="1" x14ac:dyDescent="0.4">
      <c r="A219" s="41"/>
      <c r="B219" s="87" t="s">
        <v>1377</v>
      </c>
      <c r="C219" s="103" t="s">
        <v>1376</v>
      </c>
      <c r="D219" s="103" t="s">
        <v>1254</v>
      </c>
      <c r="E219" s="103" t="s">
        <v>1394</v>
      </c>
      <c r="F219" s="103" t="s">
        <v>1393</v>
      </c>
      <c r="G219" s="103" t="s">
        <v>1392</v>
      </c>
      <c r="H219" s="103" t="s">
        <v>1374</v>
      </c>
      <c r="I219" s="103" t="s">
        <v>1373</v>
      </c>
      <c r="J219" s="103" t="s">
        <v>1248</v>
      </c>
      <c r="K219" s="103" t="s">
        <v>1247</v>
      </c>
      <c r="L219" s="103" t="s">
        <v>1372</v>
      </c>
      <c r="M219" s="103" t="s">
        <v>1371</v>
      </c>
      <c r="N219" s="103" t="s">
        <v>1370</v>
      </c>
      <c r="O219" s="103" t="s">
        <v>1391</v>
      </c>
      <c r="P219" s="103" t="s">
        <v>1390</v>
      </c>
      <c r="Q219" s="86" t="s">
        <v>1369</v>
      </c>
    </row>
    <row r="220" spans="1:17" ht="14.25" x14ac:dyDescent="0.45">
      <c r="A220" s="41"/>
      <c r="B220" s="85">
        <v>7.5999999999999998E-2</v>
      </c>
      <c r="C220" s="95">
        <v>7.0999999999999994E-2</v>
      </c>
      <c r="D220" s="95">
        <v>0.107</v>
      </c>
      <c r="E220" s="95">
        <v>7.0000000000000001E-3</v>
      </c>
      <c r="F220" s="95">
        <v>7.0000000000000001E-3</v>
      </c>
      <c r="G220" s="95">
        <v>1.4E-2</v>
      </c>
      <c r="H220" s="95">
        <v>1.4E-2</v>
      </c>
      <c r="I220" s="95">
        <v>1.4E-2</v>
      </c>
      <c r="J220" s="95">
        <v>1.0999999999999999E-2</v>
      </c>
      <c r="K220" s="95">
        <v>7.0000000000000007E-2</v>
      </c>
      <c r="L220" s="95">
        <v>3.5000000000000003E-2</v>
      </c>
      <c r="M220" s="95">
        <v>1.7000000000000001E-2</v>
      </c>
      <c r="N220" s="95">
        <v>0.18099999999999999</v>
      </c>
      <c r="O220" s="95">
        <v>0.122</v>
      </c>
      <c r="P220" s="95">
        <v>0.11600000000000001</v>
      </c>
      <c r="Q220" s="102">
        <v>0.1379999999999999</v>
      </c>
    </row>
    <row r="221" spans="1:17" ht="13.15" x14ac:dyDescent="0.4">
      <c r="A221" s="41"/>
    </row>
    <row r="222" spans="1:17" ht="13.15" x14ac:dyDescent="0.4">
      <c r="A222" s="41" t="s">
        <v>1389</v>
      </c>
    </row>
    <row r="223" spans="1:17" ht="13.15" x14ac:dyDescent="0.4">
      <c r="A223" s="41"/>
      <c r="B223" s="61"/>
      <c r="C223" s="101" t="s">
        <v>1254</v>
      </c>
      <c r="D223" s="101" t="s">
        <v>1388</v>
      </c>
      <c r="E223" s="60" t="s">
        <v>1240</v>
      </c>
    </row>
    <row r="224" spans="1:17" ht="13.15" x14ac:dyDescent="0.4">
      <c r="A224" s="41"/>
      <c r="B224" s="59" t="s">
        <v>1387</v>
      </c>
      <c r="C224" s="39">
        <v>0.3</v>
      </c>
      <c r="D224" s="39">
        <v>0.3</v>
      </c>
      <c r="E224" s="99">
        <v>0.39999999999999997</v>
      </c>
    </row>
    <row r="225" spans="1:5" x14ac:dyDescent="0.35">
      <c r="B225" s="59" t="s">
        <v>1386</v>
      </c>
      <c r="C225" s="39">
        <v>0.4</v>
      </c>
      <c r="D225" s="39">
        <v>0.6</v>
      </c>
      <c r="E225" s="99">
        <v>0</v>
      </c>
    </row>
    <row r="226" spans="1:5" x14ac:dyDescent="0.35">
      <c r="B226" s="57" t="s">
        <v>1385</v>
      </c>
      <c r="C226" s="77">
        <v>0.5</v>
      </c>
      <c r="D226" s="77">
        <v>0.5</v>
      </c>
      <c r="E226" s="100">
        <v>0</v>
      </c>
    </row>
    <row r="227" spans="1:5" ht="13.15" x14ac:dyDescent="0.4">
      <c r="A227" s="41"/>
      <c r="B227" s="59"/>
      <c r="C227" s="39" t="s">
        <v>1254</v>
      </c>
      <c r="D227" s="99" t="s">
        <v>330</v>
      </c>
    </row>
    <row r="228" spans="1:5" ht="26.25" x14ac:dyDescent="0.45">
      <c r="A228" s="41"/>
      <c r="B228" s="98" t="s">
        <v>1384</v>
      </c>
      <c r="C228" s="88">
        <v>0.7</v>
      </c>
      <c r="D228" s="97">
        <v>0.30000000000000004</v>
      </c>
    </row>
    <row r="229" spans="1:5" ht="26.25" x14ac:dyDescent="0.45">
      <c r="A229" s="41"/>
      <c r="B229" s="96" t="s">
        <v>1383</v>
      </c>
      <c r="C229" s="95">
        <v>0.3</v>
      </c>
      <c r="D229" s="76">
        <v>0.7</v>
      </c>
    </row>
    <row r="230" spans="1:5" ht="13.15" x14ac:dyDescent="0.4">
      <c r="A230" s="41"/>
    </row>
    <row r="231" spans="1:5" ht="13.15" x14ac:dyDescent="0.4">
      <c r="A231" s="41" t="s">
        <v>1382</v>
      </c>
    </row>
    <row r="232" spans="1:5" ht="13.15" x14ac:dyDescent="0.4">
      <c r="A232" s="41"/>
      <c r="B232" s="61" t="s">
        <v>1368</v>
      </c>
      <c r="C232" s="94">
        <v>1.1399999999999999</v>
      </c>
    </row>
    <row r="233" spans="1:5" ht="13.15" x14ac:dyDescent="0.4">
      <c r="A233" s="41"/>
      <c r="B233" s="59" t="s">
        <v>1367</v>
      </c>
      <c r="C233" s="93">
        <v>1.1399999999999999</v>
      </c>
    </row>
    <row r="234" spans="1:5" ht="13.15" x14ac:dyDescent="0.4">
      <c r="A234" s="41"/>
      <c r="B234" s="59" t="s">
        <v>1366</v>
      </c>
      <c r="C234" s="93">
        <v>1.0003</v>
      </c>
    </row>
    <row r="235" spans="1:5" ht="13.15" x14ac:dyDescent="0.4">
      <c r="A235" s="41"/>
      <c r="B235" s="59" t="s">
        <v>1234</v>
      </c>
      <c r="C235" s="93">
        <v>1.1554</v>
      </c>
    </row>
    <row r="236" spans="1:5" ht="13.15" x14ac:dyDescent="0.4">
      <c r="A236" s="41"/>
      <c r="B236" s="59" t="s">
        <v>1226</v>
      </c>
      <c r="C236" s="93">
        <v>1</v>
      </c>
    </row>
    <row r="237" spans="1:5" ht="13.15" x14ac:dyDescent="0.4">
      <c r="A237" s="41"/>
      <c r="B237" s="59" t="s">
        <v>1233</v>
      </c>
      <c r="C237" s="93">
        <v>0.94589999999999996</v>
      </c>
    </row>
    <row r="238" spans="1:5" ht="13.15" x14ac:dyDescent="0.4">
      <c r="A238" s="41"/>
      <c r="B238" s="59" t="s">
        <v>1232</v>
      </c>
      <c r="C238" s="93">
        <v>1.0024</v>
      </c>
    </row>
    <row r="239" spans="1:5" ht="13.15" x14ac:dyDescent="0.4">
      <c r="A239" s="41"/>
      <c r="B239" s="59" t="s">
        <v>1231</v>
      </c>
      <c r="C239" s="93">
        <v>1.0018</v>
      </c>
    </row>
    <row r="240" spans="1:5" ht="13.15" x14ac:dyDescent="0.4">
      <c r="A240" s="41"/>
      <c r="B240" s="59" t="s">
        <v>1230</v>
      </c>
      <c r="C240" s="93">
        <v>1.0056</v>
      </c>
    </row>
    <row r="241" spans="1:15" ht="13.15" x14ac:dyDescent="0.4">
      <c r="A241" s="41"/>
      <c r="B241" s="59" t="s">
        <v>1225</v>
      </c>
      <c r="C241" s="93">
        <v>1.0306999999999999</v>
      </c>
    </row>
    <row r="242" spans="1:15" ht="13.15" x14ac:dyDescent="0.4">
      <c r="A242" s="41"/>
      <c r="B242" s="57" t="s">
        <v>1229</v>
      </c>
      <c r="C242" s="92">
        <v>1.1393</v>
      </c>
    </row>
    <row r="243" spans="1:15" ht="13.15" x14ac:dyDescent="0.4">
      <c r="A243" s="41"/>
    </row>
    <row r="244" spans="1:15" ht="13.15" x14ac:dyDescent="0.4">
      <c r="A244" s="41" t="s">
        <v>1381</v>
      </c>
    </row>
    <row r="245" spans="1:15" ht="13.15" x14ac:dyDescent="0.4">
      <c r="A245" s="41"/>
      <c r="B245" s="91" t="s">
        <v>1380</v>
      </c>
      <c r="C245" s="90" t="s">
        <v>1379</v>
      </c>
      <c r="D245" s="90" t="s">
        <v>1378</v>
      </c>
      <c r="E245" s="90" t="s">
        <v>1377</v>
      </c>
      <c r="F245" s="90" t="s">
        <v>1376</v>
      </c>
      <c r="G245" s="90" t="s">
        <v>1375</v>
      </c>
      <c r="H245" s="90" t="s">
        <v>1374</v>
      </c>
      <c r="I245" s="90" t="s">
        <v>1373</v>
      </c>
      <c r="J245" s="90" t="s">
        <v>1248</v>
      </c>
      <c r="K245" s="90" t="s">
        <v>1247</v>
      </c>
      <c r="L245" s="90" t="s">
        <v>1372</v>
      </c>
      <c r="M245" s="90" t="s">
        <v>1371</v>
      </c>
      <c r="N245" s="90" t="s">
        <v>1370</v>
      </c>
      <c r="O245" s="89" t="s">
        <v>1369</v>
      </c>
    </row>
    <row r="246" spans="1:15" ht="14.25" x14ac:dyDescent="0.45">
      <c r="A246" s="41"/>
      <c r="B246" s="59" t="s">
        <v>1368</v>
      </c>
      <c r="C246" s="88">
        <v>1</v>
      </c>
      <c r="D246" s="88">
        <v>0</v>
      </c>
      <c r="E246" s="88">
        <v>0</v>
      </c>
      <c r="F246" s="88">
        <v>0</v>
      </c>
      <c r="G246" s="88">
        <v>0</v>
      </c>
      <c r="H246" s="88">
        <v>0</v>
      </c>
      <c r="I246" s="88">
        <v>0</v>
      </c>
      <c r="J246" s="88">
        <v>0</v>
      </c>
      <c r="K246" s="88">
        <v>0</v>
      </c>
      <c r="L246" s="88">
        <v>0</v>
      </c>
      <c r="M246" s="88">
        <v>0</v>
      </c>
      <c r="N246" s="88">
        <v>0</v>
      </c>
      <c r="O246" s="80">
        <v>0</v>
      </c>
    </row>
    <row r="247" spans="1:15" ht="14.25" x14ac:dyDescent="0.45">
      <c r="A247" s="41"/>
      <c r="B247" s="59" t="s">
        <v>1367</v>
      </c>
      <c r="C247" s="88">
        <v>0</v>
      </c>
      <c r="D247" s="88">
        <v>1</v>
      </c>
      <c r="E247" s="88">
        <v>0</v>
      </c>
      <c r="F247" s="88">
        <v>0</v>
      </c>
      <c r="G247" s="88">
        <v>0</v>
      </c>
      <c r="H247" s="88">
        <v>0</v>
      </c>
      <c r="I247" s="88">
        <v>0</v>
      </c>
      <c r="J247" s="88">
        <v>0</v>
      </c>
      <c r="K247" s="88">
        <v>0</v>
      </c>
      <c r="L247" s="88">
        <v>0</v>
      </c>
      <c r="M247" s="88">
        <v>0</v>
      </c>
      <c r="N247" s="88">
        <v>0</v>
      </c>
      <c r="O247" s="80">
        <v>0</v>
      </c>
    </row>
    <row r="248" spans="1:15" ht="14.25" x14ac:dyDescent="0.45">
      <c r="A248" s="41"/>
      <c r="B248" s="59" t="s">
        <v>1366</v>
      </c>
      <c r="C248" s="88">
        <v>0</v>
      </c>
      <c r="D248" s="88">
        <v>0</v>
      </c>
      <c r="E248" s="88">
        <v>0</v>
      </c>
      <c r="F248" s="88">
        <v>0</v>
      </c>
      <c r="G248" s="88">
        <v>0</v>
      </c>
      <c r="H248" s="88">
        <v>0</v>
      </c>
      <c r="I248" s="88">
        <v>0</v>
      </c>
      <c r="J248" s="88">
        <v>0.36399999999999999</v>
      </c>
      <c r="K248" s="88">
        <v>0</v>
      </c>
      <c r="L248" s="88">
        <v>0</v>
      </c>
      <c r="M248" s="88">
        <v>0</v>
      </c>
      <c r="N248" s="88">
        <v>9.1999999999999998E-2</v>
      </c>
      <c r="O248" s="80">
        <v>0</v>
      </c>
    </row>
    <row r="249" spans="1:15" ht="14.25" x14ac:dyDescent="0.45">
      <c r="A249" s="41"/>
      <c r="B249" s="59" t="s">
        <v>1234</v>
      </c>
      <c r="C249" s="88">
        <v>0</v>
      </c>
      <c r="D249" s="88">
        <v>0</v>
      </c>
      <c r="E249" s="88">
        <v>0</v>
      </c>
      <c r="F249" s="88">
        <v>0</v>
      </c>
      <c r="G249" s="88">
        <v>0</v>
      </c>
      <c r="H249" s="88">
        <v>0</v>
      </c>
      <c r="I249" s="88">
        <v>0</v>
      </c>
      <c r="J249" s="88">
        <v>0</v>
      </c>
      <c r="K249" s="88">
        <v>0</v>
      </c>
      <c r="L249" s="88">
        <v>0</v>
      </c>
      <c r="M249" s="88">
        <v>0</v>
      </c>
      <c r="N249" s="88">
        <v>0</v>
      </c>
      <c r="O249" s="80">
        <v>0.18099999999999999</v>
      </c>
    </row>
    <row r="250" spans="1:15" ht="14.25" x14ac:dyDescent="0.45">
      <c r="A250" s="41"/>
      <c r="B250" s="59" t="s">
        <v>1226</v>
      </c>
      <c r="C250" s="88">
        <v>0</v>
      </c>
      <c r="D250" s="88">
        <v>0</v>
      </c>
      <c r="E250" s="88">
        <v>0.23799999999999999</v>
      </c>
      <c r="F250" s="88">
        <v>0.31900000000000001</v>
      </c>
      <c r="G250" s="88">
        <v>0.24249999999999999</v>
      </c>
      <c r="H250" s="88">
        <v>0.24249999999999999</v>
      </c>
      <c r="I250" s="88">
        <v>0.24249999999999999</v>
      </c>
      <c r="J250" s="88">
        <v>0.45400000000000001</v>
      </c>
      <c r="K250" s="88">
        <v>0.34300000000000003</v>
      </c>
      <c r="L250" s="88">
        <v>0.22</v>
      </c>
      <c r="M250" s="88">
        <v>0.5</v>
      </c>
      <c r="N250" s="88">
        <v>0.15329999999999999</v>
      </c>
      <c r="O250" s="80">
        <v>1.4999999999999999E-2</v>
      </c>
    </row>
    <row r="251" spans="1:15" ht="14.25" x14ac:dyDescent="0.45">
      <c r="A251" s="41"/>
      <c r="B251" s="59" t="s">
        <v>1233</v>
      </c>
      <c r="C251" s="88">
        <v>0</v>
      </c>
      <c r="D251" s="88">
        <v>0</v>
      </c>
      <c r="E251" s="88">
        <v>0.17499999999999999</v>
      </c>
      <c r="F251" s="88">
        <v>0.27500000000000002</v>
      </c>
      <c r="G251" s="88">
        <v>9.2499999999999999E-2</v>
      </c>
      <c r="H251" s="88">
        <v>9.2499999999999999E-2</v>
      </c>
      <c r="I251" s="88">
        <v>9.2499999999999999E-2</v>
      </c>
      <c r="J251" s="88">
        <v>0</v>
      </c>
      <c r="K251" s="88">
        <v>0.29899999999999999</v>
      </c>
      <c r="L251" s="88">
        <v>0</v>
      </c>
      <c r="M251" s="88">
        <v>0</v>
      </c>
      <c r="N251" s="88">
        <v>0</v>
      </c>
      <c r="O251" s="80">
        <v>0</v>
      </c>
    </row>
    <row r="252" spans="1:15" ht="14.25" x14ac:dyDescent="0.45">
      <c r="A252" s="41"/>
      <c r="B252" s="59" t="s">
        <v>1232</v>
      </c>
      <c r="C252" s="88">
        <v>0</v>
      </c>
      <c r="D252" s="88">
        <v>0</v>
      </c>
      <c r="E252" s="88">
        <v>0</v>
      </c>
      <c r="F252" s="88">
        <v>0</v>
      </c>
      <c r="G252" s="88">
        <v>0</v>
      </c>
      <c r="H252" s="88">
        <v>0</v>
      </c>
      <c r="I252" s="88">
        <v>0</v>
      </c>
      <c r="J252" s="88">
        <v>0</v>
      </c>
      <c r="K252" s="88">
        <v>0</v>
      </c>
      <c r="L252" s="88">
        <v>0</v>
      </c>
      <c r="M252" s="88">
        <v>0</v>
      </c>
      <c r="N252" s="88">
        <v>0</v>
      </c>
      <c r="O252" s="80">
        <v>0.51100000000000001</v>
      </c>
    </row>
    <row r="253" spans="1:15" ht="14.25" x14ac:dyDescent="0.45">
      <c r="A253" s="41"/>
      <c r="B253" s="59" t="s">
        <v>1231</v>
      </c>
      <c r="C253" s="88">
        <v>0</v>
      </c>
      <c r="D253" s="88">
        <v>0</v>
      </c>
      <c r="E253" s="88">
        <v>0</v>
      </c>
      <c r="F253" s="88">
        <v>0</v>
      </c>
      <c r="G253" s="88">
        <v>0</v>
      </c>
      <c r="H253" s="88">
        <v>0</v>
      </c>
      <c r="I253" s="88">
        <v>0</v>
      </c>
      <c r="J253" s="88">
        <v>0</v>
      </c>
      <c r="K253" s="88">
        <v>0</v>
      </c>
      <c r="L253" s="88">
        <v>0</v>
      </c>
      <c r="M253" s="88">
        <v>0</v>
      </c>
      <c r="N253" s="88">
        <v>1.9E-2</v>
      </c>
      <c r="O253" s="80">
        <v>0</v>
      </c>
    </row>
    <row r="254" spans="1:15" ht="14.25" x14ac:dyDescent="0.45">
      <c r="A254" s="41"/>
      <c r="B254" s="59" t="s">
        <v>1230</v>
      </c>
      <c r="C254" s="88">
        <v>0</v>
      </c>
      <c r="D254" s="88">
        <v>0</v>
      </c>
      <c r="E254" s="88">
        <v>0</v>
      </c>
      <c r="F254" s="88">
        <v>0</v>
      </c>
      <c r="G254" s="88">
        <v>0.66500000000000004</v>
      </c>
      <c r="H254" s="88">
        <v>0.66500000000000004</v>
      </c>
      <c r="I254" s="88">
        <v>0.66500000000000004</v>
      </c>
      <c r="J254" s="88">
        <v>0</v>
      </c>
      <c r="K254" s="88">
        <v>0</v>
      </c>
      <c r="L254" s="88">
        <v>0</v>
      </c>
      <c r="M254" s="88">
        <v>0</v>
      </c>
      <c r="N254" s="88">
        <v>0</v>
      </c>
      <c r="O254" s="80">
        <v>0</v>
      </c>
    </row>
    <row r="255" spans="1:15" ht="14.25" x14ac:dyDescent="0.45">
      <c r="A255" s="41"/>
      <c r="B255" s="59" t="s">
        <v>1225</v>
      </c>
      <c r="C255" s="88">
        <v>0</v>
      </c>
      <c r="D255" s="88">
        <v>0</v>
      </c>
      <c r="E255" s="88">
        <v>0</v>
      </c>
      <c r="F255" s="88">
        <v>0</v>
      </c>
      <c r="G255" s="88">
        <v>0</v>
      </c>
      <c r="H255" s="88">
        <v>0</v>
      </c>
      <c r="I255" s="88">
        <v>0</v>
      </c>
      <c r="J255" s="88">
        <v>0</v>
      </c>
      <c r="K255" s="88">
        <v>0</v>
      </c>
      <c r="L255" s="88">
        <v>0</v>
      </c>
      <c r="M255" s="88">
        <v>0</v>
      </c>
      <c r="N255" s="88">
        <v>0</v>
      </c>
      <c r="O255" s="80">
        <v>0.29299999999999998</v>
      </c>
    </row>
    <row r="256" spans="1:15" ht="14.25" x14ac:dyDescent="0.45">
      <c r="A256" s="41"/>
      <c r="B256" s="57" t="s">
        <v>1229</v>
      </c>
      <c r="C256" s="78">
        <v>0</v>
      </c>
      <c r="D256" s="78">
        <v>0</v>
      </c>
      <c r="E256" s="78">
        <v>0.58699999999999997</v>
      </c>
      <c r="F256" s="78">
        <v>0.40599999999999992</v>
      </c>
      <c r="G256" s="78">
        <v>0</v>
      </c>
      <c r="H256" s="78">
        <v>0</v>
      </c>
      <c r="I256" s="78">
        <v>0</v>
      </c>
      <c r="J256" s="78">
        <v>0.18199999999999994</v>
      </c>
      <c r="K256" s="78">
        <v>0.35799999999999998</v>
      </c>
      <c r="L256" s="78">
        <v>0.78</v>
      </c>
      <c r="M256" s="78">
        <v>0.5</v>
      </c>
      <c r="N256" s="78">
        <v>0.73570000000000002</v>
      </c>
      <c r="O256" s="76">
        <v>0</v>
      </c>
    </row>
    <row r="257" spans="1:7" ht="13.15" x14ac:dyDescent="0.4">
      <c r="A257" s="41"/>
    </row>
    <row r="258" spans="1:7" ht="13.15" x14ac:dyDescent="0.4">
      <c r="A258" s="41" t="s">
        <v>1365</v>
      </c>
    </row>
    <row r="259" spans="1:7" ht="38.65" x14ac:dyDescent="0.4">
      <c r="A259" s="41"/>
      <c r="B259" s="87" t="s">
        <v>1226</v>
      </c>
      <c r="C259" s="86" t="s">
        <v>1225</v>
      </c>
    </row>
    <row r="260" spans="1:7" ht="14.25" x14ac:dyDescent="0.45">
      <c r="A260" s="41"/>
      <c r="B260" s="85">
        <v>0.89</v>
      </c>
      <c r="C260" s="76">
        <v>0.10999999999999999</v>
      </c>
    </row>
    <row r="261" spans="1:7" ht="13.15" x14ac:dyDescent="0.4">
      <c r="A261" s="41"/>
    </row>
    <row r="262" spans="1:7" ht="13.15" x14ac:dyDescent="0.4">
      <c r="A262" s="41" t="s">
        <v>1364</v>
      </c>
    </row>
    <row r="263" spans="1:7" ht="13.15" x14ac:dyDescent="0.4">
      <c r="A263" s="41"/>
      <c r="B263" s="74">
        <v>1</v>
      </c>
      <c r="C263" s="39" t="s">
        <v>1363</v>
      </c>
      <c r="F263" s="74">
        <v>1</v>
      </c>
      <c r="G263" s="39" t="s">
        <v>1362</v>
      </c>
    </row>
    <row r="264" spans="1:7" ht="13.15" x14ac:dyDescent="0.4">
      <c r="A264" s="41"/>
      <c r="C264" s="39" t="s">
        <v>1361</v>
      </c>
      <c r="G264" s="39" t="s">
        <v>1360</v>
      </c>
    </row>
    <row r="265" spans="1:7" ht="13.15" x14ac:dyDescent="0.4">
      <c r="A265" s="41"/>
    </row>
    <row r="266" spans="1:7" ht="13.15" x14ac:dyDescent="0.4">
      <c r="A266" s="41" t="s">
        <v>1359</v>
      </c>
    </row>
    <row r="267" spans="1:7" ht="13.15" x14ac:dyDescent="0.4">
      <c r="A267" s="41"/>
      <c r="B267" s="74">
        <v>5</v>
      </c>
      <c r="C267" s="39" t="s">
        <v>1357</v>
      </c>
    </row>
    <row r="268" spans="1:7" ht="13.15" x14ac:dyDescent="0.4">
      <c r="A268" s="41"/>
      <c r="C268" s="39" t="s">
        <v>1356</v>
      </c>
    </row>
    <row r="269" spans="1:7" x14ac:dyDescent="0.35">
      <c r="C269" s="39" t="s">
        <v>1355</v>
      </c>
    </row>
    <row r="270" spans="1:7" x14ac:dyDescent="0.35">
      <c r="C270" s="39" t="s">
        <v>1354</v>
      </c>
    </row>
    <row r="271" spans="1:7" x14ac:dyDescent="0.35">
      <c r="C271" s="39" t="s">
        <v>1353</v>
      </c>
    </row>
    <row r="272" spans="1:7" ht="13.15" x14ac:dyDescent="0.4">
      <c r="A272" s="41"/>
    </row>
    <row r="273" spans="1:12" ht="13.15" x14ac:dyDescent="0.4">
      <c r="A273" s="41" t="s">
        <v>1358</v>
      </c>
    </row>
    <row r="274" spans="1:12" ht="13.15" x14ac:dyDescent="0.4">
      <c r="A274" s="41"/>
      <c r="B274" s="74">
        <v>5</v>
      </c>
      <c r="C274" s="39" t="s">
        <v>1357</v>
      </c>
    </row>
    <row r="275" spans="1:12" ht="13.15" x14ac:dyDescent="0.4">
      <c r="A275" s="41"/>
      <c r="C275" s="39" t="s">
        <v>1356</v>
      </c>
    </row>
    <row r="276" spans="1:12" x14ac:dyDescent="0.35">
      <c r="C276" s="39" t="s">
        <v>1355</v>
      </c>
    </row>
    <row r="277" spans="1:12" x14ac:dyDescent="0.35">
      <c r="C277" s="39" t="s">
        <v>1354</v>
      </c>
    </row>
    <row r="278" spans="1:12" x14ac:dyDescent="0.35">
      <c r="C278" s="39" t="s">
        <v>1353</v>
      </c>
    </row>
    <row r="279" spans="1:12" ht="13.15" x14ac:dyDescent="0.4">
      <c r="A279" s="41"/>
    </row>
    <row r="280" spans="1:12" ht="13.15" x14ac:dyDescent="0.4">
      <c r="A280" s="41" t="s">
        <v>1352</v>
      </c>
    </row>
    <row r="281" spans="1:12" x14ac:dyDescent="0.35">
      <c r="B281" s="61"/>
      <c r="C281" s="2186" t="s">
        <v>289</v>
      </c>
      <c r="D281" s="2187"/>
      <c r="E281" s="2187"/>
      <c r="F281" s="2187"/>
      <c r="G281" s="2188"/>
      <c r="H281" s="2186" t="s">
        <v>290</v>
      </c>
      <c r="I281" s="2187"/>
      <c r="J281" s="2187"/>
      <c r="K281" s="2187"/>
      <c r="L281" s="2188"/>
    </row>
    <row r="282" spans="1:12" ht="25.5" x14ac:dyDescent="0.35">
      <c r="B282" s="57"/>
      <c r="C282" s="84" t="s">
        <v>1351</v>
      </c>
      <c r="D282" s="83" t="s">
        <v>1350</v>
      </c>
      <c r="E282" s="83" t="s">
        <v>1349</v>
      </c>
      <c r="F282" s="83" t="s">
        <v>1348</v>
      </c>
      <c r="G282" s="82" t="s">
        <v>1347</v>
      </c>
      <c r="H282" s="83" t="s">
        <v>1351</v>
      </c>
      <c r="I282" s="83" t="s">
        <v>1350</v>
      </c>
      <c r="J282" s="83" t="s">
        <v>1349</v>
      </c>
      <c r="K282" s="83" t="s">
        <v>1348</v>
      </c>
      <c r="L282" s="82" t="s">
        <v>1347</v>
      </c>
    </row>
    <row r="283" spans="1:12" ht="14.25" x14ac:dyDescent="0.45">
      <c r="B283" s="59" t="s">
        <v>112</v>
      </c>
      <c r="C283" s="81">
        <v>0</v>
      </c>
      <c r="D283" s="39">
        <v>0</v>
      </c>
      <c r="E283" s="39">
        <v>0</v>
      </c>
      <c r="F283" s="39">
        <v>4.0000000000000001E-3</v>
      </c>
      <c r="G283" s="80">
        <v>0</v>
      </c>
      <c r="H283" s="73">
        <v>0</v>
      </c>
      <c r="I283" s="39">
        <v>0</v>
      </c>
      <c r="J283" s="39">
        <v>0</v>
      </c>
      <c r="K283" s="39">
        <v>4.0000000000000001E-3</v>
      </c>
      <c r="L283" s="80">
        <v>0</v>
      </c>
    </row>
    <row r="284" spans="1:12" ht="14.25" x14ac:dyDescent="0.45">
      <c r="B284" s="59" t="s">
        <v>113</v>
      </c>
      <c r="C284" s="81">
        <v>0</v>
      </c>
      <c r="D284" s="39">
        <v>4.1000000000000002E-2</v>
      </c>
      <c r="E284" s="39">
        <v>0.104</v>
      </c>
      <c r="F284" s="39">
        <v>0.112</v>
      </c>
      <c r="G284" s="80">
        <v>0</v>
      </c>
      <c r="H284" s="73">
        <v>0</v>
      </c>
      <c r="I284" s="39">
        <v>4.1000000000000002E-2</v>
      </c>
      <c r="J284" s="39">
        <v>0.104</v>
      </c>
      <c r="K284" s="39">
        <v>0.112</v>
      </c>
      <c r="L284" s="80">
        <v>0</v>
      </c>
    </row>
    <row r="285" spans="1:12" ht="14.25" x14ac:dyDescent="0.45">
      <c r="B285" s="59" t="s">
        <v>114</v>
      </c>
      <c r="C285" s="81">
        <v>0</v>
      </c>
      <c r="D285" s="39">
        <v>0.14299999999999999</v>
      </c>
      <c r="E285" s="39">
        <v>0.35899999999999999</v>
      </c>
      <c r="F285" s="39">
        <v>0.19500000000000001</v>
      </c>
      <c r="G285" s="80">
        <v>0.90080971659919029</v>
      </c>
      <c r="H285" s="73">
        <v>0</v>
      </c>
      <c r="I285" s="39">
        <v>0.14299999999999999</v>
      </c>
      <c r="J285" s="39">
        <v>0.35899999999999999</v>
      </c>
      <c r="K285" s="39">
        <v>0.19500000000000001</v>
      </c>
      <c r="L285" s="80">
        <v>0.90080971659919029</v>
      </c>
    </row>
    <row r="286" spans="1:12" ht="14.25" x14ac:dyDescent="0.45">
      <c r="B286" s="59" t="s">
        <v>273</v>
      </c>
      <c r="C286" s="81">
        <v>0</v>
      </c>
      <c r="D286" s="39">
        <v>5.0000000000000001E-3</v>
      </c>
      <c r="E286" s="39">
        <v>1.4E-2</v>
      </c>
      <c r="F286" s="39">
        <v>1.2999999999999999E-2</v>
      </c>
      <c r="G286" s="80">
        <v>0</v>
      </c>
      <c r="H286" s="73">
        <v>0</v>
      </c>
      <c r="I286" s="39">
        <v>5.0000000000000001E-3</v>
      </c>
      <c r="J286" s="39">
        <v>1.4E-2</v>
      </c>
      <c r="K286" s="39">
        <v>1.2999999999999999E-2</v>
      </c>
      <c r="L286" s="80">
        <v>0</v>
      </c>
    </row>
    <row r="287" spans="1:12" ht="14.25" x14ac:dyDescent="0.45">
      <c r="B287" s="59" t="s">
        <v>116</v>
      </c>
      <c r="C287" s="81">
        <v>0</v>
      </c>
      <c r="D287" s="39">
        <v>0</v>
      </c>
      <c r="E287" s="39">
        <v>0</v>
      </c>
      <c r="F287" s="39">
        <v>0</v>
      </c>
      <c r="G287" s="80">
        <v>0</v>
      </c>
      <c r="H287" s="73">
        <v>0</v>
      </c>
      <c r="I287" s="39">
        <v>0</v>
      </c>
      <c r="J287" s="39">
        <v>0</v>
      </c>
      <c r="K287" s="39">
        <v>0</v>
      </c>
      <c r="L287" s="80">
        <v>0</v>
      </c>
    </row>
    <row r="288" spans="1:12" ht="14.25" x14ac:dyDescent="0.45">
      <c r="B288" s="57" t="s">
        <v>292</v>
      </c>
      <c r="C288" s="79">
        <v>1</v>
      </c>
      <c r="D288" s="77">
        <v>0.81099999999999994</v>
      </c>
      <c r="E288" s="77">
        <v>0.52300000000000002</v>
      </c>
      <c r="F288" s="77">
        <v>0.67599999999999993</v>
      </c>
      <c r="G288" s="76">
        <v>9.9190283400809709E-2</v>
      </c>
      <c r="H288" s="78">
        <v>1</v>
      </c>
      <c r="I288" s="77">
        <v>0.81099999999999994</v>
      </c>
      <c r="J288" s="77">
        <v>0.52300000000000002</v>
      </c>
      <c r="K288" s="77">
        <v>0.67599999999999993</v>
      </c>
      <c r="L288" s="76">
        <v>9.9190283400809709E-2</v>
      </c>
    </row>
    <row r="289" spans="1:12" ht="14.25" x14ac:dyDescent="0.45">
      <c r="C289" s="73"/>
      <c r="G289" s="73"/>
      <c r="H289" s="73"/>
      <c r="L289" s="73"/>
    </row>
    <row r="290" spans="1:12" ht="14.25" x14ac:dyDescent="0.45">
      <c r="A290" s="41" t="s">
        <v>1346</v>
      </c>
      <c r="C290" s="75"/>
      <c r="G290" s="73"/>
      <c r="H290" s="73"/>
      <c r="L290" s="73"/>
    </row>
    <row r="291" spans="1:12" ht="14.25" x14ac:dyDescent="0.45">
      <c r="B291" s="74">
        <v>1</v>
      </c>
      <c r="C291" s="39" t="s">
        <v>1345</v>
      </c>
      <c r="G291" s="73"/>
      <c r="H291" s="73"/>
      <c r="L291" s="73"/>
    </row>
    <row r="292" spans="1:12" ht="14.25" x14ac:dyDescent="0.45">
      <c r="C292" s="39" t="s">
        <v>1344</v>
      </c>
      <c r="G292" s="73"/>
      <c r="H292" s="73"/>
      <c r="L292" s="73"/>
    </row>
    <row r="294" spans="1:12" ht="13.9" x14ac:dyDescent="0.4">
      <c r="A294" s="72" t="s">
        <v>1343</v>
      </c>
    </row>
    <row r="295" spans="1:12" ht="13.15" x14ac:dyDescent="0.4">
      <c r="A295" s="41" t="s">
        <v>1342</v>
      </c>
    </row>
    <row r="296" spans="1:12" ht="13.15" x14ac:dyDescent="0.4">
      <c r="A296" s="41"/>
      <c r="B296" s="42">
        <v>1.7948</v>
      </c>
      <c r="C296" s="39" t="s">
        <v>1341</v>
      </c>
    </row>
    <row r="297" spans="1:12" ht="13.15" x14ac:dyDescent="0.4">
      <c r="A297" s="41"/>
      <c r="B297" s="42">
        <v>15.583399999999999</v>
      </c>
      <c r="C297" s="39" t="s">
        <v>1340</v>
      </c>
    </row>
    <row r="298" spans="1:12" ht="13.15" x14ac:dyDescent="0.4">
      <c r="A298" s="41"/>
      <c r="B298" s="42">
        <v>6.0299999999999999E-2</v>
      </c>
      <c r="C298" s="39" t="s">
        <v>1339</v>
      </c>
    </row>
    <row r="299" spans="1:12" ht="13.15" x14ac:dyDescent="0.4">
      <c r="A299" s="41"/>
      <c r="B299" s="42">
        <v>1.7791999999999999</v>
      </c>
      <c r="C299" s="39" t="s">
        <v>1338</v>
      </c>
    </row>
    <row r="300" spans="1:12" ht="13.15" x14ac:dyDescent="0.4">
      <c r="A300" s="41"/>
      <c r="B300" s="42">
        <v>0.69120000000000004</v>
      </c>
      <c r="C300" s="39" t="s">
        <v>1337</v>
      </c>
    </row>
    <row r="301" spans="1:12" ht="13.15" x14ac:dyDescent="0.4">
      <c r="A301" s="41"/>
      <c r="B301" s="42">
        <v>-4.0800000000000003E-2</v>
      </c>
      <c r="C301" s="39" t="s">
        <v>1336</v>
      </c>
    </row>
    <row r="302" spans="1:12" ht="13.15" x14ac:dyDescent="0.4">
      <c r="A302" s="41"/>
      <c r="B302" s="42">
        <v>1.3340000000000001</v>
      </c>
      <c r="C302" s="39" t="s">
        <v>1335</v>
      </c>
    </row>
    <row r="303" spans="1:12" ht="13.15" x14ac:dyDescent="0.4">
      <c r="A303" s="41"/>
      <c r="B303" s="42">
        <v>4.1799999999999997E-2</v>
      </c>
      <c r="C303" s="39" t="s">
        <v>1334</v>
      </c>
    </row>
    <row r="304" spans="1:12" ht="13.15" x14ac:dyDescent="0.4">
      <c r="A304" s="41"/>
      <c r="B304" s="71">
        <v>1.3998999999999999</v>
      </c>
      <c r="C304" s="39" t="s">
        <v>1333</v>
      </c>
    </row>
    <row r="305" spans="1:3" ht="13.15" x14ac:dyDescent="0.4">
      <c r="A305" s="41"/>
      <c r="B305" s="71">
        <v>0.69569999999999999</v>
      </c>
      <c r="C305" s="39" t="s">
        <v>1332</v>
      </c>
    </row>
    <row r="306" spans="1:3" ht="13.15" x14ac:dyDescent="0.4">
      <c r="A306" s="41"/>
      <c r="B306" s="71">
        <v>0.85990521327014202</v>
      </c>
      <c r="C306" s="39" t="s">
        <v>1321</v>
      </c>
    </row>
    <row r="307" spans="1:3" ht="13.15" x14ac:dyDescent="0.4">
      <c r="A307" s="41"/>
      <c r="B307" s="71">
        <v>6.1831000000000005</v>
      </c>
      <c r="C307" s="39" t="s">
        <v>1331</v>
      </c>
    </row>
    <row r="308" spans="1:3" ht="13.15" x14ac:dyDescent="0.4">
      <c r="A308" s="41"/>
      <c r="B308" s="71">
        <v>3.2335000000000003</v>
      </c>
      <c r="C308" s="39" t="s">
        <v>1330</v>
      </c>
    </row>
    <row r="309" spans="1:3" ht="13.15" x14ac:dyDescent="0.4">
      <c r="A309" s="41"/>
      <c r="B309" s="42">
        <v>0.54</v>
      </c>
      <c r="C309" s="39" t="s">
        <v>1310</v>
      </c>
    </row>
    <row r="310" spans="1:3" ht="13.15" x14ac:dyDescent="0.4">
      <c r="A310" s="41"/>
    </row>
    <row r="311" spans="1:3" ht="13.15" x14ac:dyDescent="0.4">
      <c r="A311" s="41" t="s">
        <v>1329</v>
      </c>
    </row>
    <row r="312" spans="1:3" ht="13.15" x14ac:dyDescent="0.4">
      <c r="A312" s="41"/>
      <c r="B312" s="42">
        <v>1.339</v>
      </c>
      <c r="C312" s="39" t="s">
        <v>1328</v>
      </c>
    </row>
    <row r="313" spans="1:3" ht="13.15" x14ac:dyDescent="0.4">
      <c r="A313" s="41"/>
      <c r="B313" s="42">
        <v>0</v>
      </c>
      <c r="C313" s="39" t="s">
        <v>1327</v>
      </c>
    </row>
    <row r="314" spans="1:3" ht="13.15" x14ac:dyDescent="0.4">
      <c r="A314" s="41"/>
      <c r="B314" s="42">
        <v>33.801000000000002</v>
      </c>
      <c r="C314" s="39" t="s">
        <v>1326</v>
      </c>
    </row>
    <row r="315" spans="1:3" ht="13.15" x14ac:dyDescent="0.4">
      <c r="A315" s="41"/>
      <c r="B315" s="42">
        <v>0.54</v>
      </c>
      <c r="C315" s="39" t="s">
        <v>1310</v>
      </c>
    </row>
    <row r="316" spans="1:3" ht="13.15" x14ac:dyDescent="0.4">
      <c r="A316" s="41"/>
    </row>
    <row r="317" spans="1:3" ht="13.15" x14ac:dyDescent="0.4">
      <c r="A317" s="41" t="s">
        <v>1325</v>
      </c>
    </row>
    <row r="318" spans="1:3" ht="13.15" x14ac:dyDescent="0.4">
      <c r="A318" s="41"/>
      <c r="B318" s="42">
        <v>0.57699999999999996</v>
      </c>
      <c r="C318" s="39" t="s">
        <v>1318</v>
      </c>
    </row>
    <row r="319" spans="1:3" ht="13.15" x14ac:dyDescent="0.4">
      <c r="A319" s="41"/>
      <c r="B319" s="42">
        <v>17.835000000000001</v>
      </c>
      <c r="C319" s="39" t="s">
        <v>1317</v>
      </c>
    </row>
    <row r="320" spans="1:3" ht="13.15" x14ac:dyDescent="0.4">
      <c r="A320" s="41"/>
      <c r="B320" s="42">
        <v>1.486</v>
      </c>
      <c r="C320" s="39" t="s">
        <v>1316</v>
      </c>
    </row>
    <row r="321" spans="1:3" ht="13.15" x14ac:dyDescent="0.4">
      <c r="A321" s="41"/>
      <c r="B321" s="42">
        <v>46.777999999999999</v>
      </c>
      <c r="C321" s="39" t="s">
        <v>1315</v>
      </c>
    </row>
    <row r="322" spans="1:3" ht="13.15" x14ac:dyDescent="0.4">
      <c r="A322" s="41"/>
      <c r="B322" s="71">
        <v>1.006</v>
      </c>
      <c r="C322" s="39" t="s">
        <v>1314</v>
      </c>
    </row>
    <row r="323" spans="1:3" ht="13.15" x14ac:dyDescent="0.4">
      <c r="A323" s="41"/>
      <c r="B323" s="71">
        <v>1.0920000000000001</v>
      </c>
      <c r="C323" s="39" t="s">
        <v>1324</v>
      </c>
    </row>
    <row r="324" spans="1:3" ht="13.15" x14ac:dyDescent="0.4">
      <c r="A324" s="41"/>
      <c r="B324" s="71">
        <v>4.46</v>
      </c>
      <c r="C324" s="39" t="s">
        <v>1312</v>
      </c>
    </row>
    <row r="325" spans="1:3" ht="13.15" x14ac:dyDescent="0.4">
      <c r="A325" s="41"/>
      <c r="B325" s="71">
        <v>3.629</v>
      </c>
      <c r="C325" s="39" t="s">
        <v>1323</v>
      </c>
    </row>
    <row r="326" spans="1:3" ht="13.15" x14ac:dyDescent="0.4">
      <c r="A326" s="41"/>
      <c r="B326" s="71">
        <v>3.0219999999999998</v>
      </c>
      <c r="C326" s="39" t="s">
        <v>1322</v>
      </c>
    </row>
    <row r="327" spans="1:3" ht="13.15" x14ac:dyDescent="0.4">
      <c r="A327" s="41"/>
      <c r="B327" s="71">
        <v>0.85990521327014224</v>
      </c>
      <c r="C327" s="39" t="s">
        <v>1321</v>
      </c>
    </row>
    <row r="328" spans="1:3" ht="13.15" x14ac:dyDescent="0.4">
      <c r="A328" s="41"/>
      <c r="B328" s="71">
        <v>5.8970000000000002</v>
      </c>
      <c r="C328" s="39" t="s">
        <v>1320</v>
      </c>
    </row>
    <row r="329" spans="1:3" ht="13.15" x14ac:dyDescent="0.4">
      <c r="A329" s="41"/>
    </row>
    <row r="330" spans="1:3" ht="13.15" x14ac:dyDescent="0.4">
      <c r="A330" s="41" t="s">
        <v>1319</v>
      </c>
    </row>
    <row r="331" spans="1:3" ht="13.15" x14ac:dyDescent="0.4">
      <c r="A331" s="41"/>
      <c r="B331" s="42">
        <v>0.57699999999999996</v>
      </c>
      <c r="C331" s="39" t="s">
        <v>1318</v>
      </c>
    </row>
    <row r="332" spans="1:3" ht="13.15" x14ac:dyDescent="0.4">
      <c r="A332" s="41"/>
      <c r="B332" s="42">
        <v>17.835000000000001</v>
      </c>
      <c r="C332" s="39" t="s">
        <v>1317</v>
      </c>
    </row>
    <row r="333" spans="1:3" ht="13.15" x14ac:dyDescent="0.4">
      <c r="A333" s="41"/>
      <c r="B333" s="42">
        <v>1.486</v>
      </c>
      <c r="C333" s="39" t="s">
        <v>1316</v>
      </c>
    </row>
    <row r="334" spans="1:3" ht="13.15" x14ac:dyDescent="0.4">
      <c r="A334" s="41"/>
      <c r="B334" s="42">
        <v>46.777999999999999</v>
      </c>
      <c r="C334" s="39" t="s">
        <v>1315</v>
      </c>
    </row>
    <row r="335" spans="1:3" ht="13.15" x14ac:dyDescent="0.4">
      <c r="A335" s="41"/>
      <c r="B335" s="42">
        <v>1.006</v>
      </c>
      <c r="C335" s="39" t="s">
        <v>1314</v>
      </c>
    </row>
    <row r="336" spans="1:3" ht="13.15" x14ac:dyDescent="0.4">
      <c r="A336" s="41"/>
      <c r="B336" s="42">
        <v>1.0920000000000001</v>
      </c>
      <c r="C336" s="39" t="s">
        <v>1313</v>
      </c>
    </row>
    <row r="337" spans="1:3" ht="13.15" x14ac:dyDescent="0.4">
      <c r="A337" s="41"/>
      <c r="B337" s="42">
        <v>4.46</v>
      </c>
      <c r="C337" s="39" t="s">
        <v>1312</v>
      </c>
    </row>
    <row r="338" spans="1:3" ht="13.15" x14ac:dyDescent="0.4">
      <c r="A338" s="41"/>
      <c r="B338" s="42">
        <v>7.569</v>
      </c>
      <c r="C338" s="39" t="s">
        <v>1311</v>
      </c>
    </row>
    <row r="339" spans="1:3" ht="13.15" x14ac:dyDescent="0.4">
      <c r="A339" s="41"/>
      <c r="B339" s="42">
        <v>0.54</v>
      </c>
      <c r="C339" s="39" t="s">
        <v>1310</v>
      </c>
    </row>
    <row r="340" spans="1:3" ht="13.15" x14ac:dyDescent="0.4">
      <c r="A340" s="41"/>
    </row>
    <row r="341" spans="1:3" ht="13.15" x14ac:dyDescent="0.4">
      <c r="A341" s="41" t="s">
        <v>1309</v>
      </c>
    </row>
    <row r="342" spans="1:3" ht="13.15" x14ac:dyDescent="0.4">
      <c r="A342" s="41"/>
      <c r="B342" s="42">
        <v>2.59</v>
      </c>
      <c r="C342" s="39" t="s">
        <v>1308</v>
      </c>
    </row>
    <row r="343" spans="1:3" ht="13.15" x14ac:dyDescent="0.4">
      <c r="A343" s="41"/>
      <c r="B343" s="42">
        <v>0</v>
      </c>
      <c r="C343" s="39" t="s">
        <v>1307</v>
      </c>
    </row>
    <row r="344" spans="1:3" ht="13.15" x14ac:dyDescent="0.4">
      <c r="A344" s="41"/>
      <c r="B344" s="42">
        <v>4.1399999999999997</v>
      </c>
      <c r="C344" s="39" t="s">
        <v>1306</v>
      </c>
    </row>
    <row r="345" spans="1:3" ht="13.15" x14ac:dyDescent="0.4">
      <c r="A345" s="41"/>
    </row>
    <row r="346" spans="1:3" ht="13.15" x14ac:dyDescent="0.4">
      <c r="A346" s="41" t="s">
        <v>1305</v>
      </c>
    </row>
    <row r="347" spans="1:3" ht="13.15" x14ac:dyDescent="0.4">
      <c r="A347" s="41"/>
      <c r="B347" s="42">
        <v>17.015999999999998</v>
      </c>
      <c r="C347" s="39" t="s">
        <v>1304</v>
      </c>
    </row>
    <row r="348" spans="1:3" ht="13.15" x14ac:dyDescent="0.4">
      <c r="A348" s="41"/>
      <c r="B348" s="42">
        <v>10.744999999999999</v>
      </c>
      <c r="C348" s="39" t="s">
        <v>1303</v>
      </c>
    </row>
    <row r="349" spans="1:3" ht="13.15" x14ac:dyDescent="0.4">
      <c r="A349" s="41"/>
      <c r="B349" s="42">
        <v>15.31</v>
      </c>
      <c r="C349" s="39" t="s">
        <v>1302</v>
      </c>
    </row>
    <row r="350" spans="1:3" ht="13.15" x14ac:dyDescent="0.4">
      <c r="A350" s="41"/>
      <c r="B350" s="42">
        <v>43.506999999999998</v>
      </c>
      <c r="C350" s="39" t="s">
        <v>1301</v>
      </c>
    </row>
    <row r="351" spans="1:3" ht="13.15" x14ac:dyDescent="0.4">
      <c r="A351" s="41"/>
      <c r="B351" s="42">
        <v>15.945</v>
      </c>
      <c r="C351" s="39" t="s">
        <v>1300</v>
      </c>
    </row>
    <row r="352" spans="1:3" ht="13.15" x14ac:dyDescent="0.4">
      <c r="A352" s="41"/>
      <c r="B352" s="42">
        <v>4.9180000000000001</v>
      </c>
      <c r="C352" s="39" t="s">
        <v>1299</v>
      </c>
    </row>
    <row r="353" spans="1:4" ht="13.15" x14ac:dyDescent="0.4">
      <c r="A353" s="41"/>
      <c r="B353" s="42">
        <v>2.4590000000000001</v>
      </c>
      <c r="C353" s="39" t="s">
        <v>1298</v>
      </c>
    </row>
    <row r="354" spans="1:4" ht="13.15" x14ac:dyDescent="0.4">
      <c r="A354" s="41"/>
    </row>
    <row r="355" spans="1:4" ht="13.15" x14ac:dyDescent="0.4">
      <c r="A355" s="41" t="s">
        <v>1297</v>
      </c>
    </row>
    <row r="356" spans="1:4" ht="13.15" x14ac:dyDescent="0.4">
      <c r="A356" s="41"/>
      <c r="B356" s="70" t="s">
        <v>1220</v>
      </c>
      <c r="C356" s="69" t="s">
        <v>1219</v>
      </c>
      <c r="D356" s="68" t="s">
        <v>1218</v>
      </c>
    </row>
    <row r="357" spans="1:4" ht="13.15" x14ac:dyDescent="0.4">
      <c r="A357" s="41"/>
      <c r="B357" s="50" t="s">
        <v>1296</v>
      </c>
      <c r="C357" s="64">
        <v>21.570692097725999</v>
      </c>
      <c r="D357" s="67">
        <v>70.909337045982895</v>
      </c>
    </row>
    <row r="358" spans="1:4" ht="13.15" x14ac:dyDescent="0.4">
      <c r="A358" s="41"/>
      <c r="B358" s="46" t="s">
        <v>1295</v>
      </c>
      <c r="C358" s="66">
        <v>6.7060813649289104</v>
      </c>
      <c r="D358" s="65">
        <v>29.332886535257298</v>
      </c>
    </row>
    <row r="359" spans="1:4" ht="13.15" x14ac:dyDescent="0.4">
      <c r="A359" s="41"/>
      <c r="B359" s="64">
        <v>37.1776491351633</v>
      </c>
      <c r="C359" s="39" t="s">
        <v>1294</v>
      </c>
    </row>
    <row r="360" spans="1:4" ht="13.15" x14ac:dyDescent="0.4">
      <c r="A360" s="41"/>
      <c r="B360" s="64">
        <v>18.600278503969914</v>
      </c>
      <c r="C360" s="39" t="s">
        <v>1293</v>
      </c>
    </row>
    <row r="361" spans="1:4" ht="13.15" x14ac:dyDescent="0.4">
      <c r="A361" s="41"/>
      <c r="B361" s="64">
        <v>10.525239810426541</v>
      </c>
      <c r="C361" s="39" t="s">
        <v>1292</v>
      </c>
    </row>
    <row r="362" spans="1:4" ht="13.15" x14ac:dyDescent="0.4">
      <c r="A362" s="41"/>
    </row>
    <row r="363" spans="1:4" ht="13.15" x14ac:dyDescent="0.4">
      <c r="A363" s="41" t="s">
        <v>1291</v>
      </c>
    </row>
    <row r="364" spans="1:4" ht="13.15" x14ac:dyDescent="0.4">
      <c r="A364" s="41"/>
      <c r="B364" s="42">
        <v>2.15</v>
      </c>
      <c r="C364" s="39" t="s">
        <v>1290</v>
      </c>
    </row>
    <row r="365" spans="1:4" ht="13.15" x14ac:dyDescent="0.4">
      <c r="A365" s="41"/>
      <c r="B365" s="42">
        <v>19.782</v>
      </c>
      <c r="C365" s="39" t="s">
        <v>1289</v>
      </c>
    </row>
    <row r="366" spans="1:4" ht="13.15" x14ac:dyDescent="0.4">
      <c r="A366" s="41"/>
      <c r="B366" s="42">
        <v>24.338000000000001</v>
      </c>
      <c r="C366" s="39" t="s">
        <v>1288</v>
      </c>
    </row>
    <row r="367" spans="1:4" ht="13.15" x14ac:dyDescent="0.4">
      <c r="A367" s="41"/>
      <c r="B367" s="42">
        <v>2.4820000000000002</v>
      </c>
      <c r="C367" s="39" t="s">
        <v>1287</v>
      </c>
    </row>
    <row r="368" spans="1:4" ht="13.15" x14ac:dyDescent="0.4">
      <c r="A368" s="41"/>
      <c r="B368" s="61" t="s">
        <v>1286</v>
      </c>
      <c r="C368" s="60"/>
    </row>
    <row r="369" spans="1:3" ht="14.25" x14ac:dyDescent="0.45">
      <c r="A369" s="41"/>
      <c r="B369" s="59" t="s">
        <v>1285</v>
      </c>
      <c r="C369" s="63">
        <v>0.84199999999999997</v>
      </c>
    </row>
    <row r="370" spans="1:3" ht="13.15" x14ac:dyDescent="0.4">
      <c r="A370" s="41"/>
      <c r="B370" s="57" t="s">
        <v>1284</v>
      </c>
      <c r="C370" s="62">
        <v>0.158</v>
      </c>
    </row>
    <row r="371" spans="1:3" ht="13.15" x14ac:dyDescent="0.4">
      <c r="A371" s="41"/>
    </row>
    <row r="372" spans="1:3" ht="13.15" x14ac:dyDescent="0.4">
      <c r="A372" s="41" t="s">
        <v>1283</v>
      </c>
    </row>
    <row r="373" spans="1:3" ht="13.15" x14ac:dyDescent="0.4">
      <c r="A373" s="41"/>
      <c r="B373" s="42">
        <v>3.83</v>
      </c>
      <c r="C373" s="39" t="s">
        <v>1282</v>
      </c>
    </row>
    <row r="374" spans="1:3" ht="13.15" x14ac:dyDescent="0.4">
      <c r="A374" s="41"/>
      <c r="B374" s="42">
        <v>14.75</v>
      </c>
      <c r="C374" s="39" t="s">
        <v>1281</v>
      </c>
    </row>
    <row r="375" spans="1:3" ht="13.15" x14ac:dyDescent="0.4">
      <c r="A375" s="41"/>
      <c r="B375" s="42">
        <v>22.9</v>
      </c>
      <c r="C375" s="39" t="s">
        <v>1280</v>
      </c>
    </row>
    <row r="376" spans="1:3" ht="13.15" x14ac:dyDescent="0.4">
      <c r="A376" s="41"/>
    </row>
    <row r="377" spans="1:3" ht="13.15" x14ac:dyDescent="0.4">
      <c r="A377" s="41" t="s">
        <v>1279</v>
      </c>
    </row>
    <row r="378" spans="1:3" ht="13.15" x14ac:dyDescent="0.4">
      <c r="A378" s="41"/>
      <c r="B378" s="42">
        <v>0</v>
      </c>
      <c r="C378" s="39" t="s">
        <v>1278</v>
      </c>
    </row>
    <row r="379" spans="1:3" ht="13.15" x14ac:dyDescent="0.4">
      <c r="A379" s="41"/>
      <c r="B379" s="42">
        <v>146.27500000000001</v>
      </c>
      <c r="C379" s="39" t="s">
        <v>1277</v>
      </c>
    </row>
    <row r="380" spans="1:3" ht="13.15" x14ac:dyDescent="0.4">
      <c r="A380" s="41"/>
      <c r="B380" s="42">
        <v>225.26</v>
      </c>
      <c r="C380" s="39" t="s">
        <v>1276</v>
      </c>
    </row>
    <row r="381" spans="1:3" ht="13.15" x14ac:dyDescent="0.4">
      <c r="A381" s="41"/>
      <c r="B381" s="42">
        <v>2.496</v>
      </c>
      <c r="C381" s="39" t="s">
        <v>1275</v>
      </c>
    </row>
    <row r="382" spans="1:3" ht="13.15" x14ac:dyDescent="0.4">
      <c r="A382" s="41"/>
      <c r="B382" s="42">
        <v>7.1890000000000001</v>
      </c>
      <c r="C382" s="39" t="s">
        <v>1274</v>
      </c>
    </row>
    <row r="383" spans="1:3" ht="13.15" x14ac:dyDescent="0.4">
      <c r="A383" s="41"/>
      <c r="B383" s="61" t="s">
        <v>1273</v>
      </c>
      <c r="C383" s="60"/>
    </row>
    <row r="384" spans="1:3" ht="13.15" x14ac:dyDescent="0.4">
      <c r="A384" s="41"/>
      <c r="B384" s="59" t="s">
        <v>1272</v>
      </c>
      <c r="C384" s="58">
        <v>1</v>
      </c>
    </row>
    <row r="385" spans="1:3" ht="13.15" x14ac:dyDescent="0.4">
      <c r="A385" s="41"/>
      <c r="B385" s="57" t="s">
        <v>1271</v>
      </c>
      <c r="C385" s="56">
        <v>0</v>
      </c>
    </row>
    <row r="386" spans="1:3" ht="13.15" x14ac:dyDescent="0.4">
      <c r="A386" s="41"/>
    </row>
    <row r="387" spans="1:3" ht="13.15" x14ac:dyDescent="0.4">
      <c r="A387" s="41" t="s">
        <v>1270</v>
      </c>
    </row>
    <row r="388" spans="1:3" ht="13.15" x14ac:dyDescent="0.4">
      <c r="A388" s="41"/>
      <c r="B388" s="42">
        <v>0.108</v>
      </c>
      <c r="C388" s="39" t="s">
        <v>1269</v>
      </c>
    </row>
    <row r="389" spans="1:3" ht="13.15" x14ac:dyDescent="0.4">
      <c r="A389" s="41"/>
    </row>
    <row r="390" spans="1:3" ht="13.15" x14ac:dyDescent="0.4">
      <c r="A390" s="41" t="s">
        <v>1268</v>
      </c>
    </row>
    <row r="391" spans="1:3" ht="13.15" x14ac:dyDescent="0.4">
      <c r="A391" s="41"/>
      <c r="B391" s="42">
        <v>0.27</v>
      </c>
      <c r="C391" s="39" t="s">
        <v>1267</v>
      </c>
    </row>
    <row r="392" spans="1:3" ht="13.15" x14ac:dyDescent="0.4">
      <c r="A392" s="41"/>
      <c r="B392" s="42">
        <v>6.5</v>
      </c>
      <c r="C392" s="39" t="s">
        <v>1266</v>
      </c>
    </row>
    <row r="393" spans="1:3" ht="13.15" x14ac:dyDescent="0.4">
      <c r="A393" s="41"/>
      <c r="B393" s="42">
        <v>1.5</v>
      </c>
      <c r="C393" s="39" t="s">
        <v>1265</v>
      </c>
    </row>
    <row r="394" spans="1:3" ht="13.15" x14ac:dyDescent="0.4">
      <c r="A394" s="41"/>
      <c r="B394" s="42">
        <v>0.41</v>
      </c>
      <c r="C394" s="39" t="s">
        <v>1264</v>
      </c>
    </row>
    <row r="395" spans="1:3" ht="13.15" x14ac:dyDescent="0.4">
      <c r="A395" s="41"/>
      <c r="B395" s="42">
        <v>4.2</v>
      </c>
      <c r="C395" s="39" t="s">
        <v>1263</v>
      </c>
    </row>
    <row r="396" spans="1:3" ht="13.15" x14ac:dyDescent="0.4">
      <c r="A396" s="41"/>
      <c r="B396" s="42">
        <v>1.64</v>
      </c>
      <c r="C396" s="39" t="s">
        <v>1262</v>
      </c>
    </row>
    <row r="397" spans="1:3" ht="13.15" x14ac:dyDescent="0.4">
      <c r="A397" s="41"/>
      <c r="B397" s="42">
        <v>1.1499999999999999</v>
      </c>
      <c r="C397" s="39" t="s">
        <v>1261</v>
      </c>
    </row>
    <row r="398" spans="1:3" ht="13.15" x14ac:dyDescent="0.4">
      <c r="A398" s="41"/>
      <c r="B398" s="42">
        <v>6.5</v>
      </c>
      <c r="C398" s="39" t="s">
        <v>1260</v>
      </c>
    </row>
    <row r="399" spans="1:3" ht="13.15" x14ac:dyDescent="0.4">
      <c r="A399" s="41"/>
      <c r="B399" s="42">
        <v>2</v>
      </c>
      <c r="C399" s="39" t="s">
        <v>1259</v>
      </c>
    </row>
    <row r="400" spans="1:3" ht="13.15" x14ac:dyDescent="0.4">
      <c r="A400" s="41"/>
      <c r="B400" s="42">
        <v>3.28</v>
      </c>
      <c r="C400" s="39" t="s">
        <v>1258</v>
      </c>
    </row>
    <row r="401" spans="1:3" ht="13.15" x14ac:dyDescent="0.4">
      <c r="A401" s="41"/>
    </row>
    <row r="402" spans="1:3" ht="13.15" x14ac:dyDescent="0.4">
      <c r="A402" s="41" t="s">
        <v>1257</v>
      </c>
    </row>
    <row r="403" spans="1:3" ht="13.15" x14ac:dyDescent="0.4">
      <c r="A403" s="41"/>
      <c r="B403" s="42">
        <v>23.907</v>
      </c>
      <c r="C403" s="39" t="s">
        <v>1256</v>
      </c>
    </row>
    <row r="404" spans="1:3" ht="13.15" x14ac:dyDescent="0.4">
      <c r="A404" s="41"/>
      <c r="B404" s="42">
        <v>7.3830000000000009</v>
      </c>
      <c r="C404" s="39" t="s">
        <v>1255</v>
      </c>
    </row>
    <row r="405" spans="1:3" ht="13.15" x14ac:dyDescent="0.4">
      <c r="A405" s="41"/>
      <c r="B405" s="42">
        <v>58.664999999999999</v>
      </c>
      <c r="C405" s="39" t="s">
        <v>1254</v>
      </c>
    </row>
    <row r="406" spans="1:3" ht="13.15" x14ac:dyDescent="0.4">
      <c r="A406" s="41"/>
      <c r="B406" s="42">
        <v>22.730999999999998</v>
      </c>
      <c r="C406" s="39" t="s">
        <v>1253</v>
      </c>
    </row>
    <row r="407" spans="1:3" ht="13.15" x14ac:dyDescent="0.4">
      <c r="A407" s="41"/>
      <c r="B407" s="42">
        <v>22.436</v>
      </c>
      <c r="C407" s="39" t="s">
        <v>1252</v>
      </c>
    </row>
    <row r="408" spans="1:3" ht="13.15" x14ac:dyDescent="0.4">
      <c r="A408" s="41"/>
      <c r="B408" s="42">
        <v>11.152999999999999</v>
      </c>
      <c r="C408" s="39" t="s">
        <v>1251</v>
      </c>
    </row>
    <row r="409" spans="1:3" ht="13.15" x14ac:dyDescent="0.4">
      <c r="A409" s="41"/>
      <c r="B409" s="42">
        <v>14.551000000000002</v>
      </c>
      <c r="C409" s="39" t="s">
        <v>1250</v>
      </c>
    </row>
    <row r="410" spans="1:3" ht="13.15" x14ac:dyDescent="0.4">
      <c r="A410" s="41"/>
      <c r="B410" s="42">
        <v>10.785</v>
      </c>
      <c r="C410" s="39" t="s">
        <v>1249</v>
      </c>
    </row>
    <row r="411" spans="1:3" ht="13.15" x14ac:dyDescent="0.4">
      <c r="A411" s="41"/>
      <c r="B411" s="42">
        <v>52.226999999999997</v>
      </c>
      <c r="C411" s="39" t="s">
        <v>1248</v>
      </c>
    </row>
    <row r="412" spans="1:3" ht="13.15" x14ac:dyDescent="0.4">
      <c r="A412" s="41"/>
      <c r="B412" s="42">
        <v>51.176000000000002</v>
      </c>
      <c r="C412" s="39" t="s">
        <v>1247</v>
      </c>
    </row>
    <row r="413" spans="1:3" ht="13.15" x14ac:dyDescent="0.4">
      <c r="A413" s="41"/>
      <c r="B413" s="42">
        <v>42.561999999999998</v>
      </c>
      <c r="C413" s="39" t="s">
        <v>1246</v>
      </c>
    </row>
    <row r="414" spans="1:3" ht="13.15" x14ac:dyDescent="0.4">
      <c r="A414" s="41"/>
      <c r="B414" s="42">
        <v>18.170000000000002</v>
      </c>
      <c r="C414" s="39" t="s">
        <v>1245</v>
      </c>
    </row>
    <row r="415" spans="1:3" ht="13.15" x14ac:dyDescent="0.4">
      <c r="A415" s="41"/>
      <c r="B415" s="42">
        <v>9.3180000000000014</v>
      </c>
      <c r="C415" s="39" t="s">
        <v>1244</v>
      </c>
    </row>
    <row r="416" spans="1:3" ht="13.15" x14ac:dyDescent="0.4">
      <c r="A416" s="41"/>
      <c r="B416" s="42">
        <v>27.152999999999999</v>
      </c>
      <c r="C416" s="39" t="s">
        <v>1243</v>
      </c>
    </row>
    <row r="417" spans="1:3" ht="13.15" x14ac:dyDescent="0.4">
      <c r="A417" s="41"/>
      <c r="B417" s="42">
        <v>24.370999999999999</v>
      </c>
      <c r="C417" s="39" t="s">
        <v>1242</v>
      </c>
    </row>
    <row r="418" spans="1:3" ht="13.15" x14ac:dyDescent="0.4">
      <c r="A418" s="41"/>
      <c r="B418" s="42">
        <v>18.348000000000003</v>
      </c>
      <c r="C418" s="39" t="s">
        <v>1241</v>
      </c>
    </row>
    <row r="419" spans="1:3" ht="13.15" x14ac:dyDescent="0.4">
      <c r="A419" s="41"/>
      <c r="B419" s="42">
        <v>0.64100000000000001</v>
      </c>
      <c r="C419" s="39" t="s">
        <v>1240</v>
      </c>
    </row>
    <row r="420" spans="1:3" ht="13.15" x14ac:dyDescent="0.4">
      <c r="A420" s="41"/>
      <c r="B420" s="42">
        <v>398.512</v>
      </c>
      <c r="C420" s="39" t="s">
        <v>330</v>
      </c>
    </row>
    <row r="421" spans="1:3" ht="13.15" x14ac:dyDescent="0.4">
      <c r="A421" s="41"/>
      <c r="B421" s="42">
        <v>3.01</v>
      </c>
      <c r="C421" s="39" t="s">
        <v>1239</v>
      </c>
    </row>
    <row r="422" spans="1:3" x14ac:dyDescent="0.35">
      <c r="B422" s="39">
        <v>3.698</v>
      </c>
      <c r="C422" s="39" t="s">
        <v>1238</v>
      </c>
    </row>
    <row r="423" spans="1:3" x14ac:dyDescent="0.35">
      <c r="B423" s="39">
        <v>11.007</v>
      </c>
      <c r="C423" s="39" t="s">
        <v>1237</v>
      </c>
    </row>
    <row r="424" spans="1:3" ht="13.15" x14ac:dyDescent="0.4">
      <c r="A424" s="41"/>
      <c r="B424" s="42">
        <v>7.8860000000000001</v>
      </c>
      <c r="C424" s="39" t="s">
        <v>1236</v>
      </c>
    </row>
    <row r="425" spans="1:3" ht="13.15" x14ac:dyDescent="0.4">
      <c r="A425" s="41"/>
      <c r="B425" s="42">
        <v>5.3140000000000001</v>
      </c>
      <c r="C425" s="39" t="s">
        <v>1235</v>
      </c>
    </row>
    <row r="426" spans="1:3" ht="13.15" x14ac:dyDescent="0.4">
      <c r="A426" s="41"/>
      <c r="B426" s="42">
        <v>1.798</v>
      </c>
      <c r="C426" s="39" t="s">
        <v>1234</v>
      </c>
    </row>
    <row r="427" spans="1:3" ht="13.15" x14ac:dyDescent="0.4">
      <c r="A427" s="41"/>
      <c r="B427" s="42">
        <v>6.274</v>
      </c>
      <c r="C427" s="39" t="s">
        <v>1226</v>
      </c>
    </row>
    <row r="428" spans="1:3" ht="13.15" x14ac:dyDescent="0.4">
      <c r="A428" s="41"/>
      <c r="B428" s="42">
        <v>1.6950000000000001</v>
      </c>
      <c r="C428" s="39" t="s">
        <v>1233</v>
      </c>
    </row>
    <row r="429" spans="1:3" ht="13.15" x14ac:dyDescent="0.4">
      <c r="A429" s="41"/>
      <c r="B429" s="42">
        <v>1.633</v>
      </c>
      <c r="C429" s="39" t="s">
        <v>1232</v>
      </c>
    </row>
    <row r="430" spans="1:3" ht="13.15" x14ac:dyDescent="0.4">
      <c r="A430" s="41"/>
      <c r="B430" s="42">
        <v>2.1680000000000001</v>
      </c>
      <c r="C430" s="39" t="s">
        <v>1231</v>
      </c>
    </row>
    <row r="431" spans="1:3" ht="13.15" x14ac:dyDescent="0.4">
      <c r="A431" s="41"/>
      <c r="B431" s="42">
        <v>6.1849999999999996</v>
      </c>
      <c r="C431" s="39" t="s">
        <v>1230</v>
      </c>
    </row>
    <row r="432" spans="1:3" ht="13.15" x14ac:dyDescent="0.4">
      <c r="A432" s="41"/>
      <c r="B432" s="42">
        <v>3.8029999999999999</v>
      </c>
      <c r="C432" s="39" t="s">
        <v>1225</v>
      </c>
    </row>
    <row r="433" spans="1:6" ht="13.15" x14ac:dyDescent="0.4">
      <c r="A433" s="41"/>
      <c r="B433" s="42">
        <v>2.4740000000000002</v>
      </c>
      <c r="C433" s="39" t="s">
        <v>1229</v>
      </c>
    </row>
    <row r="434" spans="1:6" ht="13.15" x14ac:dyDescent="0.4">
      <c r="A434" s="41"/>
    </row>
    <row r="435" spans="1:6" ht="13.15" x14ac:dyDescent="0.4">
      <c r="A435" s="41" t="s">
        <v>1228</v>
      </c>
    </row>
    <row r="436" spans="1:6" ht="13.15" x14ac:dyDescent="0.4">
      <c r="A436" s="41"/>
      <c r="B436" s="42">
        <v>33.854999999999997</v>
      </c>
      <c r="C436" s="39" t="s">
        <v>1227</v>
      </c>
    </row>
    <row r="437" spans="1:6" ht="13.15" x14ac:dyDescent="0.4">
      <c r="A437" s="41"/>
      <c r="B437" s="42">
        <v>6.274</v>
      </c>
      <c r="C437" s="39" t="s">
        <v>1226</v>
      </c>
    </row>
    <row r="438" spans="1:6" ht="13.15" x14ac:dyDescent="0.4">
      <c r="A438" s="41"/>
      <c r="B438" s="42">
        <v>3.8029999999999999</v>
      </c>
      <c r="C438" s="39" t="s">
        <v>1225</v>
      </c>
    </row>
    <row r="439" spans="1:6" ht="13.15" x14ac:dyDescent="0.4">
      <c r="A439" s="41"/>
    </row>
    <row r="440" spans="1:6" ht="13.15" x14ac:dyDescent="0.4">
      <c r="A440" s="41" t="s">
        <v>1224</v>
      </c>
    </row>
    <row r="441" spans="1:6" ht="13.15" x14ac:dyDescent="0.4">
      <c r="A441" s="41"/>
      <c r="B441" s="55" t="s">
        <v>1223</v>
      </c>
      <c r="C441" s="2189" t="s">
        <v>1222</v>
      </c>
      <c r="D441" s="2190"/>
      <c r="E441" s="2189" t="s">
        <v>1221</v>
      </c>
      <c r="F441" s="2190"/>
    </row>
    <row r="442" spans="1:6" ht="13.15" x14ac:dyDescent="0.4">
      <c r="A442" s="41"/>
      <c r="B442" s="46" t="s">
        <v>1220</v>
      </c>
      <c r="C442" s="53" t="s">
        <v>1219</v>
      </c>
      <c r="D442" s="51" t="s">
        <v>1218</v>
      </c>
      <c r="E442" s="52" t="s">
        <v>1219</v>
      </c>
      <c r="F442" s="51" t="s">
        <v>1218</v>
      </c>
    </row>
    <row r="443" spans="1:6" ht="13.15" x14ac:dyDescent="0.4">
      <c r="A443" s="41"/>
      <c r="B443" s="50" t="s">
        <v>1217</v>
      </c>
      <c r="C443" s="49">
        <v>140.16</v>
      </c>
      <c r="D443" s="47">
        <v>73424.100000000006</v>
      </c>
      <c r="E443" s="48">
        <v>2.262</v>
      </c>
      <c r="F443" s="47">
        <v>2.262</v>
      </c>
    </row>
    <row r="444" spans="1:6" ht="13.15" x14ac:dyDescent="0.4">
      <c r="A444" s="41"/>
      <c r="B444" s="50" t="s">
        <v>1216</v>
      </c>
      <c r="C444" s="49">
        <v>96.89</v>
      </c>
      <c r="D444" s="47">
        <v>50759.34</v>
      </c>
      <c r="E444" s="48"/>
      <c r="F444" s="47"/>
    </row>
    <row r="445" spans="1:6" ht="13.15" x14ac:dyDescent="0.4">
      <c r="A445" s="41"/>
      <c r="B445" s="50" t="s">
        <v>1215</v>
      </c>
      <c r="C445" s="49">
        <v>114.24</v>
      </c>
      <c r="D445" s="47">
        <v>59843.57</v>
      </c>
      <c r="E445" s="48"/>
      <c r="F445" s="47"/>
    </row>
    <row r="446" spans="1:6" ht="13.15" x14ac:dyDescent="0.4">
      <c r="A446" s="41"/>
      <c r="B446" s="46" t="s">
        <v>1214</v>
      </c>
      <c r="C446" s="45">
        <v>52.92</v>
      </c>
      <c r="D446" s="43">
        <v>27720.97</v>
      </c>
      <c r="E446" s="44">
        <v>11.72</v>
      </c>
      <c r="F446" s="43">
        <v>56879</v>
      </c>
    </row>
    <row r="447" spans="1:6" ht="13.15" x14ac:dyDescent="0.4">
      <c r="A447" s="41"/>
    </row>
    <row r="448" spans="1:6" ht="12.75" hidden="1" customHeight="1" x14ac:dyDescent="0.4">
      <c r="A448" s="41" t="s">
        <v>1213</v>
      </c>
      <c r="F448" s="39" t="s">
        <v>1212</v>
      </c>
    </row>
    <row r="449" spans="1:6" ht="12.75" hidden="1" customHeight="1" x14ac:dyDescent="0.4">
      <c r="A449" s="41"/>
      <c r="B449" s="39">
        <v>0</v>
      </c>
      <c r="C449" s="39" t="s">
        <v>1198</v>
      </c>
      <c r="F449" s="39" t="s">
        <v>1211</v>
      </c>
    </row>
    <row r="450" spans="1:6" ht="12.75" hidden="1" customHeight="1" x14ac:dyDescent="0.4">
      <c r="A450" s="41"/>
      <c r="B450" s="39">
        <v>0</v>
      </c>
      <c r="C450" s="39" t="s">
        <v>1210</v>
      </c>
      <c r="F450" s="39" t="s">
        <v>1209</v>
      </c>
    </row>
    <row r="451" spans="1:6" ht="13.5" hidden="1" customHeight="1" thickBot="1" x14ac:dyDescent="0.45">
      <c r="A451" s="41"/>
      <c r="B451" s="39">
        <v>0</v>
      </c>
      <c r="C451" s="39" t="s">
        <v>1208</v>
      </c>
      <c r="F451" s="39" t="s">
        <v>1207</v>
      </c>
    </row>
    <row r="452" spans="1:6" ht="12.75" hidden="1" customHeight="1" x14ac:dyDescent="0.4">
      <c r="A452" s="41"/>
      <c r="F452" s="39" t="s">
        <v>1206</v>
      </c>
    </row>
    <row r="453" spans="1:6" ht="12.75" hidden="1" customHeight="1" x14ac:dyDescent="0.4">
      <c r="A453" s="41" t="s">
        <v>1205</v>
      </c>
    </row>
    <row r="454" spans="1:6" ht="12.75" hidden="1" customHeight="1" x14ac:dyDescent="0.4">
      <c r="A454" s="41"/>
      <c r="B454" s="39">
        <v>34</v>
      </c>
      <c r="C454" s="39" t="s">
        <v>1198</v>
      </c>
    </row>
    <row r="455" spans="1:6" ht="12.75" hidden="1" customHeight="1" x14ac:dyDescent="0.4">
      <c r="A455" s="41"/>
      <c r="B455" s="39">
        <v>100</v>
      </c>
      <c r="C455" s="39" t="s">
        <v>1204</v>
      </c>
    </row>
    <row r="456" spans="1:6" ht="13.5" hidden="1" customHeight="1" thickBot="1" x14ac:dyDescent="0.45">
      <c r="A456" s="41"/>
      <c r="B456" s="39">
        <v>0</v>
      </c>
      <c r="C456" s="39" t="s">
        <v>1203</v>
      </c>
    </row>
    <row r="457" spans="1:6" ht="12.75" hidden="1" customHeight="1" x14ac:dyDescent="0.4">
      <c r="A457" s="41"/>
    </row>
    <row r="458" spans="1:6" ht="12.75" hidden="1" customHeight="1" x14ac:dyDescent="0.4">
      <c r="A458" s="41" t="s">
        <v>1202</v>
      </c>
    </row>
    <row r="459" spans="1:6" ht="12.75" hidden="1" customHeight="1" x14ac:dyDescent="0.4">
      <c r="A459" s="41"/>
      <c r="B459" s="39">
        <v>0</v>
      </c>
      <c r="C459" s="39" t="s">
        <v>1198</v>
      </c>
    </row>
    <row r="460" spans="1:6" ht="12.75" hidden="1" customHeight="1" x14ac:dyDescent="0.4">
      <c r="A460" s="41"/>
      <c r="B460" s="39">
        <v>0</v>
      </c>
      <c r="C460" s="39" t="s">
        <v>1201</v>
      </c>
    </row>
    <row r="461" spans="1:6" ht="13.5" hidden="1" customHeight="1" thickBot="1" x14ac:dyDescent="0.45">
      <c r="A461" s="41"/>
      <c r="B461" s="39">
        <v>0</v>
      </c>
      <c r="C461" s="39" t="s">
        <v>1200</v>
      </c>
    </row>
    <row r="462" spans="1:6" ht="12.75" hidden="1" customHeight="1" x14ac:dyDescent="0.4">
      <c r="A462" s="41"/>
    </row>
    <row r="463" spans="1:6" ht="12.75" hidden="1" customHeight="1" x14ac:dyDescent="0.4">
      <c r="A463" s="41" t="s">
        <v>1199</v>
      </c>
    </row>
    <row r="464" spans="1:6" ht="12.75" hidden="1" customHeight="1" x14ac:dyDescent="0.4">
      <c r="A464" s="41"/>
      <c r="B464" s="39">
        <v>0</v>
      </c>
      <c r="C464" s="39" t="s">
        <v>1198</v>
      </c>
    </row>
    <row r="465" spans="1:3" ht="12.75" hidden="1" customHeight="1" x14ac:dyDescent="0.4">
      <c r="A465" s="41"/>
      <c r="B465" s="39">
        <v>0</v>
      </c>
      <c r="C465" s="39" t="s">
        <v>1197</v>
      </c>
    </row>
    <row r="466" spans="1:3" ht="13.5" hidden="1" customHeight="1" thickBot="1" x14ac:dyDescent="0.45">
      <c r="A466" s="41"/>
      <c r="B466" s="39">
        <v>0</v>
      </c>
      <c r="C466" s="39" t="s">
        <v>1196</v>
      </c>
    </row>
    <row r="467" spans="1:3" ht="12.75" hidden="1" customHeight="1" x14ac:dyDescent="0.4">
      <c r="A467" s="41"/>
    </row>
    <row r="468" spans="1:3" ht="13.15" x14ac:dyDescent="0.4">
      <c r="A468" s="41" t="s">
        <v>1195</v>
      </c>
    </row>
    <row r="469" spans="1:3" ht="13.15" x14ac:dyDescent="0.4">
      <c r="A469" s="41"/>
      <c r="B469" s="42">
        <v>4.3330000000000002</v>
      </c>
      <c r="C469" s="39" t="s">
        <v>1194</v>
      </c>
    </row>
    <row r="470" spans="1:3" ht="13.15" x14ac:dyDescent="0.4">
      <c r="A470" s="41"/>
      <c r="B470" s="42">
        <v>108.31399999999999</v>
      </c>
      <c r="C470" s="39" t="s">
        <v>1193</v>
      </c>
    </row>
    <row r="471" spans="1:3" ht="13.15" x14ac:dyDescent="0.4">
      <c r="A471" s="41"/>
      <c r="B471" s="42">
        <v>0</v>
      </c>
      <c r="C471" s="39" t="s">
        <v>1192</v>
      </c>
    </row>
    <row r="472" spans="1:3" ht="13.15" x14ac:dyDescent="0.4">
      <c r="A472" s="41"/>
    </row>
    <row r="473" spans="1:3" ht="13.15" x14ac:dyDescent="0.4">
      <c r="A473" s="41" t="s">
        <v>1191</v>
      </c>
    </row>
    <row r="474" spans="1:3" ht="13.15" x14ac:dyDescent="0.4">
      <c r="A474" s="41"/>
      <c r="B474" s="42">
        <v>3.72</v>
      </c>
      <c r="C474" s="39" t="s">
        <v>1190</v>
      </c>
    </row>
    <row r="475" spans="1:3" ht="13.15" x14ac:dyDescent="0.4">
      <c r="A475" s="41"/>
      <c r="B475" s="42">
        <v>86.4</v>
      </c>
      <c r="C475" s="39" t="s">
        <v>1189</v>
      </c>
    </row>
    <row r="476" spans="1:3" ht="13.15" x14ac:dyDescent="0.4">
      <c r="A476" s="41"/>
    </row>
    <row r="477" spans="1:3" ht="13.15" x14ac:dyDescent="0.4">
      <c r="A477" s="41" t="s">
        <v>1188</v>
      </c>
    </row>
    <row r="478" spans="1:3" ht="13.15" x14ac:dyDescent="0.4">
      <c r="A478" s="41"/>
      <c r="B478" s="42">
        <v>12.295999999999999</v>
      </c>
      <c r="C478" s="39" t="s">
        <v>1187</v>
      </c>
    </row>
    <row r="479" spans="1:3" ht="13.15" x14ac:dyDescent="0.4">
      <c r="A479" s="41"/>
      <c r="B479" s="42">
        <v>12.038</v>
      </c>
      <c r="C479" s="39" t="s">
        <v>1186</v>
      </c>
    </row>
    <row r="480" spans="1:3" ht="13.15" x14ac:dyDescent="0.4">
      <c r="A480" s="41"/>
      <c r="B480" s="42">
        <v>81.685000000000002</v>
      </c>
      <c r="C480" s="39" t="s">
        <v>1185</v>
      </c>
    </row>
    <row r="481" spans="1:3" ht="13.15" x14ac:dyDescent="0.4">
      <c r="A481" s="41"/>
    </row>
    <row r="482" spans="1:3" ht="13.15" x14ac:dyDescent="0.4">
      <c r="A482" s="41" t="s">
        <v>1184</v>
      </c>
    </row>
    <row r="483" spans="1:3" x14ac:dyDescent="0.35">
      <c r="B483" s="42">
        <v>29.654</v>
      </c>
      <c r="C483" s="39" t="s">
        <v>1183</v>
      </c>
    </row>
    <row r="485" spans="1:3" ht="13.15" x14ac:dyDescent="0.4">
      <c r="A485" s="41" t="s">
        <v>1182</v>
      </c>
    </row>
    <row r="486" spans="1:3" x14ac:dyDescent="0.35">
      <c r="B486" s="40">
        <v>260</v>
      </c>
      <c r="C486" s="39" t="s">
        <v>1181</v>
      </c>
    </row>
    <row r="487" spans="1:3" x14ac:dyDescent="0.35">
      <c r="B487" s="40">
        <v>13.1</v>
      </c>
      <c r="C487" s="39" t="s">
        <v>1180</v>
      </c>
    </row>
    <row r="488" spans="1:3" x14ac:dyDescent="0.35">
      <c r="B488" s="40">
        <v>9</v>
      </c>
      <c r="C488" s="39" t="s">
        <v>1179</v>
      </c>
    </row>
  </sheetData>
  <mergeCells count="4">
    <mergeCell ref="C281:G281"/>
    <mergeCell ref="H281:L281"/>
    <mergeCell ref="C441:D441"/>
    <mergeCell ref="E441:F441"/>
  </mergeCells>
  <dataValidations count="2">
    <dataValidation type="list" allowBlank="1" showInputMessage="1" showErrorMessage="1" sqref="F263 B263 B291" xr:uid="{00000000-0002-0000-4500-000000000000}">
      <formula1>"1,2"</formula1>
    </dataValidation>
    <dataValidation type="list" allowBlank="1" showInputMessage="1" showErrorMessage="1" sqref="B267 B274" xr:uid="{00000000-0002-0000-4500-000001000000}">
      <formula1>"1,2,3,4,5"</formula1>
    </dataValidation>
  </dataValidations>
  <pageMargins left="0.75" right="0.75" top="1" bottom="1" header="0.5" footer="0.5"/>
  <pageSetup paperSize="9" orientation="landscape" r:id="rId1"/>
  <headerFooter alignWithMargins="0"/>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autoPageBreaks="0"/>
  </sheetPr>
  <dimension ref="A1:BZ43"/>
  <sheetViews>
    <sheetView showGridLines="0" zoomScale="85" zoomScaleNormal="85" workbookViewId="0">
      <selection activeCell="G1" sqref="G1"/>
    </sheetView>
  </sheetViews>
  <sheetFormatPr defaultColWidth="9.1328125" defaultRowHeight="12.75" x14ac:dyDescent="0.35"/>
  <cols>
    <col min="1" max="1" width="20.46484375" style="39" customWidth="1"/>
    <col min="2" max="12" width="8.46484375" style="39" customWidth="1"/>
    <col min="13" max="21" width="7.86328125" style="39" customWidth="1"/>
    <col min="22" max="24" width="9.19921875" style="39" bestFit="1" customWidth="1"/>
    <col min="25" max="25" width="9.19921875" style="39" customWidth="1"/>
    <col min="26" max="26" width="7.46484375" style="39" customWidth="1"/>
    <col min="27" max="37" width="8.46484375" style="39" customWidth="1"/>
    <col min="38" max="40" width="8.796875" style="39" customWidth="1"/>
    <col min="41" max="41" width="10.46484375" style="39" bestFit="1" customWidth="1"/>
    <col min="42" max="42" width="12.796875" style="39" bestFit="1" customWidth="1"/>
    <col min="43" max="46" width="9.19921875" style="39" bestFit="1" customWidth="1"/>
    <col min="47" max="47" width="10.19921875" style="39" bestFit="1" customWidth="1"/>
    <col min="48" max="50" width="9.19921875" style="39" bestFit="1" customWidth="1"/>
    <col min="51" max="55" width="8.796875" style="39" customWidth="1"/>
    <col min="56" max="62" width="9.19921875" style="39" bestFit="1" customWidth="1"/>
    <col min="63" max="63" width="10.19921875" style="39" bestFit="1" customWidth="1"/>
    <col min="64" max="64" width="9.19921875" style="39" bestFit="1" customWidth="1"/>
    <col min="65" max="16384" width="9.1328125" style="39"/>
  </cols>
  <sheetData>
    <row r="1" spans="1:78" ht="15" x14ac:dyDescent="0.4">
      <c r="A1" s="140" t="s">
        <v>1625</v>
      </c>
      <c r="G1" s="230" t="s">
        <v>1626</v>
      </c>
    </row>
    <row r="3" spans="1:78" ht="13.9" x14ac:dyDescent="0.4">
      <c r="A3" s="72" t="s">
        <v>1624</v>
      </c>
    </row>
    <row r="4" spans="1:78" ht="38.25" x14ac:dyDescent="0.35">
      <c r="A4" s="61"/>
      <c r="B4" s="134" t="s">
        <v>1623</v>
      </c>
      <c r="C4" s="133" t="s">
        <v>1622</v>
      </c>
    </row>
    <row r="5" spans="1:78" x14ac:dyDescent="0.35">
      <c r="A5" s="59" t="s">
        <v>234</v>
      </c>
      <c r="B5" s="254">
        <v>0.73599999999999999</v>
      </c>
      <c r="C5" s="253">
        <v>0.26400000000000001</v>
      </c>
    </row>
    <row r="6" spans="1:78" x14ac:dyDescent="0.35">
      <c r="A6" s="59" t="s">
        <v>289</v>
      </c>
      <c r="B6" s="254">
        <v>0.89</v>
      </c>
      <c r="C6" s="253">
        <v>0.10999999999999999</v>
      </c>
    </row>
    <row r="7" spans="1:78" x14ac:dyDescent="0.35">
      <c r="A7" s="59" t="s">
        <v>290</v>
      </c>
      <c r="B7" s="254">
        <v>0.15</v>
      </c>
      <c r="C7" s="253">
        <v>0.85</v>
      </c>
    </row>
    <row r="8" spans="1:78" x14ac:dyDescent="0.35">
      <c r="A8" s="59" t="s">
        <v>236</v>
      </c>
      <c r="B8" s="254">
        <v>0.27</v>
      </c>
      <c r="C8" s="253">
        <v>0.73</v>
      </c>
    </row>
    <row r="9" spans="1:78" x14ac:dyDescent="0.35">
      <c r="A9" s="59" t="s">
        <v>237</v>
      </c>
      <c r="B9" s="254">
        <v>0.56000000000000005</v>
      </c>
      <c r="C9" s="253">
        <v>0.43999999999999995</v>
      </c>
    </row>
    <row r="10" spans="1:78" x14ac:dyDescent="0.35">
      <c r="A10" s="57" t="s">
        <v>1427</v>
      </c>
      <c r="B10" s="252">
        <v>0.47899999999999998</v>
      </c>
      <c r="C10" s="251">
        <v>0.52100000000000002</v>
      </c>
    </row>
    <row r="12" spans="1:78" ht="13.9" x14ac:dyDescent="0.4">
      <c r="A12" s="72" t="s">
        <v>1621</v>
      </c>
    </row>
    <row r="13" spans="1:78" s="244" customFormat="1" ht="90.75" customHeight="1" x14ac:dyDescent="0.45">
      <c r="A13" s="250"/>
      <c r="B13" s="247" t="s">
        <v>1620</v>
      </c>
      <c r="C13" s="247" t="s">
        <v>1420</v>
      </c>
      <c r="D13" s="247" t="s">
        <v>1619</v>
      </c>
      <c r="E13" s="246" t="s">
        <v>287</v>
      </c>
      <c r="F13" s="245" t="s">
        <v>288</v>
      </c>
      <c r="G13" s="247" t="s">
        <v>1618</v>
      </c>
      <c r="H13" s="247" t="s">
        <v>1617</v>
      </c>
      <c r="I13" s="246" t="s">
        <v>1616</v>
      </c>
      <c r="J13" s="247" t="s">
        <v>1399</v>
      </c>
      <c r="K13" s="247" t="s">
        <v>1398</v>
      </c>
      <c r="L13" s="246" t="s">
        <v>1615</v>
      </c>
      <c r="M13" s="248" t="s">
        <v>1307</v>
      </c>
      <c r="N13" s="247" t="s">
        <v>1306</v>
      </c>
      <c r="O13" s="246" t="s">
        <v>1614</v>
      </c>
      <c r="P13" s="248" t="s">
        <v>1613</v>
      </c>
      <c r="Q13" s="247" t="s">
        <v>1300</v>
      </c>
      <c r="R13" s="246" t="s">
        <v>1612</v>
      </c>
      <c r="S13" s="248" t="s">
        <v>1611</v>
      </c>
      <c r="T13" s="247" t="s">
        <v>1298</v>
      </c>
      <c r="U13" s="246" t="s">
        <v>1610</v>
      </c>
      <c r="V13" s="245" t="s">
        <v>1609</v>
      </c>
      <c r="W13" s="246" t="s">
        <v>1608</v>
      </c>
      <c r="X13" s="246" t="s">
        <v>1607</v>
      </c>
      <c r="Y13" s="246" t="s">
        <v>1606</v>
      </c>
      <c r="Z13" s="246" t="s">
        <v>238</v>
      </c>
      <c r="AA13" s="246" t="s">
        <v>241</v>
      </c>
      <c r="AB13" s="248" t="s">
        <v>1605</v>
      </c>
      <c r="AC13" s="247" t="s">
        <v>1604</v>
      </c>
      <c r="AD13" s="246" t="s">
        <v>1603</v>
      </c>
      <c r="AE13" s="246" t="s">
        <v>1269</v>
      </c>
      <c r="AF13" s="248" t="s">
        <v>242</v>
      </c>
      <c r="AG13" s="246" t="s">
        <v>1602</v>
      </c>
      <c r="AH13" s="248" t="s">
        <v>1601</v>
      </c>
      <c r="AI13" s="246" t="s">
        <v>1600</v>
      </c>
      <c r="AJ13" s="248" t="s">
        <v>1599</v>
      </c>
      <c r="AK13" s="247" t="s">
        <v>1490</v>
      </c>
      <c r="AL13" s="247" t="s">
        <v>1598</v>
      </c>
      <c r="AM13" s="247" t="s">
        <v>1597</v>
      </c>
      <c r="AN13" s="246" t="s">
        <v>1596</v>
      </c>
      <c r="AO13" s="245" t="s">
        <v>239</v>
      </c>
      <c r="AP13" s="245" t="s">
        <v>1486</v>
      </c>
      <c r="AQ13" s="245" t="s">
        <v>1595</v>
      </c>
      <c r="AR13" s="245" t="s">
        <v>1594</v>
      </c>
      <c r="AS13" s="245" t="s">
        <v>1593</v>
      </c>
      <c r="AT13" s="245" t="s">
        <v>1592</v>
      </c>
      <c r="AU13" s="245" t="s">
        <v>1591</v>
      </c>
      <c r="AV13" s="245" t="s">
        <v>1590</v>
      </c>
      <c r="AW13" s="245" t="s">
        <v>1589</v>
      </c>
      <c r="AX13" s="245" t="s">
        <v>1588</v>
      </c>
      <c r="AY13" s="248" t="s">
        <v>330</v>
      </c>
      <c r="AZ13" s="246" t="s">
        <v>1488</v>
      </c>
      <c r="BA13" s="248" t="s">
        <v>1587</v>
      </c>
      <c r="BB13" s="247" t="s">
        <v>1186</v>
      </c>
      <c r="BC13" s="246" t="s">
        <v>1185</v>
      </c>
      <c r="BD13" s="248" t="s">
        <v>1627</v>
      </c>
      <c r="BE13" s="247" t="s">
        <v>1585</v>
      </c>
      <c r="BF13" s="247" t="s">
        <v>1584</v>
      </c>
      <c r="BG13" s="247" t="s">
        <v>1583</v>
      </c>
      <c r="BH13" s="247" t="s">
        <v>1582</v>
      </c>
      <c r="BI13" s="247" t="s">
        <v>1581</v>
      </c>
      <c r="BJ13" s="247" t="s">
        <v>1580</v>
      </c>
      <c r="BK13" s="247" t="s">
        <v>1579</v>
      </c>
      <c r="BL13" s="247" t="s">
        <v>1578</v>
      </c>
      <c r="BM13" s="247" t="s">
        <v>1577</v>
      </c>
      <c r="BN13" s="247" t="s">
        <v>1576</v>
      </c>
      <c r="BO13" s="249" t="s">
        <v>307</v>
      </c>
      <c r="BP13" s="246" t="s">
        <v>1575</v>
      </c>
      <c r="BQ13" s="245" t="s">
        <v>1574</v>
      </c>
      <c r="BR13" s="245" t="s">
        <v>1573</v>
      </c>
      <c r="BS13" s="248" t="s">
        <v>1628</v>
      </c>
      <c r="BT13" s="247" t="s">
        <v>1571</v>
      </c>
      <c r="BU13" s="246" t="s">
        <v>1570</v>
      </c>
      <c r="BV13" s="245" t="s">
        <v>1569</v>
      </c>
      <c r="BW13" s="245" t="s">
        <v>1568</v>
      </c>
      <c r="BX13" s="245" t="s">
        <v>1485</v>
      </c>
      <c r="BY13" s="245" t="s">
        <v>1567</v>
      </c>
      <c r="BZ13" s="245" t="s">
        <v>1566</v>
      </c>
    </row>
    <row r="14" spans="1:78" ht="13.15" x14ac:dyDescent="0.4">
      <c r="A14" s="178" t="s">
        <v>1565</v>
      </c>
      <c r="B14" s="134"/>
      <c r="C14" s="134"/>
      <c r="D14" s="134"/>
      <c r="E14" s="133"/>
      <c r="F14" s="242"/>
      <c r="G14" s="134"/>
      <c r="H14" s="134"/>
      <c r="I14" s="133"/>
      <c r="J14" s="134"/>
      <c r="K14" s="134"/>
      <c r="L14" s="133"/>
      <c r="M14" s="243"/>
      <c r="N14" s="134"/>
      <c r="O14" s="133"/>
      <c r="P14" s="243"/>
      <c r="Q14" s="134"/>
      <c r="R14" s="133"/>
      <c r="S14" s="243"/>
      <c r="T14" s="134"/>
      <c r="U14" s="133"/>
      <c r="V14" s="242"/>
      <c r="W14" s="242"/>
      <c r="X14" s="242"/>
      <c r="Y14" s="242"/>
      <c r="Z14" s="133"/>
      <c r="AA14" s="133"/>
      <c r="AB14" s="134"/>
      <c r="AC14" s="134"/>
      <c r="AD14" s="133"/>
      <c r="AE14" s="133"/>
      <c r="AF14" s="243"/>
      <c r="AG14" s="133"/>
      <c r="AH14" s="243"/>
      <c r="AI14" s="133"/>
      <c r="AJ14" s="243"/>
      <c r="AK14" s="134"/>
      <c r="AL14" s="134"/>
      <c r="AM14" s="134"/>
      <c r="AN14" s="133"/>
      <c r="AO14" s="242"/>
      <c r="AP14" s="242"/>
      <c r="AQ14" s="242"/>
      <c r="AR14" s="242"/>
      <c r="AS14" s="242"/>
      <c r="AT14" s="242"/>
      <c r="AU14" s="242"/>
      <c r="AV14" s="242"/>
      <c r="AW14" s="242"/>
      <c r="AX14" s="242"/>
      <c r="AY14" s="243"/>
      <c r="AZ14" s="133"/>
      <c r="BA14" s="243"/>
      <c r="BB14" s="134"/>
      <c r="BC14" s="133"/>
      <c r="BD14" s="243"/>
      <c r="BE14" s="134"/>
      <c r="BF14" s="134"/>
      <c r="BG14" s="134"/>
      <c r="BH14" s="134"/>
      <c r="BI14" s="134"/>
      <c r="BJ14" s="134"/>
      <c r="BK14" s="134"/>
      <c r="BL14" s="134"/>
      <c r="BM14" s="134"/>
      <c r="BN14" s="134"/>
      <c r="BP14" s="133"/>
      <c r="BQ14" s="242"/>
      <c r="BR14" s="242"/>
      <c r="BS14" s="243"/>
      <c r="BT14" s="134"/>
      <c r="BU14" s="133"/>
      <c r="BV14" s="242"/>
      <c r="BW14" s="242"/>
      <c r="BX14" s="242"/>
      <c r="BY14" s="242"/>
      <c r="BZ14" s="242"/>
    </row>
    <row r="15" spans="1:78" x14ac:dyDescent="0.35">
      <c r="A15" s="50" t="s">
        <v>1537</v>
      </c>
      <c r="B15" s="145">
        <v>1.4845165109651757E-2</v>
      </c>
      <c r="C15" s="145">
        <v>9.0334852841679556E-3</v>
      </c>
      <c r="D15" s="145">
        <v>1.3310881635724033E-2</v>
      </c>
      <c r="E15" s="144">
        <v>1.2387435215127252E-2</v>
      </c>
      <c r="F15" s="146">
        <v>1.490054128033816E-2</v>
      </c>
      <c r="G15" s="145">
        <v>9.1173232108802377E-2</v>
      </c>
      <c r="H15" s="145">
        <v>1.4204437637990943E-2</v>
      </c>
      <c r="I15" s="144">
        <v>8.2706664717013129E-2</v>
      </c>
      <c r="J15" s="145">
        <v>0.10098713849110785</v>
      </c>
      <c r="K15" s="145">
        <v>1.6168607328708513E-2</v>
      </c>
      <c r="L15" s="144">
        <v>2.8891387003068411E-2</v>
      </c>
      <c r="M15" s="232">
        <v>1.1538717374842154E-2</v>
      </c>
      <c r="N15" s="145">
        <v>2.1150271173581247E-3</v>
      </c>
      <c r="O15" s="144">
        <v>4.6594234868788127E-3</v>
      </c>
      <c r="P15" s="232">
        <v>5.5983314500536535E-2</v>
      </c>
      <c r="Q15" s="145">
        <v>9.6403327249627926E-3</v>
      </c>
      <c r="R15" s="144">
        <v>3.559240251928409E-2</v>
      </c>
      <c r="S15" s="232">
        <v>3.9214189899042982E-2</v>
      </c>
      <c r="T15" s="145">
        <v>1.4867091985376927E-3</v>
      </c>
      <c r="U15" s="144">
        <v>2.2614098390820656E-2</v>
      </c>
      <c r="V15" s="146">
        <v>5.5983314500536535E-2</v>
      </c>
      <c r="W15" s="146">
        <v>0.11372551691617978</v>
      </c>
      <c r="X15" s="146">
        <v>5.3624637760933326E-2</v>
      </c>
      <c r="Y15" s="146">
        <v>0.13117819220601701</v>
      </c>
      <c r="Z15" s="144">
        <v>1.9121111804492677E-2</v>
      </c>
      <c r="AA15" s="144">
        <v>1.8551985584717472E-2</v>
      </c>
      <c r="AB15" s="145">
        <v>0.11088847370172675</v>
      </c>
      <c r="AC15" s="145">
        <v>6.8901918134551959E-3</v>
      </c>
      <c r="AD15" s="144">
        <v>5.6705368837937267E-2</v>
      </c>
      <c r="AE15" s="144">
        <v>2.6077466347304307E-4</v>
      </c>
      <c r="AF15" s="232">
        <v>9.8202403637431337E-3</v>
      </c>
      <c r="AG15" s="144">
        <v>1.1427521257957707E-2</v>
      </c>
      <c r="AH15" s="232">
        <v>3.4810290702326691E-2</v>
      </c>
      <c r="AI15" s="144">
        <v>3.3141191842256147E-2</v>
      </c>
      <c r="AJ15" s="232">
        <v>3.379022286889851E-2</v>
      </c>
      <c r="AK15" s="145">
        <v>3.7774887942110563E-2</v>
      </c>
      <c r="AL15" s="145">
        <v>3.6971427488878994E-2</v>
      </c>
      <c r="AM15" s="145">
        <v>0.13578299718341041</v>
      </c>
      <c r="AN15" s="144">
        <v>0.22769325443976066</v>
      </c>
      <c r="AO15" s="146">
        <v>2.3667813660998689E-2</v>
      </c>
      <c r="AP15" s="146">
        <v>0.49193418879001921</v>
      </c>
      <c r="AQ15" s="146">
        <v>0</v>
      </c>
      <c r="AR15" s="146">
        <v>9.0338147955964204E-2</v>
      </c>
      <c r="AS15" s="146">
        <v>0</v>
      </c>
      <c r="AT15" s="146">
        <v>0</v>
      </c>
      <c r="AU15" s="146">
        <v>0.11673335635638499</v>
      </c>
      <c r="AV15" s="146">
        <v>6.4501381778806627E-3</v>
      </c>
      <c r="AW15" s="146">
        <v>5.2141103044820204E-2</v>
      </c>
      <c r="AX15" s="146">
        <v>1.1427521257957707E-2</v>
      </c>
      <c r="AY15" s="232">
        <v>0.25574642402487591</v>
      </c>
      <c r="AZ15" s="144">
        <v>0.89511248408706567</v>
      </c>
      <c r="BA15" s="232">
        <v>9.2338247521732836E-3</v>
      </c>
      <c r="BB15" s="145">
        <v>9.0400766400993825E-3</v>
      </c>
      <c r="BC15" s="144">
        <v>4.8418908356222853E-2</v>
      </c>
      <c r="BD15" s="232">
        <v>1.6727685061662778E-2</v>
      </c>
      <c r="BE15" s="145">
        <v>9.6232654809440016E-2</v>
      </c>
      <c r="BF15" s="145">
        <v>0.10253318307706882</v>
      </c>
      <c r="BG15" s="145">
        <v>0.1039432506146664</v>
      </c>
      <c r="BH15" s="145">
        <v>0.106849024693837</v>
      </c>
      <c r="BI15" s="145">
        <v>8.7198866120859586E-2</v>
      </c>
      <c r="BJ15" s="145">
        <v>4.6883023918482113E-2</v>
      </c>
      <c r="BK15" s="145">
        <v>2.4713706171284849E-2</v>
      </c>
      <c r="BL15" s="145">
        <v>1.3745411996486946E-2</v>
      </c>
      <c r="BM15" s="145">
        <v>0.12778072309614136</v>
      </c>
      <c r="BN15" s="145">
        <v>0.11319345654592118</v>
      </c>
      <c r="BO15" s="145">
        <v>0.11633386520099262</v>
      </c>
      <c r="BP15" s="144">
        <v>4.3088545669179412E-2</v>
      </c>
      <c r="BQ15" s="146">
        <v>3.8640037970801788E-2</v>
      </c>
      <c r="BR15" s="146">
        <v>1.5565133779989916E-2</v>
      </c>
      <c r="BS15" s="232">
        <v>7.6991821296485435E-2</v>
      </c>
      <c r="BT15" s="145">
        <v>4.3806736254213075E-3</v>
      </c>
      <c r="BU15" s="144">
        <v>1.6098267524488178E-2</v>
      </c>
      <c r="BV15" s="146">
        <v>0.17165311480761114</v>
      </c>
      <c r="BW15" s="146">
        <v>8.5217470713689018E-3</v>
      </c>
      <c r="BX15" s="146">
        <v>1.5968340545469524</v>
      </c>
      <c r="BY15" s="146">
        <v>0.41279157004878941</v>
      </c>
      <c r="BZ15" s="146">
        <v>8.5889682624032834E-2</v>
      </c>
    </row>
    <row r="16" spans="1:78" x14ac:dyDescent="0.35">
      <c r="A16" s="50" t="s">
        <v>1536</v>
      </c>
      <c r="B16" s="145">
        <v>1.3619938502938675E-2</v>
      </c>
      <c r="C16" s="145">
        <v>7.6757622573783253E-3</v>
      </c>
      <c r="D16" s="145">
        <v>1.2050675974110742E-2</v>
      </c>
      <c r="E16" s="144">
        <v>1.0466726358093972E-2</v>
      </c>
      <c r="F16" s="146">
        <v>1.4686538540465026E-2</v>
      </c>
      <c r="G16" s="145">
        <v>8.797350300714904E-2</v>
      </c>
      <c r="H16" s="145">
        <v>1.3652257408303637E-2</v>
      </c>
      <c r="I16" s="144">
        <v>7.9798165991276052E-2</v>
      </c>
      <c r="J16" s="145">
        <v>9.7541436586946792E-2</v>
      </c>
      <c r="K16" s="145">
        <v>1.5640467120099092E-2</v>
      </c>
      <c r="L16" s="144">
        <v>2.7925612540126245E-2</v>
      </c>
      <c r="M16" s="232">
        <v>1.1079865320627082E-2</v>
      </c>
      <c r="N16" s="145">
        <v>2.1134513878835826E-3</v>
      </c>
      <c r="O16" s="144">
        <v>4.534383149724327E-3</v>
      </c>
      <c r="P16" s="232">
        <v>5.1222396604348956E-2</v>
      </c>
      <c r="Q16" s="145">
        <v>9.2855473438236066E-3</v>
      </c>
      <c r="R16" s="144">
        <v>3.2770182929717805E-2</v>
      </c>
      <c r="S16" s="232">
        <v>3.5762626325996194E-2</v>
      </c>
      <c r="T16" s="145">
        <v>1.4319950403551113E-3</v>
      </c>
      <c r="U16" s="144">
        <v>2.0657148560314118E-2</v>
      </c>
      <c r="V16" s="146">
        <v>5.1222396604348956E-2</v>
      </c>
      <c r="W16" s="146">
        <v>0.10369838943821091</v>
      </c>
      <c r="X16" s="146">
        <v>4.8270724509872028E-2</v>
      </c>
      <c r="Y16" s="146">
        <v>0.11768960350998083</v>
      </c>
      <c r="Z16" s="144">
        <v>1.661549283125965E-2</v>
      </c>
      <c r="AA16" s="144">
        <v>1.5198400021434084E-2</v>
      </c>
      <c r="AB16" s="145">
        <v>0.1000837726274809</v>
      </c>
      <c r="AC16" s="145">
        <v>6.2516405443733972E-3</v>
      </c>
      <c r="AD16" s="144">
        <v>5.1197231812181887E-2</v>
      </c>
      <c r="AE16" s="144">
        <v>2.469098022520697E-4</v>
      </c>
      <c r="AF16" s="232">
        <v>9.3468554730037155E-3</v>
      </c>
      <c r="AG16" s="144">
        <v>1.0486527228219356E-2</v>
      </c>
      <c r="AH16" s="232">
        <v>3.3614757571865814E-2</v>
      </c>
      <c r="AI16" s="144">
        <v>3.2048173156899368E-2</v>
      </c>
      <c r="AJ16" s="232">
        <v>3.2948884513160637E-2</v>
      </c>
      <c r="AK16" s="145">
        <v>3.6689131600548174E-2</v>
      </c>
      <c r="AL16" s="145">
        <v>3.4665150502750701E-2</v>
      </c>
      <c r="AM16" s="145">
        <v>0.12930073295509276</v>
      </c>
      <c r="AN16" s="144">
        <v>0.21503286207169076</v>
      </c>
      <c r="AO16" s="146">
        <v>2.3104441706999851E-2</v>
      </c>
      <c r="AP16" s="146">
        <v>0.47929972378464974</v>
      </c>
      <c r="AQ16" s="146">
        <v>0</v>
      </c>
      <c r="AR16" s="146">
        <v>8.3545015741417775E-2</v>
      </c>
      <c r="AS16" s="146">
        <v>0</v>
      </c>
      <c r="AT16" s="146">
        <v>0</v>
      </c>
      <c r="AU16" s="146">
        <v>9.4343685716917869E-2</v>
      </c>
      <c r="AV16" s="146">
        <v>5.357325157664454E-3</v>
      </c>
      <c r="AW16" s="146">
        <v>5.1413570257359195E-2</v>
      </c>
      <c r="AX16" s="146">
        <v>1.0486527228219356E-2</v>
      </c>
      <c r="AY16" s="232">
        <v>0.2408187860925326</v>
      </c>
      <c r="AZ16" s="144">
        <v>0.8428657513238641</v>
      </c>
      <c r="BA16" s="232">
        <v>8.2243655784979414E-3</v>
      </c>
      <c r="BB16" s="145">
        <v>8.0517983762165117E-3</v>
      </c>
      <c r="BC16" s="144">
        <v>4.7267895296918216E-2</v>
      </c>
      <c r="BD16" s="232">
        <v>1.5824247385587738E-2</v>
      </c>
      <c r="BE16" s="145">
        <v>8.7196620329128879E-2</v>
      </c>
      <c r="BF16" s="145">
        <v>9.2835626922633724E-2</v>
      </c>
      <c r="BG16" s="145">
        <v>9.4324187984876628E-2</v>
      </c>
      <c r="BH16" s="145">
        <v>9.6991152736492739E-2</v>
      </c>
      <c r="BI16" s="145">
        <v>7.886485630914121E-2</v>
      </c>
      <c r="BJ16" s="145">
        <v>4.3439891484134706E-2</v>
      </c>
      <c r="BK16" s="145">
        <v>2.458601467555618E-2</v>
      </c>
      <c r="BL16" s="145">
        <v>1.2752565585398966E-2</v>
      </c>
      <c r="BM16" s="145">
        <v>0.11653245564735584</v>
      </c>
      <c r="BN16" s="145">
        <v>0.10148412186103159</v>
      </c>
      <c r="BO16" s="145">
        <v>0.10607189827662539</v>
      </c>
      <c r="BP16" s="144">
        <v>4.2523669028524905E-2</v>
      </c>
      <c r="BQ16" s="146">
        <v>3.6312150799595197E-2</v>
      </c>
      <c r="BR16" s="146">
        <v>1.3930903755169598E-2</v>
      </c>
      <c r="BS16" s="232">
        <v>6.2473563041045115E-2</v>
      </c>
      <c r="BT16" s="145">
        <v>4.2477430253551919E-3</v>
      </c>
      <c r="BU16" s="144">
        <v>1.5624673377974102E-2</v>
      </c>
      <c r="BV16" s="146">
        <v>0.14758346830834998</v>
      </c>
      <c r="BW16" s="146">
        <v>8.4239831660813703E-3</v>
      </c>
      <c r="BX16" s="146">
        <v>1.1672129688372108</v>
      </c>
      <c r="BY16" s="146">
        <v>0.25903793033359529</v>
      </c>
      <c r="BZ16" s="146">
        <v>8.3042973608732445E-2</v>
      </c>
    </row>
    <row r="17" spans="1:78" x14ac:dyDescent="0.35">
      <c r="A17" s="50" t="s">
        <v>1535</v>
      </c>
      <c r="B17" s="145">
        <v>1.0910857632842674E-2</v>
      </c>
      <c r="C17" s="145">
        <v>3.3672492937269986E-3</v>
      </c>
      <c r="D17" s="145">
        <v>8.9193450313161358E-3</v>
      </c>
      <c r="E17" s="144">
        <v>4.7749418139624612E-3</v>
      </c>
      <c r="F17" s="146">
        <v>1.0726824245738465E-2</v>
      </c>
      <c r="G17" s="145">
        <v>6.6670486036049595E-2</v>
      </c>
      <c r="H17" s="145">
        <v>6.0588424427200716E-3</v>
      </c>
      <c r="I17" s="144">
        <v>6.0003205240783349E-2</v>
      </c>
      <c r="J17" s="145">
        <v>7.3269293062526511E-2</v>
      </c>
      <c r="K17" s="145">
        <v>6.4761125759247784E-3</v>
      </c>
      <c r="L17" s="144">
        <v>1.6495089648915037E-2</v>
      </c>
      <c r="M17" s="232">
        <v>9.8309877360942856E-3</v>
      </c>
      <c r="N17" s="145">
        <v>2.075107991536949E-3</v>
      </c>
      <c r="O17" s="144">
        <v>4.16919552256743E-3</v>
      </c>
      <c r="P17" s="232">
        <v>1.0849470518480299E-2</v>
      </c>
      <c r="Q17" s="145">
        <v>1.8111477706279485E-3</v>
      </c>
      <c r="R17" s="144">
        <v>6.8726085094252655E-3</v>
      </c>
      <c r="S17" s="232">
        <v>7.9251157571146105E-3</v>
      </c>
      <c r="T17" s="145">
        <v>2.7931090423167923E-4</v>
      </c>
      <c r="U17" s="144">
        <v>4.5609616218461211E-3</v>
      </c>
      <c r="V17" s="146">
        <v>1.0849470518480299E-2</v>
      </c>
      <c r="W17" s="146">
        <v>2.3107695851077404E-2</v>
      </c>
      <c r="X17" s="146">
        <v>1.2176930938317961E-2</v>
      </c>
      <c r="Y17" s="146">
        <v>3.763731373754322E-2</v>
      </c>
      <c r="Z17" s="144">
        <v>6.1160317566794544E-3</v>
      </c>
      <c r="AA17" s="144">
        <v>8.1248787261530859E-3</v>
      </c>
      <c r="AB17" s="145">
        <v>2.6089903238630391E-2</v>
      </c>
      <c r="AC17" s="145">
        <v>1.5419045608666886E-3</v>
      </c>
      <c r="AD17" s="144">
        <v>1.3300395927515501E-2</v>
      </c>
      <c r="AE17" s="144">
        <v>3.3424825813401749E-5</v>
      </c>
      <c r="AF17" s="232">
        <v>1.6338344858922466E-3</v>
      </c>
      <c r="AG17" s="144">
        <v>2.3045896875994653E-3</v>
      </c>
      <c r="AH17" s="232">
        <v>2.8854953352310925E-3</v>
      </c>
      <c r="AI17" s="144">
        <v>3.0139074711707419E-3</v>
      </c>
      <c r="AJ17" s="232">
        <v>2.0287570156872358E-3</v>
      </c>
      <c r="AK17" s="145">
        <v>2.8304422363018412E-3</v>
      </c>
      <c r="AL17" s="145">
        <v>5.584366389149404E-3</v>
      </c>
      <c r="AM17" s="145">
        <v>1.8626235868679172E-2</v>
      </c>
      <c r="AN17" s="144">
        <v>3.7516109819407617E-2</v>
      </c>
      <c r="AO17" s="146">
        <v>1.3573002378608021E-3</v>
      </c>
      <c r="AP17" s="146">
        <v>0.44255671656584006</v>
      </c>
      <c r="AQ17" s="146">
        <v>0</v>
      </c>
      <c r="AR17" s="146">
        <v>1.6403299560880932E-2</v>
      </c>
      <c r="AS17" s="146">
        <v>0</v>
      </c>
      <c r="AT17" s="146">
        <v>0</v>
      </c>
      <c r="AU17" s="146">
        <v>5.4064314053384306E-2</v>
      </c>
      <c r="AV17" s="146">
        <v>2.6385794403765207E-3</v>
      </c>
      <c r="AW17" s="146">
        <v>1.7487540251254386E-3</v>
      </c>
      <c r="AX17" s="146">
        <v>2.3045896875994653E-3</v>
      </c>
      <c r="AY17" s="232">
        <v>4.4751341887093989E-2</v>
      </c>
      <c r="AZ17" s="144">
        <v>0.15662969660482895</v>
      </c>
      <c r="BA17" s="232">
        <v>2.4375349669206198E-3</v>
      </c>
      <c r="BB17" s="145">
        <v>2.3863895520324029E-3</v>
      </c>
      <c r="BC17" s="144">
        <v>2.7723685463175909E-3</v>
      </c>
      <c r="BD17" s="232">
        <v>3.0238244800090538E-3</v>
      </c>
      <c r="BE17" s="145">
        <v>2.323996722523259E-2</v>
      </c>
      <c r="BF17" s="145">
        <v>2.4732524475226798E-2</v>
      </c>
      <c r="BG17" s="145">
        <v>2.4539132489765213E-2</v>
      </c>
      <c r="BH17" s="145">
        <v>2.3545266407537128E-2</v>
      </c>
      <c r="BI17" s="145">
        <v>2.2479062041977742E-2</v>
      </c>
      <c r="BJ17" s="145">
        <v>1.0148060539728254E-2</v>
      </c>
      <c r="BK17" s="145">
        <v>3.0633246891917951E-4</v>
      </c>
      <c r="BL17" s="145">
        <v>3.3626514670728725E-3</v>
      </c>
      <c r="BM17" s="145">
        <v>2.6758340292064017E-2</v>
      </c>
      <c r="BN17" s="145">
        <v>2.898516971615938E-2</v>
      </c>
      <c r="BO17" s="145">
        <v>2.4457528643930318E-2</v>
      </c>
      <c r="BP17" s="144">
        <v>1.3639042130066067E-3</v>
      </c>
      <c r="BQ17" s="146">
        <v>1.7943981929273534E-2</v>
      </c>
      <c r="BR17" s="146">
        <v>3.9460123616558394E-3</v>
      </c>
      <c r="BS17" s="232">
        <v>3.5056839565140385E-2</v>
      </c>
      <c r="BT17" s="145">
        <v>3.2092975902930758E-4</v>
      </c>
      <c r="BU17" s="144">
        <v>1.1433780793808617E-3</v>
      </c>
      <c r="BV17" s="146">
        <v>5.8120891468295757E-2</v>
      </c>
      <c r="BW17" s="146">
        <v>2.3475171369079174E-4</v>
      </c>
      <c r="BX17" s="146">
        <v>0.53376765132692217</v>
      </c>
      <c r="BY17" s="146">
        <v>9.682590377231369E-2</v>
      </c>
      <c r="BZ17" s="146">
        <v>6.8517577159344992E-3</v>
      </c>
    </row>
    <row r="18" spans="1:78" x14ac:dyDescent="0.35">
      <c r="A18" s="50" t="s">
        <v>1534</v>
      </c>
      <c r="B18" s="145">
        <v>2.7900123697120476E-3</v>
      </c>
      <c r="C18" s="145">
        <v>4.1903094730030167E-3</v>
      </c>
      <c r="D18" s="145">
        <v>3.1596908049808651E-3</v>
      </c>
      <c r="E18" s="144">
        <v>5.5260363310322518E-3</v>
      </c>
      <c r="F18" s="146">
        <v>3.1370889665401748E-3</v>
      </c>
      <c r="G18" s="145">
        <v>1.3691755067149203E-2</v>
      </c>
      <c r="H18" s="145">
        <v>6.939569749654961E-3</v>
      </c>
      <c r="I18" s="144">
        <v>1.2949014682224848E-2</v>
      </c>
      <c r="J18" s="145">
        <v>1.5889127857486932E-2</v>
      </c>
      <c r="K18" s="145">
        <v>8.4483144121968567E-3</v>
      </c>
      <c r="L18" s="144">
        <v>9.5644364289903666E-3</v>
      </c>
      <c r="M18" s="232">
        <v>8.3205393849064167E-4</v>
      </c>
      <c r="N18" s="145">
        <v>6.4862202840692502E-6</v>
      </c>
      <c r="O18" s="144">
        <v>2.2938950419984337E-4</v>
      </c>
      <c r="P18" s="232">
        <v>3.0134188875810396E-2</v>
      </c>
      <c r="Q18" s="145">
        <v>6.4889694773607107E-3</v>
      </c>
      <c r="R18" s="144">
        <v>1.9730292340492533E-2</v>
      </c>
      <c r="S18" s="232">
        <v>2.1315017664299454E-2</v>
      </c>
      <c r="T18" s="145">
        <v>1.0007134490329251E-3</v>
      </c>
      <c r="U18" s="144">
        <v>1.237672380958218E-2</v>
      </c>
      <c r="V18" s="146">
        <v>3.0134188875810396E-2</v>
      </c>
      <c r="W18" s="146">
        <v>6.5304950441324075E-2</v>
      </c>
      <c r="X18" s="146">
        <v>2.753372321521956E-2</v>
      </c>
      <c r="Y18" s="146">
        <v>6.0993736529890236E-2</v>
      </c>
      <c r="Z18" s="144">
        <v>7.2000079566201343E-3</v>
      </c>
      <c r="AA18" s="144">
        <v>6.4242563891141712E-3</v>
      </c>
      <c r="AB18" s="145">
        <v>7.2541375347875664E-2</v>
      </c>
      <c r="AC18" s="145">
        <v>4.6443696690323813E-3</v>
      </c>
      <c r="AD18" s="144">
        <v>3.7167035389198314E-2</v>
      </c>
      <c r="AE18" s="144">
        <v>5.5441728372636876E-5</v>
      </c>
      <c r="AF18" s="232">
        <v>7.5436310209714775E-3</v>
      </c>
      <c r="AG18" s="144">
        <v>7.8327066540202061E-3</v>
      </c>
      <c r="AH18" s="232">
        <v>2.6733526779363859E-2</v>
      </c>
      <c r="AI18" s="144">
        <v>1.5628064786290464E-2</v>
      </c>
      <c r="AJ18" s="232">
        <v>2.2747760658367724E-2</v>
      </c>
      <c r="AK18" s="145">
        <v>2.4909276086489324E-2</v>
      </c>
      <c r="AL18" s="145">
        <v>2.3519519577793725E-2</v>
      </c>
      <c r="AM18" s="145">
        <v>9.1959701369784111E-2</v>
      </c>
      <c r="AN18" s="144">
        <v>0.15375649654074119</v>
      </c>
      <c r="AO18" s="146">
        <v>1.2875177489084838E-2</v>
      </c>
      <c r="AP18" s="146">
        <v>6.5317810755600413E-3</v>
      </c>
      <c r="AQ18" s="146">
        <v>0</v>
      </c>
      <c r="AR18" s="146">
        <v>6.6384267745534936E-2</v>
      </c>
      <c r="AS18" s="146">
        <v>0</v>
      </c>
      <c r="AT18" s="146">
        <v>0</v>
      </c>
      <c r="AU18" s="146">
        <v>3.8442203457817695E-2</v>
      </c>
      <c r="AV18" s="146">
        <v>1.9542263684852422E-3</v>
      </c>
      <c r="AW18" s="146">
        <v>2.657859864196585E-2</v>
      </c>
      <c r="AX18" s="146">
        <v>7.8327066540202061E-3</v>
      </c>
      <c r="AY18" s="232">
        <v>0.17352115767480361</v>
      </c>
      <c r="AZ18" s="144">
        <v>0.6073240518618126</v>
      </c>
      <c r="BA18" s="232">
        <v>5.6895369732045589E-3</v>
      </c>
      <c r="BB18" s="145">
        <v>5.5701566430901494E-3</v>
      </c>
      <c r="BC18" s="144">
        <v>2.4352887119736204E-2</v>
      </c>
      <c r="BD18" s="232">
        <v>1.0255654152273254E-2</v>
      </c>
      <c r="BE18" s="145">
        <v>5.402303898334973E-2</v>
      </c>
      <c r="BF18" s="145">
        <v>5.7238721668130751E-2</v>
      </c>
      <c r="BG18" s="145">
        <v>5.8429458210972084E-2</v>
      </c>
      <c r="BH18" s="145">
        <v>6.0078073399162817E-2</v>
      </c>
      <c r="BI18" s="145">
        <v>5.0718723954579506E-2</v>
      </c>
      <c r="BJ18" s="145">
        <v>2.4204932381985806E-2</v>
      </c>
      <c r="BK18" s="145">
        <v>1.8514289601458653E-2</v>
      </c>
      <c r="BL18" s="145">
        <v>6.1224075804954467E-3</v>
      </c>
      <c r="BM18" s="145">
        <v>7.2346441520067667E-2</v>
      </c>
      <c r="BN18" s="145">
        <v>5.7311510784007515E-2</v>
      </c>
      <c r="BO18" s="145">
        <v>6.7347152390443116E-2</v>
      </c>
      <c r="BP18" s="144">
        <v>4.0818091828931938E-2</v>
      </c>
      <c r="BQ18" s="146">
        <v>4.5128687760212444E-3</v>
      </c>
      <c r="BR18" s="146">
        <v>9.3880103008842555E-3</v>
      </c>
      <c r="BS18" s="232">
        <v>2.5124699363998363E-2</v>
      </c>
      <c r="BT18" s="145">
        <v>3.7496234367825993E-3</v>
      </c>
      <c r="BU18" s="144">
        <v>1.3838709061497865E-2</v>
      </c>
      <c r="BV18" s="146">
        <v>8.7319423381427216E-2</v>
      </c>
      <c r="BW18" s="146">
        <v>4.3944359084813409E-3</v>
      </c>
      <c r="BX18" s="146">
        <v>0.5907473994461232</v>
      </c>
      <c r="BY18" s="146">
        <v>0.1492677450158347</v>
      </c>
      <c r="BZ18" s="146">
        <v>1.2243240542794048E-2</v>
      </c>
    </row>
    <row r="19" spans="1:78" x14ac:dyDescent="0.35">
      <c r="A19" s="46" t="s">
        <v>1533</v>
      </c>
      <c r="B19" s="142">
        <v>-8.0931499616049719E-5</v>
      </c>
      <c r="C19" s="142">
        <v>1.1820349064830975E-4</v>
      </c>
      <c r="D19" s="142">
        <v>-2.8359862186258813E-5</v>
      </c>
      <c r="E19" s="141">
        <v>1.6574821309925904E-4</v>
      </c>
      <c r="F19" s="143">
        <v>8.2262532818638584E-4</v>
      </c>
      <c r="G19" s="142">
        <v>7.6112619039502352E-3</v>
      </c>
      <c r="H19" s="142">
        <v>6.5384521592860379E-4</v>
      </c>
      <c r="I19" s="141">
        <v>6.8459460682678552E-3</v>
      </c>
      <c r="J19" s="142">
        <v>8.3830156669333512E-3</v>
      </c>
      <c r="K19" s="142">
        <v>7.1604013197745613E-4</v>
      </c>
      <c r="L19" s="141">
        <v>1.8660864622208405E-3</v>
      </c>
      <c r="M19" s="231">
        <v>4.1682364604215443E-4</v>
      </c>
      <c r="N19" s="142">
        <v>3.1857176062564359E-5</v>
      </c>
      <c r="O19" s="141">
        <v>1.3579812295705368E-4</v>
      </c>
      <c r="P19" s="231">
        <v>1.0238737210058262E-2</v>
      </c>
      <c r="Q19" s="142">
        <v>9.8543009583494743E-4</v>
      </c>
      <c r="R19" s="141">
        <v>6.1672820798000048E-3</v>
      </c>
      <c r="S19" s="231">
        <v>6.5224929045821292E-3</v>
      </c>
      <c r="T19" s="142">
        <v>1.519706870905071E-4</v>
      </c>
      <c r="U19" s="141">
        <v>3.7194631288858158E-3</v>
      </c>
      <c r="V19" s="143">
        <v>1.0238737210058262E-2</v>
      </c>
      <c r="W19" s="143">
        <v>1.5285743145809442E-2</v>
      </c>
      <c r="X19" s="143">
        <v>8.5600703563345083E-3</v>
      </c>
      <c r="Y19" s="143">
        <v>1.9058553242547373E-2</v>
      </c>
      <c r="Z19" s="141">
        <v>3.2994531179600618E-3</v>
      </c>
      <c r="AA19" s="141">
        <v>6.4926490616682743E-4</v>
      </c>
      <c r="AB19" s="142">
        <v>1.4524940409748441E-3</v>
      </c>
      <c r="AC19" s="142">
        <v>6.5366314474327571E-5</v>
      </c>
      <c r="AD19" s="141">
        <v>7.2980049546807495E-4</v>
      </c>
      <c r="AE19" s="141">
        <v>1.5804324806603106E-4</v>
      </c>
      <c r="AF19" s="231">
        <v>1.6938996613999143E-4</v>
      </c>
      <c r="AG19" s="141">
        <v>3.4923088659968371E-4</v>
      </c>
      <c r="AH19" s="231">
        <v>3.9957354572708612E-3</v>
      </c>
      <c r="AI19" s="141">
        <v>1.3406200899438159E-2</v>
      </c>
      <c r="AJ19" s="142">
        <v>8.1723668391056777E-3</v>
      </c>
      <c r="AK19" s="142">
        <v>8.9494132777570082E-3</v>
      </c>
      <c r="AL19" s="142">
        <v>5.5612645358075708E-3</v>
      </c>
      <c r="AM19" s="142">
        <v>1.871479571662947E-2</v>
      </c>
      <c r="AN19" s="141">
        <v>2.3760255711541976E-2</v>
      </c>
      <c r="AO19" s="143">
        <v>8.8719639800542097E-3</v>
      </c>
      <c r="AP19" s="143">
        <v>3.0211226143249646E-2</v>
      </c>
      <c r="AQ19" s="143">
        <v>0</v>
      </c>
      <c r="AR19" s="143">
        <v>7.5744843500189906E-4</v>
      </c>
      <c r="AS19" s="143">
        <v>0</v>
      </c>
      <c r="AT19" s="143">
        <v>0</v>
      </c>
      <c r="AU19" s="143">
        <v>1.8371682057158696E-3</v>
      </c>
      <c r="AV19" s="143">
        <v>7.6451934880269155E-4</v>
      </c>
      <c r="AW19" s="143">
        <v>2.3086217590267903E-2</v>
      </c>
      <c r="AX19" s="143">
        <v>3.4923088659968371E-4</v>
      </c>
      <c r="AY19" s="231">
        <v>2.254628653063501E-2</v>
      </c>
      <c r="AZ19" s="141">
        <v>7.8912002857222538E-2</v>
      </c>
      <c r="BA19" s="231">
        <v>9.7293638372763103E-5</v>
      </c>
      <c r="BB19" s="142">
        <v>9.5252181093959194E-5</v>
      </c>
      <c r="BC19" s="141">
        <v>2.014263963086442E-2</v>
      </c>
      <c r="BD19" s="231">
        <v>2.5447744975454203E-3</v>
      </c>
      <c r="BE19" s="142">
        <v>9.9336249190085241E-3</v>
      </c>
      <c r="BF19" s="142">
        <v>1.0864391546168939E-2</v>
      </c>
      <c r="BG19" s="142">
        <v>1.1355607999046021E-2</v>
      </c>
      <c r="BH19" s="142">
        <v>1.3367812929792763E-2</v>
      </c>
      <c r="BI19" s="142">
        <v>5.6670816508355357E-3</v>
      </c>
      <c r="BJ19" s="142">
        <v>9.0869131671146575E-3</v>
      </c>
      <c r="BK19" s="142">
        <v>5.7653926051783461E-3</v>
      </c>
      <c r="BL19" s="142">
        <v>3.2675131212769725E-3</v>
      </c>
      <c r="BM19" s="142">
        <v>1.7427673835224148E-2</v>
      </c>
      <c r="BN19" s="142">
        <v>1.5187451972444801E-2</v>
      </c>
      <c r="BO19" s="142">
        <v>1.4267217242251941E-2</v>
      </c>
      <c r="BP19" s="141">
        <v>3.4167298658635613E-4</v>
      </c>
      <c r="BQ19" s="143">
        <v>1.3855300094300417E-2</v>
      </c>
      <c r="BR19" s="143">
        <v>5.968810926295045E-4</v>
      </c>
      <c r="BS19" s="231">
        <v>2.2920241119063754E-3</v>
      </c>
      <c r="BT19" s="142">
        <v>1.7718982954328461E-4</v>
      </c>
      <c r="BU19" s="141">
        <v>6.4258623709537264E-4</v>
      </c>
      <c r="BV19" s="143">
        <v>2.1431534586269889E-3</v>
      </c>
      <c r="BW19" s="143">
        <v>3.7947955439092372E-3</v>
      </c>
      <c r="BX19" s="143">
        <v>4.2697918064165508E-2</v>
      </c>
      <c r="BY19" s="143">
        <v>1.2944281545446891E-2</v>
      </c>
      <c r="BZ19" s="143">
        <v>6.3947975350003905E-2</v>
      </c>
    </row>
    <row r="20" spans="1:78" x14ac:dyDescent="0.35">
      <c r="A20" s="46" t="s">
        <v>1532</v>
      </c>
      <c r="B20" s="142">
        <v>2.496204709029259</v>
      </c>
      <c r="C20" s="142">
        <v>0.68582302395154815</v>
      </c>
      <c r="D20" s="142">
        <v>2.0182639441687433</v>
      </c>
      <c r="E20" s="141">
        <v>0.96915501852617025</v>
      </c>
      <c r="F20" s="143">
        <v>0.15914054488589019</v>
      </c>
      <c r="G20" s="142">
        <v>9.6339370131730444</v>
      </c>
      <c r="H20" s="142">
        <v>1.1157792556853932</v>
      </c>
      <c r="I20" s="141">
        <v>8.6969396598494022</v>
      </c>
      <c r="J20" s="142">
        <v>10.515588283689759</v>
      </c>
      <c r="K20" s="142">
        <v>1.128697996955569</v>
      </c>
      <c r="L20" s="141">
        <v>2.5367315399656976</v>
      </c>
      <c r="M20" s="231">
        <v>0.26277455604186317</v>
      </c>
      <c r="N20" s="142">
        <v>8.0843870393518119E-3</v>
      </c>
      <c r="O20" s="141">
        <v>7.6850732670029884E-2</v>
      </c>
      <c r="P20" s="231">
        <v>16.212552303680145</v>
      </c>
      <c r="Q20" s="142">
        <v>0.21371646312831333</v>
      </c>
      <c r="R20" s="141">
        <v>9.1730645338373407</v>
      </c>
      <c r="S20" s="231">
        <v>10.486058793024124</v>
      </c>
      <c r="T20" s="142">
        <v>3.2958844956570872E-2</v>
      </c>
      <c r="U20" s="141">
        <v>5.8866948158744012</v>
      </c>
      <c r="V20" s="143">
        <v>16.212552303680145</v>
      </c>
      <c r="W20" s="143">
        <v>35.801134457732935</v>
      </c>
      <c r="X20" s="143">
        <v>19.328425583293807</v>
      </c>
      <c r="Y20" s="143">
        <v>44.49878990601411</v>
      </c>
      <c r="Z20" s="141">
        <v>1.6055647659169234</v>
      </c>
      <c r="AA20" s="141">
        <v>3.5850062149799933</v>
      </c>
      <c r="AB20" s="142">
        <v>5.5667778028972439</v>
      </c>
      <c r="AC20" s="142">
        <v>0.32952010841115659</v>
      </c>
      <c r="AD20" s="141">
        <v>2.8381665440699924</v>
      </c>
      <c r="AE20" s="141">
        <v>3.8894897038982551E-2</v>
      </c>
      <c r="AF20" s="231">
        <v>1.42741100618063</v>
      </c>
      <c r="AG20" s="141">
        <v>5.0237542387292597</v>
      </c>
      <c r="AH20" s="231">
        <v>0.72468319474171561</v>
      </c>
      <c r="AI20" s="141">
        <v>0.79836571745393448</v>
      </c>
      <c r="AJ20" s="142">
        <v>0.60514186320695385</v>
      </c>
      <c r="AK20" s="142">
        <v>0.74754479415750985</v>
      </c>
      <c r="AL20" s="142">
        <v>3.7061057655538496</v>
      </c>
      <c r="AM20" s="142">
        <v>3.7754965442606019</v>
      </c>
      <c r="AN20" s="141">
        <v>7.1012029230380227</v>
      </c>
      <c r="AO20" s="143">
        <v>0.46685223585744978</v>
      </c>
      <c r="AP20" s="143">
        <v>24.624784554968301</v>
      </c>
      <c r="AQ20" s="143">
        <v>0</v>
      </c>
      <c r="AR20" s="143">
        <v>3.54980810587741</v>
      </c>
      <c r="AS20" s="143">
        <v>0</v>
      </c>
      <c r="AT20" s="143">
        <v>0</v>
      </c>
      <c r="AU20" s="143">
        <v>11.229704994286696</v>
      </c>
      <c r="AV20" s="143">
        <v>0.56083535510445814</v>
      </c>
      <c r="AW20" s="143">
        <v>0.83153220067165423</v>
      </c>
      <c r="AX20" s="143">
        <v>5.0237542387292597</v>
      </c>
      <c r="AY20" s="231">
        <v>8.2635580078177924</v>
      </c>
      <c r="AZ20" s="141">
        <v>28.922453027362273</v>
      </c>
      <c r="BA20" s="231">
        <v>0.51661627674326216</v>
      </c>
      <c r="BB20" s="142">
        <v>0.50577641016878583</v>
      </c>
      <c r="BC20" s="141">
        <v>0.98403789368028038</v>
      </c>
      <c r="BD20" s="231">
        <v>0.57848172796033692</v>
      </c>
      <c r="BE20" s="142">
        <v>14.532479829654747</v>
      </c>
      <c r="BF20" s="142">
        <v>17.106464506844542</v>
      </c>
      <c r="BG20" s="142">
        <v>16.885231657539325</v>
      </c>
      <c r="BH20" s="142">
        <v>16.789287528079839</v>
      </c>
      <c r="BI20" s="142">
        <v>8.1548629574691809</v>
      </c>
      <c r="BJ20" s="142">
        <v>9.3041583752362893</v>
      </c>
      <c r="BK20" s="142">
        <v>1.0832880713172439</v>
      </c>
      <c r="BL20" s="142">
        <v>2.6432847089152549</v>
      </c>
      <c r="BM20" s="142">
        <v>29.818978632659416</v>
      </c>
      <c r="BN20" s="142">
        <v>29.597809192581188</v>
      </c>
      <c r="BO20" s="142">
        <v>18.412580193007422</v>
      </c>
      <c r="BP20" s="141">
        <v>0.46488454880109009</v>
      </c>
      <c r="BQ20" s="143">
        <v>2.8397836562266514</v>
      </c>
      <c r="BR20" s="143">
        <v>0.84447579201930389</v>
      </c>
      <c r="BS20" s="231">
        <v>7.4703596844025268</v>
      </c>
      <c r="BT20" s="142">
        <v>7.896065244876288E-2</v>
      </c>
      <c r="BU20" s="141">
        <v>0.28275908355642937</v>
      </c>
      <c r="BV20" s="143">
        <v>12.192217044079518</v>
      </c>
      <c r="BW20" s="143">
        <v>0.18577487252316882</v>
      </c>
      <c r="BX20" s="143">
        <v>350.25855240252542</v>
      </c>
      <c r="BY20" s="143">
        <v>155.07168592765612</v>
      </c>
      <c r="BZ20" s="143">
        <v>2.6293695184136774</v>
      </c>
    </row>
    <row r="21" spans="1:78" ht="13.15" x14ac:dyDescent="0.4">
      <c r="A21" s="178" t="s">
        <v>1564</v>
      </c>
      <c r="B21" s="157"/>
      <c r="C21" s="157"/>
      <c r="D21" s="157"/>
      <c r="E21" s="156"/>
      <c r="F21" s="241"/>
      <c r="G21" s="157"/>
      <c r="H21" s="157"/>
      <c r="I21" s="156"/>
      <c r="J21" s="157"/>
      <c r="K21" s="157"/>
      <c r="L21" s="156"/>
      <c r="M21" s="237"/>
      <c r="N21" s="157"/>
      <c r="O21" s="156"/>
      <c r="P21" s="237"/>
      <c r="Q21" s="157"/>
      <c r="R21" s="156"/>
      <c r="S21" s="237"/>
      <c r="T21" s="157"/>
      <c r="U21" s="156"/>
      <c r="V21" s="241"/>
      <c r="W21" s="241"/>
      <c r="X21" s="241"/>
      <c r="Y21" s="241"/>
      <c r="Z21" s="156"/>
      <c r="AA21" s="156"/>
      <c r="AB21" s="157"/>
      <c r="AC21" s="157"/>
      <c r="AD21" s="156"/>
      <c r="AE21" s="156"/>
      <c r="AF21" s="237"/>
      <c r="AG21" s="156"/>
      <c r="AH21" s="237"/>
      <c r="AI21" s="156"/>
      <c r="AJ21" s="232"/>
      <c r="AK21" s="145"/>
      <c r="AL21" s="145"/>
      <c r="AM21" s="145"/>
      <c r="AN21" s="144"/>
      <c r="AO21" s="241"/>
      <c r="AP21" s="241"/>
      <c r="AQ21" s="241"/>
      <c r="AR21" s="241"/>
      <c r="AS21" s="241"/>
      <c r="AT21" s="241"/>
      <c r="AU21" s="241"/>
      <c r="AV21" s="241"/>
      <c r="AW21" s="241"/>
      <c r="AX21" s="241"/>
      <c r="AY21" s="237"/>
      <c r="AZ21" s="156"/>
      <c r="BA21" s="237"/>
      <c r="BB21" s="157"/>
      <c r="BC21" s="156"/>
      <c r="BD21" s="237"/>
      <c r="BE21" s="157"/>
      <c r="BF21" s="157"/>
      <c r="BG21" s="157"/>
      <c r="BH21" s="157"/>
      <c r="BI21" s="157"/>
      <c r="BJ21" s="157"/>
      <c r="BK21" s="157"/>
      <c r="BL21" s="157"/>
      <c r="BM21" s="157"/>
      <c r="BN21" s="157"/>
      <c r="BO21" s="157"/>
      <c r="BP21" s="156"/>
      <c r="BQ21" s="241"/>
      <c r="BR21" s="241"/>
      <c r="BS21" s="237"/>
      <c r="BT21" s="157"/>
      <c r="BU21" s="156"/>
      <c r="BV21" s="241"/>
      <c r="BW21" s="241"/>
      <c r="BX21" s="241"/>
      <c r="BY21" s="241"/>
      <c r="BZ21" s="241"/>
    </row>
    <row r="22" spans="1:78" x14ac:dyDescent="0.35">
      <c r="A22" s="50" t="s">
        <v>1525</v>
      </c>
      <c r="B22" s="145">
        <v>1.5573199533784672</v>
      </c>
      <c r="C22" s="145">
        <v>0.16423369673874003</v>
      </c>
      <c r="D22" s="145">
        <v>1.1895451816255793</v>
      </c>
      <c r="E22" s="144">
        <v>0.23935920211412337</v>
      </c>
      <c r="F22" s="146">
        <v>1.0099304182542093</v>
      </c>
      <c r="G22" s="145">
        <v>0.99079877564632135</v>
      </c>
      <c r="H22" s="145">
        <v>0.31604914826715219</v>
      </c>
      <c r="I22" s="144">
        <v>0.9165763166346127</v>
      </c>
      <c r="J22" s="145">
        <v>0.94677923200879799</v>
      </c>
      <c r="K22" s="145">
        <v>0.20321461351420803</v>
      </c>
      <c r="L22" s="144">
        <v>0.31474930628839648</v>
      </c>
      <c r="M22" s="232">
        <v>0.84160153452468189</v>
      </c>
      <c r="N22" s="145">
        <v>1.6495008118153399E-2</v>
      </c>
      <c r="O22" s="144">
        <v>0.23927377024791613</v>
      </c>
      <c r="P22" s="232">
        <v>0.59288833244414818</v>
      </c>
      <c r="Q22" s="145">
        <v>9.731467010062933E-2</v>
      </c>
      <c r="R22" s="144">
        <v>0.3748359210129999</v>
      </c>
      <c r="S22" s="232">
        <v>0.40933611034991246</v>
      </c>
      <c r="T22" s="145">
        <v>1.5007637113668707E-2</v>
      </c>
      <c r="U22" s="144">
        <v>0.23583158212596525</v>
      </c>
      <c r="V22" s="146">
        <v>0.59288833244414818</v>
      </c>
      <c r="W22" s="146">
        <v>2.2613291573509651</v>
      </c>
      <c r="X22" s="146">
        <v>0.79261807242149229</v>
      </c>
      <c r="Y22" s="146">
        <v>1.8421566114920298</v>
      </c>
      <c r="Z22" s="144">
        <v>0.16468863317479349</v>
      </c>
      <c r="AA22" s="144">
        <v>0.14607040182787392</v>
      </c>
      <c r="AB22" s="145">
        <v>1.0453300286782234</v>
      </c>
      <c r="AC22" s="145">
        <v>6.579334065915278E-2</v>
      </c>
      <c r="AD22" s="144">
        <v>0.53499141422028751</v>
      </c>
      <c r="AE22" s="144">
        <v>9.5109137313920435E-3</v>
      </c>
      <c r="AF22" s="232">
        <v>0.10701467477942227</v>
      </c>
      <c r="AG22" s="144">
        <v>0.12252268575499749</v>
      </c>
      <c r="AH22" s="232">
        <v>0.64192213768004025</v>
      </c>
      <c r="AI22" s="144">
        <v>0.3349317110825783</v>
      </c>
      <c r="AJ22" s="232">
        <v>0.5760092125542019</v>
      </c>
      <c r="AK22" s="145">
        <v>0.51015176098013593</v>
      </c>
      <c r="AL22" s="145">
        <v>0.33516302580477331</v>
      </c>
      <c r="AM22" s="145">
        <v>1.2831258384697368</v>
      </c>
      <c r="AN22" s="144">
        <v>2.1882599583784255</v>
      </c>
      <c r="AO22" s="146">
        <v>2.8498559970891302</v>
      </c>
      <c r="AP22" s="146">
        <v>4.4079021301906192</v>
      </c>
      <c r="AQ22" s="146">
        <v>0</v>
      </c>
      <c r="AR22" s="146">
        <v>0.89901897034466249</v>
      </c>
      <c r="AS22" s="146">
        <v>0</v>
      </c>
      <c r="AT22" s="146">
        <v>0</v>
      </c>
      <c r="AU22" s="146">
        <v>0.84795802907035323</v>
      </c>
      <c r="AV22" s="146">
        <v>6.1564707181170991E-2</v>
      </c>
      <c r="AW22" s="146">
        <v>0.45537781023398466</v>
      </c>
      <c r="AX22" s="146">
        <v>0.12252268575499749</v>
      </c>
      <c r="AY22" s="232">
        <v>2.4786826234588939</v>
      </c>
      <c r="AZ22" s="144">
        <v>8.6753891821061284</v>
      </c>
      <c r="BA22" s="232">
        <v>8.4629412514918581E-2</v>
      </c>
      <c r="BB22" s="145">
        <v>8.2853681510620517E-2</v>
      </c>
      <c r="BC22" s="144">
        <v>0.41236229537015257</v>
      </c>
      <c r="BD22" s="232">
        <v>1.0263863322951485</v>
      </c>
      <c r="BE22" s="145">
        <v>1.3047719998171574</v>
      </c>
      <c r="BF22" s="145">
        <v>1.4104620067892515</v>
      </c>
      <c r="BG22" s="145">
        <v>1.3855686711172992</v>
      </c>
      <c r="BH22" s="145">
        <v>1.2274784628075777</v>
      </c>
      <c r="BI22" s="145">
        <v>1.1049925780165788</v>
      </c>
      <c r="BJ22" s="145">
        <v>1.6076733194261181</v>
      </c>
      <c r="BK22" s="145">
        <v>0.32136374753251523</v>
      </c>
      <c r="BL22" s="145">
        <v>0.680640302455502</v>
      </c>
      <c r="BM22" s="145">
        <v>1.6269683254121627</v>
      </c>
      <c r="BN22" s="145">
        <v>2.109448621046027</v>
      </c>
      <c r="BO22" s="145">
        <v>1.9743550846068469</v>
      </c>
      <c r="BP22" s="144">
        <v>0.91653342488661138</v>
      </c>
      <c r="BQ22" s="146">
        <v>0.55960393051677637</v>
      </c>
      <c r="BR22" s="146">
        <v>0.14142194168034336</v>
      </c>
      <c r="BS22" s="232">
        <v>0.60314243295489367</v>
      </c>
      <c r="BT22" s="145">
        <v>4.4053562652091059E-2</v>
      </c>
      <c r="BU22" s="144">
        <v>0.16243611483231382</v>
      </c>
      <c r="BV22" s="146">
        <v>1.4509695462313308</v>
      </c>
      <c r="BW22" s="146">
        <v>4.4041072181069234</v>
      </c>
      <c r="BX22" s="146">
        <v>11.1134064877221</v>
      </c>
      <c r="BY22" s="146">
        <v>2.5778683052351097</v>
      </c>
      <c r="BZ22" s="146">
        <v>2.3740082543165766</v>
      </c>
    </row>
    <row r="23" spans="1:78" x14ac:dyDescent="0.35">
      <c r="A23" s="50" t="s">
        <v>1524</v>
      </c>
      <c r="B23" s="145">
        <v>10.971843108721963</v>
      </c>
      <c r="C23" s="145">
        <v>1.8049992664969312</v>
      </c>
      <c r="D23" s="145">
        <v>8.5517963343745542</v>
      </c>
      <c r="E23" s="144">
        <v>2.7359930259854122</v>
      </c>
      <c r="F23" s="146">
        <v>0.45042914845374621</v>
      </c>
      <c r="G23" s="145">
        <v>1.5645017182519807</v>
      </c>
      <c r="H23" s="145">
        <v>0.429261565235181</v>
      </c>
      <c r="I23" s="144">
        <v>1.4396253014201328</v>
      </c>
      <c r="J23" s="145">
        <v>1.7536257987497972</v>
      </c>
      <c r="K23" s="145">
        <v>0.50260708450999081</v>
      </c>
      <c r="L23" s="144">
        <v>0.69025989164596169</v>
      </c>
      <c r="M23" s="232">
        <v>0.30297098847739412</v>
      </c>
      <c r="N23" s="145">
        <v>5.5571175080519591E-2</v>
      </c>
      <c r="O23" s="144">
        <v>0.12236912469767572</v>
      </c>
      <c r="P23" s="232">
        <v>6.1980392502732595</v>
      </c>
      <c r="Q23" s="145">
        <v>0.93577852771871128</v>
      </c>
      <c r="R23" s="144">
        <v>3.8826445323492589</v>
      </c>
      <c r="S23" s="232">
        <v>4.0432688741826448</v>
      </c>
      <c r="T23" s="145">
        <v>0.14431354027345947</v>
      </c>
      <c r="U23" s="144">
        <v>2.3277285272626034</v>
      </c>
      <c r="V23" s="146">
        <v>6.1980392502732595</v>
      </c>
      <c r="W23" s="146">
        <v>5.9744818400647794</v>
      </c>
      <c r="X23" s="146">
        <v>2.6439890462024898</v>
      </c>
      <c r="Y23" s="146">
        <v>6.0032045696332856</v>
      </c>
      <c r="Z23" s="144">
        <v>1.1358843181508829</v>
      </c>
      <c r="AA23" s="144">
        <v>0.4219505918341846</v>
      </c>
      <c r="AB23" s="145">
        <v>4.045827339244072</v>
      </c>
      <c r="AC23" s="145">
        <v>0.24299560983792545</v>
      </c>
      <c r="AD23" s="144">
        <v>2.0645520082234694</v>
      </c>
      <c r="AE23" s="144">
        <v>2.7185214820581609E-2</v>
      </c>
      <c r="AF23" s="232">
        <v>0.44788080739254599</v>
      </c>
      <c r="AG23" s="144">
        <v>0.44324671081871397</v>
      </c>
      <c r="AH23" s="232">
        <v>2.370168303668216</v>
      </c>
      <c r="AI23" s="144">
        <v>7.4535094596931311</v>
      </c>
      <c r="AJ23" s="232">
        <v>3.8115181453545492</v>
      </c>
      <c r="AK23" s="145">
        <v>3.1613631658662924</v>
      </c>
      <c r="AL23" s="145">
        <v>1.3162080033743162</v>
      </c>
      <c r="AM23" s="145">
        <v>5.2785786338981815</v>
      </c>
      <c r="AN23" s="144">
        <v>8.8774468777289517</v>
      </c>
      <c r="AO23" s="146">
        <v>1.0140607050153292</v>
      </c>
      <c r="AP23" s="146">
        <v>7.3755112890527394</v>
      </c>
      <c r="AQ23" s="146">
        <v>0</v>
      </c>
      <c r="AR23" s="146">
        <v>3.4268373601464606</v>
      </c>
      <c r="AS23" s="146">
        <v>0</v>
      </c>
      <c r="AT23" s="146">
        <v>0</v>
      </c>
      <c r="AU23" s="146">
        <v>2.3678650556874672</v>
      </c>
      <c r="AV23" s="146">
        <v>0.17599495648730795</v>
      </c>
      <c r="AW23" s="146">
        <v>2.2999489274371423</v>
      </c>
      <c r="AX23" s="146">
        <v>0.44324671081871397</v>
      </c>
      <c r="AY23" s="232">
        <v>9.9843378619632102</v>
      </c>
      <c r="AZ23" s="144">
        <v>34.945182516871235</v>
      </c>
      <c r="BA23" s="232">
        <v>0.30241557986003997</v>
      </c>
      <c r="BB23" s="145">
        <v>0.29607016512322398</v>
      </c>
      <c r="BC23" s="144">
        <v>2.0595052019304538</v>
      </c>
      <c r="BD23" s="232">
        <v>1.3012771582180913</v>
      </c>
      <c r="BE23" s="145">
        <v>5.6926655688869481</v>
      </c>
      <c r="BF23" s="145">
        <v>5.8243485052722894</v>
      </c>
      <c r="BG23" s="145">
        <v>6.60559478006292</v>
      </c>
      <c r="BH23" s="145">
        <v>6.7027731511841582</v>
      </c>
      <c r="BI23" s="145">
        <v>3.7245539110669883</v>
      </c>
      <c r="BJ23" s="145">
        <v>4.0209801467877595</v>
      </c>
      <c r="BK23" s="145">
        <v>1.425969063427428</v>
      </c>
      <c r="BL23" s="145">
        <v>1.3554542252775832</v>
      </c>
      <c r="BM23" s="145">
        <v>5.8331905462977964</v>
      </c>
      <c r="BN23" s="145">
        <v>5.9391368454784956</v>
      </c>
      <c r="BO23" s="145">
        <v>7.6628741640132585</v>
      </c>
      <c r="BP23" s="144">
        <v>1.8681692490597521</v>
      </c>
      <c r="BQ23" s="146">
        <v>0.62015562438602034</v>
      </c>
      <c r="BR23" s="146">
        <v>0.51660820185799594</v>
      </c>
      <c r="BS23" s="232">
        <v>1.69320154357845</v>
      </c>
      <c r="BT23" s="145">
        <v>0.13162321200059157</v>
      </c>
      <c r="BU23" s="144">
        <v>0.48914336880989101</v>
      </c>
      <c r="BV23" s="146">
        <v>4.8200793391153036</v>
      </c>
      <c r="BW23" s="146">
        <v>0.42960346402153587</v>
      </c>
      <c r="BX23" s="146">
        <v>35.855888789653825</v>
      </c>
      <c r="BY23" s="146">
        <v>9.1049957897952627</v>
      </c>
      <c r="BZ23" s="146">
        <v>6.0917966033082722</v>
      </c>
    </row>
    <row r="24" spans="1:78" x14ac:dyDescent="0.35">
      <c r="A24" s="50" t="s">
        <v>1563</v>
      </c>
      <c r="B24" s="145">
        <v>1.2986779466187943</v>
      </c>
      <c r="C24" s="145">
        <v>0.48609659433777003</v>
      </c>
      <c r="D24" s="145">
        <v>1.0841564696166039</v>
      </c>
      <c r="E24" s="144">
        <v>0.6640606142486094</v>
      </c>
      <c r="F24" s="146">
        <v>0.74527474438878083</v>
      </c>
      <c r="G24" s="145">
        <v>5.2500346470865704</v>
      </c>
      <c r="H24" s="145">
        <v>0.89029311806065636</v>
      </c>
      <c r="I24" s="144">
        <v>4.7704630788937195</v>
      </c>
      <c r="J24" s="145">
        <v>5.8245663379475179</v>
      </c>
      <c r="K24" s="145">
        <v>1.0201923668841697</v>
      </c>
      <c r="L24" s="144">
        <v>1.740848462543672</v>
      </c>
      <c r="M24" s="232">
        <v>0.54996520520461512</v>
      </c>
      <c r="N24" s="145">
        <v>0.27979491306256044</v>
      </c>
      <c r="O24" s="144">
        <v>0.35274089194091518</v>
      </c>
      <c r="P24" s="232">
        <v>17.075723168863366</v>
      </c>
      <c r="Q24" s="145">
        <v>2.4600817677821163</v>
      </c>
      <c r="R24" s="144">
        <v>10.644840952387618</v>
      </c>
      <c r="S24" s="232">
        <v>11.016627602339211</v>
      </c>
      <c r="T24" s="145">
        <v>0.379387962808167</v>
      </c>
      <c r="U24" s="144">
        <v>6.3362421609455524</v>
      </c>
      <c r="V24" s="146">
        <v>17.075723168863366</v>
      </c>
      <c r="W24" s="146">
        <v>11.480954627075471</v>
      </c>
      <c r="X24" s="146">
        <v>5.8533513737617664</v>
      </c>
      <c r="Y24" s="146">
        <v>13.495726724809236</v>
      </c>
      <c r="Z24" s="144">
        <v>3.0474850067779924</v>
      </c>
      <c r="AA24" s="144">
        <v>0.92263942084219863</v>
      </c>
      <c r="AB24" s="145">
        <v>7.063759325315222</v>
      </c>
      <c r="AC24" s="145">
        <v>0.39885820247549703</v>
      </c>
      <c r="AD24" s="144">
        <v>3.591345840315725</v>
      </c>
      <c r="AE24" s="144">
        <v>0.205187401280539</v>
      </c>
      <c r="AF24" s="232">
        <v>1.0341594154136189</v>
      </c>
      <c r="AG24" s="144">
        <v>1.876355215314383</v>
      </c>
      <c r="AH24" s="232">
        <v>1.5654937628362526</v>
      </c>
      <c r="AI24" s="144">
        <v>2.1234636690336193</v>
      </c>
      <c r="AJ24" s="232">
        <v>1.4556147716860037</v>
      </c>
      <c r="AK24" s="145">
        <v>2.3319863920627122</v>
      </c>
      <c r="AL24" s="145">
        <v>2.9601979095443385</v>
      </c>
      <c r="AM24" s="145">
        <v>9.6212709295407848</v>
      </c>
      <c r="AN24" s="144">
        <v>16.238043580150215</v>
      </c>
      <c r="AO24" s="146">
        <v>2.3082065787773387</v>
      </c>
      <c r="AP24" s="146">
        <v>32.330908751514244</v>
      </c>
      <c r="AQ24" s="146">
        <v>0</v>
      </c>
      <c r="AR24" s="146">
        <v>5.426506577165112</v>
      </c>
      <c r="AS24" s="146">
        <v>0</v>
      </c>
      <c r="AT24" s="146">
        <v>0</v>
      </c>
      <c r="AU24" s="146">
        <v>5.3180261944192857</v>
      </c>
      <c r="AV24" s="146">
        <v>0.40493332844220442</v>
      </c>
      <c r="AW24" s="146">
        <v>5.4694103994672147</v>
      </c>
      <c r="AX24" s="146">
        <v>1.876355215314383</v>
      </c>
      <c r="AY24" s="232">
        <v>18.185071487377986</v>
      </c>
      <c r="AZ24" s="144">
        <v>63.647750205822952</v>
      </c>
      <c r="BA24" s="232">
        <v>0.51540523308704811</v>
      </c>
      <c r="BB24" s="145">
        <v>0.50459077715532574</v>
      </c>
      <c r="BC24" s="144">
        <v>4.8897160738944221</v>
      </c>
      <c r="BD24" s="232">
        <v>2.6462246645434395</v>
      </c>
      <c r="BE24" s="145">
        <v>12.696921867597871</v>
      </c>
      <c r="BF24" s="145">
        <v>12.792651723259789</v>
      </c>
      <c r="BG24" s="145">
        <v>15.218178625960583</v>
      </c>
      <c r="BH24" s="145">
        <v>15.98985283912771</v>
      </c>
      <c r="BI24" s="145">
        <v>7.531398154475113</v>
      </c>
      <c r="BJ24" s="145">
        <v>8.8063675051810648</v>
      </c>
      <c r="BK24" s="145">
        <v>2.9798983568531994</v>
      </c>
      <c r="BL24" s="145">
        <v>3.0416488785876972</v>
      </c>
      <c r="BM24" s="145">
        <v>12.139070521054299</v>
      </c>
      <c r="BN24" s="145">
        <v>11.951051898760356</v>
      </c>
      <c r="BO24" s="145">
        <v>16.893703863481527</v>
      </c>
      <c r="BP24" s="144">
        <v>2.2459932521342951</v>
      </c>
      <c r="BQ24" s="146">
        <v>6.116237712694339</v>
      </c>
      <c r="BR24" s="146">
        <v>0.91391770404772454</v>
      </c>
      <c r="BS24" s="232">
        <v>4.6495442674033507</v>
      </c>
      <c r="BT24" s="145">
        <v>0.21818804412804871</v>
      </c>
      <c r="BU24" s="144">
        <v>0.80711687788774267</v>
      </c>
      <c r="BV24" s="146">
        <v>8.9213636882864886</v>
      </c>
      <c r="BW24" s="146">
        <v>1.0699189219948106</v>
      </c>
      <c r="BX24" s="146">
        <v>77.758230074716337</v>
      </c>
      <c r="BY24" s="146">
        <v>19.396936484393798</v>
      </c>
      <c r="BZ24" s="146">
        <v>14.681459977838378</v>
      </c>
    </row>
    <row r="25" spans="1:78" x14ac:dyDescent="0.35">
      <c r="A25" s="50" t="s">
        <v>1522</v>
      </c>
      <c r="B25" s="145">
        <v>0.79860916946063665</v>
      </c>
      <c r="C25" s="145">
        <v>0.36859345084940964</v>
      </c>
      <c r="D25" s="145">
        <v>0.68508501974727265</v>
      </c>
      <c r="E25" s="144">
        <v>0.55914198838123363</v>
      </c>
      <c r="F25" s="146">
        <v>0.50237140784841583</v>
      </c>
      <c r="G25" s="145">
        <v>2.9892411676405577</v>
      </c>
      <c r="H25" s="145">
        <v>0.40254082403534414</v>
      </c>
      <c r="I25" s="144">
        <v>2.704704129843984</v>
      </c>
      <c r="J25" s="145">
        <v>3.2825204620528958</v>
      </c>
      <c r="K25" s="145">
        <v>0.4320129906766858</v>
      </c>
      <c r="L25" s="144">
        <v>0.85958911138311733</v>
      </c>
      <c r="M25" s="232">
        <v>2.3231381241049678</v>
      </c>
      <c r="N25" s="145">
        <v>2.3723039132797032E-2</v>
      </c>
      <c r="O25" s="144">
        <v>0.64456511207528311</v>
      </c>
      <c r="P25" s="232">
        <v>6.3645665443124546</v>
      </c>
      <c r="Q25" s="145">
        <v>9.6377920082164725E-2</v>
      </c>
      <c r="R25" s="144">
        <v>3.6065635496511277</v>
      </c>
      <c r="S25" s="232">
        <v>4.0529282647614613</v>
      </c>
      <c r="T25" s="145">
        <v>1.4863173752401572E-2</v>
      </c>
      <c r="U25" s="144">
        <v>2.2761796247174755</v>
      </c>
      <c r="V25" s="146">
        <v>6.3645665443124546</v>
      </c>
      <c r="W25" s="146">
        <v>22.941439323606655</v>
      </c>
      <c r="X25" s="146">
        <v>13.185851344633472</v>
      </c>
      <c r="Y25" s="146">
        <v>29.245074090899532</v>
      </c>
      <c r="Z25" s="144">
        <v>0.29047055054865373</v>
      </c>
      <c r="AA25" s="144">
        <v>0.96729984008608605</v>
      </c>
      <c r="AB25" s="145">
        <v>0.67804123107730085</v>
      </c>
      <c r="AC25" s="145">
        <v>4.0200657736597568E-2</v>
      </c>
      <c r="AD25" s="144">
        <v>0.34572629236679442</v>
      </c>
      <c r="AE25" s="144">
        <v>1.211538462505253E-2</v>
      </c>
      <c r="AF25" s="232">
        <v>6.3650885081833405E-2</v>
      </c>
      <c r="AG25" s="144">
        <v>0.70450173146442086</v>
      </c>
      <c r="AH25" s="232">
        <v>0.15628877930363053</v>
      </c>
      <c r="AI25" s="144">
        <v>0.16972274764272371</v>
      </c>
      <c r="AJ25" s="232">
        <v>0.13133931535617968</v>
      </c>
      <c r="AK25" s="145">
        <v>0.54231362822312568</v>
      </c>
      <c r="AL25" s="145">
        <v>1.984639143432477</v>
      </c>
      <c r="AM25" s="145">
        <v>3.4935592414415555</v>
      </c>
      <c r="AN25" s="144">
        <v>2.849016858270264</v>
      </c>
      <c r="AO25" s="146">
        <v>0.37728013155178891</v>
      </c>
      <c r="AP25" s="146">
        <v>6.959374607090461</v>
      </c>
      <c r="AQ25" s="146">
        <v>0</v>
      </c>
      <c r="AR25" s="146">
        <v>0.49231816603617506</v>
      </c>
      <c r="AS25" s="146">
        <v>0</v>
      </c>
      <c r="AT25" s="146">
        <v>0</v>
      </c>
      <c r="AU25" s="146">
        <v>0.96048914104475624</v>
      </c>
      <c r="AV25" s="146">
        <v>1.5381256148699454</v>
      </c>
      <c r="AW25" s="146">
        <v>1.7394415824308067</v>
      </c>
      <c r="AX25" s="146">
        <v>0.70450173146442086</v>
      </c>
      <c r="AY25" s="232">
        <v>2.002807032395975</v>
      </c>
      <c r="AZ25" s="144">
        <v>7.0098246133859128</v>
      </c>
      <c r="BA25" s="232">
        <v>5.758614944522536E-2</v>
      </c>
      <c r="BB25" s="145">
        <v>5.637785190481643E-2</v>
      </c>
      <c r="BC25" s="144">
        <v>0.83522781056814077</v>
      </c>
      <c r="BD25" s="232">
        <v>1.839516293968698</v>
      </c>
      <c r="BE25" s="145">
        <v>6.5438518904444303</v>
      </c>
      <c r="BF25" s="145">
        <v>8.5033886733969677</v>
      </c>
      <c r="BG25" s="145">
        <v>7.3027815631909165</v>
      </c>
      <c r="BH25" s="145">
        <v>6.4431115683839719</v>
      </c>
      <c r="BI25" s="145">
        <v>0.85710199360261152</v>
      </c>
      <c r="BJ25" s="145">
        <v>6.381726095767843</v>
      </c>
      <c r="BK25" s="145">
        <v>0.55446245776454894</v>
      </c>
      <c r="BL25" s="145">
        <v>0.58080212763397132</v>
      </c>
      <c r="BM25" s="145">
        <v>18.112423655527074</v>
      </c>
      <c r="BN25" s="145">
        <v>18.019282500340609</v>
      </c>
      <c r="BO25" s="145">
        <v>7.4065287500789161</v>
      </c>
      <c r="BP25" s="144">
        <v>0.12830268600392591</v>
      </c>
      <c r="BQ25" s="146">
        <v>2.5041778597698618</v>
      </c>
      <c r="BR25" s="146">
        <v>0.10935923668472754</v>
      </c>
      <c r="BS25" s="232">
        <v>0.69641695514478763</v>
      </c>
      <c r="BT25" s="145">
        <v>1.18962875251398E-2</v>
      </c>
      <c r="BU25" s="144">
        <v>4.3709367923332479E-2</v>
      </c>
      <c r="BV25" s="146">
        <v>1.1985830044982797</v>
      </c>
      <c r="BW25" s="146">
        <v>0.20162821622937874</v>
      </c>
      <c r="BX25" s="146">
        <v>11.092970879286312</v>
      </c>
      <c r="BY25" s="146">
        <v>2.3495778812082571</v>
      </c>
      <c r="BZ25" s="146">
        <v>1.466994160776999</v>
      </c>
    </row>
    <row r="26" spans="1:78" x14ac:dyDescent="0.35">
      <c r="A26" s="50" t="s">
        <v>1521</v>
      </c>
      <c r="B26" s="145">
        <v>0.37769315584685714</v>
      </c>
      <c r="C26" s="145">
        <v>0.18381980501542619</v>
      </c>
      <c r="D26" s="145">
        <v>0.32651059122735937</v>
      </c>
      <c r="E26" s="144">
        <v>0.2781838941317693</v>
      </c>
      <c r="F26" s="146">
        <v>0.22973410953284071</v>
      </c>
      <c r="G26" s="145">
        <v>1.3971561859270201</v>
      </c>
      <c r="H26" s="145">
        <v>0.19801497741432347</v>
      </c>
      <c r="I26" s="144">
        <v>1.2652506529906236</v>
      </c>
      <c r="J26" s="145">
        <v>1.5364095422943569</v>
      </c>
      <c r="K26" s="145">
        <v>0.2149727618219511</v>
      </c>
      <c r="L26" s="144">
        <v>0.41318827889281196</v>
      </c>
      <c r="M26" s="232">
        <v>1.1409622119543466</v>
      </c>
      <c r="N26" s="145">
        <v>8.2281995866062795E-3</v>
      </c>
      <c r="O26" s="144">
        <v>0.31406638292589617</v>
      </c>
      <c r="P26" s="232">
        <v>3.1938086605659946</v>
      </c>
      <c r="Q26" s="145">
        <v>7.9771894785621911E-2</v>
      </c>
      <c r="R26" s="144">
        <v>1.8236324836226308</v>
      </c>
      <c r="S26" s="232">
        <v>2.0351814045274041</v>
      </c>
      <c r="T26" s="145">
        <v>1.2302232002373428E-2</v>
      </c>
      <c r="U26" s="144">
        <v>1.1451145686163906</v>
      </c>
      <c r="V26" s="146">
        <v>3.1938086605659946</v>
      </c>
      <c r="W26" s="146">
        <v>2.956601238015502</v>
      </c>
      <c r="X26" s="146">
        <v>1.6659111063352918</v>
      </c>
      <c r="Y26" s="146">
        <v>3.7444008287025947</v>
      </c>
      <c r="Z26" s="144">
        <v>0.15607787349531685</v>
      </c>
      <c r="AA26" s="144">
        <v>0.47590272725736238</v>
      </c>
      <c r="AB26" s="145">
        <v>0.41426053967207732</v>
      </c>
      <c r="AC26" s="145">
        <v>2.4616529431077595E-2</v>
      </c>
      <c r="AD26" s="144">
        <v>0.21125601033651645</v>
      </c>
      <c r="AE26" s="144">
        <v>1.1003263838947281E-2</v>
      </c>
      <c r="AF26" s="232">
        <v>4.5188638549735545E-2</v>
      </c>
      <c r="AG26" s="144">
        <v>0.36455189197749077</v>
      </c>
      <c r="AH26" s="232">
        <v>6.4189732686891404E-2</v>
      </c>
      <c r="AI26" s="144">
        <v>0.10241396631985501</v>
      </c>
      <c r="AJ26" s="232">
        <v>5.3656458675322725E-2</v>
      </c>
      <c r="AK26" s="145">
        <v>0.14589929521441869</v>
      </c>
      <c r="AL26" s="145">
        <v>0.4499105022881934</v>
      </c>
      <c r="AM26" s="145">
        <v>0.85679545585140271</v>
      </c>
      <c r="AN26" s="144">
        <v>1.1655719337031341</v>
      </c>
      <c r="AO26" s="146">
        <v>0.20046125881929192</v>
      </c>
      <c r="AP26" s="146">
        <v>2.7672571863822668</v>
      </c>
      <c r="AQ26" s="146">
        <v>0</v>
      </c>
      <c r="AR26" s="146">
        <v>0.32430322205036205</v>
      </c>
      <c r="AS26" s="146">
        <v>0</v>
      </c>
      <c r="AT26" s="146">
        <v>0</v>
      </c>
      <c r="AU26" s="146">
        <v>0.41802039086877341</v>
      </c>
      <c r="AV26" s="146">
        <v>0.76639065177231658</v>
      </c>
      <c r="AW26" s="146">
        <v>0.89288355931588348</v>
      </c>
      <c r="AX26" s="146">
        <v>0.36455189197749077</v>
      </c>
      <c r="AY26" s="232">
        <v>1.1886784978051395</v>
      </c>
      <c r="AZ26" s="144">
        <v>4.1603747423179884</v>
      </c>
      <c r="BA26" s="232">
        <v>3.3002467129278942E-2</v>
      </c>
      <c r="BB26" s="145">
        <v>3.2309995063619056E-2</v>
      </c>
      <c r="BC26" s="144">
        <v>0.43652391182883832</v>
      </c>
      <c r="BD26" s="232">
        <v>1.3095135775181921</v>
      </c>
      <c r="BE26" s="145">
        <v>2.0617471844181483</v>
      </c>
      <c r="BF26" s="145">
        <v>2.1596884368472931</v>
      </c>
      <c r="BG26" s="145">
        <v>2.4531059559816359</v>
      </c>
      <c r="BH26" s="145">
        <v>2.5593464921169726</v>
      </c>
      <c r="BI26" s="145">
        <v>0.56750213672415151</v>
      </c>
      <c r="BJ26" s="145">
        <v>2.0293992182284732</v>
      </c>
      <c r="BK26" s="145">
        <v>0.3027687433582566</v>
      </c>
      <c r="BL26" s="145">
        <v>0.44289306840703058</v>
      </c>
      <c r="BM26" s="145">
        <v>2.5151625990525268</v>
      </c>
      <c r="BN26" s="145">
        <v>2.5624662442741348</v>
      </c>
      <c r="BO26" s="145">
        <v>2.6842516999131498</v>
      </c>
      <c r="BP26" s="144">
        <v>0.11245756043099564</v>
      </c>
      <c r="BQ26" s="146">
        <v>1.2243820747504797</v>
      </c>
      <c r="BR26" s="146">
        <v>6.1422340602859879E-2</v>
      </c>
      <c r="BS26" s="232">
        <v>0.33662486766172084</v>
      </c>
      <c r="BT26" s="145">
        <v>8.5159832325059255E-3</v>
      </c>
      <c r="BU26" s="144">
        <v>3.1648063805247324E-2</v>
      </c>
      <c r="BV26" s="146">
        <v>0.61394646492999239</v>
      </c>
      <c r="BW26" s="146">
        <v>0.10471840367634407</v>
      </c>
      <c r="BX26" s="146">
        <v>5.424708416827758</v>
      </c>
      <c r="BY26" s="146">
        <v>1.2551984910011438</v>
      </c>
      <c r="BZ26" s="146">
        <v>0.59428948954414174</v>
      </c>
    </row>
    <row r="27" spans="1:78" x14ac:dyDescent="0.35">
      <c r="A27" s="50" t="s">
        <v>1520</v>
      </c>
      <c r="B27" s="145">
        <v>5.4419127467295505</v>
      </c>
      <c r="C27" s="145">
        <v>1.0769551930296091</v>
      </c>
      <c r="D27" s="145">
        <v>4.2895639525527658</v>
      </c>
      <c r="E27" s="144">
        <v>1.5427644395678297</v>
      </c>
      <c r="F27" s="146">
        <v>1.4940807344652345</v>
      </c>
      <c r="G27" s="145">
        <v>26.83838766036202</v>
      </c>
      <c r="H27" s="145">
        <v>2.4092179022064446</v>
      </c>
      <c r="I27" s="144">
        <v>24.151178986964908</v>
      </c>
      <c r="J27" s="145">
        <v>29.526042878857712</v>
      </c>
      <c r="K27" s="145">
        <v>2.6054406965091754</v>
      </c>
      <c r="L27" s="144">
        <v>6.6435310238614562</v>
      </c>
      <c r="M27" s="232">
        <v>13.892743768312869</v>
      </c>
      <c r="N27" s="145">
        <v>2.9571819531459167</v>
      </c>
      <c r="O27" s="144">
        <v>5.9097836432409938</v>
      </c>
      <c r="P27" s="232">
        <v>530.76895633877609</v>
      </c>
      <c r="Q27" s="145">
        <v>0.82481608017944685</v>
      </c>
      <c r="R27" s="144">
        <v>297.59353462499359</v>
      </c>
      <c r="S27" s="232">
        <v>336.27475473285193</v>
      </c>
      <c r="T27" s="145">
        <v>0.12720117536288866</v>
      </c>
      <c r="U27" s="144">
        <v>188.36983116755678</v>
      </c>
      <c r="V27" s="146">
        <v>530.76895633877609</v>
      </c>
      <c r="W27" s="146">
        <v>45.318265264747843</v>
      </c>
      <c r="X27" s="146">
        <v>25.630556353983906</v>
      </c>
      <c r="Y27" s="146">
        <v>59.226421074343079</v>
      </c>
      <c r="Z27" s="144">
        <v>66.038787722059567</v>
      </c>
      <c r="AA27" s="144">
        <v>2.1747504004309457</v>
      </c>
      <c r="AB27" s="145">
        <v>7.5368900066491777</v>
      </c>
      <c r="AC27" s="145">
        <v>0.44894301092517674</v>
      </c>
      <c r="AD27" s="144">
        <v>3.8440696218769728</v>
      </c>
      <c r="AE27" s="144">
        <v>9.1558338419000815</v>
      </c>
      <c r="AF27" s="232">
        <v>0.64776418937827351</v>
      </c>
      <c r="AG27" s="144">
        <v>1.4595318314983503</v>
      </c>
      <c r="AH27" s="232">
        <v>11.745467945738374</v>
      </c>
      <c r="AI27" s="144">
        <v>5.5574698216151628</v>
      </c>
      <c r="AJ27" s="232">
        <v>10.721565588343751</v>
      </c>
      <c r="AK27" s="145">
        <v>8.0156413364096899</v>
      </c>
      <c r="AL27" s="145">
        <v>3.7741180634251119</v>
      </c>
      <c r="AM27" s="145">
        <v>15.418451791596857</v>
      </c>
      <c r="AN27" s="144">
        <v>26.742714914646943</v>
      </c>
      <c r="AO27" s="146">
        <v>6.3194801264848959</v>
      </c>
      <c r="AP27" s="146">
        <v>122.07802219086746</v>
      </c>
      <c r="AQ27" s="146">
        <v>0</v>
      </c>
      <c r="AR27" s="146">
        <v>4.9536409488262727</v>
      </c>
      <c r="AS27" s="146">
        <v>0</v>
      </c>
      <c r="AT27" s="146">
        <v>0</v>
      </c>
      <c r="AU27" s="146">
        <v>14.442133287230307</v>
      </c>
      <c r="AV27" s="146">
        <v>0.71232599947186093</v>
      </c>
      <c r="AW27" s="146">
        <v>15.720095920539341</v>
      </c>
      <c r="AX27" s="146">
        <v>1.4595318314983503</v>
      </c>
      <c r="AY27" s="232">
        <v>29.680002216999032</v>
      </c>
      <c r="AZ27" s="144">
        <v>103.88000775949661</v>
      </c>
      <c r="BA27" s="232">
        <v>0.6924563511560281</v>
      </c>
      <c r="BB27" s="145">
        <v>0.67792693194667097</v>
      </c>
      <c r="BC27" s="144">
        <v>14.234592370797984</v>
      </c>
      <c r="BD27" s="232">
        <v>1.3635148425586587</v>
      </c>
      <c r="BE27" s="145">
        <v>184.66855482473196</v>
      </c>
      <c r="BF27" s="145">
        <v>160.07349309650468</v>
      </c>
      <c r="BG27" s="145">
        <v>264.99183143091881</v>
      </c>
      <c r="BH27" s="145">
        <v>345.10538739632449</v>
      </c>
      <c r="BI27" s="145">
        <v>40.365754185607173</v>
      </c>
      <c r="BJ27" s="145">
        <v>98.697393114479439</v>
      </c>
      <c r="BK27" s="145">
        <v>10.850644871748489</v>
      </c>
      <c r="BL27" s="145">
        <v>18.515719899221676</v>
      </c>
      <c r="BM27" s="145">
        <v>40.522726463706</v>
      </c>
      <c r="BN27" s="145">
        <v>38.140461661086619</v>
      </c>
      <c r="BO27" s="145">
        <v>351.9253992735953</v>
      </c>
      <c r="BP27" s="144">
        <v>0.8059603084433008</v>
      </c>
      <c r="BQ27" s="146">
        <v>36.213427253729257</v>
      </c>
      <c r="BR27" s="146">
        <v>1.4142079285643294</v>
      </c>
      <c r="BS27" s="232">
        <v>62.543492318046169</v>
      </c>
      <c r="BT27" s="145">
        <v>0.12685160169866874</v>
      </c>
      <c r="BU27" s="144">
        <v>0.45721765696126965</v>
      </c>
      <c r="BV27" s="146">
        <v>16.006118334723322</v>
      </c>
      <c r="BW27" s="146">
        <v>2.8247556941885672</v>
      </c>
      <c r="BX27" s="146">
        <v>172.16948620942057</v>
      </c>
      <c r="BY27" s="146">
        <v>37.478248462061579</v>
      </c>
      <c r="BZ27" s="146">
        <v>2.5370315828876921</v>
      </c>
    </row>
    <row r="28" spans="1:78" x14ac:dyDescent="0.35">
      <c r="A28" s="50" t="s">
        <v>1519</v>
      </c>
      <c r="B28" s="145">
        <v>5.7447881202765125E-3</v>
      </c>
      <c r="C28" s="145">
        <v>3.0826650399958344E-3</v>
      </c>
      <c r="D28" s="145">
        <v>5.0419876270824133E-3</v>
      </c>
      <c r="E28" s="144">
        <v>4.1004606576337177E-3</v>
      </c>
      <c r="F28" s="146">
        <v>3.5564846303542241E-3</v>
      </c>
      <c r="G28" s="145">
        <v>3.6062803563448521E-2</v>
      </c>
      <c r="H28" s="145">
        <v>6.7791991615819983E-3</v>
      </c>
      <c r="I28" s="144">
        <v>3.2841607079243204E-2</v>
      </c>
      <c r="J28" s="145">
        <v>4.0233536796788025E-2</v>
      </c>
      <c r="K28" s="145">
        <v>7.9634157745728656E-3</v>
      </c>
      <c r="L28" s="144">
        <v>1.280393392790514E-2</v>
      </c>
      <c r="M28" s="232">
        <v>5.9981817418929863E-3</v>
      </c>
      <c r="N28" s="145">
        <v>4.0840013623804386E-4</v>
      </c>
      <c r="O28" s="144">
        <v>1.9176411697648785E-3</v>
      </c>
      <c r="P28" s="232">
        <v>0.31777308572293095</v>
      </c>
      <c r="Q28" s="145">
        <v>4.3165396927813217E-2</v>
      </c>
      <c r="R28" s="144">
        <v>0.19694570265307917</v>
      </c>
      <c r="S28" s="232">
        <v>0.20272058011699456</v>
      </c>
      <c r="T28" s="145">
        <v>6.6568649134833924E-3</v>
      </c>
      <c r="U28" s="144">
        <v>0.11645254542744965</v>
      </c>
      <c r="V28" s="146">
        <v>0.31777308572293095</v>
      </c>
      <c r="W28" s="146">
        <v>0.20169668330689391</v>
      </c>
      <c r="X28" s="146">
        <v>0.11024102122371014</v>
      </c>
      <c r="Y28" s="146">
        <v>0.24733471157019832</v>
      </c>
      <c r="Z28" s="144">
        <v>4.2241283141780613E-2</v>
      </c>
      <c r="AA28" s="144">
        <v>5.3048253400336774E-3</v>
      </c>
      <c r="AB28" s="145">
        <v>6.5428216762637659E-2</v>
      </c>
      <c r="AC28" s="145">
        <v>3.1828258648186154E-3</v>
      </c>
      <c r="AD28" s="144">
        <v>3.2998368104873936E-2</v>
      </c>
      <c r="AE28" s="144">
        <v>1.4578567182451125E-3</v>
      </c>
      <c r="AF28" s="232">
        <v>6.1621501167694161E-3</v>
      </c>
      <c r="AG28" s="144">
        <v>7.161127758990588E-3</v>
      </c>
      <c r="AH28" s="232">
        <v>9.58950249640661E-3</v>
      </c>
      <c r="AI28" s="144">
        <v>2.1613537855459754E-2</v>
      </c>
      <c r="AJ28" s="232">
        <v>9.218671986243359E-3</v>
      </c>
      <c r="AK28" s="145">
        <v>1.7657435741789716E-2</v>
      </c>
      <c r="AL28" s="145">
        <v>1.7195448364141899E-2</v>
      </c>
      <c r="AM28" s="145">
        <v>7.3108027331569667E-2</v>
      </c>
      <c r="AN28" s="144">
        <v>0.1265944192712867</v>
      </c>
      <c r="AO28" s="146">
        <v>1.9028773004475454E-2</v>
      </c>
      <c r="AP28" s="146">
        <v>0.17589655769526943</v>
      </c>
      <c r="AQ28" s="146">
        <v>0</v>
      </c>
      <c r="AR28" s="146">
        <v>4.4863586318659582E-2</v>
      </c>
      <c r="AS28" s="146">
        <v>0</v>
      </c>
      <c r="AT28" s="146">
        <v>0</v>
      </c>
      <c r="AU28" s="146">
        <v>3.0962450389273245E-2</v>
      </c>
      <c r="AV28" s="146">
        <v>1.8487002859765686E-3</v>
      </c>
      <c r="AW28" s="146">
        <v>4.4638374351547473E-2</v>
      </c>
      <c r="AX28" s="146">
        <v>7.161127758990588E-3</v>
      </c>
      <c r="AY28" s="232">
        <v>0.14296234489262735</v>
      </c>
      <c r="AZ28" s="144">
        <v>0.50036820712419572</v>
      </c>
      <c r="BA28" s="232">
        <v>3.9604279059426732E-3</v>
      </c>
      <c r="BB28" s="145">
        <v>3.877328491520649E-3</v>
      </c>
      <c r="BC28" s="144">
        <v>4.0038590899161342E-2</v>
      </c>
      <c r="BD28" s="232">
        <v>0.14861527434286256</v>
      </c>
      <c r="BE28" s="145">
        <v>0.21535851016454605</v>
      </c>
      <c r="BF28" s="145">
        <v>0.21789187375206456</v>
      </c>
      <c r="BG28" s="145">
        <v>0.2627295859887126</v>
      </c>
      <c r="BH28" s="145">
        <v>0.26261385414853305</v>
      </c>
      <c r="BI28" s="145">
        <v>0.10123527592806512</v>
      </c>
      <c r="BJ28" s="145">
        <v>0.23974360202622225</v>
      </c>
      <c r="BK28" s="145">
        <v>4.4269284773472389E-2</v>
      </c>
      <c r="BL28" s="145">
        <v>5.1375894923898893E-2</v>
      </c>
      <c r="BM28" s="145">
        <v>0.19748701873463606</v>
      </c>
      <c r="BN28" s="145">
        <v>0.21890326641291238</v>
      </c>
      <c r="BO28" s="145">
        <v>0.27611373656864896</v>
      </c>
      <c r="BP28" s="144">
        <v>1.8112582332378894E-2</v>
      </c>
      <c r="BQ28" s="146">
        <v>1.1524641889114036E-2</v>
      </c>
      <c r="BR28" s="146">
        <v>7.0525044887532369E-3</v>
      </c>
      <c r="BS28" s="232">
        <v>2.8659136307701324E-2</v>
      </c>
      <c r="BT28" s="145">
        <v>1.3731823778988937E-3</v>
      </c>
      <c r="BU28" s="144">
        <v>5.135215799457608E-3</v>
      </c>
      <c r="BV28" s="146">
        <v>6.3097729782100861E-2</v>
      </c>
      <c r="BW28" s="146">
        <v>7.3971764479802467E-3</v>
      </c>
      <c r="BX28" s="146">
        <v>0.51855000118812866</v>
      </c>
      <c r="BY28" s="146">
        <v>0.13870612646255129</v>
      </c>
      <c r="BZ28" s="146">
        <v>4.2326792620034873E-2</v>
      </c>
    </row>
    <row r="29" spans="1:78" x14ac:dyDescent="0.35">
      <c r="A29" s="50" t="s">
        <v>1518</v>
      </c>
      <c r="B29" s="145">
        <v>1.2494289766089175E-2</v>
      </c>
      <c r="C29" s="145">
        <v>7.2105938531836144E-3</v>
      </c>
      <c r="D29" s="145">
        <v>1.1099394045082107E-2</v>
      </c>
      <c r="E29" s="144">
        <v>9.5947613274959837E-3</v>
      </c>
      <c r="F29" s="146">
        <v>8.7965137387335506E-3</v>
      </c>
      <c r="G29" s="145">
        <v>6.7127109062817797E-2</v>
      </c>
      <c r="H29" s="145">
        <v>1.4416336432701009E-2</v>
      </c>
      <c r="I29" s="144">
        <v>6.1328924073504952E-2</v>
      </c>
      <c r="J29" s="145">
        <v>7.5120161352078912E-2</v>
      </c>
      <c r="K29" s="145">
        <v>1.7033629769241533E-2</v>
      </c>
      <c r="L29" s="144">
        <v>2.5746609506667139E-2</v>
      </c>
      <c r="M29" s="232">
        <v>5.746160535879296E-3</v>
      </c>
      <c r="N29" s="145">
        <v>9.8277817395261112E-4</v>
      </c>
      <c r="O29" s="144">
        <v>2.2688914116728159E-3</v>
      </c>
      <c r="P29" s="232">
        <v>0.12698547830659579</v>
      </c>
      <c r="Q29" s="145">
        <v>1.9292013597763502E-2</v>
      </c>
      <c r="R29" s="144">
        <v>7.9600353834709592E-2</v>
      </c>
      <c r="S29" s="232">
        <v>8.4047006382844763E-2</v>
      </c>
      <c r="T29" s="145">
        <v>2.9751684814613016E-3</v>
      </c>
      <c r="U29" s="144">
        <v>4.8375397706236049E-2</v>
      </c>
      <c r="V29" s="146">
        <v>0.12698547830659579</v>
      </c>
      <c r="W29" s="146">
        <v>0.19514543131549444</v>
      </c>
      <c r="X29" s="146">
        <v>9.8321910696815659E-2</v>
      </c>
      <c r="Y29" s="146">
        <v>0.22666041228944964</v>
      </c>
      <c r="Z29" s="144">
        <v>2.7718677587882212E-2</v>
      </c>
      <c r="AA29" s="144">
        <v>1.2281091043794186E-2</v>
      </c>
      <c r="AB29" s="145">
        <v>0.12000568379691416</v>
      </c>
      <c r="AC29" s="145">
        <v>7.4218269917371718E-3</v>
      </c>
      <c r="AD29" s="144">
        <v>6.1349494401416946E-2</v>
      </c>
      <c r="AE29" s="144">
        <v>5.5723108332642497E-3</v>
      </c>
      <c r="AF29" s="232">
        <v>1.2833107692639817E-2</v>
      </c>
      <c r="AG29" s="144">
        <v>1.4529193407978902E-2</v>
      </c>
      <c r="AH29" s="232">
        <v>1.7051464257417052E-2</v>
      </c>
      <c r="AI29" s="144">
        <v>2.46816046190853E-2</v>
      </c>
      <c r="AJ29" s="232">
        <v>1.5768169692874819E-2</v>
      </c>
      <c r="AK29" s="145">
        <v>2.7173467940826593E-2</v>
      </c>
      <c r="AL29" s="145">
        <v>3.4084479147978138E-2</v>
      </c>
      <c r="AM29" s="145">
        <v>0.14683885955870957</v>
      </c>
      <c r="AN29" s="144">
        <v>0.2602115032175254</v>
      </c>
      <c r="AO29" s="146">
        <v>2.9319005401225718E-2</v>
      </c>
      <c r="AP29" s="146">
        <v>0.31883537439297027</v>
      </c>
      <c r="AQ29" s="146">
        <v>0</v>
      </c>
      <c r="AR29" s="146">
        <v>0.10454784466138181</v>
      </c>
      <c r="AS29" s="146">
        <v>0</v>
      </c>
      <c r="AT29" s="146">
        <v>0</v>
      </c>
      <c r="AU29" s="146">
        <v>7.2687909985159824E-2</v>
      </c>
      <c r="AV29" s="146">
        <v>4.1530818052948537E-3</v>
      </c>
      <c r="AW29" s="146">
        <v>6.5321071999111191E-2</v>
      </c>
      <c r="AX29" s="146">
        <v>1.4529193407978902E-2</v>
      </c>
      <c r="AY29" s="232">
        <v>0.29792851086894001</v>
      </c>
      <c r="AZ29" s="144">
        <v>1.0427497880412901</v>
      </c>
      <c r="BA29" s="232">
        <v>9.241557127982079E-3</v>
      </c>
      <c r="BB29" s="145">
        <v>9.0476467718484267E-3</v>
      </c>
      <c r="BC29" s="144">
        <v>5.9156022415183168E-2</v>
      </c>
      <c r="BD29" s="232">
        <v>0.3380020969966695</v>
      </c>
      <c r="BE29" s="145">
        <v>0.20019829319869198</v>
      </c>
      <c r="BF29" s="145">
        <v>0.20990563570505102</v>
      </c>
      <c r="BG29" s="145">
        <v>0.21838270636823753</v>
      </c>
      <c r="BH29" s="145">
        <v>0.17437182317358191</v>
      </c>
      <c r="BI29" s="145">
        <v>0.16864573180721842</v>
      </c>
      <c r="BJ29" s="145">
        <v>0.34203973177167346</v>
      </c>
      <c r="BK29" s="145">
        <v>5.8358082914235096E-2</v>
      </c>
      <c r="BL29" s="145">
        <v>7.7605303827083305E-2</v>
      </c>
      <c r="BM29" s="145">
        <v>0.2078344550230154</v>
      </c>
      <c r="BN29" s="145">
        <v>0.2313739539957059</v>
      </c>
      <c r="BO29" s="145">
        <v>0.18798937541041785</v>
      </c>
      <c r="BP29" s="144">
        <v>4.0580576220447168E-2</v>
      </c>
      <c r="BQ29" s="146">
        <v>2.4657010377453947E-2</v>
      </c>
      <c r="BR29" s="146">
        <v>1.5704829781335233E-2</v>
      </c>
      <c r="BS29" s="232">
        <v>7.941978735343054E-2</v>
      </c>
      <c r="BT29" s="145">
        <v>2.8997703053698105E-3</v>
      </c>
      <c r="BU29" s="144">
        <v>1.0877563649871027E-2</v>
      </c>
      <c r="BV29" s="146">
        <v>0.14747813699385978</v>
      </c>
      <c r="BW29" s="146">
        <v>1.0785176330641789E-2</v>
      </c>
      <c r="BX29" s="146">
        <v>1.0786070767955027</v>
      </c>
      <c r="BY29" s="146">
        <v>0.27137033986647541</v>
      </c>
      <c r="BZ29" s="146">
        <v>6.7779327306504017E-2</v>
      </c>
    </row>
    <row r="30" spans="1:78" x14ac:dyDescent="0.35">
      <c r="A30" s="50" t="s">
        <v>1531</v>
      </c>
      <c r="B30" s="145">
        <v>2.183399798584845</v>
      </c>
      <c r="C30" s="145">
        <v>1.2849181015304139</v>
      </c>
      <c r="D30" s="145">
        <v>1.9462006305624753</v>
      </c>
      <c r="E30" s="144">
        <v>1.7363504659784581</v>
      </c>
      <c r="F30" s="146">
        <v>2.1259854194425882</v>
      </c>
      <c r="G30" s="145">
        <v>13.137427978624503</v>
      </c>
      <c r="H30" s="145">
        <v>2.3316464313894585</v>
      </c>
      <c r="I30" s="144">
        <v>11.948792008428649</v>
      </c>
      <c r="J30" s="145">
        <v>14.612382630390631</v>
      </c>
      <c r="K30" s="145">
        <v>2.7045630367524898</v>
      </c>
      <c r="L30" s="144">
        <v>4.490735975798211</v>
      </c>
      <c r="M30" s="232">
        <v>3.312630193649043</v>
      </c>
      <c r="N30" s="145">
        <v>0.30865518042766216</v>
      </c>
      <c r="O30" s="144">
        <v>1.1197284339974352</v>
      </c>
      <c r="P30" s="232">
        <v>8.464409067497682</v>
      </c>
      <c r="Q30" s="145">
        <v>1.6478507609908244</v>
      </c>
      <c r="R30" s="144">
        <v>5.4651234126346653</v>
      </c>
      <c r="S30" s="232">
        <v>5.9523268999904726</v>
      </c>
      <c r="T30" s="145">
        <v>0.25412762754947871</v>
      </c>
      <c r="U30" s="144">
        <v>3.4451192201164358</v>
      </c>
      <c r="V30" s="146">
        <v>8.464409067497682</v>
      </c>
      <c r="W30" s="146">
        <v>17.533857937596121</v>
      </c>
      <c r="X30" s="146">
        <v>7.9165009650380984</v>
      </c>
      <c r="Y30" s="146">
        <v>19.11060475814309</v>
      </c>
      <c r="Z30" s="144">
        <v>2.5857986901521266</v>
      </c>
      <c r="AA30" s="144">
        <v>2.4195259060123027</v>
      </c>
      <c r="AB30" s="145">
        <v>18.193941944820214</v>
      </c>
      <c r="AC30" s="145">
        <v>1.1457425804717274</v>
      </c>
      <c r="AD30" s="144">
        <v>9.3118300759946511</v>
      </c>
      <c r="AE30" s="144">
        <v>2.9291749721922451E-2</v>
      </c>
      <c r="AF30" s="232">
        <v>1.7608198828705788</v>
      </c>
      <c r="AG30" s="144">
        <v>1.9143537306950038</v>
      </c>
      <c r="AH30" s="232">
        <v>12.479367449472823</v>
      </c>
      <c r="AI30" s="144">
        <v>7.7516246563724858</v>
      </c>
      <c r="AJ30" s="232">
        <v>11.669666836146668</v>
      </c>
      <c r="AK30" s="145">
        <v>9.9407761346153638</v>
      </c>
      <c r="AL30" s="145">
        <v>6.3050797028514349</v>
      </c>
      <c r="AM30" s="145">
        <v>23.270787741868432</v>
      </c>
      <c r="AN30" s="144">
        <v>38.373502438087897</v>
      </c>
      <c r="AO30" s="146">
        <v>3.5324512689469065</v>
      </c>
      <c r="AP30" s="146">
        <v>69.134551266269881</v>
      </c>
      <c r="AQ30" s="146">
        <v>0</v>
      </c>
      <c r="AR30" s="146">
        <v>15.626778583276206</v>
      </c>
      <c r="AS30" s="146">
        <v>0</v>
      </c>
      <c r="AT30" s="146">
        <v>0</v>
      </c>
      <c r="AU30" s="146">
        <v>14.978901298659595</v>
      </c>
      <c r="AV30" s="146">
        <v>0.81418718633406184</v>
      </c>
      <c r="AW30" s="146">
        <v>7.5648245654343835</v>
      </c>
      <c r="AX30" s="146">
        <v>1.9143537306950038</v>
      </c>
      <c r="AY30" s="232">
        <v>42.977562775108034</v>
      </c>
      <c r="AZ30" s="144">
        <v>150.42146971287812</v>
      </c>
      <c r="BA30" s="232">
        <v>1.4765795234632588</v>
      </c>
      <c r="BB30" s="145">
        <v>1.445597292082849</v>
      </c>
      <c r="BC30" s="144">
        <v>6.9931572419437797</v>
      </c>
      <c r="BD30" s="232">
        <v>2.7645738208629709</v>
      </c>
      <c r="BE30" s="145">
        <v>14.936217749746005</v>
      </c>
      <c r="BF30" s="145">
        <v>15.860938116974713</v>
      </c>
      <c r="BG30" s="145">
        <v>16.128532936443015</v>
      </c>
      <c r="BH30" s="145">
        <v>16.393890492716654</v>
      </c>
      <c r="BI30" s="145">
        <v>13.498470783396787</v>
      </c>
      <c r="BJ30" s="145">
        <v>7.1422870143621111</v>
      </c>
      <c r="BK30" s="145">
        <v>4.2585439789513693</v>
      </c>
      <c r="BL30" s="145">
        <v>1.9927235273764026</v>
      </c>
      <c r="BM30" s="145">
        <v>19.628213755769568</v>
      </c>
      <c r="BN30" s="145">
        <v>16.773162098242558</v>
      </c>
      <c r="BO30" s="145">
        <v>18.018412195007425</v>
      </c>
      <c r="BP30" s="144">
        <v>7.8249496020266758</v>
      </c>
      <c r="BQ30" s="146">
        <v>4.6244460036297275</v>
      </c>
      <c r="BR30" s="146">
        <v>2.4634951979457984</v>
      </c>
      <c r="BS30" s="232">
        <v>9.8479125459972146</v>
      </c>
      <c r="BT30" s="145">
        <v>0.79632575612464362</v>
      </c>
      <c r="BU30" s="144">
        <v>2.9339066967242902</v>
      </c>
      <c r="BV30" s="146">
        <v>25.417333575360928</v>
      </c>
      <c r="BW30" s="146">
        <v>1.7925995679475477</v>
      </c>
      <c r="BX30" s="146">
        <v>193.03494829143602</v>
      </c>
      <c r="BY30" s="146">
        <v>44.177845350816135</v>
      </c>
      <c r="BZ30" s="146">
        <v>9.7464441047179058</v>
      </c>
    </row>
    <row r="31" spans="1:78" x14ac:dyDescent="0.35">
      <c r="A31" s="50" t="s">
        <v>1530</v>
      </c>
      <c r="B31" s="145">
        <v>1.14426260753011E-2</v>
      </c>
      <c r="C31" s="145">
        <v>1.1029055175358005E-2</v>
      </c>
      <c r="D31" s="145">
        <v>1.1333443357716123E-2</v>
      </c>
      <c r="E31" s="144">
        <v>1.4808283138419299E-2</v>
      </c>
      <c r="F31" s="146">
        <v>7.3908314217033689E-3</v>
      </c>
      <c r="G31" s="145">
        <v>0.13419991176915319</v>
      </c>
      <c r="H31" s="145">
        <v>2.3106709982308633E-2</v>
      </c>
      <c r="I31" s="144">
        <v>0.12197965957260029</v>
      </c>
      <c r="J31" s="145">
        <v>0.14923380819377743</v>
      </c>
      <c r="K31" s="145">
        <v>2.6810659143917361E-2</v>
      </c>
      <c r="L31" s="144">
        <v>4.5174131501396375E-2</v>
      </c>
      <c r="M31" s="232">
        <v>3.6634823282632495E-3</v>
      </c>
      <c r="N31" s="145">
        <v>1.8406942716705883E-3</v>
      </c>
      <c r="O31" s="144">
        <v>2.3328470469506069E-3</v>
      </c>
      <c r="P31" s="232">
        <v>7.9239915683292361E-2</v>
      </c>
      <c r="Q31" s="145">
        <v>1.488452396562342E-2</v>
      </c>
      <c r="R31" s="144">
        <v>5.0923543327518028E-2</v>
      </c>
      <c r="S31" s="232">
        <v>5.5472006479286268E-2</v>
      </c>
      <c r="T31" s="145">
        <v>2.2954559066458444E-3</v>
      </c>
      <c r="U31" s="144">
        <v>3.2074324227324487E-2</v>
      </c>
      <c r="V31" s="146">
        <v>7.9239915683292361E-2</v>
      </c>
      <c r="W31" s="146">
        <v>0.16239872528414825</v>
      </c>
      <c r="X31" s="146">
        <v>7.4975734019520776E-2</v>
      </c>
      <c r="Y31" s="146">
        <v>0.18382050781899956</v>
      </c>
      <c r="Z31" s="144">
        <v>2.4300269254442716E-2</v>
      </c>
      <c r="AA31" s="144">
        <v>1.9516180471591173E-2</v>
      </c>
      <c r="AB31" s="145">
        <v>0.16542466790687019</v>
      </c>
      <c r="AC31" s="145">
        <v>1.0470523981929769E-2</v>
      </c>
      <c r="AD31" s="144">
        <v>8.4693558921976234E-2</v>
      </c>
      <c r="AE31" s="144">
        <v>4.4424824035998003E-4</v>
      </c>
      <c r="AF31" s="232">
        <v>1.5972555119560455E-2</v>
      </c>
      <c r="AG31" s="144">
        <v>1.7529233354543563E-2</v>
      </c>
      <c r="AH31" s="232">
        <v>4.2813859460802843E-2</v>
      </c>
      <c r="AI31" s="144">
        <v>3.2684010397640108E-2</v>
      </c>
      <c r="AJ31" s="232">
        <v>3.8436785637403582E-2</v>
      </c>
      <c r="AK31" s="145">
        <v>0.1149299325922461</v>
      </c>
      <c r="AL31" s="145">
        <v>5.1327332620911992E-2</v>
      </c>
      <c r="AM31" s="145">
        <v>0.21213458126949306</v>
      </c>
      <c r="AN31" s="144">
        <v>0.36572545213791091</v>
      </c>
      <c r="AO31" s="146">
        <v>4.1039335133821561E-2</v>
      </c>
      <c r="AP31" s="146">
        <v>0.70545184084536017</v>
      </c>
      <c r="AQ31" s="146">
        <v>0</v>
      </c>
      <c r="AR31" s="146">
        <v>0.14493566897242038</v>
      </c>
      <c r="AS31" s="146">
        <v>0</v>
      </c>
      <c r="AT31" s="146">
        <v>0</v>
      </c>
      <c r="AU31" s="146">
        <v>0.12129034081035509</v>
      </c>
      <c r="AV31" s="146">
        <v>6.1317684262142446E-3</v>
      </c>
      <c r="AW31" s="146">
        <v>9.1166746644223695E-2</v>
      </c>
      <c r="AX31" s="146">
        <v>1.7529233354543563E-2</v>
      </c>
      <c r="AY31" s="232">
        <v>0.41478121448117761</v>
      </c>
      <c r="AZ31" s="144">
        <v>1.4517342506841215</v>
      </c>
      <c r="BA31" s="232">
        <v>1.3286744204560606E-2</v>
      </c>
      <c r="BB31" s="145">
        <v>1.3007955980359514E-2</v>
      </c>
      <c r="BC31" s="144">
        <v>8.3319951334894352E-2</v>
      </c>
      <c r="BD31" s="232">
        <v>1.7845405242954939E-2</v>
      </c>
      <c r="BE31" s="145">
        <v>0.13287313390633826</v>
      </c>
      <c r="BF31" s="145">
        <v>0.14172423074594223</v>
      </c>
      <c r="BG31" s="145">
        <v>0.14423588415931121</v>
      </c>
      <c r="BH31" s="145">
        <v>0.15354033816608575</v>
      </c>
      <c r="BI31" s="145">
        <v>0.11012168149362088</v>
      </c>
      <c r="BJ31" s="145">
        <v>5.7694209586928266E-2</v>
      </c>
      <c r="BK31" s="145">
        <v>4.6305117146909547E-2</v>
      </c>
      <c r="BL31" s="145">
        <v>1.5253565760833665E-2</v>
      </c>
      <c r="BM31" s="145">
        <v>0.18582761800113187</v>
      </c>
      <c r="BN31" s="145">
        <v>0.14962053865412145</v>
      </c>
      <c r="BO31" s="145">
        <v>0.16608433198496322</v>
      </c>
      <c r="BP31" s="144">
        <v>5.2459624191004764E-2</v>
      </c>
      <c r="BQ31" s="146">
        <v>3.2214448833263229E-2</v>
      </c>
      <c r="BR31" s="146">
        <v>2.2582305390584159E-2</v>
      </c>
      <c r="BS31" s="232">
        <v>8.1131269655079302E-2</v>
      </c>
      <c r="BT31" s="145">
        <v>7.6878191313725624E-3</v>
      </c>
      <c r="BU31" s="144">
        <v>2.833835465437648E-2</v>
      </c>
      <c r="BV31" s="146">
        <v>0.2212791579902238</v>
      </c>
      <c r="BW31" s="146">
        <v>1.5089628023882919E-2</v>
      </c>
      <c r="BX31" s="146">
        <v>1.8733665544577522</v>
      </c>
      <c r="BY31" s="146">
        <v>0.48246518462270666</v>
      </c>
      <c r="BZ31" s="146">
        <v>3.5483731190226096E-2</v>
      </c>
    </row>
    <row r="32" spans="1:78" x14ac:dyDescent="0.35">
      <c r="A32" s="50" t="s">
        <v>1529</v>
      </c>
      <c r="B32" s="154">
        <v>1331.1536047843597</v>
      </c>
      <c r="C32" s="154">
        <v>598.85141196286156</v>
      </c>
      <c r="D32" s="154">
        <v>1137.8258258794842</v>
      </c>
      <c r="E32" s="153">
        <v>824.79620768403208</v>
      </c>
      <c r="F32" s="153">
        <v>402.52558441338152</v>
      </c>
      <c r="G32" s="154">
        <v>8458.4406110310374</v>
      </c>
      <c r="H32" s="154">
        <v>1101.3914937432442</v>
      </c>
      <c r="I32" s="153">
        <v>7649.1652081293805</v>
      </c>
      <c r="J32" s="154">
        <v>9348.003808183048</v>
      </c>
      <c r="K32" s="154">
        <v>1240.6389454708049</v>
      </c>
      <c r="L32" s="153">
        <v>2456.7436748776413</v>
      </c>
      <c r="M32" s="240">
        <v>278.57906753037099</v>
      </c>
      <c r="N32" s="154">
        <v>210.41479688565653</v>
      </c>
      <c r="O32" s="47">
        <v>228.81914995972943</v>
      </c>
      <c r="P32" s="240">
        <v>3685.8437317393227</v>
      </c>
      <c r="Q32" s="154">
        <v>643.18927579586489</v>
      </c>
      <c r="R32" s="47">
        <v>2347.0757711242018</v>
      </c>
      <c r="S32" s="240">
        <v>2575.3055755147193</v>
      </c>
      <c r="T32" s="154">
        <v>99.191121303357292</v>
      </c>
      <c r="U32" s="47">
        <v>1485.8152156617202</v>
      </c>
      <c r="V32" s="239">
        <v>3685.8437317393227</v>
      </c>
      <c r="W32" s="239">
        <v>7727.0534130690367</v>
      </c>
      <c r="X32" s="239">
        <v>3566.7373832615713</v>
      </c>
      <c r="Y32" s="239">
        <v>8974.9039136677438</v>
      </c>
      <c r="Z32" s="47">
        <v>1311.9978984869915</v>
      </c>
      <c r="AA32" s="47">
        <v>1253.1884345944027</v>
      </c>
      <c r="AB32" s="154">
        <v>7894.7944644252375</v>
      </c>
      <c r="AC32" s="154">
        <v>435.22794241143401</v>
      </c>
      <c r="AD32" s="153">
        <v>4008.3603064560461</v>
      </c>
      <c r="AE32" s="47">
        <v>19.39972609625876</v>
      </c>
      <c r="AF32" s="49">
        <v>742.41618845228186</v>
      </c>
      <c r="AG32" s="47">
        <v>800.50617520493847</v>
      </c>
      <c r="AH32" s="240">
        <v>939.23541093649203</v>
      </c>
      <c r="AI32" s="153">
        <v>1280.1548450827161</v>
      </c>
      <c r="AJ32" s="154">
        <v>781.59896777950496</v>
      </c>
      <c r="AK32" s="154">
        <v>1408.7960620246467</v>
      </c>
      <c r="AL32" s="154">
        <v>2008.5697513391401</v>
      </c>
      <c r="AM32" s="154">
        <v>8112.02000463691</v>
      </c>
      <c r="AN32" s="153">
        <v>14559.637146927782</v>
      </c>
      <c r="AO32" s="239">
        <v>1660.2870570560501</v>
      </c>
      <c r="AP32" s="239">
        <v>47040.10529506029</v>
      </c>
      <c r="AQ32" s="239">
        <v>0</v>
      </c>
      <c r="AR32" s="239">
        <v>5641.5965769507084</v>
      </c>
      <c r="AS32" s="239">
        <v>0</v>
      </c>
      <c r="AT32" s="239">
        <v>0</v>
      </c>
      <c r="AU32" s="239">
        <v>7847.9785676475449</v>
      </c>
      <c r="AV32" s="239">
        <v>440.87697421287254</v>
      </c>
      <c r="AW32" s="239">
        <v>3728.8329575077159</v>
      </c>
      <c r="AX32" s="239">
        <v>800.50617520493847</v>
      </c>
      <c r="AY32" s="240">
        <v>16697.219786315654</v>
      </c>
      <c r="AZ32" s="47">
        <v>58440.269252104787</v>
      </c>
      <c r="BA32" s="240">
        <v>590.30687860655269</v>
      </c>
      <c r="BB32" s="154">
        <v>577.19732346878777</v>
      </c>
      <c r="BC32" s="47">
        <v>3449.3615093936232</v>
      </c>
      <c r="BD32" s="240">
        <v>1426.1849530479435</v>
      </c>
      <c r="BE32" s="154">
        <v>6594.3515791722812</v>
      </c>
      <c r="BF32" s="154">
        <v>7000.082149510592</v>
      </c>
      <c r="BG32" s="154">
        <v>7055.2757674266786</v>
      </c>
      <c r="BH32" s="154">
        <v>7038.3584228004347</v>
      </c>
      <c r="BI32" s="154">
        <v>5902.7434436891126</v>
      </c>
      <c r="BJ32" s="154">
        <v>3586.8088758839685</v>
      </c>
      <c r="BK32" s="154">
        <v>1617.2519942614026</v>
      </c>
      <c r="BL32" s="154">
        <v>1005.3456238527859</v>
      </c>
      <c r="BM32" s="154">
        <v>8433.3541940641935</v>
      </c>
      <c r="BN32" s="154">
        <v>7934.5629103902866</v>
      </c>
      <c r="BO32" s="154">
        <v>7612.2103153018879</v>
      </c>
      <c r="BP32" s="153">
        <v>2072.7116160997457</v>
      </c>
      <c r="BQ32" s="239">
        <v>2054.9774671584682</v>
      </c>
      <c r="BR32" s="239">
        <v>1002.6465416334451</v>
      </c>
      <c r="BS32" s="240">
        <v>5190.4204309627812</v>
      </c>
      <c r="BT32" s="154">
        <v>185.44947109385137</v>
      </c>
      <c r="BU32" s="153">
        <v>684.87628741327433</v>
      </c>
      <c r="BV32" s="239">
        <v>11177.275733586092</v>
      </c>
      <c r="BW32" s="239">
        <v>720.94313672050623</v>
      </c>
      <c r="BX32" s="239">
        <v>92110.953203421974</v>
      </c>
      <c r="BY32" s="239">
        <v>19650.825082464155</v>
      </c>
      <c r="BZ32" s="239">
        <v>6457.2660982169837</v>
      </c>
    </row>
    <row r="33" spans="1:78" x14ac:dyDescent="0.35">
      <c r="A33" s="50" t="s">
        <v>1528</v>
      </c>
      <c r="B33" s="154">
        <v>1353.2487197146665</v>
      </c>
      <c r="C33" s="154">
        <v>602.19970106981145</v>
      </c>
      <c r="D33" s="154">
        <v>1154.9717787924249</v>
      </c>
      <c r="E33" s="153">
        <v>829.84162814288368</v>
      </c>
      <c r="F33" s="153">
        <v>406.3810181168916</v>
      </c>
      <c r="G33" s="154">
        <v>8463.9871032485771</v>
      </c>
      <c r="H33" s="154">
        <v>1103.0510674769037</v>
      </c>
      <c r="I33" s="153">
        <v>7654.2841393136932</v>
      </c>
      <c r="J33" s="154">
        <v>9353.7103011398922</v>
      </c>
      <c r="K33" s="154">
        <v>1242.0621088157257</v>
      </c>
      <c r="L33" s="153">
        <v>2458.8093376643506</v>
      </c>
      <c r="M33" s="240">
        <v>281.67815624724687</v>
      </c>
      <c r="N33" s="154">
        <v>210.5535324598942</v>
      </c>
      <c r="O33" s="47">
        <v>229.75718088247942</v>
      </c>
      <c r="P33" s="240">
        <v>3697.4313430068223</v>
      </c>
      <c r="Q33" s="154">
        <v>644.96308229933163</v>
      </c>
      <c r="R33" s="47">
        <v>2354.3453082955266</v>
      </c>
      <c r="S33" s="240">
        <v>2582.9350479561681</v>
      </c>
      <c r="T33" s="154">
        <v>99.464673526124614</v>
      </c>
      <c r="U33" s="47">
        <v>1490.2080832069491</v>
      </c>
      <c r="V33" s="239">
        <v>3697.4313430068223</v>
      </c>
      <c r="W33" s="239">
        <v>7743.4896937390731</v>
      </c>
      <c r="X33" s="239">
        <v>3573.3625495170313</v>
      </c>
      <c r="Y33" s="239">
        <v>8990.0789089544123</v>
      </c>
      <c r="Z33" s="47">
        <v>1314.2961391317663</v>
      </c>
      <c r="AA33" s="47">
        <v>1254.3067525625056</v>
      </c>
      <c r="AB33" s="154">
        <v>7904.4101383572406</v>
      </c>
      <c r="AC33" s="154">
        <v>435.81484856718612</v>
      </c>
      <c r="AD33" s="153">
        <v>4013.2719923766222</v>
      </c>
      <c r="AE33" s="47">
        <v>19.472088067344419</v>
      </c>
      <c r="AF33" s="49">
        <v>743.45353021934216</v>
      </c>
      <c r="AG33" s="47">
        <v>801.58456812111376</v>
      </c>
      <c r="AH33" s="240">
        <v>944.96061845707345</v>
      </c>
      <c r="AI33" s="153">
        <v>1292.9113733046315</v>
      </c>
      <c r="AJ33" s="154">
        <v>789.38372500609421</v>
      </c>
      <c r="AK33" s="154">
        <v>1415.3538914165388</v>
      </c>
      <c r="AL33" s="154">
        <v>2011.6826696320104</v>
      </c>
      <c r="AM33" s="154">
        <v>8124.3139894486467</v>
      </c>
      <c r="AN33" s="153">
        <v>14580.40749746306</v>
      </c>
      <c r="AO33" s="239">
        <v>1670.762632212002</v>
      </c>
      <c r="AP33" s="239">
        <v>47065.433345867896</v>
      </c>
      <c r="AQ33" s="239">
        <v>0</v>
      </c>
      <c r="AR33" s="239">
        <v>5649.7835495456557</v>
      </c>
      <c r="AS33" s="239">
        <v>0</v>
      </c>
      <c r="AT33" s="239">
        <v>0</v>
      </c>
      <c r="AU33" s="239">
        <v>7854.3423009732751</v>
      </c>
      <c r="AV33" s="239">
        <v>441.34541438663865</v>
      </c>
      <c r="AW33" s="239">
        <v>3733.8664238070128</v>
      </c>
      <c r="AX33" s="239">
        <v>801.58456812111376</v>
      </c>
      <c r="AY33" s="240">
        <v>16720.634687608519</v>
      </c>
      <c r="AZ33" s="47">
        <v>58522.221406629818</v>
      </c>
      <c r="BA33" s="240">
        <v>591.04586475819474</v>
      </c>
      <c r="BB33" s="154">
        <v>577.92080389278487</v>
      </c>
      <c r="BC33" s="47">
        <v>3453.8830705315127</v>
      </c>
      <c r="BD33" s="240">
        <v>1431.4287212227014</v>
      </c>
      <c r="BE33" s="154">
        <v>6607.3637358942478</v>
      </c>
      <c r="BF33" s="154">
        <v>7013.6306370828943</v>
      </c>
      <c r="BG33" s="154">
        <v>7069.9743434869979</v>
      </c>
      <c r="BH33" s="154">
        <v>7052.7169932470933</v>
      </c>
      <c r="BI33" s="154">
        <v>5912.0402076556074</v>
      </c>
      <c r="BJ33" s="154">
        <v>3598.1381408173229</v>
      </c>
      <c r="BK33" s="154">
        <v>1620.4943864694555</v>
      </c>
      <c r="BL33" s="154">
        <v>1009.5969522923036</v>
      </c>
      <c r="BM33" s="154">
        <v>8447.5913542987691</v>
      </c>
      <c r="BN33" s="154">
        <v>7950.4702879211554</v>
      </c>
      <c r="BO33" s="154">
        <v>7630.4053813828377</v>
      </c>
      <c r="BP33" s="153">
        <v>2078.5038398082124</v>
      </c>
      <c r="BQ33" s="239">
        <v>2057.6960963421379</v>
      </c>
      <c r="BR33" s="239">
        <v>1003.8991195736495</v>
      </c>
      <c r="BS33" s="240">
        <v>5194.9609701615909</v>
      </c>
      <c r="BT33" s="154">
        <v>185.79360784011797</v>
      </c>
      <c r="BU33" s="153">
        <v>686.1512005031077</v>
      </c>
      <c r="BV33" s="239">
        <v>11189.372332395216</v>
      </c>
      <c r="BW33" s="239">
        <v>735.34436204135432</v>
      </c>
      <c r="BX33" s="239">
        <v>92201.934955073419</v>
      </c>
      <c r="BY33" s="239">
        <v>19673.167289208959</v>
      </c>
      <c r="BZ33" s="239">
        <v>6474.2379138433726</v>
      </c>
    </row>
    <row r="34" spans="1:78" x14ac:dyDescent="0.35">
      <c r="A34" s="46" t="s">
        <v>1527</v>
      </c>
      <c r="B34" s="154">
        <v>1421.7830095821666</v>
      </c>
      <c r="C34" s="154">
        <v>643.66994373719376</v>
      </c>
      <c r="D34" s="154">
        <v>1216.3611601990938</v>
      </c>
      <c r="E34" s="153">
        <v>885.8563371539185</v>
      </c>
      <c r="F34" s="153">
        <v>472.11915102692063</v>
      </c>
      <c r="G34" s="154">
        <v>9185.3238390602437</v>
      </c>
      <c r="H34" s="154">
        <v>1202.4334425250763</v>
      </c>
      <c r="I34" s="153">
        <v>8307.2058954413751</v>
      </c>
      <c r="J34" s="154">
        <v>10153.023959228291</v>
      </c>
      <c r="K34" s="154">
        <v>1355.9907911784901</v>
      </c>
      <c r="L34" s="153">
        <v>2675.5457663859597</v>
      </c>
      <c r="M34" s="240">
        <v>382.02788487370793</v>
      </c>
      <c r="N34" s="154">
        <v>220.30097185471678</v>
      </c>
      <c r="O34" s="47">
        <v>263.96723836984438</v>
      </c>
      <c r="P34" s="240">
        <v>3972.3621926878254</v>
      </c>
      <c r="Q34" s="154">
        <v>698.34300397994662</v>
      </c>
      <c r="R34" s="47">
        <v>2531.7937496563591</v>
      </c>
      <c r="S34" s="240">
        <v>2776.2049366728934</v>
      </c>
      <c r="T34" s="154">
        <v>107.69679816787013</v>
      </c>
      <c r="U34" s="47">
        <v>1602.0613557306833</v>
      </c>
      <c r="V34" s="239">
        <v>3972.3621926878254</v>
      </c>
      <c r="W34" s="239">
        <v>8312.5410940672555</v>
      </c>
      <c r="X34" s="239">
        <v>3830.7261479833473</v>
      </c>
      <c r="Y34" s="239">
        <v>9612.1094862707396</v>
      </c>
      <c r="Z34" s="47">
        <v>1398.3096711887574</v>
      </c>
      <c r="AA34" s="47">
        <v>1332.0643175678463</v>
      </c>
      <c r="AB34" s="154">
        <v>17095.565933697169</v>
      </c>
      <c r="AC34" s="154">
        <v>11047.96181483655</v>
      </c>
      <c r="AD34" s="153">
        <v>13944.764187770787</v>
      </c>
      <c r="AE34" s="39">
        <v>20.468566342697489</v>
      </c>
      <c r="AF34" s="49">
        <v>800.51085381214307</v>
      </c>
      <c r="AG34" s="47">
        <v>863.66042688091795</v>
      </c>
      <c r="AH34" s="240">
        <v>1330.687314698371</v>
      </c>
      <c r="AI34" s="153">
        <v>1534.1213757511807</v>
      </c>
      <c r="AJ34" s="154">
        <v>1149.6594782844063</v>
      </c>
      <c r="AK34" s="154">
        <v>1744.0336075919449</v>
      </c>
      <c r="AL34" s="154">
        <v>2214.4368038620951</v>
      </c>
      <c r="AM34" s="154">
        <v>8878.6532857411148</v>
      </c>
      <c r="AN34" s="153">
        <v>15828.529815422244</v>
      </c>
      <c r="AO34" s="239">
        <v>1787.6115940908719</v>
      </c>
      <c r="AP34" s="239">
        <v>49326.414621680015</v>
      </c>
      <c r="AQ34" s="239">
        <v>0</v>
      </c>
      <c r="AR34" s="239">
        <v>6156.9948593216332</v>
      </c>
      <c r="AS34" s="239">
        <v>0</v>
      </c>
      <c r="AT34" s="239">
        <v>0</v>
      </c>
      <c r="AU34" s="239">
        <v>8335.8512802478072</v>
      </c>
      <c r="AV34" s="239">
        <v>467.39594860960727</v>
      </c>
      <c r="AW34" s="239">
        <v>3984.9703486307635</v>
      </c>
      <c r="AX34" s="239">
        <v>863.66042688091795</v>
      </c>
      <c r="AY34" s="240">
        <v>18119.878592699271</v>
      </c>
      <c r="AZ34" s="47">
        <v>63419.57507444745</v>
      </c>
      <c r="BA34" s="240">
        <v>638.86423767630106</v>
      </c>
      <c r="BB34" s="154">
        <v>624.73583099006566</v>
      </c>
      <c r="BC34" s="47">
        <v>3685.7575748935733</v>
      </c>
      <c r="BD34" s="240">
        <v>1519.0949682379737</v>
      </c>
      <c r="BE34" s="154">
        <v>7090.6616488718073</v>
      </c>
      <c r="BF34" s="154">
        <v>7527.0157017398105</v>
      </c>
      <c r="BG34" s="154">
        <v>7592.0528408825066</v>
      </c>
      <c r="BH34" s="154">
        <v>7585.2218976426057</v>
      </c>
      <c r="BI34" s="154">
        <v>6346.1765767533207</v>
      </c>
      <c r="BJ34" s="154">
        <v>3827.6957167887222</v>
      </c>
      <c r="BK34" s="154">
        <v>1760.5215618819275</v>
      </c>
      <c r="BL34" s="154">
        <v>1073.4208530402168</v>
      </c>
      <c r="BM34" s="154">
        <v>9085.6820857421553</v>
      </c>
      <c r="BN34" s="154">
        <v>8493.3145936117744</v>
      </c>
      <c r="BO34" s="154">
        <v>8214.9700952090752</v>
      </c>
      <c r="BP34" s="153">
        <v>2327.1541282796288</v>
      </c>
      <c r="BQ34" s="239">
        <v>2204.9663053918443</v>
      </c>
      <c r="BR34" s="239">
        <v>1083.7882864405283</v>
      </c>
      <c r="BS34" s="240">
        <v>5511.8981330001034</v>
      </c>
      <c r="BT34" s="154">
        <v>211.72065259367102</v>
      </c>
      <c r="BU34" s="153">
        <v>781.67806538824618</v>
      </c>
      <c r="BV34" s="239">
        <v>12010.531316523453</v>
      </c>
      <c r="BW34" s="239">
        <v>793.12110050610977</v>
      </c>
      <c r="BX34" s="239">
        <v>98489.425540747805</v>
      </c>
      <c r="BY34" s="239">
        <v>21126.355923658459</v>
      </c>
      <c r="BZ34" s="239">
        <v>6776.0344257503193</v>
      </c>
    </row>
    <row r="35" spans="1:78" ht="13.15" x14ac:dyDescent="0.4">
      <c r="A35" s="238" t="s">
        <v>1562</v>
      </c>
      <c r="B35" s="235"/>
      <c r="C35" s="235"/>
      <c r="D35" s="235"/>
      <c r="E35" s="234"/>
      <c r="F35" s="234"/>
      <c r="G35" s="235"/>
      <c r="H35" s="235"/>
      <c r="I35" s="234"/>
      <c r="J35" s="235"/>
      <c r="K35" s="235"/>
      <c r="L35" s="234"/>
      <c r="M35" s="236"/>
      <c r="N35" s="235"/>
      <c r="O35" s="156"/>
      <c r="P35" s="236"/>
      <c r="Q35" s="235"/>
      <c r="R35" s="156"/>
      <c r="S35" s="236"/>
      <c r="T35" s="235"/>
      <c r="U35" s="156"/>
      <c r="V35" s="233"/>
      <c r="W35" s="233"/>
      <c r="X35" s="233"/>
      <c r="Y35" s="233"/>
      <c r="Z35" s="156"/>
      <c r="AA35" s="156"/>
      <c r="AB35" s="235"/>
      <c r="AC35" s="235"/>
      <c r="AD35" s="234"/>
      <c r="AE35" s="156"/>
      <c r="AF35" s="237"/>
      <c r="AG35" s="156"/>
      <c r="AH35" s="236"/>
      <c r="AI35" s="234"/>
      <c r="AJ35" s="235"/>
      <c r="AK35" s="235"/>
      <c r="AL35" s="235"/>
      <c r="AM35" s="235"/>
      <c r="AN35" s="234"/>
      <c r="AO35" s="233"/>
      <c r="AP35" s="233"/>
      <c r="AQ35" s="233"/>
      <c r="AR35" s="233"/>
      <c r="AS35" s="233"/>
      <c r="AT35" s="233"/>
      <c r="AU35" s="233"/>
      <c r="AV35" s="233"/>
      <c r="AW35" s="233"/>
      <c r="AX35" s="233"/>
      <c r="AY35" s="236"/>
      <c r="AZ35" s="156"/>
      <c r="BA35" s="236"/>
      <c r="BB35" s="235"/>
      <c r="BC35" s="156"/>
      <c r="BD35" s="236"/>
      <c r="BE35" s="235"/>
      <c r="BF35" s="235"/>
      <c r="BG35" s="235"/>
      <c r="BH35" s="235"/>
      <c r="BI35" s="235"/>
      <c r="BJ35" s="235"/>
      <c r="BK35" s="235"/>
      <c r="BL35" s="235"/>
      <c r="BM35" s="235"/>
      <c r="BN35" s="235"/>
      <c r="BO35" s="235"/>
      <c r="BP35" s="234"/>
      <c r="BQ35" s="233"/>
      <c r="BR35" s="233"/>
      <c r="BS35" s="236"/>
      <c r="BT35" s="235"/>
      <c r="BU35" s="234"/>
      <c r="BV35" s="233"/>
      <c r="BW35" s="233"/>
      <c r="BX35" s="233"/>
      <c r="BY35" s="233"/>
      <c r="BZ35" s="233"/>
    </row>
    <row r="36" spans="1:78" x14ac:dyDescent="0.35">
      <c r="A36" s="50" t="s">
        <v>1525</v>
      </c>
      <c r="B36" s="145">
        <v>3.5883168817971191E-3</v>
      </c>
      <c r="C36" s="145">
        <v>4.6765494599589931E-3</v>
      </c>
      <c r="D36" s="145">
        <v>3.8756102824318538E-3</v>
      </c>
      <c r="E36" s="144">
        <v>6.3962490621640574E-3</v>
      </c>
      <c r="F36" s="146">
        <v>4.6040486731303929E-3</v>
      </c>
      <c r="G36" s="145">
        <v>4.6396825760526318E-2</v>
      </c>
      <c r="H36" s="145">
        <v>7.4259376956546238E-3</v>
      </c>
      <c r="I36" s="144">
        <v>4.2110028073390433E-2</v>
      </c>
      <c r="J36" s="145">
        <v>5.1422443309633296E-2</v>
      </c>
      <c r="K36" s="145">
        <v>8.477071662813359E-3</v>
      </c>
      <c r="L36" s="144">
        <v>1.4918877409836349E-2</v>
      </c>
      <c r="M36" s="232">
        <v>2.5652921159802543E-3</v>
      </c>
      <c r="N36" s="145">
        <v>1.5798855609112719E-4</v>
      </c>
      <c r="O36" s="144">
        <v>8.0796051726119149E-4</v>
      </c>
      <c r="P36" s="232">
        <v>4.7158999429153664E-2</v>
      </c>
      <c r="Q36" s="145">
        <v>6.8262296740327563E-3</v>
      </c>
      <c r="R36" s="144">
        <v>2.9412580736900468E-2</v>
      </c>
      <c r="S36" s="232">
        <v>3.1845279013005698E-2</v>
      </c>
      <c r="T36" s="145">
        <v>1.0527249149229569E-3</v>
      </c>
      <c r="U36" s="144">
        <v>1.8296555209849293E-2</v>
      </c>
      <c r="V36" s="146">
        <v>4.7158999429153664E-2</v>
      </c>
      <c r="W36" s="146">
        <v>8.6892154691903575E-2</v>
      </c>
      <c r="X36" s="146">
        <v>4.3521737308158732E-2</v>
      </c>
      <c r="Y36" s="146">
        <v>0.10076462169947401</v>
      </c>
      <c r="Z36" s="144">
        <v>1.3640364160420226E-2</v>
      </c>
      <c r="AA36" s="144">
        <v>1.0453249233644133E-2</v>
      </c>
      <c r="AB36" s="145">
        <v>5.9659498060536963E-2</v>
      </c>
      <c r="AC36" s="145">
        <v>3.6596778414621665E-3</v>
      </c>
      <c r="AD36" s="144">
        <v>3.0483591726398994E-2</v>
      </c>
      <c r="AE36" s="144">
        <v>8.2053303941251961E-4</v>
      </c>
      <c r="AF36" s="232">
        <v>5.204384635617159E-3</v>
      </c>
      <c r="AG36" s="144">
        <v>6.5839948989549167E-3</v>
      </c>
      <c r="AH36" s="232">
        <v>1.954617329437118E-2</v>
      </c>
      <c r="AI36" s="144">
        <v>2.0967281174984583E-2</v>
      </c>
      <c r="AJ36" s="232">
        <v>1.9597142655678617E-2</v>
      </c>
      <c r="AK36" s="145">
        <v>2.3346308546803328E-2</v>
      </c>
      <c r="AL36" s="145">
        <v>2.2491112027556187E-2</v>
      </c>
      <c r="AM36" s="145">
        <v>8.4161869213479831E-2</v>
      </c>
      <c r="AN36" s="144">
        <v>0.13795612663088805</v>
      </c>
      <c r="AO36" s="146">
        <v>2.1141534598903194E-2</v>
      </c>
      <c r="AP36" s="146">
        <v>0.24215703886955789</v>
      </c>
      <c r="AQ36" s="146">
        <v>0</v>
      </c>
      <c r="AR36" s="146">
        <v>4.8204595888869148E-2</v>
      </c>
      <c r="AS36" s="146">
        <v>0</v>
      </c>
      <c r="AT36" s="146">
        <v>0</v>
      </c>
      <c r="AU36" s="146">
        <v>6.0374409019162127E-2</v>
      </c>
      <c r="AV36" s="146">
        <v>4.8867613243678979E-3</v>
      </c>
      <c r="AW36" s="146">
        <v>5.0543538495563409E-2</v>
      </c>
      <c r="AX36" s="146">
        <v>6.5839948989549167E-3</v>
      </c>
      <c r="AY36" s="232">
        <v>0.15250677287179218</v>
      </c>
      <c r="AZ36" s="144">
        <v>0.53377370505127264</v>
      </c>
      <c r="BA36" s="232">
        <v>4.8828602810934429E-3</v>
      </c>
      <c r="BB36" s="145">
        <v>4.7804059908753147E-3</v>
      </c>
      <c r="BC36" s="144">
        <v>4.5150530738239048E-2</v>
      </c>
      <c r="BD36" s="232">
        <v>1.3219521185470647E-2</v>
      </c>
      <c r="BE36" s="145">
        <v>6.6582714990168448E-2</v>
      </c>
      <c r="BF36" s="145">
        <v>7.1535813283669716E-2</v>
      </c>
      <c r="BG36" s="145">
        <v>7.3081353337485264E-2</v>
      </c>
      <c r="BH36" s="145">
        <v>7.5969944273082166E-2</v>
      </c>
      <c r="BI36" s="145">
        <v>5.341292151235804E-2</v>
      </c>
      <c r="BJ36" s="145">
        <v>4.0004026260199915E-2</v>
      </c>
      <c r="BK36" s="145">
        <v>2.1212258926822037E-2</v>
      </c>
      <c r="BL36" s="145">
        <v>1.4410284410399146E-2</v>
      </c>
      <c r="BM36" s="145">
        <v>9.4365524246632734E-2</v>
      </c>
      <c r="BN36" s="145">
        <v>8.4944195563768324E-2</v>
      </c>
      <c r="BO36" s="145">
        <v>8.2467120969590343E-2</v>
      </c>
      <c r="BP36" s="144">
        <v>7.9289085027869827E-2</v>
      </c>
      <c r="BQ36" s="146">
        <v>3.3497796678450986E-2</v>
      </c>
      <c r="BR36" s="146">
        <v>8.6570387260151097E-3</v>
      </c>
      <c r="BS36" s="232">
        <v>4.3983528836694701E-2</v>
      </c>
      <c r="BT36" s="145">
        <v>2.8002774481693769E-3</v>
      </c>
      <c r="BU36" s="144">
        <v>1.0270978696035278E-2</v>
      </c>
      <c r="BV36" s="146">
        <v>9.0024296704591361E-2</v>
      </c>
      <c r="BW36" s="146">
        <v>8.2055692282456995E-3</v>
      </c>
      <c r="BX36" s="146">
        <v>0.7388772570575548</v>
      </c>
      <c r="BY36" s="146">
        <v>0.16333033605130237</v>
      </c>
      <c r="BZ36" s="146">
        <v>0.19083307338924854</v>
      </c>
    </row>
    <row r="37" spans="1:78" x14ac:dyDescent="0.35">
      <c r="A37" s="50" t="s">
        <v>1524</v>
      </c>
      <c r="B37" s="145">
        <v>2.8013662382739574E-2</v>
      </c>
      <c r="C37" s="145">
        <v>3.3530655142174862E-2</v>
      </c>
      <c r="D37" s="145">
        <v>2.9470148471230487E-2</v>
      </c>
      <c r="E37" s="144">
        <v>4.6380124337249813E-2</v>
      </c>
      <c r="F37" s="146">
        <v>1.4042200262232161E-2</v>
      </c>
      <c r="G37" s="145">
        <v>0.20499471858203397</v>
      </c>
      <c r="H37" s="145">
        <v>3.6643770463875985E-2</v>
      </c>
      <c r="I37" s="144">
        <v>0.18647611428903657</v>
      </c>
      <c r="J37" s="145">
        <v>0.22666685371302478</v>
      </c>
      <c r="K37" s="145">
        <v>4.1146471883548009E-2</v>
      </c>
      <c r="L37" s="144">
        <v>6.8974529157969519E-2</v>
      </c>
      <c r="M37" s="232">
        <v>1.120721045067243E-2</v>
      </c>
      <c r="N37" s="145">
        <v>2.9484568554999249E-4</v>
      </c>
      <c r="O37" s="144">
        <v>3.2411841721330511E-3</v>
      </c>
      <c r="P37" s="232">
        <v>0.1425368459336521</v>
      </c>
      <c r="Q37" s="145">
        <v>2.4631716290659838E-2</v>
      </c>
      <c r="R37" s="144">
        <v>9.0658588890735498E-2</v>
      </c>
      <c r="S37" s="232">
        <v>0.10337165330984101</v>
      </c>
      <c r="T37" s="145">
        <v>3.7986447387101004E-3</v>
      </c>
      <c r="U37" s="144">
        <v>5.9559529538543411E-2</v>
      </c>
      <c r="V37" s="146">
        <v>0.1425368459336521</v>
      </c>
      <c r="W37" s="146">
        <v>0.3046099366154093</v>
      </c>
      <c r="X37" s="146">
        <v>0.14241300835403189</v>
      </c>
      <c r="Y37" s="146">
        <v>0.34295923395310818</v>
      </c>
      <c r="Z37" s="144">
        <v>5.4880119324563159E-2</v>
      </c>
      <c r="AA37" s="144">
        <v>7.3170874707048139E-2</v>
      </c>
      <c r="AB37" s="145">
        <v>0.37030873463766661</v>
      </c>
      <c r="AC37" s="145">
        <v>2.2784289080084851E-2</v>
      </c>
      <c r="AD37" s="144">
        <v>0.18924849850216649</v>
      </c>
      <c r="AE37" s="144">
        <v>1.7735753506649501E-3</v>
      </c>
      <c r="AF37" s="232">
        <v>2.7850796619383181E-2</v>
      </c>
      <c r="AG37" s="144">
        <v>3.6689370708069324E-2</v>
      </c>
      <c r="AH37" s="232">
        <v>9.0734456693682394E-2</v>
      </c>
      <c r="AI37" s="144">
        <v>6.2768370102400467E-2</v>
      </c>
      <c r="AJ37" s="232">
        <v>7.5028534595314375E-2</v>
      </c>
      <c r="AK37" s="145">
        <v>8.6538471570990011E-2</v>
      </c>
      <c r="AL37" s="145">
        <v>0.10320305130702788</v>
      </c>
      <c r="AM37" s="145">
        <v>0.36438248914701038</v>
      </c>
      <c r="AN37" s="144">
        <v>0.63737234112447638</v>
      </c>
      <c r="AO37" s="146">
        <v>5.3126222597482044E-2</v>
      </c>
      <c r="AP37" s="146">
        <v>1.0354569103765434</v>
      </c>
      <c r="AQ37" s="146">
        <v>0</v>
      </c>
      <c r="AR37" s="146">
        <v>0.2869247650242237</v>
      </c>
      <c r="AS37" s="146">
        <v>0</v>
      </c>
      <c r="AT37" s="146">
        <v>0</v>
      </c>
      <c r="AU37" s="146">
        <v>0.47250552252425926</v>
      </c>
      <c r="AV37" s="146">
        <v>2.4441615636698957E-2</v>
      </c>
      <c r="AW37" s="146">
        <v>0.10813412745342495</v>
      </c>
      <c r="AX37" s="146">
        <v>3.6689370708069324E-2</v>
      </c>
      <c r="AY37" s="232">
        <v>0.7275919165595478</v>
      </c>
      <c r="AZ37" s="144">
        <v>2.5465717079584174</v>
      </c>
      <c r="BA37" s="232">
        <v>3.1683123357721117E-2</v>
      </c>
      <c r="BB37" s="145">
        <v>3.1018334334763083E-2</v>
      </c>
      <c r="BC37" s="144">
        <v>0.10572278134439678</v>
      </c>
      <c r="BD37" s="232">
        <v>4.3394539321703576E-2</v>
      </c>
      <c r="BE37" s="145">
        <v>0.28389282213730166</v>
      </c>
      <c r="BF37" s="145">
        <v>0.30054729609511155</v>
      </c>
      <c r="BG37" s="145">
        <v>0.30266397730566591</v>
      </c>
      <c r="BH37" s="145">
        <v>0.31605652358879366</v>
      </c>
      <c r="BI37" s="145">
        <v>0.27150136285612581</v>
      </c>
      <c r="BJ37" s="145">
        <v>0.1141668245003203</v>
      </c>
      <c r="BK37" s="145">
        <v>5.9538069722029734E-2</v>
      </c>
      <c r="BL37" s="145">
        <v>3.9357284926073877E-2</v>
      </c>
      <c r="BM37" s="145">
        <v>0.35831310371458303</v>
      </c>
      <c r="BN37" s="145">
        <v>0.31973443550344804</v>
      </c>
      <c r="BO37" s="145">
        <v>0.33934855473926562</v>
      </c>
      <c r="BP37" s="144">
        <v>9.2821585661599079E-2</v>
      </c>
      <c r="BQ37" s="146">
        <v>7.1260617733987439E-2</v>
      </c>
      <c r="BR37" s="146">
        <v>5.2256373397301596E-2</v>
      </c>
      <c r="BS37" s="232">
        <v>0.31523252108378302</v>
      </c>
      <c r="BT37" s="145">
        <v>1.1566159348243388E-2</v>
      </c>
      <c r="BU37" s="144">
        <v>4.2436150466704119E-2</v>
      </c>
      <c r="BV37" s="146">
        <v>0.62862511211049199</v>
      </c>
      <c r="BW37" s="146">
        <v>1.7444367857004216E-2</v>
      </c>
      <c r="BX37" s="146">
        <v>5.0660106179328892</v>
      </c>
      <c r="BY37" s="146">
        <v>0.9998703670982112</v>
      </c>
      <c r="BZ37" s="146">
        <v>0.19028893766315155</v>
      </c>
    </row>
    <row r="38" spans="1:78" x14ac:dyDescent="0.35">
      <c r="A38" s="50" t="s">
        <v>1523</v>
      </c>
      <c r="B38" s="145">
        <v>7.4850868022858008E-2</v>
      </c>
      <c r="C38" s="145">
        <v>8.084154378024043E-2</v>
      </c>
      <c r="D38" s="145">
        <v>7.6432406422806964E-2</v>
      </c>
      <c r="E38" s="144">
        <v>0.11310948952181837</v>
      </c>
      <c r="F38" s="146">
        <v>2.9222998880985382E-2</v>
      </c>
      <c r="G38" s="145">
        <v>1.0532094150199189</v>
      </c>
      <c r="H38" s="145">
        <v>0.11722100905233861</v>
      </c>
      <c r="I38" s="144">
        <v>0.95025069036348508</v>
      </c>
      <c r="J38" s="145">
        <v>1.1591016566780119</v>
      </c>
      <c r="K38" s="145">
        <v>0.12765557096190894</v>
      </c>
      <c r="L38" s="144">
        <v>0.28237248381932439</v>
      </c>
      <c r="M38" s="232">
        <v>3.2010289372508424E-2</v>
      </c>
      <c r="N38" s="145">
        <v>1.5906381135384136E-3</v>
      </c>
      <c r="O38" s="144">
        <v>9.8039439534603166E-3</v>
      </c>
      <c r="P38" s="232">
        <v>0.25986833345220628</v>
      </c>
      <c r="Q38" s="145">
        <v>4.1607214106560736E-2</v>
      </c>
      <c r="R38" s="144">
        <v>0.16383344094012225</v>
      </c>
      <c r="S38" s="232">
        <v>0.19334204330666915</v>
      </c>
      <c r="T38" s="145">
        <v>6.4165656624667828E-3</v>
      </c>
      <c r="U38" s="144">
        <v>0.11109483314322012</v>
      </c>
      <c r="V38" s="146">
        <v>0.25986833345220628</v>
      </c>
      <c r="W38" s="146">
        <v>0.66932523570410607</v>
      </c>
      <c r="X38" s="146">
        <v>0.33043924728600022</v>
      </c>
      <c r="Y38" s="146">
        <v>0.89591472849568954</v>
      </c>
      <c r="Z38" s="144">
        <v>0.12955816689015265</v>
      </c>
      <c r="AA38" s="144">
        <v>0.18865091532192613</v>
      </c>
      <c r="AB38" s="145">
        <v>0.76678499051602389</v>
      </c>
      <c r="AC38" s="145">
        <v>4.6360525684974237E-2</v>
      </c>
      <c r="AD38" s="144">
        <v>0.391443844339047</v>
      </c>
      <c r="AE38" s="144">
        <v>1.1159394245541406E-2</v>
      </c>
      <c r="AF38" s="232">
        <v>4.7787759473447801E-2</v>
      </c>
      <c r="AG38" s="144">
        <v>7.3422844370380227E-2</v>
      </c>
      <c r="AH38" s="232">
        <v>0.14584671688857054</v>
      </c>
      <c r="AI38" s="144">
        <v>0.11489301905824609</v>
      </c>
      <c r="AJ38" s="232">
        <v>0.11847465142278982</v>
      </c>
      <c r="AK38" s="145">
        <v>0.14084481550927558</v>
      </c>
      <c r="AL38" s="145">
        <v>0.19661174075467536</v>
      </c>
      <c r="AM38" s="145">
        <v>0.64545813778230721</v>
      </c>
      <c r="AN38" s="144">
        <v>1.164506636619113</v>
      </c>
      <c r="AO38" s="146">
        <v>8.8799000589954338E-2</v>
      </c>
      <c r="AP38" s="146">
        <v>6.3598353105426213</v>
      </c>
      <c r="AQ38" s="146">
        <v>0</v>
      </c>
      <c r="AR38" s="146">
        <v>0.54615270529419879</v>
      </c>
      <c r="AS38" s="146">
        <v>0</v>
      </c>
      <c r="AT38" s="146">
        <v>0</v>
      </c>
      <c r="AU38" s="146">
        <v>1.2374917923013673</v>
      </c>
      <c r="AV38" s="146">
        <v>6.2821057048466772E-2</v>
      </c>
      <c r="AW38" s="146">
        <v>0.17312983394829012</v>
      </c>
      <c r="AX38" s="146">
        <v>7.3422844370380227E-2</v>
      </c>
      <c r="AY38" s="232">
        <v>1.3408908843650587</v>
      </c>
      <c r="AZ38" s="144">
        <v>4.693118095277705</v>
      </c>
      <c r="BA38" s="232">
        <v>6.8134572279136343E-2</v>
      </c>
      <c r="BB38" s="145">
        <v>6.6704943160071847E-2</v>
      </c>
      <c r="BC38" s="144">
        <v>0.18006159840590474</v>
      </c>
      <c r="BD38" s="232">
        <v>7.9388058310186874E-2</v>
      </c>
      <c r="BE38" s="145">
        <v>0.60144892081894163</v>
      </c>
      <c r="BF38" s="145">
        <v>0.64271208245429545</v>
      </c>
      <c r="BG38" s="145">
        <v>0.63314045669829744</v>
      </c>
      <c r="BH38" s="145">
        <v>0.65454607728069658</v>
      </c>
      <c r="BI38" s="145">
        <v>0.6101431467872831</v>
      </c>
      <c r="BJ38" s="145">
        <v>0.24002795961546519</v>
      </c>
      <c r="BK38" s="145">
        <v>9.7726857269513495E-2</v>
      </c>
      <c r="BL38" s="145">
        <v>0.11941176552115612</v>
      </c>
      <c r="BM38" s="145">
        <v>0.77523010305606366</v>
      </c>
      <c r="BN38" s="145">
        <v>0.73642087703653147</v>
      </c>
      <c r="BO38" s="145">
        <v>0.69798563073549091</v>
      </c>
      <c r="BP38" s="144">
        <v>0.13513255373414843</v>
      </c>
      <c r="BQ38" s="146">
        <v>0.27846280256005873</v>
      </c>
      <c r="BR38" s="146">
        <v>0.11188160882271155</v>
      </c>
      <c r="BS38" s="232">
        <v>0.86320225970837339</v>
      </c>
      <c r="BT38" s="145">
        <v>1.8066813857201831E-2</v>
      </c>
      <c r="BU38" s="144">
        <v>6.5847306386879328E-2</v>
      </c>
      <c r="BV38" s="146">
        <v>1.4738116429953962</v>
      </c>
      <c r="BW38" s="146">
        <v>2.7397894885116202E-2</v>
      </c>
      <c r="BX38" s="146">
        <v>12.430503818025842</v>
      </c>
      <c r="BY38" s="146">
        <v>2.2935489011889159</v>
      </c>
      <c r="BZ38" s="146">
        <v>0.38587140922670365</v>
      </c>
    </row>
    <row r="39" spans="1:78" x14ac:dyDescent="0.35">
      <c r="A39" s="50" t="s">
        <v>1522</v>
      </c>
      <c r="B39" s="145">
        <v>8.4280566027385428E-3</v>
      </c>
      <c r="C39" s="145">
        <v>9.2666134297945055E-3</v>
      </c>
      <c r="D39" s="145">
        <v>8.6494356050813171E-3</v>
      </c>
      <c r="E39" s="144">
        <v>1.3105048255778018E-2</v>
      </c>
      <c r="F39" s="146">
        <v>2.0962895904724256E-3</v>
      </c>
      <c r="G39" s="145">
        <v>0.16392197268530245</v>
      </c>
      <c r="H39" s="145">
        <v>1.5174696754280348E-2</v>
      </c>
      <c r="I39" s="144">
        <v>0.14755977233289003</v>
      </c>
      <c r="J39" s="145">
        <v>0.18010105696649642</v>
      </c>
      <c r="K39" s="145">
        <v>1.6183646727442651E-2</v>
      </c>
      <c r="L39" s="144">
        <v>4.0771258263300719E-2</v>
      </c>
      <c r="M39" s="232">
        <v>3.4858860801520422E-3</v>
      </c>
      <c r="N39" s="145">
        <v>6.8724495683141276E-5</v>
      </c>
      <c r="O39" s="144">
        <v>9.913581234897446E-4</v>
      </c>
      <c r="P39" s="232">
        <v>2.3613483004079297E-2</v>
      </c>
      <c r="Q39" s="145">
        <v>2.9986140596297657E-3</v>
      </c>
      <c r="R39" s="144">
        <v>1.4542940668521505E-2</v>
      </c>
      <c r="S39" s="232">
        <v>1.7944931181843239E-2</v>
      </c>
      <c r="T39" s="145">
        <v>4.6243913280837843E-4</v>
      </c>
      <c r="U39" s="144">
        <v>1.0252634680267903E-2</v>
      </c>
      <c r="V39" s="146">
        <v>2.3613483004079297E-2</v>
      </c>
      <c r="W39" s="146">
        <v>6.8153863122328073E-2</v>
      </c>
      <c r="X39" s="146">
        <v>3.5939678575115749E-2</v>
      </c>
      <c r="Y39" s="146">
        <v>0.10650894731683049</v>
      </c>
      <c r="Z39" s="144">
        <v>1.5431938000130128E-2</v>
      </c>
      <c r="AA39" s="144">
        <v>2.3050564922658921E-2</v>
      </c>
      <c r="AB39" s="145">
        <v>7.4333119672541442E-2</v>
      </c>
      <c r="AC39" s="145">
        <v>4.3848490602791564E-3</v>
      </c>
      <c r="AD39" s="144">
        <v>3.7890070683552789E-2</v>
      </c>
      <c r="AE39" s="144">
        <v>7.3273665039874951E-4</v>
      </c>
      <c r="AF39" s="232">
        <v>3.3517273135973209E-3</v>
      </c>
      <c r="AG39" s="144">
        <v>6.6816889823267831E-3</v>
      </c>
      <c r="AH39" s="232">
        <v>8.6558197507784398E-3</v>
      </c>
      <c r="AI39" s="144">
        <v>8.8473587912974421E-3</v>
      </c>
      <c r="AJ39" s="232">
        <v>6.4353454465336845E-3</v>
      </c>
      <c r="AK39" s="145">
        <v>8.7356164745997101E-3</v>
      </c>
      <c r="AL39" s="145">
        <v>1.7054898376346442E-2</v>
      </c>
      <c r="AM39" s="145">
        <v>5.0391487720805858E-2</v>
      </c>
      <c r="AN39" s="144">
        <v>9.5851529963196166E-2</v>
      </c>
      <c r="AO39" s="146">
        <v>7.480028737081406E-3</v>
      </c>
      <c r="AP39" s="146">
        <v>1.0322548194100041</v>
      </c>
      <c r="AQ39" s="146">
        <v>0</v>
      </c>
      <c r="AR39" s="146">
        <v>4.6816862994963807E-2</v>
      </c>
      <c r="AS39" s="146">
        <v>0</v>
      </c>
      <c r="AT39" s="146">
        <v>0</v>
      </c>
      <c r="AU39" s="146">
        <v>0.15250627722434731</v>
      </c>
      <c r="AV39" s="146">
        <v>7.8085353579781811E-3</v>
      </c>
      <c r="AW39" s="146">
        <v>1.4461868626421194E-2</v>
      </c>
      <c r="AX39" s="146">
        <v>6.6816889823267831E-3</v>
      </c>
      <c r="AY39" s="232">
        <v>0.1116824933522322</v>
      </c>
      <c r="AZ39" s="144">
        <v>0.39088872673281266</v>
      </c>
      <c r="BA39" s="232">
        <v>6.9153446220741365E-3</v>
      </c>
      <c r="BB39" s="145">
        <v>6.770243864714416E-3</v>
      </c>
      <c r="BC39" s="144">
        <v>1.6074815346912616E-2</v>
      </c>
      <c r="BD39" s="232">
        <v>6.9141407956536186E-3</v>
      </c>
      <c r="BE39" s="145">
        <v>6.0274478161645349E-2</v>
      </c>
      <c r="BF39" s="145">
        <v>6.504505498438598E-2</v>
      </c>
      <c r="BG39" s="145">
        <v>6.286066776007676E-2</v>
      </c>
      <c r="BH39" s="145">
        <v>6.4767092595554743E-2</v>
      </c>
      <c r="BI39" s="145">
        <v>6.2341902366733634E-2</v>
      </c>
      <c r="BJ39" s="145">
        <v>2.3591391036766225E-2</v>
      </c>
      <c r="BK39" s="145">
        <v>4.7977465553242131E-3</v>
      </c>
      <c r="BL39" s="145">
        <v>1.0906256440947105E-2</v>
      </c>
      <c r="BM39" s="145">
        <v>7.9013576460308335E-2</v>
      </c>
      <c r="BN39" s="145">
        <v>8.0164154240766533E-2</v>
      </c>
      <c r="BO39" s="145">
        <v>6.7824886043458779E-2</v>
      </c>
      <c r="BP39" s="144">
        <v>6.2365851091639385E-3</v>
      </c>
      <c r="BQ39" s="146">
        <v>4.2870238557833E-2</v>
      </c>
      <c r="BR39" s="146">
        <v>1.1373170453171934E-2</v>
      </c>
      <c r="BS39" s="232">
        <v>0.10266924388166124</v>
      </c>
      <c r="BT39" s="145">
        <v>1.0631898043546141E-3</v>
      </c>
      <c r="BU39" s="144">
        <v>3.8002674762166906E-3</v>
      </c>
      <c r="BV39" s="146">
        <v>0.16440805112336979</v>
      </c>
      <c r="BW39" s="146">
        <v>2.2213212599417357E-3</v>
      </c>
      <c r="BX39" s="146">
        <v>1.4531914664346668</v>
      </c>
      <c r="BY39" s="146">
        <v>0.25157619016261529</v>
      </c>
      <c r="BZ39" s="146">
        <v>5.3840173164251305E-2</v>
      </c>
    </row>
    <row r="40" spans="1:78" x14ac:dyDescent="0.35">
      <c r="A40" s="50" t="s">
        <v>1521</v>
      </c>
      <c r="B40" s="145">
        <v>6.2422522925416751E-3</v>
      </c>
      <c r="C40" s="145">
        <v>6.8244492525981349E-3</v>
      </c>
      <c r="D40" s="145">
        <v>6.3959522899965805E-3</v>
      </c>
      <c r="E40" s="144">
        <v>9.650529149418257E-3</v>
      </c>
      <c r="F40" s="146">
        <v>1.6096495551308067E-3</v>
      </c>
      <c r="G40" s="145">
        <v>0.11587127005329541</v>
      </c>
      <c r="H40" s="145">
        <v>1.0797273923200505E-2</v>
      </c>
      <c r="I40" s="144">
        <v>0.10431313047898498</v>
      </c>
      <c r="J40" s="145">
        <v>0.12729371445703122</v>
      </c>
      <c r="K40" s="145">
        <v>1.150364555452258E-2</v>
      </c>
      <c r="L40" s="144">
        <v>2.8872155889898873E-2</v>
      </c>
      <c r="M40" s="232">
        <v>2.6111141968898702E-3</v>
      </c>
      <c r="N40" s="145">
        <v>6.0806476507512695E-5</v>
      </c>
      <c r="O40" s="144">
        <v>7.4938956101074919E-4</v>
      </c>
      <c r="P40" s="232">
        <v>1.727769122997342E-2</v>
      </c>
      <c r="Q40" s="145">
        <v>2.2453933071948477E-3</v>
      </c>
      <c r="R40" s="144">
        <v>1.0663480143950849E-2</v>
      </c>
      <c r="S40" s="232">
        <v>1.3146049049080137E-2</v>
      </c>
      <c r="T40" s="145">
        <v>3.4627921871383698E-4</v>
      </c>
      <c r="U40" s="144">
        <v>7.5141503237189664E-3</v>
      </c>
      <c r="V40" s="146">
        <v>1.727769122997342E-2</v>
      </c>
      <c r="W40" s="146">
        <v>5.033299753336358E-2</v>
      </c>
      <c r="X40" s="146">
        <v>2.6502429462380319E-2</v>
      </c>
      <c r="Y40" s="146">
        <v>7.7509912741206388E-2</v>
      </c>
      <c r="Z40" s="144">
        <v>1.1120563019370984E-2</v>
      </c>
      <c r="AA40" s="144">
        <v>1.6977411225809712E-2</v>
      </c>
      <c r="AB40" s="145">
        <v>5.482576075390571E-2</v>
      </c>
      <c r="AC40" s="145">
        <v>3.2342829501924792E-3</v>
      </c>
      <c r="AD40" s="144">
        <v>2.7946600818171116E-2</v>
      </c>
      <c r="AE40" s="144">
        <v>6.5423509688374221E-4</v>
      </c>
      <c r="AF40" s="232">
        <v>2.4850431010763115E-3</v>
      </c>
      <c r="AG40" s="144">
        <v>4.9524140008986818E-3</v>
      </c>
      <c r="AH40" s="232">
        <v>6.4524252129765656E-3</v>
      </c>
      <c r="AI40" s="144">
        <v>6.6802224889875418E-3</v>
      </c>
      <c r="AJ40" s="232">
        <v>4.8454377357148269E-3</v>
      </c>
      <c r="AK40" s="145">
        <v>6.5873107242693527E-3</v>
      </c>
      <c r="AL40" s="145">
        <v>1.2696997017272831E-2</v>
      </c>
      <c r="AM40" s="145">
        <v>3.7707432568789202E-2</v>
      </c>
      <c r="AN40" s="144">
        <v>7.1495472330733084E-2</v>
      </c>
      <c r="AO40" s="146">
        <v>5.8107711361798349E-3</v>
      </c>
      <c r="AP40" s="146">
        <v>0.72744743884328478</v>
      </c>
      <c r="AQ40" s="146">
        <v>0</v>
      </c>
      <c r="AR40" s="146">
        <v>3.4564096582523143E-2</v>
      </c>
      <c r="AS40" s="146">
        <v>0</v>
      </c>
      <c r="AT40" s="146">
        <v>0</v>
      </c>
      <c r="AU40" s="146">
        <v>0.11225634822934653</v>
      </c>
      <c r="AV40" s="146">
        <v>5.7642336978894187E-3</v>
      </c>
      <c r="AW40" s="146">
        <v>1.1427458427598465E-2</v>
      </c>
      <c r="AX40" s="146">
        <v>4.9524140008986818E-3</v>
      </c>
      <c r="AY40" s="232">
        <v>8.3192986619182133E-2</v>
      </c>
      <c r="AZ40" s="144">
        <v>0.29117545316713744</v>
      </c>
      <c r="BA40" s="232">
        <v>5.0976930121282961E-3</v>
      </c>
      <c r="BB40" s="145">
        <v>4.9907310084580702E-3</v>
      </c>
      <c r="BC40" s="144">
        <v>1.2516616489855728E-2</v>
      </c>
      <c r="BD40" s="232">
        <v>5.1127845677701672E-3</v>
      </c>
      <c r="BE40" s="145">
        <v>4.4496138327525997E-2</v>
      </c>
      <c r="BF40" s="145">
        <v>4.8005187446684111E-2</v>
      </c>
      <c r="BG40" s="145">
        <v>4.6381710308114832E-2</v>
      </c>
      <c r="BH40" s="145">
        <v>4.794266237203347E-2</v>
      </c>
      <c r="BI40" s="145">
        <v>4.6867297437431531E-2</v>
      </c>
      <c r="BJ40" s="145">
        <v>1.748013754520222E-2</v>
      </c>
      <c r="BK40" s="145">
        <v>3.9813584951540176E-3</v>
      </c>
      <c r="BL40" s="145">
        <v>8.6317024595772736E-3</v>
      </c>
      <c r="BM40" s="145">
        <v>5.853982048332846E-2</v>
      </c>
      <c r="BN40" s="145">
        <v>5.9115257191142745E-2</v>
      </c>
      <c r="BO40" s="145">
        <v>5.0255831808583451E-2</v>
      </c>
      <c r="BP40" s="144">
        <v>5.056375418570372E-3</v>
      </c>
      <c r="BQ40" s="146">
        <v>3.0612132463760332E-2</v>
      </c>
      <c r="BR40" s="146">
        <v>8.3980602526084174E-3</v>
      </c>
      <c r="BS40" s="232">
        <v>7.6244946336311126E-2</v>
      </c>
      <c r="BT40" s="145">
        <v>7.9795224927443702E-4</v>
      </c>
      <c r="BU40" s="144">
        <v>2.853470997566479E-3</v>
      </c>
      <c r="BV40" s="146">
        <v>0.12110378019457012</v>
      </c>
      <c r="BW40" s="146">
        <v>1.7643193292884538E-3</v>
      </c>
      <c r="BX40" s="146">
        <v>1.0696906145368912</v>
      </c>
      <c r="BY40" s="146">
        <v>0.18496717062002818</v>
      </c>
      <c r="BZ40" s="146">
        <v>4.119314986229778E-2</v>
      </c>
    </row>
    <row r="41" spans="1:78" x14ac:dyDescent="0.35">
      <c r="A41" s="50" t="s">
        <v>1520</v>
      </c>
      <c r="B41" s="145">
        <v>0.27934603028312743</v>
      </c>
      <c r="C41" s="145">
        <v>0.3104458628717558</v>
      </c>
      <c r="D41" s="145">
        <v>0.28755638608652534</v>
      </c>
      <c r="E41" s="144">
        <v>0.43912769464754386</v>
      </c>
      <c r="F41" s="146">
        <v>5.176140172403982E-2</v>
      </c>
      <c r="G41" s="145">
        <v>6.0976067510057863</v>
      </c>
      <c r="H41" s="145">
        <v>0.55569142613095135</v>
      </c>
      <c r="I41" s="144">
        <v>5.4879960652695541</v>
      </c>
      <c r="J41" s="145">
        <v>6.7012209633477511</v>
      </c>
      <c r="K41" s="145">
        <v>0.59410806241057301</v>
      </c>
      <c r="L41" s="144">
        <v>1.5101749975511498</v>
      </c>
      <c r="M41" s="232">
        <v>0.10606491037056918</v>
      </c>
      <c r="N41" s="145">
        <v>4.6219347847373894E-4</v>
      </c>
      <c r="O41" s="144">
        <v>2.8974927039339512E-2</v>
      </c>
      <c r="P41" s="232">
        <v>0.59140472608437311</v>
      </c>
      <c r="Q41" s="145">
        <v>8.4732208729907513E-2</v>
      </c>
      <c r="R41" s="144">
        <v>0.36846881844840823</v>
      </c>
      <c r="S41" s="232">
        <v>0.47458794667762327</v>
      </c>
      <c r="T41" s="145">
        <v>1.3067199828588436E-2</v>
      </c>
      <c r="U41" s="144">
        <v>0.27151881806404798</v>
      </c>
      <c r="V41" s="146">
        <v>0.59140472608437311</v>
      </c>
      <c r="W41" s="146">
        <v>2.0781294394446155</v>
      </c>
      <c r="X41" s="146">
        <v>1.0947879196620145</v>
      </c>
      <c r="Y41" s="146">
        <v>3.4275645499856298</v>
      </c>
      <c r="Z41" s="144">
        <v>0.45832612137850942</v>
      </c>
      <c r="AA41" s="144">
        <v>0.76754476820810769</v>
      </c>
      <c r="AB41" s="145">
        <v>2.4761735118040673</v>
      </c>
      <c r="AC41" s="145">
        <v>0.14631142093263139</v>
      </c>
      <c r="AD41" s="144">
        <v>1.2623153624600492</v>
      </c>
      <c r="AE41" s="144">
        <v>6.8749309365062758E-3</v>
      </c>
      <c r="AF41" s="232">
        <v>0.10922003480560738</v>
      </c>
      <c r="AG41" s="144">
        <v>0.21700080487064777</v>
      </c>
      <c r="AH41" s="232">
        <v>0.27744681706049379</v>
      </c>
      <c r="AI41" s="144">
        <v>0.25814706592908943</v>
      </c>
      <c r="AJ41" s="232">
        <v>0.19737492872817813</v>
      </c>
      <c r="AK41" s="145">
        <v>0.2566223937429139</v>
      </c>
      <c r="AL41" s="145">
        <v>0.53533219838329948</v>
      </c>
      <c r="AM41" s="145">
        <v>1.5183996111484739</v>
      </c>
      <c r="AN41" s="144">
        <v>2.9503722814988014</v>
      </c>
      <c r="AO41" s="146">
        <v>0.14837880742207343</v>
      </c>
      <c r="AP41" s="146">
        <v>38.628225540866389</v>
      </c>
      <c r="AQ41" s="146">
        <v>0</v>
      </c>
      <c r="AR41" s="146">
        <v>1.5584519176955394</v>
      </c>
      <c r="AS41" s="146">
        <v>0</v>
      </c>
      <c r="AT41" s="146">
        <v>0</v>
      </c>
      <c r="AU41" s="146">
        <v>5.1159361114498392</v>
      </c>
      <c r="AV41" s="146">
        <v>0.25187173269560381</v>
      </c>
      <c r="AW41" s="146">
        <v>0.21731088170242571</v>
      </c>
      <c r="AX41" s="146">
        <v>0.21700080487064777</v>
      </c>
      <c r="AY41" s="232">
        <v>3.4712240114964312</v>
      </c>
      <c r="AZ41" s="144">
        <v>12.149284040237509</v>
      </c>
      <c r="BA41" s="232">
        <v>0.23110881842551229</v>
      </c>
      <c r="BB41" s="145">
        <v>0.22625959305516569</v>
      </c>
      <c r="BC41" s="144">
        <v>0.3071410507501508</v>
      </c>
      <c r="BD41" s="232">
        <v>0.19041448467515668</v>
      </c>
      <c r="BE41" s="145">
        <v>1.847119280175386</v>
      </c>
      <c r="BF41" s="145">
        <v>2.0008887575590419</v>
      </c>
      <c r="BG41" s="145">
        <v>1.9053140679206326</v>
      </c>
      <c r="BH41" s="145">
        <v>1.9489279394627002</v>
      </c>
      <c r="BI41" s="145">
        <v>1.8861344598194942</v>
      </c>
      <c r="BJ41" s="145">
        <v>0.62835713988613817</v>
      </c>
      <c r="BK41" s="145">
        <v>5.2930873827244977E-2</v>
      </c>
      <c r="BL41" s="145">
        <v>0.22935274982516946</v>
      </c>
      <c r="BM41" s="145">
        <v>2.4180744454182719</v>
      </c>
      <c r="BN41" s="145">
        <v>2.4767216402143872</v>
      </c>
      <c r="BO41" s="145">
        <v>2.0300506575757251</v>
      </c>
      <c r="BP41" s="144">
        <v>0.13549835145348937</v>
      </c>
      <c r="BQ41" s="146">
        <v>1.3996967230017676</v>
      </c>
      <c r="BR41" s="146">
        <v>0.37507980630509469</v>
      </c>
      <c r="BS41" s="232">
        <v>3.3392533033245746</v>
      </c>
      <c r="BT41" s="145">
        <v>3.1375055728202809E-2</v>
      </c>
      <c r="BU41" s="144">
        <v>0.11187257059971616</v>
      </c>
      <c r="BV41" s="146">
        <v>5.5050581706975601</v>
      </c>
      <c r="BW41" s="146">
        <v>3.0675898717852462E-2</v>
      </c>
      <c r="BX41" s="146">
        <v>50.421534453282106</v>
      </c>
      <c r="BY41" s="146">
        <v>9.127599488379694</v>
      </c>
      <c r="BZ41" s="146">
        <v>0.85524257219736022</v>
      </c>
    </row>
    <row r="42" spans="1:78" x14ac:dyDescent="0.35">
      <c r="A42" s="50" t="s">
        <v>1519</v>
      </c>
      <c r="B42" s="145">
        <v>3.6283830995100902E-4</v>
      </c>
      <c r="C42" s="145">
        <v>4.096036940825406E-4</v>
      </c>
      <c r="D42" s="145">
        <v>3.7518437136173339E-4</v>
      </c>
      <c r="E42" s="144">
        <v>5.7857233061327381E-4</v>
      </c>
      <c r="F42" s="146">
        <v>1.2789511954917844E-4</v>
      </c>
      <c r="G42" s="145">
        <v>5.3706949720822832E-3</v>
      </c>
      <c r="H42" s="145">
        <v>5.2951031464083223E-4</v>
      </c>
      <c r="I42" s="144">
        <v>4.8381646597637235E-3</v>
      </c>
      <c r="J42" s="145">
        <v>5.8964159278611069E-3</v>
      </c>
      <c r="K42" s="145">
        <v>5.6149838688486194E-4</v>
      </c>
      <c r="L42" s="144">
        <v>1.3617360180312988E-3</v>
      </c>
      <c r="M42" s="232">
        <v>1.7038664002987409E-4</v>
      </c>
      <c r="N42" s="145">
        <v>5.5314163003543219E-6</v>
      </c>
      <c r="O42" s="144">
        <v>5.0042326707324659E-5</v>
      </c>
      <c r="P42" s="232">
        <v>1.3959268099448083E-3</v>
      </c>
      <c r="Q42" s="145">
        <v>1.709872869049093E-4</v>
      </c>
      <c r="R42" s="144">
        <v>8.569534198072528E-4</v>
      </c>
      <c r="S42" s="232">
        <v>1.0176657940929052E-3</v>
      </c>
      <c r="T42" s="145">
        <v>2.6369252963259454E-5</v>
      </c>
      <c r="U42" s="144">
        <v>5.8149531599586111E-4</v>
      </c>
      <c r="V42" s="146">
        <v>1.3959268099448083E-3</v>
      </c>
      <c r="W42" s="146">
        <v>3.3872400565152249E-3</v>
      </c>
      <c r="X42" s="146">
        <v>1.7718359843377684E-3</v>
      </c>
      <c r="Y42" s="146">
        <v>4.7664478632326616E-3</v>
      </c>
      <c r="Z42" s="144">
        <v>7.4275241526211848E-4</v>
      </c>
      <c r="AA42" s="144">
        <v>1.0233569941593573E-3</v>
      </c>
      <c r="AB42" s="145">
        <v>3.3649709257160469E-3</v>
      </c>
      <c r="AC42" s="145">
        <v>1.9846543344042588E-4</v>
      </c>
      <c r="AD42" s="144">
        <v>1.7152215642404483E-3</v>
      </c>
      <c r="AE42" s="144">
        <v>8.1410066405236353E-5</v>
      </c>
      <c r="AF42" s="232">
        <v>1.6186322227294112E-4</v>
      </c>
      <c r="AG42" s="144">
        <v>3.1797177143228167E-4</v>
      </c>
      <c r="AH42" s="232">
        <v>4.4535965613119234E-4</v>
      </c>
      <c r="AI42" s="144">
        <v>5.0731692154576467E-4</v>
      </c>
      <c r="AJ42" s="232">
        <v>3.6407381570431054E-4</v>
      </c>
      <c r="AK42" s="145">
        <v>4.9915870805187904E-4</v>
      </c>
      <c r="AL42" s="145">
        <v>8.520977961568837E-4</v>
      </c>
      <c r="AM42" s="145">
        <v>2.6528758443020895E-3</v>
      </c>
      <c r="AN42" s="144">
        <v>4.8810939947715615E-3</v>
      </c>
      <c r="AO42" s="146">
        <v>5.3755530388220217E-4</v>
      </c>
      <c r="AP42" s="146">
        <v>3.280523004827296E-2</v>
      </c>
      <c r="AQ42" s="146">
        <v>0</v>
      </c>
      <c r="AR42" s="146">
        <v>2.1483271111725341E-3</v>
      </c>
      <c r="AS42" s="146">
        <v>0</v>
      </c>
      <c r="AT42" s="146">
        <v>0</v>
      </c>
      <c r="AU42" s="146">
        <v>6.6878213357001682E-3</v>
      </c>
      <c r="AV42" s="146">
        <v>3.6315805414590004E-4</v>
      </c>
      <c r="AW42" s="146">
        <v>1.1746861753986712E-3</v>
      </c>
      <c r="AX42" s="146">
        <v>3.1797177143228167E-4</v>
      </c>
      <c r="AY42" s="232">
        <v>5.6095339588772128E-3</v>
      </c>
      <c r="AZ42" s="144">
        <v>1.9633368856070244E-2</v>
      </c>
      <c r="BA42" s="232">
        <v>3.1014562976102692E-4</v>
      </c>
      <c r="BB42" s="145">
        <v>3.0363801976766782E-4</v>
      </c>
      <c r="BC42" s="144">
        <v>1.1731283184898791E-3</v>
      </c>
      <c r="BD42" s="232">
        <v>3.8785785098786153E-4</v>
      </c>
      <c r="BE42" s="145">
        <v>3.0008544958596071E-3</v>
      </c>
      <c r="BF42" s="145">
        <v>3.2181872869188207E-3</v>
      </c>
      <c r="BG42" s="145">
        <v>3.1653667707713033E-3</v>
      </c>
      <c r="BH42" s="145">
        <v>3.303008360228385E-3</v>
      </c>
      <c r="BI42" s="145">
        <v>3.1452457035380669E-3</v>
      </c>
      <c r="BJ42" s="145">
        <v>1.3474701377804116E-3</v>
      </c>
      <c r="BK42" s="145">
        <v>4.8412299252935951E-4</v>
      </c>
      <c r="BL42" s="145">
        <v>8.3807941844194465E-4</v>
      </c>
      <c r="BM42" s="145">
        <v>3.936404489423527E-3</v>
      </c>
      <c r="BN42" s="145">
        <v>3.9082699952763048E-3</v>
      </c>
      <c r="BO42" s="145">
        <v>3.4908328492509739E-3</v>
      </c>
      <c r="BP42" s="144">
        <v>3.2265891952521717E-4</v>
      </c>
      <c r="BQ42" s="146">
        <v>1.9047933717326506E-3</v>
      </c>
      <c r="BR42" s="146">
        <v>5.1963728533394461E-4</v>
      </c>
      <c r="BS42" s="232">
        <v>4.7922621185060073E-3</v>
      </c>
      <c r="BT42" s="145">
        <v>5.6741105824992958E-5</v>
      </c>
      <c r="BU42" s="144">
        <v>2.0378106935634905E-4</v>
      </c>
      <c r="BV42" s="146">
        <v>7.2898284817364874E-3</v>
      </c>
      <c r="BW42" s="146">
        <v>1.8584695742738478E-4</v>
      </c>
      <c r="BX42" s="146">
        <v>6.6313427495473976E-2</v>
      </c>
      <c r="BY42" s="146">
        <v>1.2021426702748268E-2</v>
      </c>
      <c r="BZ42" s="146">
        <v>4.3184258475701606E-3</v>
      </c>
    </row>
    <row r="43" spans="1:78" x14ac:dyDescent="0.35">
      <c r="A43" s="46" t="s">
        <v>1518</v>
      </c>
      <c r="B43" s="142">
        <v>1.0645106522900521E-3</v>
      </c>
      <c r="C43" s="142">
        <v>1.0496233932179556E-3</v>
      </c>
      <c r="D43" s="142">
        <v>1.0605804158950185E-3</v>
      </c>
      <c r="E43" s="141">
        <v>1.4835234204640261E-3</v>
      </c>
      <c r="F43" s="143">
        <v>3.8719391972021349E-4</v>
      </c>
      <c r="G43" s="142">
        <v>1.0949488314011385E-2</v>
      </c>
      <c r="H43" s="142">
        <v>1.1209828855481387E-3</v>
      </c>
      <c r="I43" s="141">
        <v>9.8683527168804287E-3</v>
      </c>
      <c r="J43" s="142">
        <v>1.2007341380911789E-2</v>
      </c>
      <c r="K43" s="142">
        <v>1.1764663529800672E-3</v>
      </c>
      <c r="L43" s="141">
        <v>2.8010976071698255E-3</v>
      </c>
      <c r="M43" s="231">
        <v>5.1298369792528089E-4</v>
      </c>
      <c r="N43" s="142">
        <v>3.8281489649720037E-5</v>
      </c>
      <c r="O43" s="141">
        <v>1.6645108588412148E-4</v>
      </c>
      <c r="P43" s="231">
        <v>2.9845722606951781E-3</v>
      </c>
      <c r="Q43" s="142">
        <v>3.7744215722634465E-4</v>
      </c>
      <c r="R43" s="141">
        <v>1.8374350151688914E-3</v>
      </c>
      <c r="S43" s="231">
        <v>2.2307096447557501E-3</v>
      </c>
      <c r="T43" s="142">
        <v>5.8208232337383608E-5</v>
      </c>
      <c r="U43" s="141">
        <v>1.274809023291669E-3</v>
      </c>
      <c r="V43" s="143">
        <v>2.9845722606951781E-3</v>
      </c>
      <c r="W43" s="143">
        <v>7.6292701939512948E-3</v>
      </c>
      <c r="X43" s="143">
        <v>3.9475956698631267E-3</v>
      </c>
      <c r="Y43" s="143">
        <v>1.0504712115898455E-2</v>
      </c>
      <c r="Z43" s="141">
        <v>1.7165751607424577E-3</v>
      </c>
      <c r="AA43" s="141">
        <v>2.6075804296586238E-3</v>
      </c>
      <c r="AB43" s="142">
        <v>8.5100087507094576E-3</v>
      </c>
      <c r="AC43" s="142">
        <v>5.0250491527045651E-4</v>
      </c>
      <c r="AD43" s="141">
        <v>4.3380992524457377E-3</v>
      </c>
      <c r="AE43" s="141">
        <v>2.9310588977700419E-4</v>
      </c>
      <c r="AF43" s="231">
        <v>4.0137343361761226E-4</v>
      </c>
      <c r="AG43" s="141">
        <v>7.9757401970970479E-4</v>
      </c>
      <c r="AH43" s="231">
        <v>1.0685373805359602E-3</v>
      </c>
      <c r="AI43" s="141">
        <v>1.1681265986211082E-3</v>
      </c>
      <c r="AJ43" s="142">
        <v>8.5222776530533408E-4</v>
      </c>
      <c r="AK43" s="142">
        <v>1.129613697874078E-3</v>
      </c>
      <c r="AL43" s="142">
        <v>2.0388723999101911E-3</v>
      </c>
      <c r="AM43" s="142">
        <v>6.1099735129868356E-3</v>
      </c>
      <c r="AN43" s="141">
        <v>1.146790354770272E-2</v>
      </c>
      <c r="AO43" s="143">
        <v>9.7580209789692885E-4</v>
      </c>
      <c r="AP43" s="143">
        <v>6.7139014577893619E-2</v>
      </c>
      <c r="AQ43" s="143">
        <v>0</v>
      </c>
      <c r="AR43" s="143">
        <v>5.4020541728961174E-3</v>
      </c>
      <c r="AS43" s="143">
        <v>0</v>
      </c>
      <c r="AT43" s="143">
        <v>0</v>
      </c>
      <c r="AU43" s="143">
        <v>1.7207368783274835E-2</v>
      </c>
      <c r="AV43" s="143">
        <v>8.9014461904918577E-4</v>
      </c>
      <c r="AW43" s="143">
        <v>1.9638241624978991E-3</v>
      </c>
      <c r="AX43" s="143">
        <v>7.9757401970970479E-4</v>
      </c>
      <c r="AY43" s="231">
        <v>1.3301732246192667E-2</v>
      </c>
      <c r="AZ43" s="141">
        <v>4.6556062861674338E-2</v>
      </c>
      <c r="BA43" s="231">
        <v>7.8891522479876972E-4</v>
      </c>
      <c r="BB43" s="142">
        <v>7.7236186370588736E-4</v>
      </c>
      <c r="BC43" s="141">
        <v>2.1031673786813779E-3</v>
      </c>
      <c r="BD43" s="231">
        <v>8.3376156158772861E-4</v>
      </c>
      <c r="BE43" s="142">
        <v>7.1750818094746954E-3</v>
      </c>
      <c r="BF43" s="142">
        <v>7.647725277994127E-3</v>
      </c>
      <c r="BG43" s="142">
        <v>7.5132281443651824E-3</v>
      </c>
      <c r="BH43" s="142">
        <v>7.8254243793599455E-3</v>
      </c>
      <c r="BI43" s="142">
        <v>8.0958913349931071E-3</v>
      </c>
      <c r="BJ43" s="142">
        <v>2.983606893838539E-3</v>
      </c>
      <c r="BK43" s="142">
        <v>1.0649166255693159E-3</v>
      </c>
      <c r="BL43" s="142">
        <v>2.2770270815555848E-3</v>
      </c>
      <c r="BM43" s="142">
        <v>9.0194585091382465E-3</v>
      </c>
      <c r="BN43" s="142">
        <v>9.0454455411139237E-3</v>
      </c>
      <c r="BO43" s="142">
        <v>8.2643829335277367E-3</v>
      </c>
      <c r="BP43" s="141">
        <v>7.8675592117200422E-4</v>
      </c>
      <c r="BQ43" s="143">
        <v>3.4857929640698046E-3</v>
      </c>
      <c r="BR43" s="143">
        <v>1.302921549082276E-3</v>
      </c>
      <c r="BS43" s="231">
        <v>1.2807053676461301E-2</v>
      </c>
      <c r="BT43" s="142">
        <v>1.2849444097591165E-4</v>
      </c>
      <c r="BU43" s="141">
        <v>4.6029239784896601E-4</v>
      </c>
      <c r="BV43" s="143">
        <v>1.8650844711386953E-2</v>
      </c>
      <c r="BW43" s="143">
        <v>3.0530279495812626E-4</v>
      </c>
      <c r="BX43" s="143">
        <v>0.16964939006695587</v>
      </c>
      <c r="BY43" s="143">
        <v>3.0552224740757201E-2</v>
      </c>
      <c r="BZ43" s="143">
        <v>6.934273627560536E-3</v>
      </c>
    </row>
  </sheetData>
  <printOptions headings="1"/>
  <pageMargins left="0.2" right="0.21" top="1" bottom="1" header="0.5" footer="0.5"/>
  <pageSetup orientation="landscape" r:id="rId1"/>
  <headerFooter alignWithMargins="0">
    <oddHeader>&amp;A</oddHeader>
    <oddFooter>Page &amp;P</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autoPageBreaks="0" fitToPage="1"/>
  </sheetPr>
  <dimension ref="A1:Q543"/>
  <sheetViews>
    <sheetView showGridLines="0" topLeftCell="U1" zoomScale="85" zoomScaleNormal="85" workbookViewId="0">
      <selection activeCell="AH7" sqref="AH7"/>
    </sheetView>
  </sheetViews>
  <sheetFormatPr defaultColWidth="9.1328125" defaultRowHeight="12.75" x14ac:dyDescent="0.35"/>
  <cols>
    <col min="1" max="1" width="34.46484375" style="39" customWidth="1"/>
    <col min="2" max="6" width="13.796875" style="39" customWidth="1"/>
    <col min="7" max="7" width="13.46484375" style="39" customWidth="1"/>
    <col min="8" max="8" width="12.86328125" style="39" customWidth="1"/>
    <col min="9" max="9" width="12.46484375" style="39" customWidth="1"/>
    <col min="10" max="10" width="13.86328125" style="39" bestFit="1" customWidth="1"/>
    <col min="11" max="11" width="11" style="39" customWidth="1"/>
    <col min="12" max="12" width="12.1328125" style="39" customWidth="1"/>
    <col min="13" max="17" width="11" style="39" customWidth="1"/>
    <col min="18" max="16384" width="9.1328125" style="39"/>
  </cols>
  <sheetData>
    <row r="1" spans="1:11" ht="15" x14ac:dyDescent="0.4">
      <c r="A1" s="140" t="s">
        <v>2252</v>
      </c>
      <c r="G1" s="230" t="s">
        <v>3384</v>
      </c>
    </row>
    <row r="3" spans="1:11" ht="13.9" x14ac:dyDescent="0.4">
      <c r="A3" s="72" t="s">
        <v>1558</v>
      </c>
    </row>
    <row r="4" spans="1:11" x14ac:dyDescent="0.35">
      <c r="A4" s="39" t="s">
        <v>2251</v>
      </c>
    </row>
    <row r="5" spans="1:11" ht="38.25" x14ac:dyDescent="0.35">
      <c r="A5" s="243" t="s">
        <v>1481</v>
      </c>
      <c r="B5" s="134" t="s">
        <v>1480</v>
      </c>
      <c r="C5" s="134" t="s">
        <v>1479</v>
      </c>
      <c r="D5" s="134" t="s">
        <v>1478</v>
      </c>
      <c r="E5" s="134" t="s">
        <v>1477</v>
      </c>
      <c r="F5" s="134" t="s">
        <v>1476</v>
      </c>
      <c r="G5" s="134" t="s">
        <v>1475</v>
      </c>
      <c r="H5" s="134" t="s">
        <v>1474</v>
      </c>
      <c r="I5" s="134" t="s">
        <v>1473</v>
      </c>
      <c r="J5" s="133" t="s">
        <v>1472</v>
      </c>
    </row>
    <row r="6" spans="1:11" x14ac:dyDescent="0.35">
      <c r="A6" s="660">
        <v>3704.8358199999998</v>
      </c>
      <c r="B6" s="659">
        <v>3155.88544</v>
      </c>
      <c r="C6" s="659">
        <v>3934.4192800000001</v>
      </c>
      <c r="D6" s="659">
        <v>3277.4425200000001</v>
      </c>
      <c r="E6" s="659">
        <v>4143.8581799999993</v>
      </c>
      <c r="F6" s="659">
        <v>3383.2642799999999</v>
      </c>
      <c r="G6" s="659">
        <v>3438.5381999999995</v>
      </c>
      <c r="H6" s="659">
        <v>2827.8584599999999</v>
      </c>
      <c r="I6" s="659">
        <v>4234.4060200000004</v>
      </c>
      <c r="J6" s="658">
        <v>3436.33358</v>
      </c>
    </row>
    <row r="8" spans="1:11" x14ac:dyDescent="0.35">
      <c r="A8" s="39" t="s">
        <v>2250</v>
      </c>
    </row>
    <row r="9" spans="1:11" ht="38.65" x14ac:dyDescent="0.4">
      <c r="A9" s="131"/>
      <c r="B9" s="134" t="s">
        <v>1481</v>
      </c>
      <c r="C9" s="134" t="s">
        <v>1480</v>
      </c>
      <c r="D9" s="134" t="s">
        <v>1479</v>
      </c>
      <c r="E9" s="134" t="s">
        <v>1478</v>
      </c>
      <c r="F9" s="134" t="s">
        <v>1477</v>
      </c>
      <c r="G9" s="134" t="s">
        <v>1476</v>
      </c>
      <c r="H9" s="134" t="s">
        <v>1475</v>
      </c>
      <c r="I9" s="134" t="s">
        <v>1474</v>
      </c>
      <c r="J9" s="134" t="s">
        <v>1473</v>
      </c>
      <c r="K9" s="133" t="s">
        <v>1472</v>
      </c>
    </row>
    <row r="10" spans="1:11" x14ac:dyDescent="0.35">
      <c r="A10" s="59" t="s">
        <v>2249</v>
      </c>
      <c r="B10" s="197">
        <v>0.23131525132879682</v>
      </c>
      <c r="C10" s="197">
        <v>0.26436590988589859</v>
      </c>
      <c r="D10" s="197">
        <v>0.20560191322440935</v>
      </c>
      <c r="E10" s="197">
        <v>0.23056915906023234</v>
      </c>
      <c r="F10" s="197">
        <v>0.21899880892945855</v>
      </c>
      <c r="G10" s="197">
        <v>0.24045536451570615</v>
      </c>
      <c r="H10" s="197">
        <v>3.1150781647447223E-2</v>
      </c>
      <c r="I10" s="197">
        <v>4.7147769522588701E-2</v>
      </c>
      <c r="J10" s="197">
        <v>8.0052767353660431E-2</v>
      </c>
      <c r="K10" s="196">
        <v>6.5377077903171932E-2</v>
      </c>
    </row>
    <row r="11" spans="1:11" x14ac:dyDescent="0.35">
      <c r="A11" s="59" t="s">
        <v>1829</v>
      </c>
      <c r="B11" s="197">
        <v>4.3184536442202423E-2</v>
      </c>
      <c r="C11" s="197">
        <v>5.0129526402469204E-2</v>
      </c>
      <c r="D11" s="197">
        <v>4.1035839681585119E-2</v>
      </c>
      <c r="E11" s="197">
        <v>4.8853426725452995E-2</v>
      </c>
      <c r="F11" s="197">
        <v>3.9008240852277172E-2</v>
      </c>
      <c r="G11" s="197">
        <v>4.7372275996361048E-2</v>
      </c>
      <c r="H11" s="197">
        <v>4.7061166466511359E-2</v>
      </c>
      <c r="I11" s="197">
        <v>5.6723449842918175E-2</v>
      </c>
      <c r="J11" s="197">
        <v>2.918400364038528E-2</v>
      </c>
      <c r="K11" s="196">
        <v>3.3376926380840041E-2</v>
      </c>
    </row>
    <row r="12" spans="1:11" x14ac:dyDescent="0.35">
      <c r="A12" s="59" t="s">
        <v>1503</v>
      </c>
      <c r="B12" s="197">
        <v>0.27400000000000002</v>
      </c>
      <c r="C12" s="197">
        <v>0.26600000000000001</v>
      </c>
      <c r="D12" s="197">
        <v>0.27900000000000003</v>
      </c>
      <c r="E12" s="197">
        <v>0.29099999999999998</v>
      </c>
      <c r="F12" s="197">
        <v>0.39300000000000002</v>
      </c>
      <c r="G12" s="197">
        <v>0.41099999999999998</v>
      </c>
      <c r="H12" s="197">
        <v>0.32800000000000001</v>
      </c>
      <c r="I12" s="197">
        <v>0.36099999999999999</v>
      </c>
      <c r="J12" s="197">
        <v>0.29857480647471096</v>
      </c>
      <c r="K12" s="196">
        <v>0.33257723072337048</v>
      </c>
    </row>
    <row r="13" spans="1:11" x14ac:dyDescent="0.35">
      <c r="A13" s="59" t="s">
        <v>1501</v>
      </c>
      <c r="B13" s="197">
        <v>0</v>
      </c>
      <c r="C13" s="197">
        <v>0</v>
      </c>
      <c r="D13" s="197">
        <v>2.2980070221687666E-2</v>
      </c>
      <c r="E13" s="197">
        <v>1.7261544109660056E-2</v>
      </c>
      <c r="F13" s="197">
        <v>3.4327251950003912E-2</v>
      </c>
      <c r="G13" s="197">
        <v>2.3686137998180524E-2</v>
      </c>
      <c r="H13" s="197">
        <v>7.2160455248650751E-2</v>
      </c>
      <c r="I13" s="197">
        <v>5.4454511849201442E-2</v>
      </c>
      <c r="J13" s="197">
        <v>4.4898467139054279E-2</v>
      </c>
      <c r="K13" s="196">
        <v>5.0065389571260069E-2</v>
      </c>
    </row>
    <row r="14" spans="1:11" x14ac:dyDescent="0.35">
      <c r="A14" s="59" t="s">
        <v>1500</v>
      </c>
      <c r="B14" s="197">
        <v>0</v>
      </c>
      <c r="C14" s="197">
        <v>0</v>
      </c>
      <c r="D14" s="197">
        <v>2.2980070221687666E-2</v>
      </c>
      <c r="E14" s="197">
        <v>1.7261544109660056E-2</v>
      </c>
      <c r="F14" s="197">
        <v>3.4327251950003912E-2</v>
      </c>
      <c r="G14" s="197">
        <v>2.3686137998180524E-2</v>
      </c>
      <c r="H14" s="197">
        <v>0</v>
      </c>
      <c r="I14" s="197">
        <v>0</v>
      </c>
      <c r="J14" s="197">
        <v>0</v>
      </c>
      <c r="K14" s="196">
        <v>0</v>
      </c>
    </row>
    <row r="15" spans="1:11" x14ac:dyDescent="0.35">
      <c r="A15" s="59" t="s">
        <v>1499</v>
      </c>
      <c r="B15" s="197">
        <v>0</v>
      </c>
      <c r="C15" s="197">
        <v>0</v>
      </c>
      <c r="D15" s="197">
        <v>1.7999999999999999E-2</v>
      </c>
      <c r="E15" s="197">
        <v>1.7999999999999999E-2</v>
      </c>
      <c r="F15" s="197">
        <v>1.7999999999999999E-2</v>
      </c>
      <c r="G15" s="197">
        <v>1.7000000000000001E-2</v>
      </c>
      <c r="H15" s="197">
        <v>5.8999999999999997E-2</v>
      </c>
      <c r="I15" s="197">
        <v>6.6000000000000003E-2</v>
      </c>
      <c r="J15" s="197">
        <v>3.9286158746672496E-2</v>
      </c>
      <c r="K15" s="196">
        <v>4.4105224146110053E-2</v>
      </c>
    </row>
    <row r="16" spans="1:11" x14ac:dyDescent="0.35">
      <c r="A16" s="59" t="s">
        <v>2248</v>
      </c>
      <c r="B16" s="197">
        <v>0</v>
      </c>
      <c r="C16" s="197">
        <v>0</v>
      </c>
      <c r="D16" s="197">
        <v>0</v>
      </c>
      <c r="E16" s="197">
        <v>0</v>
      </c>
      <c r="F16" s="197">
        <v>0</v>
      </c>
      <c r="G16" s="197">
        <v>0</v>
      </c>
      <c r="H16" s="197">
        <v>0</v>
      </c>
      <c r="I16" s="197">
        <v>0</v>
      </c>
      <c r="J16" s="197">
        <v>8.9074561928522339E-2</v>
      </c>
      <c r="K16" s="196">
        <v>7.0088595070120233E-2</v>
      </c>
    </row>
    <row r="17" spans="1:11" x14ac:dyDescent="0.35">
      <c r="A17" s="57" t="s">
        <v>1828</v>
      </c>
      <c r="B17" s="194">
        <v>0.45150021222900072</v>
      </c>
      <c r="C17" s="194">
        <v>0.41950456371163214</v>
      </c>
      <c r="D17" s="194">
        <v>0.41040210665063015</v>
      </c>
      <c r="E17" s="194">
        <v>0.37705432599499455</v>
      </c>
      <c r="F17" s="194">
        <v>0.26233844631825631</v>
      </c>
      <c r="G17" s="194">
        <v>0.23680008349157167</v>
      </c>
      <c r="H17" s="194">
        <v>0.46262759663739073</v>
      </c>
      <c r="I17" s="194">
        <v>0.41467426878529179</v>
      </c>
      <c r="J17" s="194">
        <v>0.41892923471699417</v>
      </c>
      <c r="K17" s="193">
        <v>0.4044095562051272</v>
      </c>
    </row>
    <row r="19" spans="1:11" x14ac:dyDescent="0.35">
      <c r="A19" s="39" t="s">
        <v>2247</v>
      </c>
    </row>
    <row r="20" spans="1:11" ht="38.65" x14ac:dyDescent="0.4">
      <c r="A20" s="131"/>
      <c r="B20" s="134" t="s">
        <v>1481</v>
      </c>
      <c r="C20" s="134" t="s">
        <v>1480</v>
      </c>
      <c r="D20" s="134" t="s">
        <v>1479</v>
      </c>
      <c r="E20" s="134" t="s">
        <v>1478</v>
      </c>
      <c r="F20" s="134" t="s">
        <v>1477</v>
      </c>
      <c r="G20" s="134" t="s">
        <v>1476</v>
      </c>
      <c r="H20" s="134" t="s">
        <v>1475</v>
      </c>
      <c r="I20" s="134" t="s">
        <v>1474</v>
      </c>
      <c r="J20" s="134" t="s">
        <v>1473</v>
      </c>
      <c r="K20" s="133" t="s">
        <v>1472</v>
      </c>
    </row>
    <row r="21" spans="1:11" ht="13.15" x14ac:dyDescent="0.4">
      <c r="A21" s="131" t="s">
        <v>405</v>
      </c>
      <c r="B21" s="101"/>
      <c r="C21" s="101"/>
      <c r="D21" s="101"/>
      <c r="E21" s="101"/>
      <c r="F21" s="101"/>
      <c r="G21" s="101"/>
      <c r="H21" s="101"/>
      <c r="I21" s="101"/>
      <c r="J21" s="101"/>
      <c r="K21" s="60"/>
    </row>
    <row r="22" spans="1:11" x14ac:dyDescent="0.35">
      <c r="A22" s="59" t="s">
        <v>1438</v>
      </c>
      <c r="B22" s="197">
        <v>0.68600000000000005</v>
      </c>
      <c r="C22" s="197">
        <v>9.4E-2</v>
      </c>
      <c r="D22" s="197">
        <v>0.68600000000000005</v>
      </c>
      <c r="E22" s="197">
        <v>0.09</v>
      </c>
      <c r="F22" s="197">
        <v>0.68600000000000005</v>
      </c>
      <c r="G22" s="197">
        <v>8.6999999999999994E-2</v>
      </c>
      <c r="H22" s="197">
        <v>0.68600000000000005</v>
      </c>
      <c r="I22" s="197">
        <v>8.5000000000000006E-2</v>
      </c>
      <c r="J22" s="197">
        <v>0.68600000000000005</v>
      </c>
      <c r="K22" s="196">
        <v>8.6999999999999994E-2</v>
      </c>
    </row>
    <row r="23" spans="1:11" x14ac:dyDescent="0.35">
      <c r="A23" s="59" t="s">
        <v>1446</v>
      </c>
      <c r="B23" s="197">
        <v>6.0000000000000001E-3</v>
      </c>
      <c r="C23" s="197">
        <v>6.8000000000000005E-2</v>
      </c>
      <c r="D23" s="197">
        <v>6.0000000000000001E-3</v>
      </c>
      <c r="E23" s="197">
        <v>6.5000000000000002E-2</v>
      </c>
      <c r="F23" s="197">
        <v>6.0000000000000001E-3</v>
      </c>
      <c r="G23" s="197">
        <v>6.3E-2</v>
      </c>
      <c r="H23" s="197">
        <v>6.0000000000000001E-3</v>
      </c>
      <c r="I23" s="197">
        <v>6.0999999999999999E-2</v>
      </c>
      <c r="J23" s="197">
        <v>6.0000000000000001E-3</v>
      </c>
      <c r="K23" s="196">
        <v>6.2E-2</v>
      </c>
    </row>
    <row r="24" spans="1:11" x14ac:dyDescent="0.35">
      <c r="A24" s="59" t="s">
        <v>290</v>
      </c>
      <c r="B24" s="197">
        <v>0</v>
      </c>
      <c r="C24" s="197">
        <v>0</v>
      </c>
      <c r="D24" s="197">
        <v>0</v>
      </c>
      <c r="E24" s="197">
        <v>0</v>
      </c>
      <c r="F24" s="197">
        <v>0</v>
      </c>
      <c r="G24" s="197">
        <v>0</v>
      </c>
      <c r="H24" s="197">
        <v>0</v>
      </c>
      <c r="I24" s="197">
        <v>0</v>
      </c>
      <c r="J24" s="197">
        <v>0</v>
      </c>
      <c r="K24" s="196">
        <v>0</v>
      </c>
    </row>
    <row r="25" spans="1:11" x14ac:dyDescent="0.35">
      <c r="A25" s="59" t="s">
        <v>1498</v>
      </c>
      <c r="B25" s="197">
        <v>1.4999999999999999E-2</v>
      </c>
      <c r="C25" s="197">
        <v>2.8000000000000001E-2</v>
      </c>
      <c r="D25" s="197">
        <v>1.4999999999999999E-2</v>
      </c>
      <c r="E25" s="197">
        <v>2.7E-2</v>
      </c>
      <c r="F25" s="197">
        <v>1.4999999999999999E-2</v>
      </c>
      <c r="G25" s="197">
        <v>2.5999999999999999E-2</v>
      </c>
      <c r="H25" s="197">
        <v>1.4999999999999999E-2</v>
      </c>
      <c r="I25" s="197">
        <v>2.5000000000000001E-2</v>
      </c>
      <c r="J25" s="197">
        <v>1.4999999999999999E-2</v>
      </c>
      <c r="K25" s="196">
        <v>2.5999999999999999E-2</v>
      </c>
    </row>
    <row r="26" spans="1:11" x14ac:dyDescent="0.35">
      <c r="A26" s="59" t="s">
        <v>241</v>
      </c>
      <c r="B26" s="197">
        <v>0</v>
      </c>
      <c r="C26" s="197">
        <v>0</v>
      </c>
      <c r="D26" s="197">
        <v>0</v>
      </c>
      <c r="E26" s="197">
        <v>0</v>
      </c>
      <c r="F26" s="197">
        <v>0</v>
      </c>
      <c r="G26" s="197">
        <v>0</v>
      </c>
      <c r="H26" s="197">
        <v>0</v>
      </c>
      <c r="I26" s="197">
        <v>0</v>
      </c>
      <c r="J26" s="197">
        <v>0</v>
      </c>
      <c r="K26" s="196">
        <v>0</v>
      </c>
    </row>
    <row r="27" spans="1:11" x14ac:dyDescent="0.35">
      <c r="A27" s="59" t="s">
        <v>1462</v>
      </c>
      <c r="B27" s="198">
        <v>2.9999999999999997E-4</v>
      </c>
      <c r="C27" s="197">
        <v>7.0000000000000001E-3</v>
      </c>
      <c r="D27" s="198">
        <v>2.9999999999999997E-4</v>
      </c>
      <c r="E27" s="197">
        <v>6.0000000000000001E-3</v>
      </c>
      <c r="F27" s="197">
        <v>2.9999999999999997E-4</v>
      </c>
      <c r="G27" s="197">
        <v>6.0000000000000001E-3</v>
      </c>
      <c r="H27" s="197">
        <v>2.9999999999999997E-4</v>
      </c>
      <c r="I27" s="197">
        <v>6.0000000000000001E-3</v>
      </c>
      <c r="J27" s="198">
        <v>2.9999999999999997E-4</v>
      </c>
      <c r="K27" s="196">
        <v>6.0000000000000001E-3</v>
      </c>
    </row>
    <row r="28" spans="1:11" x14ac:dyDescent="0.35">
      <c r="A28" s="59" t="s">
        <v>1493</v>
      </c>
      <c r="B28" s="198">
        <v>0</v>
      </c>
      <c r="C28" s="197">
        <v>0</v>
      </c>
      <c r="D28" s="198">
        <v>0</v>
      </c>
      <c r="E28" s="197">
        <v>0</v>
      </c>
      <c r="F28" s="197">
        <v>0</v>
      </c>
      <c r="G28" s="197">
        <v>0</v>
      </c>
      <c r="H28" s="197">
        <v>0</v>
      </c>
      <c r="I28" s="197">
        <v>0</v>
      </c>
      <c r="J28" s="198">
        <v>0</v>
      </c>
      <c r="K28" s="196">
        <v>0</v>
      </c>
    </row>
    <row r="29" spans="1:11" x14ac:dyDescent="0.35">
      <c r="A29" s="59" t="s">
        <v>1514</v>
      </c>
      <c r="B29" s="197">
        <v>7.6999999999999999E-2</v>
      </c>
      <c r="C29" s="197">
        <v>9.5000000000000001E-2</v>
      </c>
      <c r="D29" s="197">
        <v>7.6999999999999999E-2</v>
      </c>
      <c r="E29" s="197">
        <v>9.1999999999999998E-2</v>
      </c>
      <c r="F29" s="197">
        <v>7.6999999999999999E-2</v>
      </c>
      <c r="G29" s="197">
        <v>8.8999999999999996E-2</v>
      </c>
      <c r="H29" s="197">
        <v>7.6999999999999999E-2</v>
      </c>
      <c r="I29" s="197">
        <v>8.5999999999999993E-2</v>
      </c>
      <c r="J29" s="197">
        <v>7.6999999999999999E-2</v>
      </c>
      <c r="K29" s="196">
        <v>8.7999999999999995E-2</v>
      </c>
    </row>
    <row r="30" spans="1:11" x14ac:dyDescent="0.35">
      <c r="A30" s="59" t="s">
        <v>1504</v>
      </c>
      <c r="B30" s="197">
        <v>0</v>
      </c>
      <c r="C30" s="197">
        <v>0.39600000000000002</v>
      </c>
      <c r="D30" s="197">
        <v>0</v>
      </c>
      <c r="E30" s="197">
        <v>0.42</v>
      </c>
      <c r="F30" s="197">
        <v>0</v>
      </c>
      <c r="G30" s="197">
        <v>0.438</v>
      </c>
      <c r="H30" s="197">
        <v>0</v>
      </c>
      <c r="I30" s="197">
        <v>0.45500000000000002</v>
      </c>
      <c r="J30" s="197">
        <v>0</v>
      </c>
      <c r="K30" s="196">
        <v>0.442</v>
      </c>
    </row>
    <row r="31" spans="1:11" x14ac:dyDescent="0.35">
      <c r="A31" s="59" t="s">
        <v>1497</v>
      </c>
      <c r="B31" s="197">
        <v>0.16500000000000001</v>
      </c>
      <c r="C31" s="197">
        <v>0.23799999999999999</v>
      </c>
      <c r="D31" s="197">
        <v>0.16500000000000001</v>
      </c>
      <c r="E31" s="197">
        <v>0.22900000000000001</v>
      </c>
      <c r="F31" s="197">
        <v>0.16500000000000001</v>
      </c>
      <c r="G31" s="197">
        <v>0.222</v>
      </c>
      <c r="H31" s="197">
        <v>0.16500000000000001</v>
      </c>
      <c r="I31" s="197">
        <v>0.215</v>
      </c>
      <c r="J31" s="197">
        <v>0.16500000000000001</v>
      </c>
      <c r="K31" s="196">
        <v>0.22</v>
      </c>
    </row>
    <row r="32" spans="1:11" x14ac:dyDescent="0.35">
      <c r="A32" s="59" t="s">
        <v>1457</v>
      </c>
      <c r="B32" s="197">
        <v>1.6E-2</v>
      </c>
      <c r="C32" s="197">
        <v>2.8000000000000001E-2</v>
      </c>
      <c r="D32" s="197">
        <v>1.6E-2</v>
      </c>
      <c r="E32" s="197">
        <v>2.7E-2</v>
      </c>
      <c r="F32" s="197">
        <v>1.6E-2</v>
      </c>
      <c r="G32" s="197">
        <v>2.5999999999999999E-2</v>
      </c>
      <c r="H32" s="197">
        <v>1.6E-2</v>
      </c>
      <c r="I32" s="197">
        <v>2.5000000000000001E-2</v>
      </c>
      <c r="J32" s="197">
        <v>1.6E-2</v>
      </c>
      <c r="K32" s="196">
        <v>2.5999999999999999E-2</v>
      </c>
    </row>
    <row r="33" spans="1:11" x14ac:dyDescent="0.35">
      <c r="A33" s="57" t="s">
        <v>1466</v>
      </c>
      <c r="B33" s="194">
        <v>3.4699999999999953E-2</v>
      </c>
      <c r="C33" s="194">
        <v>4.599999999999993E-2</v>
      </c>
      <c r="D33" s="194">
        <v>3.4699999999999953E-2</v>
      </c>
      <c r="E33" s="194">
        <v>4.4000000000000039E-2</v>
      </c>
      <c r="F33" s="194">
        <v>3.4699999999999953E-2</v>
      </c>
      <c r="G33" s="194">
        <v>4.2999999999999927E-2</v>
      </c>
      <c r="H33" s="194">
        <v>3.4699999999999953E-2</v>
      </c>
      <c r="I33" s="194">
        <v>4.2000000000000037E-2</v>
      </c>
      <c r="J33" s="194">
        <v>3.4699999999999953E-2</v>
      </c>
      <c r="K33" s="193">
        <v>4.2999999999999927E-2</v>
      </c>
    </row>
    <row r="34" spans="1:11" ht="13.15" x14ac:dyDescent="0.4">
      <c r="A34" s="131" t="s">
        <v>1830</v>
      </c>
      <c r="B34" s="101"/>
      <c r="C34" s="101"/>
      <c r="D34" s="101"/>
      <c r="E34" s="101"/>
      <c r="F34" s="101"/>
      <c r="G34" s="101"/>
      <c r="H34" s="101"/>
      <c r="I34" s="101"/>
      <c r="J34" s="101"/>
      <c r="K34" s="60"/>
    </row>
    <row r="35" spans="1:11" x14ac:dyDescent="0.35">
      <c r="A35" s="59" t="s">
        <v>1438</v>
      </c>
      <c r="B35" s="197">
        <v>0.38600000000000001</v>
      </c>
      <c r="C35" s="197">
        <v>0.54800000000000004</v>
      </c>
      <c r="D35" s="197">
        <v>0.48399999999999999</v>
      </c>
      <c r="E35" s="197">
        <v>0.61099999999999999</v>
      </c>
      <c r="F35" s="197">
        <v>0.51200000000000001</v>
      </c>
      <c r="G35" s="197">
        <v>0.63100000000000001</v>
      </c>
      <c r="H35" s="197">
        <v>0.46800000000000003</v>
      </c>
      <c r="I35" s="197">
        <v>0</v>
      </c>
      <c r="J35" s="197">
        <v>0.18710919904856269</v>
      </c>
      <c r="K35" s="196">
        <v>0.18710919904856269</v>
      </c>
    </row>
    <row r="36" spans="1:11" x14ac:dyDescent="0.35">
      <c r="A36" s="59" t="s">
        <v>1495</v>
      </c>
      <c r="B36" s="197">
        <v>0</v>
      </c>
      <c r="C36" s="197">
        <v>3.5000000000000003E-2</v>
      </c>
      <c r="D36" s="197">
        <v>0</v>
      </c>
      <c r="E36" s="197">
        <v>0.03</v>
      </c>
      <c r="F36" s="197">
        <v>0</v>
      </c>
      <c r="G36" s="197">
        <v>2.7E-2</v>
      </c>
      <c r="H36" s="197">
        <v>0</v>
      </c>
      <c r="I36" s="197">
        <v>0</v>
      </c>
      <c r="J36" s="197">
        <v>0.31347914244110364</v>
      </c>
      <c r="K36" s="196">
        <v>0.31347914244110364</v>
      </c>
    </row>
    <row r="37" spans="1:11" x14ac:dyDescent="0.35">
      <c r="A37" s="59" t="s">
        <v>1512</v>
      </c>
      <c r="B37" s="197">
        <v>0.29099999999999998</v>
      </c>
      <c r="C37" s="197">
        <v>5.2999999999999999E-2</v>
      </c>
      <c r="D37" s="197">
        <v>0.24199999999999999</v>
      </c>
      <c r="E37" s="197">
        <v>4.5999999999999999E-2</v>
      </c>
      <c r="F37" s="197">
        <v>0.22800000000000001</v>
      </c>
      <c r="G37" s="197">
        <v>4.1000000000000002E-2</v>
      </c>
      <c r="H37" s="197">
        <v>0</v>
      </c>
      <c r="I37" s="197">
        <v>0</v>
      </c>
      <c r="J37" s="197">
        <v>7.6391227457442282E-4</v>
      </c>
      <c r="K37" s="196">
        <v>7.6391227457442282E-4</v>
      </c>
    </row>
    <row r="38" spans="1:11" x14ac:dyDescent="0.35">
      <c r="A38" s="59" t="s">
        <v>1446</v>
      </c>
      <c r="B38" s="197">
        <v>0</v>
      </c>
      <c r="C38" s="197">
        <v>1.7000000000000001E-2</v>
      </c>
      <c r="D38" s="197">
        <v>0</v>
      </c>
      <c r="E38" s="197">
        <v>2.4E-2</v>
      </c>
      <c r="F38" s="197">
        <v>0</v>
      </c>
      <c r="G38" s="197">
        <v>2.7E-2</v>
      </c>
      <c r="H38" s="197">
        <v>0</v>
      </c>
      <c r="I38" s="197">
        <v>0.30599999999999999</v>
      </c>
      <c r="J38" s="197">
        <v>0.16794927778569879</v>
      </c>
      <c r="K38" s="196">
        <v>0.16794927778569879</v>
      </c>
    </row>
    <row r="39" spans="1:11" x14ac:dyDescent="0.35">
      <c r="A39" s="59" t="s">
        <v>1445</v>
      </c>
      <c r="B39" s="197">
        <v>0.17399999999999999</v>
      </c>
      <c r="C39" s="197">
        <v>0.17699999999999999</v>
      </c>
      <c r="D39" s="197">
        <v>0.14499999999999999</v>
      </c>
      <c r="E39" s="197">
        <v>0.152</v>
      </c>
      <c r="F39" s="197">
        <v>0.13700000000000001</v>
      </c>
      <c r="G39" s="197">
        <v>0.13700000000000001</v>
      </c>
      <c r="H39" s="197">
        <v>0</v>
      </c>
      <c r="I39" s="197">
        <v>0</v>
      </c>
      <c r="J39" s="197">
        <v>0</v>
      </c>
      <c r="K39" s="196">
        <v>0</v>
      </c>
    </row>
    <row r="40" spans="1:11" x14ac:dyDescent="0.35">
      <c r="A40" s="59" t="s">
        <v>1498</v>
      </c>
      <c r="B40" s="197">
        <v>2.9000000000000001E-2</v>
      </c>
      <c r="C40" s="197">
        <v>3.7999999999999999E-2</v>
      </c>
      <c r="D40" s="197">
        <v>2.5000000000000001E-2</v>
      </c>
      <c r="E40" s="197">
        <v>0.03</v>
      </c>
      <c r="F40" s="197">
        <v>2.7E-2</v>
      </c>
      <c r="G40" s="197">
        <v>3.2000000000000001E-2</v>
      </c>
      <c r="H40" s="197">
        <v>0.218</v>
      </c>
      <c r="I40" s="197">
        <v>0.28399999999999997</v>
      </c>
      <c r="J40" s="197">
        <v>1.7274919301796213E-2</v>
      </c>
      <c r="K40" s="196">
        <v>1.7274919301796213E-2</v>
      </c>
    </row>
    <row r="41" spans="1:11" x14ac:dyDescent="0.35">
      <c r="A41" s="59" t="s">
        <v>1427</v>
      </c>
      <c r="B41" s="197">
        <v>0</v>
      </c>
      <c r="C41" s="197">
        <v>0</v>
      </c>
      <c r="D41" s="197">
        <v>0</v>
      </c>
      <c r="E41" s="197">
        <v>0</v>
      </c>
      <c r="F41" s="197">
        <v>0</v>
      </c>
      <c r="G41" s="197">
        <v>0</v>
      </c>
      <c r="H41" s="197">
        <v>0</v>
      </c>
      <c r="I41" s="197">
        <v>0</v>
      </c>
      <c r="J41" s="197">
        <v>0</v>
      </c>
      <c r="K41" s="196">
        <v>0</v>
      </c>
    </row>
    <row r="42" spans="1:11" x14ac:dyDescent="0.35">
      <c r="A42" s="59" t="s">
        <v>1493</v>
      </c>
      <c r="B42" s="197">
        <v>0</v>
      </c>
      <c r="C42" s="197">
        <v>0</v>
      </c>
      <c r="D42" s="197">
        <v>0</v>
      </c>
      <c r="E42" s="197">
        <v>0</v>
      </c>
      <c r="F42" s="197">
        <v>0</v>
      </c>
      <c r="G42" s="197">
        <v>0</v>
      </c>
      <c r="H42" s="197">
        <v>0</v>
      </c>
      <c r="I42" s="197">
        <v>0</v>
      </c>
      <c r="J42" s="197">
        <v>2.5916749175188158E-2</v>
      </c>
      <c r="K42" s="196">
        <v>2.5916749175188158E-2</v>
      </c>
    </row>
    <row r="43" spans="1:11" x14ac:dyDescent="0.35">
      <c r="A43" s="59" t="s">
        <v>1497</v>
      </c>
      <c r="B43" s="197">
        <v>9.4E-2</v>
      </c>
      <c r="C43" s="197">
        <v>0.114</v>
      </c>
      <c r="D43" s="197">
        <v>8.2000000000000003E-2</v>
      </c>
      <c r="E43" s="197">
        <v>9.1999999999999998E-2</v>
      </c>
      <c r="F43" s="197">
        <v>7.4999999999999997E-2</v>
      </c>
      <c r="G43" s="197">
        <v>9.0999999999999998E-2</v>
      </c>
      <c r="H43" s="197">
        <v>0.314</v>
      </c>
      <c r="I43" s="197">
        <v>0.41</v>
      </c>
      <c r="J43" s="197">
        <v>0.16617678413030071</v>
      </c>
      <c r="K43" s="196">
        <v>0.16617678413030071</v>
      </c>
    </row>
    <row r="44" spans="1:11" x14ac:dyDescent="0.35">
      <c r="A44" s="59" t="s">
        <v>1457</v>
      </c>
      <c r="B44" s="197">
        <v>2.5999999999999999E-2</v>
      </c>
      <c r="C44" s="197">
        <v>1.7999999999999999E-2</v>
      </c>
      <c r="D44" s="197">
        <v>2.1999999999999999E-2</v>
      </c>
      <c r="E44" s="197">
        <v>1.4999999999999999E-2</v>
      </c>
      <c r="F44" s="197">
        <v>2.1000000000000001E-2</v>
      </c>
      <c r="G44" s="197">
        <v>1.4E-2</v>
      </c>
      <c r="H44" s="197">
        <v>0</v>
      </c>
      <c r="I44" s="197">
        <v>0</v>
      </c>
      <c r="J44" s="197">
        <v>6.4615988571509395E-2</v>
      </c>
      <c r="K44" s="196">
        <v>6.4615988571509395E-2</v>
      </c>
    </row>
    <row r="45" spans="1:11" x14ac:dyDescent="0.35">
      <c r="A45" s="59" t="s">
        <v>1504</v>
      </c>
      <c r="B45" s="197">
        <v>0</v>
      </c>
      <c r="C45" s="197">
        <v>0</v>
      </c>
      <c r="D45" s="197">
        <v>0</v>
      </c>
      <c r="E45" s="197">
        <v>0</v>
      </c>
      <c r="F45" s="197">
        <v>1.2979566905487986E-5</v>
      </c>
      <c r="G45" s="197">
        <v>1.2979566905487986E-5</v>
      </c>
      <c r="H45" s="197">
        <v>0</v>
      </c>
      <c r="I45" s="197">
        <v>0</v>
      </c>
      <c r="J45" s="197">
        <v>0</v>
      </c>
      <c r="K45" s="196">
        <v>0</v>
      </c>
    </row>
    <row r="46" spans="1:11" x14ac:dyDescent="0.35">
      <c r="A46" s="59" t="s">
        <v>1511</v>
      </c>
      <c r="B46" s="197">
        <v>0</v>
      </c>
      <c r="C46" s="197">
        <v>0</v>
      </c>
      <c r="D46" s="197">
        <v>0</v>
      </c>
      <c r="E46" s="197">
        <v>0</v>
      </c>
      <c r="F46" s="197">
        <v>0</v>
      </c>
      <c r="G46" s="197">
        <v>0</v>
      </c>
      <c r="H46" s="197">
        <v>0</v>
      </c>
      <c r="I46" s="197">
        <v>0</v>
      </c>
      <c r="J46" s="197">
        <v>6.1984188925405387E-3</v>
      </c>
      <c r="K46" s="196">
        <v>6.1984188925405387E-3</v>
      </c>
    </row>
    <row r="47" spans="1:11" x14ac:dyDescent="0.35">
      <c r="A47" s="59" t="s">
        <v>1510</v>
      </c>
      <c r="B47" s="197">
        <v>0</v>
      </c>
      <c r="C47" s="197">
        <v>0</v>
      </c>
      <c r="D47" s="197">
        <v>0</v>
      </c>
      <c r="E47" s="197">
        <v>0</v>
      </c>
      <c r="F47" s="197">
        <v>0</v>
      </c>
      <c r="G47" s="197">
        <v>0</v>
      </c>
      <c r="H47" s="197">
        <v>0</v>
      </c>
      <c r="I47" s="197">
        <v>0</v>
      </c>
      <c r="J47" s="197">
        <v>2.1400740290504861E-2</v>
      </c>
      <c r="K47" s="196">
        <v>2.1400740290504861E-2</v>
      </c>
    </row>
    <row r="48" spans="1:11" x14ac:dyDescent="0.35">
      <c r="A48" s="59" t="s">
        <v>1509</v>
      </c>
      <c r="B48" s="197">
        <v>0</v>
      </c>
      <c r="C48" s="197">
        <v>0</v>
      </c>
      <c r="D48" s="197">
        <v>0</v>
      </c>
      <c r="E48" s="197">
        <v>0</v>
      </c>
      <c r="F48" s="197">
        <v>0</v>
      </c>
      <c r="G48" s="197">
        <v>0</v>
      </c>
      <c r="H48" s="197">
        <v>0</v>
      </c>
      <c r="I48" s="197">
        <v>0</v>
      </c>
      <c r="J48" s="197">
        <v>2.565086908263094E-2</v>
      </c>
      <c r="K48" s="196">
        <v>2.565086908263094E-2</v>
      </c>
    </row>
    <row r="49" spans="1:11" x14ac:dyDescent="0.35">
      <c r="A49" s="59" t="s">
        <v>1508</v>
      </c>
      <c r="B49" s="197">
        <v>0</v>
      </c>
      <c r="C49" s="197">
        <v>0</v>
      </c>
      <c r="D49" s="197">
        <v>0</v>
      </c>
      <c r="E49" s="197">
        <v>0</v>
      </c>
      <c r="F49" s="197">
        <v>0</v>
      </c>
      <c r="G49" s="197">
        <v>0</v>
      </c>
      <c r="H49" s="197">
        <v>0</v>
      </c>
      <c r="I49" s="197">
        <v>0</v>
      </c>
      <c r="J49" s="197">
        <v>0</v>
      </c>
      <c r="K49" s="196">
        <v>0</v>
      </c>
    </row>
    <row r="50" spans="1:11" x14ac:dyDescent="0.35">
      <c r="A50" s="59" t="s">
        <v>1507</v>
      </c>
      <c r="B50" s="197">
        <v>1.0000000000000001E-5</v>
      </c>
      <c r="C50" s="197">
        <v>2.0000000000000002E-5</v>
      </c>
      <c r="D50" s="197">
        <v>1.0000000000000001E-5</v>
      </c>
      <c r="E50" s="197">
        <v>2.0000000000000002E-5</v>
      </c>
      <c r="F50" s="197">
        <v>1.2979566905487986E-5</v>
      </c>
      <c r="G50" s="197">
        <v>2.0000000000000002E-5</v>
      </c>
      <c r="H50" s="197">
        <v>0</v>
      </c>
      <c r="I50" s="197">
        <v>0</v>
      </c>
      <c r="J50" s="197">
        <v>1.7668053030533081E-4</v>
      </c>
      <c r="K50" s="196">
        <v>1.7668053030533081E-4</v>
      </c>
    </row>
    <row r="51" spans="1:11" x14ac:dyDescent="0.35">
      <c r="A51" s="59" t="s">
        <v>1506</v>
      </c>
      <c r="B51" s="197">
        <v>0</v>
      </c>
      <c r="C51" s="197">
        <v>0</v>
      </c>
      <c r="D51" s="197">
        <v>0</v>
      </c>
      <c r="E51" s="197">
        <v>0</v>
      </c>
      <c r="F51" s="197">
        <v>0</v>
      </c>
      <c r="G51" s="197">
        <v>0</v>
      </c>
      <c r="H51" s="197">
        <v>0</v>
      </c>
      <c r="I51" s="197">
        <v>0</v>
      </c>
      <c r="J51" s="197">
        <v>2.7278836091788705E-3</v>
      </c>
      <c r="K51" s="196">
        <v>2.7278836091788705E-3</v>
      </c>
    </row>
    <row r="52" spans="1:11" x14ac:dyDescent="0.35">
      <c r="A52" s="59" t="s">
        <v>1460</v>
      </c>
      <c r="B52" s="197">
        <v>0</v>
      </c>
      <c r="C52" s="197">
        <v>0</v>
      </c>
      <c r="D52" s="197">
        <v>0</v>
      </c>
      <c r="E52" s="197">
        <v>0</v>
      </c>
      <c r="F52" s="197">
        <v>0</v>
      </c>
      <c r="G52" s="197">
        <v>0</v>
      </c>
      <c r="H52" s="197">
        <v>0</v>
      </c>
      <c r="I52" s="197">
        <v>0</v>
      </c>
      <c r="J52" s="197">
        <v>1.912608023438235E-5</v>
      </c>
      <c r="K52" s="196">
        <v>1.912608023438235E-5</v>
      </c>
    </row>
    <row r="53" spans="1:11" x14ac:dyDescent="0.35">
      <c r="A53" s="59" t="s">
        <v>1449</v>
      </c>
      <c r="B53" s="197">
        <v>0</v>
      </c>
      <c r="C53" s="197">
        <v>0</v>
      </c>
      <c r="D53" s="197">
        <v>0</v>
      </c>
      <c r="E53" s="197">
        <v>0</v>
      </c>
      <c r="F53" s="197">
        <v>0</v>
      </c>
      <c r="G53" s="197">
        <v>0</v>
      </c>
      <c r="H53" s="197">
        <v>0</v>
      </c>
      <c r="I53" s="197">
        <v>0</v>
      </c>
      <c r="J53" s="197">
        <v>5.4030878587086771E-4</v>
      </c>
      <c r="K53" s="196">
        <v>5.4030878587086771E-4</v>
      </c>
    </row>
    <row r="54" spans="1:11" x14ac:dyDescent="0.35">
      <c r="A54" s="57" t="s">
        <v>1466</v>
      </c>
      <c r="B54" s="194">
        <v>-1.0000000000065512E-5</v>
      </c>
      <c r="C54" s="194">
        <v>-1.9999999999908979E-5</v>
      </c>
      <c r="D54" s="194">
        <v>-1.0000000000065512E-5</v>
      </c>
      <c r="E54" s="194">
        <v>-1.9999999999908979E-5</v>
      </c>
      <c r="F54" s="194">
        <v>-2.5959133810982138E-5</v>
      </c>
      <c r="G54" s="194">
        <v>-3.2979566905400048E-5</v>
      </c>
      <c r="H54" s="194">
        <v>0</v>
      </c>
      <c r="I54" s="194">
        <v>0</v>
      </c>
      <c r="J54" s="194">
        <v>0</v>
      </c>
      <c r="K54" s="193">
        <v>0</v>
      </c>
    </row>
    <row r="55" spans="1:11" ht="13.15" x14ac:dyDescent="0.4">
      <c r="A55" s="131" t="s">
        <v>1505</v>
      </c>
      <c r="B55" s="101"/>
      <c r="C55" s="101"/>
      <c r="D55" s="101"/>
      <c r="E55" s="101"/>
      <c r="F55" s="101"/>
      <c r="G55" s="101"/>
      <c r="H55" s="101"/>
      <c r="I55" s="101"/>
      <c r="J55" s="101"/>
      <c r="K55" s="60"/>
    </row>
    <row r="56" spans="1:11" x14ac:dyDescent="0.35">
      <c r="A56" s="59" t="s">
        <v>1438</v>
      </c>
      <c r="B56" s="197">
        <v>0.3</v>
      </c>
      <c r="C56" s="197">
        <v>0.3</v>
      </c>
      <c r="D56" s="197">
        <v>0.60499999999999998</v>
      </c>
      <c r="E56" s="197">
        <v>0.60499999999999998</v>
      </c>
      <c r="F56" s="197">
        <v>0.60499999999999998</v>
      </c>
      <c r="G56" s="197">
        <v>0.60499999999999998</v>
      </c>
      <c r="H56" s="197">
        <v>0.60499999999999998</v>
      </c>
      <c r="I56" s="197">
        <v>0.60499999999999998</v>
      </c>
      <c r="J56" s="197">
        <v>0.60499999999999998</v>
      </c>
      <c r="K56" s="196">
        <v>0.60499999999999998</v>
      </c>
    </row>
    <row r="57" spans="1:11" x14ac:dyDescent="0.35">
      <c r="A57" s="59" t="s">
        <v>1447</v>
      </c>
      <c r="B57" s="197">
        <v>0</v>
      </c>
      <c r="C57" s="197">
        <v>0</v>
      </c>
      <c r="D57" s="197">
        <v>0.189</v>
      </c>
      <c r="E57" s="197">
        <v>0.189</v>
      </c>
      <c r="F57" s="197">
        <v>0.189</v>
      </c>
      <c r="G57" s="197">
        <v>0.189</v>
      </c>
      <c r="H57" s="197">
        <v>0.189</v>
      </c>
      <c r="I57" s="197">
        <v>0.189</v>
      </c>
      <c r="J57" s="197">
        <v>0.189</v>
      </c>
      <c r="K57" s="196">
        <v>0.189</v>
      </c>
    </row>
    <row r="58" spans="1:11" x14ac:dyDescent="0.35">
      <c r="A58" s="59" t="s">
        <v>1502</v>
      </c>
      <c r="B58" s="197">
        <v>0.3</v>
      </c>
      <c r="C58" s="197">
        <v>0</v>
      </c>
      <c r="D58" s="197">
        <v>0</v>
      </c>
      <c r="E58" s="197">
        <v>0</v>
      </c>
      <c r="F58" s="197">
        <v>0</v>
      </c>
      <c r="G58" s="197">
        <v>0</v>
      </c>
      <c r="H58" s="197">
        <v>0</v>
      </c>
      <c r="I58" s="197">
        <v>0</v>
      </c>
      <c r="J58" s="197">
        <v>0</v>
      </c>
      <c r="K58" s="196">
        <v>0</v>
      </c>
    </row>
    <row r="59" spans="1:11" x14ac:dyDescent="0.35">
      <c r="A59" s="59" t="s">
        <v>1427</v>
      </c>
      <c r="B59" s="197">
        <v>0</v>
      </c>
      <c r="C59" s="197">
        <v>0</v>
      </c>
      <c r="D59" s="197">
        <v>0</v>
      </c>
      <c r="E59" s="197">
        <v>0</v>
      </c>
      <c r="F59" s="197">
        <v>0</v>
      </c>
      <c r="G59" s="197">
        <v>0</v>
      </c>
      <c r="H59" s="197">
        <v>0</v>
      </c>
      <c r="I59" s="197">
        <v>0</v>
      </c>
      <c r="J59" s="197">
        <v>0</v>
      </c>
      <c r="K59" s="196">
        <v>0</v>
      </c>
    </row>
    <row r="60" spans="1:11" x14ac:dyDescent="0.35">
      <c r="A60" s="59" t="s">
        <v>1446</v>
      </c>
      <c r="B60" s="197">
        <v>0.3</v>
      </c>
      <c r="C60" s="197">
        <v>0.3</v>
      </c>
      <c r="D60" s="197">
        <v>0.2</v>
      </c>
      <c r="E60" s="197">
        <v>0.2</v>
      </c>
      <c r="F60" s="197">
        <v>0.2</v>
      </c>
      <c r="G60" s="197">
        <v>0.2</v>
      </c>
      <c r="H60" s="197">
        <v>0.2</v>
      </c>
      <c r="I60" s="197">
        <v>0.2</v>
      </c>
      <c r="J60" s="197">
        <v>0.2</v>
      </c>
      <c r="K60" s="196">
        <v>0.2</v>
      </c>
    </row>
    <row r="61" spans="1:11" x14ac:dyDescent="0.35">
      <c r="A61" s="59" t="s">
        <v>1445</v>
      </c>
      <c r="B61" s="197">
        <v>0</v>
      </c>
      <c r="C61" s="197">
        <v>0.3</v>
      </c>
      <c r="D61" s="197">
        <v>0</v>
      </c>
      <c r="E61" s="197">
        <v>0</v>
      </c>
      <c r="F61" s="197">
        <v>0</v>
      </c>
      <c r="G61" s="197">
        <v>0</v>
      </c>
      <c r="H61" s="197">
        <v>0</v>
      </c>
      <c r="I61" s="197">
        <v>0</v>
      </c>
      <c r="J61" s="197">
        <v>0</v>
      </c>
      <c r="K61" s="196">
        <v>0</v>
      </c>
    </row>
    <row r="62" spans="1:11" x14ac:dyDescent="0.35">
      <c r="A62" s="59" t="s">
        <v>1504</v>
      </c>
      <c r="B62" s="197">
        <v>0</v>
      </c>
      <c r="C62" s="197">
        <v>0</v>
      </c>
      <c r="D62" s="197">
        <v>0</v>
      </c>
      <c r="E62" s="197">
        <v>0</v>
      </c>
      <c r="F62" s="197">
        <v>0</v>
      </c>
      <c r="G62" s="197">
        <v>0</v>
      </c>
      <c r="H62" s="197">
        <v>0</v>
      </c>
      <c r="I62" s="197">
        <v>0</v>
      </c>
      <c r="J62" s="197">
        <v>0</v>
      </c>
      <c r="K62" s="196">
        <v>0</v>
      </c>
    </row>
    <row r="63" spans="1:11" x14ac:dyDescent="0.35">
      <c r="A63" s="59" t="s">
        <v>1497</v>
      </c>
      <c r="B63" s="197">
        <v>0.05</v>
      </c>
      <c r="C63" s="197">
        <v>0.05</v>
      </c>
      <c r="D63" s="197">
        <v>2E-3</v>
      </c>
      <c r="E63" s="197">
        <v>2E-3</v>
      </c>
      <c r="F63" s="197">
        <v>2E-3</v>
      </c>
      <c r="G63" s="197">
        <v>2E-3</v>
      </c>
      <c r="H63" s="197">
        <v>2E-3</v>
      </c>
      <c r="I63" s="197">
        <v>2E-3</v>
      </c>
      <c r="J63" s="197">
        <v>2E-3</v>
      </c>
      <c r="K63" s="196">
        <v>2E-3</v>
      </c>
    </row>
    <row r="64" spans="1:11" x14ac:dyDescent="0.35">
      <c r="A64" s="59" t="s">
        <v>1457</v>
      </c>
      <c r="B64" s="197">
        <v>0.05</v>
      </c>
      <c r="C64" s="197">
        <v>0.05</v>
      </c>
      <c r="D64" s="197">
        <v>0</v>
      </c>
      <c r="E64" s="197">
        <v>0</v>
      </c>
      <c r="F64" s="197">
        <v>0</v>
      </c>
      <c r="G64" s="197">
        <v>0</v>
      </c>
      <c r="H64" s="197">
        <v>0</v>
      </c>
      <c r="I64" s="197">
        <v>0</v>
      </c>
      <c r="J64" s="197">
        <v>0</v>
      </c>
      <c r="K64" s="196">
        <v>0</v>
      </c>
    </row>
    <row r="65" spans="1:11" x14ac:dyDescent="0.35">
      <c r="A65" s="57" t="s">
        <v>1466</v>
      </c>
      <c r="B65" s="194">
        <v>0</v>
      </c>
      <c r="C65" s="194">
        <v>0</v>
      </c>
      <c r="D65" s="194">
        <v>4.0000000000000036E-3</v>
      </c>
      <c r="E65" s="194">
        <v>4.0000000000000036E-3</v>
      </c>
      <c r="F65" s="194">
        <v>4.0000000000000036E-3</v>
      </c>
      <c r="G65" s="194">
        <v>4.0000000000000036E-3</v>
      </c>
      <c r="H65" s="194">
        <v>4.0000000000000036E-3</v>
      </c>
      <c r="I65" s="194">
        <v>4.0000000000000036E-3</v>
      </c>
      <c r="J65" s="194">
        <v>4.0000000000000036E-3</v>
      </c>
      <c r="K65" s="193">
        <v>4.0000000000000036E-3</v>
      </c>
    </row>
    <row r="66" spans="1:11" ht="13.15" x14ac:dyDescent="0.4">
      <c r="A66" s="131" t="s">
        <v>1503</v>
      </c>
      <c r="B66" s="101"/>
      <c r="C66" s="101"/>
      <c r="D66" s="101"/>
      <c r="E66" s="101"/>
      <c r="F66" s="101"/>
      <c r="G66" s="101"/>
      <c r="H66" s="101"/>
      <c r="I66" s="101"/>
      <c r="J66" s="101"/>
      <c r="K66" s="60"/>
    </row>
    <row r="67" spans="1:11" x14ac:dyDescent="0.35">
      <c r="A67" s="59" t="s">
        <v>1438</v>
      </c>
      <c r="B67" s="197">
        <v>0.85</v>
      </c>
      <c r="C67" s="197">
        <v>0.307</v>
      </c>
      <c r="D67" s="197">
        <v>0.85</v>
      </c>
      <c r="E67" s="197">
        <v>0.28999999999999998</v>
      </c>
      <c r="F67" s="197">
        <v>0.85</v>
      </c>
      <c r="G67" s="197">
        <v>0.28799999999999998</v>
      </c>
      <c r="H67" s="197">
        <v>0.85</v>
      </c>
      <c r="I67" s="197">
        <v>0.28499999999999998</v>
      </c>
      <c r="J67" s="197">
        <v>0.85</v>
      </c>
      <c r="K67" s="196">
        <v>0.28599999999999998</v>
      </c>
    </row>
    <row r="68" spans="1:11" x14ac:dyDescent="0.35">
      <c r="A68" s="59" t="s">
        <v>1502</v>
      </c>
      <c r="B68" s="197">
        <v>7.8E-2</v>
      </c>
      <c r="C68" s="197">
        <v>8.8999999999999996E-2</v>
      </c>
      <c r="D68" s="197">
        <v>7.8E-2</v>
      </c>
      <c r="E68" s="197">
        <v>8.6999999999999994E-2</v>
      </c>
      <c r="F68" s="197">
        <v>7.8E-2</v>
      </c>
      <c r="G68" s="197">
        <v>0.09</v>
      </c>
      <c r="H68" s="197">
        <v>7.8E-2</v>
      </c>
      <c r="I68" s="197">
        <v>9.1999999999999998E-2</v>
      </c>
      <c r="J68" s="197">
        <v>7.8E-2</v>
      </c>
      <c r="K68" s="196">
        <v>0.09</v>
      </c>
    </row>
    <row r="69" spans="1:11" x14ac:dyDescent="0.35">
      <c r="A69" s="59" t="s">
        <v>1446</v>
      </c>
      <c r="B69" s="197">
        <v>0</v>
      </c>
      <c r="C69" s="197">
        <v>0.02</v>
      </c>
      <c r="D69" s="197">
        <v>0</v>
      </c>
      <c r="E69" s="197">
        <v>1.7000000000000001E-2</v>
      </c>
      <c r="F69" s="197">
        <v>0</v>
      </c>
      <c r="G69" s="197">
        <v>1.6E-2</v>
      </c>
      <c r="H69" s="197">
        <v>0</v>
      </c>
      <c r="I69" s="197">
        <v>1.6E-2</v>
      </c>
      <c r="J69" s="197">
        <v>0</v>
      </c>
      <c r="K69" s="196">
        <v>1.6E-2</v>
      </c>
    </row>
    <row r="70" spans="1:11" x14ac:dyDescent="0.35">
      <c r="A70" s="59" t="s">
        <v>1445</v>
      </c>
      <c r="B70" s="197">
        <v>0.01</v>
      </c>
      <c r="C70" s="197">
        <v>0.41799999999999998</v>
      </c>
      <c r="D70" s="197">
        <v>0.01</v>
      </c>
      <c r="E70" s="197">
        <v>0.45200000000000001</v>
      </c>
      <c r="F70" s="197">
        <v>0.01</v>
      </c>
      <c r="G70" s="197">
        <v>0.45300000000000001</v>
      </c>
      <c r="H70" s="197">
        <v>0.01</v>
      </c>
      <c r="I70" s="197">
        <v>0.45600000000000002</v>
      </c>
      <c r="J70" s="197">
        <v>0.01</v>
      </c>
      <c r="K70" s="196">
        <v>0.45400000000000001</v>
      </c>
    </row>
    <row r="71" spans="1:11" x14ac:dyDescent="0.35">
      <c r="A71" s="59" t="s">
        <v>1498</v>
      </c>
      <c r="B71" s="197">
        <v>7.0000000000000001E-3</v>
      </c>
      <c r="C71" s="197">
        <v>1.2E-2</v>
      </c>
      <c r="D71" s="197">
        <v>7.0000000000000001E-3</v>
      </c>
      <c r="E71" s="197">
        <v>1.0999999999999999E-2</v>
      </c>
      <c r="F71" s="197">
        <v>7.0000000000000001E-3</v>
      </c>
      <c r="G71" s="197">
        <v>0.01</v>
      </c>
      <c r="H71" s="197">
        <v>7.0000000000000001E-3</v>
      </c>
      <c r="I71" s="197">
        <v>0.01</v>
      </c>
      <c r="J71" s="197">
        <v>7.0000000000000001E-3</v>
      </c>
      <c r="K71" s="196">
        <v>0.01</v>
      </c>
    </row>
    <row r="72" spans="1:11" x14ac:dyDescent="0.35">
      <c r="A72" s="59" t="s">
        <v>241</v>
      </c>
      <c r="B72" s="197">
        <v>0</v>
      </c>
      <c r="C72" s="197">
        <v>0</v>
      </c>
      <c r="D72" s="197">
        <v>0</v>
      </c>
      <c r="E72" s="197">
        <v>0</v>
      </c>
      <c r="F72" s="197">
        <v>0</v>
      </c>
      <c r="G72" s="197">
        <v>0</v>
      </c>
      <c r="H72" s="197">
        <v>0</v>
      </c>
      <c r="I72" s="197">
        <v>0</v>
      </c>
      <c r="J72" s="197">
        <v>0</v>
      </c>
      <c r="K72" s="196">
        <v>0</v>
      </c>
    </row>
    <row r="73" spans="1:11" x14ac:dyDescent="0.35">
      <c r="A73" s="59" t="s">
        <v>1427</v>
      </c>
      <c r="B73" s="197">
        <v>0</v>
      </c>
      <c r="C73" s="197">
        <v>0</v>
      </c>
      <c r="D73" s="197">
        <v>0</v>
      </c>
      <c r="E73" s="197">
        <v>0</v>
      </c>
      <c r="F73" s="197">
        <v>0</v>
      </c>
      <c r="G73" s="197">
        <v>0</v>
      </c>
      <c r="H73" s="197">
        <v>0</v>
      </c>
      <c r="I73" s="197">
        <v>0</v>
      </c>
      <c r="J73" s="197">
        <v>0</v>
      </c>
      <c r="K73" s="196">
        <v>0</v>
      </c>
    </row>
    <row r="74" spans="1:11" x14ac:dyDescent="0.35">
      <c r="A74" s="59" t="s">
        <v>1493</v>
      </c>
      <c r="B74" s="197">
        <v>0</v>
      </c>
      <c r="C74" s="197">
        <v>6.6000000000000003E-2</v>
      </c>
      <c r="D74" s="197">
        <v>0</v>
      </c>
      <c r="E74" s="197">
        <v>6.5000000000000002E-2</v>
      </c>
      <c r="F74" s="197">
        <v>0</v>
      </c>
      <c r="G74" s="197">
        <v>6.8000000000000005E-2</v>
      </c>
      <c r="H74" s="197">
        <v>0</v>
      </c>
      <c r="I74" s="197">
        <v>6.9000000000000006E-2</v>
      </c>
      <c r="J74" s="197">
        <v>0</v>
      </c>
      <c r="K74" s="196">
        <v>6.8000000000000005E-2</v>
      </c>
    </row>
    <row r="75" spans="1:11" x14ac:dyDescent="0.35">
      <c r="A75" s="59" t="s">
        <v>1497</v>
      </c>
      <c r="B75" s="197">
        <v>0.01</v>
      </c>
      <c r="C75" s="197">
        <v>1.7999999999999999E-2</v>
      </c>
      <c r="D75" s="197">
        <v>0.01</v>
      </c>
      <c r="E75" s="197">
        <v>1.4999999999999999E-2</v>
      </c>
      <c r="F75" s="197">
        <v>0.01</v>
      </c>
      <c r="G75" s="197">
        <v>1.4999999999999999E-2</v>
      </c>
      <c r="H75" s="197">
        <v>0.01</v>
      </c>
      <c r="I75" s="197">
        <v>1.4E-2</v>
      </c>
      <c r="J75" s="197">
        <v>0.01</v>
      </c>
      <c r="K75" s="196">
        <v>1.4999999999999999E-2</v>
      </c>
    </row>
    <row r="76" spans="1:11" x14ac:dyDescent="0.35">
      <c r="A76" s="59" t="s">
        <v>1457</v>
      </c>
      <c r="B76" s="197">
        <v>3.9E-2</v>
      </c>
      <c r="C76" s="197">
        <v>6.3E-2</v>
      </c>
      <c r="D76" s="197">
        <v>3.9E-2</v>
      </c>
      <c r="E76" s="197">
        <v>5.6000000000000001E-2</v>
      </c>
      <c r="F76" s="197">
        <v>3.9E-2</v>
      </c>
      <c r="G76" s="197">
        <v>5.3999999999999999E-2</v>
      </c>
      <c r="H76" s="197">
        <v>3.9E-2</v>
      </c>
      <c r="I76" s="197">
        <v>5.1999999999999998E-2</v>
      </c>
      <c r="J76" s="197">
        <v>3.9E-2</v>
      </c>
      <c r="K76" s="196">
        <v>5.2999999999999999E-2</v>
      </c>
    </row>
    <row r="77" spans="1:11" x14ac:dyDescent="0.35">
      <c r="A77" s="57" t="s">
        <v>1466</v>
      </c>
      <c r="B77" s="194">
        <v>6.0000000000000053E-3</v>
      </c>
      <c r="C77" s="194">
        <v>6.9999999999998952E-3</v>
      </c>
      <c r="D77" s="194">
        <v>6.0000000000000053E-3</v>
      </c>
      <c r="E77" s="194">
        <v>6.9999999999997842E-3</v>
      </c>
      <c r="F77" s="194">
        <v>6.0000000000000053E-3</v>
      </c>
      <c r="G77" s="194">
        <v>5.9999999999998943E-3</v>
      </c>
      <c r="H77" s="194">
        <v>6.0000000000000053E-3</v>
      </c>
      <c r="I77" s="194">
        <v>6.0000000000000053E-3</v>
      </c>
      <c r="J77" s="194">
        <v>6.0000000000000053E-3</v>
      </c>
      <c r="K77" s="193">
        <v>7.9999999999997851E-3</v>
      </c>
    </row>
    <row r="78" spans="1:11" ht="13.15" x14ac:dyDescent="0.4">
      <c r="A78" s="128" t="s">
        <v>1501</v>
      </c>
      <c r="K78" s="99"/>
    </row>
    <row r="79" spans="1:11" x14ac:dyDescent="0.35">
      <c r="A79" s="59" t="s">
        <v>1438</v>
      </c>
      <c r="B79" s="197"/>
      <c r="C79" s="197"/>
      <c r="D79" s="197">
        <v>0.36099999999999999</v>
      </c>
      <c r="E79" s="197">
        <v>0.36099999999999999</v>
      </c>
      <c r="F79" s="197">
        <v>0.36099999999999999</v>
      </c>
      <c r="G79" s="197">
        <v>0.36099999999999999</v>
      </c>
      <c r="H79" s="197">
        <v>0.36099999999999999</v>
      </c>
      <c r="I79" s="197">
        <v>0.36099999999999999</v>
      </c>
      <c r="J79" s="197">
        <v>0.36099999999999999</v>
      </c>
      <c r="K79" s="196">
        <v>0.36099999999999999</v>
      </c>
    </row>
    <row r="80" spans="1:11" x14ac:dyDescent="0.35">
      <c r="A80" s="59" t="s">
        <v>2246</v>
      </c>
      <c r="B80" s="197"/>
      <c r="C80" s="197"/>
      <c r="D80" s="197">
        <v>0</v>
      </c>
      <c r="E80" s="197">
        <v>0</v>
      </c>
      <c r="F80" s="197">
        <v>0</v>
      </c>
      <c r="G80" s="197">
        <v>0</v>
      </c>
      <c r="H80" s="197">
        <v>0</v>
      </c>
      <c r="I80" s="197">
        <v>0</v>
      </c>
      <c r="J80" s="197">
        <v>0</v>
      </c>
      <c r="K80" s="196">
        <v>0</v>
      </c>
    </row>
    <row r="81" spans="1:11" x14ac:dyDescent="0.35">
      <c r="A81" s="59" t="s">
        <v>1445</v>
      </c>
      <c r="B81" s="197"/>
      <c r="C81" s="197"/>
      <c r="D81" s="197">
        <v>0.36099999999999999</v>
      </c>
      <c r="E81" s="197">
        <v>0.36099999999999999</v>
      </c>
      <c r="F81" s="197">
        <v>0.36099999999999999</v>
      </c>
      <c r="G81" s="197">
        <v>0.36099999999999999</v>
      </c>
      <c r="H81" s="197">
        <v>0.36099999999999999</v>
      </c>
      <c r="I81" s="197">
        <v>0.36099999999999999</v>
      </c>
      <c r="J81" s="197">
        <v>0.36099999999999999</v>
      </c>
      <c r="K81" s="196">
        <v>0.36099999999999999</v>
      </c>
    </row>
    <row r="82" spans="1:11" x14ac:dyDescent="0.35">
      <c r="A82" s="59" t="s">
        <v>1498</v>
      </c>
      <c r="B82" s="197"/>
      <c r="C82" s="197"/>
      <c r="D82" s="197">
        <v>0.27800000000000002</v>
      </c>
      <c r="E82" s="197">
        <v>0.27800000000000002</v>
      </c>
      <c r="F82" s="197">
        <v>0.27800000000000002</v>
      </c>
      <c r="G82" s="197">
        <v>0.27800000000000002</v>
      </c>
      <c r="H82" s="197">
        <v>0.27800000000000002</v>
      </c>
      <c r="I82" s="197">
        <v>0.27800000000000002</v>
      </c>
      <c r="J82" s="197">
        <v>0.27800000000000002</v>
      </c>
      <c r="K82" s="196">
        <v>0.27800000000000002</v>
      </c>
    </row>
    <row r="83" spans="1:11" x14ac:dyDescent="0.35">
      <c r="A83" s="59" t="s">
        <v>1466</v>
      </c>
      <c r="B83" s="194"/>
      <c r="C83" s="194"/>
      <c r="D83" s="194">
        <v>0</v>
      </c>
      <c r="E83" s="194">
        <v>0</v>
      </c>
      <c r="F83" s="194">
        <v>0</v>
      </c>
      <c r="G83" s="194">
        <v>0</v>
      </c>
      <c r="H83" s="194">
        <v>0</v>
      </c>
      <c r="I83" s="194">
        <v>0</v>
      </c>
      <c r="J83" s="194">
        <v>0</v>
      </c>
      <c r="K83" s="193">
        <v>0</v>
      </c>
    </row>
    <row r="84" spans="1:11" ht="13.15" x14ac:dyDescent="0.4">
      <c r="A84" s="131" t="s">
        <v>1500</v>
      </c>
      <c r="B84" s="101"/>
      <c r="C84" s="101"/>
      <c r="D84" s="101"/>
      <c r="E84" s="101"/>
      <c r="F84" s="101"/>
      <c r="G84" s="101"/>
      <c r="H84" s="101"/>
      <c r="I84" s="101"/>
      <c r="J84" s="101"/>
      <c r="K84" s="60"/>
    </row>
    <row r="85" spans="1:11" x14ac:dyDescent="0.35">
      <c r="A85" s="59" t="s">
        <v>1438</v>
      </c>
      <c r="B85" s="675"/>
      <c r="C85" s="675"/>
      <c r="D85" s="197">
        <v>0.36099999999999999</v>
      </c>
      <c r="E85" s="197">
        <v>0.36099999999999999</v>
      </c>
      <c r="F85" s="197">
        <v>0.36099999999999999</v>
      </c>
      <c r="G85" s="197">
        <v>0.36099999999999999</v>
      </c>
      <c r="H85" s="197">
        <v>0</v>
      </c>
      <c r="I85" s="197">
        <v>0</v>
      </c>
      <c r="J85" s="675"/>
      <c r="K85" s="677"/>
    </row>
    <row r="86" spans="1:11" x14ac:dyDescent="0.35">
      <c r="A86" s="59" t="s">
        <v>1445</v>
      </c>
      <c r="B86" s="675"/>
      <c r="C86" s="675"/>
      <c r="D86" s="197">
        <v>0.36099999999999999</v>
      </c>
      <c r="E86" s="197">
        <v>0.36099999999999999</v>
      </c>
      <c r="F86" s="197">
        <v>0.36099999999999999</v>
      </c>
      <c r="G86" s="197">
        <v>0.36099999999999999</v>
      </c>
      <c r="H86" s="197">
        <v>0</v>
      </c>
      <c r="I86" s="197">
        <v>0</v>
      </c>
      <c r="J86" s="675"/>
      <c r="K86" s="677"/>
    </row>
    <row r="87" spans="1:11" x14ac:dyDescent="0.35">
      <c r="A87" s="59" t="s">
        <v>1498</v>
      </c>
      <c r="B87" s="675"/>
      <c r="C87" s="675"/>
      <c r="D87" s="197">
        <v>0.27800000000000002</v>
      </c>
      <c r="E87" s="197">
        <v>0.27800000000000002</v>
      </c>
      <c r="F87" s="197">
        <v>0.27800000000000002</v>
      </c>
      <c r="G87" s="197">
        <v>0.27800000000000002</v>
      </c>
      <c r="H87" s="197">
        <v>0</v>
      </c>
      <c r="I87" s="197">
        <v>0</v>
      </c>
      <c r="J87" s="675"/>
      <c r="K87" s="677"/>
    </row>
    <row r="88" spans="1:11" x14ac:dyDescent="0.35">
      <c r="A88" s="57" t="s">
        <v>1466</v>
      </c>
      <c r="B88" s="675"/>
      <c r="C88" s="675"/>
      <c r="D88" s="194">
        <v>0</v>
      </c>
      <c r="E88" s="194">
        <v>0</v>
      </c>
      <c r="F88" s="194">
        <v>0</v>
      </c>
      <c r="G88" s="194">
        <v>0</v>
      </c>
      <c r="H88" s="194">
        <v>0</v>
      </c>
      <c r="I88" s="194">
        <v>0</v>
      </c>
      <c r="J88" s="675"/>
      <c r="K88" s="677"/>
    </row>
    <row r="89" spans="1:11" ht="13.15" x14ac:dyDescent="0.4">
      <c r="A89" s="131" t="s">
        <v>1499</v>
      </c>
      <c r="B89" s="101"/>
      <c r="C89" s="101"/>
      <c r="D89" s="101"/>
      <c r="E89" s="101"/>
      <c r="F89" s="101"/>
      <c r="G89" s="101"/>
      <c r="H89" s="101"/>
      <c r="I89" s="101"/>
      <c r="J89" s="101"/>
      <c r="K89" s="60"/>
    </row>
    <row r="90" spans="1:11" x14ac:dyDescent="0.35">
      <c r="A90" s="59" t="s">
        <v>1438</v>
      </c>
      <c r="B90" s="197"/>
      <c r="C90" s="197"/>
      <c r="D90" s="197">
        <v>0.05</v>
      </c>
      <c r="E90" s="197">
        <v>0.05</v>
      </c>
      <c r="F90" s="197">
        <v>0.05</v>
      </c>
      <c r="G90" s="197">
        <v>0.05</v>
      </c>
      <c r="H90" s="197">
        <v>0.05</v>
      </c>
      <c r="I90" s="197">
        <v>0.05</v>
      </c>
      <c r="J90" s="197">
        <v>0.05</v>
      </c>
      <c r="K90" s="196">
        <v>0.05</v>
      </c>
    </row>
    <row r="91" spans="1:11" x14ac:dyDescent="0.35">
      <c r="A91" s="59" t="s">
        <v>1445</v>
      </c>
      <c r="B91" s="197"/>
      <c r="C91" s="197"/>
      <c r="D91" s="197">
        <v>0.46899999999999997</v>
      </c>
      <c r="E91" s="197">
        <v>0.46899999999999997</v>
      </c>
      <c r="F91" s="197">
        <v>0.46899999999999997</v>
      </c>
      <c r="G91" s="197">
        <v>0.46899999999999997</v>
      </c>
      <c r="H91" s="197">
        <v>0.46899999999999997</v>
      </c>
      <c r="I91" s="197">
        <v>0.46899999999999997</v>
      </c>
      <c r="J91" s="197">
        <v>0.46899999999999997</v>
      </c>
      <c r="K91" s="196">
        <v>0.46899999999999997</v>
      </c>
    </row>
    <row r="92" spans="1:11" x14ac:dyDescent="0.35">
      <c r="A92" s="59" t="s">
        <v>1498</v>
      </c>
      <c r="B92" s="197"/>
      <c r="C92" s="197"/>
      <c r="D92" s="197">
        <v>8.2000000000000003E-2</v>
      </c>
      <c r="E92" s="197">
        <v>8.2000000000000003E-2</v>
      </c>
      <c r="F92" s="197">
        <v>8.2000000000000003E-2</v>
      </c>
      <c r="G92" s="197">
        <v>8.2000000000000003E-2</v>
      </c>
      <c r="H92" s="197">
        <v>8.2000000000000003E-2</v>
      </c>
      <c r="I92" s="197">
        <v>8.2000000000000003E-2</v>
      </c>
      <c r="J92" s="197">
        <v>8.2000000000000003E-2</v>
      </c>
      <c r="K92" s="196">
        <v>8.2000000000000003E-2</v>
      </c>
    </row>
    <row r="93" spans="1:11" x14ac:dyDescent="0.35">
      <c r="A93" s="59" t="s">
        <v>1457</v>
      </c>
      <c r="B93" s="197"/>
      <c r="C93" s="197"/>
      <c r="D93" s="197">
        <v>3.6999999999999998E-2</v>
      </c>
      <c r="E93" s="197">
        <v>3.6999999999999998E-2</v>
      </c>
      <c r="F93" s="197">
        <v>3.6999999999999998E-2</v>
      </c>
      <c r="G93" s="197">
        <v>3.6999999999999998E-2</v>
      </c>
      <c r="H93" s="197">
        <v>3.6999999999999998E-2</v>
      </c>
      <c r="I93" s="197">
        <v>3.6999999999999998E-2</v>
      </c>
      <c r="J93" s="197">
        <v>3.6999999999999998E-2</v>
      </c>
      <c r="K93" s="196">
        <v>3.6999999999999998E-2</v>
      </c>
    </row>
    <row r="94" spans="1:11" x14ac:dyDescent="0.35">
      <c r="A94" s="59" t="s">
        <v>1497</v>
      </c>
      <c r="B94" s="197"/>
      <c r="C94" s="197"/>
      <c r="D94" s="197">
        <v>0.23799999999999999</v>
      </c>
      <c r="E94" s="197">
        <v>0.23799999999999999</v>
      </c>
      <c r="F94" s="197">
        <v>0.23799999999999999</v>
      </c>
      <c r="G94" s="197">
        <v>0.23799999999999999</v>
      </c>
      <c r="H94" s="197">
        <v>0.23799999999999999</v>
      </c>
      <c r="I94" s="197">
        <v>0.23799999999999999</v>
      </c>
      <c r="J94" s="197">
        <v>0.23799999999999999</v>
      </c>
      <c r="K94" s="196">
        <v>0.23799999999999999</v>
      </c>
    </row>
    <row r="95" spans="1:11" x14ac:dyDescent="0.35">
      <c r="A95" s="57" t="s">
        <v>1466</v>
      </c>
      <c r="B95" s="194"/>
      <c r="C95" s="194"/>
      <c r="D95" s="194">
        <v>0.124</v>
      </c>
      <c r="E95" s="194">
        <v>0.124</v>
      </c>
      <c r="F95" s="194">
        <v>0.124</v>
      </c>
      <c r="G95" s="194">
        <v>0.124</v>
      </c>
      <c r="H95" s="194">
        <v>0.124</v>
      </c>
      <c r="I95" s="194">
        <v>0.124</v>
      </c>
      <c r="J95" s="194">
        <v>0.124</v>
      </c>
      <c r="K95" s="193">
        <v>0.124</v>
      </c>
    </row>
    <row r="96" spans="1:11" ht="13.15" x14ac:dyDescent="0.4">
      <c r="A96" s="178" t="s">
        <v>2227</v>
      </c>
      <c r="B96" s="61"/>
      <c r="C96" s="101"/>
      <c r="D96" s="101"/>
      <c r="E96" s="101"/>
      <c r="F96" s="101"/>
      <c r="G96" s="101"/>
      <c r="H96" s="101"/>
      <c r="I96" s="101"/>
      <c r="J96" s="101"/>
      <c r="K96" s="60"/>
    </row>
    <row r="97" spans="1:11" x14ac:dyDescent="0.35">
      <c r="A97" s="50" t="s">
        <v>1438</v>
      </c>
      <c r="B97" s="676"/>
      <c r="C97" s="675"/>
      <c r="D97" s="675"/>
      <c r="E97" s="675"/>
      <c r="F97" s="675"/>
      <c r="G97" s="675"/>
      <c r="H97" s="675"/>
      <c r="I97" s="675"/>
      <c r="J97" s="197">
        <v>9.1528724440116851E-2</v>
      </c>
      <c r="K97" s="196">
        <v>9.1528724440116851E-2</v>
      </c>
    </row>
    <row r="98" spans="1:11" x14ac:dyDescent="0.35">
      <c r="A98" s="50" t="s">
        <v>1495</v>
      </c>
      <c r="B98" s="676"/>
      <c r="C98" s="675"/>
      <c r="D98" s="675"/>
      <c r="E98" s="675"/>
      <c r="F98" s="675"/>
      <c r="G98" s="675"/>
      <c r="H98" s="675"/>
      <c r="I98" s="675"/>
      <c r="J98" s="197">
        <v>8.081791626095422E-2</v>
      </c>
      <c r="K98" s="196">
        <v>8.081791626095422E-2</v>
      </c>
    </row>
    <row r="99" spans="1:11" x14ac:dyDescent="0.35">
      <c r="A99" s="50" t="s">
        <v>1494</v>
      </c>
      <c r="B99" s="676"/>
      <c r="C99" s="675"/>
      <c r="D99" s="675"/>
      <c r="E99" s="675"/>
      <c r="F99" s="675"/>
      <c r="G99" s="675"/>
      <c r="H99" s="675"/>
      <c r="I99" s="675"/>
      <c r="J99" s="197">
        <v>0.65628042843232726</v>
      </c>
      <c r="K99" s="196">
        <v>0.65628042843232726</v>
      </c>
    </row>
    <row r="100" spans="1:11" x14ac:dyDescent="0.35">
      <c r="A100" s="50" t="s">
        <v>1493</v>
      </c>
      <c r="B100" s="676"/>
      <c r="C100" s="675"/>
      <c r="D100" s="675"/>
      <c r="E100" s="675"/>
      <c r="F100" s="675"/>
      <c r="G100" s="675"/>
      <c r="H100" s="675"/>
      <c r="I100" s="675"/>
      <c r="J100" s="197">
        <v>4.4790652385589089E-2</v>
      </c>
      <c r="K100" s="196">
        <v>4.4790652385589089E-2</v>
      </c>
    </row>
    <row r="101" spans="1:11" x14ac:dyDescent="0.35">
      <c r="A101" s="50" t="s">
        <v>1446</v>
      </c>
      <c r="B101" s="676"/>
      <c r="C101" s="675"/>
      <c r="D101" s="675"/>
      <c r="E101" s="675"/>
      <c r="F101" s="675"/>
      <c r="G101" s="675"/>
      <c r="H101" s="675"/>
      <c r="I101" s="675"/>
      <c r="J101" s="197">
        <v>0</v>
      </c>
      <c r="K101" s="196">
        <v>0</v>
      </c>
    </row>
    <row r="102" spans="1:11" x14ac:dyDescent="0.35">
      <c r="A102" s="50" t="s">
        <v>1447</v>
      </c>
      <c r="B102" s="676"/>
      <c r="C102" s="675"/>
      <c r="D102" s="675"/>
      <c r="E102" s="675"/>
      <c r="F102" s="675"/>
      <c r="G102" s="675"/>
      <c r="H102" s="675"/>
      <c r="I102" s="675"/>
      <c r="J102" s="197">
        <v>0</v>
      </c>
      <c r="K102" s="196">
        <v>0</v>
      </c>
    </row>
    <row r="103" spans="1:11" x14ac:dyDescent="0.35">
      <c r="A103" s="50" t="s">
        <v>1492</v>
      </c>
      <c r="B103" s="676"/>
      <c r="C103" s="675"/>
      <c r="D103" s="675"/>
      <c r="E103" s="675"/>
      <c r="F103" s="675"/>
      <c r="G103" s="675"/>
      <c r="H103" s="675"/>
      <c r="I103" s="675"/>
      <c r="J103" s="197">
        <v>7.7896786757546244E-2</v>
      </c>
      <c r="K103" s="196">
        <v>7.7896786757546244E-2</v>
      </c>
    </row>
    <row r="104" spans="1:11" x14ac:dyDescent="0.35">
      <c r="A104" s="50" t="s">
        <v>1457</v>
      </c>
      <c r="B104" s="676"/>
      <c r="C104" s="675"/>
      <c r="D104" s="675"/>
      <c r="E104" s="675"/>
      <c r="F104" s="675"/>
      <c r="G104" s="675"/>
      <c r="H104" s="675"/>
      <c r="I104" s="675"/>
      <c r="J104" s="197">
        <v>0</v>
      </c>
      <c r="K104" s="196">
        <v>0</v>
      </c>
    </row>
    <row r="105" spans="1:11" x14ac:dyDescent="0.35">
      <c r="A105" s="50" t="s">
        <v>1460</v>
      </c>
      <c r="B105" s="676"/>
      <c r="C105" s="675"/>
      <c r="D105" s="675"/>
      <c r="E105" s="675"/>
      <c r="F105" s="675"/>
      <c r="G105" s="675"/>
      <c r="H105" s="675"/>
      <c r="I105" s="675"/>
      <c r="J105" s="197">
        <v>0</v>
      </c>
      <c r="K105" s="196">
        <v>0</v>
      </c>
    </row>
    <row r="106" spans="1:11" x14ac:dyDescent="0.35">
      <c r="A106" s="50" t="s">
        <v>1449</v>
      </c>
      <c r="B106" s="676"/>
      <c r="C106" s="675"/>
      <c r="D106" s="675"/>
      <c r="E106" s="675"/>
      <c r="F106" s="675"/>
      <c r="G106" s="675"/>
      <c r="H106" s="675"/>
      <c r="I106" s="675"/>
      <c r="J106" s="197">
        <v>9.7370983446932804E-3</v>
      </c>
      <c r="K106" s="196">
        <v>9.7370983446932804E-3</v>
      </c>
    </row>
    <row r="107" spans="1:11" x14ac:dyDescent="0.35">
      <c r="A107" s="46" t="s">
        <v>1466</v>
      </c>
      <c r="B107" s="674"/>
      <c r="C107" s="673"/>
      <c r="D107" s="673"/>
      <c r="E107" s="673"/>
      <c r="F107" s="673"/>
      <c r="G107" s="673"/>
      <c r="H107" s="673"/>
      <c r="I107" s="673"/>
      <c r="J107" s="194">
        <v>3.8948393378772983E-2</v>
      </c>
      <c r="K107" s="193">
        <v>3.8948393378772983E-2</v>
      </c>
    </row>
    <row r="109" spans="1:11" x14ac:dyDescent="0.35">
      <c r="A109" s="39" t="s">
        <v>2245</v>
      </c>
      <c r="C109" s="657"/>
      <c r="D109" s="657"/>
      <c r="E109" s="657"/>
      <c r="H109" s="657"/>
    </row>
    <row r="110" spans="1:11" ht="38.65" x14ac:dyDescent="0.4">
      <c r="A110" s="131"/>
      <c r="B110" s="134" t="s">
        <v>1481</v>
      </c>
      <c r="C110" s="134" t="s">
        <v>1480</v>
      </c>
      <c r="D110" s="134" t="s">
        <v>1479</v>
      </c>
      <c r="E110" s="134" t="s">
        <v>1478</v>
      </c>
      <c r="F110" s="134" t="s">
        <v>1477</v>
      </c>
      <c r="G110" s="134" t="s">
        <v>1476</v>
      </c>
      <c r="H110" s="134" t="s">
        <v>1475</v>
      </c>
      <c r="I110" s="134" t="s">
        <v>1474</v>
      </c>
      <c r="J110" s="134" t="s">
        <v>1473</v>
      </c>
      <c r="K110" s="133" t="s">
        <v>1472</v>
      </c>
    </row>
    <row r="111" spans="1:11" x14ac:dyDescent="0.35">
      <c r="A111" s="59" t="s">
        <v>234</v>
      </c>
      <c r="B111" s="671">
        <v>0.64487219353467085</v>
      </c>
      <c r="C111" s="671">
        <v>0.28100680552710661</v>
      </c>
      <c r="D111" s="671">
        <v>0.66051546487036406</v>
      </c>
      <c r="E111" s="671">
        <v>0.30212180354142515</v>
      </c>
      <c r="F111" s="671">
        <v>0.67542582596973733</v>
      </c>
      <c r="G111" s="671">
        <v>0.33730856088566213</v>
      </c>
      <c r="H111" s="671">
        <v>0.66821302716125763</v>
      </c>
      <c r="I111" s="671">
        <v>0.19540807877927699</v>
      </c>
      <c r="J111" s="671">
        <v>0.60013450751087183</v>
      </c>
      <c r="K111" s="672">
        <v>0.18942039906683458</v>
      </c>
    </row>
    <row r="112" spans="1:11" x14ac:dyDescent="0.35">
      <c r="A112" s="59" t="s">
        <v>287</v>
      </c>
      <c r="B112" s="671">
        <v>0</v>
      </c>
      <c r="C112" s="671">
        <v>9.2528068460064512E-3</v>
      </c>
      <c r="D112" s="671">
        <v>0</v>
      </c>
      <c r="E112" s="671">
        <v>6.9170747718069704E-3</v>
      </c>
      <c r="F112" s="671">
        <v>0</v>
      </c>
      <c r="G112" s="671">
        <v>6.4922948419240661E-3</v>
      </c>
      <c r="H112" s="671">
        <v>0</v>
      </c>
      <c r="I112" s="671">
        <v>0</v>
      </c>
      <c r="J112" s="671">
        <v>3.2293693346983149E-2</v>
      </c>
      <c r="K112" s="672">
        <v>2.6158764523616471E-2</v>
      </c>
    </row>
    <row r="113" spans="1:11" x14ac:dyDescent="0.35">
      <c r="A113" s="59" t="s">
        <v>288</v>
      </c>
      <c r="B113" s="671">
        <v>0.1016400990693406</v>
      </c>
      <c r="C113" s="671">
        <v>3.7685393223952625E-2</v>
      </c>
      <c r="D113" s="671">
        <v>7.1517663000307069E-2</v>
      </c>
      <c r="E113" s="671">
        <v>3.5923181316770685E-2</v>
      </c>
      <c r="F113" s="671">
        <v>8.0585728435916548E-2</v>
      </c>
      <c r="G113" s="671">
        <v>4.6848669945143945E-2</v>
      </c>
      <c r="H113" s="671">
        <v>2.5584000000000003E-2</v>
      </c>
      <c r="I113" s="671">
        <v>3.3211999999999998E-2</v>
      </c>
      <c r="J113" s="671">
        <v>2.3349988196622564E-2</v>
      </c>
      <c r="K113" s="672">
        <v>2.9981893117389382E-2</v>
      </c>
    </row>
    <row r="114" spans="1:11" x14ac:dyDescent="0.35">
      <c r="A114" s="59" t="s">
        <v>289</v>
      </c>
      <c r="B114" s="671">
        <v>1.5664362206034732E-2</v>
      </c>
      <c r="C114" s="671">
        <v>5.337938872119203E-2</v>
      </c>
      <c r="D114" s="671">
        <v>1.0669580576220805E-2</v>
      </c>
      <c r="E114" s="671">
        <v>4.4759876352210827E-2</v>
      </c>
      <c r="F114" s="671">
        <v>9.3756788483649722E-3</v>
      </c>
      <c r="G114" s="671">
        <v>3.746115530116529E-2</v>
      </c>
      <c r="H114" s="671">
        <v>1.2187998873126616E-2</v>
      </c>
      <c r="I114" s="671">
        <v>5.6843037838398572E-2</v>
      </c>
      <c r="J114" s="671">
        <v>2.1795180598172856E-2</v>
      </c>
      <c r="K114" s="672">
        <v>4.8050046470036925E-2</v>
      </c>
    </row>
    <row r="115" spans="1:11" x14ac:dyDescent="0.35">
      <c r="A115" s="59" t="s">
        <v>290</v>
      </c>
      <c r="B115" s="671">
        <v>4.2988853731210641E-2</v>
      </c>
      <c r="C115" s="671">
        <v>0.17301962397054482</v>
      </c>
      <c r="D115" s="671">
        <v>5.7635888117597837E-2</v>
      </c>
      <c r="E115" s="671">
        <v>0.18748334702432989</v>
      </c>
      <c r="F115" s="671">
        <v>6.7159112731238646E-2</v>
      </c>
      <c r="G115" s="671">
        <v>0.24419977657333808</v>
      </c>
      <c r="H115" s="671">
        <v>5.7000924344762921E-2</v>
      </c>
      <c r="I115" s="671">
        <v>0.21522807877756175</v>
      </c>
      <c r="J115" s="671">
        <v>3.76193031541351E-2</v>
      </c>
      <c r="K115" s="672">
        <v>0.1897490185081607</v>
      </c>
    </row>
    <row r="116" spans="1:11" x14ac:dyDescent="0.35">
      <c r="A116" s="59" t="s">
        <v>291</v>
      </c>
      <c r="B116" s="671">
        <v>1.5398645471970118E-2</v>
      </c>
      <c r="C116" s="671">
        <v>2.4984032359589847E-2</v>
      </c>
      <c r="D116" s="671">
        <v>3.5257772173447617E-2</v>
      </c>
      <c r="E116" s="671">
        <v>4.0605257749753425E-2</v>
      </c>
      <c r="F116" s="671">
        <v>4.0533554141151784E-2</v>
      </c>
      <c r="G116" s="671">
        <v>4.1478226725584072E-2</v>
      </c>
      <c r="H116" s="671">
        <v>4.9819451369999913E-2</v>
      </c>
      <c r="I116" s="671">
        <v>5.8637909578437029E-2</v>
      </c>
      <c r="J116" s="671">
        <v>3.0975882831914894E-2</v>
      </c>
      <c r="K116" s="672">
        <v>3.8812850280301639E-2</v>
      </c>
    </row>
    <row r="117" spans="1:11" x14ac:dyDescent="0.35">
      <c r="A117" s="59" t="s">
        <v>241</v>
      </c>
      <c r="B117" s="671">
        <v>0</v>
      </c>
      <c r="C117" s="671">
        <v>0</v>
      </c>
      <c r="D117" s="671">
        <v>0</v>
      </c>
      <c r="E117" s="671">
        <v>0</v>
      </c>
      <c r="F117" s="671">
        <v>0</v>
      </c>
      <c r="G117" s="671">
        <v>0</v>
      </c>
      <c r="H117" s="671">
        <v>0</v>
      </c>
      <c r="I117" s="671">
        <v>0</v>
      </c>
      <c r="J117" s="671">
        <v>0</v>
      </c>
      <c r="K117" s="672">
        <v>0</v>
      </c>
    </row>
    <row r="118" spans="1:11" x14ac:dyDescent="0.35">
      <c r="A118" s="59" t="s">
        <v>1427</v>
      </c>
      <c r="B118" s="667">
        <v>1.3545006366870021E-4</v>
      </c>
      <c r="C118" s="671">
        <v>2.9365319459814252E-3</v>
      </c>
      <c r="D118" s="667">
        <v>1.2312063199518904E-4</v>
      </c>
      <c r="E118" s="671">
        <v>2.2623259559699672E-3</v>
      </c>
      <c r="F118" s="671">
        <v>7.8701533895476891E-5</v>
      </c>
      <c r="G118" s="671">
        <v>1.42080050094943E-3</v>
      </c>
      <c r="H118" s="671">
        <v>1.3878827899121721E-4</v>
      </c>
      <c r="I118" s="671">
        <v>2.4880456127117506E-3</v>
      </c>
      <c r="J118" s="667">
        <v>1.2567877041509825E-4</v>
      </c>
      <c r="K118" s="672">
        <v>2.4264573372307632E-3</v>
      </c>
    </row>
    <row r="119" spans="1:11" x14ac:dyDescent="0.35">
      <c r="A119" s="59" t="s">
        <v>242</v>
      </c>
      <c r="B119" s="671">
        <v>3.4765516341633051E-2</v>
      </c>
      <c r="C119" s="671">
        <v>3.9852933552605052E-2</v>
      </c>
      <c r="D119" s="671">
        <v>3.1600962212098523E-2</v>
      </c>
      <c r="E119" s="671">
        <v>3.4688997991539496E-2</v>
      </c>
      <c r="F119" s="671">
        <v>2.0200060366505734E-2</v>
      </c>
      <c r="G119" s="671">
        <v>2.1075207430749879E-2</v>
      </c>
      <c r="H119" s="671">
        <v>3.5622324941079087E-2</v>
      </c>
      <c r="I119" s="671">
        <v>3.5661987115535088E-2</v>
      </c>
      <c r="J119" s="671">
        <v>3.2257551073208553E-2</v>
      </c>
      <c r="K119" s="672">
        <v>3.558804094605119E-2</v>
      </c>
    </row>
    <row r="120" spans="1:11" x14ac:dyDescent="0.35">
      <c r="A120" s="59" t="s">
        <v>1490</v>
      </c>
      <c r="B120" s="671">
        <v>0.10114039546480215</v>
      </c>
      <c r="C120" s="671">
        <v>0.13727427621048433</v>
      </c>
      <c r="D120" s="671">
        <v>9.1731776161118717E-2</v>
      </c>
      <c r="E120" s="671">
        <v>0.11630451013984602</v>
      </c>
      <c r="F120" s="671">
        <v>6.8002770793926234E-2</v>
      </c>
      <c r="G120" s="671">
        <v>8.4756801258050893E-2</v>
      </c>
      <c r="H120" s="671">
        <v>0.10353102121540092</v>
      </c>
      <c r="I120" s="671">
        <v>0.12936100019278496</v>
      </c>
      <c r="J120" s="671">
        <v>0.10175907917767035</v>
      </c>
      <c r="K120" s="672">
        <v>0.12084638693161283</v>
      </c>
    </row>
    <row r="121" spans="1:11" x14ac:dyDescent="0.35">
      <c r="A121" s="59" t="s">
        <v>239</v>
      </c>
      <c r="B121" s="671">
        <v>2.608342675232285E-2</v>
      </c>
      <c r="C121" s="671">
        <v>3.5769190481995339E-2</v>
      </c>
      <c r="D121" s="671">
        <v>2.263667579734709E-2</v>
      </c>
      <c r="E121" s="671">
        <v>3.0601004187768337E-2</v>
      </c>
      <c r="F121" s="671">
        <v>2.4789390128610731E-2</v>
      </c>
      <c r="G121" s="671">
        <v>3.2346177274000749E-2</v>
      </c>
      <c r="H121" s="671">
        <v>2.2377041546198254E-2</v>
      </c>
      <c r="I121" s="671">
        <v>3.1580856719632296E-2</v>
      </c>
      <c r="J121" s="671">
        <v>2.497356178205434E-2</v>
      </c>
      <c r="K121" s="672">
        <v>3.399753950170805E-2</v>
      </c>
    </row>
    <row r="122" spans="1:11" x14ac:dyDescent="0.35">
      <c r="A122" s="59" t="s">
        <v>1384</v>
      </c>
      <c r="B122" s="671">
        <v>0</v>
      </c>
      <c r="C122" s="671">
        <v>0.16612380722980633</v>
      </c>
      <c r="D122" s="671">
        <v>0</v>
      </c>
      <c r="E122" s="671">
        <v>0.15836281691789772</v>
      </c>
      <c r="F122" s="671">
        <v>2.842509692722087E-6</v>
      </c>
      <c r="G122" s="671">
        <v>0.1037215575757999</v>
      </c>
      <c r="H122" s="671">
        <v>0</v>
      </c>
      <c r="I122" s="671">
        <v>0.18867679229730777</v>
      </c>
      <c r="J122" s="671">
        <v>0</v>
      </c>
      <c r="K122" s="672">
        <v>0.17874902384266622</v>
      </c>
    </row>
    <row r="123" spans="1:11" ht="25.5" x14ac:dyDescent="0.35">
      <c r="A123" s="98" t="s">
        <v>1383</v>
      </c>
      <c r="B123" s="671">
        <v>0</v>
      </c>
      <c r="C123" s="671">
        <v>0</v>
      </c>
      <c r="D123" s="671">
        <v>0</v>
      </c>
      <c r="E123" s="671">
        <v>0</v>
      </c>
      <c r="F123" s="671">
        <v>0</v>
      </c>
      <c r="G123" s="671">
        <v>0</v>
      </c>
      <c r="H123" s="671">
        <v>0</v>
      </c>
      <c r="I123" s="671">
        <v>0</v>
      </c>
      <c r="J123" s="671">
        <v>5.8457891664872509E-2</v>
      </c>
      <c r="K123" s="672">
        <v>4.5997773200838407E-2</v>
      </c>
    </row>
    <row r="124" spans="1:11" x14ac:dyDescent="0.35">
      <c r="A124" s="59" t="s">
        <v>1368</v>
      </c>
      <c r="B124" s="671">
        <v>0</v>
      </c>
      <c r="C124" s="671">
        <v>1.7556000000000002E-2</v>
      </c>
      <c r="D124" s="671">
        <v>0</v>
      </c>
      <c r="E124" s="671">
        <v>1.8914999999999998E-2</v>
      </c>
      <c r="F124" s="671">
        <v>0</v>
      </c>
      <c r="G124" s="671">
        <v>2.7948000000000001E-2</v>
      </c>
      <c r="H124" s="671">
        <v>0</v>
      </c>
      <c r="I124" s="671">
        <v>2.4909000000000001E-2</v>
      </c>
      <c r="J124" s="671">
        <v>6.064415232023581E-3</v>
      </c>
      <c r="K124" s="672">
        <v>2.7448926916992508E-2</v>
      </c>
    </row>
    <row r="125" spans="1:11" x14ac:dyDescent="0.35">
      <c r="A125" s="59" t="s">
        <v>237</v>
      </c>
      <c r="B125" s="671">
        <v>0</v>
      </c>
      <c r="C125" s="671">
        <v>0</v>
      </c>
      <c r="D125" s="671">
        <v>0</v>
      </c>
      <c r="E125" s="671">
        <v>0</v>
      </c>
      <c r="F125" s="671">
        <v>0</v>
      </c>
      <c r="G125" s="671">
        <v>0</v>
      </c>
      <c r="H125" s="671">
        <v>0</v>
      </c>
      <c r="I125" s="671">
        <v>0</v>
      </c>
      <c r="J125" s="671">
        <v>1.5310956513904534E-6</v>
      </c>
      <c r="K125" s="672">
        <v>1.2504072374655317E-6</v>
      </c>
    </row>
    <row r="126" spans="1:11" x14ac:dyDescent="0.35">
      <c r="A126" s="59" t="s">
        <v>1489</v>
      </c>
      <c r="B126" s="671">
        <v>0</v>
      </c>
      <c r="C126" s="671">
        <v>0</v>
      </c>
      <c r="D126" s="671">
        <v>0</v>
      </c>
      <c r="E126" s="671">
        <v>0</v>
      </c>
      <c r="F126" s="671">
        <v>0</v>
      </c>
      <c r="G126" s="671">
        <v>0</v>
      </c>
      <c r="H126" s="671">
        <v>0</v>
      </c>
      <c r="I126" s="671">
        <v>0</v>
      </c>
      <c r="J126" s="671">
        <v>4.9620058556508126E-4</v>
      </c>
      <c r="K126" s="672">
        <v>4.0523451481411547E-4</v>
      </c>
    </row>
    <row r="127" spans="1:11" x14ac:dyDescent="0.35">
      <c r="A127" s="59" t="s">
        <v>1488</v>
      </c>
      <c r="B127" s="671">
        <v>0</v>
      </c>
      <c r="C127" s="671">
        <v>0</v>
      </c>
      <c r="D127" s="671">
        <v>0</v>
      </c>
      <c r="E127" s="671">
        <v>0</v>
      </c>
      <c r="F127" s="671">
        <v>0</v>
      </c>
      <c r="G127" s="671">
        <v>0</v>
      </c>
      <c r="H127" s="671">
        <v>0</v>
      </c>
      <c r="I127" s="671">
        <v>0</v>
      </c>
      <c r="J127" s="671">
        <v>1.7131884836718929E-3</v>
      </c>
      <c r="K127" s="672">
        <v>1.3991178651578866E-3</v>
      </c>
    </row>
    <row r="128" spans="1:11" x14ac:dyDescent="0.35">
      <c r="A128" s="59" t="s">
        <v>1185</v>
      </c>
      <c r="B128" s="671">
        <v>0</v>
      </c>
      <c r="C128" s="671">
        <v>0</v>
      </c>
      <c r="D128" s="671">
        <v>0</v>
      </c>
      <c r="E128" s="671">
        <v>0</v>
      </c>
      <c r="F128" s="671">
        <v>0</v>
      </c>
      <c r="G128" s="671">
        <v>0</v>
      </c>
      <c r="H128" s="671">
        <v>0</v>
      </c>
      <c r="I128" s="671">
        <v>0</v>
      </c>
      <c r="J128" s="671">
        <v>2.0534230550910558E-3</v>
      </c>
      <c r="K128" s="672">
        <v>1.6769788662992272E-3</v>
      </c>
    </row>
    <row r="129" spans="1:11" x14ac:dyDescent="0.35">
      <c r="A129" s="59" t="s">
        <v>1487</v>
      </c>
      <c r="B129" s="671">
        <v>0</v>
      </c>
      <c r="C129" s="671">
        <v>0</v>
      </c>
      <c r="D129" s="671">
        <v>0</v>
      </c>
      <c r="E129" s="671">
        <v>0</v>
      </c>
      <c r="F129" s="671">
        <v>0</v>
      </c>
      <c r="G129" s="671">
        <v>0</v>
      </c>
      <c r="H129" s="671">
        <v>0</v>
      </c>
      <c r="I129" s="671">
        <v>0</v>
      </c>
      <c r="J129" s="667">
        <v>0</v>
      </c>
      <c r="K129" s="666">
        <v>0</v>
      </c>
    </row>
    <row r="130" spans="1:11" x14ac:dyDescent="0.35">
      <c r="A130" s="59" t="s">
        <v>1486</v>
      </c>
      <c r="B130" s="670">
        <v>2.3131525132879685E-6</v>
      </c>
      <c r="C130" s="670">
        <v>5.2873181977179722E-6</v>
      </c>
      <c r="D130" s="670">
        <v>2.0560191322440935E-6</v>
      </c>
      <c r="E130" s="670">
        <v>4.6113831812046469E-6</v>
      </c>
      <c r="F130" s="670">
        <v>2.842509692722087E-6</v>
      </c>
      <c r="G130" s="670">
        <v>4.8091072903141232E-6</v>
      </c>
      <c r="H130" s="670">
        <v>0</v>
      </c>
      <c r="I130" s="670">
        <v>0</v>
      </c>
      <c r="J130" s="669">
        <v>1.4143765388454E-5</v>
      </c>
      <c r="K130" s="668">
        <v>1.1550856793745342E-5</v>
      </c>
    </row>
    <row r="131" spans="1:11" x14ac:dyDescent="0.35">
      <c r="A131" s="59" t="s">
        <v>1485</v>
      </c>
      <c r="B131" s="667">
        <v>0</v>
      </c>
      <c r="C131" s="667">
        <v>0</v>
      </c>
      <c r="D131" s="667">
        <v>0</v>
      </c>
      <c r="E131" s="667">
        <v>0</v>
      </c>
      <c r="F131" s="667">
        <v>0</v>
      </c>
      <c r="G131" s="667">
        <v>0</v>
      </c>
      <c r="H131" s="667">
        <v>0</v>
      </c>
      <c r="I131" s="667">
        <v>0</v>
      </c>
      <c r="J131" s="667">
        <v>9.1058098304295316E-4</v>
      </c>
      <c r="K131" s="666">
        <v>7.1778335262479324E-4</v>
      </c>
    </row>
    <row r="132" spans="1:11" x14ac:dyDescent="0.35">
      <c r="A132" s="59" t="s">
        <v>1484</v>
      </c>
      <c r="B132" s="667">
        <v>0</v>
      </c>
      <c r="C132" s="667">
        <v>0</v>
      </c>
      <c r="D132" s="667">
        <v>0</v>
      </c>
      <c r="E132" s="667">
        <v>0</v>
      </c>
      <c r="F132" s="667">
        <v>0</v>
      </c>
      <c r="G132" s="667">
        <v>0</v>
      </c>
      <c r="H132" s="667">
        <v>0</v>
      </c>
      <c r="I132" s="667">
        <v>0</v>
      </c>
      <c r="J132" s="667">
        <v>2.1837463193345968E-4</v>
      </c>
      <c r="K132" s="666">
        <v>1.7834105922807282E-4</v>
      </c>
    </row>
    <row r="133" spans="1:11" x14ac:dyDescent="0.35">
      <c r="A133" s="57" t="s">
        <v>292</v>
      </c>
      <c r="B133" s="665">
        <v>1.7308744211833038E-2</v>
      </c>
      <c r="C133" s="665">
        <v>2.1153922612537235E-2</v>
      </c>
      <c r="D133" s="665">
        <v>1.8309040440370961E-2</v>
      </c>
      <c r="E133" s="665">
        <v>2.10501926675003E-2</v>
      </c>
      <c r="F133" s="665">
        <v>1.3843492031267224E-2</v>
      </c>
      <c r="G133" s="665">
        <v>1.4937962580341302E-2</v>
      </c>
      <c r="H133" s="665">
        <v>2.5525422269183529E-2</v>
      </c>
      <c r="I133" s="665">
        <v>2.7993213088353675E-2</v>
      </c>
      <c r="J133" s="665">
        <v>2.4785824060710837E-2</v>
      </c>
      <c r="K133" s="664">
        <v>2.8382622434404925E-2</v>
      </c>
    </row>
    <row r="134" spans="1:11" x14ac:dyDescent="0.35">
      <c r="C134" s="657"/>
      <c r="D134" s="657"/>
      <c r="E134" s="657"/>
      <c r="H134" s="657"/>
    </row>
    <row r="135" spans="1:11" x14ac:dyDescent="0.35">
      <c r="A135" s="39" t="s">
        <v>2244</v>
      </c>
      <c r="C135" s="657"/>
      <c r="D135" s="657"/>
      <c r="E135" s="657"/>
      <c r="H135" s="657"/>
    </row>
    <row r="136" spans="1:11" x14ac:dyDescent="0.35">
      <c r="A136" s="380">
        <v>4</v>
      </c>
      <c r="C136" s="657"/>
      <c r="D136" s="657"/>
      <c r="E136" s="657"/>
      <c r="H136" s="657"/>
    </row>
    <row r="137" spans="1:11" x14ac:dyDescent="0.35">
      <c r="C137" s="657"/>
      <c r="D137" s="657"/>
      <c r="E137" s="657"/>
      <c r="H137" s="657"/>
    </row>
    <row r="138" spans="1:11" x14ac:dyDescent="0.35">
      <c r="A138" s="39" t="s">
        <v>2243</v>
      </c>
    </row>
    <row r="139" spans="1:11" ht="38.65" x14ac:dyDescent="0.4">
      <c r="A139" s="663"/>
      <c r="B139" s="662" t="s">
        <v>1481</v>
      </c>
      <c r="C139" s="662" t="s">
        <v>1480</v>
      </c>
      <c r="D139" s="662" t="s">
        <v>1479</v>
      </c>
      <c r="E139" s="662" t="s">
        <v>1478</v>
      </c>
      <c r="F139" s="662" t="s">
        <v>1477</v>
      </c>
      <c r="G139" s="662" t="s">
        <v>1476</v>
      </c>
      <c r="H139" s="662" t="s">
        <v>1475</v>
      </c>
      <c r="I139" s="662" t="s">
        <v>1474</v>
      </c>
      <c r="J139" s="662" t="s">
        <v>1473</v>
      </c>
      <c r="K139" s="661" t="s">
        <v>1472</v>
      </c>
    </row>
    <row r="140" spans="1:11" x14ac:dyDescent="0.35">
      <c r="A140" s="660"/>
      <c r="B140" s="659">
        <v>30</v>
      </c>
      <c r="C140" s="659">
        <v>30</v>
      </c>
      <c r="D140" s="659">
        <v>30</v>
      </c>
      <c r="E140" s="659">
        <v>30</v>
      </c>
      <c r="F140" s="659">
        <v>30</v>
      </c>
      <c r="G140" s="659">
        <v>30</v>
      </c>
      <c r="H140" s="659">
        <v>30</v>
      </c>
      <c r="I140" s="659">
        <v>30</v>
      </c>
      <c r="J140" s="659">
        <v>30</v>
      </c>
      <c r="K140" s="658">
        <v>30</v>
      </c>
    </row>
    <row r="141" spans="1:11" x14ac:dyDescent="0.35">
      <c r="C141" s="657"/>
      <c r="D141" s="657"/>
      <c r="E141" s="657"/>
      <c r="H141" s="657"/>
    </row>
    <row r="142" spans="1:11" x14ac:dyDescent="0.35">
      <c r="A142" s="39" t="s">
        <v>2242</v>
      </c>
      <c r="C142" s="657"/>
      <c r="D142" s="657"/>
      <c r="E142" s="657"/>
      <c r="H142" s="657"/>
    </row>
    <row r="143" spans="1:11" x14ac:dyDescent="0.35">
      <c r="A143" s="368" t="s">
        <v>239</v>
      </c>
      <c r="B143" s="218" t="s">
        <v>234</v>
      </c>
      <c r="C143" s="657"/>
      <c r="D143" s="657"/>
      <c r="E143" s="657"/>
      <c r="H143" s="657"/>
    </row>
    <row r="144" spans="1:11" x14ac:dyDescent="0.35">
      <c r="A144" s="123">
        <v>0.66700000000000004</v>
      </c>
      <c r="B144" s="56">
        <v>0.33299999999999996</v>
      </c>
      <c r="C144" s="657"/>
      <c r="D144" s="657"/>
      <c r="E144" s="657"/>
      <c r="H144" s="657"/>
    </row>
    <row r="145" spans="1:11" x14ac:dyDescent="0.35">
      <c r="C145" s="657"/>
      <c r="D145" s="657"/>
      <c r="E145" s="657"/>
      <c r="H145" s="657"/>
    </row>
    <row r="146" spans="1:11" ht="13.9" x14ac:dyDescent="0.4">
      <c r="A146" s="72" t="s">
        <v>2241</v>
      </c>
      <c r="C146" s="657"/>
      <c r="D146" s="657"/>
      <c r="E146" s="657"/>
      <c r="H146" s="657"/>
    </row>
    <row r="147" spans="1:11" ht="35.450000000000003" customHeight="1" x14ac:dyDescent="0.4">
      <c r="A147" s="61"/>
      <c r="B147" s="160" t="s">
        <v>1481</v>
      </c>
      <c r="C147" s="160" t="s">
        <v>1480</v>
      </c>
      <c r="D147" s="160" t="s">
        <v>1479</v>
      </c>
      <c r="E147" s="160" t="s">
        <v>1478</v>
      </c>
      <c r="F147" s="160" t="s">
        <v>1477</v>
      </c>
      <c r="G147" s="160" t="s">
        <v>1476</v>
      </c>
      <c r="H147" s="160" t="s">
        <v>1475</v>
      </c>
      <c r="I147" s="160" t="s">
        <v>1474</v>
      </c>
      <c r="J147" s="160" t="s">
        <v>1473</v>
      </c>
      <c r="K147" s="159" t="s">
        <v>1472</v>
      </c>
    </row>
    <row r="148" spans="1:11" ht="13.15" x14ac:dyDescent="0.4">
      <c r="A148" s="535" t="s">
        <v>1870</v>
      </c>
      <c r="B148" s="656">
        <v>3704.8358199999998</v>
      </c>
      <c r="C148" s="656">
        <v>3155.88544</v>
      </c>
      <c r="D148" s="656">
        <v>3934.4192800000001</v>
      </c>
      <c r="E148" s="656">
        <v>3277.4425200000001</v>
      </c>
      <c r="F148" s="656">
        <v>4143.8581799999993</v>
      </c>
      <c r="G148" s="656">
        <v>3383.2642799999999</v>
      </c>
      <c r="H148" s="656">
        <v>3438.5381999999995</v>
      </c>
      <c r="I148" s="656">
        <v>2827.8584599999999</v>
      </c>
      <c r="J148" s="656">
        <v>4234.4060200000004</v>
      </c>
      <c r="K148" s="655">
        <v>3436.33358</v>
      </c>
    </row>
    <row r="149" spans="1:11" ht="13.15" x14ac:dyDescent="0.4">
      <c r="A149" s="131" t="s">
        <v>1869</v>
      </c>
      <c r="B149" s="101"/>
      <c r="C149" s="101"/>
      <c r="D149" s="101"/>
      <c r="E149" s="101"/>
      <c r="F149" s="101"/>
      <c r="G149" s="101"/>
      <c r="H149" s="101"/>
      <c r="I149" s="101"/>
      <c r="J149" s="101"/>
      <c r="K149" s="60"/>
    </row>
    <row r="150" spans="1:11" x14ac:dyDescent="0.35">
      <c r="A150" s="59" t="s">
        <v>234</v>
      </c>
      <c r="B150" s="120">
        <v>2548.985601929221</v>
      </c>
      <c r="C150" s="120">
        <v>1046.6652861039072</v>
      </c>
      <c r="D150" s="120">
        <v>2758.5847797241231</v>
      </c>
      <c r="E150" s="120">
        <v>1150.0268451457534</v>
      </c>
      <c r="F150" s="120">
        <v>2958.7088339279521</v>
      </c>
      <c r="G150" s="120">
        <v>1301.0440053826658</v>
      </c>
      <c r="H150" s="120">
        <v>2457.5160196316219</v>
      </c>
      <c r="I150" s="120">
        <v>712.42638872832481</v>
      </c>
      <c r="J150" s="120">
        <v>2701.0531714137715</v>
      </c>
      <c r="K150" s="121">
        <v>810.75167805036426</v>
      </c>
    </row>
    <row r="151" spans="1:11" x14ac:dyDescent="0.35">
      <c r="A151" s="59" t="s">
        <v>1868</v>
      </c>
      <c r="B151" s="120">
        <v>0</v>
      </c>
      <c r="C151" s="120">
        <v>29.200798404444082</v>
      </c>
      <c r="D151" s="120">
        <v>0</v>
      </c>
      <c r="E151" s="120">
        <v>22.670314971139462</v>
      </c>
      <c r="F151" s="120">
        <v>0</v>
      </c>
      <c r="G151" s="120">
        <v>21.965149233909937</v>
      </c>
      <c r="H151" s="120">
        <v>0</v>
      </c>
      <c r="I151" s="120">
        <v>0</v>
      </c>
      <c r="J151" s="120">
        <v>136.74460951649939</v>
      </c>
      <c r="K151" s="121">
        <v>89.890240943815982</v>
      </c>
    </row>
    <row r="152" spans="1:11" x14ac:dyDescent="0.35">
      <c r="A152" s="59" t="s">
        <v>1867</v>
      </c>
      <c r="B152" s="120">
        <v>376.55987978044169</v>
      </c>
      <c r="C152" s="120">
        <v>118.93078377614675</v>
      </c>
      <c r="D152" s="120">
        <v>281.3804721689508</v>
      </c>
      <c r="E152" s="120">
        <v>117.73616190125384</v>
      </c>
      <c r="F152" s="120">
        <v>333.93582997043131</v>
      </c>
      <c r="G152" s="120">
        <v>158.50143159091508</v>
      </c>
      <c r="H152" s="120">
        <v>87.971561308799991</v>
      </c>
      <c r="I152" s="120">
        <v>93.918835173519994</v>
      </c>
      <c r="J152" s="120">
        <v>98.873330586707539</v>
      </c>
      <c r="K152" s="121">
        <v>103.02778611125602</v>
      </c>
    </row>
    <row r="153" spans="1:11" x14ac:dyDescent="0.35">
      <c r="A153" s="59" t="s">
        <v>289</v>
      </c>
      <c r="B153" s="120">
        <v>58.033890198371694</v>
      </c>
      <c r="C153" s="120">
        <v>168.45923566131015</v>
      </c>
      <c r="D153" s="120">
        <v>41.978603528596643</v>
      </c>
      <c r="E153" s="120">
        <v>146.69792194667826</v>
      </c>
      <c r="F153" s="120">
        <v>38.851483488850164</v>
      </c>
      <c r="G153" s="120">
        <v>126.74098861796516</v>
      </c>
      <c r="H153" s="120">
        <v>41.908899706802821</v>
      </c>
      <c r="I153" s="120">
        <v>160.74406544341551</v>
      </c>
      <c r="J153" s="120">
        <v>92.289643931890353</v>
      </c>
      <c r="K153" s="121">
        <v>165.11598820554835</v>
      </c>
    </row>
    <row r="154" spans="1:11" x14ac:dyDescent="0.35">
      <c r="A154" s="59" t="s">
        <v>290</v>
      </c>
      <c r="B154" s="120">
        <v>159.26664516412981</v>
      </c>
      <c r="C154" s="120">
        <v>546.03011212291744</v>
      </c>
      <c r="D154" s="120">
        <v>226.76374942979984</v>
      </c>
      <c r="E154" s="120">
        <v>614.46589332945427</v>
      </c>
      <c r="F154" s="120">
        <v>278.29783865288533</v>
      </c>
      <c r="G154" s="120">
        <v>826.19238126455548</v>
      </c>
      <c r="H154" s="120">
        <v>195.99985579477723</v>
      </c>
      <c r="I154" s="120">
        <v>608.63454340067449</v>
      </c>
      <c r="J154" s="120">
        <v>159.29540374407466</v>
      </c>
      <c r="K154" s="121">
        <v>652.04092407163409</v>
      </c>
    </row>
    <row r="155" spans="1:11" x14ac:dyDescent="0.35">
      <c r="A155" s="59" t="s">
        <v>291</v>
      </c>
      <c r="B155" s="120">
        <v>57.049453324035696</v>
      </c>
      <c r="C155" s="120">
        <v>78.846743956118445</v>
      </c>
      <c r="D155" s="120">
        <v>138.71885860905982</v>
      </c>
      <c r="E155" s="120">
        <v>133.08139828460139</v>
      </c>
      <c r="F155" s="120">
        <v>167.96529989228466</v>
      </c>
      <c r="G155" s="120">
        <v>140.33180287840995</v>
      </c>
      <c r="H155" s="120">
        <v>171.30608663878701</v>
      </c>
      <c r="I155" s="120">
        <v>165.81970867809818</v>
      </c>
      <c r="J155" s="120">
        <v>131.16446473827509</v>
      </c>
      <c r="K155" s="121">
        <v>133.37390075371295</v>
      </c>
    </row>
    <row r="156" spans="1:11" x14ac:dyDescent="0.35">
      <c r="A156" s="59" t="s">
        <v>241</v>
      </c>
      <c r="B156" s="120">
        <v>0</v>
      </c>
      <c r="C156" s="120">
        <v>0</v>
      </c>
      <c r="D156" s="120">
        <v>0</v>
      </c>
      <c r="E156" s="120">
        <v>0</v>
      </c>
      <c r="F156" s="120">
        <v>0</v>
      </c>
      <c r="G156" s="120">
        <v>0</v>
      </c>
      <c r="H156" s="120">
        <v>0</v>
      </c>
      <c r="I156" s="120">
        <v>0</v>
      </c>
      <c r="J156" s="120">
        <v>0</v>
      </c>
      <c r="K156" s="121">
        <v>0</v>
      </c>
    </row>
    <row r="157" spans="1:11" x14ac:dyDescent="0.35">
      <c r="A157" s="59" t="s">
        <v>1427</v>
      </c>
      <c r="B157" s="120">
        <v>0.50182024770108113</v>
      </c>
      <c r="C157" s="120">
        <v>9.2673584124176465</v>
      </c>
      <c r="D157" s="120">
        <v>0.48440818828765664</v>
      </c>
      <c r="E157" s="120">
        <v>7.4146432821956187</v>
      </c>
      <c r="F157" s="120">
        <v>0.32612799501131912</v>
      </c>
      <c r="G157" s="120">
        <v>4.8069435838683123</v>
      </c>
      <c r="H157" s="120">
        <v>0.4772287990235578</v>
      </c>
      <c r="I157" s="120">
        <v>7.0358408347728076</v>
      </c>
      <c r="J157" s="120">
        <v>0.53217494203188997</v>
      </c>
      <c r="K157" s="121">
        <v>8.3381168283634555</v>
      </c>
    </row>
    <row r="158" spans="1:11" x14ac:dyDescent="0.35">
      <c r="A158" s="59" t="s">
        <v>242</v>
      </c>
      <c r="B158" s="120">
        <v>128.80053024327748</v>
      </c>
      <c r="C158" s="120">
        <v>125.77129273995376</v>
      </c>
      <c r="D158" s="120">
        <v>124.33143499383188</v>
      </c>
      <c r="E158" s="120">
        <v>113.69119699366614</v>
      </c>
      <c r="F158" s="120">
        <v>83.706185386238573</v>
      </c>
      <c r="G158" s="120">
        <v>71.302996494046639</v>
      </c>
      <c r="H158" s="120">
        <v>122.48872508271317</v>
      </c>
      <c r="I158" s="120">
        <v>100.84705196507689</v>
      </c>
      <c r="J158" s="120">
        <v>136.59156845485177</v>
      </c>
      <c r="K158" s="121">
        <v>122.29238014933067</v>
      </c>
    </row>
    <row r="159" spans="1:11" x14ac:dyDescent="0.35">
      <c r="A159" s="59" t="s">
        <v>1490</v>
      </c>
      <c r="B159" s="120">
        <v>374.70855996696451</v>
      </c>
      <c r="C159" s="120">
        <v>433.22188957920588</v>
      </c>
      <c r="D159" s="120">
        <v>360.91126871694985</v>
      </c>
      <c r="E159" s="120">
        <v>381.18134680010252</v>
      </c>
      <c r="F159" s="120">
        <v>281.79383801707627</v>
      </c>
      <c r="G159" s="120">
        <v>286.75465818342263</v>
      </c>
      <c r="H159" s="120">
        <v>355.99537133416646</v>
      </c>
      <c r="I159" s="120">
        <v>365.81459878922857</v>
      </c>
      <c r="J159" s="120">
        <v>430.88925745958403</v>
      </c>
      <c r="K159" s="121">
        <v>415.2684974347743</v>
      </c>
    </row>
    <row r="160" spans="1:11" x14ac:dyDescent="0.35">
      <c r="A160" s="59" t="s">
        <v>239</v>
      </c>
      <c r="B160" s="120">
        <v>416.79481374035197</v>
      </c>
      <c r="C160" s="120">
        <v>433.04346744271572</v>
      </c>
      <c r="D160" s="120">
        <v>409.2221736921918</v>
      </c>
      <c r="E160" s="120">
        <v>420.45303227969004</v>
      </c>
      <c r="F160" s="120">
        <v>422.88371706165481</v>
      </c>
      <c r="G160" s="120">
        <v>429.59566616567452</v>
      </c>
      <c r="H160" s="120">
        <v>397.10431215958977</v>
      </c>
      <c r="I160" s="120">
        <v>409.46619284866006</v>
      </c>
      <c r="J160" s="120">
        <v>425.90820035077286</v>
      </c>
      <c r="K160" s="121">
        <v>436.98688662709588</v>
      </c>
    </row>
    <row r="161" spans="1:11" x14ac:dyDescent="0.35">
      <c r="A161" s="59" t="s">
        <v>1384</v>
      </c>
      <c r="B161" s="120">
        <v>0</v>
      </c>
      <c r="C161" s="120">
        <v>524.26770447391254</v>
      </c>
      <c r="D161" s="120">
        <v>0</v>
      </c>
      <c r="E161" s="120">
        <v>519.02502975369339</v>
      </c>
      <c r="F161" s="120">
        <v>1.1778957041915705E-2</v>
      </c>
      <c r="G161" s="120">
        <v>350.91744081216717</v>
      </c>
      <c r="H161" s="120">
        <v>0</v>
      </c>
      <c r="I161" s="120">
        <v>533.55126330360463</v>
      </c>
      <c r="J161" s="120">
        <v>0</v>
      </c>
      <c r="K161" s="121">
        <v>614.24127302277452</v>
      </c>
    </row>
    <row r="162" spans="1:11" ht="25.5" x14ac:dyDescent="0.35">
      <c r="A162" s="98" t="s">
        <v>1383</v>
      </c>
      <c r="B162" s="120">
        <v>0</v>
      </c>
      <c r="C162" s="120">
        <v>0</v>
      </c>
      <c r="D162" s="120">
        <v>0</v>
      </c>
      <c r="E162" s="120">
        <v>0</v>
      </c>
      <c r="F162" s="120">
        <v>0</v>
      </c>
      <c r="G162" s="120">
        <v>0</v>
      </c>
      <c r="H162" s="120">
        <v>0</v>
      </c>
      <c r="I162" s="120">
        <v>0</v>
      </c>
      <c r="J162" s="120">
        <v>247.53444838224399</v>
      </c>
      <c r="K162" s="121">
        <v>158.0636926552651</v>
      </c>
    </row>
    <row r="163" spans="1:11" x14ac:dyDescent="0.35">
      <c r="A163" s="59" t="s">
        <v>1368</v>
      </c>
      <c r="B163" s="120">
        <v>0</v>
      </c>
      <c r="C163" s="120">
        <v>55.40472478464001</v>
      </c>
      <c r="D163" s="120">
        <v>0</v>
      </c>
      <c r="E163" s="120">
        <v>61.992825265799993</v>
      </c>
      <c r="F163" s="120">
        <v>0</v>
      </c>
      <c r="G163" s="120">
        <v>94.555470097439994</v>
      </c>
      <c r="H163" s="120">
        <v>0</v>
      </c>
      <c r="I163" s="120">
        <v>70.439126380139996</v>
      </c>
      <c r="J163" s="120">
        <v>25.679196366260349</v>
      </c>
      <c r="K163" s="121">
        <v>94.32366929982723</v>
      </c>
    </row>
    <row r="164" spans="1:11" x14ac:dyDescent="0.35">
      <c r="A164" s="59" t="s">
        <v>237</v>
      </c>
      <c r="B164" s="120">
        <v>0</v>
      </c>
      <c r="C164" s="120">
        <v>0</v>
      </c>
      <c r="D164" s="120">
        <v>0</v>
      </c>
      <c r="E164" s="120">
        <v>0</v>
      </c>
      <c r="F164" s="120">
        <v>0</v>
      </c>
      <c r="G164" s="120">
        <v>0</v>
      </c>
      <c r="H164" s="120">
        <v>0</v>
      </c>
      <c r="I164" s="120">
        <v>0</v>
      </c>
      <c r="J164" s="120">
        <v>6.4832806434435581E-3</v>
      </c>
      <c r="K164" s="121">
        <v>4.2968163787778409E-3</v>
      </c>
    </row>
    <row r="165" spans="1:11" x14ac:dyDescent="0.35">
      <c r="A165" s="59" t="s">
        <v>1866</v>
      </c>
      <c r="B165" s="120">
        <v>0</v>
      </c>
      <c r="C165" s="120">
        <v>0</v>
      </c>
      <c r="D165" s="120">
        <v>0</v>
      </c>
      <c r="E165" s="120">
        <v>0</v>
      </c>
      <c r="F165" s="120">
        <v>0</v>
      </c>
      <c r="G165" s="120">
        <v>0</v>
      </c>
      <c r="H165" s="120">
        <v>0</v>
      </c>
      <c r="I165" s="120">
        <v>0</v>
      </c>
      <c r="J165" s="120">
        <v>2.1011147466443054</v>
      </c>
      <c r="K165" s="121">
        <v>1.3925209710307525</v>
      </c>
    </row>
    <row r="166" spans="1:11" x14ac:dyDescent="0.35">
      <c r="A166" s="59" t="s">
        <v>1488</v>
      </c>
      <c r="B166" s="120">
        <v>0</v>
      </c>
      <c r="C166" s="120">
        <v>0</v>
      </c>
      <c r="D166" s="120">
        <v>0</v>
      </c>
      <c r="E166" s="120">
        <v>0</v>
      </c>
      <c r="F166" s="120">
        <v>0</v>
      </c>
      <c r="G166" s="120">
        <v>0</v>
      </c>
      <c r="H166" s="120">
        <v>0</v>
      </c>
      <c r="I166" s="120">
        <v>0</v>
      </c>
      <c r="J166" s="120">
        <v>7.2543356286549354</v>
      </c>
      <c r="K166" s="121">
        <v>4.8078357024199576</v>
      </c>
    </row>
    <row r="167" spans="1:11" x14ac:dyDescent="0.35">
      <c r="A167" s="59" t="s">
        <v>1865</v>
      </c>
      <c r="B167" s="120">
        <v>0</v>
      </c>
      <c r="C167" s="120">
        <v>0</v>
      </c>
      <c r="D167" s="120">
        <v>0</v>
      </c>
      <c r="E167" s="120">
        <v>0</v>
      </c>
      <c r="F167" s="120">
        <v>0</v>
      </c>
      <c r="G167" s="120">
        <v>0</v>
      </c>
      <c r="H167" s="120">
        <v>0</v>
      </c>
      <c r="I167" s="120">
        <v>0</v>
      </c>
      <c r="J167" s="120">
        <v>8.6950269460843597</v>
      </c>
      <c r="K167" s="121">
        <v>5.7626587912143652</v>
      </c>
    </row>
    <row r="168" spans="1:11" x14ac:dyDescent="0.35">
      <c r="A168" s="59" t="s">
        <v>1864</v>
      </c>
      <c r="B168" s="120">
        <v>0</v>
      </c>
      <c r="C168" s="120">
        <v>0</v>
      </c>
      <c r="D168" s="120">
        <v>0</v>
      </c>
      <c r="E168" s="120">
        <v>0</v>
      </c>
      <c r="F168" s="120">
        <v>0</v>
      </c>
      <c r="G168" s="120">
        <v>0</v>
      </c>
      <c r="H168" s="120">
        <v>0</v>
      </c>
      <c r="I168" s="120">
        <v>0</v>
      </c>
      <c r="J168" s="120">
        <v>0</v>
      </c>
      <c r="K168" s="121">
        <v>0</v>
      </c>
    </row>
    <row r="169" spans="1:11" x14ac:dyDescent="0.35">
      <c r="A169" s="59" t="s">
        <v>1486</v>
      </c>
      <c r="B169" s="120">
        <v>8.5698502883522903E-3</v>
      </c>
      <c r="C169" s="120">
        <v>1.668617051682519E-2</v>
      </c>
      <c r="D169" s="120">
        <v>8.0892413139500314E-3</v>
      </c>
      <c r="E169" s="120">
        <v>1.5113543314092974E-2</v>
      </c>
      <c r="F169" s="120">
        <v>1.1778957041915705E-2</v>
      </c>
      <c r="G169" s="120">
        <v>1.6270480914007363E-2</v>
      </c>
      <c r="H169" s="120">
        <v>0</v>
      </c>
      <c r="I169" s="120">
        <v>0</v>
      </c>
      <c r="J169" s="120">
        <v>5.9890445306337262E-2</v>
      </c>
      <c r="K169" s="121">
        <v>3.9692597078118251E-2</v>
      </c>
    </row>
    <row r="170" spans="1:11" x14ac:dyDescent="0.35">
      <c r="A170" s="59" t="s">
        <v>1485</v>
      </c>
      <c r="B170" s="120">
        <v>0</v>
      </c>
      <c r="C170" s="120">
        <v>0</v>
      </c>
      <c r="D170" s="120">
        <v>0</v>
      </c>
      <c r="E170" s="120">
        <v>0</v>
      </c>
      <c r="F170" s="120">
        <v>0</v>
      </c>
      <c r="G170" s="120">
        <v>0</v>
      </c>
      <c r="H170" s="120">
        <v>0</v>
      </c>
      <c r="I170" s="120">
        <v>0</v>
      </c>
      <c r="J170" s="120">
        <v>3.855769596294599</v>
      </c>
      <c r="K170" s="121">
        <v>2.4665430377895583</v>
      </c>
    </row>
    <row r="171" spans="1:11" x14ac:dyDescent="0.35">
      <c r="A171" s="59" t="s">
        <v>1484</v>
      </c>
      <c r="B171" s="120">
        <v>0</v>
      </c>
      <c r="C171" s="120">
        <v>0</v>
      </c>
      <c r="D171" s="120">
        <v>0</v>
      </c>
      <c r="E171" s="120">
        <v>0</v>
      </c>
      <c r="F171" s="120">
        <v>0</v>
      </c>
      <c r="G171" s="120">
        <v>0</v>
      </c>
      <c r="H171" s="120">
        <v>0</v>
      </c>
      <c r="I171" s="120">
        <v>0</v>
      </c>
      <c r="J171" s="120">
        <v>0.92468685607432599</v>
      </c>
      <c r="K171" s="121">
        <v>0.61283937051819548</v>
      </c>
    </row>
    <row r="172" spans="1:11" x14ac:dyDescent="0.35">
      <c r="A172" s="57" t="s">
        <v>292</v>
      </c>
      <c r="B172" s="119">
        <v>64.126055555216709</v>
      </c>
      <c r="C172" s="119">
        <v>66.759356371793018</v>
      </c>
      <c r="D172" s="119">
        <v>72.035441706895199</v>
      </c>
      <c r="E172" s="119">
        <v>68.990796502657702</v>
      </c>
      <c r="F172" s="119">
        <v>57.365467693531492</v>
      </c>
      <c r="G172" s="119">
        <v>50.539075214045354</v>
      </c>
      <c r="H172" s="119">
        <v>87.77013954371823</v>
      </c>
      <c r="I172" s="119">
        <v>79.160844454483666</v>
      </c>
      <c r="J172" s="119">
        <v>104.95324261333482</v>
      </c>
      <c r="K172" s="466">
        <v>97.532158559806987</v>
      </c>
    </row>
    <row r="173" spans="1:11" ht="13.15" x14ac:dyDescent="0.4">
      <c r="A173" s="131" t="s">
        <v>320</v>
      </c>
      <c r="B173" s="200"/>
      <c r="C173" s="200"/>
      <c r="D173" s="200"/>
      <c r="E173" s="200"/>
      <c r="F173" s="200"/>
      <c r="G173" s="200"/>
      <c r="H173" s="200"/>
      <c r="I173" s="200"/>
      <c r="J173" s="101"/>
      <c r="K173" s="60"/>
    </row>
    <row r="174" spans="1:11" x14ac:dyDescent="0.35">
      <c r="A174" s="59" t="s">
        <v>1537</v>
      </c>
      <c r="B174" s="120">
        <v>72.288635883302845</v>
      </c>
      <c r="C174" s="120">
        <v>139.33570527007089</v>
      </c>
      <c r="D174" s="120">
        <v>75.038399901386114</v>
      </c>
      <c r="E174" s="120">
        <v>138.97641954374507</v>
      </c>
      <c r="F174" s="120">
        <v>76.881188223787646</v>
      </c>
      <c r="G174" s="120">
        <v>119.53997914745187</v>
      </c>
      <c r="H174" s="120">
        <v>67.634767965017005</v>
      </c>
      <c r="I174" s="120">
        <v>135.04427676629723</v>
      </c>
      <c r="J174" s="120">
        <v>147.95732030533097</v>
      </c>
      <c r="K174" s="121">
        <v>197.32247254341382</v>
      </c>
    </row>
    <row r="175" spans="1:11" x14ac:dyDescent="0.35">
      <c r="A175" s="59" t="s">
        <v>1536</v>
      </c>
      <c r="B175" s="120">
        <v>66.195099929537804</v>
      </c>
      <c r="C175" s="120">
        <v>127.27601391747864</v>
      </c>
      <c r="D175" s="120">
        <v>68.46735460570001</v>
      </c>
      <c r="E175" s="120">
        <v>126.81520583947137</v>
      </c>
      <c r="F175" s="120">
        <v>69.858502723571419</v>
      </c>
      <c r="G175" s="120">
        <v>107.56965645720962</v>
      </c>
      <c r="H175" s="120">
        <v>61.580266672590994</v>
      </c>
      <c r="I175" s="120">
        <v>123.08119182165022</v>
      </c>
      <c r="J175" s="120">
        <v>135.31488650216787</v>
      </c>
      <c r="K175" s="121">
        <v>180.84214027082746</v>
      </c>
    </row>
    <row r="176" spans="1:11" x14ac:dyDescent="0.35">
      <c r="A176" s="59" t="s">
        <v>1535</v>
      </c>
      <c r="B176" s="120">
        <v>30.276323216533072</v>
      </c>
      <c r="C176" s="120">
        <v>27.560200601803462</v>
      </c>
      <c r="D176" s="120">
        <v>31.622689274809151</v>
      </c>
      <c r="E176" s="120">
        <v>28.488552590445181</v>
      </c>
      <c r="F176" s="120">
        <v>34.032430540486963</v>
      </c>
      <c r="G176" s="120">
        <v>27.552432111148587</v>
      </c>
      <c r="H176" s="120">
        <v>26.909198273345844</v>
      </c>
      <c r="I176" s="120">
        <v>24.798815323347878</v>
      </c>
      <c r="J176" s="120">
        <v>43.05724099239962</v>
      </c>
      <c r="K176" s="121">
        <v>36.133490933408318</v>
      </c>
    </row>
    <row r="177" spans="1:11" x14ac:dyDescent="0.35">
      <c r="A177" s="59" t="s">
        <v>1534</v>
      </c>
      <c r="B177" s="120">
        <v>27.797883868452402</v>
      </c>
      <c r="C177" s="120">
        <v>79.571236974099165</v>
      </c>
      <c r="D177" s="120">
        <v>28.715390158410322</v>
      </c>
      <c r="E177" s="120">
        <v>78.669234958693167</v>
      </c>
      <c r="F177" s="120">
        <v>28.089218818446543</v>
      </c>
      <c r="G177" s="120">
        <v>63.812845257289659</v>
      </c>
      <c r="H177" s="120">
        <v>26.78877474001634</v>
      </c>
      <c r="I177" s="120">
        <v>78.370741060575824</v>
      </c>
      <c r="J177" s="120">
        <v>76.356477330794661</v>
      </c>
      <c r="K177" s="121">
        <v>118.08459136317697</v>
      </c>
    </row>
    <row r="178" spans="1:11" x14ac:dyDescent="0.35">
      <c r="A178" s="59" t="s">
        <v>1533</v>
      </c>
      <c r="B178" s="120">
        <v>8.1208928445523121</v>
      </c>
      <c r="C178" s="120">
        <v>20.144576341575998</v>
      </c>
      <c r="D178" s="120">
        <v>8.1292751724805452</v>
      </c>
      <c r="E178" s="120">
        <v>19.657418290333005</v>
      </c>
      <c r="F178" s="120">
        <v>7.7368533646379021</v>
      </c>
      <c r="G178" s="120">
        <v>16.204379088771379</v>
      </c>
      <c r="H178" s="120">
        <v>7.8822936592288162</v>
      </c>
      <c r="I178" s="120">
        <v>19.911635437726517</v>
      </c>
      <c r="J178" s="120">
        <v>15.901168178973617</v>
      </c>
      <c r="K178" s="121">
        <v>26.624057974242135</v>
      </c>
    </row>
    <row r="179" spans="1:11" s="48" customFormat="1" x14ac:dyDescent="0.35">
      <c r="A179" s="45" t="s">
        <v>1532</v>
      </c>
      <c r="B179" s="120">
        <v>8745.1440939903296</v>
      </c>
      <c r="C179" s="120">
        <v>13929.298634742325</v>
      </c>
      <c r="D179" s="120">
        <v>9332.4629509116985</v>
      </c>
      <c r="E179" s="120">
        <v>14075.163570559449</v>
      </c>
      <c r="F179" s="120">
        <v>9983.0830443633604</v>
      </c>
      <c r="G179" s="120">
        <v>14797.153030216687</v>
      </c>
      <c r="H179" s="120">
        <v>8500.5894918928007</v>
      </c>
      <c r="I179" s="120">
        <v>13609.305416417374</v>
      </c>
      <c r="J179" s="120">
        <v>13682.155983920671</v>
      </c>
      <c r="K179" s="121">
        <v>16902.725220951608</v>
      </c>
    </row>
    <row r="180" spans="1:11" ht="13.15" x14ac:dyDescent="0.4">
      <c r="A180" s="131" t="s">
        <v>335</v>
      </c>
      <c r="B180" s="455"/>
      <c r="C180" s="455"/>
      <c r="D180" s="455"/>
      <c r="E180" s="455"/>
      <c r="F180" s="455"/>
      <c r="G180" s="455"/>
      <c r="H180" s="455"/>
      <c r="I180" s="455"/>
      <c r="J180" s="455"/>
      <c r="K180" s="654"/>
    </row>
    <row r="181" spans="1:11" x14ac:dyDescent="0.35">
      <c r="A181" s="59" t="s">
        <v>1525</v>
      </c>
      <c r="B181" s="145">
        <v>4879.9649107023706</v>
      </c>
      <c r="C181" s="145">
        <v>3756.7930586422626</v>
      </c>
      <c r="D181" s="145">
        <v>5023.2847197287902</v>
      </c>
      <c r="E181" s="145">
        <v>3819.5843956316576</v>
      </c>
      <c r="F181" s="145">
        <v>5322.7141563780833</v>
      </c>
      <c r="G181" s="145">
        <v>3843.0183489674769</v>
      </c>
      <c r="H181" s="145">
        <v>4431.3128248884004</v>
      </c>
      <c r="I181" s="145">
        <v>3261.9179435891351</v>
      </c>
      <c r="J181" s="145">
        <v>5559.7846528040473</v>
      </c>
      <c r="K181" s="144">
        <v>4052.0617671068908</v>
      </c>
    </row>
    <row r="182" spans="1:11" x14ac:dyDescent="0.35">
      <c r="A182" s="59" t="s">
        <v>1524</v>
      </c>
      <c r="B182" s="145">
        <v>23859.468315441678</v>
      </c>
      <c r="C182" s="145">
        <v>14415.20316019285</v>
      </c>
      <c r="D182" s="145">
        <v>25671.304664748535</v>
      </c>
      <c r="E182" s="145">
        <v>15153.838590534109</v>
      </c>
      <c r="F182" s="145">
        <v>27212.512479867219</v>
      </c>
      <c r="G182" s="145">
        <v>15417.310503296276</v>
      </c>
      <c r="H182" s="145">
        <v>22999.168469308144</v>
      </c>
      <c r="I182" s="145">
        <v>11409.545055689829</v>
      </c>
      <c r="J182" s="145">
        <v>28364.250112995793</v>
      </c>
      <c r="K182" s="144">
        <v>14821.167977059753</v>
      </c>
    </row>
    <row r="183" spans="1:11" x14ac:dyDescent="0.35">
      <c r="A183" s="59" t="s">
        <v>1563</v>
      </c>
      <c r="B183" s="145">
        <v>5507.1804608180828</v>
      </c>
      <c r="C183" s="145">
        <v>9881.3388965492341</v>
      </c>
      <c r="D183" s="145">
        <v>5894.2799256117569</v>
      </c>
      <c r="E183" s="145">
        <v>9976.3756234781813</v>
      </c>
      <c r="F183" s="145">
        <v>6094.044107773927</v>
      </c>
      <c r="G183" s="145">
        <v>8606.276870709833</v>
      </c>
      <c r="H183" s="145">
        <v>5446.9804805935537</v>
      </c>
      <c r="I183" s="145">
        <v>9684.8976493667687</v>
      </c>
      <c r="J183" s="145">
        <v>10933.04774652663</v>
      </c>
      <c r="K183" s="144">
        <v>13969.208812841161</v>
      </c>
    </row>
    <row r="184" spans="1:11" x14ac:dyDescent="0.35">
      <c r="A184" s="59" t="s">
        <v>1522</v>
      </c>
      <c r="B184" s="145">
        <v>2542.0897672494102</v>
      </c>
      <c r="C184" s="145">
        <v>3865.0429543159248</v>
      </c>
      <c r="D184" s="145">
        <v>2664.1209875070581</v>
      </c>
      <c r="E184" s="145">
        <v>3910.2026243956989</v>
      </c>
      <c r="F184" s="145">
        <v>2823.9444272134365</v>
      </c>
      <c r="G184" s="145">
        <v>3563.3950046185623</v>
      </c>
      <c r="H184" s="145">
        <v>2342.1092052483641</v>
      </c>
      <c r="I184" s="145">
        <v>3673.2109126371652</v>
      </c>
      <c r="J184" s="145">
        <v>3566.9827162070651</v>
      </c>
      <c r="K184" s="144">
        <v>4710.0062767873114</v>
      </c>
    </row>
    <row r="185" spans="1:11" x14ac:dyDescent="0.35">
      <c r="A185" s="59" t="s">
        <v>1521</v>
      </c>
      <c r="B185" s="145">
        <v>1182.8039378168683</v>
      </c>
      <c r="C185" s="145">
        <v>1371.6801289895811</v>
      </c>
      <c r="D185" s="145">
        <v>1245.4013484492186</v>
      </c>
      <c r="E185" s="145">
        <v>1400.9369079026339</v>
      </c>
      <c r="F185" s="145">
        <v>1331.0729222716038</v>
      </c>
      <c r="G185" s="145">
        <v>1368.6914273169</v>
      </c>
      <c r="H185" s="145">
        <v>1094.0307577109954</v>
      </c>
      <c r="I185" s="145">
        <v>1274.3376223727387</v>
      </c>
      <c r="J185" s="145">
        <v>1618.691581403586</v>
      </c>
      <c r="K185" s="144">
        <v>1662.3561955014325</v>
      </c>
    </row>
    <row r="186" spans="1:11" x14ac:dyDescent="0.35">
      <c r="A186" s="59" t="s">
        <v>1520</v>
      </c>
      <c r="B186" s="145">
        <v>22232.999244673087</v>
      </c>
      <c r="C186" s="145">
        <v>28440.251369498088</v>
      </c>
      <c r="D186" s="145">
        <v>28258.514209299869</v>
      </c>
      <c r="E186" s="145">
        <v>31856.601723492804</v>
      </c>
      <c r="F186" s="145">
        <v>30691.071940351005</v>
      </c>
      <c r="G186" s="145">
        <v>30319.96893574607</v>
      </c>
      <c r="H186" s="145">
        <v>28605.961470175869</v>
      </c>
      <c r="I186" s="145">
        <v>32272.240992879255</v>
      </c>
      <c r="J186" s="145">
        <v>36803.682514204498</v>
      </c>
      <c r="K186" s="144">
        <v>38090.673589423728</v>
      </c>
    </row>
    <row r="187" spans="1:11" x14ac:dyDescent="0.35">
      <c r="A187" s="59" t="s">
        <v>1519</v>
      </c>
      <c r="B187" s="145">
        <v>34.61206953492627</v>
      </c>
      <c r="C187" s="145">
        <v>73.886950076636339</v>
      </c>
      <c r="D187" s="145">
        <v>38.675746948807848</v>
      </c>
      <c r="E187" s="145">
        <v>75.309931389121218</v>
      </c>
      <c r="F187" s="145">
        <v>40.136284079188201</v>
      </c>
      <c r="G187" s="145">
        <v>64.533920387741887</v>
      </c>
      <c r="H187" s="145">
        <v>37.226429030927648</v>
      </c>
      <c r="I187" s="145">
        <v>75.167378981521708</v>
      </c>
      <c r="J187" s="145">
        <v>77.766613918545858</v>
      </c>
      <c r="K187" s="144">
        <v>107.01524002620981</v>
      </c>
    </row>
    <row r="188" spans="1:11" x14ac:dyDescent="0.35">
      <c r="A188" s="59" t="s">
        <v>1518</v>
      </c>
      <c r="B188" s="145">
        <v>62.051513843770813</v>
      </c>
      <c r="C188" s="145">
        <v>136.03786196644049</v>
      </c>
      <c r="D188" s="145">
        <v>65.845360586731189</v>
      </c>
      <c r="E188" s="145">
        <v>136.54450871178597</v>
      </c>
      <c r="F188" s="145">
        <v>67.892125051051934</v>
      </c>
      <c r="G188" s="145">
        <v>115.37514771749643</v>
      </c>
      <c r="H188" s="145">
        <v>60.631330833727844</v>
      </c>
      <c r="I188" s="145">
        <v>134.00958565637657</v>
      </c>
      <c r="J188" s="145">
        <v>145.26180033482078</v>
      </c>
      <c r="K188" s="144">
        <v>200.42620222314449</v>
      </c>
    </row>
    <row r="189" spans="1:11" x14ac:dyDescent="0.35">
      <c r="A189" s="59" t="s">
        <v>1531</v>
      </c>
      <c r="B189" s="145">
        <v>12069.34351718835</v>
      </c>
      <c r="C189" s="145">
        <v>23586.773123564417</v>
      </c>
      <c r="D189" s="145">
        <v>12412.058950632776</v>
      </c>
      <c r="E189" s="145">
        <v>23304.113544514334</v>
      </c>
      <c r="F189" s="145">
        <v>12300.567792276164</v>
      </c>
      <c r="G189" s="145">
        <v>19456.03136730062</v>
      </c>
      <c r="H189" s="145">
        <v>11320.502572208976</v>
      </c>
      <c r="I189" s="145">
        <v>22677.18513250157</v>
      </c>
      <c r="J189" s="145">
        <v>24555.318119229942</v>
      </c>
      <c r="K189" s="144">
        <v>33079.470179875214</v>
      </c>
    </row>
    <row r="190" spans="1:11" x14ac:dyDescent="0.35">
      <c r="A190" s="59" t="s">
        <v>1530</v>
      </c>
      <c r="B190" s="145">
        <v>102.03990989018546</v>
      </c>
      <c r="C190" s="145">
        <v>221.08023821273122</v>
      </c>
      <c r="D190" s="145">
        <v>104.66854953339335</v>
      </c>
      <c r="E190" s="145">
        <v>216.539899017332</v>
      </c>
      <c r="F190" s="145">
        <v>99.99210394937775</v>
      </c>
      <c r="G190" s="145">
        <v>177.72935849575924</v>
      </c>
      <c r="H190" s="145">
        <v>98.746254563209718</v>
      </c>
      <c r="I190" s="145">
        <v>213.424719953677</v>
      </c>
      <c r="J190" s="145">
        <v>224.51786897301872</v>
      </c>
      <c r="K190" s="144">
        <v>312.00571059459656</v>
      </c>
    </row>
    <row r="191" spans="1:11" x14ac:dyDescent="0.35">
      <c r="A191" s="59" t="s">
        <v>1529</v>
      </c>
      <c r="B191" s="48">
        <v>4804649.3706064411</v>
      </c>
      <c r="C191" s="48">
        <v>8336075.8673139615</v>
      </c>
      <c r="D191" s="48">
        <v>5110212.9238914745</v>
      </c>
      <c r="E191" s="48">
        <v>8397077.8443395887</v>
      </c>
      <c r="F191" s="48">
        <v>5330549.6414363515</v>
      </c>
      <c r="G191" s="48">
        <v>7330768.7403823454</v>
      </c>
      <c r="H191" s="48">
        <v>4666778.9621923584</v>
      </c>
      <c r="I191" s="48">
        <v>8031101.0305413036</v>
      </c>
      <c r="J191" s="48">
        <v>9746603.5401579421</v>
      </c>
      <c r="K191" s="47">
        <v>11915243.082223469</v>
      </c>
    </row>
    <row r="192" spans="1:11" x14ac:dyDescent="0.35">
      <c r="A192" s="59" t="s">
        <v>1528</v>
      </c>
      <c r="B192" s="48">
        <v>4857352.0447881101</v>
      </c>
      <c r="C192" s="48">
        <v>8370437.0011222688</v>
      </c>
      <c r="D192" s="48">
        <v>5166209.4495506641</v>
      </c>
      <c r="E192" s="48">
        <v>8432795.3906339575</v>
      </c>
      <c r="F192" s="48">
        <v>5389901.2868349506</v>
      </c>
      <c r="G192" s="48">
        <v>7366973.3497894248</v>
      </c>
      <c r="H192" s="48">
        <v>4716731.4376150304</v>
      </c>
      <c r="I192" s="48">
        <v>8059196.6265530018</v>
      </c>
      <c r="J192" s="48">
        <v>9808503.9286938868</v>
      </c>
      <c r="K192" s="47">
        <v>11951162.414885378</v>
      </c>
    </row>
    <row r="193" spans="1:17" x14ac:dyDescent="0.35">
      <c r="A193" s="57" t="s">
        <v>1527</v>
      </c>
      <c r="B193" s="48">
        <v>5277673.4679608317</v>
      </c>
      <c r="C193" s="48">
        <v>9308272.7677445859</v>
      </c>
      <c r="D193" s="48">
        <v>5597860.3392614238</v>
      </c>
      <c r="E193" s="48">
        <v>9342196.1957263947</v>
      </c>
      <c r="F193" s="48">
        <v>5818233.8841574686</v>
      </c>
      <c r="G193" s="48">
        <v>8135134.1706965454</v>
      </c>
      <c r="H193" s="48">
        <v>5111824.0190928532</v>
      </c>
      <c r="I193" s="48">
        <v>8948589.8220875822</v>
      </c>
      <c r="J193" s="48">
        <v>10645135.146549765</v>
      </c>
      <c r="K193" s="47">
        <v>13195474.991951322</v>
      </c>
    </row>
    <row r="194" spans="1:17" ht="13.15" x14ac:dyDescent="0.4">
      <c r="A194" s="131" t="s">
        <v>1526</v>
      </c>
      <c r="B194" s="157"/>
      <c r="C194" s="157"/>
      <c r="D194" s="157"/>
      <c r="E194" s="157"/>
      <c r="F194" s="157"/>
      <c r="G194" s="157"/>
      <c r="H194" s="157"/>
      <c r="I194" s="157"/>
      <c r="J194" s="157"/>
      <c r="K194" s="156"/>
    </row>
    <row r="195" spans="1:17" x14ac:dyDescent="0.35">
      <c r="A195" s="59" t="s">
        <v>1525</v>
      </c>
      <c r="B195" s="145">
        <v>33.645449014975163</v>
      </c>
      <c r="C195" s="145">
        <v>81.02143637389328</v>
      </c>
      <c r="D195" s="145">
        <v>34.922653184724936</v>
      </c>
      <c r="E195" s="145">
        <v>80.387846333528913</v>
      </c>
      <c r="F195" s="145">
        <v>35.011873627188066</v>
      </c>
      <c r="G195" s="145">
        <v>67.186776583094741</v>
      </c>
      <c r="H195" s="145">
        <v>32.614625593230464</v>
      </c>
      <c r="I195" s="145">
        <v>79.902666242339762</v>
      </c>
      <c r="J195" s="145">
        <v>79.107200799150874</v>
      </c>
      <c r="K195" s="144">
        <v>116.7097482679318</v>
      </c>
    </row>
    <row r="196" spans="1:17" x14ac:dyDescent="0.35">
      <c r="A196" s="59" t="s">
        <v>1524</v>
      </c>
      <c r="B196" s="145">
        <v>154.03997306117282</v>
      </c>
      <c r="C196" s="145">
        <v>339.90161031707567</v>
      </c>
      <c r="D196" s="145">
        <v>163.1111757510551</v>
      </c>
      <c r="E196" s="145">
        <v>339.50572776682759</v>
      </c>
      <c r="F196" s="145">
        <v>166.03703909028496</v>
      </c>
      <c r="G196" s="145">
        <v>285.04050642145268</v>
      </c>
      <c r="H196" s="145">
        <v>150.83427882590323</v>
      </c>
      <c r="I196" s="145">
        <v>331.85613527963483</v>
      </c>
      <c r="J196" s="145">
        <v>373.26642474557127</v>
      </c>
      <c r="K196" s="144">
        <v>504.23616563490606</v>
      </c>
    </row>
    <row r="197" spans="1:17" x14ac:dyDescent="0.35">
      <c r="A197" s="59" t="s">
        <v>1523</v>
      </c>
      <c r="B197" s="145">
        <v>338.67942540509461</v>
      </c>
      <c r="C197" s="145">
        <v>648.32957010342272</v>
      </c>
      <c r="D197" s="145">
        <v>362.06790027615085</v>
      </c>
      <c r="E197" s="145">
        <v>651.72725608423139</v>
      </c>
      <c r="F197" s="145">
        <v>374.87000609982937</v>
      </c>
      <c r="G197" s="145">
        <v>562.71928812001022</v>
      </c>
      <c r="H197" s="145">
        <v>332.80178339052537</v>
      </c>
      <c r="I197" s="145">
        <v>629.20482714001514</v>
      </c>
      <c r="J197" s="145">
        <v>762.36121940150224</v>
      </c>
      <c r="K197" s="144">
        <v>954.68062486548536</v>
      </c>
    </row>
    <row r="198" spans="1:17" x14ac:dyDescent="0.35">
      <c r="A198" s="59" t="s">
        <v>1522</v>
      </c>
      <c r="B198" s="145">
        <v>33.815774141106985</v>
      </c>
      <c r="C198" s="145">
        <v>56.294920297359234</v>
      </c>
      <c r="D198" s="145">
        <v>36.646534740890679</v>
      </c>
      <c r="E198" s="145">
        <v>57.111936369643558</v>
      </c>
      <c r="F198" s="145">
        <v>38.602529132930954</v>
      </c>
      <c r="G198" s="145">
        <v>51.083093633207426</v>
      </c>
      <c r="H198" s="145">
        <v>33.700143144221784</v>
      </c>
      <c r="I198" s="145">
        <v>54.440634894453389</v>
      </c>
      <c r="J198" s="145">
        <v>71.954898768414836</v>
      </c>
      <c r="K198" s="144">
        <v>82.543967204150263</v>
      </c>
    </row>
    <row r="199" spans="1:17" x14ac:dyDescent="0.35">
      <c r="A199" s="59" t="s">
        <v>1521</v>
      </c>
      <c r="B199" s="145">
        <v>25.138712768702803</v>
      </c>
      <c r="C199" s="145">
        <v>41.907923367662193</v>
      </c>
      <c r="D199" s="145">
        <v>27.198329368582765</v>
      </c>
      <c r="E199" s="145">
        <v>42.486446671167428</v>
      </c>
      <c r="F199" s="145">
        <v>28.628931847083017</v>
      </c>
      <c r="G199" s="145">
        <v>37.934398150903625</v>
      </c>
      <c r="H199" s="145">
        <v>24.997831956193036</v>
      </c>
      <c r="I199" s="145">
        <v>40.498898951282129</v>
      </c>
      <c r="J199" s="145">
        <v>53.448307622183805</v>
      </c>
      <c r="K199" s="144">
        <v>61.429965914730793</v>
      </c>
    </row>
    <row r="200" spans="1:17" x14ac:dyDescent="0.35">
      <c r="A200" s="59" t="s">
        <v>1520</v>
      </c>
      <c r="B200" s="145">
        <v>1059.776966577527</v>
      </c>
      <c r="C200" s="145">
        <v>1723.3350766249484</v>
      </c>
      <c r="D200" s="145">
        <v>1152.3051292799119</v>
      </c>
      <c r="E200" s="145">
        <v>1751.109589916545</v>
      </c>
      <c r="F200" s="145">
        <v>1216.1821995734185</v>
      </c>
      <c r="G200" s="145">
        <v>1577.1727902948967</v>
      </c>
      <c r="H200" s="145">
        <v>1057.3901125422399</v>
      </c>
      <c r="I200" s="145">
        <v>1659.9345881682057</v>
      </c>
      <c r="J200" s="145">
        <v>2267.3151141774247</v>
      </c>
      <c r="K200" s="144">
        <v>2540.9186609251797</v>
      </c>
    </row>
    <row r="201" spans="1:17" x14ac:dyDescent="0.35">
      <c r="A201" s="59" t="s">
        <v>1519</v>
      </c>
      <c r="B201" s="145">
        <v>1.6236945443150774</v>
      </c>
      <c r="C201" s="145">
        <v>2.8597665960595706</v>
      </c>
      <c r="D201" s="145">
        <v>1.7463611924826081</v>
      </c>
      <c r="E201" s="145">
        <v>2.8888071416874284</v>
      </c>
      <c r="F201" s="145">
        <v>1.8286460745543547</v>
      </c>
      <c r="G201" s="145">
        <v>2.5468477199320834</v>
      </c>
      <c r="H201" s="145">
        <v>1.6102668475143391</v>
      </c>
      <c r="I201" s="145">
        <v>2.7777920826098175</v>
      </c>
      <c r="J201" s="145">
        <v>3.5014158772606794</v>
      </c>
      <c r="K201" s="144">
        <v>4.186571465638357</v>
      </c>
    </row>
    <row r="202" spans="1:17" x14ac:dyDescent="0.35">
      <c r="A202" s="57" t="s">
        <v>1518</v>
      </c>
      <c r="B202" s="142">
        <v>4.1397870858032029</v>
      </c>
      <c r="C202" s="142">
        <v>6.6259119037926899</v>
      </c>
      <c r="D202" s="142">
        <v>4.4571837903624951</v>
      </c>
      <c r="E202" s="142">
        <v>6.7173143073267578</v>
      </c>
      <c r="F202" s="142">
        <v>4.6855771887645004</v>
      </c>
      <c r="G202" s="142">
        <v>5.9553779512701164</v>
      </c>
      <c r="H202" s="142">
        <v>4.071938527084229</v>
      </c>
      <c r="I202" s="142">
        <v>6.3706899692140659</v>
      </c>
      <c r="J202" s="142">
        <v>8.604876828741169</v>
      </c>
      <c r="K202" s="141">
        <v>9.7197223980817391</v>
      </c>
    </row>
    <row r="204" spans="1:17" ht="13.9" x14ac:dyDescent="0.4">
      <c r="A204" s="72" t="s">
        <v>2240</v>
      </c>
    </row>
    <row r="205" spans="1:17" ht="13.15" x14ac:dyDescent="0.4">
      <c r="A205" s="41" t="s">
        <v>2239</v>
      </c>
    </row>
    <row r="206" spans="1:17" ht="13.15" x14ac:dyDescent="0.4">
      <c r="A206" s="131"/>
      <c r="B206" s="2193" t="s">
        <v>2229</v>
      </c>
      <c r="C206" s="2194"/>
      <c r="D206" s="2194"/>
      <c r="E206" s="2194"/>
      <c r="F206" s="2194"/>
      <c r="G206" s="2194"/>
      <c r="H206" s="2194"/>
      <c r="I206" s="2195"/>
      <c r="J206" s="2194" t="s">
        <v>2228</v>
      </c>
      <c r="K206" s="2194"/>
      <c r="L206" s="2194"/>
      <c r="M206" s="2194"/>
      <c r="N206" s="2194"/>
      <c r="O206" s="2194"/>
      <c r="P206" s="2194"/>
      <c r="Q206" s="2195"/>
    </row>
    <row r="207" spans="1:17" ht="52.5" x14ac:dyDescent="0.4">
      <c r="A207" s="59"/>
      <c r="B207" s="653" t="s">
        <v>405</v>
      </c>
      <c r="C207" s="652" t="s">
        <v>1830</v>
      </c>
      <c r="D207" s="652" t="s">
        <v>1829</v>
      </c>
      <c r="E207" s="652" t="s">
        <v>1503</v>
      </c>
      <c r="F207" s="652" t="s">
        <v>1501</v>
      </c>
      <c r="G207" s="652" t="s">
        <v>1500</v>
      </c>
      <c r="H207" s="180" t="s">
        <v>1499</v>
      </c>
      <c r="I207" s="651" t="s">
        <v>2227</v>
      </c>
      <c r="J207" s="653" t="s">
        <v>405</v>
      </c>
      <c r="K207" s="652" t="s">
        <v>1830</v>
      </c>
      <c r="L207" s="652" t="s">
        <v>1829</v>
      </c>
      <c r="M207" s="652" t="s">
        <v>1503</v>
      </c>
      <c r="N207" s="652" t="s">
        <v>1501</v>
      </c>
      <c r="O207" s="652" t="s">
        <v>1500</v>
      </c>
      <c r="P207" s="180" t="s">
        <v>1499</v>
      </c>
      <c r="Q207" s="651" t="s">
        <v>2227</v>
      </c>
    </row>
    <row r="208" spans="1:17" ht="13.15" x14ac:dyDescent="0.4">
      <c r="A208" s="128" t="s">
        <v>2226</v>
      </c>
      <c r="B208" s="650"/>
      <c r="C208" s="198"/>
      <c r="D208" s="198"/>
      <c r="E208" s="198"/>
      <c r="I208" s="99"/>
      <c r="J208" s="198"/>
      <c r="K208" s="198"/>
      <c r="L208" s="198"/>
      <c r="M208" s="198"/>
      <c r="Q208" s="99"/>
    </row>
    <row r="209" spans="1:17" x14ac:dyDescent="0.35">
      <c r="A209" s="59" t="s">
        <v>1537</v>
      </c>
      <c r="B209" s="232">
        <v>28.631338171821948</v>
      </c>
      <c r="C209" s="145">
        <v>15.264859742190248</v>
      </c>
      <c r="D209" s="145">
        <v>4.355039910173276</v>
      </c>
      <c r="E209" s="145">
        <v>24.037398059117365</v>
      </c>
      <c r="F209" s="145"/>
      <c r="G209" s="145"/>
      <c r="H209" s="145"/>
      <c r="I209" s="144"/>
      <c r="J209" s="197">
        <v>0.39606969784354701</v>
      </c>
      <c r="K209" s="197">
        <v>0.21116541425449847</v>
      </c>
      <c r="L209" s="197">
        <v>6.0245152740241413E-2</v>
      </c>
      <c r="M209" s="197">
        <v>0.33251973516171301</v>
      </c>
      <c r="N209" s="197"/>
      <c r="O209" s="197"/>
      <c r="P209" s="197"/>
      <c r="Q209" s="196"/>
    </row>
    <row r="210" spans="1:17" x14ac:dyDescent="0.35">
      <c r="A210" s="59" t="s">
        <v>1536</v>
      </c>
      <c r="B210" s="232">
        <v>26.552115509696844</v>
      </c>
      <c r="C210" s="145">
        <v>13.842698642991836</v>
      </c>
      <c r="D210" s="145">
        <v>3.3538874382771473</v>
      </c>
      <c r="E210" s="145">
        <v>22.446398338571953</v>
      </c>
      <c r="F210" s="145"/>
      <c r="G210" s="145"/>
      <c r="H210" s="145"/>
      <c r="I210" s="144"/>
      <c r="J210" s="197">
        <v>0.40111904866010584</v>
      </c>
      <c r="K210" s="197">
        <v>0.20911968797882122</v>
      </c>
      <c r="L210" s="197">
        <v>5.066670254818309E-2</v>
      </c>
      <c r="M210" s="197">
        <v>0.33909456081288947</v>
      </c>
      <c r="N210" s="197"/>
      <c r="O210" s="197"/>
      <c r="P210" s="197"/>
      <c r="Q210" s="196"/>
    </row>
    <row r="211" spans="1:17" x14ac:dyDescent="0.35">
      <c r="A211" s="59" t="s">
        <v>1535</v>
      </c>
      <c r="B211" s="232">
        <v>11.545938724237249</v>
      </c>
      <c r="C211" s="145">
        <v>6.5965182865830414</v>
      </c>
      <c r="D211" s="145">
        <v>1.5643451997179949</v>
      </c>
      <c r="E211" s="145">
        <v>10.56952100599478</v>
      </c>
      <c r="F211" s="145"/>
      <c r="G211" s="145"/>
      <c r="H211" s="145"/>
      <c r="I211" s="144"/>
      <c r="J211" s="197">
        <v>0.38135207639520535</v>
      </c>
      <c r="K211" s="197">
        <v>0.21787712594443645</v>
      </c>
      <c r="L211" s="197">
        <v>5.1668929167189917E-2</v>
      </c>
      <c r="M211" s="197">
        <v>0.34910186849316804</v>
      </c>
      <c r="N211" s="197"/>
      <c r="O211" s="197"/>
      <c r="P211" s="197"/>
      <c r="Q211" s="196"/>
    </row>
    <row r="212" spans="1:17" x14ac:dyDescent="0.35">
      <c r="A212" s="59" t="s">
        <v>1534</v>
      </c>
      <c r="B212" s="232">
        <v>12.164826201116075</v>
      </c>
      <c r="C212" s="145">
        <v>5.8001812420436067</v>
      </c>
      <c r="D212" s="145">
        <v>1.3150873744761014</v>
      </c>
      <c r="E212" s="145">
        <v>8.5177890508166207</v>
      </c>
      <c r="F212" s="145"/>
      <c r="G212" s="145"/>
      <c r="H212" s="145"/>
      <c r="I212" s="144"/>
      <c r="J212" s="197">
        <v>0.43761698763415008</v>
      </c>
      <c r="K212" s="197">
        <v>0.2086554958460772</v>
      </c>
      <c r="L212" s="197">
        <v>4.7308902386220257E-2</v>
      </c>
      <c r="M212" s="197">
        <v>0.30641861413355254</v>
      </c>
      <c r="N212" s="197"/>
      <c r="O212" s="197"/>
      <c r="P212" s="197"/>
      <c r="Q212" s="196"/>
    </row>
    <row r="213" spans="1:17" x14ac:dyDescent="0.35">
      <c r="A213" s="59" t="s">
        <v>1533</v>
      </c>
      <c r="B213" s="232">
        <v>2.8413505843435227</v>
      </c>
      <c r="C213" s="145">
        <v>1.4459991143651878</v>
      </c>
      <c r="D213" s="145">
        <v>0.47445486408305071</v>
      </c>
      <c r="E213" s="145">
        <v>3.3590882817605499</v>
      </c>
      <c r="F213" s="145"/>
      <c r="G213" s="145"/>
      <c r="H213" s="145"/>
      <c r="I213" s="144"/>
      <c r="J213" s="197">
        <v>0.34988155104762503</v>
      </c>
      <c r="K213" s="197">
        <v>0.17805912995579032</v>
      </c>
      <c r="L213" s="197">
        <v>5.8423977900573618E-2</v>
      </c>
      <c r="M213" s="197">
        <v>0.41363534109601091</v>
      </c>
      <c r="N213" s="197"/>
      <c r="O213" s="197"/>
      <c r="P213" s="197"/>
      <c r="Q213" s="196"/>
    </row>
    <row r="214" spans="1:17" x14ac:dyDescent="0.35">
      <c r="A214" s="59" t="s">
        <v>1532</v>
      </c>
      <c r="B214" s="49">
        <v>3035.2084745408874</v>
      </c>
      <c r="C214" s="48">
        <v>1941.0685875779338</v>
      </c>
      <c r="D214" s="48">
        <v>1428.797123965702</v>
      </c>
      <c r="E214" s="48">
        <v>2340.0699079058072</v>
      </c>
      <c r="F214" s="48"/>
      <c r="G214" s="48"/>
      <c r="H214" s="48"/>
      <c r="I214" s="47"/>
      <c r="J214" s="197">
        <v>0.3470735807116872</v>
      </c>
      <c r="K214" s="197">
        <v>0.22195958885478376</v>
      </c>
      <c r="L214" s="197">
        <v>0.16338177034127688</v>
      </c>
      <c r="M214" s="197">
        <v>0.26758506009225225</v>
      </c>
      <c r="N214" s="197"/>
      <c r="O214" s="197"/>
      <c r="P214" s="197"/>
      <c r="Q214" s="196"/>
    </row>
    <row r="215" spans="1:17" ht="13.15" x14ac:dyDescent="0.4">
      <c r="A215" s="128" t="s">
        <v>2225</v>
      </c>
      <c r="B215" s="232"/>
      <c r="C215" s="145"/>
      <c r="D215" s="145"/>
      <c r="E215" s="145"/>
      <c r="F215" s="145"/>
      <c r="G215" s="145"/>
      <c r="H215" s="145"/>
      <c r="I215" s="144"/>
      <c r="J215" s="197"/>
      <c r="K215" s="197"/>
      <c r="L215" s="197"/>
      <c r="M215" s="197"/>
      <c r="N215" s="197"/>
      <c r="O215" s="197"/>
      <c r="P215" s="197"/>
      <c r="Q215" s="196"/>
    </row>
    <row r="216" spans="1:17" x14ac:dyDescent="0.35">
      <c r="A216" s="59" t="s">
        <v>1525</v>
      </c>
      <c r="B216" s="232">
        <v>1605.6413480801434</v>
      </c>
      <c r="C216" s="145">
        <v>785.87008145862319</v>
      </c>
      <c r="D216" s="145">
        <v>158.19575855781039</v>
      </c>
      <c r="E216" s="145">
        <v>2330.2577226057929</v>
      </c>
      <c r="F216" s="145"/>
      <c r="G216" s="145"/>
      <c r="H216" s="145"/>
      <c r="I216" s="144"/>
      <c r="J216" s="197">
        <v>0.32902723225709513</v>
      </c>
      <c r="K216" s="197">
        <v>0.16104010906617633</v>
      </c>
      <c r="L216" s="197">
        <v>3.2417396733912453E-2</v>
      </c>
      <c r="M216" s="197">
        <v>0.47751526194281596</v>
      </c>
      <c r="N216" s="197"/>
      <c r="O216" s="197"/>
      <c r="P216" s="197"/>
      <c r="Q216" s="196"/>
    </row>
    <row r="217" spans="1:17" x14ac:dyDescent="0.35">
      <c r="A217" s="59" t="s">
        <v>1524</v>
      </c>
      <c r="B217" s="232">
        <v>10811.222053402775</v>
      </c>
      <c r="C217" s="145">
        <v>3336.6973335318667</v>
      </c>
      <c r="D217" s="145">
        <v>518.90171619920113</v>
      </c>
      <c r="E217" s="145">
        <v>9192.6472123078365</v>
      </c>
      <c r="F217" s="145"/>
      <c r="G217" s="145"/>
      <c r="H217" s="145"/>
      <c r="I217" s="144"/>
      <c r="J217" s="197">
        <v>0.45312082861485342</v>
      </c>
      <c r="K217" s="197">
        <v>0.13984793329918335</v>
      </c>
      <c r="L217" s="197">
        <v>2.1748251442106598E-2</v>
      </c>
      <c r="M217" s="197">
        <v>0.38528298664385663</v>
      </c>
      <c r="N217" s="197"/>
      <c r="O217" s="197"/>
      <c r="P217" s="197"/>
      <c r="Q217" s="196"/>
    </row>
    <row r="218" spans="1:17" x14ac:dyDescent="0.35">
      <c r="A218" s="59" t="s">
        <v>1523</v>
      </c>
      <c r="B218" s="232">
        <v>2185.2636490708114</v>
      </c>
      <c r="C218" s="145">
        <v>1025.8758805624336</v>
      </c>
      <c r="D218" s="145">
        <v>241.25669098285022</v>
      </c>
      <c r="E218" s="145">
        <v>2054.7842402019869</v>
      </c>
      <c r="F218" s="145"/>
      <c r="G218" s="145"/>
      <c r="H218" s="145"/>
      <c r="I218" s="144"/>
      <c r="J218" s="197">
        <v>0.39680262243416553</v>
      </c>
      <c r="K218" s="197">
        <v>0.1862796920967506</v>
      </c>
      <c r="L218" s="197">
        <v>4.3807660326244682E-2</v>
      </c>
      <c r="M218" s="197">
        <v>0.37311002514283909</v>
      </c>
      <c r="N218" s="197"/>
      <c r="O218" s="197"/>
      <c r="P218" s="197"/>
      <c r="Q218" s="196"/>
    </row>
    <row r="219" spans="1:17" x14ac:dyDescent="0.35">
      <c r="A219" s="59" t="s">
        <v>1522</v>
      </c>
      <c r="B219" s="232">
        <v>981.46212273791377</v>
      </c>
      <c r="C219" s="145">
        <v>510.66579219624793</v>
      </c>
      <c r="D219" s="145">
        <v>159.48867230012868</v>
      </c>
      <c r="E219" s="145">
        <v>890.47318001511883</v>
      </c>
      <c r="F219" s="145"/>
      <c r="G219" s="145"/>
      <c r="H219" s="145"/>
      <c r="I219" s="144"/>
      <c r="J219" s="197">
        <v>0.38608476198693586</v>
      </c>
      <c r="K219" s="197">
        <v>0.20088424837522481</v>
      </c>
      <c r="L219" s="197">
        <v>6.2739197629790425E-2</v>
      </c>
      <c r="M219" s="197">
        <v>0.3502917920080485</v>
      </c>
      <c r="N219" s="197"/>
      <c r="O219" s="197"/>
      <c r="P219" s="197"/>
      <c r="Q219" s="196"/>
    </row>
    <row r="220" spans="1:17" x14ac:dyDescent="0.35">
      <c r="A220" s="59" t="s">
        <v>1521</v>
      </c>
      <c r="B220" s="232">
        <v>440.0218508907484</v>
      </c>
      <c r="C220" s="145">
        <v>235.83145192237248</v>
      </c>
      <c r="D220" s="145">
        <v>76.701482134630979</v>
      </c>
      <c r="E220" s="145">
        <v>430.2491528691159</v>
      </c>
      <c r="F220" s="145"/>
      <c r="G220" s="145"/>
      <c r="H220" s="145"/>
      <c r="I220" s="144"/>
      <c r="J220" s="197">
        <v>0.37201588261779722</v>
      </c>
      <c r="K220" s="197">
        <v>0.19938338416225826</v>
      </c>
      <c r="L220" s="197">
        <v>6.4847165013840663E-2</v>
      </c>
      <c r="M220" s="197">
        <v>0.36375356820610344</v>
      </c>
      <c r="N220" s="197"/>
      <c r="O220" s="197"/>
      <c r="P220" s="197"/>
      <c r="Q220" s="196"/>
    </row>
    <row r="221" spans="1:17" x14ac:dyDescent="0.35">
      <c r="A221" s="59" t="s">
        <v>1520</v>
      </c>
      <c r="B221" s="232">
        <v>9167.2542190411368</v>
      </c>
      <c r="C221" s="145">
        <v>4729.8882761726154</v>
      </c>
      <c r="D221" s="145">
        <v>971.88421972691629</v>
      </c>
      <c r="E221" s="145">
        <v>7363.9725297324176</v>
      </c>
      <c r="F221" s="145"/>
      <c r="G221" s="145"/>
      <c r="H221" s="145"/>
      <c r="I221" s="144"/>
      <c r="J221" s="197">
        <v>0.41232647553107638</v>
      </c>
      <c r="K221" s="197">
        <v>0.21274179988585537</v>
      </c>
      <c r="L221" s="197">
        <v>4.3713590282236654E-2</v>
      </c>
      <c r="M221" s="197">
        <v>0.33121813430083158</v>
      </c>
      <c r="N221" s="197"/>
      <c r="O221" s="197"/>
      <c r="P221" s="197"/>
      <c r="Q221" s="196"/>
    </row>
    <row r="222" spans="1:17" x14ac:dyDescent="0.35">
      <c r="A222" s="59" t="s">
        <v>1519</v>
      </c>
      <c r="B222" s="232">
        <v>13.239103120277123</v>
      </c>
      <c r="C222" s="145">
        <v>6.8494805293813812</v>
      </c>
      <c r="D222" s="145">
        <v>1.665357372633137</v>
      </c>
      <c r="E222" s="145">
        <v>12.858128512634629</v>
      </c>
      <c r="F222" s="145"/>
      <c r="G222" s="145"/>
      <c r="H222" s="145"/>
      <c r="I222" s="144"/>
      <c r="J222" s="197">
        <v>0.38249961063200333</v>
      </c>
      <c r="K222" s="197">
        <v>0.19789283395694449</v>
      </c>
      <c r="L222" s="197">
        <v>4.811493201678281E-2</v>
      </c>
      <c r="M222" s="197">
        <v>0.37149262339426936</v>
      </c>
      <c r="N222" s="197"/>
      <c r="O222" s="197"/>
      <c r="P222" s="197"/>
      <c r="Q222" s="196"/>
    </row>
    <row r="223" spans="1:17" x14ac:dyDescent="0.35">
      <c r="A223" s="59" t="s">
        <v>1518</v>
      </c>
      <c r="B223" s="232">
        <v>23.72818574628457</v>
      </c>
      <c r="C223" s="145">
        <v>12.096579956268075</v>
      </c>
      <c r="D223" s="145">
        <v>2.9749884612730524</v>
      </c>
      <c r="E223" s="145">
        <v>23.251759679945106</v>
      </c>
      <c r="F223" s="145"/>
      <c r="G223" s="145"/>
      <c r="H223" s="145"/>
      <c r="I223" s="144"/>
      <c r="J223" s="197">
        <v>0.3823949534257266</v>
      </c>
      <c r="K223" s="197">
        <v>0.19494415537909424</v>
      </c>
      <c r="L223" s="197">
        <v>4.7943849827149762E-2</v>
      </c>
      <c r="M223" s="197">
        <v>0.37471704136802925</v>
      </c>
      <c r="N223" s="197"/>
      <c r="O223" s="197"/>
      <c r="P223" s="197"/>
      <c r="Q223" s="196"/>
    </row>
    <row r="224" spans="1:17" x14ac:dyDescent="0.35">
      <c r="A224" s="59" t="s">
        <v>1531</v>
      </c>
      <c r="B224" s="232">
        <v>5420.1377433224188</v>
      </c>
      <c r="C224" s="145">
        <v>2519.6200086087642</v>
      </c>
      <c r="D224" s="145">
        <v>553.47633365123284</v>
      </c>
      <c r="E224" s="145">
        <v>3576.1094316059343</v>
      </c>
      <c r="F224" s="145"/>
      <c r="G224" s="145"/>
      <c r="H224" s="145"/>
      <c r="I224" s="144"/>
      <c r="J224" s="197">
        <v>0.44908306202432818</v>
      </c>
      <c r="K224" s="197">
        <v>0.20876197657482284</v>
      </c>
      <c r="L224" s="197">
        <v>4.5858031372046783E-2</v>
      </c>
      <c r="M224" s="197">
        <v>0.2962969300288022</v>
      </c>
      <c r="N224" s="197"/>
      <c r="O224" s="197"/>
      <c r="P224" s="197"/>
      <c r="Q224" s="196"/>
    </row>
    <row r="225" spans="1:17" x14ac:dyDescent="0.35">
      <c r="A225" s="59" t="s">
        <v>1530</v>
      </c>
      <c r="B225" s="232">
        <v>49.002870042840101</v>
      </c>
      <c r="C225" s="145">
        <v>20.113409239629856</v>
      </c>
      <c r="D225" s="145">
        <v>4.3900030161738091</v>
      </c>
      <c r="E225" s="145">
        <v>28.533627591541691</v>
      </c>
      <c r="F225" s="145"/>
      <c r="G225" s="145"/>
      <c r="H225" s="145"/>
      <c r="I225" s="144"/>
      <c r="J225" s="197">
        <v>0.48023239236075965</v>
      </c>
      <c r="K225" s="197">
        <v>0.19711316151960295</v>
      </c>
      <c r="L225" s="197">
        <v>4.3022411729864284E-2</v>
      </c>
      <c r="M225" s="197">
        <v>0.27963203438977313</v>
      </c>
      <c r="N225" s="197"/>
      <c r="O225" s="197"/>
      <c r="P225" s="197"/>
      <c r="Q225" s="196"/>
    </row>
    <row r="226" spans="1:17" x14ac:dyDescent="0.35">
      <c r="A226" s="59" t="s">
        <v>1529</v>
      </c>
      <c r="B226" s="49">
        <v>1898827.641621233</v>
      </c>
      <c r="C226" s="48">
        <v>838376.89240553509</v>
      </c>
      <c r="D226" s="48">
        <v>238885.35882274614</v>
      </c>
      <c r="E226" s="48">
        <v>1828559.4777569273</v>
      </c>
      <c r="F226" s="48"/>
      <c r="G226" s="48"/>
      <c r="H226" s="48"/>
      <c r="I226" s="47"/>
      <c r="J226" s="197">
        <v>0.39520628773407529</v>
      </c>
      <c r="K226" s="197">
        <v>0.1744928355302055</v>
      </c>
      <c r="L226" s="197">
        <v>4.9719623722010359E-2</v>
      </c>
      <c r="M226" s="197">
        <v>0.38058125301370893</v>
      </c>
      <c r="N226" s="197"/>
      <c r="O226" s="197"/>
      <c r="P226" s="197"/>
      <c r="Q226" s="196"/>
    </row>
    <row r="227" spans="1:17" x14ac:dyDescent="0.35">
      <c r="A227" s="59" t="s">
        <v>1528</v>
      </c>
      <c r="B227" s="49">
        <v>1920820.9537161915</v>
      </c>
      <c r="C227" s="48">
        <v>846069.56901686941</v>
      </c>
      <c r="D227" s="48">
        <v>240193.81925285005</v>
      </c>
      <c r="E227" s="48">
        <v>1850267.7028021985</v>
      </c>
      <c r="F227" s="48"/>
      <c r="G227" s="48"/>
      <c r="H227" s="48"/>
      <c r="I227" s="47"/>
      <c r="J227" s="197">
        <v>0.39544610643925077</v>
      </c>
      <c r="K227" s="197">
        <v>0.1741832918873347</v>
      </c>
      <c r="L227" s="197">
        <v>4.9449538974753869E-2</v>
      </c>
      <c r="M227" s="197">
        <v>0.3809210626986605</v>
      </c>
      <c r="N227" s="197"/>
      <c r="O227" s="197"/>
      <c r="P227" s="197"/>
      <c r="Q227" s="196"/>
    </row>
    <row r="228" spans="1:17" x14ac:dyDescent="0.35">
      <c r="A228" s="59" t="s">
        <v>1527</v>
      </c>
      <c r="B228" s="49">
        <v>2103874.0985694216</v>
      </c>
      <c r="C228" s="48">
        <v>937432.74284581176</v>
      </c>
      <c r="D228" s="48">
        <v>270543.20339248731</v>
      </c>
      <c r="E228" s="48">
        <v>1965823.4231531112</v>
      </c>
      <c r="F228" s="48"/>
      <c r="G228" s="48"/>
      <c r="H228" s="48"/>
      <c r="I228" s="47"/>
      <c r="J228" s="197">
        <v>0.39863665521207564</v>
      </c>
      <c r="K228" s="197">
        <v>0.17762234600846075</v>
      </c>
      <c r="L228" s="197">
        <v>5.1261830621934783E-2</v>
      </c>
      <c r="M228" s="197">
        <v>0.37247916815752891</v>
      </c>
      <c r="N228" s="197"/>
      <c r="O228" s="197"/>
      <c r="P228" s="197"/>
      <c r="Q228" s="196"/>
    </row>
    <row r="229" spans="1:17" ht="13.15" x14ac:dyDescent="0.4">
      <c r="A229" s="128" t="s">
        <v>2224</v>
      </c>
      <c r="B229" s="232"/>
      <c r="C229" s="145"/>
      <c r="D229" s="145"/>
      <c r="E229" s="145"/>
      <c r="F229" s="145"/>
      <c r="G229" s="145"/>
      <c r="H229" s="145"/>
      <c r="I229" s="144"/>
      <c r="J229" s="197"/>
      <c r="K229" s="197"/>
      <c r="L229" s="197"/>
      <c r="M229" s="197"/>
      <c r="N229" s="197"/>
      <c r="O229" s="197"/>
      <c r="P229" s="197"/>
      <c r="Q229" s="196"/>
    </row>
    <row r="230" spans="1:17" x14ac:dyDescent="0.35">
      <c r="A230" s="59" t="s">
        <v>1525</v>
      </c>
      <c r="B230" s="232">
        <v>12.726333871934747</v>
      </c>
      <c r="C230" s="145">
        <v>6.6296910585548954</v>
      </c>
      <c r="D230" s="145">
        <v>1.9191521002451737</v>
      </c>
      <c r="E230" s="145">
        <v>12.370271984240354</v>
      </c>
      <c r="F230" s="145"/>
      <c r="G230" s="145"/>
      <c r="H230" s="145"/>
      <c r="I230" s="144"/>
      <c r="J230" s="197">
        <v>0.37824829938427679</v>
      </c>
      <c r="K230" s="197">
        <v>0.19704570016598988</v>
      </c>
      <c r="L230" s="197">
        <v>5.7040466286866418E-2</v>
      </c>
      <c r="M230" s="197">
        <v>0.36766553416286707</v>
      </c>
      <c r="N230" s="197"/>
      <c r="O230" s="197"/>
      <c r="P230" s="197"/>
      <c r="Q230" s="196"/>
    </row>
    <row r="231" spans="1:17" x14ac:dyDescent="0.35">
      <c r="A231" s="59" t="s">
        <v>1524</v>
      </c>
      <c r="B231" s="232">
        <v>65.099770584185976</v>
      </c>
      <c r="C231" s="145">
        <v>29.274548269972176</v>
      </c>
      <c r="D231" s="145">
        <v>7.5919444502283913</v>
      </c>
      <c r="E231" s="145">
        <v>52.073709756786279</v>
      </c>
      <c r="F231" s="145"/>
      <c r="G231" s="145"/>
      <c r="H231" s="145"/>
      <c r="I231" s="144"/>
      <c r="J231" s="197">
        <v>0.42261608652926314</v>
      </c>
      <c r="K231" s="197">
        <v>0.19004514015557883</v>
      </c>
      <c r="L231" s="197">
        <v>4.9285547766315538E-2</v>
      </c>
      <c r="M231" s="197">
        <v>0.33805322554884254</v>
      </c>
      <c r="N231" s="197"/>
      <c r="O231" s="197"/>
      <c r="P231" s="197"/>
      <c r="Q231" s="196"/>
    </row>
    <row r="232" spans="1:17" x14ac:dyDescent="0.35">
      <c r="A232" s="59" t="s">
        <v>1523</v>
      </c>
      <c r="B232" s="232">
        <v>141.02579398535639</v>
      </c>
      <c r="C232" s="145">
        <v>63.211102575403679</v>
      </c>
      <c r="D232" s="145">
        <v>18.709861600479698</v>
      </c>
      <c r="E232" s="145">
        <v>115.73266724385485</v>
      </c>
      <c r="F232" s="145"/>
      <c r="G232" s="145"/>
      <c r="H232" s="145"/>
      <c r="I232" s="144"/>
      <c r="J232" s="197">
        <v>0.41639905883469414</v>
      </c>
      <c r="K232" s="197">
        <v>0.18663992505537308</v>
      </c>
      <c r="L232" s="197">
        <v>5.5243573116674639E-2</v>
      </c>
      <c r="M232" s="197">
        <v>0.34171744299325818</v>
      </c>
      <c r="N232" s="197"/>
      <c r="O232" s="197"/>
      <c r="P232" s="197"/>
      <c r="Q232" s="196"/>
    </row>
    <row r="233" spans="1:17" x14ac:dyDescent="0.35">
      <c r="A233" s="59" t="s">
        <v>1522</v>
      </c>
      <c r="B233" s="232">
        <v>13.677098586996804</v>
      </c>
      <c r="C233" s="145">
        <v>6.0488609463761307</v>
      </c>
      <c r="D233" s="145">
        <v>2.0933588582406815</v>
      </c>
      <c r="E233" s="145">
        <v>11.996455749493366</v>
      </c>
      <c r="F233" s="145"/>
      <c r="G233" s="145"/>
      <c r="H233" s="145"/>
      <c r="I233" s="144"/>
      <c r="J233" s="197">
        <v>0.40445912992926897</v>
      </c>
      <c r="K233" s="197">
        <v>0.17887690286596281</v>
      </c>
      <c r="L233" s="197">
        <v>6.1904803642982745E-2</v>
      </c>
      <c r="M233" s="197">
        <v>0.35475916356178538</v>
      </c>
      <c r="N233" s="197"/>
      <c r="O233" s="197"/>
      <c r="P233" s="197"/>
      <c r="Q233" s="196"/>
    </row>
    <row r="234" spans="1:17" x14ac:dyDescent="0.35">
      <c r="A234" s="59" t="s">
        <v>1521</v>
      </c>
      <c r="B234" s="232">
        <v>10.146106399989067</v>
      </c>
      <c r="C234" s="145">
        <v>4.4824249303093149</v>
      </c>
      <c r="D234" s="145">
        <v>1.5356890293307506</v>
      </c>
      <c r="E234" s="145">
        <v>8.9744924090736689</v>
      </c>
      <c r="F234" s="145"/>
      <c r="G234" s="145"/>
      <c r="H234" s="145"/>
      <c r="I234" s="144"/>
      <c r="J234" s="197">
        <v>0.4036048501505124</v>
      </c>
      <c r="K234" s="197">
        <v>0.17830765527063283</v>
      </c>
      <c r="L234" s="197">
        <v>6.1088610362048962E-2</v>
      </c>
      <c r="M234" s="197">
        <v>0.35699888421680576</v>
      </c>
      <c r="N234" s="197"/>
      <c r="O234" s="197"/>
      <c r="P234" s="197"/>
      <c r="Q234" s="196"/>
    </row>
    <row r="235" spans="1:17" x14ac:dyDescent="0.35">
      <c r="A235" s="59" t="s">
        <v>1520</v>
      </c>
      <c r="B235" s="232">
        <v>441.06286889461995</v>
      </c>
      <c r="C235" s="145">
        <v>190.32532944106558</v>
      </c>
      <c r="D235" s="145">
        <v>67.794412673067043</v>
      </c>
      <c r="E235" s="145">
        <v>360.59435556877429</v>
      </c>
      <c r="F235" s="145"/>
      <c r="G235" s="145"/>
      <c r="H235" s="145"/>
      <c r="I235" s="144"/>
      <c r="J235" s="197">
        <v>0.41618461506952786</v>
      </c>
      <c r="K235" s="197">
        <v>0.17958998491513498</v>
      </c>
      <c r="L235" s="197">
        <v>6.3970453039760053E-2</v>
      </c>
      <c r="M235" s="197">
        <v>0.34025494697557701</v>
      </c>
      <c r="N235" s="197"/>
      <c r="O235" s="197"/>
      <c r="P235" s="197"/>
      <c r="Q235" s="196"/>
    </row>
    <row r="236" spans="1:17" x14ac:dyDescent="0.35">
      <c r="A236" s="59" t="s">
        <v>1519</v>
      </c>
      <c r="B236" s="232">
        <v>0.63626903920552236</v>
      </c>
      <c r="C236" s="145">
        <v>0.28980195193612501</v>
      </c>
      <c r="D236" s="145">
        <v>9.5786851202305262E-2</v>
      </c>
      <c r="E236" s="145">
        <v>0.60183670197112449</v>
      </c>
      <c r="F236" s="145"/>
      <c r="G236" s="145"/>
      <c r="H236" s="145"/>
      <c r="I236" s="144"/>
      <c r="J236" s="197">
        <v>0.39186498558687927</v>
      </c>
      <c r="K236" s="197">
        <v>0.17848304839773424</v>
      </c>
      <c r="L236" s="197">
        <v>5.8993147164087441E-2</v>
      </c>
      <c r="M236" s="197">
        <v>0.37065881885129881</v>
      </c>
      <c r="N236" s="197"/>
      <c r="O236" s="197"/>
      <c r="P236" s="197"/>
      <c r="Q236" s="196"/>
    </row>
    <row r="237" spans="1:17" x14ac:dyDescent="0.35">
      <c r="A237" s="57" t="s">
        <v>1518</v>
      </c>
      <c r="B237" s="231">
        <v>1.6799893622000257</v>
      </c>
      <c r="C237" s="142">
        <v>0.73958673200137437</v>
      </c>
      <c r="D237" s="142">
        <v>0.22091901004707074</v>
      </c>
      <c r="E237" s="142">
        <v>1.4992919815547314</v>
      </c>
      <c r="F237" s="142"/>
      <c r="G237" s="142"/>
      <c r="H237" s="142"/>
      <c r="I237" s="141"/>
      <c r="J237" s="194">
        <v>0.40581540243006814</v>
      </c>
      <c r="K237" s="194">
        <v>0.17865332604608566</v>
      </c>
      <c r="L237" s="194">
        <v>5.3364824197041513E-2</v>
      </c>
      <c r="M237" s="194">
        <v>0.36216644732680459</v>
      </c>
      <c r="N237" s="194"/>
      <c r="O237" s="194"/>
      <c r="P237" s="194"/>
      <c r="Q237" s="193"/>
    </row>
    <row r="239" spans="1:17" ht="13.15" x14ac:dyDescent="0.4">
      <c r="A239" s="41" t="s">
        <v>2238</v>
      </c>
    </row>
    <row r="240" spans="1:17" ht="13.15" x14ac:dyDescent="0.4">
      <c r="A240" s="131"/>
      <c r="B240" s="2193" t="s">
        <v>2229</v>
      </c>
      <c r="C240" s="2194"/>
      <c r="D240" s="2194"/>
      <c r="E240" s="2194"/>
      <c r="F240" s="2194"/>
      <c r="G240" s="2194"/>
      <c r="H240" s="2194"/>
      <c r="I240" s="2195"/>
      <c r="J240" s="2194" t="s">
        <v>2228</v>
      </c>
      <c r="K240" s="2194"/>
      <c r="L240" s="2194"/>
      <c r="M240" s="2194"/>
      <c r="N240" s="2194"/>
      <c r="O240" s="2194"/>
      <c r="P240" s="2194"/>
      <c r="Q240" s="2195"/>
    </row>
    <row r="241" spans="1:17" ht="52.5" x14ac:dyDescent="0.4">
      <c r="A241" s="59"/>
      <c r="B241" s="653" t="s">
        <v>405</v>
      </c>
      <c r="C241" s="652" t="s">
        <v>1830</v>
      </c>
      <c r="D241" s="652" t="s">
        <v>1829</v>
      </c>
      <c r="E241" s="652" t="s">
        <v>1503</v>
      </c>
      <c r="F241" s="652" t="s">
        <v>1501</v>
      </c>
      <c r="G241" s="652" t="s">
        <v>1500</v>
      </c>
      <c r="H241" s="180" t="s">
        <v>1499</v>
      </c>
      <c r="I241" s="651" t="s">
        <v>2227</v>
      </c>
      <c r="J241" s="653" t="s">
        <v>405</v>
      </c>
      <c r="K241" s="652" t="s">
        <v>1830</v>
      </c>
      <c r="L241" s="652" t="s">
        <v>1829</v>
      </c>
      <c r="M241" s="652" t="s">
        <v>1503</v>
      </c>
      <c r="N241" s="652" t="s">
        <v>1501</v>
      </c>
      <c r="O241" s="652" t="s">
        <v>1500</v>
      </c>
      <c r="P241" s="180" t="s">
        <v>1499</v>
      </c>
      <c r="Q241" s="651" t="s">
        <v>2227</v>
      </c>
    </row>
    <row r="242" spans="1:17" ht="13.15" x14ac:dyDescent="0.4">
      <c r="A242" s="128" t="s">
        <v>2226</v>
      </c>
      <c r="B242" s="650"/>
      <c r="C242" s="198"/>
      <c r="D242" s="198"/>
      <c r="E242" s="198"/>
      <c r="I242" s="99"/>
      <c r="J242" s="198"/>
      <c r="K242" s="198"/>
      <c r="L242" s="198"/>
      <c r="M242" s="198"/>
      <c r="Q242" s="99"/>
    </row>
    <row r="243" spans="1:17" x14ac:dyDescent="0.35">
      <c r="A243" s="59" t="s">
        <v>1537</v>
      </c>
      <c r="B243" s="232">
        <v>92.799221918369042</v>
      </c>
      <c r="C243" s="145">
        <v>15.476537185733171</v>
      </c>
      <c r="D243" s="145">
        <v>4.5845450911159746</v>
      </c>
      <c r="E243" s="145">
        <v>26.475401074852734</v>
      </c>
      <c r="F243" s="145"/>
      <c r="G243" s="145"/>
      <c r="H243" s="145"/>
      <c r="I243" s="144"/>
      <c r="J243" s="197">
        <v>0.6660117859847815</v>
      </c>
      <c r="K243" s="197">
        <v>0.11107373487459936</v>
      </c>
      <c r="L243" s="197">
        <v>3.2902873547235194E-2</v>
      </c>
      <c r="M243" s="197">
        <v>0.1900116055933842</v>
      </c>
      <c r="N243" s="197"/>
      <c r="O243" s="197"/>
      <c r="P243" s="197"/>
      <c r="Q243" s="196"/>
    </row>
    <row r="244" spans="1:17" x14ac:dyDescent="0.35">
      <c r="A244" s="59" t="s">
        <v>1536</v>
      </c>
      <c r="B244" s="232">
        <v>86.957153845582781</v>
      </c>
      <c r="C244" s="145">
        <v>13.590526400188077</v>
      </c>
      <c r="D244" s="145">
        <v>3.3534492058728782</v>
      </c>
      <c r="E244" s="145">
        <v>23.374884465834882</v>
      </c>
      <c r="F244" s="145"/>
      <c r="G244" s="145"/>
      <c r="H244" s="145"/>
      <c r="I244" s="144"/>
      <c r="J244" s="197">
        <v>0.68321713706372666</v>
      </c>
      <c r="K244" s="197">
        <v>0.10677994998334646</v>
      </c>
      <c r="L244" s="197">
        <v>2.6347849077416413E-2</v>
      </c>
      <c r="M244" s="197">
        <v>0.18365506387551034</v>
      </c>
      <c r="N244" s="197"/>
      <c r="O244" s="197"/>
      <c r="P244" s="197"/>
      <c r="Q244" s="196"/>
    </row>
    <row r="245" spans="1:17" x14ac:dyDescent="0.35">
      <c r="A245" s="59" t="s">
        <v>1535</v>
      </c>
      <c r="B245" s="232">
        <v>13.475394005821524</v>
      </c>
      <c r="C245" s="145">
        <v>5.9077973004667035</v>
      </c>
      <c r="D245" s="145">
        <v>1.2150052244265381</v>
      </c>
      <c r="E245" s="145">
        <v>6.9620040710886926</v>
      </c>
      <c r="F245" s="145"/>
      <c r="G245" s="145"/>
      <c r="H245" s="145"/>
      <c r="I245" s="144"/>
      <c r="J245" s="197">
        <v>0.48894397397599976</v>
      </c>
      <c r="K245" s="197">
        <v>0.21435973510585093</v>
      </c>
      <c r="L245" s="197">
        <v>4.4085500028872487E-2</v>
      </c>
      <c r="M245" s="197">
        <v>0.25261079088927674</v>
      </c>
      <c r="N245" s="197"/>
      <c r="O245" s="197"/>
      <c r="P245" s="197"/>
      <c r="Q245" s="196"/>
    </row>
    <row r="246" spans="1:17" x14ac:dyDescent="0.35">
      <c r="A246" s="59" t="s">
        <v>1534</v>
      </c>
      <c r="B246" s="232">
        <v>59.823595971271125</v>
      </c>
      <c r="C246" s="145">
        <v>6.2311935533093061</v>
      </c>
      <c r="D246" s="145">
        <v>1.6289694633304459</v>
      </c>
      <c r="E246" s="145">
        <v>11.887477986188294</v>
      </c>
      <c r="F246" s="145"/>
      <c r="G246" s="145"/>
      <c r="H246" s="145"/>
      <c r="I246" s="144"/>
      <c r="J246" s="197">
        <v>0.75182438084686309</v>
      </c>
      <c r="K246" s="197">
        <v>7.8309622801736645E-2</v>
      </c>
      <c r="L246" s="197">
        <v>2.0471837881076094E-2</v>
      </c>
      <c r="M246" s="197">
        <v>0.14939415847032425</v>
      </c>
      <c r="N246" s="197"/>
      <c r="O246" s="197"/>
      <c r="P246" s="197"/>
      <c r="Q246" s="196"/>
    </row>
    <row r="247" spans="1:17" x14ac:dyDescent="0.35">
      <c r="A247" s="59" t="s">
        <v>1533</v>
      </c>
      <c r="B247" s="232">
        <v>13.65816386849014</v>
      </c>
      <c r="C247" s="145">
        <v>1.4515355464120663</v>
      </c>
      <c r="D247" s="145">
        <v>0.50947451811589417</v>
      </c>
      <c r="E247" s="145">
        <v>4.5254024085578965</v>
      </c>
      <c r="F247" s="145"/>
      <c r="G247" s="145"/>
      <c r="H247" s="145"/>
      <c r="I247" s="144"/>
      <c r="J247" s="197">
        <v>0.67800700480860066</v>
      </c>
      <c r="K247" s="197">
        <v>7.2055898411537714E-2</v>
      </c>
      <c r="L247" s="197">
        <v>2.5290902597162077E-2</v>
      </c>
      <c r="M247" s="197">
        <v>0.22464619418269952</v>
      </c>
      <c r="N247" s="197"/>
      <c r="O247" s="197"/>
      <c r="P247" s="197"/>
      <c r="Q247" s="196"/>
    </row>
    <row r="248" spans="1:17" x14ac:dyDescent="0.35">
      <c r="A248" s="59" t="s">
        <v>1532</v>
      </c>
      <c r="B248" s="49">
        <v>5214.3938999744205</v>
      </c>
      <c r="C248" s="48">
        <v>2588.1158790751479</v>
      </c>
      <c r="D248" s="48">
        <v>1762.7072432165651</v>
      </c>
      <c r="E248" s="48">
        <v>4364.0816124761923</v>
      </c>
      <c r="F248" s="48"/>
      <c r="G248" s="48"/>
      <c r="H248" s="48"/>
      <c r="I248" s="47"/>
      <c r="J248" s="197">
        <v>0.3743471969915792</v>
      </c>
      <c r="K248" s="197">
        <v>0.18580374697545027</v>
      </c>
      <c r="L248" s="197">
        <v>0.12654673357494378</v>
      </c>
      <c r="M248" s="197">
        <v>0.31330232245802681</v>
      </c>
      <c r="N248" s="197"/>
      <c r="O248" s="197"/>
      <c r="P248" s="197"/>
      <c r="Q248" s="196"/>
    </row>
    <row r="249" spans="1:17" ht="13.15" x14ac:dyDescent="0.4">
      <c r="A249" s="128" t="s">
        <v>2225</v>
      </c>
      <c r="B249" s="232"/>
      <c r="C249" s="145"/>
      <c r="D249" s="145"/>
      <c r="E249" s="145"/>
      <c r="F249" s="145"/>
      <c r="G249" s="145"/>
      <c r="H249" s="145"/>
      <c r="I249" s="144"/>
      <c r="J249" s="197"/>
      <c r="K249" s="197"/>
      <c r="L249" s="197"/>
      <c r="M249" s="197"/>
      <c r="N249" s="197"/>
      <c r="O249" s="197"/>
      <c r="P249" s="197"/>
      <c r="Q249" s="196"/>
    </row>
    <row r="250" spans="1:17" x14ac:dyDescent="0.35">
      <c r="A250" s="59" t="s">
        <v>1525</v>
      </c>
      <c r="B250" s="232">
        <v>1159.939321393133</v>
      </c>
      <c r="C250" s="145">
        <v>731.21069894926666</v>
      </c>
      <c r="D250" s="145">
        <v>118.61253919425754</v>
      </c>
      <c r="E250" s="145">
        <v>1747.030499105605</v>
      </c>
      <c r="F250" s="145"/>
      <c r="G250" s="145"/>
      <c r="H250" s="145"/>
      <c r="I250" s="144"/>
      <c r="J250" s="197">
        <v>0.30875784300249559</v>
      </c>
      <c r="K250" s="197">
        <v>0.19463693835016094</v>
      </c>
      <c r="L250" s="197">
        <v>3.1572816852766743E-2</v>
      </c>
      <c r="M250" s="197">
        <v>0.46503240179457661</v>
      </c>
      <c r="N250" s="197"/>
      <c r="O250" s="197"/>
      <c r="P250" s="197"/>
      <c r="Q250" s="196"/>
    </row>
    <row r="251" spans="1:17" x14ac:dyDescent="0.35">
      <c r="A251" s="59" t="s">
        <v>1524</v>
      </c>
      <c r="B251" s="232">
        <v>5083.1009513542367</v>
      </c>
      <c r="C251" s="145">
        <v>4466.569627557381</v>
      </c>
      <c r="D251" s="145">
        <v>520.33981781070133</v>
      </c>
      <c r="E251" s="145">
        <v>4345.1927634705271</v>
      </c>
      <c r="F251" s="145"/>
      <c r="G251" s="145"/>
      <c r="H251" s="145"/>
      <c r="I251" s="144"/>
      <c r="J251" s="197">
        <v>0.35262083335676231</v>
      </c>
      <c r="K251" s="197">
        <v>0.3098513130839306</v>
      </c>
      <c r="L251" s="197">
        <v>3.6096599682174726E-2</v>
      </c>
      <c r="M251" s="197">
        <v>0.30143125387713204</v>
      </c>
      <c r="N251" s="197"/>
      <c r="O251" s="197"/>
      <c r="P251" s="197"/>
      <c r="Q251" s="196"/>
    </row>
    <row r="252" spans="1:17" x14ac:dyDescent="0.35">
      <c r="A252" s="59" t="s">
        <v>1523</v>
      </c>
      <c r="B252" s="232">
        <v>6493.9011403649274</v>
      </c>
      <c r="C252" s="145">
        <v>1100.489457092867</v>
      </c>
      <c r="D252" s="145">
        <v>256.04871152219152</v>
      </c>
      <c r="E252" s="145">
        <v>2030.8995875692453</v>
      </c>
      <c r="F252" s="145"/>
      <c r="G252" s="145"/>
      <c r="H252" s="145"/>
      <c r="I252" s="144"/>
      <c r="J252" s="197">
        <v>0.65718838391756107</v>
      </c>
      <c r="K252" s="197">
        <v>0.11137048011552164</v>
      </c>
      <c r="L252" s="197">
        <v>2.5912349956098459E-2</v>
      </c>
      <c r="M252" s="197">
        <v>0.20552878601081853</v>
      </c>
      <c r="N252" s="197"/>
      <c r="O252" s="197"/>
      <c r="P252" s="197"/>
      <c r="Q252" s="196"/>
    </row>
    <row r="253" spans="1:17" x14ac:dyDescent="0.35">
      <c r="A253" s="59" t="s">
        <v>1522</v>
      </c>
      <c r="B253" s="232">
        <v>2302.1006058913167</v>
      </c>
      <c r="C253" s="145">
        <v>544.87312240005281</v>
      </c>
      <c r="D253" s="145">
        <v>165.49611592058346</v>
      </c>
      <c r="E253" s="145">
        <v>852.57311010397177</v>
      </c>
      <c r="F253" s="145"/>
      <c r="G253" s="145"/>
      <c r="H253" s="145"/>
      <c r="I253" s="144"/>
      <c r="J253" s="197">
        <v>0.59562096284613386</v>
      </c>
      <c r="K253" s="197">
        <v>0.14097466156013008</v>
      </c>
      <c r="L253" s="197">
        <v>4.2818700303390203E-2</v>
      </c>
      <c r="M253" s="197">
        <v>0.2205856752903459</v>
      </c>
      <c r="N253" s="197"/>
      <c r="O253" s="197"/>
      <c r="P253" s="197"/>
      <c r="Q253" s="196"/>
    </row>
    <row r="254" spans="1:17" x14ac:dyDescent="0.35">
      <c r="A254" s="59" t="s">
        <v>1521</v>
      </c>
      <c r="B254" s="232">
        <v>645.24367363367537</v>
      </c>
      <c r="C254" s="145">
        <v>253.3224688763772</v>
      </c>
      <c r="D254" s="145">
        <v>80.984928147192861</v>
      </c>
      <c r="E254" s="145">
        <v>392.12905833233555</v>
      </c>
      <c r="F254" s="145"/>
      <c r="G254" s="145"/>
      <c r="H254" s="145"/>
      <c r="I254" s="144"/>
      <c r="J254" s="197">
        <v>0.47040389373357794</v>
      </c>
      <c r="K254" s="197">
        <v>0.18468042477438365</v>
      </c>
      <c r="L254" s="197">
        <v>5.9040680429517253E-2</v>
      </c>
      <c r="M254" s="197">
        <v>0.28587500106252106</v>
      </c>
      <c r="N254" s="197"/>
      <c r="O254" s="197"/>
      <c r="P254" s="197"/>
      <c r="Q254" s="196"/>
    </row>
    <row r="255" spans="1:17" x14ac:dyDescent="0.35">
      <c r="A255" s="59" t="s">
        <v>1520</v>
      </c>
      <c r="B255" s="232">
        <v>15029.380487446811</v>
      </c>
      <c r="C255" s="145">
        <v>5701.1644891689784</v>
      </c>
      <c r="D255" s="145">
        <v>1052.2800421279767</v>
      </c>
      <c r="E255" s="145">
        <v>6657.4263507543219</v>
      </c>
      <c r="F255" s="145"/>
      <c r="G255" s="145"/>
      <c r="H255" s="145"/>
      <c r="I255" s="144"/>
      <c r="J255" s="197">
        <v>0.52845455872326386</v>
      </c>
      <c r="K255" s="197">
        <v>0.20046111460475435</v>
      </c>
      <c r="L255" s="197">
        <v>3.6999674456342446E-2</v>
      </c>
      <c r="M255" s="197">
        <v>0.2340846522156394</v>
      </c>
      <c r="N255" s="197"/>
      <c r="O255" s="197"/>
      <c r="P255" s="197"/>
      <c r="Q255" s="196"/>
    </row>
    <row r="256" spans="1:17" x14ac:dyDescent="0.35">
      <c r="A256" s="59" t="s">
        <v>1519</v>
      </c>
      <c r="B256" s="232">
        <v>49.670468098936702</v>
      </c>
      <c r="C256" s="145">
        <v>7.556405507510906</v>
      </c>
      <c r="D256" s="145">
        <v>1.9225742752813941</v>
      </c>
      <c r="E256" s="145">
        <v>14.737502194907346</v>
      </c>
      <c r="F256" s="145"/>
      <c r="G256" s="145"/>
      <c r="H256" s="145"/>
      <c r="I256" s="144"/>
      <c r="J256" s="197">
        <v>0.67224953861836168</v>
      </c>
      <c r="K256" s="197">
        <v>0.10226982572258458</v>
      </c>
      <c r="L256" s="197">
        <v>2.6020484988042943E-2</v>
      </c>
      <c r="M256" s="197">
        <v>0.19946015067101092</v>
      </c>
      <c r="N256" s="197"/>
      <c r="O256" s="197"/>
      <c r="P256" s="197"/>
      <c r="Q256" s="196"/>
    </row>
    <row r="257" spans="1:17" x14ac:dyDescent="0.35">
      <c r="A257" s="59" t="s">
        <v>1518</v>
      </c>
      <c r="B257" s="232">
        <v>94.164413021142522</v>
      </c>
      <c r="C257" s="145">
        <v>12.787337757875161</v>
      </c>
      <c r="D257" s="145">
        <v>3.3827625862365776</v>
      </c>
      <c r="E257" s="145">
        <v>25.703348601186232</v>
      </c>
      <c r="F257" s="145"/>
      <c r="G257" s="145"/>
      <c r="H257" s="145"/>
      <c r="I257" s="144"/>
      <c r="J257" s="197">
        <v>0.69219268562433134</v>
      </c>
      <c r="K257" s="197">
        <v>9.3998373489798753E-2</v>
      </c>
      <c r="L257" s="197">
        <v>2.4866331603117076E-2</v>
      </c>
      <c r="M257" s="197">
        <v>0.18894260928275286</v>
      </c>
      <c r="N257" s="197"/>
      <c r="O257" s="197"/>
      <c r="P257" s="197"/>
      <c r="Q257" s="196"/>
    </row>
    <row r="258" spans="1:17" x14ac:dyDescent="0.35">
      <c r="A258" s="59" t="s">
        <v>1531</v>
      </c>
      <c r="B258" s="232">
        <v>16578.481455212823</v>
      </c>
      <c r="C258" s="145">
        <v>2587.5201070864741</v>
      </c>
      <c r="D258" s="145">
        <v>574.10848011490907</v>
      </c>
      <c r="E258" s="145">
        <v>3846.6630811502114</v>
      </c>
      <c r="F258" s="145"/>
      <c r="G258" s="145"/>
      <c r="H258" s="145"/>
      <c r="I258" s="144"/>
      <c r="J258" s="197"/>
      <c r="K258" s="197"/>
      <c r="L258" s="197"/>
      <c r="M258" s="197"/>
      <c r="N258" s="197"/>
      <c r="O258" s="197"/>
      <c r="P258" s="197"/>
      <c r="Q258" s="196"/>
    </row>
    <row r="259" spans="1:17" x14ac:dyDescent="0.35">
      <c r="A259" s="59" t="s">
        <v>1530</v>
      </c>
      <c r="B259" s="232">
        <v>158.26306543219351</v>
      </c>
      <c r="C259" s="145">
        <v>22.635756094933374</v>
      </c>
      <c r="D259" s="145">
        <v>5.1800356652907471</v>
      </c>
      <c r="E259" s="145">
        <v>35.001381020313566</v>
      </c>
      <c r="F259" s="145"/>
      <c r="G259" s="145"/>
      <c r="H259" s="145"/>
      <c r="I259" s="144"/>
      <c r="J259" s="197">
        <v>0.7158625606324307</v>
      </c>
      <c r="K259" s="197">
        <v>0.10238706217220758</v>
      </c>
      <c r="L259" s="197">
        <v>2.3430568499326176E-2</v>
      </c>
      <c r="M259" s="197">
        <v>0.15831980869603551</v>
      </c>
      <c r="N259" s="197"/>
      <c r="O259" s="197"/>
      <c r="P259" s="197"/>
      <c r="Q259" s="196"/>
    </row>
    <row r="260" spans="1:17" x14ac:dyDescent="0.35">
      <c r="A260" s="59" t="s">
        <v>1529</v>
      </c>
      <c r="B260" s="49">
        <v>5342410.8588574929</v>
      </c>
      <c r="C260" s="48">
        <v>981284.02787848841</v>
      </c>
      <c r="D260" s="48">
        <v>273801.32555949781</v>
      </c>
      <c r="E260" s="48">
        <v>1738579.6550184819</v>
      </c>
      <c r="F260" s="48"/>
      <c r="G260" s="48"/>
      <c r="H260" s="48"/>
      <c r="I260" s="47"/>
      <c r="J260" s="197">
        <v>0.64087838737232095</v>
      </c>
      <c r="K260" s="197">
        <v>0.11771534274611591</v>
      </c>
      <c r="L260" s="197">
        <v>3.2845349528677174E-2</v>
      </c>
      <c r="M260" s="197">
        <v>0.20856092035288595</v>
      </c>
      <c r="N260" s="197"/>
      <c r="O260" s="197"/>
      <c r="P260" s="197"/>
      <c r="Q260" s="196"/>
    </row>
    <row r="261" spans="1:17" x14ac:dyDescent="0.35">
      <c r="A261" s="59" t="s">
        <v>1528</v>
      </c>
      <c r="B261" s="49">
        <v>5354013.7331422474</v>
      </c>
      <c r="C261" s="48">
        <v>990581.86301923252</v>
      </c>
      <c r="D261" s="48">
        <v>274988.6781632129</v>
      </c>
      <c r="E261" s="48">
        <v>1750852.7267975765</v>
      </c>
      <c r="F261" s="48"/>
      <c r="G261" s="48"/>
      <c r="H261" s="48"/>
      <c r="I261" s="47"/>
      <c r="J261" s="197">
        <v>0.63963371714337092</v>
      </c>
      <c r="K261" s="197">
        <v>0.11834290884531118</v>
      </c>
      <c r="L261" s="197">
        <v>3.2852368176995266E-2</v>
      </c>
      <c r="M261" s="197">
        <v>0.20917100583432269</v>
      </c>
      <c r="N261" s="197"/>
      <c r="O261" s="197"/>
      <c r="P261" s="197"/>
      <c r="Q261" s="196"/>
    </row>
    <row r="262" spans="1:17" x14ac:dyDescent="0.35">
      <c r="A262" s="59" t="s">
        <v>1527</v>
      </c>
      <c r="B262" s="49">
        <v>6006148.4694572836</v>
      </c>
      <c r="C262" s="48">
        <v>1088267.3063897884</v>
      </c>
      <c r="D262" s="48">
        <v>309350.04620496102</v>
      </c>
      <c r="E262" s="48">
        <v>1904506.9456925537</v>
      </c>
      <c r="F262" s="48"/>
      <c r="G262" s="48"/>
      <c r="H262" s="48"/>
      <c r="I262" s="47"/>
      <c r="J262" s="197">
        <v>0.6452484386007723</v>
      </c>
      <c r="K262" s="197">
        <v>0.11691398968892462</v>
      </c>
      <c r="L262" s="197">
        <v>3.3233882796917351E-2</v>
      </c>
      <c r="M262" s="197">
        <v>0.20460368891338576</v>
      </c>
      <c r="N262" s="197"/>
      <c r="O262" s="197"/>
      <c r="P262" s="197"/>
      <c r="Q262" s="196"/>
    </row>
    <row r="263" spans="1:17" ht="13.15" x14ac:dyDescent="0.4">
      <c r="A263" s="128" t="s">
        <v>2224</v>
      </c>
      <c r="B263" s="232"/>
      <c r="C263" s="145"/>
      <c r="D263" s="145"/>
      <c r="E263" s="145"/>
      <c r="F263" s="145"/>
      <c r="G263" s="145"/>
      <c r="H263" s="145"/>
      <c r="I263" s="144"/>
      <c r="J263" s="197"/>
      <c r="K263" s="197"/>
      <c r="L263" s="197"/>
      <c r="M263" s="197"/>
      <c r="N263" s="197"/>
      <c r="O263" s="197"/>
      <c r="P263" s="197"/>
      <c r="Q263" s="196"/>
    </row>
    <row r="264" spans="1:17" x14ac:dyDescent="0.35">
      <c r="A264" s="59" t="s">
        <v>1525</v>
      </c>
      <c r="B264" s="232">
        <v>56.356994593254633</v>
      </c>
      <c r="C264" s="145">
        <v>6.9705147773839977</v>
      </c>
      <c r="D264" s="145">
        <v>2.1587246092537371</v>
      </c>
      <c r="E264" s="145">
        <v>15.535202394000923</v>
      </c>
      <c r="F264" s="145"/>
      <c r="G264" s="145"/>
      <c r="H264" s="145"/>
      <c r="I264" s="144"/>
      <c r="J264" s="197">
        <v>0.69558128213355119</v>
      </c>
      <c r="K264" s="197">
        <v>8.6032969660237185E-2</v>
      </c>
      <c r="L264" s="197">
        <v>2.664386989255255E-2</v>
      </c>
      <c r="M264" s="197">
        <v>0.19174187831365916</v>
      </c>
      <c r="N264" s="197"/>
      <c r="O264" s="197"/>
      <c r="P264" s="197"/>
      <c r="Q264" s="196"/>
    </row>
    <row r="265" spans="1:17" x14ac:dyDescent="0.35">
      <c r="A265" s="59" t="s">
        <v>1524</v>
      </c>
      <c r="B265" s="232">
        <v>239.45619001358327</v>
      </c>
      <c r="C265" s="145">
        <v>33.964378135316643</v>
      </c>
      <c r="D265" s="145">
        <v>8.908275190940417</v>
      </c>
      <c r="E265" s="145">
        <v>57.572766977235375</v>
      </c>
      <c r="F265" s="145"/>
      <c r="G265" s="145"/>
      <c r="H265" s="145"/>
      <c r="I265" s="144"/>
      <c r="J265" s="197">
        <v>0.70448677718886843</v>
      </c>
      <c r="K265" s="197">
        <v>9.992414600105344E-2</v>
      </c>
      <c r="L265" s="197">
        <v>2.6208393607286454E-2</v>
      </c>
      <c r="M265" s="197">
        <v>0.16938068320279179</v>
      </c>
      <c r="N265" s="197"/>
      <c r="O265" s="197"/>
      <c r="P265" s="197"/>
      <c r="Q265" s="196"/>
    </row>
    <row r="266" spans="1:17" x14ac:dyDescent="0.35">
      <c r="A266" s="59" t="s">
        <v>1523</v>
      </c>
      <c r="B266" s="232">
        <v>432.15136412241128</v>
      </c>
      <c r="C266" s="145">
        <v>75.875558048135034</v>
      </c>
      <c r="D266" s="145">
        <v>21.582739476238221</v>
      </c>
      <c r="E266" s="145">
        <v>118.71990845663819</v>
      </c>
      <c r="F266" s="145"/>
      <c r="G266" s="145"/>
      <c r="H266" s="145"/>
      <c r="I266" s="144"/>
      <c r="J266" s="197">
        <v>0.66656124300095354</v>
      </c>
      <c r="K266" s="197">
        <v>0.11703238838239512</v>
      </c>
      <c r="L266" s="197">
        <v>3.328976568629332E-2</v>
      </c>
      <c r="M266" s="197">
        <v>0.18311660293035806</v>
      </c>
      <c r="N266" s="197"/>
      <c r="O266" s="197"/>
      <c r="P266" s="197"/>
      <c r="Q266" s="196"/>
    </row>
    <row r="267" spans="1:17" x14ac:dyDescent="0.35">
      <c r="A267" s="59" t="s">
        <v>1522</v>
      </c>
      <c r="B267" s="232">
        <v>34.585242673529898</v>
      </c>
      <c r="C267" s="145">
        <v>7.6959777818254915</v>
      </c>
      <c r="D267" s="145">
        <v>2.4167405813080749</v>
      </c>
      <c r="E267" s="145">
        <v>11.596959260695773</v>
      </c>
      <c r="F267" s="145"/>
      <c r="G267" s="145"/>
      <c r="H267" s="145"/>
      <c r="I267" s="144"/>
      <c r="J267" s="197">
        <v>0.61435814263249389</v>
      </c>
      <c r="K267" s="197">
        <v>0.13670820992682897</v>
      </c>
      <c r="L267" s="197">
        <v>4.2929993835011129E-2</v>
      </c>
      <c r="M267" s="197">
        <v>0.20600365360566608</v>
      </c>
      <c r="N267" s="197"/>
      <c r="O267" s="197"/>
      <c r="P267" s="197"/>
      <c r="Q267" s="196"/>
    </row>
    <row r="268" spans="1:17" x14ac:dyDescent="0.35">
      <c r="A268" s="59" t="s">
        <v>1521</v>
      </c>
      <c r="B268" s="232">
        <v>25.81317613136537</v>
      </c>
      <c r="C268" s="145">
        <v>5.6792728831808157</v>
      </c>
      <c r="D268" s="145">
        <v>1.7675754713838034</v>
      </c>
      <c r="E268" s="145">
        <v>8.6478988817321998</v>
      </c>
      <c r="F268" s="145"/>
      <c r="G268" s="145"/>
      <c r="H268" s="145"/>
      <c r="I268" s="144"/>
      <c r="J268" s="197">
        <v>0.61594977887364932</v>
      </c>
      <c r="K268" s="197">
        <v>0.13551787888309366</v>
      </c>
      <c r="L268" s="197">
        <v>4.2177596247771475E-2</v>
      </c>
      <c r="M268" s="197">
        <v>0.20635474599548542</v>
      </c>
      <c r="N268" s="197"/>
      <c r="O268" s="197"/>
      <c r="P268" s="197"/>
      <c r="Q268" s="196"/>
    </row>
    <row r="269" spans="1:17" x14ac:dyDescent="0.35">
      <c r="A269" s="59" t="s">
        <v>1520</v>
      </c>
      <c r="B269" s="232">
        <v>1051.15147604255</v>
      </c>
      <c r="C269" s="145">
        <v>248.80032851784219</v>
      </c>
      <c r="D269" s="145">
        <v>79.409968769222232</v>
      </c>
      <c r="E269" s="145">
        <v>343.97330329533378</v>
      </c>
      <c r="F269" s="145"/>
      <c r="G269" s="145"/>
      <c r="H269" s="145"/>
      <c r="I269" s="144"/>
      <c r="J269" s="197">
        <v>0.60995188358909813</v>
      </c>
      <c r="K269" s="197">
        <v>0.14437141789343902</v>
      </c>
      <c r="L269" s="197">
        <v>4.6079238939847986E-2</v>
      </c>
      <c r="M269" s="197">
        <v>0.19959745957761477</v>
      </c>
      <c r="N269" s="197"/>
      <c r="O269" s="197"/>
      <c r="P269" s="197"/>
      <c r="Q269" s="196"/>
    </row>
    <row r="270" spans="1:17" x14ac:dyDescent="0.35">
      <c r="A270" s="59" t="s">
        <v>1519</v>
      </c>
      <c r="B270" s="232">
        <v>1.7973173541153982</v>
      </c>
      <c r="C270" s="145">
        <v>0.35470825557572905</v>
      </c>
      <c r="D270" s="145">
        <v>0.10865615330106593</v>
      </c>
      <c r="E270" s="145">
        <v>0.59908483306737792</v>
      </c>
      <c r="F270" s="145"/>
      <c r="G270" s="145"/>
      <c r="H270" s="145"/>
      <c r="I270" s="144"/>
      <c r="J270" s="197">
        <v>0.62848393172781813</v>
      </c>
      <c r="K270" s="197">
        <v>0.12403398797107296</v>
      </c>
      <c r="L270" s="197">
        <v>3.7994762737204361E-2</v>
      </c>
      <c r="M270" s="197">
        <v>0.20948731756390465</v>
      </c>
      <c r="N270" s="197"/>
      <c r="O270" s="197"/>
      <c r="P270" s="197"/>
      <c r="Q270" s="196"/>
    </row>
    <row r="271" spans="1:17" x14ac:dyDescent="0.35">
      <c r="A271" s="57" t="s">
        <v>1518</v>
      </c>
      <c r="B271" s="231">
        <v>4.1341034856141539</v>
      </c>
      <c r="C271" s="142">
        <v>0.89764163922485707</v>
      </c>
      <c r="D271" s="142">
        <v>0.24342746897435935</v>
      </c>
      <c r="E271" s="142">
        <v>1.3507393099793195</v>
      </c>
      <c r="F271" s="142"/>
      <c r="G271" s="142"/>
      <c r="H271" s="142"/>
      <c r="I271" s="141"/>
      <c r="J271" s="194">
        <v>0.62392973912734662</v>
      </c>
      <c r="K271" s="194">
        <v>0.13547443012501337</v>
      </c>
      <c r="L271" s="194">
        <v>3.6738711970350953E-2</v>
      </c>
      <c r="M271" s="194">
        <v>0.20385711877728899</v>
      </c>
      <c r="N271" s="194"/>
      <c r="O271" s="194"/>
      <c r="P271" s="194"/>
      <c r="Q271" s="193"/>
    </row>
    <row r="273" spans="1:17" ht="13.15" x14ac:dyDescent="0.4">
      <c r="A273" s="41" t="s">
        <v>2237</v>
      </c>
    </row>
    <row r="274" spans="1:17" ht="13.15" x14ac:dyDescent="0.4">
      <c r="A274" s="131"/>
      <c r="B274" s="2193" t="s">
        <v>2229</v>
      </c>
      <c r="C274" s="2194"/>
      <c r="D274" s="2194"/>
      <c r="E274" s="2194"/>
      <c r="F274" s="2194"/>
      <c r="G274" s="2194"/>
      <c r="H274" s="2194"/>
      <c r="I274" s="2195"/>
      <c r="J274" s="2194" t="s">
        <v>2228</v>
      </c>
      <c r="K274" s="2194"/>
      <c r="L274" s="2194"/>
      <c r="M274" s="2194"/>
      <c r="N274" s="2194"/>
      <c r="O274" s="2194"/>
      <c r="P274" s="2194"/>
      <c r="Q274" s="2195"/>
    </row>
    <row r="275" spans="1:17" ht="52.5" x14ac:dyDescent="0.4">
      <c r="A275" s="59"/>
      <c r="B275" s="653" t="s">
        <v>405</v>
      </c>
      <c r="C275" s="652" t="s">
        <v>1830</v>
      </c>
      <c r="D275" s="652" t="s">
        <v>1829</v>
      </c>
      <c r="E275" s="652" t="s">
        <v>1503</v>
      </c>
      <c r="F275" s="652" t="s">
        <v>1501</v>
      </c>
      <c r="G275" s="652" t="s">
        <v>1500</v>
      </c>
      <c r="H275" s="180" t="s">
        <v>1499</v>
      </c>
      <c r="I275" s="651" t="s">
        <v>2227</v>
      </c>
      <c r="J275" s="653" t="s">
        <v>405</v>
      </c>
      <c r="K275" s="652" t="s">
        <v>1830</v>
      </c>
      <c r="L275" s="652" t="s">
        <v>1829</v>
      </c>
      <c r="M275" s="652" t="s">
        <v>1503</v>
      </c>
      <c r="N275" s="652" t="s">
        <v>1501</v>
      </c>
      <c r="O275" s="652" t="s">
        <v>1500</v>
      </c>
      <c r="P275" s="180" t="s">
        <v>1499</v>
      </c>
      <c r="Q275" s="651" t="s">
        <v>2227</v>
      </c>
    </row>
    <row r="276" spans="1:17" ht="13.15" x14ac:dyDescent="0.4">
      <c r="A276" s="128" t="s">
        <v>2226</v>
      </c>
      <c r="B276" s="650"/>
      <c r="C276" s="198"/>
      <c r="D276" s="198"/>
      <c r="E276" s="198"/>
      <c r="I276" s="99"/>
      <c r="J276" s="198"/>
      <c r="K276" s="198"/>
      <c r="L276" s="198"/>
      <c r="M276" s="198"/>
      <c r="Q276" s="99"/>
    </row>
    <row r="277" spans="1:17" x14ac:dyDescent="0.35">
      <c r="A277" s="59" t="s">
        <v>1537</v>
      </c>
      <c r="B277" s="232">
        <v>27.637893679262195</v>
      </c>
      <c r="C277" s="145">
        <v>13.881194646997411</v>
      </c>
      <c r="D277" s="145">
        <v>3.5840933481225563</v>
      </c>
      <c r="E277" s="145">
        <v>25.203295956147663</v>
      </c>
      <c r="F277" s="145">
        <v>1.5927181476358852</v>
      </c>
      <c r="G277" s="145">
        <v>1.5927181476358852</v>
      </c>
      <c r="H277" s="145">
        <v>1.5464859755844926</v>
      </c>
      <c r="I277" s="144"/>
      <c r="J277" s="197">
        <v>0.36831667140535157</v>
      </c>
      <c r="K277" s="197">
        <v>0.18498788174107902</v>
      </c>
      <c r="L277" s="197">
        <v>4.7763456481384151E-2</v>
      </c>
      <c r="M277" s="197">
        <v>0.33587198006979496</v>
      </c>
      <c r="N277" s="197">
        <v>2.1225374604589141E-2</v>
      </c>
      <c r="O277" s="197">
        <v>2.1225374604589141E-2</v>
      </c>
      <c r="P277" s="197">
        <v>2.0609261093211637E-2</v>
      </c>
      <c r="Q277" s="196"/>
    </row>
    <row r="278" spans="1:17" x14ac:dyDescent="0.35">
      <c r="A278" s="59" t="s">
        <v>1536</v>
      </c>
      <c r="B278" s="232">
        <v>25.630815472631891</v>
      </c>
      <c r="C278" s="145">
        <v>12.592048159888982</v>
      </c>
      <c r="D278" s="145">
        <v>2.7671399763617299</v>
      </c>
      <c r="E278" s="145">
        <v>23.513930798900365</v>
      </c>
      <c r="F278" s="145">
        <v>1.3157923454259588</v>
      </c>
      <c r="G278" s="145">
        <v>1.3157923454259588</v>
      </c>
      <c r="H278" s="145">
        <v>1.33183550706512</v>
      </c>
      <c r="I278" s="144"/>
      <c r="J278" s="197">
        <v>0.37435089496649088</v>
      </c>
      <c r="K278" s="197">
        <v>0.18391316901910323</v>
      </c>
      <c r="L278" s="197">
        <v>4.0415465038740689E-2</v>
      </c>
      <c r="M278" s="197">
        <v>0.34343273424708592</v>
      </c>
      <c r="N278" s="197">
        <v>1.9217806106334025E-2</v>
      </c>
      <c r="O278" s="197">
        <v>1.9217806106334025E-2</v>
      </c>
      <c r="P278" s="197">
        <v>1.9452124515911159E-2</v>
      </c>
      <c r="Q278" s="196"/>
    </row>
    <row r="279" spans="1:17" x14ac:dyDescent="0.35">
      <c r="A279" s="59" t="s">
        <v>1535</v>
      </c>
      <c r="B279" s="232">
        <v>11.145320032641669</v>
      </c>
      <c r="C279" s="145">
        <v>6.3692027893837899</v>
      </c>
      <c r="D279" s="145">
        <v>1.4542670969242704</v>
      </c>
      <c r="E279" s="145">
        <v>11.278001465605778</v>
      </c>
      <c r="F279" s="145">
        <v>0.56674381783346361</v>
      </c>
      <c r="G279" s="145">
        <v>0.56674381783346361</v>
      </c>
      <c r="H279" s="145">
        <v>0.24241025458670593</v>
      </c>
      <c r="I279" s="144"/>
      <c r="J279" s="197">
        <v>0.35244693883515171</v>
      </c>
      <c r="K279" s="197">
        <v>0.2014124331436144</v>
      </c>
      <c r="L279" s="197">
        <v>4.5988090522166611E-2</v>
      </c>
      <c r="M279" s="197">
        <v>0.35664270573565388</v>
      </c>
      <c r="N279" s="197">
        <v>1.7922062633836004E-2</v>
      </c>
      <c r="O279" s="197">
        <v>1.7922062633836004E-2</v>
      </c>
      <c r="P279" s="197">
        <v>7.6657064957410684E-3</v>
      </c>
      <c r="Q279" s="196"/>
    </row>
    <row r="280" spans="1:17" x14ac:dyDescent="0.35">
      <c r="A280" s="59" t="s">
        <v>1534</v>
      </c>
      <c r="B280" s="232">
        <v>11.742733474610572</v>
      </c>
      <c r="C280" s="145">
        <v>5.0582793225320088</v>
      </c>
      <c r="D280" s="145">
        <v>1.0144385660183837</v>
      </c>
      <c r="E280" s="145">
        <v>8.8342821663039217</v>
      </c>
      <c r="F280" s="145">
        <v>0.61246215564952888</v>
      </c>
      <c r="G280" s="145">
        <v>0.61246215564952888</v>
      </c>
      <c r="H280" s="145">
        <v>0.84073231764637857</v>
      </c>
      <c r="I280" s="144"/>
      <c r="J280" s="197">
        <v>0.40893518805877327</v>
      </c>
      <c r="K280" s="197">
        <v>0.17615220599921091</v>
      </c>
      <c r="L280" s="197">
        <v>3.5327347475418831E-2</v>
      </c>
      <c r="M280" s="197">
        <v>0.30764973477877294</v>
      </c>
      <c r="N280" s="197">
        <v>2.1328707437748239E-2</v>
      </c>
      <c r="O280" s="197">
        <v>2.1328707437748239E-2</v>
      </c>
      <c r="P280" s="197">
        <v>2.9278108812327602E-2</v>
      </c>
      <c r="Q280" s="196"/>
    </row>
    <row r="281" spans="1:17" x14ac:dyDescent="0.35">
      <c r="A281" s="59" t="s">
        <v>1533</v>
      </c>
      <c r="B281" s="232">
        <v>2.7427619653796507</v>
      </c>
      <c r="C281" s="145">
        <v>1.1645660479731852</v>
      </c>
      <c r="D281" s="145">
        <v>0.29843431341907639</v>
      </c>
      <c r="E281" s="145">
        <v>3.4016471669906654</v>
      </c>
      <c r="F281" s="145">
        <v>0.13658637194296627</v>
      </c>
      <c r="G281" s="145">
        <v>0.13658637194296627</v>
      </c>
      <c r="H281" s="145">
        <v>0.24869293483203553</v>
      </c>
      <c r="I281" s="144"/>
      <c r="J281" s="197">
        <v>0.33739317555205006</v>
      </c>
      <c r="K281" s="197">
        <v>0.14325582825828156</v>
      </c>
      <c r="L281" s="197">
        <v>3.6711060591151444E-2</v>
      </c>
      <c r="M281" s="197">
        <v>0.41844409185532538</v>
      </c>
      <c r="N281" s="197">
        <v>1.6801789710027576E-2</v>
      </c>
      <c r="O281" s="197">
        <v>1.6801789710027576E-2</v>
      </c>
      <c r="P281" s="197">
        <v>3.0592264323136453E-2</v>
      </c>
      <c r="Q281" s="196"/>
    </row>
    <row r="282" spans="1:17" x14ac:dyDescent="0.35">
      <c r="A282" s="59" t="s">
        <v>1532</v>
      </c>
      <c r="B282" s="49">
        <v>2929.8934129566924</v>
      </c>
      <c r="C282" s="48">
        <v>1795.2656584118977</v>
      </c>
      <c r="D282" s="48">
        <v>1130.7577570533845</v>
      </c>
      <c r="E282" s="48">
        <v>2492.0274486409771</v>
      </c>
      <c r="F282" s="48">
        <v>352.04109570855854</v>
      </c>
      <c r="G282" s="48">
        <v>352.04109570855854</v>
      </c>
      <c r="H282" s="48">
        <v>280.43648243163062</v>
      </c>
      <c r="I282" s="47"/>
      <c r="J282" s="197">
        <v>0.31394642854386773</v>
      </c>
      <c r="K282" s="197">
        <v>0.19236783128472171</v>
      </c>
      <c r="L282" s="197">
        <v>0.12116391599957217</v>
      </c>
      <c r="M282" s="197">
        <v>0.26702784267657104</v>
      </c>
      <c r="N282" s="197">
        <v>3.7722206620082778E-2</v>
      </c>
      <c r="O282" s="197">
        <v>3.7722206620082778E-2</v>
      </c>
      <c r="P282" s="197">
        <v>3.0049568255101883E-2</v>
      </c>
      <c r="Q282" s="196"/>
    </row>
    <row r="283" spans="1:17" ht="13.15" x14ac:dyDescent="0.4">
      <c r="A283" s="128" t="s">
        <v>2225</v>
      </c>
      <c r="B283" s="232"/>
      <c r="C283" s="145"/>
      <c r="D283" s="145"/>
      <c r="E283" s="145"/>
      <c r="F283" s="145"/>
      <c r="G283" s="145"/>
      <c r="H283" s="145"/>
      <c r="I283" s="144"/>
      <c r="J283" s="197"/>
      <c r="K283" s="197"/>
      <c r="L283" s="197"/>
      <c r="M283" s="197"/>
      <c r="N283" s="197"/>
      <c r="O283" s="197"/>
      <c r="P283" s="197"/>
      <c r="Q283" s="196"/>
    </row>
    <row r="284" spans="1:17" x14ac:dyDescent="0.35">
      <c r="A284" s="59" t="s">
        <v>1525</v>
      </c>
      <c r="B284" s="232">
        <v>1549.9291230802551</v>
      </c>
      <c r="C284" s="145">
        <v>776.36010801960879</v>
      </c>
      <c r="D284" s="145">
        <v>138.70510820736675</v>
      </c>
      <c r="E284" s="145">
        <v>2430.1290366018247</v>
      </c>
      <c r="F284" s="145">
        <v>49.923073279336286</v>
      </c>
      <c r="G284" s="145">
        <v>49.923073279336286</v>
      </c>
      <c r="H284" s="145">
        <v>28.315197261061506</v>
      </c>
      <c r="I284" s="144"/>
      <c r="J284" s="197">
        <v>0.30854892954662871</v>
      </c>
      <c r="K284" s="197">
        <v>0.15455228029788542</v>
      </c>
      <c r="L284" s="197">
        <v>2.7612432093010151E-2</v>
      </c>
      <c r="M284" s="197">
        <v>0.48377290402384932</v>
      </c>
      <c r="N284" s="197">
        <v>9.938332398970939E-3</v>
      </c>
      <c r="O284" s="197">
        <v>9.938332398970939E-3</v>
      </c>
      <c r="P284" s="197">
        <v>5.6367892406843818E-3</v>
      </c>
      <c r="Q284" s="196"/>
    </row>
    <row r="285" spans="1:17" x14ac:dyDescent="0.35">
      <c r="A285" s="59" t="s">
        <v>1524</v>
      </c>
      <c r="B285" s="232">
        <v>10436.096415113054</v>
      </c>
      <c r="C285" s="145">
        <v>3757.8681139846017</v>
      </c>
      <c r="D285" s="145">
        <v>906.94473253972035</v>
      </c>
      <c r="E285" s="145">
        <v>9802.8408203699382</v>
      </c>
      <c r="F285" s="145">
        <v>327.35384567406038</v>
      </c>
      <c r="G285" s="145">
        <v>327.35384567406038</v>
      </c>
      <c r="H285" s="145">
        <v>112.8468913930926</v>
      </c>
      <c r="I285" s="144"/>
      <c r="J285" s="197">
        <v>0.40652769897759622</v>
      </c>
      <c r="K285" s="197">
        <v>0.14638399423247281</v>
      </c>
      <c r="L285" s="197">
        <v>3.5329125043851932E-2</v>
      </c>
      <c r="M285" s="197">
        <v>0.38185986058710358</v>
      </c>
      <c r="N285" s="197">
        <v>1.2751741680023685E-2</v>
      </c>
      <c r="O285" s="197">
        <v>1.2751741680023685E-2</v>
      </c>
      <c r="P285" s="197">
        <v>4.3958377989277778E-3</v>
      </c>
      <c r="Q285" s="196"/>
    </row>
    <row r="286" spans="1:17" x14ac:dyDescent="0.35">
      <c r="A286" s="59" t="s">
        <v>1523</v>
      </c>
      <c r="B286" s="232">
        <v>2109.4398044453092</v>
      </c>
      <c r="C286" s="145">
        <v>958.65484224815657</v>
      </c>
      <c r="D286" s="145">
        <v>277.90489955972402</v>
      </c>
      <c r="E286" s="145">
        <v>2147.7236280317152</v>
      </c>
      <c r="F286" s="145">
        <v>148.3366412398708</v>
      </c>
      <c r="G286" s="145">
        <v>148.3366412398708</v>
      </c>
      <c r="H286" s="145">
        <v>103.8834688471086</v>
      </c>
      <c r="I286" s="144"/>
      <c r="J286" s="197">
        <v>0.35787913554620909</v>
      </c>
      <c r="K286" s="197">
        <v>0.16264155322563162</v>
      </c>
      <c r="L286" s="197">
        <v>4.7148235758565665E-2</v>
      </c>
      <c r="M286" s="197">
        <v>0.36437421621247601</v>
      </c>
      <c r="N286" s="197">
        <v>2.5166202337171015E-2</v>
      </c>
      <c r="O286" s="197">
        <v>2.5166202337171015E-2</v>
      </c>
      <c r="P286" s="197">
        <v>1.7624454582775305E-2</v>
      </c>
      <c r="Q286" s="196"/>
    </row>
    <row r="287" spans="1:17" x14ac:dyDescent="0.35">
      <c r="A287" s="59" t="s">
        <v>1522</v>
      </c>
      <c r="B287" s="232">
        <v>947.40754468645616</v>
      </c>
      <c r="C287" s="145">
        <v>493.36356942778326</v>
      </c>
      <c r="D287" s="145">
        <v>139.96073790242605</v>
      </c>
      <c r="E287" s="145">
        <v>944.17715967684535</v>
      </c>
      <c r="F287" s="145">
        <v>51.416047641630598</v>
      </c>
      <c r="G287" s="145">
        <v>51.416047641630598</v>
      </c>
      <c r="H287" s="145">
        <v>36.379880530286115</v>
      </c>
      <c r="I287" s="144"/>
      <c r="J287" s="197">
        <v>0.35561731209999942</v>
      </c>
      <c r="K287" s="197">
        <v>0.18518812461645989</v>
      </c>
      <c r="L287" s="197">
        <v>5.253542859305118E-2</v>
      </c>
      <c r="M287" s="197">
        <v>0.35440476018334133</v>
      </c>
      <c r="N287" s="197">
        <v>1.929944168554559E-2</v>
      </c>
      <c r="O287" s="197">
        <v>1.929944168554559E-2</v>
      </c>
      <c r="P287" s="197">
        <v>1.3655491136057024E-2</v>
      </c>
      <c r="Q287" s="196"/>
    </row>
    <row r="288" spans="1:17" x14ac:dyDescent="0.35">
      <c r="A288" s="59" t="s">
        <v>1521</v>
      </c>
      <c r="B288" s="232">
        <v>424.75405999148893</v>
      </c>
      <c r="C288" s="145">
        <v>228.88342568631199</v>
      </c>
      <c r="D288" s="145">
        <v>68.478559333202568</v>
      </c>
      <c r="E288" s="145">
        <v>455.78253351807689</v>
      </c>
      <c r="F288" s="145">
        <v>25.613801372988195</v>
      </c>
      <c r="G288" s="145">
        <v>25.613801372988195</v>
      </c>
      <c r="H288" s="145">
        <v>16.275167174161748</v>
      </c>
      <c r="I288" s="144"/>
      <c r="J288" s="197">
        <v>0.34105797341587535</v>
      </c>
      <c r="K288" s="197">
        <v>0.18378286322824289</v>
      </c>
      <c r="L288" s="197">
        <v>5.4985133441900064E-2</v>
      </c>
      <c r="M288" s="197">
        <v>0.36597241048889184</v>
      </c>
      <c r="N288" s="197">
        <v>2.0566704383998505E-2</v>
      </c>
      <c r="O288" s="197">
        <v>2.0566704383998505E-2</v>
      </c>
      <c r="P288" s="197">
        <v>1.306821065709274E-2</v>
      </c>
      <c r="Q288" s="196"/>
    </row>
    <row r="289" spans="1:17" x14ac:dyDescent="0.35">
      <c r="A289" s="59" t="s">
        <v>1520</v>
      </c>
      <c r="B289" s="232">
        <v>8849.1706505698403</v>
      </c>
      <c r="C289" s="145">
        <v>4353.366388309717</v>
      </c>
      <c r="D289" s="145">
        <v>2826.6585638100937</v>
      </c>
      <c r="E289" s="145">
        <v>7742.6523423117642</v>
      </c>
      <c r="F289" s="145">
        <v>1911.4108598342721</v>
      </c>
      <c r="G289" s="145">
        <v>1911.4108598342721</v>
      </c>
      <c r="H289" s="145">
        <v>663.84454462990414</v>
      </c>
      <c r="I289" s="144"/>
      <c r="J289" s="197">
        <v>0.31315059896735764</v>
      </c>
      <c r="K289" s="197">
        <v>0.15405503474337037</v>
      </c>
      <c r="L289" s="197">
        <v>0.10002856282089456</v>
      </c>
      <c r="M289" s="197">
        <v>0.27399361073851713</v>
      </c>
      <c r="N289" s="197">
        <v>6.7640175476926787E-2</v>
      </c>
      <c r="O289" s="197">
        <v>6.7640175476926787E-2</v>
      </c>
      <c r="P289" s="197">
        <v>2.3491841776006508E-2</v>
      </c>
      <c r="Q289" s="196"/>
    </row>
    <row r="290" spans="1:17" x14ac:dyDescent="0.35">
      <c r="A290" s="59" t="s">
        <v>1519</v>
      </c>
      <c r="B290" s="232">
        <v>12.779735346324662</v>
      </c>
      <c r="C290" s="145">
        <v>6.1346614671783906</v>
      </c>
      <c r="D290" s="145">
        <v>2.4324556883979902</v>
      </c>
      <c r="E290" s="145">
        <v>13.342957268664883</v>
      </c>
      <c r="F290" s="145">
        <v>1.5320695493796963</v>
      </c>
      <c r="G290" s="145">
        <v>1.5320695493796963</v>
      </c>
      <c r="H290" s="145">
        <v>0.92179807948253267</v>
      </c>
      <c r="I290" s="144"/>
      <c r="J290" s="197">
        <v>0.33043279973985318</v>
      </c>
      <c r="K290" s="197">
        <v>0.15861778895436399</v>
      </c>
      <c r="L290" s="197">
        <v>6.2893567165429209E-2</v>
      </c>
      <c r="M290" s="197">
        <v>0.34499546411672261</v>
      </c>
      <c r="N290" s="197">
        <v>3.9613185788178323E-2</v>
      </c>
      <c r="O290" s="197">
        <v>3.9613185788178323E-2</v>
      </c>
      <c r="P290" s="197">
        <v>2.3834008447274381E-2</v>
      </c>
      <c r="Q290" s="196"/>
    </row>
    <row r="291" spans="1:17" x14ac:dyDescent="0.35">
      <c r="A291" s="59" t="s">
        <v>1518</v>
      </c>
      <c r="B291" s="232">
        <v>22.904869863994421</v>
      </c>
      <c r="C291" s="145">
        <v>11.07673764717512</v>
      </c>
      <c r="D291" s="145">
        <v>2.993724346598869</v>
      </c>
      <c r="E291" s="145">
        <v>24.235321875152838</v>
      </c>
      <c r="F291" s="145">
        <v>1.6493922292526135</v>
      </c>
      <c r="G291" s="145">
        <v>1.6493922292526135</v>
      </c>
      <c r="H291" s="145">
        <v>1.3359223953047006</v>
      </c>
      <c r="I291" s="144"/>
      <c r="J291" s="197">
        <v>0.34785852275536161</v>
      </c>
      <c r="K291" s="197">
        <v>0.16822350957566548</v>
      </c>
      <c r="L291" s="197">
        <v>4.5465987579421788E-2</v>
      </c>
      <c r="M291" s="197">
        <v>0.36806422896310498</v>
      </c>
      <c r="N291" s="197">
        <v>2.5049482826964582E-2</v>
      </c>
      <c r="O291" s="197">
        <v>2.5049482826964582E-2</v>
      </c>
      <c r="P291" s="197">
        <v>2.0288785472516779E-2</v>
      </c>
      <c r="Q291" s="196"/>
    </row>
    <row r="292" spans="1:17" x14ac:dyDescent="0.35">
      <c r="A292" s="59" t="s">
        <v>1531</v>
      </c>
      <c r="B292" s="232">
        <v>5232.0708790457684</v>
      </c>
      <c r="C292" s="145">
        <v>2268.9100415134935</v>
      </c>
      <c r="D292" s="145">
        <v>440.56693590390108</v>
      </c>
      <c r="E292" s="145">
        <v>3749.7116062256327</v>
      </c>
      <c r="F292" s="145">
        <v>216.3505178922484</v>
      </c>
      <c r="G292" s="145">
        <v>216.3505178922484</v>
      </c>
      <c r="H292" s="145">
        <v>288.098452159484</v>
      </c>
      <c r="I292" s="144"/>
      <c r="J292" s="197">
        <v>0.42153126244852662</v>
      </c>
      <c r="K292" s="197">
        <v>0.18279884510199035</v>
      </c>
      <c r="L292" s="197">
        <v>3.5495072788180773E-2</v>
      </c>
      <c r="M292" s="197">
        <v>0.30210230398837007</v>
      </c>
      <c r="N292" s="197">
        <v>1.743067115236499E-2</v>
      </c>
      <c r="O292" s="197">
        <v>1.743067115236499E-2</v>
      </c>
      <c r="P292" s="197">
        <v>2.3211173368202262E-2</v>
      </c>
      <c r="Q292" s="196"/>
    </row>
    <row r="293" spans="1:17" x14ac:dyDescent="0.35">
      <c r="A293" s="59" t="s">
        <v>1530</v>
      </c>
      <c r="B293" s="232">
        <v>47.302578178326698</v>
      </c>
      <c r="C293" s="145">
        <v>17.675736876424054</v>
      </c>
      <c r="D293" s="145">
        <v>3.3950412220611006</v>
      </c>
      <c r="E293" s="145">
        <v>29.638566617268417</v>
      </c>
      <c r="F293" s="145">
        <v>1.7989900968721229</v>
      </c>
      <c r="G293" s="145">
        <v>1.7989900968721229</v>
      </c>
      <c r="H293" s="145">
        <v>3.0586464455688249</v>
      </c>
      <c r="I293" s="144"/>
      <c r="J293" s="197">
        <v>0.45192733050375683</v>
      </c>
      <c r="K293" s="197">
        <v>0.16887342907894989</v>
      </c>
      <c r="L293" s="197">
        <v>3.2436116074943316E-2</v>
      </c>
      <c r="M293" s="197">
        <v>0.28316592471564306</v>
      </c>
      <c r="N293" s="197">
        <v>1.7187494284500188E-2</v>
      </c>
      <c r="O293" s="197">
        <v>1.7187494284500188E-2</v>
      </c>
      <c r="P293" s="197">
        <v>2.9222211057706476E-2</v>
      </c>
      <c r="Q293" s="196"/>
    </row>
    <row r="294" spans="1:17" x14ac:dyDescent="0.35">
      <c r="A294" s="59" t="s">
        <v>1529</v>
      </c>
      <c r="B294" s="49">
        <v>1832942.4967646312</v>
      </c>
      <c r="C294" s="48">
        <v>814291.5859964554</v>
      </c>
      <c r="D294" s="48">
        <v>246086.18069263635</v>
      </c>
      <c r="E294" s="48">
        <v>1919272.7598854755</v>
      </c>
      <c r="F294" s="48">
        <v>109101.1943287718</v>
      </c>
      <c r="G294" s="48">
        <v>109101.1943287718</v>
      </c>
      <c r="H294" s="48">
        <v>79417.511894733077</v>
      </c>
      <c r="I294" s="47"/>
      <c r="J294" s="197">
        <v>0.35868221619400326</v>
      </c>
      <c r="K294" s="197">
        <v>0.15934592122168656</v>
      </c>
      <c r="L294" s="197">
        <v>4.8155758743852778E-2</v>
      </c>
      <c r="M294" s="197">
        <v>0.3755758886116885</v>
      </c>
      <c r="N294" s="197">
        <v>2.134963766748299E-2</v>
      </c>
      <c r="O294" s="197">
        <v>2.134963766748299E-2</v>
      </c>
      <c r="P294" s="197">
        <v>1.5540939893803075E-2</v>
      </c>
      <c r="Q294" s="196"/>
    </row>
    <row r="295" spans="1:17" x14ac:dyDescent="0.35">
      <c r="A295" s="59" t="s">
        <v>1528</v>
      </c>
      <c r="B295" s="49">
        <v>1854172.6892791227</v>
      </c>
      <c r="C295" s="48">
        <v>822616.46298842551</v>
      </c>
      <c r="D295" s="48">
        <v>247943.67714530218</v>
      </c>
      <c r="E295" s="48">
        <v>1942251.1261958466</v>
      </c>
      <c r="F295" s="48">
        <v>109771.2010932183</v>
      </c>
      <c r="G295" s="48">
        <v>109771.2010932183</v>
      </c>
      <c r="H295" s="48">
        <v>79683.091755528716</v>
      </c>
      <c r="I295" s="47"/>
      <c r="J295" s="197">
        <v>0.35890389411919627</v>
      </c>
      <c r="K295" s="197">
        <v>0.15923018046819093</v>
      </c>
      <c r="L295" s="197">
        <v>4.7993345907968811E-2</v>
      </c>
      <c r="M295" s="197">
        <v>0.37595284224583186</v>
      </c>
      <c r="N295" s="197">
        <v>2.1247919226884182E-2</v>
      </c>
      <c r="O295" s="197">
        <v>2.1247919226884182E-2</v>
      </c>
      <c r="P295" s="197">
        <v>1.5423898805043459E-2</v>
      </c>
      <c r="Q295" s="196"/>
    </row>
    <row r="296" spans="1:17" x14ac:dyDescent="0.35">
      <c r="A296" s="59" t="s">
        <v>1527</v>
      </c>
      <c r="B296" s="49">
        <v>2030874.2924227458</v>
      </c>
      <c r="C296" s="48">
        <v>903583.48208002909</v>
      </c>
      <c r="D296" s="48">
        <v>270524.77345957281</v>
      </c>
      <c r="E296" s="48">
        <v>2063365.5608797548</v>
      </c>
      <c r="F296" s="48">
        <v>119024.60152407542</v>
      </c>
      <c r="G296" s="48">
        <v>119024.60152407542</v>
      </c>
      <c r="H296" s="48">
        <v>91463.027371170072</v>
      </c>
      <c r="I296" s="47"/>
      <c r="J296" s="197">
        <v>0.36279474108685916</v>
      </c>
      <c r="K296" s="197">
        <v>0.16141586737036154</v>
      </c>
      <c r="L296" s="197">
        <v>4.8326459944383962E-2</v>
      </c>
      <c r="M296" s="197">
        <v>0.36859897100469519</v>
      </c>
      <c r="N296" s="197">
        <v>2.126251716022258E-2</v>
      </c>
      <c r="O296" s="197">
        <v>2.126251716022258E-2</v>
      </c>
      <c r="P296" s="197">
        <v>1.6338926273254901E-2</v>
      </c>
      <c r="Q296" s="196"/>
    </row>
    <row r="297" spans="1:17" ht="13.15" x14ac:dyDescent="0.4">
      <c r="A297" s="128" t="s">
        <v>2224</v>
      </c>
      <c r="B297" s="232"/>
      <c r="C297" s="145"/>
      <c r="D297" s="145"/>
      <c r="E297" s="145"/>
      <c r="F297" s="145"/>
      <c r="G297" s="145"/>
      <c r="H297" s="145"/>
      <c r="I297" s="144"/>
      <c r="J297" s="197"/>
      <c r="K297" s="197"/>
      <c r="L297" s="197"/>
      <c r="M297" s="197"/>
      <c r="N297" s="197"/>
      <c r="O297" s="197"/>
      <c r="P297" s="197"/>
      <c r="Q297" s="196"/>
    </row>
    <row r="298" spans="1:17" x14ac:dyDescent="0.35">
      <c r="A298" s="59" t="s">
        <v>1525</v>
      </c>
      <c r="B298" s="232">
        <v>12.284758063648113</v>
      </c>
      <c r="C298" s="145">
        <v>5.8064409243504569</v>
      </c>
      <c r="D298" s="145">
        <v>1.5802120744836623</v>
      </c>
      <c r="E298" s="145">
        <v>12.775555453430901</v>
      </c>
      <c r="F298" s="145">
        <v>0.7991279716145534</v>
      </c>
      <c r="G298" s="145">
        <v>0.7991279716145534</v>
      </c>
      <c r="H298" s="145">
        <v>0.87743072558269108</v>
      </c>
      <c r="I298" s="144"/>
      <c r="J298" s="197">
        <v>0.35177046825930824</v>
      </c>
      <c r="K298" s="197">
        <v>0.16626574429030427</v>
      </c>
      <c r="L298" s="197">
        <v>4.5248912392911837E-2</v>
      </c>
      <c r="M298" s="197">
        <v>0.365824308532746</v>
      </c>
      <c r="N298" s="197">
        <v>2.2882796658877269E-2</v>
      </c>
      <c r="O298" s="197">
        <v>2.2882796658877269E-2</v>
      </c>
      <c r="P298" s="197">
        <v>2.5124973206974911E-2</v>
      </c>
      <c r="Q298" s="196"/>
    </row>
    <row r="299" spans="1:17" x14ac:dyDescent="0.35">
      <c r="A299" s="59" t="s">
        <v>1524</v>
      </c>
      <c r="B299" s="232">
        <v>62.840951657677948</v>
      </c>
      <c r="C299" s="145">
        <v>27.200923301053397</v>
      </c>
      <c r="D299" s="145">
        <v>7.5320129259403101</v>
      </c>
      <c r="E299" s="145">
        <v>54.542959434293053</v>
      </c>
      <c r="F299" s="145">
        <v>3.7632283345950381</v>
      </c>
      <c r="G299" s="145">
        <v>3.7632283345950381</v>
      </c>
      <c r="H299" s="145">
        <v>3.4678717629003124</v>
      </c>
      <c r="I299" s="144"/>
      <c r="J299" s="197">
        <v>0.38526453732138866</v>
      </c>
      <c r="K299" s="197">
        <v>0.16676308766585202</v>
      </c>
      <c r="L299" s="197">
        <v>4.617717266311587E-2</v>
      </c>
      <c r="M299" s="197">
        <v>0.3343913081562116</v>
      </c>
      <c r="N299" s="197">
        <v>2.3071554216116889E-2</v>
      </c>
      <c r="O299" s="197">
        <v>2.3071554216116889E-2</v>
      </c>
      <c r="P299" s="197">
        <v>2.1260785761198095E-2</v>
      </c>
      <c r="Q299" s="196"/>
    </row>
    <row r="300" spans="1:17" x14ac:dyDescent="0.35">
      <c r="A300" s="59" t="s">
        <v>1523</v>
      </c>
      <c r="B300" s="232">
        <v>136.13250895959737</v>
      </c>
      <c r="C300" s="145">
        <v>60.284316950281678</v>
      </c>
      <c r="D300" s="145">
        <v>19.404254455417082</v>
      </c>
      <c r="E300" s="145">
        <v>121.84071734874259</v>
      </c>
      <c r="F300" s="145">
        <v>8.8244721720203625</v>
      </c>
      <c r="G300" s="145">
        <v>8.8244721720203625</v>
      </c>
      <c r="H300" s="145">
        <v>6.7571582180713143</v>
      </c>
      <c r="I300" s="144"/>
      <c r="J300" s="197">
        <v>0.37598613093226019</v>
      </c>
      <c r="K300" s="197">
        <v>0.16650003191197715</v>
      </c>
      <c r="L300" s="197">
        <v>5.3592860456884932E-2</v>
      </c>
      <c r="M300" s="197">
        <v>0.3365134474937273</v>
      </c>
      <c r="N300" s="197">
        <v>2.4372423419170539E-2</v>
      </c>
      <c r="O300" s="197">
        <v>2.4372423419170539E-2</v>
      </c>
      <c r="P300" s="197">
        <v>1.8662682366809093E-2</v>
      </c>
      <c r="Q300" s="196"/>
    </row>
    <row r="301" spans="1:17" x14ac:dyDescent="0.35">
      <c r="A301" s="59" t="s">
        <v>1522</v>
      </c>
      <c r="B301" s="232">
        <v>13.202533333221096</v>
      </c>
      <c r="C301" s="145">
        <v>5.9327045582243665</v>
      </c>
      <c r="D301" s="145">
        <v>2.2926430319793543</v>
      </c>
      <c r="E301" s="145">
        <v>12.665061602407722</v>
      </c>
      <c r="F301" s="145">
        <v>0.97709693685954879</v>
      </c>
      <c r="G301" s="145">
        <v>0.97709693685954879</v>
      </c>
      <c r="H301" s="145">
        <v>0.59939834133904235</v>
      </c>
      <c r="I301" s="144"/>
      <c r="J301" s="197">
        <v>0.36026689635376458</v>
      </c>
      <c r="K301" s="197">
        <v>0.16188991947455753</v>
      </c>
      <c r="L301" s="197">
        <v>6.256097740726338E-2</v>
      </c>
      <c r="M301" s="197">
        <v>0.34560052381367129</v>
      </c>
      <c r="N301" s="197">
        <v>2.6662737521244848E-2</v>
      </c>
      <c r="O301" s="197">
        <v>2.6662737521244848E-2</v>
      </c>
      <c r="P301" s="197">
        <v>1.6356207908253487E-2</v>
      </c>
      <c r="Q301" s="196"/>
    </row>
    <row r="302" spans="1:17" x14ac:dyDescent="0.35">
      <c r="A302" s="59" t="s">
        <v>1521</v>
      </c>
      <c r="B302" s="232">
        <v>9.7940588127088315</v>
      </c>
      <c r="C302" s="145">
        <v>4.3946883061564748</v>
      </c>
      <c r="D302" s="145">
        <v>1.6741239954766833</v>
      </c>
      <c r="E302" s="145">
        <v>9.4700445385127878</v>
      </c>
      <c r="F302" s="145">
        <v>0.71208642316314053</v>
      </c>
      <c r="G302" s="145">
        <v>0.71208642316314053</v>
      </c>
      <c r="H302" s="145">
        <v>0.44124086940170459</v>
      </c>
      <c r="I302" s="144"/>
      <c r="J302" s="197">
        <v>0.36009780894932863</v>
      </c>
      <c r="K302" s="197">
        <v>0.16157934726802931</v>
      </c>
      <c r="L302" s="197">
        <v>6.1552456872975857E-2</v>
      </c>
      <c r="M302" s="197">
        <v>0.34818478775581674</v>
      </c>
      <c r="N302" s="197">
        <v>2.6181255970290702E-2</v>
      </c>
      <c r="O302" s="197">
        <v>2.6181255970290702E-2</v>
      </c>
      <c r="P302" s="197">
        <v>1.6223087213267928E-2</v>
      </c>
      <c r="Q302" s="196"/>
    </row>
    <row r="303" spans="1:17" x14ac:dyDescent="0.35">
      <c r="A303" s="59" t="s">
        <v>1520</v>
      </c>
      <c r="B303" s="232">
        <v>425.75895695915898</v>
      </c>
      <c r="C303" s="145">
        <v>188.61152174867783</v>
      </c>
      <c r="D303" s="145">
        <v>74.629085916199216</v>
      </c>
      <c r="E303" s="145">
        <v>382.32444073671365</v>
      </c>
      <c r="F303" s="145">
        <v>31.10432050907793</v>
      </c>
      <c r="G303" s="145">
        <v>31.10432050907793</v>
      </c>
      <c r="H303" s="145">
        <v>18.772482901006025</v>
      </c>
      <c r="I303" s="144"/>
      <c r="J303" s="197">
        <v>0.3694845628477072</v>
      </c>
      <c r="K303" s="197">
        <v>0.16368192500066647</v>
      </c>
      <c r="L303" s="197">
        <v>6.4765038373851336E-2</v>
      </c>
      <c r="M303" s="197">
        <v>0.33179097360751347</v>
      </c>
      <c r="N303" s="197">
        <v>2.6993128572217119E-2</v>
      </c>
      <c r="O303" s="197">
        <v>2.6993128572217119E-2</v>
      </c>
      <c r="P303" s="197">
        <v>1.6291243025826983E-2</v>
      </c>
      <c r="Q303" s="196"/>
    </row>
    <row r="304" spans="1:17" x14ac:dyDescent="0.35">
      <c r="A304" s="59" t="s">
        <v>1519</v>
      </c>
      <c r="B304" s="232">
        <v>0.61419190229380427</v>
      </c>
      <c r="C304" s="145">
        <v>0.27934402187348722</v>
      </c>
      <c r="D304" s="145">
        <v>0.10209023377020655</v>
      </c>
      <c r="E304" s="145">
        <v>0.63191607038044584</v>
      </c>
      <c r="F304" s="145">
        <v>4.4675802856581147E-2</v>
      </c>
      <c r="G304" s="145">
        <v>4.4675802856581147E-2</v>
      </c>
      <c r="H304" s="145">
        <v>2.9467358451501491E-2</v>
      </c>
      <c r="I304" s="144"/>
      <c r="J304" s="197">
        <v>0.35169809369199034</v>
      </c>
      <c r="K304" s="197">
        <v>0.15995775849575242</v>
      </c>
      <c r="L304" s="197">
        <v>5.8458830973606428E-2</v>
      </c>
      <c r="M304" s="197">
        <v>0.36184729316054076</v>
      </c>
      <c r="N304" s="197">
        <v>2.5582223797054555E-2</v>
      </c>
      <c r="O304" s="197">
        <v>2.5582223797054555E-2</v>
      </c>
      <c r="P304" s="197">
        <v>1.6873576084000707E-2</v>
      </c>
      <c r="Q304" s="196"/>
    </row>
    <row r="305" spans="1:17" x14ac:dyDescent="0.35">
      <c r="A305" s="57" t="s">
        <v>1518</v>
      </c>
      <c r="B305" s="231">
        <v>1.6216974245539135</v>
      </c>
      <c r="C305" s="142">
        <v>0.72573324052696819</v>
      </c>
      <c r="D305" s="142">
        <v>0.24688491945057478</v>
      </c>
      <c r="E305" s="142">
        <v>1.5820514319222447</v>
      </c>
      <c r="F305" s="142">
        <v>0.10757770659087065</v>
      </c>
      <c r="G305" s="142">
        <v>0.10757770659087065</v>
      </c>
      <c r="H305" s="142">
        <v>6.5661360727052337E-2</v>
      </c>
      <c r="I305" s="141"/>
      <c r="J305" s="194">
        <v>0.36383902949221297</v>
      </c>
      <c r="K305" s="194">
        <v>0.16282327017705175</v>
      </c>
      <c r="L305" s="194">
        <v>5.5390338622427787E-2</v>
      </c>
      <c r="M305" s="194">
        <v>0.35494417693589864</v>
      </c>
      <c r="N305" s="194">
        <v>2.4135802257802239E-2</v>
      </c>
      <c r="O305" s="194">
        <v>2.4135802257802239E-2</v>
      </c>
      <c r="P305" s="194">
        <v>1.4731580256804312E-2</v>
      </c>
      <c r="Q305" s="193"/>
    </row>
    <row r="307" spans="1:17" ht="13.15" x14ac:dyDescent="0.4">
      <c r="A307" s="41" t="s">
        <v>2236</v>
      </c>
    </row>
    <row r="308" spans="1:17" ht="13.15" x14ac:dyDescent="0.4">
      <c r="A308" s="131"/>
      <c r="B308" s="2193" t="s">
        <v>2229</v>
      </c>
      <c r="C308" s="2194"/>
      <c r="D308" s="2194"/>
      <c r="E308" s="2194"/>
      <c r="F308" s="2194"/>
      <c r="G308" s="2194"/>
      <c r="H308" s="2194"/>
      <c r="I308" s="2195"/>
      <c r="J308" s="2194" t="s">
        <v>2228</v>
      </c>
      <c r="K308" s="2194"/>
      <c r="L308" s="2194"/>
      <c r="M308" s="2194"/>
      <c r="N308" s="2194"/>
      <c r="O308" s="2194"/>
      <c r="P308" s="2194"/>
      <c r="Q308" s="2195"/>
    </row>
    <row r="309" spans="1:17" ht="52.5" x14ac:dyDescent="0.4">
      <c r="A309" s="59"/>
      <c r="B309" s="653" t="s">
        <v>405</v>
      </c>
      <c r="C309" s="652" t="s">
        <v>1830</v>
      </c>
      <c r="D309" s="652" t="s">
        <v>1829</v>
      </c>
      <c r="E309" s="652" t="s">
        <v>1503</v>
      </c>
      <c r="F309" s="652" t="s">
        <v>1501</v>
      </c>
      <c r="G309" s="652" t="s">
        <v>1500</v>
      </c>
      <c r="H309" s="180" t="s">
        <v>1499</v>
      </c>
      <c r="I309" s="651" t="s">
        <v>2227</v>
      </c>
      <c r="J309" s="653" t="s">
        <v>405</v>
      </c>
      <c r="K309" s="652" t="s">
        <v>1830</v>
      </c>
      <c r="L309" s="652" t="s">
        <v>1829</v>
      </c>
      <c r="M309" s="652" t="s">
        <v>1503</v>
      </c>
      <c r="N309" s="652" t="s">
        <v>1501</v>
      </c>
      <c r="O309" s="652" t="s">
        <v>1500</v>
      </c>
      <c r="P309" s="180" t="s">
        <v>1499</v>
      </c>
      <c r="Q309" s="651" t="s">
        <v>2227</v>
      </c>
    </row>
    <row r="310" spans="1:17" ht="13.15" x14ac:dyDescent="0.4">
      <c r="A310" s="128" t="s">
        <v>2226</v>
      </c>
      <c r="B310" s="650"/>
      <c r="C310" s="198"/>
      <c r="D310" s="198"/>
      <c r="E310" s="198"/>
      <c r="I310" s="99"/>
      <c r="J310" s="198"/>
      <c r="K310" s="198"/>
      <c r="L310" s="198"/>
      <c r="M310" s="198"/>
      <c r="Q310" s="99"/>
    </row>
    <row r="311" spans="1:17" x14ac:dyDescent="0.35">
      <c r="A311" s="59" t="s">
        <v>1537</v>
      </c>
      <c r="B311" s="232">
        <v>89.809458859343763</v>
      </c>
      <c r="C311" s="145">
        <v>13.613064030183097</v>
      </c>
      <c r="D311" s="145">
        <v>3.5543931554207417</v>
      </c>
      <c r="E311" s="145">
        <v>28.718049088135771</v>
      </c>
      <c r="F311" s="145">
        <v>0.99660179160974849</v>
      </c>
      <c r="G311" s="145">
        <v>0.99660179160974849</v>
      </c>
      <c r="H311" s="145">
        <v>1.2882508274421374</v>
      </c>
      <c r="I311" s="144"/>
      <c r="J311" s="197">
        <v>0.64622084202618846</v>
      </c>
      <c r="K311" s="197">
        <v>9.7952329430232341E-2</v>
      </c>
      <c r="L311" s="197">
        <v>2.5575512501255216E-2</v>
      </c>
      <c r="M311" s="197">
        <v>0.20663972479947437</v>
      </c>
      <c r="N311" s="197">
        <v>7.1710135782858614E-3</v>
      </c>
      <c r="O311" s="197">
        <v>7.1710135782858614E-3</v>
      </c>
      <c r="P311" s="197">
        <v>9.269564086277526E-3</v>
      </c>
      <c r="Q311" s="196"/>
    </row>
    <row r="312" spans="1:17" x14ac:dyDescent="0.35">
      <c r="A312" s="59" t="s">
        <v>1536</v>
      </c>
      <c r="B312" s="232">
        <v>84.265554905009992</v>
      </c>
      <c r="C312" s="145">
        <v>11.886617639469375</v>
      </c>
      <c r="D312" s="145">
        <v>2.744209605261354</v>
      </c>
      <c r="E312" s="145">
        <v>25.162735186287904</v>
      </c>
      <c r="F312" s="145">
        <v>0.82332270200118773</v>
      </c>
      <c r="G312" s="145">
        <v>0.82332270200118773</v>
      </c>
      <c r="H312" s="145">
        <v>1.1094430994403284</v>
      </c>
      <c r="I312" s="144"/>
      <c r="J312" s="197">
        <v>0.66447516563334907</v>
      </c>
      <c r="K312" s="197">
        <v>9.3731801015376745E-2</v>
      </c>
      <c r="L312" s="197">
        <v>2.1639436588819665E-2</v>
      </c>
      <c r="M312" s="197">
        <v>0.19842048924432668</v>
      </c>
      <c r="N312" s="197">
        <v>6.4923026899738516E-3</v>
      </c>
      <c r="O312" s="197">
        <v>6.4923026899738516E-3</v>
      </c>
      <c r="P312" s="197">
        <v>8.7485021381798131E-3</v>
      </c>
      <c r="Q312" s="196"/>
    </row>
    <row r="313" spans="1:17" x14ac:dyDescent="0.35">
      <c r="A313" s="59" t="s">
        <v>1535</v>
      </c>
      <c r="B313" s="232">
        <v>12.978039708126271</v>
      </c>
      <c r="C313" s="145">
        <v>5.6079750926264973</v>
      </c>
      <c r="D313" s="145">
        <v>1.4422160678847546</v>
      </c>
      <c r="E313" s="145">
        <v>7.5491392989947173</v>
      </c>
      <c r="F313" s="145">
        <v>0.35462514511745424</v>
      </c>
      <c r="G313" s="145">
        <v>0.35462514511745424</v>
      </c>
      <c r="H313" s="145">
        <v>0.20193213257802434</v>
      </c>
      <c r="I313" s="144"/>
      <c r="J313" s="197">
        <v>0.45555279324647036</v>
      </c>
      <c r="K313" s="197">
        <v>0.19685012338981955</v>
      </c>
      <c r="L313" s="197">
        <v>5.0624406533326713E-2</v>
      </c>
      <c r="M313" s="197">
        <v>0.26498851687981628</v>
      </c>
      <c r="N313" s="197">
        <v>1.2447987450102765E-2</v>
      </c>
      <c r="O313" s="197">
        <v>1.2447987450102765E-2</v>
      </c>
      <c r="P313" s="197">
        <v>7.0881850503612693E-3</v>
      </c>
      <c r="Q313" s="196"/>
    </row>
    <row r="314" spans="1:17" x14ac:dyDescent="0.35">
      <c r="A314" s="59" t="s">
        <v>1534</v>
      </c>
      <c r="B314" s="232">
        <v>58.122197119367002</v>
      </c>
      <c r="C314" s="145">
        <v>5.1582969819419775</v>
      </c>
      <c r="D314" s="145">
        <v>1.0060322501196415</v>
      </c>
      <c r="E314" s="145">
        <v>12.915898957011056</v>
      </c>
      <c r="F314" s="145">
        <v>0.38323220120238738</v>
      </c>
      <c r="G314" s="145">
        <v>0.38323220120238738</v>
      </c>
      <c r="H314" s="145">
        <v>0.70034524784872132</v>
      </c>
      <c r="I314" s="144"/>
      <c r="J314" s="197">
        <v>0.73881736805862175</v>
      </c>
      <c r="K314" s="197">
        <v>6.5569431107985771E-2</v>
      </c>
      <c r="L314" s="197">
        <v>1.2788128048377216E-2</v>
      </c>
      <c r="M314" s="197">
        <v>0.16417979612732733</v>
      </c>
      <c r="N314" s="197">
        <v>4.8714367364016062E-3</v>
      </c>
      <c r="O314" s="197">
        <v>4.8714367364016062E-3</v>
      </c>
      <c r="P314" s="197">
        <v>8.9024031848848086E-3</v>
      </c>
      <c r="Q314" s="196"/>
    </row>
    <row r="315" spans="1:17" x14ac:dyDescent="0.35">
      <c r="A315" s="59" t="s">
        <v>1533</v>
      </c>
      <c r="B315" s="232">
        <v>13.165318077516735</v>
      </c>
      <c r="C315" s="145">
        <v>1.1203455649009018</v>
      </c>
      <c r="D315" s="145">
        <v>0.29596128725695836</v>
      </c>
      <c r="E315" s="145">
        <v>4.6976969302821336</v>
      </c>
      <c r="F315" s="145">
        <v>8.5465355681346125E-2</v>
      </c>
      <c r="G315" s="145">
        <v>8.5465355681346125E-2</v>
      </c>
      <c r="H315" s="145">
        <v>0.20716571901358272</v>
      </c>
      <c r="I315" s="144"/>
      <c r="J315" s="197">
        <v>0.6697379016445455</v>
      </c>
      <c r="K315" s="197">
        <v>5.6993525210370981E-2</v>
      </c>
      <c r="L315" s="197">
        <v>1.5055959174583177E-2</v>
      </c>
      <c r="M315" s="197">
        <v>0.23897832670083313</v>
      </c>
      <c r="N315" s="197">
        <v>4.3477406045419357E-3</v>
      </c>
      <c r="O315" s="197">
        <v>4.3477406045419357E-3</v>
      </c>
      <c r="P315" s="197">
        <v>1.0538806060583312E-2</v>
      </c>
      <c r="Q315" s="196"/>
    </row>
    <row r="316" spans="1:17" x14ac:dyDescent="0.35">
      <c r="A316" s="59" t="s">
        <v>1532</v>
      </c>
      <c r="B316" s="49">
        <v>4848.0517616469751</v>
      </c>
      <c r="C316" s="48">
        <v>2415.1806073369144</v>
      </c>
      <c r="D316" s="48">
        <v>1121.3875426025945</v>
      </c>
      <c r="E316" s="48">
        <v>5016.3739436842561</v>
      </c>
      <c r="F316" s="48">
        <v>220.28052309454554</v>
      </c>
      <c r="G316" s="48">
        <v>220.28052309454554</v>
      </c>
      <c r="H316" s="48">
        <v>233.60866909961342</v>
      </c>
      <c r="I316" s="47"/>
      <c r="J316" s="197">
        <v>0.34444017203377186</v>
      </c>
      <c r="K316" s="197">
        <v>0.17159165470649784</v>
      </c>
      <c r="L316" s="197">
        <v>7.9671368434265546E-2</v>
      </c>
      <c r="M316" s="197">
        <v>0.35639898027024269</v>
      </c>
      <c r="N316" s="197">
        <v>1.5650299336861632E-2</v>
      </c>
      <c r="O316" s="197">
        <v>1.5650299336861632E-2</v>
      </c>
      <c r="P316" s="197">
        <v>1.6597225881498451E-2</v>
      </c>
      <c r="Q316" s="196"/>
    </row>
    <row r="317" spans="1:17" ht="13.15" x14ac:dyDescent="0.4">
      <c r="A317" s="128" t="s">
        <v>2225</v>
      </c>
      <c r="B317" s="232"/>
      <c r="C317" s="145"/>
      <c r="D317" s="145"/>
      <c r="E317" s="145"/>
      <c r="F317" s="145"/>
      <c r="G317" s="145"/>
      <c r="H317" s="145"/>
      <c r="I317" s="144"/>
      <c r="J317" s="197"/>
      <c r="K317" s="197"/>
      <c r="L317" s="197"/>
      <c r="M317" s="197"/>
      <c r="N317" s="197"/>
      <c r="O317" s="197"/>
      <c r="P317" s="197"/>
      <c r="Q317" s="196"/>
    </row>
    <row r="318" spans="1:17" x14ac:dyDescent="0.35">
      <c r="A318" s="59" t="s">
        <v>1525</v>
      </c>
      <c r="B318" s="232">
        <v>1102.4503444612249</v>
      </c>
      <c r="C318" s="145">
        <v>695.55363031032857</v>
      </c>
      <c r="D318" s="145">
        <v>137.5557049853098</v>
      </c>
      <c r="E318" s="145">
        <v>1797.9615247017591</v>
      </c>
      <c r="F318" s="145">
        <v>31.23805950644919</v>
      </c>
      <c r="G318" s="145">
        <v>31.23805950644919</v>
      </c>
      <c r="H318" s="145">
        <v>23.587072160136053</v>
      </c>
      <c r="I318" s="144"/>
      <c r="J318" s="197">
        <v>0.28863096878342676</v>
      </c>
      <c r="K318" s="197">
        <v>0.18210191430926675</v>
      </c>
      <c r="L318" s="197">
        <v>3.6013264988365767E-2</v>
      </c>
      <c r="M318" s="197">
        <v>0.47072176929983089</v>
      </c>
      <c r="N318" s="197">
        <v>8.1783922727758571E-3</v>
      </c>
      <c r="O318" s="197">
        <v>8.1783922727758571E-3</v>
      </c>
      <c r="P318" s="197">
        <v>6.1752980735579159E-3</v>
      </c>
      <c r="Q318" s="196"/>
    </row>
    <row r="319" spans="1:17" x14ac:dyDescent="0.35">
      <c r="A319" s="59" t="s">
        <v>1524</v>
      </c>
      <c r="B319" s="232">
        <v>4812.839432370808</v>
      </c>
      <c r="C319" s="145">
        <v>4372.7908295706238</v>
      </c>
      <c r="D319" s="145">
        <v>899.42918238240225</v>
      </c>
      <c r="E319" s="145">
        <v>4565.109399765015</v>
      </c>
      <c r="F319" s="145">
        <v>204.83312102229684</v>
      </c>
      <c r="G319" s="145">
        <v>204.83312102229684</v>
      </c>
      <c r="H319" s="145">
        <v>94.003504400665662</v>
      </c>
      <c r="I319" s="144"/>
      <c r="J319" s="197">
        <v>0.31759869973652499</v>
      </c>
      <c r="K319" s="197">
        <v>0.28855994495692339</v>
      </c>
      <c r="L319" s="197">
        <v>5.9353224399805435E-2</v>
      </c>
      <c r="M319" s="197">
        <v>0.30125102445110008</v>
      </c>
      <c r="N319" s="197">
        <v>1.3516913209716147E-2</v>
      </c>
      <c r="O319" s="197">
        <v>1.3516913209716147E-2</v>
      </c>
      <c r="P319" s="197">
        <v>6.2032800362137441E-3</v>
      </c>
      <c r="Q319" s="196"/>
    </row>
    <row r="320" spans="1:17" x14ac:dyDescent="0.35">
      <c r="A320" s="59" t="s">
        <v>1523</v>
      </c>
      <c r="B320" s="232">
        <v>6291.7749809306233</v>
      </c>
      <c r="C320" s="145">
        <v>971.28811043577628</v>
      </c>
      <c r="D320" s="145">
        <v>275.60199384047826</v>
      </c>
      <c r="E320" s="145">
        <v>2165.5381674574437</v>
      </c>
      <c r="F320" s="145">
        <v>92.81777986925033</v>
      </c>
      <c r="G320" s="145">
        <v>92.81777986925033</v>
      </c>
      <c r="H320" s="145">
        <v>86.536811075358784</v>
      </c>
      <c r="I320" s="144"/>
      <c r="J320" s="197">
        <v>0.63066741052970177</v>
      </c>
      <c r="K320" s="197">
        <v>9.7358815174317256E-2</v>
      </c>
      <c r="L320" s="197">
        <v>2.7625462817566997E-2</v>
      </c>
      <c r="M320" s="197">
        <v>0.21706662310920954</v>
      </c>
      <c r="N320" s="197">
        <v>9.3037575340301961E-3</v>
      </c>
      <c r="O320" s="197">
        <v>9.3037575340301961E-3</v>
      </c>
      <c r="P320" s="197">
        <v>8.6741733011440527E-3</v>
      </c>
      <c r="Q320" s="196"/>
    </row>
    <row r="321" spans="1:17" x14ac:dyDescent="0.35">
      <c r="A321" s="59" t="s">
        <v>1522</v>
      </c>
      <c r="B321" s="232">
        <v>2234.2056317125839</v>
      </c>
      <c r="C321" s="145">
        <v>507.63149277720754</v>
      </c>
      <c r="D321" s="145">
        <v>138.80092969358915</v>
      </c>
      <c r="E321" s="145">
        <v>934.91497236447105</v>
      </c>
      <c r="F321" s="145">
        <v>32.172249228904768</v>
      </c>
      <c r="G321" s="145">
        <v>32.172249228904768</v>
      </c>
      <c r="H321" s="145">
        <v>30.305099390037526</v>
      </c>
      <c r="I321" s="144"/>
      <c r="J321" s="197">
        <v>0.5713784799215792</v>
      </c>
      <c r="K321" s="197">
        <v>0.12982229862209743</v>
      </c>
      <c r="L321" s="197">
        <v>3.5497119465782184E-2</v>
      </c>
      <c r="M321" s="197">
        <v>0.23909629811292893</v>
      </c>
      <c r="N321" s="197">
        <v>8.2277703534294009E-3</v>
      </c>
      <c r="O321" s="197">
        <v>8.2277703534294009E-3</v>
      </c>
      <c r="P321" s="197">
        <v>7.7502631707534637E-3</v>
      </c>
      <c r="Q321" s="196"/>
    </row>
    <row r="322" spans="1:17" x14ac:dyDescent="0.35">
      <c r="A322" s="59" t="s">
        <v>1521</v>
      </c>
      <c r="B322" s="232">
        <v>619.9461325574805</v>
      </c>
      <c r="C322" s="145">
        <v>237.72096735481247</v>
      </c>
      <c r="D322" s="145">
        <v>67.911100226925626</v>
      </c>
      <c r="E322" s="145">
        <v>429.7468639771908</v>
      </c>
      <c r="F322" s="145">
        <v>16.027167378073976</v>
      </c>
      <c r="G322" s="145">
        <v>16.027167378073976</v>
      </c>
      <c r="H322" s="145">
        <v>13.557509030076217</v>
      </c>
      <c r="I322" s="144"/>
      <c r="J322" s="197">
        <v>0.44252252122161034</v>
      </c>
      <c r="K322" s="197">
        <v>0.16968713295640736</v>
      </c>
      <c r="L322" s="197">
        <v>4.8475487970829796E-2</v>
      </c>
      <c r="M322" s="197">
        <v>0.30675675796176433</v>
      </c>
      <c r="N322" s="197">
        <v>1.1440320608062583E-2</v>
      </c>
      <c r="O322" s="197">
        <v>1.1440320608062583E-2</v>
      </c>
      <c r="P322" s="197">
        <v>9.6774586732627302E-3</v>
      </c>
      <c r="Q322" s="196"/>
    </row>
    <row r="323" spans="1:17" x14ac:dyDescent="0.35">
      <c r="A323" s="59" t="s">
        <v>1520</v>
      </c>
      <c r="B323" s="232">
        <v>14234.449827793584</v>
      </c>
      <c r="C323" s="145">
        <v>4806.8361697547416</v>
      </c>
      <c r="D323" s="145">
        <v>2803.2349819183519</v>
      </c>
      <c r="E323" s="145">
        <v>7067.0553458309178</v>
      </c>
      <c r="F323" s="145">
        <v>1196.0154345203407</v>
      </c>
      <c r="G323" s="145">
        <v>1196.0154345203407</v>
      </c>
      <c r="H323" s="145">
        <v>552.99452915452514</v>
      </c>
      <c r="I323" s="144"/>
      <c r="J323" s="197">
        <v>0.44682888499360307</v>
      </c>
      <c r="K323" s="197">
        <v>0.15088979708120961</v>
      </c>
      <c r="L323" s="197">
        <v>8.7995417912108714E-2</v>
      </c>
      <c r="M323" s="197">
        <v>0.22183958625502995</v>
      </c>
      <c r="N323" s="197">
        <v>3.7543723115900755E-2</v>
      </c>
      <c r="O323" s="197">
        <v>3.7543723115900755E-2</v>
      </c>
      <c r="P323" s="197">
        <v>1.7358867526247053E-2</v>
      </c>
      <c r="Q323" s="196"/>
    </row>
    <row r="324" spans="1:17" x14ac:dyDescent="0.35">
      <c r="A324" s="59" t="s">
        <v>1519</v>
      </c>
      <c r="B324" s="232">
        <v>48.097379297018456</v>
      </c>
      <c r="C324" s="145">
        <v>6.3866319753184548</v>
      </c>
      <c r="D324" s="145">
        <v>2.4122987349743612</v>
      </c>
      <c r="E324" s="145">
        <v>15.728441856266915</v>
      </c>
      <c r="F324" s="145">
        <v>0.95865251491540415</v>
      </c>
      <c r="G324" s="145">
        <v>0.95865251491540415</v>
      </c>
      <c r="H324" s="145">
        <v>0.767874495712209</v>
      </c>
      <c r="I324" s="144"/>
      <c r="J324" s="197">
        <v>0.63865918358765483</v>
      </c>
      <c r="K324" s="197">
        <v>8.480464471968735E-2</v>
      </c>
      <c r="L324" s="197">
        <v>3.2031615093501817E-2</v>
      </c>
      <c r="M324" s="197">
        <v>0.20884950452283832</v>
      </c>
      <c r="N324" s="197">
        <v>1.2729430199081085E-2</v>
      </c>
      <c r="O324" s="197">
        <v>1.2729430199081085E-2</v>
      </c>
      <c r="P324" s="197">
        <v>1.0196191678155362E-2</v>
      </c>
      <c r="Q324" s="196"/>
    </row>
    <row r="325" spans="1:17" x14ac:dyDescent="0.35">
      <c r="A325" s="59" t="s">
        <v>1518</v>
      </c>
      <c r="B325" s="232">
        <v>91.578699649577814</v>
      </c>
      <c r="C325" s="145">
        <v>11.173086535824737</v>
      </c>
      <c r="D325" s="145">
        <v>2.96891634598229</v>
      </c>
      <c r="E325" s="145">
        <v>27.646830392435838</v>
      </c>
      <c r="F325" s="145">
        <v>1.0320641183000707</v>
      </c>
      <c r="G325" s="145">
        <v>1.0320641183000707</v>
      </c>
      <c r="H325" s="145">
        <v>1.1128475513651597</v>
      </c>
      <c r="I325" s="144"/>
      <c r="J325" s="197">
        <v>0.67068753268488723</v>
      </c>
      <c r="K325" s="197">
        <v>8.1827432250743612E-2</v>
      </c>
      <c r="L325" s="197">
        <v>2.1743213066509979E-2</v>
      </c>
      <c r="M325" s="197">
        <v>0.20247486078544494</v>
      </c>
      <c r="N325" s="197">
        <v>7.5584447008302663E-3</v>
      </c>
      <c r="O325" s="197">
        <v>7.5584447008302663E-3</v>
      </c>
      <c r="P325" s="197">
        <v>8.1500718107538461E-3</v>
      </c>
      <c r="Q325" s="196"/>
    </row>
    <row r="326" spans="1:17" x14ac:dyDescent="0.35">
      <c r="A326" s="59" t="s">
        <v>1531</v>
      </c>
      <c r="B326" s="232">
        <v>15999.90082608249</v>
      </c>
      <c r="C326" s="145">
        <v>2206.3352003701502</v>
      </c>
      <c r="D326" s="145">
        <v>436.9161038458443</v>
      </c>
      <c r="E326" s="145">
        <v>4150.2188111664836</v>
      </c>
      <c r="F326" s="145">
        <v>135.37568719685612</v>
      </c>
      <c r="G326" s="145">
        <v>135.37568719685612</v>
      </c>
      <c r="H326" s="145">
        <v>239.99122865565025</v>
      </c>
      <c r="I326" s="144"/>
      <c r="J326" s="197">
        <v>0.6865698107555257</v>
      </c>
      <c r="K326" s="197">
        <v>9.4675783146856068E-2</v>
      </c>
      <c r="L326" s="197">
        <v>1.8748454130695397E-2</v>
      </c>
      <c r="M326" s="197">
        <v>0.17808953785085824</v>
      </c>
      <c r="N326" s="197">
        <v>5.8090897531145463E-3</v>
      </c>
      <c r="O326" s="197">
        <v>5.8090897531145463E-3</v>
      </c>
      <c r="P326" s="197">
        <v>1.0298234609835349E-2</v>
      </c>
      <c r="Q326" s="196"/>
    </row>
    <row r="327" spans="1:17" x14ac:dyDescent="0.35">
      <c r="A327" s="59" t="s">
        <v>1530</v>
      </c>
      <c r="B327" s="232">
        <v>152.26669012040682</v>
      </c>
      <c r="C327" s="145">
        <v>18.569894214131715</v>
      </c>
      <c r="D327" s="145">
        <v>3.3669076416177681</v>
      </c>
      <c r="E327" s="145">
        <v>37.537156998869889</v>
      </c>
      <c r="F327" s="145">
        <v>1.1256710776430647</v>
      </c>
      <c r="G327" s="145">
        <v>1.1256710776430647</v>
      </c>
      <c r="H327" s="145">
        <v>2.5479078870196403</v>
      </c>
      <c r="I327" s="144"/>
      <c r="J327" s="197">
        <v>0.7031807570401577</v>
      </c>
      <c r="K327" s="197">
        <v>8.5757379117671825E-2</v>
      </c>
      <c r="L327" s="197">
        <v>1.5548670969631691E-2</v>
      </c>
      <c r="M327" s="197">
        <v>0.17334984069548029</v>
      </c>
      <c r="N327" s="197">
        <v>5.1984464883904156E-3</v>
      </c>
      <c r="O327" s="197">
        <v>5.1984464883904156E-3</v>
      </c>
      <c r="P327" s="197">
        <v>1.176645920027747E-2</v>
      </c>
      <c r="Q327" s="196"/>
    </row>
    <row r="328" spans="1:17" x14ac:dyDescent="0.35">
      <c r="A328" s="59" t="s">
        <v>1529</v>
      </c>
      <c r="B328" s="49">
        <v>5183833.4998980118</v>
      </c>
      <c r="C328" s="48">
        <v>895515.12713221635</v>
      </c>
      <c r="D328" s="48">
        <v>244046.94614210396</v>
      </c>
      <c r="E328" s="48">
        <v>1870991.5983859529</v>
      </c>
      <c r="F328" s="48">
        <v>68267.223485968847</v>
      </c>
      <c r="G328" s="48">
        <v>68267.223485968847</v>
      </c>
      <c r="H328" s="48">
        <v>66156.225809366195</v>
      </c>
      <c r="I328" s="47"/>
      <c r="J328" s="197">
        <v>0.61733779250270948</v>
      </c>
      <c r="K328" s="197">
        <v>0.10664604327038325</v>
      </c>
      <c r="L328" s="197">
        <v>2.9063318295496604E-2</v>
      </c>
      <c r="M328" s="197">
        <v>0.22281460682744239</v>
      </c>
      <c r="N328" s="197">
        <v>8.1298786019933476E-3</v>
      </c>
      <c r="O328" s="197">
        <v>8.1298786019933476E-3</v>
      </c>
      <c r="P328" s="197">
        <v>7.8784818999816271E-3</v>
      </c>
      <c r="Q328" s="196"/>
    </row>
    <row r="329" spans="1:17" x14ac:dyDescent="0.35">
      <c r="A329" s="59" t="s">
        <v>1528</v>
      </c>
      <c r="B329" s="49">
        <v>5194832.5035319747</v>
      </c>
      <c r="C329" s="48">
        <v>904554.46439315169</v>
      </c>
      <c r="D329" s="48">
        <v>245889.05013781381</v>
      </c>
      <c r="E329" s="48">
        <v>1883768.9884804282</v>
      </c>
      <c r="F329" s="48">
        <v>68686.462723513279</v>
      </c>
      <c r="G329" s="48">
        <v>68686.462723513279</v>
      </c>
      <c r="H329" s="48">
        <v>66377.458643561564</v>
      </c>
      <c r="I329" s="47"/>
      <c r="J329" s="197">
        <v>0.61602733884682093</v>
      </c>
      <c r="K329" s="197">
        <v>0.10726626492062313</v>
      </c>
      <c r="L329" s="197">
        <v>2.9158664327479725E-2</v>
      </c>
      <c r="M329" s="197">
        <v>0.2233860660929437</v>
      </c>
      <c r="N329" s="197">
        <v>8.1451594093936153E-3</v>
      </c>
      <c r="O329" s="197">
        <v>8.1451594093936153E-3</v>
      </c>
      <c r="P329" s="197">
        <v>7.8713469933451644E-3</v>
      </c>
      <c r="Q329" s="196"/>
    </row>
    <row r="330" spans="1:17" x14ac:dyDescent="0.35">
      <c r="A330" s="59" t="s">
        <v>1527</v>
      </c>
      <c r="B330" s="49">
        <v>5807636.8868762041</v>
      </c>
      <c r="C330" s="48">
        <v>988465.02716263977</v>
      </c>
      <c r="D330" s="48">
        <v>268283.02439726872</v>
      </c>
      <c r="E330" s="48">
        <v>2052667.8260878837</v>
      </c>
      <c r="F330" s="48">
        <v>74476.53641706855</v>
      </c>
      <c r="G330" s="48">
        <v>74476.53641706855</v>
      </c>
      <c r="H330" s="48">
        <v>76190.35836826131</v>
      </c>
      <c r="I330" s="47"/>
      <c r="J330" s="197">
        <v>0.62165648903123216</v>
      </c>
      <c r="K330" s="197">
        <v>0.10580649415335711</v>
      </c>
      <c r="L330" s="197">
        <v>2.8717339989069734E-2</v>
      </c>
      <c r="M330" s="197">
        <v>0.2197200511617258</v>
      </c>
      <c r="N330" s="197">
        <v>7.9720586954851128E-3</v>
      </c>
      <c r="O330" s="197">
        <v>7.9720586954851128E-3</v>
      </c>
      <c r="P330" s="197">
        <v>8.155508273644984E-3</v>
      </c>
      <c r="Q330" s="196"/>
    </row>
    <row r="331" spans="1:17" ht="13.15" x14ac:dyDescent="0.4">
      <c r="A331" s="128" t="s">
        <v>2224</v>
      </c>
      <c r="B331" s="232"/>
      <c r="C331" s="145"/>
      <c r="D331" s="145"/>
      <c r="E331" s="145"/>
      <c r="F331" s="145"/>
      <c r="G331" s="145"/>
      <c r="H331" s="145"/>
      <c r="I331" s="144"/>
      <c r="J331" s="197"/>
      <c r="K331" s="197"/>
      <c r="L331" s="197"/>
      <c r="M331" s="197"/>
      <c r="N331" s="197"/>
      <c r="O331" s="197"/>
      <c r="P331" s="197"/>
      <c r="Q331" s="196"/>
    </row>
    <row r="332" spans="1:17" x14ac:dyDescent="0.35">
      <c r="A332" s="59" t="s">
        <v>1525</v>
      </c>
      <c r="B332" s="232">
        <v>54.633278225627627</v>
      </c>
      <c r="C332" s="145">
        <v>5.8675778409769093</v>
      </c>
      <c r="D332" s="145">
        <v>1.5671173811921264</v>
      </c>
      <c r="E332" s="145">
        <v>16.588890276796583</v>
      </c>
      <c r="F332" s="145">
        <v>0.50003346129926673</v>
      </c>
      <c r="G332" s="145">
        <v>0.50003346129926673</v>
      </c>
      <c r="H332" s="145">
        <v>0.73091568633711146</v>
      </c>
      <c r="I332" s="144"/>
      <c r="J332" s="197">
        <v>0.67962112082160198</v>
      </c>
      <c r="K332" s="197">
        <v>7.2990857556157779E-2</v>
      </c>
      <c r="L332" s="197">
        <v>1.9494456595965534E-2</v>
      </c>
      <c r="M332" s="197">
        <v>0.20636067556741514</v>
      </c>
      <c r="N332" s="197">
        <v>6.2202619438842723E-3</v>
      </c>
      <c r="O332" s="197">
        <v>6.2202619438842723E-3</v>
      </c>
      <c r="P332" s="197">
        <v>9.0923655710907422E-3</v>
      </c>
      <c r="Q332" s="196"/>
    </row>
    <row r="333" spans="1:17" x14ac:dyDescent="0.35">
      <c r="A333" s="59" t="s">
        <v>1524</v>
      </c>
      <c r="B333" s="232">
        <v>232.4047819583291</v>
      </c>
      <c r="C333" s="145">
        <v>29.686265174879448</v>
      </c>
      <c r="D333" s="145">
        <v>7.4695976332554341</v>
      </c>
      <c r="E333" s="145">
        <v>62.346799283280802</v>
      </c>
      <c r="F333" s="145">
        <v>2.3547418644415306</v>
      </c>
      <c r="G333" s="145">
        <v>2.3547418644415306</v>
      </c>
      <c r="H333" s="145">
        <v>2.8887999881997439</v>
      </c>
      <c r="I333" s="144"/>
      <c r="J333" s="197">
        <v>0.68453861879451006</v>
      </c>
      <c r="K333" s="197">
        <v>8.7439659325182176E-2</v>
      </c>
      <c r="L333" s="197">
        <v>2.2001389144119393E-2</v>
      </c>
      <c r="M333" s="197">
        <v>0.18363990408462436</v>
      </c>
      <c r="N333" s="197">
        <v>6.9357942204108158E-3</v>
      </c>
      <c r="O333" s="197">
        <v>6.9357942204108158E-3</v>
      </c>
      <c r="P333" s="197">
        <v>8.5088402107423959E-3</v>
      </c>
      <c r="Q333" s="196"/>
    </row>
    <row r="334" spans="1:17" x14ac:dyDescent="0.35">
      <c r="A334" s="59" t="s">
        <v>1523</v>
      </c>
      <c r="B334" s="232">
        <v>418.73921948128202</v>
      </c>
      <c r="C334" s="145">
        <v>67.97697799190243</v>
      </c>
      <c r="D334" s="145">
        <v>19.243457835300358</v>
      </c>
      <c r="E334" s="145">
        <v>129.09539952355999</v>
      </c>
      <c r="F334" s="145">
        <v>5.5216830358213445</v>
      </c>
      <c r="G334" s="145">
        <v>5.5216830358213445</v>
      </c>
      <c r="H334" s="145">
        <v>5.6288351805439403</v>
      </c>
      <c r="I334" s="144"/>
      <c r="J334" s="197">
        <v>0.64250683943646936</v>
      </c>
      <c r="K334" s="197">
        <v>0.10430280053089702</v>
      </c>
      <c r="L334" s="197">
        <v>2.9526857524604235E-2</v>
      </c>
      <c r="M334" s="197">
        <v>0.19808194044116403</v>
      </c>
      <c r="N334" s="197">
        <v>8.4723831699125736E-3</v>
      </c>
      <c r="O334" s="197">
        <v>8.4723831699125736E-3</v>
      </c>
      <c r="P334" s="197">
        <v>8.6367957270402258E-3</v>
      </c>
      <c r="Q334" s="196"/>
    </row>
    <row r="335" spans="1:17" x14ac:dyDescent="0.35">
      <c r="A335" s="59" t="s">
        <v>1522</v>
      </c>
      <c r="B335" s="232">
        <v>33.438084158555782</v>
      </c>
      <c r="C335" s="145">
        <v>7.0482753962574289</v>
      </c>
      <c r="D335" s="145">
        <v>2.2736446596624256</v>
      </c>
      <c r="E335" s="145">
        <v>12.629836692294194</v>
      </c>
      <c r="F335" s="145">
        <v>0.6113928941514396</v>
      </c>
      <c r="G335" s="145">
        <v>0.6113928941514396</v>
      </c>
      <c r="H335" s="145">
        <v>0.49930967457084324</v>
      </c>
      <c r="I335" s="144"/>
      <c r="J335" s="197">
        <v>0.58548328570293351</v>
      </c>
      <c r="K335" s="197">
        <v>0.1234115991207009</v>
      </c>
      <c r="L335" s="197">
        <v>3.9810323448793539E-2</v>
      </c>
      <c r="M335" s="197">
        <v>0.22114180493812274</v>
      </c>
      <c r="N335" s="197">
        <v>1.0705168359103482E-2</v>
      </c>
      <c r="O335" s="197">
        <v>1.0705168359103482E-2</v>
      </c>
      <c r="P335" s="197">
        <v>8.7426500712421817E-3</v>
      </c>
      <c r="Q335" s="196"/>
    </row>
    <row r="336" spans="1:17" x14ac:dyDescent="0.35">
      <c r="A336" s="59" t="s">
        <v>1521</v>
      </c>
      <c r="B336" s="232">
        <v>24.962276863742368</v>
      </c>
      <c r="C336" s="145">
        <v>5.200042077954218</v>
      </c>
      <c r="D336" s="145">
        <v>1.6602510852472565</v>
      </c>
      <c r="E336" s="145">
        <v>9.4051760379137583</v>
      </c>
      <c r="F336" s="145">
        <v>0.44556948519657463</v>
      </c>
      <c r="G336" s="145">
        <v>0.44556948519657463</v>
      </c>
      <c r="H336" s="145">
        <v>0.36756163591667684</v>
      </c>
      <c r="I336" s="144"/>
      <c r="J336" s="197">
        <v>0.58753505693104979</v>
      </c>
      <c r="K336" s="197">
        <v>0.12239296258877591</v>
      </c>
      <c r="L336" s="197">
        <v>3.9077193206979874E-2</v>
      </c>
      <c r="M336" s="197">
        <v>0.22136885465398054</v>
      </c>
      <c r="N336" s="197">
        <v>1.048733231670681E-2</v>
      </c>
      <c r="O336" s="197">
        <v>1.048733231670681E-2</v>
      </c>
      <c r="P336" s="197">
        <v>8.6512679858001661E-3</v>
      </c>
      <c r="Q336" s="196"/>
    </row>
    <row r="337" spans="1:17" x14ac:dyDescent="0.35">
      <c r="A337" s="59" t="s">
        <v>1520</v>
      </c>
      <c r="B337" s="232">
        <v>1015.4899972494587</v>
      </c>
      <c r="C337" s="145">
        <v>229.15139632125246</v>
      </c>
      <c r="D337" s="145">
        <v>74.010659436310661</v>
      </c>
      <c r="E337" s="145">
        <v>377.89428593128775</v>
      </c>
      <c r="F337" s="145">
        <v>19.462716358297921</v>
      </c>
      <c r="G337" s="145">
        <v>19.462716358297921</v>
      </c>
      <c r="H337" s="145">
        <v>15.637818261639392</v>
      </c>
      <c r="I337" s="144"/>
      <c r="J337" s="197">
        <v>0.57991230423097351</v>
      </c>
      <c r="K337" s="197">
        <v>0.13086068264418188</v>
      </c>
      <c r="L337" s="197">
        <v>4.2265007205995533E-2</v>
      </c>
      <c r="M337" s="197">
        <v>0.21580276192154116</v>
      </c>
      <c r="N337" s="197">
        <v>1.1114505037474829E-2</v>
      </c>
      <c r="O337" s="197">
        <v>1.1114505037474829E-2</v>
      </c>
      <c r="P337" s="197">
        <v>8.9302339223581457E-3</v>
      </c>
      <c r="Q337" s="196"/>
    </row>
    <row r="338" spans="1:17" x14ac:dyDescent="0.35">
      <c r="A338" s="59" t="s">
        <v>1519</v>
      </c>
      <c r="B338" s="232">
        <v>1.7397468976643082</v>
      </c>
      <c r="C338" s="145">
        <v>0.32128593823611162</v>
      </c>
      <c r="D338" s="145">
        <v>0.10124424586714685</v>
      </c>
      <c r="E338" s="145">
        <v>0.64607378250657321</v>
      </c>
      <c r="F338" s="145">
        <v>2.7954717056850802E-2</v>
      </c>
      <c r="G338" s="145">
        <v>2.7954717056850802E-2</v>
      </c>
      <c r="H338" s="145">
        <v>2.4546843299586604E-2</v>
      </c>
      <c r="I338" s="144"/>
      <c r="J338" s="197">
        <v>0.60223712152971076</v>
      </c>
      <c r="K338" s="197">
        <v>0.11121751036950152</v>
      </c>
      <c r="L338" s="197">
        <v>3.5047076838783851E-2</v>
      </c>
      <c r="M338" s="197">
        <v>0.22364725328433815</v>
      </c>
      <c r="N338" s="197">
        <v>9.6769066558460935E-3</v>
      </c>
      <c r="O338" s="197">
        <v>9.6769066558460935E-3</v>
      </c>
      <c r="P338" s="197">
        <v>8.4972246659734251E-3</v>
      </c>
      <c r="Q338" s="196"/>
    </row>
    <row r="339" spans="1:17" x14ac:dyDescent="0.35">
      <c r="A339" s="57" t="s">
        <v>1518</v>
      </c>
      <c r="B339" s="231">
        <v>4.0017257590360416</v>
      </c>
      <c r="C339" s="142">
        <v>0.8220854852324545</v>
      </c>
      <c r="D339" s="142">
        <v>0.24483906601690372</v>
      </c>
      <c r="E339" s="142">
        <v>1.4593390126735399</v>
      </c>
      <c r="F339" s="142">
        <v>6.7313940815496714E-2</v>
      </c>
      <c r="G339" s="142">
        <v>6.7313940815496714E-2</v>
      </c>
      <c r="H339" s="142">
        <v>5.4697102736823579E-2</v>
      </c>
      <c r="I339" s="141"/>
      <c r="J339" s="194">
        <v>0.59573299326953488</v>
      </c>
      <c r="K339" s="194">
        <v>0.12238306079198698</v>
      </c>
      <c r="L339" s="194">
        <v>3.644895188987228E-2</v>
      </c>
      <c r="M339" s="194">
        <v>0.21725036910686152</v>
      </c>
      <c r="N339" s="194">
        <v>1.0020960421946546E-2</v>
      </c>
      <c r="O339" s="194">
        <v>1.0020960421946546E-2</v>
      </c>
      <c r="P339" s="194">
        <v>8.1427040978511236E-3</v>
      </c>
      <c r="Q339" s="193"/>
    </row>
    <row r="341" spans="1:17" ht="13.15" x14ac:dyDescent="0.4">
      <c r="A341" s="41" t="s">
        <v>2235</v>
      </c>
    </row>
    <row r="342" spans="1:17" ht="13.15" x14ac:dyDescent="0.4">
      <c r="A342" s="131"/>
      <c r="B342" s="2193" t="s">
        <v>2229</v>
      </c>
      <c r="C342" s="2194"/>
      <c r="D342" s="2194"/>
      <c r="E342" s="2194"/>
      <c r="F342" s="2194"/>
      <c r="G342" s="2194"/>
      <c r="H342" s="2194"/>
      <c r="I342" s="2195"/>
      <c r="J342" s="2194" t="s">
        <v>2228</v>
      </c>
      <c r="K342" s="2194"/>
      <c r="L342" s="2194"/>
      <c r="M342" s="2194"/>
      <c r="N342" s="2194"/>
      <c r="O342" s="2194"/>
      <c r="P342" s="2194"/>
      <c r="Q342" s="2195"/>
    </row>
    <row r="343" spans="1:17" ht="52.5" x14ac:dyDescent="0.4">
      <c r="A343" s="59"/>
      <c r="B343" s="653" t="s">
        <v>405</v>
      </c>
      <c r="C343" s="652" t="s">
        <v>1830</v>
      </c>
      <c r="D343" s="652" t="s">
        <v>1829</v>
      </c>
      <c r="E343" s="652" t="s">
        <v>1503</v>
      </c>
      <c r="F343" s="652" t="s">
        <v>1501</v>
      </c>
      <c r="G343" s="652" t="s">
        <v>1500</v>
      </c>
      <c r="H343" s="180" t="s">
        <v>1499</v>
      </c>
      <c r="I343" s="651" t="s">
        <v>2227</v>
      </c>
      <c r="J343" s="653" t="s">
        <v>405</v>
      </c>
      <c r="K343" s="652" t="s">
        <v>1830</v>
      </c>
      <c r="L343" s="652" t="s">
        <v>1829</v>
      </c>
      <c r="M343" s="652" t="s">
        <v>1503</v>
      </c>
      <c r="N343" s="652" t="s">
        <v>1501</v>
      </c>
      <c r="O343" s="652" t="s">
        <v>1500</v>
      </c>
      <c r="P343" s="180" t="s">
        <v>1499</v>
      </c>
      <c r="Q343" s="651" t="s">
        <v>2227</v>
      </c>
    </row>
    <row r="344" spans="1:17" ht="13.15" x14ac:dyDescent="0.4">
      <c r="A344" s="128" t="s">
        <v>2226</v>
      </c>
      <c r="B344" s="650"/>
      <c r="C344" s="198"/>
      <c r="D344" s="198"/>
      <c r="E344" s="198"/>
      <c r="I344" s="99"/>
      <c r="J344" s="198"/>
      <c r="K344" s="198"/>
      <c r="L344" s="198"/>
      <c r="M344" s="198"/>
      <c r="Q344" s="99"/>
    </row>
    <row r="345" spans="1:17" x14ac:dyDescent="0.35">
      <c r="A345" s="59" t="s">
        <v>1537</v>
      </c>
      <c r="B345" s="232">
        <v>18.607222317640296</v>
      </c>
      <c r="C345" s="145">
        <v>15.347140281265483</v>
      </c>
      <c r="D345" s="145">
        <v>3.588364879417961</v>
      </c>
      <c r="E345" s="145">
        <v>32.698000089085255</v>
      </c>
      <c r="F345" s="145">
        <v>2.5058256976562641</v>
      </c>
      <c r="G345" s="145">
        <v>2.5058256976562641</v>
      </c>
      <c r="H345" s="145">
        <v>1.6288092610661158</v>
      </c>
      <c r="I345" s="144"/>
      <c r="J345" s="197">
        <v>0.24202568596465937</v>
      </c>
      <c r="K345" s="197">
        <v>0.1996215281766022</v>
      </c>
      <c r="L345" s="197">
        <v>4.6674159990514982E-2</v>
      </c>
      <c r="M345" s="197">
        <v>0.42530560263854295</v>
      </c>
      <c r="N345" s="197">
        <v>3.2593482951411276E-2</v>
      </c>
      <c r="O345" s="197">
        <v>3.2593482951411276E-2</v>
      </c>
      <c r="P345" s="197">
        <v>2.1186057326857875E-2</v>
      </c>
      <c r="Q345" s="196"/>
    </row>
    <row r="346" spans="1:17" x14ac:dyDescent="0.35">
      <c r="A346" s="59" t="s">
        <v>1536</v>
      </c>
      <c r="B346" s="232">
        <v>17.255956159912685</v>
      </c>
      <c r="C346" s="145">
        <v>13.91278485536165</v>
      </c>
      <c r="D346" s="145">
        <v>2.7704378606129829</v>
      </c>
      <c r="E346" s="145">
        <v>30.376315543608833</v>
      </c>
      <c r="F346" s="145">
        <v>2.0701379442695615</v>
      </c>
      <c r="G346" s="145">
        <v>2.0701379442695615</v>
      </c>
      <c r="H346" s="145">
        <v>1.4027324155361107</v>
      </c>
      <c r="I346" s="144"/>
      <c r="J346" s="197">
        <v>0.24701296888932947</v>
      </c>
      <c r="K346" s="197">
        <v>0.19915664254091214</v>
      </c>
      <c r="L346" s="197">
        <v>3.9657847686423303E-2</v>
      </c>
      <c r="M346" s="197">
        <v>0.43482631833389351</v>
      </c>
      <c r="N346" s="197">
        <v>2.9633299649450728E-2</v>
      </c>
      <c r="O346" s="197">
        <v>2.9633299649450728E-2</v>
      </c>
      <c r="P346" s="197">
        <v>2.0079623250539629E-2</v>
      </c>
      <c r="Q346" s="196"/>
    </row>
    <row r="347" spans="1:17" x14ac:dyDescent="0.35">
      <c r="A347" s="59" t="s">
        <v>1535</v>
      </c>
      <c r="B347" s="232">
        <v>7.5035909051282568</v>
      </c>
      <c r="C347" s="145">
        <v>7.2019035701756575</v>
      </c>
      <c r="D347" s="145">
        <v>1.4560002960385299</v>
      </c>
      <c r="E347" s="145">
        <v>15.832303726787476</v>
      </c>
      <c r="F347" s="145">
        <v>0.89165884423612396</v>
      </c>
      <c r="G347" s="145">
        <v>0.89165884423612396</v>
      </c>
      <c r="H347" s="145">
        <v>0.25531435388477552</v>
      </c>
      <c r="I347" s="144"/>
      <c r="J347" s="197">
        <v>0.22048354425351865</v>
      </c>
      <c r="K347" s="197">
        <v>0.21161884284485216</v>
      </c>
      <c r="L347" s="197">
        <v>4.2782730263898928E-2</v>
      </c>
      <c r="M347" s="197">
        <v>0.46521225417480672</v>
      </c>
      <c r="N347" s="197">
        <v>2.6200269274783493E-2</v>
      </c>
      <c r="O347" s="197">
        <v>2.6200269274783493E-2</v>
      </c>
      <c r="P347" s="197">
        <v>7.502089913355988E-3</v>
      </c>
      <c r="Q347" s="196"/>
    </row>
    <row r="348" spans="1:17" x14ac:dyDescent="0.35">
      <c r="A348" s="59" t="s">
        <v>1534</v>
      </c>
      <c r="B348" s="232">
        <v>7.9057997296959206</v>
      </c>
      <c r="C348" s="145">
        <v>5.4863250587240664</v>
      </c>
      <c r="D348" s="145">
        <v>1.0156475764043109</v>
      </c>
      <c r="E348" s="145">
        <v>10.868784730148347</v>
      </c>
      <c r="F348" s="145">
        <v>0.9635875693050725</v>
      </c>
      <c r="G348" s="145">
        <v>0.9635875693050725</v>
      </c>
      <c r="H348" s="145">
        <v>0.88548658486375265</v>
      </c>
      <c r="I348" s="144"/>
      <c r="J348" s="197">
        <v>0.28145317179501206</v>
      </c>
      <c r="K348" s="197">
        <v>0.19531782262029757</v>
      </c>
      <c r="L348" s="197">
        <v>3.6157914642230005E-2</v>
      </c>
      <c r="M348" s="197">
        <v>0.38693794941035098</v>
      </c>
      <c r="N348" s="197">
        <v>3.4304534260392906E-2</v>
      </c>
      <c r="O348" s="197">
        <v>3.4304534260392906E-2</v>
      </c>
      <c r="P348" s="197">
        <v>3.1524073011323567E-2</v>
      </c>
      <c r="Q348" s="196"/>
    </row>
    <row r="349" spans="1:17" x14ac:dyDescent="0.35">
      <c r="A349" s="59" t="s">
        <v>1533</v>
      </c>
      <c r="B349" s="232">
        <v>1.84656552508851</v>
      </c>
      <c r="C349" s="145">
        <v>1.2245562264619285</v>
      </c>
      <c r="D349" s="145">
        <v>0.2987899881701428</v>
      </c>
      <c r="E349" s="145">
        <v>3.6752270866730083</v>
      </c>
      <c r="F349" s="145">
        <v>0.21489153072836506</v>
      </c>
      <c r="G349" s="145">
        <v>0.21489153072836506</v>
      </c>
      <c r="H349" s="145">
        <v>0.26193147678758255</v>
      </c>
      <c r="I349" s="144"/>
      <c r="J349" s="197">
        <v>0.23867138719837072</v>
      </c>
      <c r="K349" s="197">
        <v>0.15827574451118473</v>
      </c>
      <c r="L349" s="197">
        <v>3.8619057915171784E-2</v>
      </c>
      <c r="M349" s="197">
        <v>0.4750286600326456</v>
      </c>
      <c r="N349" s="197">
        <v>2.7775055387575173E-2</v>
      </c>
      <c r="O349" s="197">
        <v>2.7775055387575173E-2</v>
      </c>
      <c r="P349" s="197">
        <v>3.3855039567476847E-2</v>
      </c>
      <c r="Q349" s="196"/>
    </row>
    <row r="350" spans="1:17" x14ac:dyDescent="0.35">
      <c r="A350" s="59" t="s">
        <v>1532</v>
      </c>
      <c r="B350" s="49">
        <v>1972.551842573353</v>
      </c>
      <c r="C350" s="48">
        <v>2006.4762486361626</v>
      </c>
      <c r="D350" s="48">
        <v>1132.1053969381842</v>
      </c>
      <c r="E350" s="48">
        <v>3468.8512438290327</v>
      </c>
      <c r="F350" s="48">
        <v>553.8667501007501</v>
      </c>
      <c r="G350" s="48">
        <v>553.8667501007501</v>
      </c>
      <c r="H350" s="48">
        <v>295.36481218512603</v>
      </c>
      <c r="I350" s="47"/>
      <c r="J350" s="197">
        <v>0.19758944544562249</v>
      </c>
      <c r="K350" s="197">
        <v>0.20098763475368037</v>
      </c>
      <c r="L350" s="197">
        <v>0.11340238200035735</v>
      </c>
      <c r="M350" s="197">
        <v>0.34747294281876301</v>
      </c>
      <c r="N350" s="197">
        <v>5.5480531178539468E-2</v>
      </c>
      <c r="O350" s="197">
        <v>5.5480531178539468E-2</v>
      </c>
      <c r="P350" s="197">
        <v>2.9586532624497664E-2</v>
      </c>
      <c r="Q350" s="196"/>
    </row>
    <row r="351" spans="1:17" ht="13.15" x14ac:dyDescent="0.4">
      <c r="A351" s="128" t="s">
        <v>2225</v>
      </c>
      <c r="B351" s="232"/>
      <c r="C351" s="145"/>
      <c r="D351" s="145"/>
      <c r="E351" s="145"/>
      <c r="F351" s="145"/>
      <c r="G351" s="145"/>
      <c r="H351" s="145"/>
      <c r="I351" s="144"/>
      <c r="J351" s="197"/>
      <c r="K351" s="197"/>
      <c r="L351" s="197"/>
      <c r="M351" s="197"/>
      <c r="N351" s="197"/>
      <c r="O351" s="197"/>
      <c r="P351" s="197"/>
      <c r="Q351" s="196"/>
    </row>
    <row r="352" spans="1:17" x14ac:dyDescent="0.35">
      <c r="A352" s="59" t="s">
        <v>1525</v>
      </c>
      <c r="B352" s="232">
        <v>1043.4903652364535</v>
      </c>
      <c r="C352" s="145">
        <v>881.31419818702511</v>
      </c>
      <c r="D352" s="145">
        <v>138.87041729755845</v>
      </c>
      <c r="E352" s="145">
        <v>3072.1286076401775</v>
      </c>
      <c r="F352" s="145">
        <v>78.544041276245139</v>
      </c>
      <c r="G352" s="145">
        <v>78.544041276245139</v>
      </c>
      <c r="H352" s="145">
        <v>29.822485464376669</v>
      </c>
      <c r="I352" s="144"/>
      <c r="J352" s="197">
        <v>0.1960447874109609</v>
      </c>
      <c r="K352" s="197">
        <v>0.1655760899974249</v>
      </c>
      <c r="L352" s="197">
        <v>2.6090151230674916E-2</v>
      </c>
      <c r="M352" s="197">
        <v>0.57717332123854859</v>
      </c>
      <c r="N352" s="197">
        <v>1.4756389121915866E-2</v>
      </c>
      <c r="O352" s="197">
        <v>1.4756389121915866E-2</v>
      </c>
      <c r="P352" s="197">
        <v>5.6028718785586266E-3</v>
      </c>
      <c r="Q352" s="196"/>
    </row>
    <row r="353" spans="1:17" x14ac:dyDescent="0.35">
      <c r="A353" s="59" t="s">
        <v>1524</v>
      </c>
      <c r="B353" s="232">
        <v>7026.1058377991931</v>
      </c>
      <c r="C353" s="145">
        <v>4404.1456094775831</v>
      </c>
      <c r="D353" s="145">
        <v>908.02563150968592</v>
      </c>
      <c r="E353" s="145">
        <v>13725.32885974608</v>
      </c>
      <c r="F353" s="145">
        <v>515.0262649636062</v>
      </c>
      <c r="G353" s="145">
        <v>515.0262649636062</v>
      </c>
      <c r="H353" s="145">
        <v>118.85401140745691</v>
      </c>
      <c r="I353" s="144"/>
      <c r="J353" s="197">
        <v>0.25819394085707281</v>
      </c>
      <c r="K353" s="197">
        <v>0.16184266751318629</v>
      </c>
      <c r="L353" s="197">
        <v>3.3367945432509233E-2</v>
      </c>
      <c r="M353" s="197">
        <v>0.50437565696664588</v>
      </c>
      <c r="N353" s="197">
        <v>1.8926082821078754E-2</v>
      </c>
      <c r="O353" s="197">
        <v>1.8926082821078754E-2</v>
      </c>
      <c r="P353" s="197">
        <v>4.367623588427909E-3</v>
      </c>
      <c r="Q353" s="196"/>
    </row>
    <row r="354" spans="1:17" x14ac:dyDescent="0.35">
      <c r="A354" s="59" t="s">
        <v>1523</v>
      </c>
      <c r="B354" s="232">
        <v>1420.1811419675946</v>
      </c>
      <c r="C354" s="145">
        <v>1074.2940030680963</v>
      </c>
      <c r="D354" s="145">
        <v>278.23610730470023</v>
      </c>
      <c r="E354" s="145">
        <v>2745.1629199751783</v>
      </c>
      <c r="F354" s="145">
        <v>233.3782459091203</v>
      </c>
      <c r="G354" s="145">
        <v>233.3782459091203</v>
      </c>
      <c r="H354" s="145">
        <v>109.41344364011609</v>
      </c>
      <c r="I354" s="144"/>
      <c r="J354" s="197">
        <v>0.23304411928294491</v>
      </c>
      <c r="K354" s="197">
        <v>0.17628589226941477</v>
      </c>
      <c r="L354" s="197">
        <v>4.5657055049825715E-2</v>
      </c>
      <c r="M354" s="197">
        <v>0.4504665328026235</v>
      </c>
      <c r="N354" s="197">
        <v>3.8296120241632162E-2</v>
      </c>
      <c r="O354" s="197">
        <v>3.8296120241632162E-2</v>
      </c>
      <c r="P354" s="197">
        <v>1.7954160111926621E-2</v>
      </c>
      <c r="Q354" s="196"/>
    </row>
    <row r="355" spans="1:17" x14ac:dyDescent="0.35">
      <c r="A355" s="59" t="s">
        <v>1522</v>
      </c>
      <c r="B355" s="232">
        <v>637.84248589891922</v>
      </c>
      <c r="C355" s="145">
        <v>556.47131299603166</v>
      </c>
      <c r="D355" s="145">
        <v>140.12754345518638</v>
      </c>
      <c r="E355" s="145">
        <v>1289.400733157122</v>
      </c>
      <c r="F355" s="145">
        <v>80.892939936395479</v>
      </c>
      <c r="G355" s="145">
        <v>80.892939936395479</v>
      </c>
      <c r="H355" s="145">
        <v>38.316471833385499</v>
      </c>
      <c r="I355" s="144"/>
      <c r="J355" s="197">
        <v>0.22586934776486325</v>
      </c>
      <c r="K355" s="197">
        <v>0.19705462601653848</v>
      </c>
      <c r="L355" s="197">
        <v>4.9621211417909893E-2</v>
      </c>
      <c r="M355" s="197">
        <v>0.45659564711386857</v>
      </c>
      <c r="N355" s="197">
        <v>2.8645372464435367E-2</v>
      </c>
      <c r="O355" s="197">
        <v>2.8645372464435367E-2</v>
      </c>
      <c r="P355" s="197">
        <v>1.3568422757948806E-2</v>
      </c>
      <c r="Q355" s="196"/>
    </row>
    <row r="356" spans="1:17" x14ac:dyDescent="0.35">
      <c r="A356" s="59" t="s">
        <v>1521</v>
      </c>
      <c r="B356" s="232">
        <v>285.96583069252716</v>
      </c>
      <c r="C356" s="145">
        <v>258.89097824829526</v>
      </c>
      <c r="D356" s="145">
        <v>68.560172249174542</v>
      </c>
      <c r="E356" s="145">
        <v>619.91794706078076</v>
      </c>
      <c r="F356" s="145">
        <v>40.2982296587546</v>
      </c>
      <c r="G356" s="145">
        <v>40.2982296587546</v>
      </c>
      <c r="H356" s="145">
        <v>17.141534703316534</v>
      </c>
      <c r="I356" s="144"/>
      <c r="J356" s="197">
        <v>0.21483859066451372</v>
      </c>
      <c r="K356" s="197">
        <v>0.19449796770448377</v>
      </c>
      <c r="L356" s="197">
        <v>5.1507450194516781E-2</v>
      </c>
      <c r="M356" s="197">
        <v>0.46572801285960441</v>
      </c>
      <c r="N356" s="197">
        <v>3.0274997698835161E-2</v>
      </c>
      <c r="O356" s="197">
        <v>3.0274997698835161E-2</v>
      </c>
      <c r="P356" s="197">
        <v>1.2877983179210691E-2</v>
      </c>
      <c r="Q356" s="196"/>
    </row>
    <row r="357" spans="1:17" x14ac:dyDescent="0.35">
      <c r="A357" s="59" t="s">
        <v>1520</v>
      </c>
      <c r="B357" s="232">
        <v>5957.7074697787275</v>
      </c>
      <c r="C357" s="145">
        <v>5012.7960123975899</v>
      </c>
      <c r="D357" s="145">
        <v>2830.0273824607193</v>
      </c>
      <c r="E357" s="145">
        <v>10176.907660575456</v>
      </c>
      <c r="F357" s="145">
        <v>3007.2253891634255</v>
      </c>
      <c r="G357" s="145">
        <v>3007.2253891634255</v>
      </c>
      <c r="H357" s="145">
        <v>699.18263681165251</v>
      </c>
      <c r="I357" s="144"/>
      <c r="J357" s="197">
        <v>0.19411858541004062</v>
      </c>
      <c r="K357" s="197">
        <v>0.16333075697519153</v>
      </c>
      <c r="L357" s="197">
        <v>9.2210118563501475E-2</v>
      </c>
      <c r="M357" s="197">
        <v>0.33159179582761311</v>
      </c>
      <c r="N357" s="197">
        <v>9.7983719663101237E-2</v>
      </c>
      <c r="O357" s="197">
        <v>9.7983719663101237E-2</v>
      </c>
      <c r="P357" s="197">
        <v>2.2781303897450516E-2</v>
      </c>
      <c r="Q357" s="196"/>
    </row>
    <row r="358" spans="1:17" x14ac:dyDescent="0.35">
      <c r="A358" s="59" t="s">
        <v>1519</v>
      </c>
      <c r="B358" s="232">
        <v>8.6039616299738544</v>
      </c>
      <c r="C358" s="145">
        <v>6.8457192875818027</v>
      </c>
      <c r="D358" s="145">
        <v>2.4353546950890745</v>
      </c>
      <c r="E358" s="145">
        <v>16.459566442454744</v>
      </c>
      <c r="F358" s="145">
        <v>2.4104071728766168</v>
      </c>
      <c r="G358" s="145">
        <v>2.4104071728766168</v>
      </c>
      <c r="H358" s="145">
        <v>0.97086767833548815</v>
      </c>
      <c r="I358" s="144"/>
      <c r="J358" s="197">
        <v>0.21436866484695957</v>
      </c>
      <c r="K358" s="197">
        <v>0.1705618605368478</v>
      </c>
      <c r="L358" s="197">
        <v>6.0677134193194406E-2</v>
      </c>
      <c r="M358" s="197">
        <v>0.41009193601431315</v>
      </c>
      <c r="N358" s="197">
        <v>6.0055563891289104E-2</v>
      </c>
      <c r="O358" s="197">
        <v>6.0055563891289104E-2</v>
      </c>
      <c r="P358" s="197">
        <v>2.4189276626106763E-2</v>
      </c>
      <c r="Q358" s="196"/>
    </row>
    <row r="359" spans="1:17" x14ac:dyDescent="0.35">
      <c r="A359" s="59" t="s">
        <v>1518</v>
      </c>
      <c r="B359" s="232">
        <v>15.42071225332759</v>
      </c>
      <c r="C359" s="145">
        <v>12.319178192090355</v>
      </c>
      <c r="D359" s="145">
        <v>2.9972922746616275</v>
      </c>
      <c r="E359" s="145">
        <v>30.557923252341013</v>
      </c>
      <c r="F359" s="145">
        <v>2.5949911098273151</v>
      </c>
      <c r="G359" s="145">
        <v>2.5949911098273151</v>
      </c>
      <c r="H359" s="145">
        <v>1.4070368589767019</v>
      </c>
      <c r="I359" s="144"/>
      <c r="J359" s="197">
        <v>0.22713550712592784</v>
      </c>
      <c r="K359" s="197">
        <v>0.18145224034196702</v>
      </c>
      <c r="L359" s="197">
        <v>4.4147863576339576E-2</v>
      </c>
      <c r="M359" s="197">
        <v>0.45009525374795351</v>
      </c>
      <c r="N359" s="197">
        <v>3.8222269635484148E-2</v>
      </c>
      <c r="O359" s="197">
        <v>3.8222269635484148E-2</v>
      </c>
      <c r="P359" s="197">
        <v>2.0724595936843504E-2</v>
      </c>
      <c r="Q359" s="196"/>
    </row>
    <row r="360" spans="1:17" x14ac:dyDescent="0.35">
      <c r="A360" s="59" t="s">
        <v>1531</v>
      </c>
      <c r="B360" s="232">
        <v>3522.4936877554132</v>
      </c>
      <c r="C360" s="145">
        <v>2487.1053966217523</v>
      </c>
      <c r="D360" s="145">
        <v>441.09200466513187</v>
      </c>
      <c r="E360" s="145">
        <v>4865.6729086032065</v>
      </c>
      <c r="F360" s="145">
        <v>340.38457352943811</v>
      </c>
      <c r="G360" s="145">
        <v>340.38457352943811</v>
      </c>
      <c r="H360" s="145">
        <v>303.43464757177998</v>
      </c>
      <c r="I360" s="144"/>
      <c r="J360" s="197">
        <v>0.28636838130084336</v>
      </c>
      <c r="K360" s="197">
        <v>0.20219435709166761</v>
      </c>
      <c r="L360" s="197">
        <v>3.5859483246139634E-2</v>
      </c>
      <c r="M360" s="197">
        <v>0.39556490324442461</v>
      </c>
      <c r="N360" s="197">
        <v>2.7672265156993333E-2</v>
      </c>
      <c r="O360" s="197">
        <v>2.7672265156993333E-2</v>
      </c>
      <c r="P360" s="197">
        <v>2.4668344802937815E-2</v>
      </c>
      <c r="Q360" s="196"/>
    </row>
    <row r="361" spans="1:17" x14ac:dyDescent="0.35">
      <c r="A361" s="59" t="s">
        <v>1530</v>
      </c>
      <c r="B361" s="232">
        <v>31.846478554988852</v>
      </c>
      <c r="C361" s="145">
        <v>19.122954090176773</v>
      </c>
      <c r="D361" s="145">
        <v>3.399087440566213</v>
      </c>
      <c r="E361" s="145">
        <v>36.741410789002032</v>
      </c>
      <c r="F361" s="145">
        <v>2.8303536449701276</v>
      </c>
      <c r="G361" s="145">
        <v>2.8303536449701276</v>
      </c>
      <c r="H361" s="145">
        <v>3.2214657847036321</v>
      </c>
      <c r="I361" s="144"/>
      <c r="J361" s="197">
        <v>0.31848993367627837</v>
      </c>
      <c r="K361" s="197">
        <v>0.19124464167548677</v>
      </c>
      <c r="L361" s="197">
        <v>3.3993558554253879E-2</v>
      </c>
      <c r="M361" s="197">
        <v>0.36744312138489282</v>
      </c>
      <c r="N361" s="197">
        <v>2.8305771487746968E-2</v>
      </c>
      <c r="O361" s="197">
        <v>2.8305771487746968E-2</v>
      </c>
      <c r="P361" s="197">
        <v>3.2217201733594276E-2</v>
      </c>
      <c r="Q361" s="196"/>
    </row>
    <row r="362" spans="1:17" x14ac:dyDescent="0.35">
      <c r="A362" s="59" t="s">
        <v>1529</v>
      </c>
      <c r="B362" s="49">
        <v>1234029.2255462736</v>
      </c>
      <c r="C362" s="48">
        <v>920795.67377524078</v>
      </c>
      <c r="D362" s="48">
        <v>246379.4668099597</v>
      </c>
      <c r="E362" s="48">
        <v>2502402.0478041563</v>
      </c>
      <c r="F362" s="48">
        <v>171649.06220213813</v>
      </c>
      <c r="G362" s="48">
        <v>171649.06220213813</v>
      </c>
      <c r="H362" s="48">
        <v>83645.103096443985</v>
      </c>
      <c r="I362" s="47"/>
      <c r="J362" s="197">
        <v>0.23150131010012626</v>
      </c>
      <c r="K362" s="197">
        <v>0.17273934879389405</v>
      </c>
      <c r="L362" s="197">
        <v>4.6220274339959275E-2</v>
      </c>
      <c r="M362" s="197">
        <v>0.46944540734637408</v>
      </c>
      <c r="N362" s="197">
        <v>3.2201006227921776E-2</v>
      </c>
      <c r="O362" s="197">
        <v>3.2201006227921776E-2</v>
      </c>
      <c r="P362" s="197">
        <v>1.5691646963802642E-2</v>
      </c>
      <c r="Q362" s="196"/>
    </row>
    <row r="363" spans="1:17" x14ac:dyDescent="0.35">
      <c r="A363" s="59" t="s">
        <v>1528</v>
      </c>
      <c r="B363" s="49">
        <v>1248322.4606439923</v>
      </c>
      <c r="C363" s="48">
        <v>930463.23660305492</v>
      </c>
      <c r="D363" s="48">
        <v>248239.17703148085</v>
      </c>
      <c r="E363" s="48">
        <v>2533545.2225537593</v>
      </c>
      <c r="F363" s="48">
        <v>172703.18478524903</v>
      </c>
      <c r="G363" s="48">
        <v>172703.18478524903</v>
      </c>
      <c r="H363" s="48">
        <v>83924.820432162538</v>
      </c>
      <c r="I363" s="47"/>
      <c r="J363" s="197">
        <v>0.23160395603033951</v>
      </c>
      <c r="K363" s="197">
        <v>0.17263084926541208</v>
      </c>
      <c r="L363" s="197">
        <v>4.6056349424768682E-2</v>
      </c>
      <c r="M363" s="197">
        <v>0.47005410446793244</v>
      </c>
      <c r="N363" s="197">
        <v>3.2041994017048783E-2</v>
      </c>
      <c r="O363" s="197">
        <v>3.2041994017048783E-2</v>
      </c>
      <c r="P363" s="197">
        <v>1.5570752777449241E-2</v>
      </c>
      <c r="Q363" s="196"/>
    </row>
    <row r="364" spans="1:17" x14ac:dyDescent="0.35">
      <c r="A364" s="59" t="s">
        <v>1527</v>
      </c>
      <c r="B364" s="49">
        <v>1367286.8814400642</v>
      </c>
      <c r="C364" s="48">
        <v>1018852.2779110705</v>
      </c>
      <c r="D364" s="48">
        <v>270847.18555205368</v>
      </c>
      <c r="E364" s="48">
        <v>2690392.5626588347</v>
      </c>
      <c r="F364" s="48">
        <v>187261.57267375459</v>
      </c>
      <c r="G364" s="48">
        <v>187261.57267375459</v>
      </c>
      <c r="H364" s="48">
        <v>96331.831247936279</v>
      </c>
      <c r="I364" s="47"/>
      <c r="J364" s="197">
        <v>0.23500032976726223</v>
      </c>
      <c r="K364" s="197">
        <v>0.17511366820184288</v>
      </c>
      <c r="L364" s="197">
        <v>4.6551443435360405E-2</v>
      </c>
      <c r="M364" s="197">
        <v>0.46240708370018152</v>
      </c>
      <c r="N364" s="197">
        <v>3.2185294782262217E-2</v>
      </c>
      <c r="O364" s="197">
        <v>3.2185294782262217E-2</v>
      </c>
      <c r="P364" s="197">
        <v>1.6556885330828528E-2</v>
      </c>
      <c r="Q364" s="196"/>
    </row>
    <row r="365" spans="1:17" ht="13.15" x14ac:dyDescent="0.4">
      <c r="A365" s="128" t="s">
        <v>2224</v>
      </c>
      <c r="B365" s="232"/>
      <c r="C365" s="145"/>
      <c r="D365" s="145"/>
      <c r="E365" s="145"/>
      <c r="F365" s="145"/>
      <c r="G365" s="145"/>
      <c r="H365" s="145"/>
      <c r="I365" s="144"/>
      <c r="J365" s="197"/>
      <c r="K365" s="197"/>
      <c r="L365" s="197"/>
      <c r="M365" s="197"/>
      <c r="N365" s="197"/>
      <c r="O365" s="197"/>
      <c r="P365" s="197"/>
      <c r="Q365" s="196"/>
    </row>
    <row r="366" spans="1:17" x14ac:dyDescent="0.35">
      <c r="A366" s="59" t="s">
        <v>1525</v>
      </c>
      <c r="B366" s="232">
        <v>8.2707179881888511</v>
      </c>
      <c r="C366" s="145">
        <v>6.3395571985740036</v>
      </c>
      <c r="D366" s="145">
        <v>1.5820953751329239</v>
      </c>
      <c r="E366" s="145">
        <v>15.380826205947532</v>
      </c>
      <c r="F366" s="145">
        <v>1.2572691596187324</v>
      </c>
      <c r="G366" s="145">
        <v>1.2572691596187324</v>
      </c>
      <c r="H366" s="145">
        <v>0.92413854010728858</v>
      </c>
      <c r="I366" s="144"/>
      <c r="J366" s="197">
        <v>0.23622608936204775</v>
      </c>
      <c r="K366" s="197">
        <v>0.18106877872571475</v>
      </c>
      <c r="L366" s="197">
        <v>4.5187395338487854E-2</v>
      </c>
      <c r="M366" s="197">
        <v>0.43930314526223269</v>
      </c>
      <c r="N366" s="197">
        <v>3.5909793717592266E-2</v>
      </c>
      <c r="O366" s="197">
        <v>3.5909793717592266E-2</v>
      </c>
      <c r="P366" s="197">
        <v>2.6395003876332385E-2</v>
      </c>
      <c r="Q366" s="196"/>
    </row>
    <row r="367" spans="1:17" x14ac:dyDescent="0.35">
      <c r="A367" s="59" t="s">
        <v>1524</v>
      </c>
      <c r="B367" s="232">
        <v>42.307694345892536</v>
      </c>
      <c r="C367" s="145">
        <v>30.278537022551152</v>
      </c>
      <c r="D367" s="145">
        <v>7.5409895975293466</v>
      </c>
      <c r="E367" s="145">
        <v>70.415958099444509</v>
      </c>
      <c r="F367" s="145">
        <v>5.9206924219289077</v>
      </c>
      <c r="G367" s="145">
        <v>5.9206924219289077</v>
      </c>
      <c r="H367" s="145">
        <v>3.6524751810095544</v>
      </c>
      <c r="I367" s="144"/>
      <c r="J367" s="197">
        <v>0.25480877385971173</v>
      </c>
      <c r="K367" s="197">
        <v>0.18236013595789777</v>
      </c>
      <c r="L367" s="197">
        <v>4.5417514301907227E-2</v>
      </c>
      <c r="M367" s="197">
        <v>0.42409789096006972</v>
      </c>
      <c r="N367" s="197">
        <v>3.565886536141763E-2</v>
      </c>
      <c r="O367" s="197">
        <v>3.565886536141763E-2</v>
      </c>
      <c r="P367" s="197">
        <v>2.1997954197577985E-2</v>
      </c>
      <c r="Q367" s="196"/>
    </row>
    <row r="368" spans="1:17" x14ac:dyDescent="0.35">
      <c r="A368" s="59" t="s">
        <v>1523</v>
      </c>
      <c r="B368" s="232">
        <v>91.651262873553705</v>
      </c>
      <c r="C368" s="145">
        <v>67.80249497482464</v>
      </c>
      <c r="D368" s="145">
        <v>19.427380493753592</v>
      </c>
      <c r="E368" s="145">
        <v>161.10490032899745</v>
      </c>
      <c r="F368" s="145">
        <v>13.883554456715101</v>
      </c>
      <c r="G368" s="145">
        <v>13.883554456715101</v>
      </c>
      <c r="H368" s="145">
        <v>7.1168585152696373</v>
      </c>
      <c r="I368" s="144"/>
      <c r="J368" s="197">
        <v>0.24448811956736441</v>
      </c>
      <c r="K368" s="197">
        <v>0.18086935169939566</v>
      </c>
      <c r="L368" s="197">
        <v>5.1824312902163751E-2</v>
      </c>
      <c r="M368" s="197">
        <v>0.42976204472889884</v>
      </c>
      <c r="N368" s="197">
        <v>3.7035650307583837E-2</v>
      </c>
      <c r="O368" s="197">
        <v>3.7035650307583837E-2</v>
      </c>
      <c r="P368" s="197">
        <v>1.8984870487009274E-2</v>
      </c>
      <c r="Q368" s="196"/>
    </row>
    <row r="369" spans="1:17" x14ac:dyDescent="0.35">
      <c r="A369" s="59" t="s">
        <v>1522</v>
      </c>
      <c r="B369" s="232">
        <v>8.8886105337192109</v>
      </c>
      <c r="C369" s="145">
        <v>6.749662216733844</v>
      </c>
      <c r="D369" s="145">
        <v>2.2953754096015557</v>
      </c>
      <c r="E369" s="145">
        <v>16.963039205684296</v>
      </c>
      <c r="F369" s="145">
        <v>1.53726798248526</v>
      </c>
      <c r="G369" s="145">
        <v>1.53726798248526</v>
      </c>
      <c r="H369" s="145">
        <v>0.63130580222152188</v>
      </c>
      <c r="I369" s="144"/>
      <c r="J369" s="197">
        <v>0.23025979730785401</v>
      </c>
      <c r="K369" s="197">
        <v>0.1748502589944517</v>
      </c>
      <c r="L369" s="197">
        <v>5.9461788156347048E-2</v>
      </c>
      <c r="M369" s="197">
        <v>0.43942818221238017</v>
      </c>
      <c r="N369" s="197">
        <v>3.9822986136259425E-2</v>
      </c>
      <c r="O369" s="197">
        <v>3.9822986136259425E-2</v>
      </c>
      <c r="P369" s="197">
        <v>1.6354001056448113E-2</v>
      </c>
      <c r="Q369" s="196"/>
    </row>
    <row r="370" spans="1:17" x14ac:dyDescent="0.35">
      <c r="A370" s="59" t="s">
        <v>1521</v>
      </c>
      <c r="B370" s="232">
        <v>6.5938537804297095</v>
      </c>
      <c r="C370" s="145">
        <v>4.9979900615836206</v>
      </c>
      <c r="D370" s="145">
        <v>1.6761192205850954</v>
      </c>
      <c r="E370" s="145">
        <v>12.655586430348698</v>
      </c>
      <c r="F370" s="145">
        <v>1.1203265692444775</v>
      </c>
      <c r="G370" s="145">
        <v>1.1203265692444775</v>
      </c>
      <c r="H370" s="145">
        <v>0.46472921564693159</v>
      </c>
      <c r="I370" s="144"/>
      <c r="J370" s="197">
        <v>0.23032133422405535</v>
      </c>
      <c r="K370" s="197">
        <v>0.17457829332507432</v>
      </c>
      <c r="L370" s="197">
        <v>5.8546341496002206E-2</v>
      </c>
      <c r="M370" s="197">
        <v>0.44205583700944706</v>
      </c>
      <c r="N370" s="197">
        <v>3.9132670936817604E-2</v>
      </c>
      <c r="O370" s="197">
        <v>3.9132670936817604E-2</v>
      </c>
      <c r="P370" s="197">
        <v>1.6232852071785646E-2</v>
      </c>
      <c r="Q370" s="196"/>
    </row>
    <row r="371" spans="1:17" x14ac:dyDescent="0.35">
      <c r="A371" s="59" t="s">
        <v>1520</v>
      </c>
      <c r="B371" s="232">
        <v>286.64237795407871</v>
      </c>
      <c r="C371" s="145">
        <v>215.16580990861641</v>
      </c>
      <c r="D371" s="145">
        <v>74.71802904492813</v>
      </c>
      <c r="E371" s="145">
        <v>522.01125167622149</v>
      </c>
      <c r="F371" s="145">
        <v>48.936471123579324</v>
      </c>
      <c r="G371" s="145">
        <v>48.936471123579324</v>
      </c>
      <c r="H371" s="145">
        <v>19.771788742414852</v>
      </c>
      <c r="I371" s="144"/>
      <c r="J371" s="197">
        <v>0.23569032506364576</v>
      </c>
      <c r="K371" s="197">
        <v>0.17691905866085428</v>
      </c>
      <c r="L371" s="197">
        <v>6.143654221475682E-2</v>
      </c>
      <c r="M371" s="197">
        <v>0.42922125637040182</v>
      </c>
      <c r="N371" s="197">
        <v>4.0237779455038904E-2</v>
      </c>
      <c r="O371" s="197">
        <v>4.0237779455038904E-2</v>
      </c>
      <c r="P371" s="197">
        <v>1.6257258780263267E-2</v>
      </c>
      <c r="Q371" s="196"/>
    </row>
    <row r="372" spans="1:17" x14ac:dyDescent="0.35">
      <c r="A372" s="59" t="s">
        <v>1519</v>
      </c>
      <c r="B372" s="232">
        <v>0.41350492929388499</v>
      </c>
      <c r="C372" s="145">
        <v>0.31604194280372433</v>
      </c>
      <c r="D372" s="145">
        <v>0.10221190516270337</v>
      </c>
      <c r="E372" s="145">
        <v>0.82527431153321729</v>
      </c>
      <c r="F372" s="145">
        <v>7.0288503353601053E-2</v>
      </c>
      <c r="G372" s="145">
        <v>7.0288503353601053E-2</v>
      </c>
      <c r="H372" s="145">
        <v>3.1035979053622008E-2</v>
      </c>
      <c r="I372" s="144"/>
      <c r="J372" s="197">
        <v>0.22612627727574736</v>
      </c>
      <c r="K372" s="197">
        <v>0.17282838226677871</v>
      </c>
      <c r="L372" s="197">
        <v>5.5894853894902903E-2</v>
      </c>
      <c r="M372" s="197">
        <v>0.45130346599974985</v>
      </c>
      <c r="N372" s="197">
        <v>3.843745617682226E-2</v>
      </c>
      <c r="O372" s="197">
        <v>3.843745617682226E-2</v>
      </c>
      <c r="P372" s="197">
        <v>1.6972108209176315E-2</v>
      </c>
      <c r="Q372" s="196"/>
    </row>
    <row r="373" spans="1:17" x14ac:dyDescent="0.35">
      <c r="A373" s="57" t="s">
        <v>1518</v>
      </c>
      <c r="B373" s="231">
        <v>1.0918084012046505</v>
      </c>
      <c r="C373" s="142">
        <v>0.82487728084992029</v>
      </c>
      <c r="D373" s="142">
        <v>0.24717915750672056</v>
      </c>
      <c r="E373" s="142">
        <v>2.1140513577210029</v>
      </c>
      <c r="F373" s="142">
        <v>0.1692521568053085</v>
      </c>
      <c r="G373" s="142">
        <v>0.1692521568053085</v>
      </c>
      <c r="H373" s="142">
        <v>6.9156677871588343E-2</v>
      </c>
      <c r="I373" s="141"/>
      <c r="J373" s="194">
        <v>0.23301470816075492</v>
      </c>
      <c r="K373" s="194">
        <v>0.17604603395028587</v>
      </c>
      <c r="L373" s="194">
        <v>5.2753192946949856E-2</v>
      </c>
      <c r="M373" s="194">
        <v>0.45118269800148975</v>
      </c>
      <c r="N373" s="194">
        <v>3.6121943996815717E-2</v>
      </c>
      <c r="O373" s="194">
        <v>3.6121943996815717E-2</v>
      </c>
      <c r="P373" s="194">
        <v>1.4759478946888008E-2</v>
      </c>
      <c r="Q373" s="193"/>
    </row>
    <row r="375" spans="1:17" ht="13.15" x14ac:dyDescent="0.4">
      <c r="A375" s="41" t="s">
        <v>2234</v>
      </c>
    </row>
    <row r="376" spans="1:17" ht="13.15" x14ac:dyDescent="0.4">
      <c r="A376" s="131"/>
      <c r="B376" s="2193" t="s">
        <v>2229</v>
      </c>
      <c r="C376" s="2194"/>
      <c r="D376" s="2194"/>
      <c r="E376" s="2194"/>
      <c r="F376" s="2194"/>
      <c r="G376" s="2194"/>
      <c r="H376" s="2194"/>
      <c r="I376" s="2195"/>
      <c r="J376" s="2194" t="s">
        <v>2228</v>
      </c>
      <c r="K376" s="2194"/>
      <c r="L376" s="2194"/>
      <c r="M376" s="2194"/>
      <c r="N376" s="2194"/>
      <c r="O376" s="2194"/>
      <c r="P376" s="2194"/>
      <c r="Q376" s="2195"/>
    </row>
    <row r="377" spans="1:17" ht="52.5" x14ac:dyDescent="0.4">
      <c r="A377" s="59"/>
      <c r="B377" s="653" t="s">
        <v>405</v>
      </c>
      <c r="C377" s="652" t="s">
        <v>1830</v>
      </c>
      <c r="D377" s="652" t="s">
        <v>1829</v>
      </c>
      <c r="E377" s="652" t="s">
        <v>1503</v>
      </c>
      <c r="F377" s="652" t="s">
        <v>1501</v>
      </c>
      <c r="G377" s="652" t="s">
        <v>1500</v>
      </c>
      <c r="H377" s="180" t="s">
        <v>1499</v>
      </c>
      <c r="I377" s="651" t="s">
        <v>2227</v>
      </c>
      <c r="J377" s="653" t="s">
        <v>405</v>
      </c>
      <c r="K377" s="652" t="s">
        <v>1830</v>
      </c>
      <c r="L377" s="652" t="s">
        <v>1829</v>
      </c>
      <c r="M377" s="652" t="s">
        <v>1503</v>
      </c>
      <c r="N377" s="652" t="s">
        <v>1501</v>
      </c>
      <c r="O377" s="652" t="s">
        <v>1500</v>
      </c>
      <c r="P377" s="180" t="s">
        <v>1499</v>
      </c>
      <c r="Q377" s="651" t="s">
        <v>2227</v>
      </c>
    </row>
    <row r="378" spans="1:17" ht="13.15" x14ac:dyDescent="0.4">
      <c r="A378" s="128" t="s">
        <v>2226</v>
      </c>
      <c r="B378" s="650"/>
      <c r="C378" s="198"/>
      <c r="D378" s="198"/>
      <c r="E378" s="198"/>
      <c r="I378" s="99"/>
      <c r="J378" s="198"/>
      <c r="K378" s="198"/>
      <c r="L378" s="198"/>
      <c r="M378" s="198"/>
      <c r="Q378" s="99"/>
    </row>
    <row r="379" spans="1:17" x14ac:dyDescent="0.35">
      <c r="A379" s="59" t="s">
        <v>1537</v>
      </c>
      <c r="B379" s="232">
        <v>59.796448685378103</v>
      </c>
      <c r="C379" s="145">
        <v>14.637676381566212</v>
      </c>
      <c r="D379" s="145">
        <v>3.5579146260933232</v>
      </c>
      <c r="E379" s="145">
        <v>37.468608469296605</v>
      </c>
      <c r="F379" s="145">
        <v>1.4116827769821925</v>
      </c>
      <c r="G379" s="145">
        <v>1.4116827769821925</v>
      </c>
      <c r="H379" s="145">
        <v>1.2559654311532495</v>
      </c>
      <c r="I379" s="144"/>
      <c r="J379" s="197">
        <v>0.50022134110981842</v>
      </c>
      <c r="K379" s="197">
        <v>0.12245004964833332</v>
      </c>
      <c r="L379" s="197">
        <v>2.9763386705167951E-2</v>
      </c>
      <c r="M379" s="197">
        <v>0.31343997829445236</v>
      </c>
      <c r="N379" s="197">
        <v>1.1809294154559705E-2</v>
      </c>
      <c r="O379" s="197">
        <v>1.1809294154559705E-2</v>
      </c>
      <c r="P379" s="197">
        <v>1.0506655933108566E-2</v>
      </c>
      <c r="Q379" s="196"/>
    </row>
    <row r="380" spans="1:17" x14ac:dyDescent="0.35">
      <c r="A380" s="59" t="s">
        <v>1536</v>
      </c>
      <c r="B380" s="232">
        <v>56.152167065477713</v>
      </c>
      <c r="C380" s="145">
        <v>12.779294273454502</v>
      </c>
      <c r="D380" s="145">
        <v>2.7469283966898166</v>
      </c>
      <c r="E380" s="145">
        <v>32.477160676572815</v>
      </c>
      <c r="F380" s="145">
        <v>1.166233583060468</v>
      </c>
      <c r="G380" s="145">
        <v>1.166233583060468</v>
      </c>
      <c r="H380" s="145">
        <v>1.0816388788938356</v>
      </c>
      <c r="I380" s="144"/>
      <c r="J380" s="197">
        <v>0.52200749648963152</v>
      </c>
      <c r="K380" s="197">
        <v>0.1188001774323599</v>
      </c>
      <c r="L380" s="197">
        <v>2.5536275629759249E-2</v>
      </c>
      <c r="M380" s="197">
        <v>0.30191748998930734</v>
      </c>
      <c r="N380" s="197">
        <v>1.0841659455558331E-2</v>
      </c>
      <c r="O380" s="197">
        <v>1.0841659455558331E-2</v>
      </c>
      <c r="P380" s="197">
        <v>1.0055241547825368E-2</v>
      </c>
      <c r="Q380" s="196"/>
    </row>
    <row r="381" spans="1:17" x14ac:dyDescent="0.35">
      <c r="A381" s="59" t="s">
        <v>1535</v>
      </c>
      <c r="B381" s="232">
        <v>8.6154717422369416</v>
      </c>
      <c r="C381" s="145">
        <v>6.1181589498854914</v>
      </c>
      <c r="D381" s="145">
        <v>1.4436449254602979</v>
      </c>
      <c r="E381" s="145">
        <v>10.173634636350243</v>
      </c>
      <c r="F381" s="145">
        <v>0.50232521540875774</v>
      </c>
      <c r="G381" s="145">
        <v>0.50232521540875774</v>
      </c>
      <c r="H381" s="145">
        <v>0.19687142639809016</v>
      </c>
      <c r="I381" s="144"/>
      <c r="J381" s="197">
        <v>0.31269369279203663</v>
      </c>
      <c r="K381" s="197">
        <v>0.22205513201899482</v>
      </c>
      <c r="L381" s="197">
        <v>5.2396279197296468E-2</v>
      </c>
      <c r="M381" s="197">
        <v>0.36924633714036698</v>
      </c>
      <c r="N381" s="197">
        <v>1.8231610675324049E-2</v>
      </c>
      <c r="O381" s="197">
        <v>1.8231610675324049E-2</v>
      </c>
      <c r="P381" s="197">
        <v>7.1453375006567841E-3</v>
      </c>
      <c r="Q381" s="196"/>
    </row>
    <row r="382" spans="1:17" x14ac:dyDescent="0.35">
      <c r="A382" s="59" t="s">
        <v>1534</v>
      </c>
      <c r="B382" s="232">
        <v>38.801769191752406</v>
      </c>
      <c r="C382" s="145">
        <v>5.4736404648494288</v>
      </c>
      <c r="D382" s="145">
        <v>1.0070289640197525</v>
      </c>
      <c r="E382" s="145">
        <v>16.761919025352555</v>
      </c>
      <c r="F382" s="145">
        <v>0.54284700527031704</v>
      </c>
      <c r="G382" s="145">
        <v>0.54284700527031704</v>
      </c>
      <c r="H382" s="145">
        <v>0.68279360077489015</v>
      </c>
      <c r="I382" s="144"/>
      <c r="J382" s="197">
        <v>0.60805577678453204</v>
      </c>
      <c r="K382" s="197">
        <v>8.5776467775101242E-2</v>
      </c>
      <c r="L382" s="197">
        <v>1.5780975757458716E-2</v>
      </c>
      <c r="M382" s="197">
        <v>0.26267311789294895</v>
      </c>
      <c r="N382" s="197">
        <v>8.5068610102180791E-3</v>
      </c>
      <c r="O382" s="197">
        <v>8.5068610102180791E-3</v>
      </c>
      <c r="P382" s="197">
        <v>1.0699939769522991E-2</v>
      </c>
      <c r="Q382" s="196"/>
    </row>
    <row r="383" spans="1:17" x14ac:dyDescent="0.35">
      <c r="A383" s="59" t="s">
        <v>1533</v>
      </c>
      <c r="B383" s="232">
        <v>8.7349261314883648</v>
      </c>
      <c r="C383" s="145">
        <v>1.1874948587195859</v>
      </c>
      <c r="D383" s="145">
        <v>0.2962545072097667</v>
      </c>
      <c r="E383" s="145">
        <v>5.5416070148700172</v>
      </c>
      <c r="F383" s="145">
        <v>0.12106136238139324</v>
      </c>
      <c r="G383" s="145">
        <v>0.12106136238139324</v>
      </c>
      <c r="H383" s="145">
        <v>0.20197385172085527</v>
      </c>
      <c r="I383" s="144"/>
      <c r="J383" s="197">
        <v>0.53904725899316452</v>
      </c>
      <c r="K383" s="197">
        <v>7.328234252076006E-2</v>
      </c>
      <c r="L383" s="197">
        <v>1.8282373276187581E-2</v>
      </c>
      <c r="M383" s="197">
        <v>0.34198206450934021</v>
      </c>
      <c r="N383" s="197">
        <v>7.4709041129061952E-3</v>
      </c>
      <c r="O383" s="197">
        <v>7.4709041129061952E-3</v>
      </c>
      <c r="P383" s="197">
        <v>1.2464152474735087E-2</v>
      </c>
      <c r="Q383" s="196"/>
    </row>
    <row r="384" spans="1:17" x14ac:dyDescent="0.35">
      <c r="A384" s="59" t="s">
        <v>1532</v>
      </c>
      <c r="B384" s="49">
        <v>3139.4386021926516</v>
      </c>
      <c r="C384" s="48">
        <v>2606.4933313415841</v>
      </c>
      <c r="D384" s="48">
        <v>1122.4985433195104</v>
      </c>
      <c r="E384" s="48">
        <v>7076.9153458525534</v>
      </c>
      <c r="F384" s="48">
        <v>312.02655180351803</v>
      </c>
      <c r="G384" s="48">
        <v>312.02655180351803</v>
      </c>
      <c r="H384" s="48">
        <v>227.75410390334969</v>
      </c>
      <c r="I384" s="47"/>
      <c r="J384" s="197">
        <v>0.2121650425444494</v>
      </c>
      <c r="K384" s="197">
        <v>0.17614829866386905</v>
      </c>
      <c r="L384" s="197">
        <v>7.5859088638692868E-2</v>
      </c>
      <c r="M384" s="197">
        <v>0.4782619556208591</v>
      </c>
      <c r="N384" s="197">
        <v>2.1086931463528209E-2</v>
      </c>
      <c r="O384" s="197">
        <v>2.1086931463528209E-2</v>
      </c>
      <c r="P384" s="197">
        <v>1.5391751605073081E-2</v>
      </c>
      <c r="Q384" s="196"/>
    </row>
    <row r="385" spans="1:17" ht="13.15" x14ac:dyDescent="0.4">
      <c r="A385" s="128" t="s">
        <v>2225</v>
      </c>
      <c r="B385" s="232"/>
      <c r="C385" s="145"/>
      <c r="D385" s="145"/>
      <c r="E385" s="145"/>
      <c r="F385" s="145"/>
      <c r="G385" s="145"/>
      <c r="H385" s="145"/>
      <c r="I385" s="144"/>
      <c r="J385" s="197"/>
      <c r="K385" s="197"/>
      <c r="L385" s="197"/>
      <c r="M385" s="197"/>
      <c r="N385" s="197"/>
      <c r="O385" s="197"/>
      <c r="P385" s="197"/>
      <c r="Q385" s="196"/>
    </row>
    <row r="386" spans="1:17" x14ac:dyDescent="0.35">
      <c r="A386" s="59" t="s">
        <v>1525</v>
      </c>
      <c r="B386" s="232">
        <v>723.97491187718799</v>
      </c>
      <c r="C386" s="145">
        <v>759.71628620772799</v>
      </c>
      <c r="D386" s="145">
        <v>137.69198658381933</v>
      </c>
      <c r="E386" s="145">
        <v>2110.1420245959675</v>
      </c>
      <c r="F386" s="145">
        <v>44.24859654363059</v>
      </c>
      <c r="G386" s="145">
        <v>44.24859654363059</v>
      </c>
      <c r="H386" s="145">
        <v>22.995946615511638</v>
      </c>
      <c r="I386" s="144"/>
      <c r="J386" s="197">
        <v>0.18838705572969799</v>
      </c>
      <c r="K386" s="197">
        <v>0.19768739496438908</v>
      </c>
      <c r="L386" s="197">
        <v>3.5829125463534083E-2</v>
      </c>
      <c r="M386" s="197">
        <v>0.5490845561960197</v>
      </c>
      <c r="N386" s="197">
        <v>1.1514021668806001E-2</v>
      </c>
      <c r="O386" s="197">
        <v>1.1514021668806001E-2</v>
      </c>
      <c r="P386" s="197">
        <v>5.983824308746815E-3</v>
      </c>
      <c r="Q386" s="196"/>
    </row>
    <row r="387" spans="1:17" x14ac:dyDescent="0.35">
      <c r="A387" s="59" t="s">
        <v>1524</v>
      </c>
      <c r="B387" s="232">
        <v>3153.4396329213509</v>
      </c>
      <c r="C387" s="145">
        <v>4832.0244295217371</v>
      </c>
      <c r="D387" s="145">
        <v>900.32028062317875</v>
      </c>
      <c r="E387" s="145">
        <v>5859.5877902021366</v>
      </c>
      <c r="F387" s="145">
        <v>290.1453635113624</v>
      </c>
      <c r="G387" s="145">
        <v>290.1453635113624</v>
      </c>
      <c r="H387" s="145">
        <v>91.647643005144047</v>
      </c>
      <c r="I387" s="144"/>
      <c r="J387" s="197">
        <v>0.20453889361877575</v>
      </c>
      <c r="K387" s="197">
        <v>0.31341552266775929</v>
      </c>
      <c r="L387" s="197">
        <v>5.8396714552170888E-2</v>
      </c>
      <c r="M387" s="197">
        <v>0.38006549773706222</v>
      </c>
      <c r="N387" s="197">
        <v>1.8819453850224283E-2</v>
      </c>
      <c r="O387" s="197">
        <v>1.8819453850224283E-2</v>
      </c>
      <c r="P387" s="197">
        <v>5.9444637237830462E-3</v>
      </c>
      <c r="Q387" s="196"/>
    </row>
    <row r="388" spans="1:17" x14ac:dyDescent="0.35">
      <c r="A388" s="59" t="s">
        <v>1523</v>
      </c>
      <c r="B388" s="232">
        <v>4191.3866641077866</v>
      </c>
      <c r="C388" s="145">
        <v>1052.2365222277929</v>
      </c>
      <c r="D388" s="145">
        <v>275.87504307734559</v>
      </c>
      <c r="E388" s="145">
        <v>2739.4584772008952</v>
      </c>
      <c r="F388" s="145">
        <v>131.47604423578426</v>
      </c>
      <c r="G388" s="145">
        <v>131.47604423578426</v>
      </c>
      <c r="H388" s="145">
        <v>84.368075624443605</v>
      </c>
      <c r="I388" s="144"/>
      <c r="J388" s="197">
        <v>0.48701508527718179</v>
      </c>
      <c r="K388" s="197">
        <v>0.1222638474261642</v>
      </c>
      <c r="L388" s="197">
        <v>3.2055097369252057E-2</v>
      </c>
      <c r="M388" s="197">
        <v>0.31830935936121568</v>
      </c>
      <c r="N388" s="197">
        <v>1.527676209014878E-2</v>
      </c>
      <c r="O388" s="197">
        <v>1.527676209014878E-2</v>
      </c>
      <c r="P388" s="197">
        <v>9.8030863858886118E-3</v>
      </c>
      <c r="Q388" s="196"/>
    </row>
    <row r="389" spans="1:17" x14ac:dyDescent="0.35">
      <c r="A389" s="59" t="s">
        <v>1522</v>
      </c>
      <c r="B389" s="232">
        <v>1490.2727924598</v>
      </c>
      <c r="C389" s="145">
        <v>550.69466219933508</v>
      </c>
      <c r="D389" s="145">
        <v>138.93844498294246</v>
      </c>
      <c r="E389" s="145">
        <v>1262.799748731672</v>
      </c>
      <c r="F389" s="145">
        <v>45.571872853915139</v>
      </c>
      <c r="G389" s="145">
        <v>45.571872853915139</v>
      </c>
      <c r="H389" s="145">
        <v>29.545610536982284</v>
      </c>
      <c r="I389" s="144"/>
      <c r="J389" s="197">
        <v>0.41821711893523961</v>
      </c>
      <c r="K389" s="197">
        <v>0.15454213228832969</v>
      </c>
      <c r="L389" s="197">
        <v>3.8990469707361253E-2</v>
      </c>
      <c r="M389" s="197">
        <v>0.35438107397438146</v>
      </c>
      <c r="N389" s="197">
        <v>1.2788891715582708E-2</v>
      </c>
      <c r="O389" s="197">
        <v>1.2788891715582708E-2</v>
      </c>
      <c r="P389" s="197">
        <v>8.2914216635225219E-3</v>
      </c>
      <c r="Q389" s="196"/>
    </row>
    <row r="390" spans="1:17" x14ac:dyDescent="0.35">
      <c r="A390" s="59" t="s">
        <v>1521</v>
      </c>
      <c r="B390" s="232">
        <v>410.69531327460601</v>
      </c>
      <c r="C390" s="145">
        <v>257.87520555851768</v>
      </c>
      <c r="D390" s="145">
        <v>67.978382302187086</v>
      </c>
      <c r="E390" s="145">
        <v>573.51994015609557</v>
      </c>
      <c r="F390" s="145">
        <v>22.702423718196094</v>
      </c>
      <c r="G390" s="145">
        <v>22.702423718196094</v>
      </c>
      <c r="H390" s="145">
        <v>13.217738589101401</v>
      </c>
      <c r="I390" s="144"/>
      <c r="J390" s="197">
        <v>0.30006421102505793</v>
      </c>
      <c r="K390" s="197">
        <v>0.18841003926212985</v>
      </c>
      <c r="L390" s="197">
        <v>4.9666696923387474E-2</v>
      </c>
      <c r="M390" s="197">
        <v>0.41902793333073579</v>
      </c>
      <c r="N390" s="197">
        <v>1.6586955441593255E-2</v>
      </c>
      <c r="O390" s="197">
        <v>1.6586955441593255E-2</v>
      </c>
      <c r="P390" s="197">
        <v>9.6572085755024101E-3</v>
      </c>
      <c r="Q390" s="196"/>
    </row>
    <row r="391" spans="1:17" x14ac:dyDescent="0.35">
      <c r="A391" s="59" t="s">
        <v>1520</v>
      </c>
      <c r="B391" s="232">
        <v>9316.4600977501559</v>
      </c>
      <c r="C391" s="145">
        <v>5318.4734241392835</v>
      </c>
      <c r="D391" s="145">
        <v>2806.0122520023115</v>
      </c>
      <c r="E391" s="145">
        <v>8951.5845220720785</v>
      </c>
      <c r="F391" s="145">
        <v>1694.1514696557795</v>
      </c>
      <c r="G391" s="145">
        <v>1694.1514696557795</v>
      </c>
      <c r="H391" s="145">
        <v>539.13570047068117</v>
      </c>
      <c r="I391" s="144"/>
      <c r="J391" s="197">
        <v>0.3072714262172746</v>
      </c>
      <c r="K391" s="197">
        <v>0.1754115723340669</v>
      </c>
      <c r="L391" s="197">
        <v>9.2546673050648537E-2</v>
      </c>
      <c r="M391" s="197">
        <v>0.29523725901706011</v>
      </c>
      <c r="N391" s="197">
        <v>5.5875765349430832E-2</v>
      </c>
      <c r="O391" s="197">
        <v>5.5875765349430832E-2</v>
      </c>
      <c r="P391" s="197">
        <v>1.7781538682088194E-2</v>
      </c>
      <c r="Q391" s="196"/>
    </row>
    <row r="392" spans="1:17" x14ac:dyDescent="0.35">
      <c r="A392" s="59" t="s">
        <v>1519</v>
      </c>
      <c r="B392" s="232">
        <v>32.028945333334548</v>
      </c>
      <c r="C392" s="145">
        <v>6.9071961170864293</v>
      </c>
      <c r="D392" s="145">
        <v>2.4146886898491506</v>
      </c>
      <c r="E392" s="145">
        <v>19.718604245852568</v>
      </c>
      <c r="F392" s="145">
        <v>1.3579277659443278</v>
      </c>
      <c r="G392" s="145">
        <v>1.3579277659443278</v>
      </c>
      <c r="H392" s="145">
        <v>0.74863046973054348</v>
      </c>
      <c r="I392" s="144"/>
      <c r="J392" s="197">
        <v>0.49631178674553905</v>
      </c>
      <c r="K392" s="197">
        <v>0.10703202402063335</v>
      </c>
      <c r="L392" s="197">
        <v>3.741735625762195E-2</v>
      </c>
      <c r="M392" s="197">
        <v>0.30555410437451253</v>
      </c>
      <c r="N392" s="197">
        <v>2.104207768233253E-2</v>
      </c>
      <c r="O392" s="197">
        <v>2.104207768233253E-2</v>
      </c>
      <c r="P392" s="197">
        <v>1.1600573237028145E-2</v>
      </c>
      <c r="Q392" s="196"/>
    </row>
    <row r="393" spans="1:17" x14ac:dyDescent="0.35">
      <c r="A393" s="59" t="s">
        <v>1518</v>
      </c>
      <c r="B393" s="232">
        <v>61.180426326296946</v>
      </c>
      <c r="C393" s="145">
        <v>12.009467747659443</v>
      </c>
      <c r="D393" s="145">
        <v>2.9718577628105831</v>
      </c>
      <c r="E393" s="145">
        <v>35.204607805364219</v>
      </c>
      <c r="F393" s="145">
        <v>1.4619150324747121</v>
      </c>
      <c r="G393" s="145">
        <v>1.4619150324747121</v>
      </c>
      <c r="H393" s="145">
        <v>1.0849580104158398</v>
      </c>
      <c r="I393" s="144"/>
      <c r="J393" s="197">
        <v>0.53027387211760024</v>
      </c>
      <c r="K393" s="197">
        <v>0.10409059477059485</v>
      </c>
      <c r="L393" s="197">
        <v>2.5758214152733921E-2</v>
      </c>
      <c r="M393" s="197">
        <v>0.30513163798121407</v>
      </c>
      <c r="N393" s="197">
        <v>1.2670969974004334E-2</v>
      </c>
      <c r="O393" s="197">
        <v>1.2670969974004334E-2</v>
      </c>
      <c r="P393" s="197">
        <v>9.4037410298483878E-3</v>
      </c>
      <c r="Q393" s="196"/>
    </row>
    <row r="394" spans="1:17" x14ac:dyDescent="0.35">
      <c r="A394" s="59" t="s">
        <v>1531</v>
      </c>
      <c r="B394" s="232">
        <v>10630.47111451704</v>
      </c>
      <c r="C394" s="145">
        <v>2367.38740322899</v>
      </c>
      <c r="D394" s="145">
        <v>437.34897302457466</v>
      </c>
      <c r="E394" s="145">
        <v>5403.3288418090533</v>
      </c>
      <c r="F394" s="145">
        <v>191.75916363670837</v>
      </c>
      <c r="G394" s="145">
        <v>191.75916363670837</v>
      </c>
      <c r="H394" s="145">
        <v>233.97670744754896</v>
      </c>
      <c r="I394" s="144"/>
      <c r="J394" s="197">
        <v>0.54638435320285661</v>
      </c>
      <c r="K394" s="197">
        <v>0.12167884387808979</v>
      </c>
      <c r="L394" s="197">
        <v>2.2478837783928469E-2</v>
      </c>
      <c r="M394" s="197">
        <v>0.27771999025918126</v>
      </c>
      <c r="N394" s="197">
        <v>9.856026648836223E-3</v>
      </c>
      <c r="O394" s="197">
        <v>9.856026648836223E-3</v>
      </c>
      <c r="P394" s="197">
        <v>1.2025921578271566E-2</v>
      </c>
      <c r="Q394" s="196"/>
    </row>
    <row r="395" spans="1:17" x14ac:dyDescent="0.35">
      <c r="A395" s="59" t="s">
        <v>1530</v>
      </c>
      <c r="B395" s="232">
        <v>100.9368614462071</v>
      </c>
      <c r="C395" s="145">
        <v>19.83265048875532</v>
      </c>
      <c r="D395" s="145">
        <v>3.3702433633567002</v>
      </c>
      <c r="E395" s="145">
        <v>47.916531609472671</v>
      </c>
      <c r="F395" s="145">
        <v>1.5945089465361491</v>
      </c>
      <c r="G395" s="145">
        <v>1.5945089465361491</v>
      </c>
      <c r="H395" s="145">
        <v>2.484053694895159</v>
      </c>
      <c r="I395" s="144"/>
      <c r="J395" s="197">
        <v>0.5679245246846234</v>
      </c>
      <c r="K395" s="197">
        <v>0.11158905122154336</v>
      </c>
      <c r="L395" s="197">
        <v>1.8962783593443944E-2</v>
      </c>
      <c r="M395" s="197">
        <v>0.26960391921189542</v>
      </c>
      <c r="N395" s="197">
        <v>8.9715563035366232E-3</v>
      </c>
      <c r="O395" s="197">
        <v>8.9715563035366232E-3</v>
      </c>
      <c r="P395" s="197">
        <v>1.3976608681420692E-2</v>
      </c>
      <c r="Q395" s="196"/>
    </row>
    <row r="396" spans="1:17" x14ac:dyDescent="0.35">
      <c r="A396" s="59" t="s">
        <v>1529</v>
      </c>
      <c r="B396" s="49">
        <v>3458194.4448922318</v>
      </c>
      <c r="C396" s="48">
        <v>971215.9292791225</v>
      </c>
      <c r="D396" s="48">
        <v>244288.73260915861</v>
      </c>
      <c r="E396" s="48">
        <v>2399170.8342149938</v>
      </c>
      <c r="F396" s="48">
        <v>96700.271300810477</v>
      </c>
      <c r="G396" s="48">
        <v>96700.271300810477</v>
      </c>
      <c r="H396" s="48">
        <v>64498.256785217847</v>
      </c>
      <c r="I396" s="47"/>
      <c r="J396" s="197">
        <v>0.47173694429103835</v>
      </c>
      <c r="K396" s="197">
        <v>0.13248486805061424</v>
      </c>
      <c r="L396" s="197">
        <v>3.3323753791804571E-2</v>
      </c>
      <c r="M396" s="197">
        <v>0.32727411260416628</v>
      </c>
      <c r="N396" s="197">
        <v>1.3191013756596414E-2</v>
      </c>
      <c r="O396" s="197">
        <v>1.3191013756596414E-2</v>
      </c>
      <c r="P396" s="197">
        <v>8.7982937491837814E-3</v>
      </c>
      <c r="Q396" s="196"/>
    </row>
    <row r="397" spans="1:17" x14ac:dyDescent="0.35">
      <c r="A397" s="59" t="s">
        <v>1528</v>
      </c>
      <c r="B397" s="49">
        <v>3465406.2385050301</v>
      </c>
      <c r="C397" s="48">
        <v>981176.89295086125</v>
      </c>
      <c r="D397" s="48">
        <v>246132.66164641935</v>
      </c>
      <c r="E397" s="48">
        <v>2414955.3671953017</v>
      </c>
      <c r="F397" s="48">
        <v>97294.122140794076</v>
      </c>
      <c r="G397" s="48">
        <v>97294.122140794076</v>
      </c>
      <c r="H397" s="48">
        <v>64713.945210225225</v>
      </c>
      <c r="I397" s="47"/>
      <c r="J397" s="197">
        <v>0.47039755323725774</v>
      </c>
      <c r="K397" s="197">
        <v>0.13318588874478648</v>
      </c>
      <c r="L397" s="197">
        <v>3.3410282616734961E-2</v>
      </c>
      <c r="M397" s="197">
        <v>0.32780834849420626</v>
      </c>
      <c r="N397" s="197">
        <v>1.3206797082220353E-2</v>
      </c>
      <c r="O397" s="197">
        <v>1.3206797082220353E-2</v>
      </c>
      <c r="P397" s="197">
        <v>8.784332742573989E-3</v>
      </c>
      <c r="Q397" s="196"/>
    </row>
    <row r="398" spans="1:17" x14ac:dyDescent="0.35">
      <c r="A398" s="59" t="s">
        <v>1527</v>
      </c>
      <c r="B398" s="49">
        <v>3870588.6677911538</v>
      </c>
      <c r="C398" s="48">
        <v>1071018.4772435043</v>
      </c>
      <c r="D398" s="48">
        <v>268548.82245647488</v>
      </c>
      <c r="E398" s="48">
        <v>2639705.8029634361</v>
      </c>
      <c r="F398" s="48">
        <v>105495.74025894646</v>
      </c>
      <c r="G398" s="48">
        <v>105495.74025894646</v>
      </c>
      <c r="H398" s="48">
        <v>74280.919724083782</v>
      </c>
      <c r="I398" s="47"/>
      <c r="J398" s="197">
        <v>0.47578670327692291</v>
      </c>
      <c r="K398" s="197">
        <v>0.13165344968757922</v>
      </c>
      <c r="L398" s="197">
        <v>3.3010988733758184E-2</v>
      </c>
      <c r="M398" s="197">
        <v>0.32448214713801327</v>
      </c>
      <c r="N398" s="197">
        <v>1.2967916452927256E-2</v>
      </c>
      <c r="O398" s="197">
        <v>1.2967916452927256E-2</v>
      </c>
      <c r="P398" s="197">
        <v>9.1308782578718925E-3</v>
      </c>
      <c r="Q398" s="196"/>
    </row>
    <row r="399" spans="1:17" ht="13.15" x14ac:dyDescent="0.4">
      <c r="A399" s="128" t="s">
        <v>2224</v>
      </c>
      <c r="B399" s="232"/>
      <c r="C399" s="145"/>
      <c r="D399" s="145"/>
      <c r="E399" s="145"/>
      <c r="F399" s="145"/>
      <c r="G399" s="145"/>
      <c r="H399" s="145"/>
      <c r="I399" s="144"/>
      <c r="J399" s="197"/>
      <c r="K399" s="197"/>
      <c r="L399" s="197"/>
      <c r="M399" s="197"/>
      <c r="N399" s="197"/>
      <c r="O399" s="197"/>
      <c r="P399" s="197"/>
      <c r="Q399" s="196"/>
    </row>
    <row r="400" spans="1:17" x14ac:dyDescent="0.35">
      <c r="A400" s="59" t="s">
        <v>1525</v>
      </c>
      <c r="B400" s="232">
        <v>36.413444227286448</v>
      </c>
      <c r="C400" s="145">
        <v>6.267847062589933</v>
      </c>
      <c r="D400" s="145">
        <v>1.5686699831855058</v>
      </c>
      <c r="E400" s="145">
        <v>20.807626287098195</v>
      </c>
      <c r="F400" s="145">
        <v>0.70829556114964309</v>
      </c>
      <c r="G400" s="145">
        <v>0.70829556114964309</v>
      </c>
      <c r="H400" s="145">
        <v>0.71259790063538397</v>
      </c>
      <c r="I400" s="144"/>
      <c r="J400" s="197">
        <v>0.54197337748822216</v>
      </c>
      <c r="K400" s="197">
        <v>9.32898909778479E-2</v>
      </c>
      <c r="L400" s="197">
        <v>2.3347897651339447E-2</v>
      </c>
      <c r="M400" s="197">
        <v>0.30969823744057584</v>
      </c>
      <c r="N400" s="197">
        <v>1.0542186977427662E-2</v>
      </c>
      <c r="O400" s="197">
        <v>1.0542186977427662E-2</v>
      </c>
      <c r="P400" s="197">
        <v>1.0606222487159547E-2</v>
      </c>
      <c r="Q400" s="196"/>
    </row>
    <row r="401" spans="1:17" x14ac:dyDescent="0.35">
      <c r="A401" s="59" t="s">
        <v>1524</v>
      </c>
      <c r="B401" s="232">
        <v>155.06762772809955</v>
      </c>
      <c r="C401" s="145">
        <v>31.938846933242306</v>
      </c>
      <c r="D401" s="145">
        <v>7.4769980439166392</v>
      </c>
      <c r="E401" s="145">
        <v>81.069664758026306</v>
      </c>
      <c r="F401" s="145">
        <v>3.3354832012711477</v>
      </c>
      <c r="G401" s="145">
        <v>3.3354832012711477</v>
      </c>
      <c r="H401" s="145">
        <v>2.8164025556255718</v>
      </c>
      <c r="I401" s="144"/>
      <c r="J401" s="197">
        <v>0.54401961908817631</v>
      </c>
      <c r="K401" s="197">
        <v>0.11205020414192798</v>
      </c>
      <c r="L401" s="197">
        <v>2.6231352651546885E-2</v>
      </c>
      <c r="M401" s="197">
        <v>0.28441454085181506</v>
      </c>
      <c r="N401" s="197">
        <v>1.1701786679888221E-2</v>
      </c>
      <c r="O401" s="197">
        <v>1.1701786679888221E-2</v>
      </c>
      <c r="P401" s="197">
        <v>9.8807099067573234E-3</v>
      </c>
      <c r="Q401" s="196"/>
    </row>
    <row r="402" spans="1:17" x14ac:dyDescent="0.35">
      <c r="A402" s="59" t="s">
        <v>1523</v>
      </c>
      <c r="B402" s="232">
        <v>279.12104536886699</v>
      </c>
      <c r="C402" s="145">
        <v>73.511109480746285</v>
      </c>
      <c r="D402" s="145">
        <v>19.262523051060949</v>
      </c>
      <c r="E402" s="145">
        <v>169.69395417205567</v>
      </c>
      <c r="F402" s="145">
        <v>7.8214437373559011</v>
      </c>
      <c r="G402" s="145">
        <v>7.8214437373559011</v>
      </c>
      <c r="H402" s="145">
        <v>5.4877685725685943</v>
      </c>
      <c r="I402" s="144"/>
      <c r="J402" s="197">
        <v>0.49602181986934007</v>
      </c>
      <c r="K402" s="197">
        <v>0.13063548919095996</v>
      </c>
      <c r="L402" s="197">
        <v>3.42311405664006E-2</v>
      </c>
      <c r="M402" s="197">
        <v>0.30156057870165864</v>
      </c>
      <c r="N402" s="197">
        <v>1.3899370258813369E-2</v>
      </c>
      <c r="O402" s="197">
        <v>1.3899370258813369E-2</v>
      </c>
      <c r="P402" s="197">
        <v>9.7522311540140898E-3</v>
      </c>
      <c r="Q402" s="196"/>
    </row>
    <row r="403" spans="1:17" x14ac:dyDescent="0.35">
      <c r="A403" s="59" t="s">
        <v>1522</v>
      </c>
      <c r="B403" s="232">
        <v>22.260208384675895</v>
      </c>
      <c r="C403" s="145">
        <v>7.6593651339208062</v>
      </c>
      <c r="D403" s="145">
        <v>2.2758972447420085</v>
      </c>
      <c r="E403" s="145">
        <v>16.668755027789022</v>
      </c>
      <c r="F403" s="145">
        <v>0.86603578872639198</v>
      </c>
      <c r="G403" s="145">
        <v>0.86603578872639198</v>
      </c>
      <c r="H403" s="145">
        <v>0.4867962646269095</v>
      </c>
      <c r="I403" s="144"/>
      <c r="J403" s="197">
        <v>0.43576468849970496</v>
      </c>
      <c r="K403" s="197">
        <v>0.14993933587729516</v>
      </c>
      <c r="L403" s="197">
        <v>4.4552846800619827E-2</v>
      </c>
      <c r="M403" s="197">
        <v>0.3263066866598936</v>
      </c>
      <c r="N403" s="197">
        <v>1.6953471826604699E-2</v>
      </c>
      <c r="O403" s="197">
        <v>1.6953471826604699E-2</v>
      </c>
      <c r="P403" s="197">
        <v>9.529498509277038E-3</v>
      </c>
      <c r="Q403" s="196"/>
    </row>
    <row r="404" spans="1:17" x14ac:dyDescent="0.35">
      <c r="A404" s="59" t="s">
        <v>1521</v>
      </c>
      <c r="B404" s="232">
        <v>16.619938624380946</v>
      </c>
      <c r="C404" s="145">
        <v>5.6503021979811558</v>
      </c>
      <c r="D404" s="145">
        <v>1.6618959582959523</v>
      </c>
      <c r="E404" s="145">
        <v>12.381616273088316</v>
      </c>
      <c r="F404" s="145">
        <v>0.6311475390635588</v>
      </c>
      <c r="G404" s="145">
        <v>0.6311475390635588</v>
      </c>
      <c r="H404" s="145">
        <v>0.35835001903013941</v>
      </c>
      <c r="I404" s="144"/>
      <c r="J404" s="197">
        <v>0.43812316616350605</v>
      </c>
      <c r="K404" s="197">
        <v>0.14894930388783725</v>
      </c>
      <c r="L404" s="197">
        <v>4.3809735736017333E-2</v>
      </c>
      <c r="M404" s="197">
        <v>0.32639548474801294</v>
      </c>
      <c r="N404" s="197">
        <v>1.6637868790031783E-2</v>
      </c>
      <c r="O404" s="197">
        <v>1.6637868790031783E-2</v>
      </c>
      <c r="P404" s="197">
        <v>9.4465718845628561E-3</v>
      </c>
      <c r="Q404" s="196"/>
    </row>
    <row r="405" spans="1:17" x14ac:dyDescent="0.35">
      <c r="A405" s="59" t="s">
        <v>1520</v>
      </c>
      <c r="B405" s="232">
        <v>675.7526826440876</v>
      </c>
      <c r="C405" s="145">
        <v>249.16287339885801</v>
      </c>
      <c r="D405" s="145">
        <v>74.083984573758087</v>
      </c>
      <c r="E405" s="145">
        <v>507.78960490525367</v>
      </c>
      <c r="F405" s="145">
        <v>27.568866228827279</v>
      </c>
      <c r="G405" s="145">
        <v>27.568866228827279</v>
      </c>
      <c r="H405" s="145">
        <v>15.245912315284926</v>
      </c>
      <c r="I405" s="144"/>
      <c r="J405" s="197">
        <v>0.42845824300439311</v>
      </c>
      <c r="K405" s="197">
        <v>0.15798070758770194</v>
      </c>
      <c r="L405" s="197">
        <v>4.697264943298065E-2</v>
      </c>
      <c r="M405" s="197">
        <v>0.32196193595903222</v>
      </c>
      <c r="N405" s="197">
        <v>1.7479927626492024E-2</v>
      </c>
      <c r="O405" s="197">
        <v>1.7479927626492024E-2</v>
      </c>
      <c r="P405" s="197">
        <v>9.6666087629081379E-3</v>
      </c>
      <c r="Q405" s="196"/>
    </row>
    <row r="406" spans="1:17" x14ac:dyDescent="0.35">
      <c r="A406" s="59" t="s">
        <v>1519</v>
      </c>
      <c r="B406" s="232">
        <v>1.1589111354019486</v>
      </c>
      <c r="C406" s="145">
        <v>0.34852173599458597</v>
      </c>
      <c r="D406" s="145">
        <v>0.10134455234057257</v>
      </c>
      <c r="E406" s="145">
        <v>0.83494312361950951</v>
      </c>
      <c r="F406" s="145">
        <v>3.9597754024527872E-2</v>
      </c>
      <c r="G406" s="145">
        <v>3.9597754024527872E-2</v>
      </c>
      <c r="H406" s="145">
        <v>2.3931664526410941E-2</v>
      </c>
      <c r="I406" s="144"/>
      <c r="J406" s="197">
        <v>0.45503746703507392</v>
      </c>
      <c r="K406" s="197">
        <v>0.13684435597267669</v>
      </c>
      <c r="L406" s="197">
        <v>3.9792152293767737E-2</v>
      </c>
      <c r="M406" s="197">
        <v>0.3278339403982013</v>
      </c>
      <c r="N406" s="197">
        <v>1.5547750937218902E-2</v>
      </c>
      <c r="O406" s="197">
        <v>1.5547750937218902E-2</v>
      </c>
      <c r="P406" s="197">
        <v>9.3965824258425337E-3</v>
      </c>
      <c r="Q406" s="196"/>
    </row>
    <row r="407" spans="1:17" x14ac:dyDescent="0.35">
      <c r="A407" s="57" t="s">
        <v>1518</v>
      </c>
      <c r="B407" s="231">
        <v>2.6659473506669844</v>
      </c>
      <c r="C407" s="142">
        <v>0.89391748070529042</v>
      </c>
      <c r="D407" s="142">
        <v>0.24508163726684151</v>
      </c>
      <c r="E407" s="142">
        <v>1.9064052672115797</v>
      </c>
      <c r="F407" s="142">
        <v>9.5349949899794909E-2</v>
      </c>
      <c r="G407" s="142">
        <v>9.5349949899794909E-2</v>
      </c>
      <c r="H407" s="142">
        <v>5.3326315619831269E-2</v>
      </c>
      <c r="I407" s="141"/>
      <c r="J407" s="194">
        <v>0.44765376311648064</v>
      </c>
      <c r="K407" s="194">
        <v>0.15010256074757483</v>
      </c>
      <c r="L407" s="194">
        <v>4.1152994700289748E-2</v>
      </c>
      <c r="M407" s="194">
        <v>0.32011490837537798</v>
      </c>
      <c r="N407" s="194">
        <v>1.6010730247516772E-2</v>
      </c>
      <c r="O407" s="194">
        <v>1.6010730247516772E-2</v>
      </c>
      <c r="P407" s="194">
        <v>8.9543125652433615E-3</v>
      </c>
      <c r="Q407" s="193"/>
    </row>
    <row r="409" spans="1:17" ht="13.15" x14ac:dyDescent="0.4">
      <c r="A409" s="41" t="s">
        <v>2233</v>
      </c>
    </row>
    <row r="410" spans="1:17" ht="13.15" x14ac:dyDescent="0.4">
      <c r="A410" s="131"/>
      <c r="B410" s="2193" t="s">
        <v>2229</v>
      </c>
      <c r="C410" s="2194"/>
      <c r="D410" s="2194"/>
      <c r="E410" s="2194"/>
      <c r="F410" s="2194"/>
      <c r="G410" s="2194"/>
      <c r="H410" s="2194"/>
      <c r="I410" s="2195"/>
      <c r="J410" s="2194" t="s">
        <v>2228</v>
      </c>
      <c r="K410" s="2194"/>
      <c r="L410" s="2194"/>
      <c r="M410" s="2194"/>
      <c r="N410" s="2194"/>
      <c r="O410" s="2194"/>
      <c r="P410" s="2194"/>
      <c r="Q410" s="2195"/>
    </row>
    <row r="411" spans="1:17" ht="52.5" x14ac:dyDescent="0.4">
      <c r="A411" s="59"/>
      <c r="B411" s="653" t="s">
        <v>405</v>
      </c>
      <c r="C411" s="652" t="s">
        <v>1830</v>
      </c>
      <c r="D411" s="652" t="s">
        <v>1829</v>
      </c>
      <c r="E411" s="652" t="s">
        <v>1503</v>
      </c>
      <c r="F411" s="652" t="s">
        <v>1501</v>
      </c>
      <c r="G411" s="652" t="s">
        <v>1500</v>
      </c>
      <c r="H411" s="180" t="s">
        <v>1499</v>
      </c>
      <c r="I411" s="651" t="s">
        <v>2227</v>
      </c>
      <c r="J411" s="653" t="s">
        <v>405</v>
      </c>
      <c r="K411" s="652" t="s">
        <v>1830</v>
      </c>
      <c r="L411" s="652" t="s">
        <v>1829</v>
      </c>
      <c r="M411" s="652" t="s">
        <v>1503</v>
      </c>
      <c r="N411" s="652" t="s">
        <v>1501</v>
      </c>
      <c r="O411" s="652" t="s">
        <v>1500</v>
      </c>
      <c r="P411" s="180" t="s">
        <v>1499</v>
      </c>
      <c r="Q411" s="651" t="s">
        <v>2227</v>
      </c>
    </row>
    <row r="412" spans="1:17" ht="13.15" x14ac:dyDescent="0.4">
      <c r="A412" s="128" t="s">
        <v>2226</v>
      </c>
      <c r="B412" s="650"/>
      <c r="C412" s="198"/>
      <c r="D412" s="198"/>
      <c r="E412" s="198"/>
      <c r="I412" s="99"/>
      <c r="J412" s="198"/>
      <c r="K412" s="198"/>
      <c r="L412" s="198"/>
      <c r="M412" s="198"/>
      <c r="Q412" s="99"/>
    </row>
    <row r="413" spans="1:17" x14ac:dyDescent="0.35">
      <c r="A413" s="59" t="s">
        <v>1537</v>
      </c>
      <c r="B413" s="232">
        <v>27.228273854575477</v>
      </c>
      <c r="C413" s="145">
        <v>2.3842541364986261</v>
      </c>
      <c r="D413" s="145">
        <v>3.5922941352290709</v>
      </c>
      <c r="E413" s="145">
        <v>25.628800592457829</v>
      </c>
      <c r="F413" s="145">
        <v>4.3709924398750717</v>
      </c>
      <c r="G413" s="145">
        <v>0</v>
      </c>
      <c r="H413" s="145">
        <v>4.4301528063809137</v>
      </c>
      <c r="I413" s="144"/>
      <c r="J413" s="197">
        <v>0.40257806264167068</v>
      </c>
      <c r="K413" s="197">
        <v>3.5251900882277636E-2</v>
      </c>
      <c r="L413" s="197">
        <v>5.3113128695689876E-2</v>
      </c>
      <c r="M413" s="197">
        <v>0.37892937853670045</v>
      </c>
      <c r="N413" s="197">
        <v>6.462641288480353E-2</v>
      </c>
      <c r="O413" s="197">
        <v>0</v>
      </c>
      <c r="P413" s="197">
        <v>6.5501116358857608E-2</v>
      </c>
      <c r="Q413" s="196"/>
    </row>
    <row r="414" spans="1:17" x14ac:dyDescent="0.35">
      <c r="A414" s="59" t="s">
        <v>1536</v>
      </c>
      <c r="B414" s="232">
        <v>25.250942452556021</v>
      </c>
      <c r="C414" s="145">
        <v>2.2260556496537598</v>
      </c>
      <c r="D414" s="145">
        <v>2.7734714871891351</v>
      </c>
      <c r="E414" s="145">
        <v>23.90353610862633</v>
      </c>
      <c r="F414" s="145">
        <v>3.6110082646067623</v>
      </c>
      <c r="G414" s="145">
        <v>0</v>
      </c>
      <c r="H414" s="145">
        <v>3.8152527099589779</v>
      </c>
      <c r="I414" s="144"/>
      <c r="J414" s="197">
        <v>0.41004925468754205</v>
      </c>
      <c r="K414" s="197">
        <v>3.6148847186538144E-2</v>
      </c>
      <c r="L414" s="197">
        <v>4.5038315633400633E-2</v>
      </c>
      <c r="M414" s="197">
        <v>0.3881687657462784</v>
      </c>
      <c r="N414" s="197">
        <v>5.8639048833706992E-2</v>
      </c>
      <c r="O414" s="197">
        <v>0</v>
      </c>
      <c r="P414" s="197">
        <v>6.1955767912533641E-2</v>
      </c>
      <c r="Q414" s="196"/>
    </row>
    <row r="415" spans="1:17" x14ac:dyDescent="0.35">
      <c r="A415" s="59" t="s">
        <v>1535</v>
      </c>
      <c r="B415" s="232">
        <v>10.980135808010484</v>
      </c>
      <c r="C415" s="145">
        <v>0.68512863594588558</v>
      </c>
      <c r="D415" s="145">
        <v>1.4575946148484706</v>
      </c>
      <c r="E415" s="145">
        <v>11.536567606832641</v>
      </c>
      <c r="F415" s="145">
        <v>1.555349229098085</v>
      </c>
      <c r="G415" s="145">
        <v>0</v>
      </c>
      <c r="H415" s="145">
        <v>0.69442237861026979</v>
      </c>
      <c r="I415" s="144"/>
      <c r="J415" s="197">
        <v>0.40804395941021221</v>
      </c>
      <c r="K415" s="197">
        <v>2.5460759885385386E-2</v>
      </c>
      <c r="L415" s="197">
        <v>5.416715132283411E-2</v>
      </c>
      <c r="M415" s="197">
        <v>0.42872208564682013</v>
      </c>
      <c r="N415" s="197">
        <v>5.7799909655379546E-2</v>
      </c>
      <c r="O415" s="197">
        <v>0</v>
      </c>
      <c r="P415" s="197">
        <v>2.5806134079368336E-2</v>
      </c>
      <c r="Q415" s="196"/>
    </row>
    <row r="416" spans="1:17" x14ac:dyDescent="0.35">
      <c r="A416" s="59" t="s">
        <v>1534</v>
      </c>
      <c r="B416" s="232">
        <v>11.568695015564687</v>
      </c>
      <c r="C416" s="145">
        <v>1.1643038726514749</v>
      </c>
      <c r="D416" s="145">
        <v>1.0167597094442133</v>
      </c>
      <c r="E416" s="145">
        <v>8.9497890973508998</v>
      </c>
      <c r="F416" s="145">
        <v>1.6808168199924918</v>
      </c>
      <c r="G416" s="145">
        <v>0</v>
      </c>
      <c r="H416" s="145">
        <v>2.4084102250125721</v>
      </c>
      <c r="I416" s="144"/>
      <c r="J416" s="197">
        <v>0.4318486055386358</v>
      </c>
      <c r="K416" s="197">
        <v>4.3462378699697289E-2</v>
      </c>
      <c r="L416" s="197">
        <v>3.7954692564770624E-2</v>
      </c>
      <c r="M416" s="197">
        <v>0.33408728783634695</v>
      </c>
      <c r="N416" s="197">
        <v>6.2743325751354107E-2</v>
      </c>
      <c r="O416" s="197">
        <v>0</v>
      </c>
      <c r="P416" s="197">
        <v>8.9903709609195179E-2</v>
      </c>
      <c r="Q416" s="196"/>
    </row>
    <row r="417" spans="1:17" x14ac:dyDescent="0.35">
      <c r="A417" s="59" t="s">
        <v>1533</v>
      </c>
      <c r="B417" s="232">
        <v>2.7021116289808531</v>
      </c>
      <c r="C417" s="145">
        <v>0.37662314105639955</v>
      </c>
      <c r="D417" s="145">
        <v>0.29911716289645141</v>
      </c>
      <c r="E417" s="145">
        <v>3.417179404442789</v>
      </c>
      <c r="F417" s="145">
        <v>0.37484221551618552</v>
      </c>
      <c r="G417" s="145">
        <v>0</v>
      </c>
      <c r="H417" s="145">
        <v>0.71242010633613639</v>
      </c>
      <c r="I417" s="144"/>
      <c r="J417" s="197">
        <v>0.34280778486565811</v>
      </c>
      <c r="K417" s="197">
        <v>4.7780907098714638E-2</v>
      </c>
      <c r="L417" s="197">
        <v>3.7947985171325915E-2</v>
      </c>
      <c r="M417" s="197">
        <v>0.43352602074674762</v>
      </c>
      <c r="N417" s="197">
        <v>4.7554967084651747E-2</v>
      </c>
      <c r="O417" s="197">
        <v>0</v>
      </c>
      <c r="P417" s="197">
        <v>9.03823350329018E-2</v>
      </c>
      <c r="Q417" s="196"/>
    </row>
    <row r="418" spans="1:17" x14ac:dyDescent="0.35">
      <c r="A418" s="59" t="s">
        <v>1532</v>
      </c>
      <c r="B418" s="49">
        <v>2886.4696108358166</v>
      </c>
      <c r="C418" s="48">
        <v>163.80704218244796</v>
      </c>
      <c r="D418" s="48">
        <v>1133.3450511704564</v>
      </c>
      <c r="E418" s="48">
        <v>2547.4856823935215</v>
      </c>
      <c r="F418" s="48">
        <v>966.12760402804633</v>
      </c>
      <c r="G418" s="48">
        <v>0</v>
      </c>
      <c r="H418" s="48">
        <v>803.35450128251273</v>
      </c>
      <c r="I418" s="47"/>
      <c r="J418" s="197">
        <v>0.33956111086045343</v>
      </c>
      <c r="K418" s="197">
        <v>1.927008030898026E-2</v>
      </c>
      <c r="L418" s="197">
        <v>0.13332546551640359</v>
      </c>
      <c r="M418" s="197">
        <v>0.29968341428828138</v>
      </c>
      <c r="N418" s="197">
        <v>0.11365418891824661</v>
      </c>
      <c r="O418" s="197">
        <v>0</v>
      </c>
      <c r="P418" s="197">
        <v>9.4505740107634836E-2</v>
      </c>
      <c r="Q418" s="196"/>
    </row>
    <row r="419" spans="1:17" ht="13.15" x14ac:dyDescent="0.4">
      <c r="A419" s="128" t="s">
        <v>2225</v>
      </c>
      <c r="B419" s="232"/>
      <c r="C419" s="145"/>
      <c r="D419" s="145"/>
      <c r="E419" s="145"/>
      <c r="F419" s="145"/>
      <c r="G419" s="145"/>
      <c r="H419" s="145"/>
      <c r="I419" s="144"/>
      <c r="J419" s="197"/>
      <c r="K419" s="197"/>
      <c r="L419" s="197"/>
      <c r="M419" s="197"/>
      <c r="N419" s="197"/>
      <c r="O419" s="197"/>
      <c r="P419" s="197"/>
      <c r="Q419" s="196"/>
    </row>
    <row r="420" spans="1:17" x14ac:dyDescent="0.35">
      <c r="A420" s="59" t="s">
        <v>1525</v>
      </c>
      <c r="B420" s="232">
        <v>1526.9577019205685</v>
      </c>
      <c r="C420" s="145">
        <v>80.634451407803525</v>
      </c>
      <c r="D420" s="145">
        <v>139.02248026007584</v>
      </c>
      <c r="E420" s="145">
        <v>2466.5779462773144</v>
      </c>
      <c r="F420" s="145">
        <v>137.00689993594168</v>
      </c>
      <c r="G420" s="145">
        <v>0</v>
      </c>
      <c r="H420" s="145">
        <v>81.113345086696086</v>
      </c>
      <c r="I420" s="144"/>
      <c r="J420" s="197">
        <v>0.34458359458272364</v>
      </c>
      <c r="K420" s="197">
        <v>1.8196515252753398E-2</v>
      </c>
      <c r="L420" s="197">
        <v>3.1372752444661145E-2</v>
      </c>
      <c r="M420" s="197">
        <v>0.55662464911613041</v>
      </c>
      <c r="N420" s="197">
        <v>3.0917902966914122E-2</v>
      </c>
      <c r="O420" s="197">
        <v>0</v>
      </c>
      <c r="P420" s="197">
        <v>1.8304585636817205E-2</v>
      </c>
      <c r="Q420" s="196"/>
    </row>
    <row r="421" spans="1:17" x14ac:dyDescent="0.35">
      <c r="A421" s="59" t="s">
        <v>1524</v>
      </c>
      <c r="B421" s="232">
        <v>10281.423557854765</v>
      </c>
      <c r="C421" s="145">
        <v>561.54407684817659</v>
      </c>
      <c r="D421" s="145">
        <v>909.01991863185413</v>
      </c>
      <c r="E421" s="145">
        <v>10025.536315351612</v>
      </c>
      <c r="F421" s="145">
        <v>898.37689532778609</v>
      </c>
      <c r="G421" s="145">
        <v>0</v>
      </c>
      <c r="H421" s="145">
        <v>323.26770529394798</v>
      </c>
      <c r="I421" s="144"/>
      <c r="J421" s="197">
        <v>0.4470345774272268</v>
      </c>
      <c r="K421" s="197">
        <v>2.4415842581332631E-2</v>
      </c>
      <c r="L421" s="197">
        <v>3.9524034090402879E-2</v>
      </c>
      <c r="M421" s="197">
        <v>0.43590864290291437</v>
      </c>
      <c r="N421" s="197">
        <v>3.9061277216463249E-2</v>
      </c>
      <c r="O421" s="197">
        <v>0</v>
      </c>
      <c r="P421" s="197">
        <v>1.4055625781659942E-2</v>
      </c>
      <c r="Q421" s="196"/>
    </row>
    <row r="422" spans="1:17" x14ac:dyDescent="0.35">
      <c r="A422" s="59" t="s">
        <v>1523</v>
      </c>
      <c r="B422" s="232">
        <v>2078.1759037692455</v>
      </c>
      <c r="C422" s="145">
        <v>203.94137391012873</v>
      </c>
      <c r="D422" s="145">
        <v>278.54077555283692</v>
      </c>
      <c r="E422" s="145">
        <v>2181.6426706152106</v>
      </c>
      <c r="F422" s="145">
        <v>407.08918798868558</v>
      </c>
      <c r="G422" s="145">
        <v>0</v>
      </c>
      <c r="H422" s="145">
        <v>297.59056875744568</v>
      </c>
      <c r="I422" s="144"/>
      <c r="J422" s="197">
        <v>0.38152806149633717</v>
      </c>
      <c r="K422" s="197">
        <v>3.7441179500592843E-2</v>
      </c>
      <c r="L422" s="197">
        <v>5.1136730991641913E-2</v>
      </c>
      <c r="M422" s="197">
        <v>0.40052331349229997</v>
      </c>
      <c r="N422" s="197">
        <v>7.4736670975609099E-2</v>
      </c>
      <c r="O422" s="197">
        <v>0</v>
      </c>
      <c r="P422" s="197">
        <v>5.4634043543518897E-2</v>
      </c>
      <c r="Q422" s="196"/>
    </row>
    <row r="423" spans="1:17" x14ac:dyDescent="0.35">
      <c r="A423" s="59" t="s">
        <v>1522</v>
      </c>
      <c r="B423" s="232">
        <v>933.36606537312741</v>
      </c>
      <c r="C423" s="145">
        <v>59.365199257472661</v>
      </c>
      <c r="D423" s="145">
        <v>140.28098296953897</v>
      </c>
      <c r="E423" s="145">
        <v>963.77689683442759</v>
      </c>
      <c r="F423" s="145">
        <v>141.10415949200447</v>
      </c>
      <c r="G423" s="145">
        <v>0</v>
      </c>
      <c r="H423" s="145">
        <v>104.21590132179244</v>
      </c>
      <c r="I423" s="144"/>
      <c r="J423" s="197">
        <v>0.3985151773801045</v>
      </c>
      <c r="K423" s="197">
        <v>2.5346896346439749E-2</v>
      </c>
      <c r="L423" s="197">
        <v>5.989515034362506E-2</v>
      </c>
      <c r="M423" s="197">
        <v>0.41149955547535022</v>
      </c>
      <c r="N423" s="197">
        <v>6.0246618379624778E-2</v>
      </c>
      <c r="O423" s="197">
        <v>0</v>
      </c>
      <c r="P423" s="197">
        <v>4.4496602074855465E-2</v>
      </c>
      <c r="Q423" s="196"/>
    </row>
    <row r="424" spans="1:17" x14ac:dyDescent="0.35">
      <c r="A424" s="59" t="s">
        <v>1521</v>
      </c>
      <c r="B424" s="232">
        <v>418.45880154640577</v>
      </c>
      <c r="C424" s="145">
        <v>24.919265685527801</v>
      </c>
      <c r="D424" s="145">
        <v>68.635245566485693</v>
      </c>
      <c r="E424" s="145">
        <v>465.10116414128913</v>
      </c>
      <c r="F424" s="145">
        <v>70.293499401620451</v>
      </c>
      <c r="G424" s="145">
        <v>0</v>
      </c>
      <c r="H424" s="145">
        <v>46.622781369666498</v>
      </c>
      <c r="I424" s="144"/>
      <c r="J424" s="197">
        <v>0.38249272115706634</v>
      </c>
      <c r="K424" s="197">
        <v>2.2777481811997281E-2</v>
      </c>
      <c r="L424" s="197">
        <v>6.2736120609706583E-2</v>
      </c>
      <c r="M424" s="197">
        <v>0.42512622324659777</v>
      </c>
      <c r="N424" s="197">
        <v>6.425184932523581E-2</v>
      </c>
      <c r="O424" s="197">
        <v>0</v>
      </c>
      <c r="P424" s="197">
        <v>4.2615603849396166E-2</v>
      </c>
      <c r="Q424" s="196"/>
    </row>
    <row r="425" spans="1:17" x14ac:dyDescent="0.35">
      <c r="A425" s="59" t="s">
        <v>1520</v>
      </c>
      <c r="B425" s="232">
        <v>8718.0175398235933</v>
      </c>
      <c r="C425" s="145">
        <v>2026.6754326561452</v>
      </c>
      <c r="D425" s="145">
        <v>2833.1262595013222</v>
      </c>
      <c r="E425" s="145">
        <v>7880.8548524457974</v>
      </c>
      <c r="F425" s="145">
        <v>5245.6000644131</v>
      </c>
      <c r="G425" s="145">
        <v>0</v>
      </c>
      <c r="H425" s="145">
        <v>1901.6873213359129</v>
      </c>
      <c r="I425" s="144"/>
      <c r="J425" s="197">
        <v>0.30476226254142386</v>
      </c>
      <c r="K425" s="197">
        <v>7.0848009593004788E-2</v>
      </c>
      <c r="L425" s="197">
        <v>9.9039714587293132E-2</v>
      </c>
      <c r="M425" s="197">
        <v>0.27549694005783565</v>
      </c>
      <c r="N425" s="197">
        <v>0.18337436655929504</v>
      </c>
      <c r="O425" s="197">
        <v>0</v>
      </c>
      <c r="P425" s="197">
        <v>6.6478706661147621E-2</v>
      </c>
      <c r="Q425" s="196"/>
    </row>
    <row r="426" spans="1:17" x14ac:dyDescent="0.35">
      <c r="A426" s="59" t="s">
        <v>1519</v>
      </c>
      <c r="B426" s="232">
        <v>12.590327534974984</v>
      </c>
      <c r="C426" s="145">
        <v>1.8329936147393324</v>
      </c>
      <c r="D426" s="145">
        <v>2.4380214059474596</v>
      </c>
      <c r="E426" s="145">
        <v>13.519899764258048</v>
      </c>
      <c r="F426" s="145">
        <v>4.2045508350874892</v>
      </c>
      <c r="G426" s="145">
        <v>0</v>
      </c>
      <c r="H426" s="145">
        <v>2.6406358759203403</v>
      </c>
      <c r="I426" s="144"/>
      <c r="J426" s="197">
        <v>0.33820938141864115</v>
      </c>
      <c r="K426" s="197">
        <v>4.9239039640801563E-2</v>
      </c>
      <c r="L426" s="197">
        <v>6.5491680760514426E-2</v>
      </c>
      <c r="M426" s="197">
        <v>0.36318014153400907</v>
      </c>
      <c r="N426" s="197">
        <v>0.11294531719908875</v>
      </c>
      <c r="O426" s="197">
        <v>0</v>
      </c>
      <c r="P426" s="197">
        <v>7.0934439446945205E-2</v>
      </c>
      <c r="Q426" s="196"/>
    </row>
    <row r="427" spans="1:17" x14ac:dyDescent="0.35">
      <c r="A427" s="59" t="s">
        <v>1518</v>
      </c>
      <c r="B427" s="232">
        <v>22.565397945944408</v>
      </c>
      <c r="C427" s="145">
        <v>2.1175902946694336</v>
      </c>
      <c r="D427" s="145">
        <v>3.0005743065852366</v>
      </c>
      <c r="E427" s="145">
        <v>24.594281502086126</v>
      </c>
      <c r="F427" s="145">
        <v>4.5265265390195326</v>
      </c>
      <c r="G427" s="145">
        <v>0</v>
      </c>
      <c r="H427" s="145">
        <v>3.8269602454231126</v>
      </c>
      <c r="I427" s="144"/>
      <c r="J427" s="197">
        <v>0.37217388494780962</v>
      </c>
      <c r="K427" s="197">
        <v>3.4925677295070449E-2</v>
      </c>
      <c r="L427" s="197">
        <v>4.9488841252946482E-2</v>
      </c>
      <c r="M427" s="197">
        <v>0.40563651108916254</v>
      </c>
      <c r="N427" s="197">
        <v>7.46565591877381E-2</v>
      </c>
      <c r="O427" s="197">
        <v>0</v>
      </c>
      <c r="P427" s="197">
        <v>6.3118526227272931E-2</v>
      </c>
      <c r="Q427" s="196"/>
    </row>
    <row r="428" spans="1:17" x14ac:dyDescent="0.35">
      <c r="A428" s="59" t="s">
        <v>1531</v>
      </c>
      <c r="B428" s="232">
        <v>5154.5266211115504</v>
      </c>
      <c r="C428" s="145">
        <v>492.28452124107116</v>
      </c>
      <c r="D428" s="145">
        <v>441.57499995151022</v>
      </c>
      <c r="E428" s="145">
        <v>3813.0692384525732</v>
      </c>
      <c r="F428" s="145">
        <v>593.74377034238773</v>
      </c>
      <c r="G428" s="145">
        <v>0</v>
      </c>
      <c r="H428" s="145">
        <v>825.30342110988215</v>
      </c>
      <c r="I428" s="144"/>
      <c r="J428" s="197">
        <v>0.45532665959244112</v>
      </c>
      <c r="K428" s="197">
        <v>4.3486101266351412E-2</v>
      </c>
      <c r="L428" s="197">
        <v>3.9006660449470258E-2</v>
      </c>
      <c r="M428" s="197">
        <v>0.33682861817578535</v>
      </c>
      <c r="N428" s="197">
        <v>5.2448534555346177E-2</v>
      </c>
      <c r="O428" s="197">
        <v>0</v>
      </c>
      <c r="P428" s="197">
        <v>7.2903425960605589E-2</v>
      </c>
      <c r="Q428" s="196"/>
    </row>
    <row r="429" spans="1:17" x14ac:dyDescent="0.35">
      <c r="A429" s="59" t="s">
        <v>1530</v>
      </c>
      <c r="B429" s="232">
        <v>46.601509059040858</v>
      </c>
      <c r="C429" s="145">
        <v>5.0010605073326024</v>
      </c>
      <c r="D429" s="145">
        <v>3.4028094377786262</v>
      </c>
      <c r="E429" s="145">
        <v>30.041823780253544</v>
      </c>
      <c r="F429" s="145">
        <v>4.9370769866030528</v>
      </c>
      <c r="G429" s="145">
        <v>0</v>
      </c>
      <c r="H429" s="145">
        <v>8.7619747922010269</v>
      </c>
      <c r="I429" s="144"/>
      <c r="J429" s="197">
        <v>0.47193191544505797</v>
      </c>
      <c r="K429" s="197">
        <v>5.0645571616403033E-2</v>
      </c>
      <c r="L429" s="197">
        <v>3.4460136770052482E-2</v>
      </c>
      <c r="M429" s="197">
        <v>0.30423253938227185</v>
      </c>
      <c r="N429" s="197">
        <v>4.9997612653173776E-2</v>
      </c>
      <c r="O429" s="197">
        <v>0</v>
      </c>
      <c r="P429" s="197">
        <v>8.8732224133040799E-2</v>
      </c>
      <c r="Q429" s="196"/>
    </row>
    <row r="430" spans="1:17" x14ac:dyDescent="0.35">
      <c r="A430" s="59" t="s">
        <v>1529</v>
      </c>
      <c r="B430" s="49">
        <v>1805776.5487043806</v>
      </c>
      <c r="C430" s="48">
        <v>135056.8310469712</v>
      </c>
      <c r="D430" s="48">
        <v>246649.25206988514</v>
      </c>
      <c r="E430" s="48">
        <v>1952379.36572028</v>
      </c>
      <c r="F430" s="48">
        <v>299412.98546779872</v>
      </c>
      <c r="G430" s="48">
        <v>0</v>
      </c>
      <c r="H430" s="48">
        <v>227503.97918304233</v>
      </c>
      <c r="I430" s="47"/>
      <c r="J430" s="197">
        <v>0.38694280644825385</v>
      </c>
      <c r="K430" s="197">
        <v>2.8940053116105639E-2</v>
      </c>
      <c r="L430" s="197">
        <v>5.2852139359523966E-2</v>
      </c>
      <c r="M430" s="197">
        <v>0.41835693988024059</v>
      </c>
      <c r="N430" s="197">
        <v>6.4158381593273611E-2</v>
      </c>
      <c r="O430" s="197">
        <v>0</v>
      </c>
      <c r="P430" s="197">
        <v>4.8749679602602299E-2</v>
      </c>
      <c r="Q430" s="196"/>
    </row>
    <row r="431" spans="1:17" x14ac:dyDescent="0.35">
      <c r="A431" s="59" t="s">
        <v>1528</v>
      </c>
      <c r="B431" s="49">
        <v>1826692.0896091377</v>
      </c>
      <c r="C431" s="48">
        <v>136190.56816033457</v>
      </c>
      <c r="D431" s="48">
        <v>248510.9986721648</v>
      </c>
      <c r="E431" s="48">
        <v>1975821.2811960154</v>
      </c>
      <c r="F431" s="48">
        <v>301251.72542716179</v>
      </c>
      <c r="G431" s="48">
        <v>0</v>
      </c>
      <c r="H431" s="48">
        <v>228264.7745502149</v>
      </c>
      <c r="I431" s="47"/>
      <c r="J431" s="197">
        <v>0.38727922371021972</v>
      </c>
      <c r="K431" s="197">
        <v>2.887392889793149E-2</v>
      </c>
      <c r="L431" s="197">
        <v>5.2687120723121345E-2</v>
      </c>
      <c r="M431" s="197">
        <v>0.41889628598296247</v>
      </c>
      <c r="N431" s="197">
        <v>6.3868746697074361E-2</v>
      </c>
      <c r="O431" s="197">
        <v>0</v>
      </c>
      <c r="P431" s="197">
        <v>4.8394693988690347E-2</v>
      </c>
      <c r="Q431" s="196"/>
    </row>
    <row r="432" spans="1:17" x14ac:dyDescent="0.35">
      <c r="A432" s="59" t="s">
        <v>1527</v>
      </c>
      <c r="B432" s="49">
        <v>2000774.8072276362</v>
      </c>
      <c r="C432" s="48">
        <v>152284.38483200985</v>
      </c>
      <c r="D432" s="48">
        <v>271143.76293855562</v>
      </c>
      <c r="E432" s="48">
        <v>2098964.4173010672</v>
      </c>
      <c r="F432" s="48">
        <v>326646.39013067447</v>
      </c>
      <c r="G432" s="48">
        <v>0</v>
      </c>
      <c r="H432" s="48">
        <v>262010.25666290981</v>
      </c>
      <c r="I432" s="47"/>
      <c r="J432" s="197">
        <v>0.39140134710323904</v>
      </c>
      <c r="K432" s="197">
        <v>2.9790615690841859E-2</v>
      </c>
      <c r="L432" s="197">
        <v>5.3042468192532367E-2</v>
      </c>
      <c r="M432" s="197">
        <v>0.41060967855336117</v>
      </c>
      <c r="N432" s="197">
        <v>6.390016340755042E-2</v>
      </c>
      <c r="O432" s="197">
        <v>0</v>
      </c>
      <c r="P432" s="197">
        <v>5.125572705247515E-2</v>
      </c>
      <c r="Q432" s="196"/>
    </row>
    <row r="433" spans="1:17" ht="13.15" x14ac:dyDescent="0.4">
      <c r="A433" s="128" t="s">
        <v>2224</v>
      </c>
      <c r="B433" s="232"/>
      <c r="C433" s="145"/>
      <c r="D433" s="145"/>
      <c r="E433" s="145"/>
      <c r="F433" s="145"/>
      <c r="G433" s="145"/>
      <c r="H433" s="145"/>
      <c r="I433" s="144"/>
      <c r="J433" s="197"/>
      <c r="K433" s="197"/>
      <c r="L433" s="197"/>
      <c r="M433" s="197"/>
      <c r="N433" s="197"/>
      <c r="O433" s="197"/>
      <c r="P433" s="197"/>
      <c r="Q433" s="196"/>
    </row>
    <row r="434" spans="1:17" x14ac:dyDescent="0.35">
      <c r="A434" s="59" t="s">
        <v>1525</v>
      </c>
      <c r="B434" s="232">
        <v>12.102686285576036</v>
      </c>
      <c r="C434" s="145">
        <v>1.298010667577014</v>
      </c>
      <c r="D434" s="145">
        <v>1.5838277679233359</v>
      </c>
      <c r="E434" s="145">
        <v>12.923467200762893</v>
      </c>
      <c r="F434" s="145">
        <v>2.1930950731016923</v>
      </c>
      <c r="G434" s="145">
        <v>0</v>
      </c>
      <c r="H434" s="145">
        <v>2.51353859828949</v>
      </c>
      <c r="I434" s="144"/>
      <c r="J434" s="197">
        <v>0.37108156434235096</v>
      </c>
      <c r="K434" s="197">
        <v>3.9798423068404955E-2</v>
      </c>
      <c r="L434" s="197">
        <v>4.8561887163042501E-2</v>
      </c>
      <c r="M434" s="197">
        <v>0.39624760259229547</v>
      </c>
      <c r="N434" s="197">
        <v>6.7242687389822253E-2</v>
      </c>
      <c r="O434" s="197">
        <v>0</v>
      </c>
      <c r="P434" s="197">
        <v>7.7067835444083813E-2</v>
      </c>
      <c r="Q434" s="196"/>
    </row>
    <row r="435" spans="1:17" x14ac:dyDescent="0.35">
      <c r="A435" s="59" t="s">
        <v>1524</v>
      </c>
      <c r="B435" s="232">
        <v>61.909589090765735</v>
      </c>
      <c r="C435" s="145">
        <v>5.6693894401436182</v>
      </c>
      <c r="D435" s="145">
        <v>7.5492469732961096</v>
      </c>
      <c r="E435" s="145">
        <v>55.444133704066367</v>
      </c>
      <c r="F435" s="145">
        <v>10.327654409196208</v>
      </c>
      <c r="G435" s="145">
        <v>0</v>
      </c>
      <c r="H435" s="145">
        <v>9.9342652084351695</v>
      </c>
      <c r="I435" s="144"/>
      <c r="J435" s="197">
        <v>0.41044774153906594</v>
      </c>
      <c r="K435" s="197">
        <v>3.7586876698547898E-2</v>
      </c>
      <c r="L435" s="197">
        <v>5.0049942440535303E-2</v>
      </c>
      <c r="M435" s="197">
        <v>0.36758311264285887</v>
      </c>
      <c r="N435" s="197">
        <v>6.8470207764354751E-2</v>
      </c>
      <c r="O435" s="197">
        <v>0</v>
      </c>
      <c r="P435" s="197">
        <v>6.5862118914637113E-2</v>
      </c>
      <c r="Q435" s="196"/>
    </row>
    <row r="436" spans="1:17" x14ac:dyDescent="0.35">
      <c r="A436" s="59" t="s">
        <v>1523</v>
      </c>
      <c r="B436" s="232">
        <v>134.1148959279634</v>
      </c>
      <c r="C436" s="145">
        <v>11.593854662627725</v>
      </c>
      <c r="D436" s="145">
        <v>19.448653455190026</v>
      </c>
      <c r="E436" s="145">
        <v>124.0699036651984</v>
      </c>
      <c r="F436" s="145">
        <v>24.21753102207191</v>
      </c>
      <c r="G436" s="145">
        <v>0</v>
      </c>
      <c r="H436" s="145">
        <v>19.356944657473854</v>
      </c>
      <c r="I436" s="144"/>
      <c r="J436" s="197">
        <v>0.40298731143092054</v>
      </c>
      <c r="K436" s="197">
        <v>3.4837116990514887E-2</v>
      </c>
      <c r="L436" s="197">
        <v>5.8439150346643591E-2</v>
      </c>
      <c r="M436" s="197">
        <v>0.37280420315419072</v>
      </c>
      <c r="N436" s="197">
        <v>7.2768633555229209E-2</v>
      </c>
      <c r="O436" s="197">
        <v>0</v>
      </c>
      <c r="P436" s="197">
        <v>5.8163584522500887E-2</v>
      </c>
      <c r="Q436" s="196"/>
    </row>
    <row r="437" spans="1:17" x14ac:dyDescent="0.35">
      <c r="A437" s="59" t="s">
        <v>1522</v>
      </c>
      <c r="B437" s="232">
        <v>13.006859254286766</v>
      </c>
      <c r="C437" s="145">
        <v>1.087742839941706</v>
      </c>
      <c r="D437" s="145">
        <v>2.2978888432879088</v>
      </c>
      <c r="E437" s="145">
        <v>12.909075157114202</v>
      </c>
      <c r="F437" s="145">
        <v>2.681506034434006</v>
      </c>
      <c r="G437" s="145">
        <v>0</v>
      </c>
      <c r="H437" s="145">
        <v>1.7170710151571908</v>
      </c>
      <c r="I437" s="144"/>
      <c r="J437" s="197">
        <v>0.38595857586192239</v>
      </c>
      <c r="K437" s="197">
        <v>3.2277098506277711E-2</v>
      </c>
      <c r="L437" s="197">
        <v>6.8186322932040841E-2</v>
      </c>
      <c r="M437" s="197">
        <v>0.38305698292939117</v>
      </c>
      <c r="N437" s="197">
        <v>7.9569574021046141E-2</v>
      </c>
      <c r="O437" s="197">
        <v>0</v>
      </c>
      <c r="P437" s="197">
        <v>5.0951445749321672E-2</v>
      </c>
      <c r="Q437" s="196"/>
    </row>
    <row r="438" spans="1:17" x14ac:dyDescent="0.35">
      <c r="A438" s="59" t="s">
        <v>1521</v>
      </c>
      <c r="B438" s="232">
        <v>9.6489015622905967</v>
      </c>
      <c r="C438" s="145">
        <v>0.80184948680014911</v>
      </c>
      <c r="D438" s="145">
        <v>1.6779545693884939</v>
      </c>
      <c r="E438" s="145">
        <v>9.650900623035124</v>
      </c>
      <c r="F438" s="145">
        <v>1.9542217038236003</v>
      </c>
      <c r="G438" s="145">
        <v>0</v>
      </c>
      <c r="H438" s="145">
        <v>1.264004010855071</v>
      </c>
      <c r="I438" s="144"/>
      <c r="J438" s="197">
        <v>0.38598953618056264</v>
      </c>
      <c r="K438" s="197">
        <v>3.2076761224946813E-2</v>
      </c>
      <c r="L438" s="197">
        <v>6.7124003886776765E-2</v>
      </c>
      <c r="M438" s="197">
        <v>0.38606950554542718</v>
      </c>
      <c r="N438" s="197">
        <v>7.8175647682096519E-2</v>
      </c>
      <c r="O438" s="197">
        <v>0</v>
      </c>
      <c r="P438" s="197">
        <v>5.056454548019005E-2</v>
      </c>
      <c r="Q438" s="196"/>
    </row>
    <row r="439" spans="1:17" x14ac:dyDescent="0.35">
      <c r="A439" s="59" t="s">
        <v>1520</v>
      </c>
      <c r="B439" s="232">
        <v>419.44880498693146</v>
      </c>
      <c r="C439" s="145">
        <v>33.748238992315422</v>
      </c>
      <c r="D439" s="145">
        <v>74.799845209026543</v>
      </c>
      <c r="E439" s="145">
        <v>390.25502540448304</v>
      </c>
      <c r="F439" s="145">
        <v>85.361462098259537</v>
      </c>
      <c r="G439" s="145">
        <v>0</v>
      </c>
      <c r="H439" s="145">
        <v>53.776735851223911</v>
      </c>
      <c r="I439" s="144"/>
      <c r="J439" s="197">
        <v>0.39668311629892949</v>
      </c>
      <c r="K439" s="197">
        <v>3.1916544889166697E-2</v>
      </c>
      <c r="L439" s="197">
        <v>7.0740064921912621E-2</v>
      </c>
      <c r="M439" s="197">
        <v>0.36907383639724872</v>
      </c>
      <c r="N439" s="197">
        <v>8.0728447415711557E-2</v>
      </c>
      <c r="O439" s="197">
        <v>0</v>
      </c>
      <c r="P439" s="197">
        <v>5.0857990077030985E-2</v>
      </c>
      <c r="Q439" s="196"/>
    </row>
    <row r="440" spans="1:17" x14ac:dyDescent="0.35">
      <c r="A440" s="59" t="s">
        <v>1519</v>
      </c>
      <c r="B440" s="232">
        <v>0.6050889951670444</v>
      </c>
      <c r="C440" s="145">
        <v>5.2939834502753386E-2</v>
      </c>
      <c r="D440" s="145">
        <v>0.10232382709255748</v>
      </c>
      <c r="E440" s="145">
        <v>0.6428937990032082</v>
      </c>
      <c r="F440" s="145">
        <v>0.12260649934912914</v>
      </c>
      <c r="G440" s="145">
        <v>0</v>
      </c>
      <c r="H440" s="145">
        <v>8.4413892399646473E-2</v>
      </c>
      <c r="I440" s="144"/>
      <c r="J440" s="197">
        <v>0.37576939257060388</v>
      </c>
      <c r="K440" s="197">
        <v>3.2876435719007106E-2</v>
      </c>
      <c r="L440" s="197">
        <v>6.3544639977223594E-2</v>
      </c>
      <c r="M440" s="197">
        <v>0.39924674596362719</v>
      </c>
      <c r="N440" s="197">
        <v>7.6140485372588135E-2</v>
      </c>
      <c r="O440" s="197">
        <v>0</v>
      </c>
      <c r="P440" s="197">
        <v>5.2422300396950068E-2</v>
      </c>
      <c r="Q440" s="196"/>
    </row>
    <row r="441" spans="1:17" x14ac:dyDescent="0.35">
      <c r="A441" s="57" t="s">
        <v>1518</v>
      </c>
      <c r="B441" s="231">
        <v>1.5976623290271112</v>
      </c>
      <c r="C441" s="142">
        <v>0.13124185996961349</v>
      </c>
      <c r="D441" s="142">
        <v>0.24744981842712729</v>
      </c>
      <c r="E441" s="142">
        <v>1.6122552172790541</v>
      </c>
      <c r="F441" s="142">
        <v>0.29523198621536184</v>
      </c>
      <c r="G441" s="142">
        <v>0</v>
      </c>
      <c r="H441" s="142">
        <v>0.18809731616596065</v>
      </c>
      <c r="I441" s="141"/>
      <c r="J441" s="194">
        <v>0.39235914746756767</v>
      </c>
      <c r="K441" s="194">
        <v>3.2230805818080743E-2</v>
      </c>
      <c r="L441" s="194">
        <v>6.0769536863395958E-2</v>
      </c>
      <c r="M441" s="194">
        <v>0.39594291675948579</v>
      </c>
      <c r="N441" s="194">
        <v>7.2504038126225592E-2</v>
      </c>
      <c r="O441" s="194">
        <v>0</v>
      </c>
      <c r="P441" s="194">
        <v>4.6193554965244153E-2</v>
      </c>
      <c r="Q441" s="193"/>
    </row>
    <row r="443" spans="1:17" ht="13.15" x14ac:dyDescent="0.4">
      <c r="A443" s="41" t="s">
        <v>2232</v>
      </c>
    </row>
    <row r="444" spans="1:17" ht="13.15" x14ac:dyDescent="0.4">
      <c r="A444" s="131"/>
      <c r="B444" s="2193" t="s">
        <v>2229</v>
      </c>
      <c r="C444" s="2194"/>
      <c r="D444" s="2194"/>
      <c r="E444" s="2194"/>
      <c r="F444" s="2194"/>
      <c r="G444" s="2194"/>
      <c r="H444" s="2194"/>
      <c r="I444" s="2195"/>
      <c r="J444" s="2194" t="s">
        <v>2228</v>
      </c>
      <c r="K444" s="2194"/>
      <c r="L444" s="2194"/>
      <c r="M444" s="2194"/>
      <c r="N444" s="2194"/>
      <c r="O444" s="2194"/>
      <c r="P444" s="2194"/>
      <c r="Q444" s="2195"/>
    </row>
    <row r="445" spans="1:17" ht="52.5" x14ac:dyDescent="0.4">
      <c r="A445" s="59"/>
      <c r="B445" s="653" t="s">
        <v>405</v>
      </c>
      <c r="C445" s="652" t="s">
        <v>1830</v>
      </c>
      <c r="D445" s="652" t="s">
        <v>1829</v>
      </c>
      <c r="E445" s="652" t="s">
        <v>1503</v>
      </c>
      <c r="F445" s="652" t="s">
        <v>1501</v>
      </c>
      <c r="G445" s="652" t="s">
        <v>1500</v>
      </c>
      <c r="H445" s="180" t="s">
        <v>1499</v>
      </c>
      <c r="I445" s="651" t="s">
        <v>2227</v>
      </c>
      <c r="J445" s="653" t="s">
        <v>405</v>
      </c>
      <c r="K445" s="652" t="s">
        <v>1830</v>
      </c>
      <c r="L445" s="652" t="s">
        <v>1829</v>
      </c>
      <c r="M445" s="652" t="s">
        <v>1503</v>
      </c>
      <c r="N445" s="652" t="s">
        <v>1501</v>
      </c>
      <c r="O445" s="652" t="s">
        <v>1500</v>
      </c>
      <c r="P445" s="180" t="s">
        <v>1499</v>
      </c>
      <c r="Q445" s="651" t="s">
        <v>2227</v>
      </c>
    </row>
    <row r="446" spans="1:17" ht="13.15" x14ac:dyDescent="0.4">
      <c r="A446" s="128" t="s">
        <v>2226</v>
      </c>
      <c r="B446" s="650"/>
      <c r="C446" s="198"/>
      <c r="D446" s="198"/>
      <c r="E446" s="198"/>
      <c r="I446" s="99"/>
      <c r="J446" s="198"/>
      <c r="K446" s="198"/>
      <c r="L446" s="198"/>
      <c r="M446" s="198"/>
      <c r="Q446" s="99"/>
    </row>
    <row r="447" spans="1:17" x14ac:dyDescent="0.35">
      <c r="A447" s="59" t="s">
        <v>1537</v>
      </c>
      <c r="B447" s="232">
        <v>89.681220850761619</v>
      </c>
      <c r="C447" s="145">
        <v>4.9219956977177226</v>
      </c>
      <c r="D447" s="145">
        <v>3.560866180069489</v>
      </c>
      <c r="E447" s="145">
        <v>30.091887466805343</v>
      </c>
      <c r="F447" s="145">
        <v>2.712679435222733</v>
      </c>
      <c r="G447" s="145">
        <v>0</v>
      </c>
      <c r="H447" s="145">
        <v>4.0756271357203167</v>
      </c>
      <c r="I447" s="144"/>
      <c r="J447" s="197">
        <v>0.66408753483097038</v>
      </c>
      <c r="K447" s="197">
        <v>3.6447273557809128E-2</v>
      </c>
      <c r="L447" s="197">
        <v>2.6368138401242993E-2</v>
      </c>
      <c r="M447" s="197">
        <v>0.22282978729177305</v>
      </c>
      <c r="N447" s="197">
        <v>2.0087333578135996E-2</v>
      </c>
      <c r="O447" s="197">
        <v>0</v>
      </c>
      <c r="P447" s="197">
        <v>3.0179932340068365E-2</v>
      </c>
      <c r="Q447" s="196"/>
    </row>
    <row r="448" spans="1:17" x14ac:dyDescent="0.35">
      <c r="A448" s="59" t="s">
        <v>1536</v>
      </c>
      <c r="B448" s="232">
        <v>84.27987413940572</v>
      </c>
      <c r="C448" s="145">
        <v>3.988141994307175</v>
      </c>
      <c r="D448" s="145">
        <v>2.7492071774598865</v>
      </c>
      <c r="E448" s="145">
        <v>26.3130076815225</v>
      </c>
      <c r="F448" s="145">
        <v>2.2410260357480878</v>
      </c>
      <c r="G448" s="145">
        <v>0</v>
      </c>
      <c r="H448" s="145">
        <v>3.5099347932068379</v>
      </c>
      <c r="I448" s="144"/>
      <c r="J448" s="197">
        <v>0.68475022781328576</v>
      </c>
      <c r="K448" s="197">
        <v>3.2402529868951535E-2</v>
      </c>
      <c r="L448" s="197">
        <v>2.2336533606561126E-2</v>
      </c>
      <c r="M448" s="197">
        <v>0.21378577256264422</v>
      </c>
      <c r="N448" s="197">
        <v>1.8207705032588797E-2</v>
      </c>
      <c r="O448" s="197">
        <v>0</v>
      </c>
      <c r="P448" s="197">
        <v>2.8517231115968392E-2</v>
      </c>
      <c r="Q448" s="196"/>
    </row>
    <row r="449" spans="1:17" x14ac:dyDescent="0.35">
      <c r="A449" s="59" t="s">
        <v>1535</v>
      </c>
      <c r="B449" s="232">
        <v>12.894241499516623</v>
      </c>
      <c r="C449" s="145">
        <v>0.88600667732987348</v>
      </c>
      <c r="D449" s="145">
        <v>1.4448425359618722</v>
      </c>
      <c r="E449" s="145">
        <v>7.9696092964737764</v>
      </c>
      <c r="F449" s="145">
        <v>0.96526450832399413</v>
      </c>
      <c r="G449" s="145">
        <v>0</v>
      </c>
      <c r="H449" s="145">
        <v>0.6388508057417368</v>
      </c>
      <c r="I449" s="144"/>
      <c r="J449" s="197">
        <v>0.51995393051605987</v>
      </c>
      <c r="K449" s="197">
        <v>3.5727782387076593E-2</v>
      </c>
      <c r="L449" s="197">
        <v>5.8262562833054567E-2</v>
      </c>
      <c r="M449" s="197">
        <v>0.32137056518867074</v>
      </c>
      <c r="N449" s="197">
        <v>3.89238153410984E-2</v>
      </c>
      <c r="O449" s="197">
        <v>0</v>
      </c>
      <c r="P449" s="197">
        <v>2.5761343734039752E-2</v>
      </c>
      <c r="Q449" s="196"/>
    </row>
    <row r="450" spans="1:17" x14ac:dyDescent="0.35">
      <c r="A450" s="59" t="s">
        <v>1534</v>
      </c>
      <c r="B450" s="232">
        <v>58.330011360241471</v>
      </c>
      <c r="C450" s="145">
        <v>2.2382846817625084</v>
      </c>
      <c r="D450" s="145">
        <v>1.0078643692093736</v>
      </c>
      <c r="E450" s="145">
        <v>13.535774029015931</v>
      </c>
      <c r="F450" s="145">
        <v>1.0431308872500407</v>
      </c>
      <c r="G450" s="145">
        <v>0</v>
      </c>
      <c r="H450" s="145">
        <v>2.2156757330964916</v>
      </c>
      <c r="I450" s="144"/>
      <c r="J450" s="197">
        <v>0.74428301392679075</v>
      </c>
      <c r="K450" s="197">
        <v>2.8560208203626022E-2</v>
      </c>
      <c r="L450" s="197">
        <v>1.2860212313551504E-2</v>
      </c>
      <c r="M450" s="197">
        <v>0.17271463617466115</v>
      </c>
      <c r="N450" s="197">
        <v>1.3310208288623478E-2</v>
      </c>
      <c r="O450" s="197">
        <v>0</v>
      </c>
      <c r="P450" s="197">
        <v>2.8271721092746956E-2</v>
      </c>
      <c r="Q450" s="196"/>
    </row>
    <row r="451" spans="1:17" x14ac:dyDescent="0.35">
      <c r="A451" s="59" t="s">
        <v>1533</v>
      </c>
      <c r="B451" s="232">
        <v>13.055621279647626</v>
      </c>
      <c r="C451" s="145">
        <v>0.86385063521479333</v>
      </c>
      <c r="D451" s="145">
        <v>0.29650027228864162</v>
      </c>
      <c r="E451" s="145">
        <v>4.8076243560327914</v>
      </c>
      <c r="F451" s="145">
        <v>0.23263064017405308</v>
      </c>
      <c r="G451" s="145">
        <v>0</v>
      </c>
      <c r="H451" s="145">
        <v>0.65540825436860961</v>
      </c>
      <c r="I451" s="144"/>
      <c r="J451" s="197">
        <v>0.65567799895086365</v>
      </c>
      <c r="K451" s="197">
        <v>4.3384213110795412E-2</v>
      </c>
      <c r="L451" s="197">
        <v>1.4890804585888682E-2</v>
      </c>
      <c r="M451" s="197">
        <v>0.24144799009948725</v>
      </c>
      <c r="N451" s="197">
        <v>1.16831508341745E-2</v>
      </c>
      <c r="O451" s="197">
        <v>0</v>
      </c>
      <c r="P451" s="197">
        <v>3.2915842418790447E-2</v>
      </c>
      <c r="Q451" s="196"/>
    </row>
    <row r="452" spans="1:17" x14ac:dyDescent="0.35">
      <c r="A452" s="59" t="s">
        <v>1532</v>
      </c>
      <c r="B452" s="49">
        <v>4587.8517820197731</v>
      </c>
      <c r="C452" s="48">
        <v>1219.05244496923</v>
      </c>
      <c r="D452" s="48">
        <v>1123.4297390864008</v>
      </c>
      <c r="E452" s="48">
        <v>5340.3179113974729</v>
      </c>
      <c r="F452" s="48">
        <v>599.58796984851313</v>
      </c>
      <c r="G452" s="48">
        <v>0</v>
      </c>
      <c r="H452" s="48">
        <v>739.0655690959818</v>
      </c>
      <c r="I452" s="47"/>
      <c r="J452" s="197">
        <v>0.33711138383927292</v>
      </c>
      <c r="K452" s="197">
        <v>8.9574920076277001E-2</v>
      </c>
      <c r="L452" s="197">
        <v>8.2548646291027372E-2</v>
      </c>
      <c r="M452" s="197">
        <v>0.39240194469846079</v>
      </c>
      <c r="N452" s="197">
        <v>4.40572058236866E-2</v>
      </c>
      <c r="O452" s="197">
        <v>0</v>
      </c>
      <c r="P452" s="197">
        <v>5.4305899271275195E-2</v>
      </c>
      <c r="Q452" s="196"/>
    </row>
    <row r="453" spans="1:17" ht="13.15" x14ac:dyDescent="0.4">
      <c r="A453" s="128" t="s">
        <v>2225</v>
      </c>
      <c r="B453" s="232"/>
      <c r="C453" s="145"/>
      <c r="D453" s="145"/>
      <c r="E453" s="145"/>
      <c r="F453" s="145"/>
      <c r="G453" s="145"/>
      <c r="H453" s="145"/>
      <c r="I453" s="144"/>
      <c r="J453" s="197"/>
      <c r="K453" s="197"/>
      <c r="L453" s="197"/>
      <c r="M453" s="197"/>
      <c r="N453" s="197"/>
      <c r="O453" s="197"/>
      <c r="P453" s="197"/>
      <c r="Q453" s="196"/>
    </row>
    <row r="454" spans="1:17" x14ac:dyDescent="0.35">
      <c r="A454" s="59" t="s">
        <v>1525</v>
      </c>
      <c r="B454" s="232">
        <v>1073.1016805462007</v>
      </c>
      <c r="C454" s="145">
        <v>56.008719977150839</v>
      </c>
      <c r="D454" s="145">
        <v>137.80621229556269</v>
      </c>
      <c r="E454" s="145">
        <v>1835.3513466714317</v>
      </c>
      <c r="F454" s="145">
        <v>85.027783747544106</v>
      </c>
      <c r="G454" s="145">
        <v>0</v>
      </c>
      <c r="H454" s="145">
        <v>74.622200351244544</v>
      </c>
      <c r="I454" s="144"/>
      <c r="J454" s="197">
        <v>0.32897874781161768</v>
      </c>
      <c r="K454" s="197">
        <v>1.7170487101684614E-2</v>
      </c>
      <c r="L454" s="197">
        <v>4.2246989249500412E-2</v>
      </c>
      <c r="M454" s="197">
        <v>0.56266018287755215</v>
      </c>
      <c r="N454" s="197">
        <v>2.6066806467236518E-2</v>
      </c>
      <c r="O454" s="197">
        <v>0</v>
      </c>
      <c r="P454" s="197">
        <v>2.2876786492408409E-2</v>
      </c>
      <c r="Q454" s="196"/>
    </row>
    <row r="455" spans="1:17" x14ac:dyDescent="0.35">
      <c r="A455" s="59" t="s">
        <v>1524</v>
      </c>
      <c r="B455" s="232">
        <v>4668.1502136214667</v>
      </c>
      <c r="C455" s="145">
        <v>261.2272450608732</v>
      </c>
      <c r="D455" s="145">
        <v>901.06716304823954</v>
      </c>
      <c r="E455" s="145">
        <v>4724.1611868834643</v>
      </c>
      <c r="F455" s="145">
        <v>557.5412363569734</v>
      </c>
      <c r="G455" s="145">
        <v>0</v>
      </c>
      <c r="H455" s="145">
        <v>297.39801071881351</v>
      </c>
      <c r="I455" s="144"/>
      <c r="J455" s="197">
        <v>0.40914429022684878</v>
      </c>
      <c r="K455" s="197">
        <v>2.2895500546763845E-2</v>
      </c>
      <c r="L455" s="197">
        <v>7.8974854707189762E-2</v>
      </c>
      <c r="M455" s="197">
        <v>0.41405342314920535</v>
      </c>
      <c r="N455" s="197">
        <v>4.8866211022054122E-2</v>
      </c>
      <c r="O455" s="197">
        <v>0</v>
      </c>
      <c r="P455" s="197">
        <v>2.6065720347938328E-2</v>
      </c>
      <c r="Q455" s="196"/>
    </row>
    <row r="456" spans="1:17" x14ac:dyDescent="0.35">
      <c r="A456" s="59" t="s">
        <v>1523</v>
      </c>
      <c r="B456" s="232">
        <v>6289.3723993888862</v>
      </c>
      <c r="C456" s="145">
        <v>341.74917482881028</v>
      </c>
      <c r="D456" s="145">
        <v>276.10390187973172</v>
      </c>
      <c r="E456" s="145">
        <v>2251.2530529750029</v>
      </c>
      <c r="F456" s="145">
        <v>252.64341765596626</v>
      </c>
      <c r="G456" s="145">
        <v>0</v>
      </c>
      <c r="H456" s="145">
        <v>273.77570263837157</v>
      </c>
      <c r="I456" s="144"/>
      <c r="J456" s="197">
        <v>0.64939998615267824</v>
      </c>
      <c r="K456" s="197">
        <v>3.5286813263447861E-2</v>
      </c>
      <c r="L456" s="197">
        <v>2.8508706222391964E-2</v>
      </c>
      <c r="M456" s="197">
        <v>0.23244985486472305</v>
      </c>
      <c r="N456" s="197">
        <v>2.608632809583537E-2</v>
      </c>
      <c r="O456" s="197">
        <v>0</v>
      </c>
      <c r="P456" s="197">
        <v>2.8268311400923472E-2</v>
      </c>
      <c r="Q456" s="196"/>
    </row>
    <row r="457" spans="1:17" x14ac:dyDescent="0.35">
      <c r="A457" s="59" t="s">
        <v>1522</v>
      </c>
      <c r="B457" s="232">
        <v>2239.2165109743396</v>
      </c>
      <c r="C457" s="145">
        <v>121.51107171496231</v>
      </c>
      <c r="D457" s="145">
        <v>139.05370472434382</v>
      </c>
      <c r="E457" s="145">
        <v>989.98308278552565</v>
      </c>
      <c r="F457" s="145">
        <v>87.570581954447206</v>
      </c>
      <c r="G457" s="145">
        <v>0</v>
      </c>
      <c r="H457" s="145">
        <v>95.87596048354628</v>
      </c>
      <c r="I457" s="144"/>
      <c r="J457" s="197">
        <v>0.60960738825822125</v>
      </c>
      <c r="K457" s="197">
        <v>3.3080341588042378E-2</v>
      </c>
      <c r="L457" s="197">
        <v>3.7856172169681061E-2</v>
      </c>
      <c r="M457" s="197">
        <v>0.26951435850841787</v>
      </c>
      <c r="N457" s="197">
        <v>2.3840335890643508E-2</v>
      </c>
      <c r="O457" s="197">
        <v>0</v>
      </c>
      <c r="P457" s="197">
        <v>2.6101403584993861E-2</v>
      </c>
      <c r="Q457" s="196"/>
    </row>
    <row r="458" spans="1:17" x14ac:dyDescent="0.35">
      <c r="A458" s="59" t="s">
        <v>1521</v>
      </c>
      <c r="B458" s="232">
        <v>613.35947035109734</v>
      </c>
      <c r="C458" s="145">
        <v>54.033139090574942</v>
      </c>
      <c r="D458" s="145">
        <v>68.034775410415676</v>
      </c>
      <c r="E458" s="145">
        <v>452.39365900525047</v>
      </c>
      <c r="F458" s="145">
        <v>43.624813558832706</v>
      </c>
      <c r="G458" s="145">
        <v>0</v>
      </c>
      <c r="H458" s="145">
        <v>42.891764956567584</v>
      </c>
      <c r="I458" s="144"/>
      <c r="J458" s="197">
        <v>0.48131630078460647</v>
      </c>
      <c r="K458" s="197">
        <v>4.240096042206503E-2</v>
      </c>
      <c r="L458" s="197">
        <v>5.3388344043189345E-2</v>
      </c>
      <c r="M458" s="197">
        <v>0.35500298434485605</v>
      </c>
      <c r="N458" s="197">
        <v>3.4233324664468413E-2</v>
      </c>
      <c r="O458" s="197">
        <v>0</v>
      </c>
      <c r="P458" s="197">
        <v>3.3658085740814699E-2</v>
      </c>
      <c r="Q458" s="196"/>
    </row>
    <row r="459" spans="1:17" x14ac:dyDescent="0.35">
      <c r="A459" s="59" t="s">
        <v>1520</v>
      </c>
      <c r="B459" s="232">
        <v>13752.40115677784</v>
      </c>
      <c r="C459" s="145">
        <v>3431.3931302070209</v>
      </c>
      <c r="D459" s="145">
        <v>2808.3400472110065</v>
      </c>
      <c r="E459" s="145">
        <v>7275.133784641569</v>
      </c>
      <c r="F459" s="145">
        <v>3255.4692363053277</v>
      </c>
      <c r="G459" s="145">
        <v>0</v>
      </c>
      <c r="H459" s="145">
        <v>1749.50363773649</v>
      </c>
      <c r="I459" s="144"/>
      <c r="J459" s="197">
        <v>0.42613716102988491</v>
      </c>
      <c r="K459" s="197">
        <v>0.10632645966433334</v>
      </c>
      <c r="L459" s="197">
        <v>8.7020298585110831E-2</v>
      </c>
      <c r="M459" s="197">
        <v>0.22543007739210918</v>
      </c>
      <c r="N459" s="197">
        <v>0.10087521461629004</v>
      </c>
      <c r="O459" s="197">
        <v>0</v>
      </c>
      <c r="P459" s="197">
        <v>5.4210788712271675E-2</v>
      </c>
      <c r="Q459" s="196"/>
    </row>
    <row r="460" spans="1:17" x14ac:dyDescent="0.35">
      <c r="A460" s="59" t="s">
        <v>1519</v>
      </c>
      <c r="B460" s="232">
        <v>48.04045840054782</v>
      </c>
      <c r="C460" s="145">
        <v>3.3799987795778041</v>
      </c>
      <c r="D460" s="145">
        <v>2.4166918531492079</v>
      </c>
      <c r="E460" s="145">
        <v>16.291528369089633</v>
      </c>
      <c r="F460" s="145">
        <v>2.6093841939970015</v>
      </c>
      <c r="G460" s="145">
        <v>0</v>
      </c>
      <c r="H460" s="145">
        <v>2.4293173851602279</v>
      </c>
      <c r="I460" s="144"/>
      <c r="J460" s="197">
        <v>0.63911312395710296</v>
      </c>
      <c r="K460" s="197">
        <v>4.4966298218389447E-2</v>
      </c>
      <c r="L460" s="197">
        <v>3.2150806452135305E-2</v>
      </c>
      <c r="M460" s="197">
        <v>0.21673668271837118</v>
      </c>
      <c r="N460" s="197">
        <v>3.4714316627143041E-2</v>
      </c>
      <c r="O460" s="197">
        <v>0</v>
      </c>
      <c r="P460" s="197">
        <v>3.2318772026857866E-2</v>
      </c>
      <c r="Q460" s="196"/>
    </row>
    <row r="461" spans="1:17" x14ac:dyDescent="0.35">
      <c r="A461" s="59" t="s">
        <v>1518</v>
      </c>
      <c r="B461" s="232">
        <v>92.038218605770126</v>
      </c>
      <c r="C461" s="145">
        <v>3.8678902816632146</v>
      </c>
      <c r="D461" s="145">
        <v>2.9743231391667475</v>
      </c>
      <c r="E461" s="145">
        <v>28.799242828927483</v>
      </c>
      <c r="F461" s="145">
        <v>2.8092053748185317</v>
      </c>
      <c r="G461" s="145">
        <v>0</v>
      </c>
      <c r="H461" s="145">
        <v>3.5207054260304531</v>
      </c>
      <c r="I461" s="144"/>
      <c r="J461" s="197">
        <v>0.68680324735703469</v>
      </c>
      <c r="K461" s="197">
        <v>2.8862788155924492E-2</v>
      </c>
      <c r="L461" s="197">
        <v>2.2194853633779744E-2</v>
      </c>
      <c r="M461" s="197">
        <v>0.21490434947522077</v>
      </c>
      <c r="N461" s="197">
        <v>2.0962719652173341E-2</v>
      </c>
      <c r="O461" s="197">
        <v>0</v>
      </c>
      <c r="P461" s="197">
        <v>2.6272041725866852E-2</v>
      </c>
      <c r="Q461" s="196"/>
    </row>
    <row r="462" spans="1:17" x14ac:dyDescent="0.35">
      <c r="A462" s="59" t="s">
        <v>1531</v>
      </c>
      <c r="B462" s="232">
        <v>15911.779135890643</v>
      </c>
      <c r="C462" s="145">
        <v>854.02190196476874</v>
      </c>
      <c r="D462" s="145">
        <v>437.71178642398445</v>
      </c>
      <c r="E462" s="145">
        <v>4345.9312701524132</v>
      </c>
      <c r="F462" s="145">
        <v>368.48302479457925</v>
      </c>
      <c r="G462" s="145">
        <v>0</v>
      </c>
      <c r="H462" s="145">
        <v>759.25801327518275</v>
      </c>
      <c r="I462" s="144"/>
      <c r="J462" s="197">
        <v>0.70166464854076793</v>
      </c>
      <c r="K462" s="197">
        <v>3.7659960747983702E-2</v>
      </c>
      <c r="L462" s="197">
        <v>1.9301857080870403E-2</v>
      </c>
      <c r="M462" s="197">
        <v>0.19164332983830978</v>
      </c>
      <c r="N462" s="197">
        <v>1.6249063657660896E-2</v>
      </c>
      <c r="O462" s="197">
        <v>0</v>
      </c>
      <c r="P462" s="197">
        <v>3.3481140134407297E-2</v>
      </c>
      <c r="Q462" s="196"/>
    </row>
    <row r="463" spans="1:17" x14ac:dyDescent="0.35">
      <c r="A463" s="59" t="s">
        <v>1530</v>
      </c>
      <c r="B463" s="232">
        <v>150.75601175723639</v>
      </c>
      <c r="C463" s="145">
        <v>9.1097453743117605</v>
      </c>
      <c r="D463" s="145">
        <v>3.3730392301059493</v>
      </c>
      <c r="E463" s="145">
        <v>39.061134274406143</v>
      </c>
      <c r="F463" s="145">
        <v>3.0639968830630835</v>
      </c>
      <c r="G463" s="145">
        <v>0</v>
      </c>
      <c r="H463" s="145">
        <v>8.060792434553651</v>
      </c>
      <c r="I463" s="144"/>
      <c r="J463" s="197">
        <v>0.70636621563780144</v>
      </c>
      <c r="K463" s="197">
        <v>4.2683646844137807E-2</v>
      </c>
      <c r="L463" s="197">
        <v>1.580435120560568E-2</v>
      </c>
      <c r="M463" s="197">
        <v>0.18302066547344756</v>
      </c>
      <c r="N463" s="197">
        <v>1.4356335497256888E-2</v>
      </c>
      <c r="O463" s="197">
        <v>0</v>
      </c>
      <c r="P463" s="197">
        <v>3.7768785341750544E-2</v>
      </c>
      <c r="Q463" s="196"/>
    </row>
    <row r="464" spans="1:17" x14ac:dyDescent="0.35">
      <c r="A464" s="59" t="s">
        <v>1529</v>
      </c>
      <c r="B464" s="49">
        <v>5196221.8993590204</v>
      </c>
      <c r="C464" s="48">
        <v>246030.97965387173</v>
      </c>
      <c r="D464" s="48">
        <v>244491.38822511327</v>
      </c>
      <c r="E464" s="48">
        <v>1949240.3849316924</v>
      </c>
      <c r="F464" s="48">
        <v>185818.54338333165</v>
      </c>
      <c r="G464" s="48">
        <v>0</v>
      </c>
      <c r="H464" s="48">
        <v>209297.83498827534</v>
      </c>
      <c r="I464" s="47"/>
      <c r="J464" s="197">
        <v>0.64701239339393424</v>
      </c>
      <c r="K464" s="197">
        <v>3.0634775819435685E-2</v>
      </c>
      <c r="L464" s="197">
        <v>3.0443072163498151E-2</v>
      </c>
      <c r="M464" s="197">
        <v>0.24271147598803297</v>
      </c>
      <c r="N464" s="197">
        <v>2.3137368422671594E-2</v>
      </c>
      <c r="O464" s="197">
        <v>0</v>
      </c>
      <c r="P464" s="197">
        <v>2.6060914212427542E-2</v>
      </c>
      <c r="Q464" s="196"/>
    </row>
    <row r="465" spans="1:17" x14ac:dyDescent="0.35">
      <c r="A465" s="59" t="s">
        <v>1528</v>
      </c>
      <c r="B465" s="49">
        <v>5206902.0642181262</v>
      </c>
      <c r="C465" s="48">
        <v>246616.04012099141</v>
      </c>
      <c r="D465" s="48">
        <v>246336.84693822454</v>
      </c>
      <c r="E465" s="48">
        <v>1962384.2451605871</v>
      </c>
      <c r="F465" s="48">
        <v>186959.68287123911</v>
      </c>
      <c r="G465" s="48">
        <v>0</v>
      </c>
      <c r="H465" s="48">
        <v>209997.74724383294</v>
      </c>
      <c r="I465" s="47"/>
      <c r="J465" s="197">
        <v>0.64608202349384414</v>
      </c>
      <c r="K465" s="197">
        <v>3.0600573673615846E-2</v>
      </c>
      <c r="L465" s="197">
        <v>3.0565930867923898E-2</v>
      </c>
      <c r="M465" s="197">
        <v>0.24349626099145297</v>
      </c>
      <c r="N465" s="197">
        <v>2.3198302701196612E-2</v>
      </c>
      <c r="O465" s="197">
        <v>0</v>
      </c>
      <c r="P465" s="197">
        <v>2.6056908271966439E-2</v>
      </c>
      <c r="Q465" s="196"/>
    </row>
    <row r="466" spans="1:17" x14ac:dyDescent="0.35">
      <c r="A466" s="59" t="s">
        <v>1527</v>
      </c>
      <c r="B466" s="49">
        <v>5810709.448114451</v>
      </c>
      <c r="C466" s="48">
        <v>285345.33140177373</v>
      </c>
      <c r="D466" s="48">
        <v>268771.60361566936</v>
      </c>
      <c r="E466" s="48">
        <v>2140000.8592626126</v>
      </c>
      <c r="F466" s="48">
        <v>202719.85305070627</v>
      </c>
      <c r="G466" s="48">
        <v>0</v>
      </c>
      <c r="H466" s="48">
        <v>241042.72664236941</v>
      </c>
      <c r="I466" s="47"/>
      <c r="J466" s="197">
        <v>0.6493435908495907</v>
      </c>
      <c r="K466" s="197">
        <v>3.1887184134584301E-2</v>
      </c>
      <c r="L466" s="197">
        <v>3.0035079153171943E-2</v>
      </c>
      <c r="M466" s="197">
        <v>0.23914392119979638</v>
      </c>
      <c r="N466" s="197">
        <v>2.2653832288785647E-2</v>
      </c>
      <c r="O466" s="197">
        <v>0</v>
      </c>
      <c r="P466" s="197">
        <v>2.693639237407101E-2</v>
      </c>
      <c r="Q466" s="196"/>
    </row>
    <row r="467" spans="1:17" ht="13.15" x14ac:dyDescent="0.4">
      <c r="A467" s="128" t="s">
        <v>2224</v>
      </c>
      <c r="B467" s="232"/>
      <c r="C467" s="145"/>
      <c r="D467" s="145"/>
      <c r="E467" s="145"/>
      <c r="F467" s="145"/>
      <c r="G467" s="145"/>
      <c r="H467" s="145"/>
      <c r="I467" s="144"/>
      <c r="J467" s="197"/>
      <c r="K467" s="197"/>
      <c r="L467" s="197"/>
      <c r="M467" s="197"/>
      <c r="N467" s="197"/>
      <c r="O467" s="197"/>
      <c r="P467" s="197"/>
      <c r="Q467" s="196"/>
    </row>
    <row r="468" spans="1:17" x14ac:dyDescent="0.35">
      <c r="A468" s="59" t="s">
        <v>1525</v>
      </c>
      <c r="B468" s="232">
        <v>54.659169917661053</v>
      </c>
      <c r="C468" s="145">
        <v>2.7755300384576005</v>
      </c>
      <c r="D468" s="145">
        <v>1.5699713112421734</v>
      </c>
      <c r="E468" s="145">
        <v>17.224548192487834</v>
      </c>
      <c r="F468" s="145">
        <v>1.3610556380786814</v>
      </c>
      <c r="G468" s="145">
        <v>0</v>
      </c>
      <c r="H468" s="145">
        <v>2.3123911444124201</v>
      </c>
      <c r="I468" s="144"/>
      <c r="J468" s="197">
        <v>0.68407191509583953</v>
      </c>
      <c r="K468" s="197">
        <v>3.4736388270694155E-2</v>
      </c>
      <c r="L468" s="197">
        <v>1.9648547227204521E-2</v>
      </c>
      <c r="M468" s="197">
        <v>0.21556912932350547</v>
      </c>
      <c r="N468" s="197">
        <v>1.7033920169205432E-2</v>
      </c>
      <c r="O468" s="197">
        <v>0</v>
      </c>
      <c r="P468" s="197">
        <v>2.894009991355086E-2</v>
      </c>
      <c r="Q468" s="196"/>
    </row>
    <row r="469" spans="1:17" x14ac:dyDescent="0.35">
      <c r="A469" s="59" t="s">
        <v>1524</v>
      </c>
      <c r="B469" s="232">
        <v>233.01533204204665</v>
      </c>
      <c r="C469" s="145">
        <v>10.536880877583215</v>
      </c>
      <c r="D469" s="145">
        <v>7.4832007681597839</v>
      </c>
      <c r="E469" s="145">
        <v>65.272011548824366</v>
      </c>
      <c r="F469" s="145">
        <v>6.4094404452263616</v>
      </c>
      <c r="G469" s="145">
        <v>0</v>
      </c>
      <c r="H469" s="145">
        <v>9.1392695977944012</v>
      </c>
      <c r="I469" s="144"/>
      <c r="J469" s="197">
        <v>0.70215767397429285</v>
      </c>
      <c r="K469" s="197">
        <v>3.1751351737717405E-2</v>
      </c>
      <c r="L469" s="197">
        <v>2.2549532681847659E-2</v>
      </c>
      <c r="M469" s="197">
        <v>0.19668767459677564</v>
      </c>
      <c r="N469" s="197">
        <v>1.9313912758688396E-2</v>
      </c>
      <c r="O469" s="197">
        <v>0</v>
      </c>
      <c r="P469" s="197">
        <v>2.7539854250677929E-2</v>
      </c>
      <c r="Q469" s="196"/>
    </row>
    <row r="470" spans="1:17" x14ac:dyDescent="0.35">
      <c r="A470" s="59" t="s">
        <v>1523</v>
      </c>
      <c r="B470" s="232">
        <v>419.07561389761338</v>
      </c>
      <c r="C470" s="145">
        <v>22.636311502191042</v>
      </c>
      <c r="D470" s="145">
        <v>19.278502742109573</v>
      </c>
      <c r="E470" s="145">
        <v>135.37687576731531</v>
      </c>
      <c r="F470" s="145">
        <v>15.02962983329266</v>
      </c>
      <c r="G470" s="145">
        <v>0</v>
      </c>
      <c r="H470" s="145">
        <v>17.807893397493249</v>
      </c>
      <c r="I470" s="144"/>
      <c r="J470" s="197">
        <v>0.6660400489972047</v>
      </c>
      <c r="K470" s="197">
        <v>3.5976061412437081E-2</v>
      </c>
      <c r="L470" s="197">
        <v>3.0639470503966086E-2</v>
      </c>
      <c r="M470" s="197">
        <v>0.21515549456709793</v>
      </c>
      <c r="N470" s="197">
        <v>2.3886704591266843E-2</v>
      </c>
      <c r="O470" s="197">
        <v>0</v>
      </c>
      <c r="P470" s="197">
        <v>2.8302219928027523E-2</v>
      </c>
      <c r="Q470" s="196"/>
    </row>
    <row r="471" spans="1:17" x14ac:dyDescent="0.35">
      <c r="A471" s="59" t="s">
        <v>1522</v>
      </c>
      <c r="B471" s="232">
        <v>33.385036529649149</v>
      </c>
      <c r="C471" s="145">
        <v>2.2925542298230139</v>
      </c>
      <c r="D471" s="145">
        <v>2.2777852702479602</v>
      </c>
      <c r="E471" s="145">
        <v>13.241429380199886</v>
      </c>
      <c r="F471" s="145">
        <v>1.6641681208770729</v>
      </c>
      <c r="G471" s="145">
        <v>0</v>
      </c>
      <c r="H471" s="145">
        <v>1.5796613636563046</v>
      </c>
      <c r="I471" s="144"/>
      <c r="J471" s="197">
        <v>0.61323745754204162</v>
      </c>
      <c r="K471" s="197">
        <v>4.21110854836226E-2</v>
      </c>
      <c r="L471" s="197">
        <v>4.1839799896970516E-2</v>
      </c>
      <c r="M471" s="197">
        <v>0.24322694630346736</v>
      </c>
      <c r="N471" s="197">
        <v>3.0568492158540649E-2</v>
      </c>
      <c r="O471" s="197">
        <v>0</v>
      </c>
      <c r="P471" s="197">
        <v>2.9016218615357227E-2</v>
      </c>
      <c r="Q471" s="196"/>
    </row>
    <row r="472" spans="1:17" x14ac:dyDescent="0.35">
      <c r="A472" s="59" t="s">
        <v>1521</v>
      </c>
      <c r="B472" s="232">
        <v>24.928927368105796</v>
      </c>
      <c r="C472" s="145">
        <v>1.6755966834087728</v>
      </c>
      <c r="D472" s="145">
        <v>1.6632746242110106</v>
      </c>
      <c r="E472" s="145">
        <v>9.8554403981762064</v>
      </c>
      <c r="F472" s="145">
        <v>1.2128085556651582</v>
      </c>
      <c r="G472" s="145">
        <v>0</v>
      </c>
      <c r="H472" s="145">
        <v>1.1628513217151768</v>
      </c>
      <c r="I472" s="144"/>
      <c r="J472" s="197">
        <v>0.61554580528458014</v>
      </c>
      <c r="K472" s="197">
        <v>4.1373882421455954E-2</v>
      </c>
      <c r="L472" s="197">
        <v>4.1069625774563287E-2</v>
      </c>
      <c r="M472" s="197">
        <v>0.24335082319229814</v>
      </c>
      <c r="N472" s="197">
        <v>2.9946704406065408E-2</v>
      </c>
      <c r="O472" s="197">
        <v>0</v>
      </c>
      <c r="P472" s="197">
        <v>2.871315892103686E-2</v>
      </c>
      <c r="Q472" s="196"/>
    </row>
    <row r="473" spans="1:17" x14ac:dyDescent="0.35">
      <c r="A473" s="59" t="s">
        <v>1520</v>
      </c>
      <c r="B473" s="232">
        <v>1013.1216620086238</v>
      </c>
      <c r="C473" s="145">
        <v>72.410748595613526</v>
      </c>
      <c r="D473" s="145">
        <v>74.145442731757498</v>
      </c>
      <c r="E473" s="145">
        <v>397.80738058613088</v>
      </c>
      <c r="F473" s="145">
        <v>52.976134363003304</v>
      </c>
      <c r="G473" s="145">
        <v>0</v>
      </c>
      <c r="H473" s="145">
        <v>49.473219883076588</v>
      </c>
      <c r="I473" s="144"/>
      <c r="J473" s="197">
        <v>0.61033830443080173</v>
      </c>
      <c r="K473" s="197">
        <v>4.3622651827215225E-2</v>
      </c>
      <c r="L473" s="197">
        <v>4.4667689474185555E-2</v>
      </c>
      <c r="M473" s="197">
        <v>0.23965244379004408</v>
      </c>
      <c r="N473" s="197">
        <v>3.1914591539094483E-2</v>
      </c>
      <c r="O473" s="197">
        <v>0</v>
      </c>
      <c r="P473" s="197">
        <v>2.9804318938658883E-2</v>
      </c>
      <c r="Q473" s="196"/>
    </row>
    <row r="474" spans="1:17" x14ac:dyDescent="0.35">
      <c r="A474" s="59" t="s">
        <v>1519</v>
      </c>
      <c r="B474" s="232">
        <v>1.7390198019224787</v>
      </c>
      <c r="C474" s="145">
        <v>0.10925568116703122</v>
      </c>
      <c r="D474" s="145">
        <v>0.10142862516070991</v>
      </c>
      <c r="E474" s="145">
        <v>0.67433859666898788</v>
      </c>
      <c r="F474" s="145">
        <v>7.6090758330970246E-2</v>
      </c>
      <c r="G474" s="145">
        <v>0</v>
      </c>
      <c r="H474" s="145">
        <v>7.7658619359639525E-2</v>
      </c>
      <c r="I474" s="144"/>
      <c r="J474" s="197">
        <v>0.62604390472904592</v>
      </c>
      <c r="K474" s="197">
        <v>3.9331842671386077E-2</v>
      </c>
      <c r="L474" s="197">
        <v>3.6514117019663596E-2</v>
      </c>
      <c r="M474" s="197">
        <v>0.24276064464674654</v>
      </c>
      <c r="N474" s="197">
        <v>2.7392531934744641E-2</v>
      </c>
      <c r="O474" s="197">
        <v>0</v>
      </c>
      <c r="P474" s="197">
        <v>2.7956958998413217E-2</v>
      </c>
      <c r="Q474" s="196"/>
    </row>
    <row r="475" spans="1:17" x14ac:dyDescent="0.35">
      <c r="A475" s="57" t="s">
        <v>1518</v>
      </c>
      <c r="B475" s="231">
        <v>4.0009977634096989</v>
      </c>
      <c r="C475" s="142">
        <v>0.24114711258402258</v>
      </c>
      <c r="D475" s="142">
        <v>0.24528495065599792</v>
      </c>
      <c r="E475" s="142">
        <v>1.5269916529113765</v>
      </c>
      <c r="F475" s="142">
        <v>0.18322377552528168</v>
      </c>
      <c r="G475" s="142">
        <v>0</v>
      </c>
      <c r="H475" s="142">
        <v>0.17304471412768643</v>
      </c>
      <c r="I475" s="141"/>
      <c r="J475" s="194">
        <v>0.62803209428558815</v>
      </c>
      <c r="K475" s="194">
        <v>3.7852589554561576E-2</v>
      </c>
      <c r="L475" s="194">
        <v>3.8502101317333143E-2</v>
      </c>
      <c r="M475" s="194">
        <v>0.23969015291757434</v>
      </c>
      <c r="N475" s="194">
        <v>2.876042884062768E-2</v>
      </c>
      <c r="O475" s="194">
        <v>0</v>
      </c>
      <c r="P475" s="194">
        <v>2.71626330843148E-2</v>
      </c>
      <c r="Q475" s="193"/>
    </row>
    <row r="477" spans="1:17" ht="13.15" x14ac:dyDescent="0.4">
      <c r="A477" s="41" t="s">
        <v>2231</v>
      </c>
    </row>
    <row r="478" spans="1:17" ht="13.15" x14ac:dyDescent="0.4">
      <c r="A478" s="131"/>
      <c r="B478" s="2193" t="s">
        <v>2229</v>
      </c>
      <c r="C478" s="2194"/>
      <c r="D478" s="2194"/>
      <c r="E478" s="2194"/>
      <c r="F478" s="2194"/>
      <c r="G478" s="2194"/>
      <c r="H478" s="2194"/>
      <c r="I478" s="2195"/>
      <c r="J478" s="2194" t="s">
        <v>2228</v>
      </c>
      <c r="K478" s="2194"/>
      <c r="L478" s="2194"/>
      <c r="M478" s="2194"/>
      <c r="N478" s="2194"/>
      <c r="O478" s="2194"/>
      <c r="P478" s="2194"/>
      <c r="Q478" s="2195"/>
    </row>
    <row r="479" spans="1:17" ht="52.5" x14ac:dyDescent="0.4">
      <c r="A479" s="59"/>
      <c r="B479" s="653" t="s">
        <v>405</v>
      </c>
      <c r="C479" s="652" t="s">
        <v>1830</v>
      </c>
      <c r="D479" s="652" t="s">
        <v>1829</v>
      </c>
      <c r="E479" s="652" t="s">
        <v>1503</v>
      </c>
      <c r="F479" s="652" t="s">
        <v>1501</v>
      </c>
      <c r="G479" s="652" t="s">
        <v>1500</v>
      </c>
      <c r="H479" s="180" t="s">
        <v>1499</v>
      </c>
      <c r="I479" s="651" t="s">
        <v>2227</v>
      </c>
      <c r="J479" s="653" t="s">
        <v>405</v>
      </c>
      <c r="K479" s="652" t="s">
        <v>1830</v>
      </c>
      <c r="L479" s="652" t="s">
        <v>1829</v>
      </c>
      <c r="M479" s="652" t="s">
        <v>1503</v>
      </c>
      <c r="N479" s="652" t="s">
        <v>1501</v>
      </c>
      <c r="O479" s="652" t="s">
        <v>1500</v>
      </c>
      <c r="P479" s="180" t="s">
        <v>1499</v>
      </c>
      <c r="Q479" s="651" t="s">
        <v>2227</v>
      </c>
    </row>
    <row r="480" spans="1:17" ht="13.15" x14ac:dyDescent="0.4">
      <c r="A480" s="128" t="s">
        <v>2226</v>
      </c>
      <c r="B480" s="650"/>
      <c r="C480" s="198"/>
      <c r="D480" s="198"/>
      <c r="E480" s="198"/>
      <c r="I480" s="99"/>
      <c r="J480" s="198"/>
      <c r="K480" s="198"/>
      <c r="L480" s="198"/>
      <c r="M480" s="198"/>
      <c r="Q480" s="99"/>
    </row>
    <row r="481" spans="1:17" x14ac:dyDescent="0.35">
      <c r="A481" s="59" t="s">
        <v>1537</v>
      </c>
      <c r="B481" s="232">
        <v>30.363224285363884</v>
      </c>
      <c r="C481" s="145">
        <v>15.515689116601827</v>
      </c>
      <c r="D481" s="145">
        <v>2.7432962989939336</v>
      </c>
      <c r="E481" s="145">
        <v>27.555254035060372</v>
      </c>
      <c r="F481" s="145">
        <v>3.349121860962788</v>
      </c>
      <c r="G481" s="145"/>
      <c r="H481" s="145">
        <v>3.632661296646492</v>
      </c>
      <c r="I481" s="144">
        <v>64.798073411701608</v>
      </c>
      <c r="J481" s="197">
        <v>0.20521610030990731</v>
      </c>
      <c r="K481" s="197">
        <v>0.10486597813871593</v>
      </c>
      <c r="L481" s="197">
        <v>1.8541132627522258E-2</v>
      </c>
      <c r="M481" s="197">
        <v>0.1862378554720793</v>
      </c>
      <c r="N481" s="197">
        <v>2.2635729371493069E-2</v>
      </c>
      <c r="O481" s="197"/>
      <c r="P481" s="197">
        <v>2.4552089002085054E-2</v>
      </c>
      <c r="Q481" s="196">
        <v>0.43795111507819667</v>
      </c>
    </row>
    <row r="482" spans="1:17" x14ac:dyDescent="0.35">
      <c r="A482" s="59" t="s">
        <v>1536</v>
      </c>
      <c r="B482" s="232">
        <v>28.158231153347149</v>
      </c>
      <c r="C482" s="145">
        <v>13.562503840757437</v>
      </c>
      <c r="D482" s="145">
        <v>2.1179930650879131</v>
      </c>
      <c r="E482" s="145">
        <v>25.667456936108699</v>
      </c>
      <c r="F482" s="145">
        <v>2.7668102577311848</v>
      </c>
      <c r="G482" s="145"/>
      <c r="H482" s="145">
        <v>3.1284521013431501</v>
      </c>
      <c r="I482" s="144">
        <v>59.91343914779231</v>
      </c>
      <c r="J482" s="197">
        <v>0.20809411204654138</v>
      </c>
      <c r="K482" s="197">
        <v>0.10022920752728971</v>
      </c>
      <c r="L482" s="197">
        <v>1.565232857845231E-2</v>
      </c>
      <c r="M482" s="197">
        <v>0.18968686742162313</v>
      </c>
      <c r="N482" s="197">
        <v>2.0447197860132396E-2</v>
      </c>
      <c r="O482" s="197"/>
      <c r="P482" s="197">
        <v>2.3119792524032672E-2</v>
      </c>
      <c r="Q482" s="196">
        <v>0.4427704940419282</v>
      </c>
    </row>
    <row r="483" spans="1:17" x14ac:dyDescent="0.35">
      <c r="A483" s="59" t="s">
        <v>1535</v>
      </c>
      <c r="B483" s="232">
        <v>12.244343067908206</v>
      </c>
      <c r="C483" s="145">
        <v>3.353595826063287</v>
      </c>
      <c r="D483" s="145">
        <v>1.1131087159966975</v>
      </c>
      <c r="E483" s="145">
        <v>12.707214388090854</v>
      </c>
      <c r="F483" s="145">
        <v>1.1917325816177566</v>
      </c>
      <c r="G483" s="145"/>
      <c r="H483" s="145">
        <v>0.56941631780044422</v>
      </c>
      <c r="I483" s="144">
        <v>11.877830094922363</v>
      </c>
      <c r="J483" s="197">
        <v>0.28437361023827684</v>
      </c>
      <c r="K483" s="197">
        <v>7.7886918640589567E-2</v>
      </c>
      <c r="L483" s="197">
        <v>2.5851835610952899E-2</v>
      </c>
      <c r="M483" s="197">
        <v>0.29512374911188355</v>
      </c>
      <c r="N483" s="197">
        <v>2.7677866815203487E-2</v>
      </c>
      <c r="O483" s="197"/>
      <c r="P483" s="197">
        <v>1.3224635500935986E-2</v>
      </c>
      <c r="Q483" s="196">
        <v>0.27586138408215738</v>
      </c>
    </row>
    <row r="484" spans="1:17" x14ac:dyDescent="0.35">
      <c r="A484" s="59" t="s">
        <v>1534</v>
      </c>
      <c r="B484" s="232">
        <v>12.900666539591715</v>
      </c>
      <c r="C484" s="145">
        <v>8.3075333913817939</v>
      </c>
      <c r="D484" s="145">
        <v>0.77646012349893323</v>
      </c>
      <c r="E484" s="145">
        <v>9.4727416247064475</v>
      </c>
      <c r="F484" s="145">
        <v>1.2878677859876833</v>
      </c>
      <c r="G484" s="145"/>
      <c r="H484" s="145">
        <v>1.9748615890290324</v>
      </c>
      <c r="I484" s="144">
        <v>41.636346276599021</v>
      </c>
      <c r="J484" s="197">
        <v>0.16895313915154728</v>
      </c>
      <c r="K484" s="197">
        <v>0.10879932759851607</v>
      </c>
      <c r="L484" s="197">
        <v>1.0168883513773441E-2</v>
      </c>
      <c r="M484" s="197">
        <v>0.12405943746813054</v>
      </c>
      <c r="N484" s="197">
        <v>1.6866516515793802E-2</v>
      </c>
      <c r="O484" s="197"/>
      <c r="P484" s="197">
        <v>2.5863707416378785E-2</v>
      </c>
      <c r="Q484" s="196">
        <v>0.54528898833585959</v>
      </c>
    </row>
    <row r="485" spans="1:17" x14ac:dyDescent="0.35">
      <c r="A485" s="59" t="s">
        <v>1533</v>
      </c>
      <c r="B485" s="232">
        <v>3.0132215458472289</v>
      </c>
      <c r="C485" s="145">
        <v>1.9013746233123574</v>
      </c>
      <c r="D485" s="145">
        <v>0.22842422559228306</v>
      </c>
      <c r="E485" s="145">
        <v>3.4875009233113934</v>
      </c>
      <c r="F485" s="145">
        <v>0.28720989012574505</v>
      </c>
      <c r="G485" s="145"/>
      <c r="H485" s="145">
        <v>0.58417419451367369</v>
      </c>
      <c r="I485" s="144">
        <v>6.3992627762709331</v>
      </c>
      <c r="J485" s="197">
        <v>0.18949686664100959</v>
      </c>
      <c r="K485" s="197">
        <v>0.11957452445705072</v>
      </c>
      <c r="L485" s="197">
        <v>1.4365248076196834E-2</v>
      </c>
      <c r="M485" s="197">
        <v>0.21932356692654661</v>
      </c>
      <c r="N485" s="197">
        <v>1.8062188066504923E-2</v>
      </c>
      <c r="O485" s="197"/>
      <c r="P485" s="197">
        <v>3.6737816237057165E-2</v>
      </c>
      <c r="Q485" s="196">
        <v>0.40243978959563403</v>
      </c>
    </row>
    <row r="486" spans="1:17" x14ac:dyDescent="0.35">
      <c r="A486" s="59" t="s">
        <v>1532</v>
      </c>
      <c r="B486" s="49">
        <v>3218.8057404882952</v>
      </c>
      <c r="C486" s="48">
        <v>2172.335954371395</v>
      </c>
      <c r="D486" s="48">
        <v>865.49184652462895</v>
      </c>
      <c r="E486" s="48">
        <v>2798.5703856289683</v>
      </c>
      <c r="F486" s="48">
        <v>740.26187957040031</v>
      </c>
      <c r="G486" s="48"/>
      <c r="H486" s="48">
        <v>658.73908459599215</v>
      </c>
      <c r="I486" s="47">
        <v>3227.9510927409951</v>
      </c>
      <c r="J486" s="197">
        <v>0.2352557407086317</v>
      </c>
      <c r="K486" s="197">
        <v>0.15877146532493369</v>
      </c>
      <c r="L486" s="197">
        <v>6.325697847194249E-2</v>
      </c>
      <c r="M486" s="197">
        <v>0.20454162260084305</v>
      </c>
      <c r="N486" s="197">
        <v>5.4104183612608957E-2</v>
      </c>
      <c r="O486" s="197"/>
      <c r="P486" s="197">
        <v>4.8145854013807853E-2</v>
      </c>
      <c r="Q486" s="196">
        <v>0.23592415526723254</v>
      </c>
    </row>
    <row r="487" spans="1:17" ht="13.15" x14ac:dyDescent="0.4">
      <c r="A487" s="128" t="s">
        <v>2225</v>
      </c>
      <c r="B487" s="232"/>
      <c r="C487" s="145"/>
      <c r="D487" s="145"/>
      <c r="E487" s="145"/>
      <c r="F487" s="145"/>
      <c r="G487" s="145"/>
      <c r="H487" s="145"/>
      <c r="I487" s="144"/>
      <c r="J487" s="197"/>
      <c r="K487" s="197"/>
      <c r="L487" s="197"/>
      <c r="M487" s="197"/>
      <c r="N487" s="197"/>
      <c r="O487" s="197"/>
      <c r="P487" s="197"/>
      <c r="Q487" s="196"/>
    </row>
    <row r="488" spans="1:17" x14ac:dyDescent="0.35">
      <c r="A488" s="59" t="s">
        <v>1525</v>
      </c>
      <c r="B488" s="232">
        <v>1702.7652735278725</v>
      </c>
      <c r="C488" s="145">
        <v>296.26739304967202</v>
      </c>
      <c r="D488" s="145">
        <v>106.16609921617781</v>
      </c>
      <c r="E488" s="145">
        <v>2631.598774563357</v>
      </c>
      <c r="F488" s="145">
        <v>104.97680103315807</v>
      </c>
      <c r="G488" s="145"/>
      <c r="H488" s="145">
        <v>66.511771086894768</v>
      </c>
      <c r="I488" s="144">
        <v>651.49854032691508</v>
      </c>
      <c r="J488" s="197">
        <v>0.30626460912817766</v>
      </c>
      <c r="K488" s="197">
        <v>5.3287566254971976E-2</v>
      </c>
      <c r="L488" s="197">
        <v>1.9095361753378975E-2</v>
      </c>
      <c r="M488" s="197">
        <v>0.473327464803178</v>
      </c>
      <c r="N488" s="197">
        <v>1.8881450917386446E-2</v>
      </c>
      <c r="O488" s="197"/>
      <c r="P488" s="197">
        <v>1.1963012102159373E-2</v>
      </c>
      <c r="Q488" s="196">
        <v>0.11718053504074755</v>
      </c>
    </row>
    <row r="489" spans="1:17" x14ac:dyDescent="0.35">
      <c r="A489" s="59" t="s">
        <v>1524</v>
      </c>
      <c r="B489" s="232">
        <v>11465.183989528203</v>
      </c>
      <c r="C489" s="145">
        <v>1394.7676452825729</v>
      </c>
      <c r="D489" s="145">
        <v>694.18340609670452</v>
      </c>
      <c r="E489" s="145">
        <v>11033.78033045747</v>
      </c>
      <c r="F489" s="145">
        <v>688.35024102950888</v>
      </c>
      <c r="G489" s="145"/>
      <c r="H489" s="145">
        <v>265.07484793428108</v>
      </c>
      <c r="I489" s="144">
        <v>2822.9096526670473</v>
      </c>
      <c r="J489" s="197">
        <v>0.40421248380809971</v>
      </c>
      <c r="K489" s="197">
        <v>4.9173436270170422E-2</v>
      </c>
      <c r="L489" s="197">
        <v>2.4473885377940839E-2</v>
      </c>
      <c r="M489" s="197">
        <v>0.38900306852822691</v>
      </c>
      <c r="N489" s="197">
        <v>2.4268233367259865E-2</v>
      </c>
      <c r="O489" s="197"/>
      <c r="P489" s="197">
        <v>9.3453853663781651E-3</v>
      </c>
      <c r="Q489" s="196">
        <v>9.9523507281923898E-2</v>
      </c>
    </row>
    <row r="490" spans="1:17" x14ac:dyDescent="0.35">
      <c r="A490" s="59" t="s">
        <v>1523</v>
      </c>
      <c r="B490" s="232">
        <v>2317.4484511063101</v>
      </c>
      <c r="C490" s="145">
        <v>1030.4934510218036</v>
      </c>
      <c r="D490" s="145">
        <v>212.71083322476085</v>
      </c>
      <c r="E490" s="145">
        <v>2335.2096374087873</v>
      </c>
      <c r="F490" s="145">
        <v>311.91801807222168</v>
      </c>
      <c r="G490" s="145"/>
      <c r="H490" s="145">
        <v>244.01996694450796</v>
      </c>
      <c r="I490" s="144">
        <v>4481.2473887482392</v>
      </c>
      <c r="J490" s="197">
        <v>0.21196728532010214</v>
      </c>
      <c r="K490" s="197">
        <v>9.4254911797049978E-2</v>
      </c>
      <c r="L490" s="197">
        <v>1.9455767335538977E-2</v>
      </c>
      <c r="M490" s="197">
        <v>0.2135918265015051</v>
      </c>
      <c r="N490" s="197">
        <v>2.8529832239259756E-2</v>
      </c>
      <c r="O490" s="197"/>
      <c r="P490" s="197">
        <v>2.2319482417154153E-2</v>
      </c>
      <c r="Q490" s="196">
        <v>0.4098808943893899</v>
      </c>
    </row>
    <row r="491" spans="1:17" x14ac:dyDescent="0.35">
      <c r="A491" s="59" t="s">
        <v>1522</v>
      </c>
      <c r="B491" s="232">
        <v>1040.8299598657659</v>
      </c>
      <c r="C491" s="145">
        <v>336.81260859908195</v>
      </c>
      <c r="D491" s="145">
        <v>107.12716913283261</v>
      </c>
      <c r="E491" s="145">
        <v>1052.5138409221668</v>
      </c>
      <c r="F491" s="145">
        <v>108.11618453427452</v>
      </c>
      <c r="G491" s="145"/>
      <c r="H491" s="145">
        <v>85.455533425736704</v>
      </c>
      <c r="I491" s="144">
        <v>836.12741972720642</v>
      </c>
      <c r="J491" s="197">
        <v>0.2917956274743399</v>
      </c>
      <c r="K491" s="197">
        <v>9.4425074466643374E-2</v>
      </c>
      <c r="L491" s="197">
        <v>3.0032993612804999E-2</v>
      </c>
      <c r="M491" s="197">
        <v>0.29507119172176777</v>
      </c>
      <c r="N491" s="197">
        <v>3.0310263081184587E-2</v>
      </c>
      <c r="O491" s="197"/>
      <c r="P491" s="197">
        <v>2.3957372441828217E-2</v>
      </c>
      <c r="Q491" s="196">
        <v>0.2344074772014311</v>
      </c>
    </row>
    <row r="492" spans="1:17" x14ac:dyDescent="0.35">
      <c r="A492" s="59" t="s">
        <v>1521</v>
      </c>
      <c r="B492" s="232">
        <v>466.63841099141143</v>
      </c>
      <c r="C492" s="145">
        <v>160.17690561741117</v>
      </c>
      <c r="D492" s="145">
        <v>52.41408639024862</v>
      </c>
      <c r="E492" s="145">
        <v>507.29085260179909</v>
      </c>
      <c r="F492" s="145">
        <v>53.859964016837864</v>
      </c>
      <c r="G492" s="145"/>
      <c r="H492" s="145">
        <v>38.23000714098535</v>
      </c>
      <c r="I492" s="144">
        <v>340.08135464489175</v>
      </c>
      <c r="J492" s="197">
        <v>0.28828123674232242</v>
      </c>
      <c r="K492" s="197">
        <v>9.8954555307268557E-2</v>
      </c>
      <c r="L492" s="197">
        <v>3.2380526959187472E-2</v>
      </c>
      <c r="M492" s="197">
        <v>0.3133956205307013</v>
      </c>
      <c r="N492" s="197">
        <v>3.3273765450818782E-2</v>
      </c>
      <c r="O492" s="197"/>
      <c r="P492" s="197">
        <v>2.3617845165930667E-2</v>
      </c>
      <c r="Q492" s="196">
        <v>0.21009644984377029</v>
      </c>
    </row>
    <row r="493" spans="1:17" x14ac:dyDescent="0.35">
      <c r="A493" s="59" t="s">
        <v>1520</v>
      </c>
      <c r="B493" s="232">
        <v>9721.7738920647098</v>
      </c>
      <c r="C493" s="145">
        <v>3086.7453019680393</v>
      </c>
      <c r="D493" s="145">
        <v>2163.5491108739338</v>
      </c>
      <c r="E493" s="145">
        <v>8506.5606114541333</v>
      </c>
      <c r="F493" s="145">
        <v>4019.2597199037577</v>
      </c>
      <c r="G493" s="145"/>
      <c r="H493" s="145">
        <v>1559.3561288879685</v>
      </c>
      <c r="I493" s="144">
        <v>7746.4377490519573</v>
      </c>
      <c r="J493" s="197">
        <v>0.26415220510373005</v>
      </c>
      <c r="K493" s="197">
        <v>8.3870555637379496E-2</v>
      </c>
      <c r="L493" s="197">
        <v>5.8786212766586743E-2</v>
      </c>
      <c r="M493" s="197">
        <v>0.23113340922259612</v>
      </c>
      <c r="N493" s="197">
        <v>0.10920808585805269</v>
      </c>
      <c r="O493" s="197"/>
      <c r="P493" s="197">
        <v>4.2369567998694971E-2</v>
      </c>
      <c r="Q493" s="196">
        <v>0.21047996341295996</v>
      </c>
    </row>
    <row r="494" spans="1:17" x14ac:dyDescent="0.35">
      <c r="A494" s="59" t="s">
        <v>1519</v>
      </c>
      <c r="B494" s="232">
        <v>14.039925586630556</v>
      </c>
      <c r="C494" s="145">
        <v>7.8077271158916499</v>
      </c>
      <c r="D494" s="145">
        <v>1.8618227929092346</v>
      </c>
      <c r="E494" s="145">
        <v>14.320999095945854</v>
      </c>
      <c r="F494" s="145">
        <v>3.2215917348334111</v>
      </c>
      <c r="G494" s="145"/>
      <c r="H494" s="145">
        <v>2.1652832676957652</v>
      </c>
      <c r="I494" s="144">
        <v>34.349264324639385</v>
      </c>
      <c r="J494" s="197">
        <v>0.18053924273128602</v>
      </c>
      <c r="K494" s="197">
        <v>0.10039947379050865</v>
      </c>
      <c r="L494" s="197">
        <v>2.394115802520785E-2</v>
      </c>
      <c r="M494" s="197">
        <v>0.18415356377668604</v>
      </c>
      <c r="N494" s="197">
        <v>4.1426411315886327E-2</v>
      </c>
      <c r="O494" s="197"/>
      <c r="P494" s="197">
        <v>2.7843352803861587E-2</v>
      </c>
      <c r="Q494" s="196">
        <v>0.44169679755656355</v>
      </c>
    </row>
    <row r="495" spans="1:17" x14ac:dyDescent="0.35">
      <c r="A495" s="59" t="s">
        <v>1518</v>
      </c>
      <c r="B495" s="232">
        <v>25.163484199570902</v>
      </c>
      <c r="C495" s="145">
        <v>14.558607558305088</v>
      </c>
      <c r="D495" s="145">
        <v>2.2914227176964368</v>
      </c>
      <c r="E495" s="145">
        <v>26.219455354614659</v>
      </c>
      <c r="F495" s="145">
        <v>3.4682944879428423</v>
      </c>
      <c r="G495" s="145"/>
      <c r="H495" s="145">
        <v>3.1380521112792459</v>
      </c>
      <c r="I495" s="144">
        <v>70.422483905411582</v>
      </c>
      <c r="J495" s="197">
        <v>0.17322850289319286</v>
      </c>
      <c r="K495" s="197">
        <v>0.10022323504698596</v>
      </c>
      <c r="L495" s="197">
        <v>1.5774434245030892E-2</v>
      </c>
      <c r="M495" s="197">
        <v>0.18049793747688794</v>
      </c>
      <c r="N495" s="197">
        <v>2.3876163450739334E-2</v>
      </c>
      <c r="O495" s="197"/>
      <c r="P495" s="197">
        <v>2.1602734538923526E-2</v>
      </c>
      <c r="Q495" s="196">
        <v>0.48479699234823936</v>
      </c>
    </row>
    <row r="496" spans="1:17" x14ac:dyDescent="0.35">
      <c r="A496" s="59" t="s">
        <v>1531</v>
      </c>
      <c r="B496" s="232">
        <v>5747.9974205338403</v>
      </c>
      <c r="C496" s="145">
        <v>2512.1046251769521</v>
      </c>
      <c r="D496" s="145">
        <v>337.21377412152765</v>
      </c>
      <c r="E496" s="145">
        <v>4099.9181192947644</v>
      </c>
      <c r="F496" s="145">
        <v>454.93563954116428</v>
      </c>
      <c r="G496" s="145"/>
      <c r="H496" s="145">
        <v>676.73688174764789</v>
      </c>
      <c r="I496" s="144">
        <v>10726.411658814044</v>
      </c>
      <c r="J496" s="197">
        <v>0.23408360635460171</v>
      </c>
      <c r="K496" s="197">
        <v>0.10230389250016086</v>
      </c>
      <c r="L496" s="197">
        <v>1.3732820421391581E-2</v>
      </c>
      <c r="M496" s="197">
        <v>0.16696660574248501</v>
      </c>
      <c r="N496" s="197">
        <v>1.8526969894350168E-2</v>
      </c>
      <c r="O496" s="197"/>
      <c r="P496" s="197">
        <v>2.7559687007991832E-2</v>
      </c>
      <c r="Q496" s="196">
        <v>0.43682641807901879</v>
      </c>
    </row>
    <row r="497" spans="1:17" x14ac:dyDescent="0.35">
      <c r="A497" s="59" t="s">
        <v>1530</v>
      </c>
      <c r="B497" s="232">
        <v>51.967013375631247</v>
      </c>
      <c r="C497" s="145">
        <v>24.62081081508148</v>
      </c>
      <c r="D497" s="145">
        <v>2.5985941533277233</v>
      </c>
      <c r="E497" s="145">
        <v>31.867552770244021</v>
      </c>
      <c r="F497" s="145">
        <v>3.7828645765310811</v>
      </c>
      <c r="G497" s="145"/>
      <c r="H497" s="145">
        <v>7.1846927410666188</v>
      </c>
      <c r="I497" s="144">
        <v>102.49634054113653</v>
      </c>
      <c r="J497" s="197">
        <v>0.23146047846141077</v>
      </c>
      <c r="K497" s="197">
        <v>0.1096608075236999</v>
      </c>
      <c r="L497" s="197">
        <v>1.1574108400432073E-2</v>
      </c>
      <c r="M497" s="197">
        <v>0.14193771264626462</v>
      </c>
      <c r="N497" s="197">
        <v>1.684883521224622E-2</v>
      </c>
      <c r="O497" s="197"/>
      <c r="P497" s="197">
        <v>3.2000538638330092E-2</v>
      </c>
      <c r="Q497" s="196">
        <v>0.45651751911761623</v>
      </c>
    </row>
    <row r="498" spans="1:17" x14ac:dyDescent="0.35">
      <c r="A498" s="59" t="s">
        <v>1529</v>
      </c>
      <c r="B498" s="49">
        <v>2013686.1649916107</v>
      </c>
      <c r="C498" s="48">
        <v>944280.51694411051</v>
      </c>
      <c r="D498" s="48">
        <v>188356.50837088004</v>
      </c>
      <c r="E498" s="48">
        <v>2102268.0610266551</v>
      </c>
      <c r="F498" s="48">
        <v>229414.85003231867</v>
      </c>
      <c r="G498" s="48"/>
      <c r="H498" s="48">
        <v>186549.97606875948</v>
      </c>
      <c r="I498" s="47">
        <v>4082047.4627236049</v>
      </c>
      <c r="J498" s="197">
        <v>0.20660388582492598</v>
      </c>
      <c r="K498" s="197">
        <v>9.6883033464271656E-2</v>
      </c>
      <c r="L498" s="197">
        <v>1.9325348322091263E-2</v>
      </c>
      <c r="M498" s="197">
        <v>0.21569237451435191</v>
      </c>
      <c r="N498" s="197">
        <v>2.3537927759868751E-2</v>
      </c>
      <c r="O498" s="197"/>
      <c r="P498" s="197">
        <v>1.9139998390222453E-2</v>
      </c>
      <c r="Q498" s="196">
        <v>0.41881743172426772</v>
      </c>
    </row>
    <row r="499" spans="1:17" x14ac:dyDescent="0.35">
      <c r="A499" s="59" t="s">
        <v>1528</v>
      </c>
      <c r="B499" s="49">
        <v>2037009.8344586019</v>
      </c>
      <c r="C499" s="48">
        <v>947395.66138074931</v>
      </c>
      <c r="D499" s="48">
        <v>189778.25235158906</v>
      </c>
      <c r="E499" s="48">
        <v>2127808.6748695248</v>
      </c>
      <c r="F499" s="48">
        <v>230823.72096477551</v>
      </c>
      <c r="G499" s="48"/>
      <c r="H499" s="48">
        <v>187173.81727825798</v>
      </c>
      <c r="I499" s="47">
        <v>4088513.9673903855</v>
      </c>
      <c r="J499" s="197">
        <v>0.20767793429735137</v>
      </c>
      <c r="K499" s="197">
        <v>9.6589211593139032E-2</v>
      </c>
      <c r="L499" s="197">
        <v>1.9348338312472919E-2</v>
      </c>
      <c r="M499" s="197">
        <v>0.21693508921832758</v>
      </c>
      <c r="N499" s="197">
        <v>2.353302018766814E-2</v>
      </c>
      <c r="O499" s="197"/>
      <c r="P499" s="197">
        <v>1.9082810043099231E-2</v>
      </c>
      <c r="Q499" s="196">
        <v>0.41683359634794143</v>
      </c>
    </row>
    <row r="500" spans="1:17" x14ac:dyDescent="0.35">
      <c r="A500" s="59" t="s">
        <v>1527</v>
      </c>
      <c r="B500" s="49">
        <v>2231135.713590228</v>
      </c>
      <c r="C500" s="48">
        <v>1044206.7681426442</v>
      </c>
      <c r="D500" s="48">
        <v>207062.02035908628</v>
      </c>
      <c r="E500" s="48">
        <v>2260136.6670331722</v>
      </c>
      <c r="F500" s="48">
        <v>250281.50495325238</v>
      </c>
      <c r="G500" s="48"/>
      <c r="H500" s="48">
        <v>214844.62507317157</v>
      </c>
      <c r="I500" s="47">
        <v>4437467.8473982075</v>
      </c>
      <c r="J500" s="197">
        <v>0.2095920514746466</v>
      </c>
      <c r="K500" s="197">
        <v>9.8092391854798205E-2</v>
      </c>
      <c r="L500" s="197">
        <v>1.9451328471503524E-2</v>
      </c>
      <c r="M500" s="197">
        <v>0.21231639015552692</v>
      </c>
      <c r="N500" s="197">
        <v>2.351135063178339E-2</v>
      </c>
      <c r="O500" s="197"/>
      <c r="P500" s="197">
        <v>2.0182423437132752E-2</v>
      </c>
      <c r="Q500" s="196">
        <v>0.41685406397460834</v>
      </c>
    </row>
    <row r="501" spans="1:17" ht="13.15" x14ac:dyDescent="0.4">
      <c r="A501" s="128" t="s">
        <v>2224</v>
      </c>
      <c r="B501" s="232"/>
      <c r="C501" s="145"/>
      <c r="D501" s="145"/>
      <c r="E501" s="145"/>
      <c r="F501" s="145"/>
      <c r="G501" s="145"/>
      <c r="H501" s="145"/>
      <c r="I501" s="144"/>
      <c r="J501" s="197"/>
      <c r="K501" s="197"/>
      <c r="L501" s="197"/>
      <c r="M501" s="197"/>
      <c r="N501" s="197"/>
      <c r="O501" s="197"/>
      <c r="P501" s="197"/>
      <c r="Q501" s="196"/>
    </row>
    <row r="502" spans="1:17" x14ac:dyDescent="0.35">
      <c r="A502" s="59" t="s">
        <v>1525</v>
      </c>
      <c r="B502" s="232">
        <v>13.496139347907706</v>
      </c>
      <c r="C502" s="145">
        <v>8.8097923813358143</v>
      </c>
      <c r="D502" s="145">
        <v>1.2095080999570897</v>
      </c>
      <c r="E502" s="145">
        <v>13.593131102242374</v>
      </c>
      <c r="F502" s="145">
        <v>1.680383289041925</v>
      </c>
      <c r="G502" s="145"/>
      <c r="H502" s="145">
        <v>2.0610653362750435</v>
      </c>
      <c r="I502" s="144">
        <v>38.257181242390921</v>
      </c>
      <c r="J502" s="197">
        <v>0.17060569975385315</v>
      </c>
      <c r="K502" s="197">
        <v>0.11136523972960977</v>
      </c>
      <c r="L502" s="197">
        <v>1.5289481712644198E-2</v>
      </c>
      <c r="M502" s="197">
        <v>0.17183177972324715</v>
      </c>
      <c r="N502" s="197">
        <v>2.1241849946230962E-2</v>
      </c>
      <c r="O502" s="197"/>
      <c r="P502" s="197">
        <v>2.6054079975702624E-2</v>
      </c>
      <c r="Q502" s="196">
        <v>0.48361186915871213</v>
      </c>
    </row>
    <row r="503" spans="1:17" x14ac:dyDescent="0.35">
      <c r="A503" s="59" t="s">
        <v>1524</v>
      </c>
      <c r="B503" s="232">
        <v>69.037602200469905</v>
      </c>
      <c r="C503" s="145">
        <v>39.786021533193214</v>
      </c>
      <c r="D503" s="145">
        <v>5.7650683664615245</v>
      </c>
      <c r="E503" s="145">
        <v>59.524160397651279</v>
      </c>
      <c r="F503" s="145">
        <v>7.9132081855754333</v>
      </c>
      <c r="G503" s="145"/>
      <c r="H503" s="145">
        <v>8.1459539457252141</v>
      </c>
      <c r="I503" s="144">
        <v>183.09441011649463</v>
      </c>
      <c r="J503" s="197">
        <v>0.18495529633432164</v>
      </c>
      <c r="K503" s="197">
        <v>0.10658880332007484</v>
      </c>
      <c r="L503" s="197">
        <v>1.544491543912945E-2</v>
      </c>
      <c r="M503" s="197">
        <v>0.1594682951680548</v>
      </c>
      <c r="N503" s="197">
        <v>2.1199892786953167E-2</v>
      </c>
      <c r="O503" s="197"/>
      <c r="P503" s="197">
        <v>2.1823430680318279E-2</v>
      </c>
      <c r="Q503" s="196">
        <v>0.49051936627114762</v>
      </c>
    </row>
    <row r="504" spans="1:17" x14ac:dyDescent="0.35">
      <c r="A504" s="59" t="s">
        <v>1523</v>
      </c>
      <c r="B504" s="232">
        <v>149.55632835258473</v>
      </c>
      <c r="C504" s="145">
        <v>81.907746602272297</v>
      </c>
      <c r="D504" s="145">
        <v>14.852185549287205</v>
      </c>
      <c r="E504" s="145">
        <v>134.16244623013623</v>
      </c>
      <c r="F504" s="145">
        <v>18.555845996128898</v>
      </c>
      <c r="G504" s="145"/>
      <c r="H504" s="145">
        <v>15.872414959875165</v>
      </c>
      <c r="I504" s="144">
        <v>347.45425171121747</v>
      </c>
      <c r="J504" s="197">
        <v>0.19617515233788402</v>
      </c>
      <c r="K504" s="197">
        <v>0.10743955033097648</v>
      </c>
      <c r="L504" s="197">
        <v>1.948182196485156E-2</v>
      </c>
      <c r="M504" s="197">
        <v>0.17598277931222883</v>
      </c>
      <c r="N504" s="197">
        <v>2.4339965785112092E-2</v>
      </c>
      <c r="O504" s="197"/>
      <c r="P504" s="197">
        <v>2.0820071320437745E-2</v>
      </c>
      <c r="Q504" s="196">
        <v>0.45576065894850892</v>
      </c>
    </row>
    <row r="505" spans="1:17" x14ac:dyDescent="0.35">
      <c r="A505" s="59" t="s">
        <v>1522</v>
      </c>
      <c r="B505" s="232">
        <v>14.504415039137903</v>
      </c>
      <c r="C505" s="145">
        <v>7.9128161153869589</v>
      </c>
      <c r="D505" s="145">
        <v>1.7548089666352436</v>
      </c>
      <c r="E505" s="145">
        <v>14.013835745817447</v>
      </c>
      <c r="F505" s="145">
        <v>2.0546113048146211</v>
      </c>
      <c r="G505" s="145"/>
      <c r="H505" s="145">
        <v>1.4079734250635492</v>
      </c>
      <c r="I505" s="144">
        <v>30.30643817155913</v>
      </c>
      <c r="J505" s="197">
        <v>0.20157647759077565</v>
      </c>
      <c r="K505" s="197">
        <v>0.10996910913396145</v>
      </c>
      <c r="L505" s="197">
        <v>2.4387623312250847E-2</v>
      </c>
      <c r="M505" s="197">
        <v>0.19475860553873686</v>
      </c>
      <c r="N505" s="197">
        <v>2.8554154616037188E-2</v>
      </c>
      <c r="O505" s="197"/>
      <c r="P505" s="197">
        <v>1.9567443623193452E-2</v>
      </c>
      <c r="Q505" s="196">
        <v>0.42118658618504479</v>
      </c>
    </row>
    <row r="506" spans="1:17" x14ac:dyDescent="0.35">
      <c r="A506" s="59" t="s">
        <v>1521</v>
      </c>
      <c r="B506" s="232">
        <v>10.75983603690676</v>
      </c>
      <c r="C506" s="145">
        <v>5.8543624073435652</v>
      </c>
      <c r="D506" s="145">
        <v>1.2813891031197215</v>
      </c>
      <c r="E506" s="145">
        <v>10.469718555702006</v>
      </c>
      <c r="F506" s="145">
        <v>1.497354827186713</v>
      </c>
      <c r="G506" s="145"/>
      <c r="H506" s="145">
        <v>1.0364650272165679</v>
      </c>
      <c r="I506" s="144">
        <v>22.549181664708463</v>
      </c>
      <c r="J506" s="197">
        <v>0.20131294171119599</v>
      </c>
      <c r="K506" s="197">
        <v>0.10953316705043253</v>
      </c>
      <c r="L506" s="197">
        <v>2.3974362521964662E-2</v>
      </c>
      <c r="M506" s="197">
        <v>0.19588494044957436</v>
      </c>
      <c r="N506" s="197">
        <v>2.8015009151856354E-2</v>
      </c>
      <c r="O506" s="197"/>
      <c r="P506" s="197">
        <v>1.9391914792572056E-2</v>
      </c>
      <c r="Q506" s="196">
        <v>0.42188766432240393</v>
      </c>
    </row>
    <row r="507" spans="1:17" x14ac:dyDescent="0.35">
      <c r="A507" s="59" t="s">
        <v>1520</v>
      </c>
      <c r="B507" s="232">
        <v>467.74239931871085</v>
      </c>
      <c r="C507" s="145">
        <v>251.3946021036856</v>
      </c>
      <c r="D507" s="145">
        <v>57.121753064398419</v>
      </c>
      <c r="E507" s="145">
        <v>426.16039712395479</v>
      </c>
      <c r="F507" s="145">
        <v>65.405269565096404</v>
      </c>
      <c r="G507" s="145"/>
      <c r="H507" s="145">
        <v>44.096146459180652</v>
      </c>
      <c r="I507" s="144">
        <v>955.39454654239728</v>
      </c>
      <c r="J507" s="197">
        <v>0.20629792321055754</v>
      </c>
      <c r="K507" s="197">
        <v>0.11087766342301777</v>
      </c>
      <c r="L507" s="197">
        <v>2.5193566040828879E-2</v>
      </c>
      <c r="M507" s="197">
        <v>0.18795816887524455</v>
      </c>
      <c r="N507" s="197">
        <v>2.8847013437223634E-2</v>
      </c>
      <c r="O507" s="197"/>
      <c r="P507" s="197">
        <v>1.9448618404847798E-2</v>
      </c>
      <c r="Q507" s="196">
        <v>0.42137704660827952</v>
      </c>
    </row>
    <row r="508" spans="1:17" x14ac:dyDescent="0.35">
      <c r="A508" s="59" t="s">
        <v>1519</v>
      </c>
      <c r="B508" s="232">
        <v>0.67475643042921352</v>
      </c>
      <c r="C508" s="145">
        <v>0.38132981835961055</v>
      </c>
      <c r="D508" s="145">
        <v>7.8140755070438675E-2</v>
      </c>
      <c r="E508" s="145">
        <v>0.69259498035969314</v>
      </c>
      <c r="F508" s="145">
        <v>9.39429918753244E-2</v>
      </c>
      <c r="G508" s="145"/>
      <c r="H508" s="145">
        <v>6.9218172198891662E-2</v>
      </c>
      <c r="I508" s="144">
        <v>1.5114327289675074</v>
      </c>
      <c r="J508" s="197">
        <v>0.19270959351366937</v>
      </c>
      <c r="K508" s="197">
        <v>0.10890731970346311</v>
      </c>
      <c r="L508" s="197">
        <v>2.2316902021810622E-2</v>
      </c>
      <c r="M508" s="197">
        <v>0.19780426108695848</v>
      </c>
      <c r="N508" s="197">
        <v>2.6830001110527999E-2</v>
      </c>
      <c r="O508" s="197"/>
      <c r="P508" s="197">
        <v>1.9768623501257514E-2</v>
      </c>
      <c r="Q508" s="196">
        <v>0.43166329906231293</v>
      </c>
    </row>
    <row r="509" spans="1:17" x14ac:dyDescent="0.35">
      <c r="A509" s="57" t="s">
        <v>1518</v>
      </c>
      <c r="B509" s="231">
        <v>1.7816105379142604</v>
      </c>
      <c r="C509" s="145">
        <v>0.89362018613721783</v>
      </c>
      <c r="D509" s="142">
        <v>0.18896786998054996</v>
      </c>
      <c r="E509" s="142">
        <v>1.7490015211144809</v>
      </c>
      <c r="F509" s="142">
        <v>0.2262113038835622</v>
      </c>
      <c r="G509" s="142"/>
      <c r="H509" s="142">
        <v>0.15423708172210004</v>
      </c>
      <c r="I509" s="141">
        <v>3.6112283279889978</v>
      </c>
      <c r="J509" s="194">
        <v>0.20704660547417703</v>
      </c>
      <c r="K509" s="194">
        <v>0.10385043318138326</v>
      </c>
      <c r="L509" s="194">
        <v>2.1960554897122751E-2</v>
      </c>
      <c r="M509" s="194">
        <v>0.20325700831331331</v>
      </c>
      <c r="N509" s="194">
        <v>2.6288732353261967E-2</v>
      </c>
      <c r="O509" s="194"/>
      <c r="P509" s="194">
        <v>1.7924379952416334E-2</v>
      </c>
      <c r="Q509" s="193">
        <v>0.41967228582832539</v>
      </c>
    </row>
    <row r="511" spans="1:17" ht="13.15" x14ac:dyDescent="0.4">
      <c r="A511" s="41" t="s">
        <v>2230</v>
      </c>
    </row>
    <row r="512" spans="1:17" ht="13.15" x14ac:dyDescent="0.4">
      <c r="A512" s="131"/>
      <c r="B512" s="2193" t="s">
        <v>2229</v>
      </c>
      <c r="C512" s="2194"/>
      <c r="D512" s="2194"/>
      <c r="E512" s="2194"/>
      <c r="F512" s="2194"/>
      <c r="G512" s="2194"/>
      <c r="H512" s="2194"/>
      <c r="I512" s="2195"/>
      <c r="J512" s="2194" t="s">
        <v>2228</v>
      </c>
      <c r="K512" s="2194"/>
      <c r="L512" s="2194"/>
      <c r="M512" s="2194"/>
      <c r="N512" s="2194"/>
      <c r="O512" s="2194"/>
      <c r="P512" s="2194"/>
      <c r="Q512" s="2195"/>
    </row>
    <row r="513" spans="1:17" ht="52.5" x14ac:dyDescent="0.4">
      <c r="A513" s="59"/>
      <c r="B513" s="653" t="s">
        <v>405</v>
      </c>
      <c r="C513" s="652" t="s">
        <v>1830</v>
      </c>
      <c r="D513" s="652" t="s">
        <v>1829</v>
      </c>
      <c r="E513" s="652" t="s">
        <v>1503</v>
      </c>
      <c r="F513" s="652" t="s">
        <v>1501</v>
      </c>
      <c r="G513" s="652" t="s">
        <v>1500</v>
      </c>
      <c r="H513" s="180" t="s">
        <v>1499</v>
      </c>
      <c r="I513" s="651" t="s">
        <v>2227</v>
      </c>
      <c r="J513" s="653" t="s">
        <v>405</v>
      </c>
      <c r="K513" s="652" t="s">
        <v>1830</v>
      </c>
      <c r="L513" s="652" t="s">
        <v>1829</v>
      </c>
      <c r="M513" s="652" t="s">
        <v>1503</v>
      </c>
      <c r="N513" s="652" t="s">
        <v>1501</v>
      </c>
      <c r="O513" s="652" t="s">
        <v>1500</v>
      </c>
      <c r="P513" s="180" t="s">
        <v>1499</v>
      </c>
      <c r="Q513" s="651" t="s">
        <v>2227</v>
      </c>
    </row>
    <row r="514" spans="1:17" ht="13.15" x14ac:dyDescent="0.4">
      <c r="A514" s="128" t="s">
        <v>2226</v>
      </c>
      <c r="B514" s="650"/>
      <c r="C514" s="198"/>
      <c r="D514" s="198"/>
      <c r="E514" s="198"/>
      <c r="I514" s="99"/>
      <c r="J514" s="198"/>
      <c r="K514" s="198"/>
      <c r="L514" s="198"/>
      <c r="M514" s="198"/>
      <c r="Q514" s="99"/>
    </row>
    <row r="515" spans="1:17" x14ac:dyDescent="0.35">
      <c r="A515" s="59" t="s">
        <v>1537</v>
      </c>
      <c r="B515" s="232">
        <v>104.28631511676102</v>
      </c>
      <c r="C515" s="145">
        <v>10.283075928798517</v>
      </c>
      <c r="D515" s="145">
        <v>2.5461090773393078</v>
      </c>
      <c r="E515" s="145">
        <v>32.489714420872318</v>
      </c>
      <c r="F515" s="145">
        <v>3.0306783977651679</v>
      </c>
      <c r="G515" s="145"/>
      <c r="H515" s="145">
        <v>3.3096204459364089</v>
      </c>
      <c r="I515" s="144">
        <v>41.376959155941051</v>
      </c>
      <c r="J515" s="197">
        <v>0.52850703608437966</v>
      </c>
      <c r="K515" s="197">
        <v>5.2113050258561354E-2</v>
      </c>
      <c r="L515" s="197">
        <v>1.2903289952334885E-2</v>
      </c>
      <c r="M515" s="197">
        <v>0.16465288520912946</v>
      </c>
      <c r="N515" s="197">
        <v>1.5359012882318179E-2</v>
      </c>
      <c r="O515" s="197"/>
      <c r="P515" s="197">
        <v>1.677264836222972E-2</v>
      </c>
      <c r="Q515" s="196">
        <v>0.2096920772510466</v>
      </c>
    </row>
    <row r="516" spans="1:17" x14ac:dyDescent="0.35">
      <c r="A516" s="59" t="s">
        <v>1536</v>
      </c>
      <c r="B516" s="232">
        <v>97.959148271173717</v>
      </c>
      <c r="C516" s="145">
        <v>8.9885957195354695</v>
      </c>
      <c r="D516" s="145">
        <v>1.9657524310223859</v>
      </c>
      <c r="E516" s="145">
        <v>28.316795675980764</v>
      </c>
      <c r="F516" s="145">
        <v>2.5037345390622523</v>
      </c>
      <c r="G516" s="145"/>
      <c r="H516" s="145">
        <v>2.8502489478709023</v>
      </c>
      <c r="I516" s="144">
        <v>38.257864686181911</v>
      </c>
      <c r="J516" s="197">
        <v>0.54168319466066395</v>
      </c>
      <c r="K516" s="197">
        <v>4.970409942104332E-2</v>
      </c>
      <c r="L516" s="197">
        <v>1.0869990966035317E-2</v>
      </c>
      <c r="M516" s="197">
        <v>0.15658294927041785</v>
      </c>
      <c r="N516" s="197">
        <v>1.3844862349630917E-2</v>
      </c>
      <c r="O516" s="197"/>
      <c r="P516" s="197">
        <v>1.5760977743364445E-2</v>
      </c>
      <c r="Q516" s="196">
        <v>0.21155392558884395</v>
      </c>
    </row>
    <row r="517" spans="1:17" x14ac:dyDescent="0.35">
      <c r="A517" s="59" t="s">
        <v>1535</v>
      </c>
      <c r="B517" s="232">
        <v>15.020763913947958</v>
      </c>
      <c r="C517" s="145">
        <v>2.2226070820799855</v>
      </c>
      <c r="D517" s="145">
        <v>1.0330988332919266</v>
      </c>
      <c r="E517" s="145">
        <v>8.6752058928540698</v>
      </c>
      <c r="F517" s="145">
        <v>1.07841946067127</v>
      </c>
      <c r="G517" s="145"/>
      <c r="H517" s="145">
        <v>0.51877996150698302</v>
      </c>
      <c r="I517" s="144">
        <v>7.5846157890561265</v>
      </c>
      <c r="J517" s="197">
        <v>0.4157019852200346</v>
      </c>
      <c r="K517" s="197">
        <v>6.1510997821276288E-2</v>
      </c>
      <c r="L517" s="197">
        <v>2.8591171420327497E-2</v>
      </c>
      <c r="M517" s="197">
        <v>0.24008767679939677</v>
      </c>
      <c r="N517" s="197">
        <v>2.984542685506715E-2</v>
      </c>
      <c r="O517" s="197"/>
      <c r="P517" s="197">
        <v>1.4357316387255825E-2</v>
      </c>
      <c r="Q517" s="196">
        <v>0.20990542549664193</v>
      </c>
    </row>
    <row r="518" spans="1:17" x14ac:dyDescent="0.35">
      <c r="A518" s="59" t="s">
        <v>1534</v>
      </c>
      <c r="B518" s="232">
        <v>67.716379094560082</v>
      </c>
      <c r="C518" s="145">
        <v>5.5058461150269471</v>
      </c>
      <c r="D518" s="145">
        <v>0.72064842917538807</v>
      </c>
      <c r="E518" s="145">
        <v>14.590075434061568</v>
      </c>
      <c r="F518" s="145">
        <v>1.1654138727124366</v>
      </c>
      <c r="G518" s="145"/>
      <c r="H518" s="145">
        <v>1.7992435185131983</v>
      </c>
      <c r="I518" s="144">
        <v>26.586984899127348</v>
      </c>
      <c r="J518" s="197">
        <v>0.57345652225101817</v>
      </c>
      <c r="K518" s="197">
        <v>4.662628757458586E-2</v>
      </c>
      <c r="L518" s="197">
        <v>6.1028151163176423E-3</v>
      </c>
      <c r="M518" s="197">
        <v>0.12355613264722089</v>
      </c>
      <c r="N518" s="197">
        <v>9.8693136780914036E-3</v>
      </c>
      <c r="O518" s="197"/>
      <c r="P518" s="197">
        <v>1.5236903458297162E-2</v>
      </c>
      <c r="Q518" s="196">
        <v>0.22515202527446887</v>
      </c>
    </row>
    <row r="519" spans="1:17" x14ac:dyDescent="0.35">
      <c r="A519" s="59" t="s">
        <v>1533</v>
      </c>
      <c r="B519" s="232">
        <v>15.222005262665686</v>
      </c>
      <c r="C519" s="145">
        <v>1.2601425224285387</v>
      </c>
      <c r="D519" s="145">
        <v>0.21200516855507187</v>
      </c>
      <c r="E519" s="145">
        <v>5.051514349065128</v>
      </c>
      <c r="F519" s="145">
        <v>0.25990120567854558</v>
      </c>
      <c r="G519" s="145"/>
      <c r="H519" s="145">
        <v>0.53222546785072133</v>
      </c>
      <c r="I519" s="144">
        <v>4.0862639979984419</v>
      </c>
      <c r="J519" s="197">
        <v>0.57173873634862327</v>
      </c>
      <c r="K519" s="197">
        <v>4.7330971245919146E-2</v>
      </c>
      <c r="L519" s="197">
        <v>7.962917176644508E-3</v>
      </c>
      <c r="M519" s="197">
        <v>0.18973495152212691</v>
      </c>
      <c r="N519" s="197">
        <v>9.7618930190878899E-3</v>
      </c>
      <c r="O519" s="197"/>
      <c r="P519" s="197">
        <v>1.9990396218549075E-2</v>
      </c>
      <c r="Q519" s="196">
        <v>0.1534801344690491</v>
      </c>
    </row>
    <row r="520" spans="1:17" x14ac:dyDescent="0.35">
      <c r="A520" s="59" t="s">
        <v>1532</v>
      </c>
      <c r="B520" s="49">
        <v>5424.5297279053693</v>
      </c>
      <c r="C520" s="48">
        <v>1439.7230695836781</v>
      </c>
      <c r="D520" s="48">
        <v>803.28058168841267</v>
      </c>
      <c r="E520" s="48">
        <v>5903.9408869646841</v>
      </c>
      <c r="F520" s="48">
        <v>669.8758003562474</v>
      </c>
      <c r="G520" s="48"/>
      <c r="H520" s="48">
        <v>600.15954279276434</v>
      </c>
      <c r="I520" s="47">
        <v>2061.2156116604529</v>
      </c>
      <c r="J520" s="197">
        <v>0.32092633921430885</v>
      </c>
      <c r="K520" s="197">
        <v>8.5176978905098885E-2</v>
      </c>
      <c r="L520" s="197">
        <v>4.7523731894589048E-2</v>
      </c>
      <c r="M520" s="197">
        <v>0.34928928973219725</v>
      </c>
      <c r="N520" s="197">
        <v>3.96312305619161E-2</v>
      </c>
      <c r="O520" s="197"/>
      <c r="P520" s="197">
        <v>3.5506673329153006E-2</v>
      </c>
      <c r="Q520" s="196">
        <v>0.12194575636273688</v>
      </c>
    </row>
    <row r="521" spans="1:17" ht="13.15" x14ac:dyDescent="0.4">
      <c r="A521" s="128" t="s">
        <v>2225</v>
      </c>
      <c r="B521" s="232"/>
      <c r="C521" s="145"/>
      <c r="D521" s="145"/>
      <c r="E521" s="145"/>
      <c r="F521" s="145"/>
      <c r="G521" s="145"/>
      <c r="H521" s="145"/>
      <c r="I521" s="144"/>
      <c r="J521" s="197"/>
      <c r="K521" s="197"/>
      <c r="L521" s="197"/>
      <c r="M521" s="197"/>
      <c r="N521" s="197"/>
      <c r="O521" s="197"/>
      <c r="P521" s="197"/>
      <c r="Q521" s="196"/>
    </row>
    <row r="522" spans="1:17" x14ac:dyDescent="0.35">
      <c r="A522" s="59" t="s">
        <v>1525</v>
      </c>
      <c r="B522" s="232">
        <v>1260.6262167411749</v>
      </c>
      <c r="C522" s="145">
        <v>196.35222612814317</v>
      </c>
      <c r="D522" s="145">
        <v>98.53491546616695</v>
      </c>
      <c r="E522" s="145">
        <v>1924.9400940579872</v>
      </c>
      <c r="F522" s="145">
        <v>94.995326048310446</v>
      </c>
      <c r="G522" s="145"/>
      <c r="H522" s="145">
        <v>60.597093840772281</v>
      </c>
      <c r="I522" s="144">
        <v>416.01589482433479</v>
      </c>
      <c r="J522" s="197">
        <v>0.31110735452614841</v>
      </c>
      <c r="K522" s="197">
        <v>4.8457362551098428E-2</v>
      </c>
      <c r="L522" s="197">
        <v>2.4317229383331772E-2</v>
      </c>
      <c r="M522" s="197">
        <v>0.47505201171510386</v>
      </c>
      <c r="N522" s="197">
        <v>2.3443701381713051E-2</v>
      </c>
      <c r="O522" s="197"/>
      <c r="P522" s="197">
        <v>1.4954632314017677E-2</v>
      </c>
      <c r="Q522" s="196">
        <v>0.10266770812858653</v>
      </c>
    </row>
    <row r="523" spans="1:17" x14ac:dyDescent="0.35">
      <c r="A523" s="59" t="s">
        <v>1524</v>
      </c>
      <c r="B523" s="232">
        <v>5488.3381435452839</v>
      </c>
      <c r="C523" s="145">
        <v>924.38701830688933</v>
      </c>
      <c r="D523" s="145">
        <v>644.28573473792551</v>
      </c>
      <c r="E523" s="145">
        <v>5097.1789580754103</v>
      </c>
      <c r="F523" s="145">
        <v>622.90005923667957</v>
      </c>
      <c r="G523" s="145"/>
      <c r="H523" s="145">
        <v>241.5025967977422</v>
      </c>
      <c r="I523" s="144">
        <v>1802.5754663598243</v>
      </c>
      <c r="J523" s="197">
        <v>0.3703040240850215</v>
      </c>
      <c r="K523" s="197">
        <v>6.2369377348509794E-2</v>
      </c>
      <c r="L523" s="197">
        <v>4.3470645210630689E-2</v>
      </c>
      <c r="M523" s="197">
        <v>0.34391209693897529</v>
      </c>
      <c r="N523" s="197">
        <v>4.2027730891438929E-2</v>
      </c>
      <c r="O523" s="197"/>
      <c r="P523" s="197">
        <v>1.6294437602457554E-2</v>
      </c>
      <c r="Q523" s="196">
        <v>0.12162168792296639</v>
      </c>
    </row>
    <row r="524" spans="1:17" x14ac:dyDescent="0.35">
      <c r="A524" s="59" t="s">
        <v>1523</v>
      </c>
      <c r="B524" s="232">
        <v>7312.5682197627202</v>
      </c>
      <c r="C524" s="145">
        <v>682.96305251749277</v>
      </c>
      <c r="D524" s="145">
        <v>197.42124958233282</v>
      </c>
      <c r="E524" s="145">
        <v>2410.1653630839137</v>
      </c>
      <c r="F524" s="145">
        <v>282.26001874218184</v>
      </c>
      <c r="G524" s="145"/>
      <c r="H524" s="145">
        <v>222.32005845461623</v>
      </c>
      <c r="I524" s="144">
        <v>2861.5108506979022</v>
      </c>
      <c r="J524" s="197">
        <v>0.52347762265824671</v>
      </c>
      <c r="K524" s="197">
        <v>4.8890603731950845E-2</v>
      </c>
      <c r="L524" s="197">
        <v>1.4132600652433071E-2</v>
      </c>
      <c r="M524" s="197">
        <v>0.17253413528104578</v>
      </c>
      <c r="N524" s="197">
        <v>2.0205870105020909E-2</v>
      </c>
      <c r="O524" s="197"/>
      <c r="P524" s="197">
        <v>1.5915007172793427E-2</v>
      </c>
      <c r="Q524" s="196">
        <v>0.20484416039850914</v>
      </c>
    </row>
    <row r="525" spans="1:17" x14ac:dyDescent="0.35">
      <c r="A525" s="59" t="s">
        <v>1522</v>
      </c>
      <c r="B525" s="232">
        <v>2600.0943716670113</v>
      </c>
      <c r="C525" s="145">
        <v>223.22370614497137</v>
      </c>
      <c r="D525" s="145">
        <v>99.426903998229605</v>
      </c>
      <c r="E525" s="145">
        <v>1077.6577465121893</v>
      </c>
      <c r="F525" s="145">
        <v>97.836208570393069</v>
      </c>
      <c r="G525" s="145"/>
      <c r="H525" s="145">
        <v>77.856248504453731</v>
      </c>
      <c r="I525" s="144">
        <v>533.91109139006255</v>
      </c>
      <c r="J525" s="197">
        <v>0.55203628591351517</v>
      </c>
      <c r="K525" s="197">
        <v>4.7393505024632777E-2</v>
      </c>
      <c r="L525" s="197">
        <v>2.1109717939919299E-2</v>
      </c>
      <c r="M525" s="197">
        <v>0.22880176441022879</v>
      </c>
      <c r="N525" s="197">
        <v>2.0771991122934767E-2</v>
      </c>
      <c r="O525" s="197"/>
      <c r="P525" s="197">
        <v>1.652996703808203E-2</v>
      </c>
      <c r="Q525" s="196">
        <v>0.11335676855068706</v>
      </c>
    </row>
    <row r="526" spans="1:17" x14ac:dyDescent="0.35">
      <c r="A526" s="59" t="s">
        <v>1521</v>
      </c>
      <c r="B526" s="232">
        <v>715.31831489738852</v>
      </c>
      <c r="C526" s="145">
        <v>106.1577910027483</v>
      </c>
      <c r="D526" s="145">
        <v>48.646579367894155</v>
      </c>
      <c r="E526" s="145">
        <v>491.50462670708788</v>
      </c>
      <c r="F526" s="145">
        <v>48.738814598795948</v>
      </c>
      <c r="G526" s="145"/>
      <c r="H526" s="145">
        <v>34.830335929998164</v>
      </c>
      <c r="I526" s="144">
        <v>217.15973299751951</v>
      </c>
      <c r="J526" s="197">
        <v>0.43030387640936374</v>
      </c>
      <c r="K526" s="197">
        <v>6.3859834185974143E-2</v>
      </c>
      <c r="L526" s="197">
        <v>2.9263631644973909E-2</v>
      </c>
      <c r="M526" s="197">
        <v>0.29566745564949792</v>
      </c>
      <c r="N526" s="197">
        <v>2.9319116282473016E-2</v>
      </c>
      <c r="O526" s="197"/>
      <c r="P526" s="197">
        <v>2.0952390362699587E-2</v>
      </c>
      <c r="Q526" s="196">
        <v>0.13063369546501769</v>
      </c>
    </row>
    <row r="527" spans="1:17" x14ac:dyDescent="0.35">
      <c r="A527" s="59" t="s">
        <v>1520</v>
      </c>
      <c r="B527" s="232">
        <v>16206.064124916371</v>
      </c>
      <c r="C527" s="145">
        <v>2045.750986273388</v>
      </c>
      <c r="D527" s="145">
        <v>2008.0339234539583</v>
      </c>
      <c r="E527" s="145">
        <v>7826.5334967772078</v>
      </c>
      <c r="F527" s="145">
        <v>3637.0977569082074</v>
      </c>
      <c r="G527" s="145"/>
      <c r="H527" s="145">
        <v>1420.6876185864501</v>
      </c>
      <c r="I527" s="144">
        <v>4946.5056825081574</v>
      </c>
      <c r="J527" s="197">
        <v>0.42546016118276664</v>
      </c>
      <c r="K527" s="197">
        <v>5.3707398517662652E-2</v>
      </c>
      <c r="L527" s="197">
        <v>5.2717206975607535E-2</v>
      </c>
      <c r="M527" s="197">
        <v>0.20547112348651997</v>
      </c>
      <c r="N527" s="197">
        <v>9.5485256997872719E-2</v>
      </c>
      <c r="O527" s="197"/>
      <c r="P527" s="197">
        <v>3.729751891237016E-2</v>
      </c>
      <c r="Q527" s="196">
        <v>0.12986133392720065</v>
      </c>
    </row>
    <row r="528" spans="1:17" x14ac:dyDescent="0.35">
      <c r="A528" s="59" t="s">
        <v>1519</v>
      </c>
      <c r="B528" s="232">
        <v>55.878335947247969</v>
      </c>
      <c r="C528" s="145">
        <v>5.1745977997293799</v>
      </c>
      <c r="D528" s="145">
        <v>1.7279955924418018</v>
      </c>
      <c r="E528" s="145">
        <v>17.412502978333293</v>
      </c>
      <c r="F528" s="145">
        <v>2.9152741770858221</v>
      </c>
      <c r="G528" s="145"/>
      <c r="H528" s="145">
        <v>1.972731611566835</v>
      </c>
      <c r="I528" s="144">
        <v>21.933801919804704</v>
      </c>
      <c r="J528" s="197">
        <v>0.52215306841868914</v>
      </c>
      <c r="K528" s="197">
        <v>4.8353840055510175E-2</v>
      </c>
      <c r="L528" s="197">
        <v>1.6147191671191757E-2</v>
      </c>
      <c r="M528" s="197">
        <v>0.16271049781385047</v>
      </c>
      <c r="N528" s="197">
        <v>2.7241673021261487E-2</v>
      </c>
      <c r="O528" s="197"/>
      <c r="P528" s="197">
        <v>1.8434118459050134E-2</v>
      </c>
      <c r="Q528" s="196">
        <v>0.20495961056044684</v>
      </c>
    </row>
    <row r="529" spans="1:17" x14ac:dyDescent="0.35">
      <c r="A529" s="59" t="s">
        <v>1518</v>
      </c>
      <c r="B529" s="232">
        <v>106.80095019681075</v>
      </c>
      <c r="C529" s="145">
        <v>9.6487668587948221</v>
      </c>
      <c r="D529" s="145">
        <v>2.126716018130459</v>
      </c>
      <c r="E529" s="145">
        <v>30.883814674207485</v>
      </c>
      <c r="F529" s="145">
        <v>3.1385197726650196</v>
      </c>
      <c r="G529" s="145"/>
      <c r="H529" s="145">
        <v>2.8589952598915214</v>
      </c>
      <c r="I529" s="144">
        <v>44.968439442644424</v>
      </c>
      <c r="J529" s="197">
        <v>0.53286920079393574</v>
      </c>
      <c r="K529" s="197">
        <v>4.8141244766252513E-2</v>
      </c>
      <c r="L529" s="197">
        <v>1.0610967999895941E-2</v>
      </c>
      <c r="M529" s="197">
        <v>0.15409070436720143</v>
      </c>
      <c r="N529" s="197">
        <v>1.5659228872534087E-2</v>
      </c>
      <c r="O529" s="197"/>
      <c r="P529" s="197">
        <v>1.4264578324487031E-2</v>
      </c>
      <c r="Q529" s="196">
        <v>0.22436407487569324</v>
      </c>
    </row>
    <row r="530" spans="1:17" x14ac:dyDescent="0.35">
      <c r="A530" s="59" t="s">
        <v>1531</v>
      </c>
      <c r="B530" s="232">
        <v>18531.63352286485</v>
      </c>
      <c r="C530" s="145">
        <v>1664.9059160472648</v>
      </c>
      <c r="D530" s="145">
        <v>312.9749606739681</v>
      </c>
      <c r="E530" s="145">
        <v>4692.3448917857786</v>
      </c>
      <c r="F530" s="145">
        <v>411.67914228553269</v>
      </c>
      <c r="G530" s="145"/>
      <c r="H530" s="145">
        <v>616.55685390181941</v>
      </c>
      <c r="I530" s="144">
        <v>6849.3748923160101</v>
      </c>
      <c r="J530" s="197">
        <v>0.56021554825684805</v>
      </c>
      <c r="K530" s="197">
        <v>5.0330489182385849E-2</v>
      </c>
      <c r="L530" s="197">
        <v>9.4613051228485158E-3</v>
      </c>
      <c r="M530" s="197">
        <v>0.14185066647894781</v>
      </c>
      <c r="N530" s="197">
        <v>1.2445155259348403E-2</v>
      </c>
      <c r="O530" s="197"/>
      <c r="P530" s="197">
        <v>1.8638655654071461E-2</v>
      </c>
      <c r="Q530" s="196">
        <v>0.20705818004555018</v>
      </c>
    </row>
    <row r="531" spans="1:17" x14ac:dyDescent="0.35">
      <c r="A531" s="59" t="s">
        <v>1530</v>
      </c>
      <c r="B531" s="232">
        <v>175.85753462543136</v>
      </c>
      <c r="C531" s="145">
        <v>16.317526417126125</v>
      </c>
      <c r="D531" s="145">
        <v>2.4118080735701093</v>
      </c>
      <c r="E531" s="145">
        <v>42.00060605299845</v>
      </c>
      <c r="F531" s="145">
        <v>3.4231796959660437</v>
      </c>
      <c r="G531" s="145"/>
      <c r="H531" s="145">
        <v>6.5457811923055731</v>
      </c>
      <c r="I531" s="144">
        <v>65.44927453719896</v>
      </c>
      <c r="J531" s="197">
        <v>0.56363562798352485</v>
      </c>
      <c r="K531" s="197">
        <v>5.2298806922570211E-2</v>
      </c>
      <c r="L531" s="197">
        <v>7.7300125980831261E-3</v>
      </c>
      <c r="M531" s="197">
        <v>0.13461486321182042</v>
      </c>
      <c r="N531" s="197">
        <v>1.0971528980807468E-2</v>
      </c>
      <c r="O531" s="197"/>
      <c r="P531" s="197">
        <v>2.0979683928961188E-2</v>
      </c>
      <c r="Q531" s="196">
        <v>0.20976947637423285</v>
      </c>
    </row>
    <row r="532" spans="1:17" x14ac:dyDescent="0.35">
      <c r="A532" s="59" t="s">
        <v>1529</v>
      </c>
      <c r="B532" s="49">
        <v>6034658.9590284443</v>
      </c>
      <c r="C532" s="48">
        <v>625825.1361476148</v>
      </c>
      <c r="D532" s="48">
        <v>174817.50546410645</v>
      </c>
      <c r="E532" s="48">
        <v>2095778.5028849998</v>
      </c>
      <c r="F532" s="48">
        <v>207601.47256021542</v>
      </c>
      <c r="G532" s="48"/>
      <c r="H532" s="48">
        <v>169960.68847819054</v>
      </c>
      <c r="I532" s="47">
        <v>2606600.8176598963</v>
      </c>
      <c r="J532" s="197">
        <v>0.50646545079987859</v>
      </c>
      <c r="K532" s="197">
        <v>5.2523069133293028E-2</v>
      </c>
      <c r="L532" s="197">
        <v>1.4671753170098504E-2</v>
      </c>
      <c r="M532" s="197">
        <v>0.17589053688814149</v>
      </c>
      <c r="N532" s="197">
        <v>1.7423183994453223E-2</v>
      </c>
      <c r="O532" s="197"/>
      <c r="P532" s="197">
        <v>1.4264139414138973E-2</v>
      </c>
      <c r="Q532" s="196">
        <v>0.21876186659999605</v>
      </c>
    </row>
    <row r="533" spans="1:17" x14ac:dyDescent="0.35">
      <c r="A533" s="59" t="s">
        <v>1528</v>
      </c>
      <c r="B533" s="49">
        <v>6047212.442105717</v>
      </c>
      <c r="C533" s="48">
        <v>627889.70875733905</v>
      </c>
      <c r="D533" s="48">
        <v>176137.05496237369</v>
      </c>
      <c r="E533" s="48">
        <v>2109787.7521598847</v>
      </c>
      <c r="F533" s="48">
        <v>208876.38427662838</v>
      </c>
      <c r="G533" s="48"/>
      <c r="H533" s="48">
        <v>170529.05350134312</v>
      </c>
      <c r="I533" s="47">
        <v>2610730.0191220925</v>
      </c>
      <c r="J533" s="197">
        <v>0.50599366255568667</v>
      </c>
      <c r="K533" s="197">
        <v>5.2537961326279997E-2</v>
      </c>
      <c r="L533" s="197">
        <v>1.4738068888009753E-2</v>
      </c>
      <c r="M533" s="197">
        <v>0.17653410429198987</v>
      </c>
      <c r="N533" s="197">
        <v>1.7477495244853276E-2</v>
      </c>
      <c r="O533" s="197"/>
      <c r="P533" s="197">
        <v>1.4268825707610355E-2</v>
      </c>
      <c r="Q533" s="196">
        <v>0.21844988198557017</v>
      </c>
    </row>
    <row r="534" spans="1:17" x14ac:dyDescent="0.35">
      <c r="A534" s="59" t="s">
        <v>1527</v>
      </c>
      <c r="B534" s="49">
        <v>6752642.7581358412</v>
      </c>
      <c r="C534" s="48">
        <v>692051.600253243</v>
      </c>
      <c r="D534" s="48">
        <v>192178.47149862393</v>
      </c>
      <c r="E534" s="48">
        <v>2302823.5826719599</v>
      </c>
      <c r="F534" s="48">
        <v>226484.07012694416</v>
      </c>
      <c r="G534" s="48"/>
      <c r="H534" s="48">
        <v>195739.18562077987</v>
      </c>
      <c r="I534" s="47">
        <v>2833555.3236439298</v>
      </c>
      <c r="J534" s="197">
        <v>0.51173927139831388</v>
      </c>
      <c r="K534" s="197">
        <v>5.2446130258695878E-2</v>
      </c>
      <c r="L534" s="197">
        <v>1.4563967694671439E-2</v>
      </c>
      <c r="M534" s="197">
        <v>0.17451615679439991</v>
      </c>
      <c r="N534" s="197">
        <v>1.7163767902640095E-2</v>
      </c>
      <c r="O534" s="197"/>
      <c r="P534" s="197">
        <v>1.4833811267890882E-2</v>
      </c>
      <c r="Q534" s="196">
        <v>0.21473689468338789</v>
      </c>
    </row>
    <row r="535" spans="1:17" ht="13.15" x14ac:dyDescent="0.4">
      <c r="A535" s="128" t="s">
        <v>2224</v>
      </c>
      <c r="B535" s="232"/>
      <c r="C535" s="145"/>
      <c r="D535" s="145"/>
      <c r="E535" s="145"/>
      <c r="F535" s="145"/>
      <c r="G535" s="145"/>
      <c r="H535" s="145"/>
      <c r="I535" s="144"/>
      <c r="J535" s="197"/>
      <c r="K535" s="197"/>
      <c r="L535" s="197"/>
      <c r="M535" s="197"/>
      <c r="N535" s="197"/>
      <c r="O535" s="197"/>
      <c r="P535" s="197"/>
      <c r="Q535" s="196"/>
    </row>
    <row r="536" spans="1:17" x14ac:dyDescent="0.35">
      <c r="A536" s="59" t="s">
        <v>1525</v>
      </c>
      <c r="B536" s="232">
        <v>63.524939517614456</v>
      </c>
      <c r="C536" s="145">
        <v>5.8387199752084147</v>
      </c>
      <c r="D536" s="145">
        <v>1.1225690617326112</v>
      </c>
      <c r="E536" s="145">
        <v>18.395919040209744</v>
      </c>
      <c r="F536" s="145">
        <v>1.5206079520202711</v>
      </c>
      <c r="G536" s="145"/>
      <c r="H536" s="145">
        <v>1.8777814445965109</v>
      </c>
      <c r="I536" s="144">
        <v>24.429211276549808</v>
      </c>
      <c r="J536" s="197">
        <v>0.54429848800444314</v>
      </c>
      <c r="K536" s="197">
        <v>5.0027697444813293E-2</v>
      </c>
      <c r="L536" s="197">
        <v>9.6184687088478465E-3</v>
      </c>
      <c r="M536" s="197">
        <v>0.15762110117809558</v>
      </c>
      <c r="N536" s="197">
        <v>1.3028971226374298E-2</v>
      </c>
      <c r="O536" s="197"/>
      <c r="P536" s="197">
        <v>1.6089328204921392E-2</v>
      </c>
      <c r="Q536" s="196">
        <v>0.20931594523250457</v>
      </c>
    </row>
    <row r="537" spans="1:17" x14ac:dyDescent="0.35">
      <c r="A537" s="59" t="s">
        <v>1524</v>
      </c>
      <c r="B537" s="232">
        <v>270.59935232583274</v>
      </c>
      <c r="C537" s="145">
        <v>26.368321590877738</v>
      </c>
      <c r="D537" s="145">
        <v>5.3506771779309874</v>
      </c>
      <c r="E537" s="145">
        <v>70.420097145441488</v>
      </c>
      <c r="F537" s="145">
        <v>7.1607991887603735</v>
      </c>
      <c r="G537" s="145"/>
      <c r="H537" s="145">
        <v>7.4215605389131101</v>
      </c>
      <c r="I537" s="144">
        <v>116.91535766714972</v>
      </c>
      <c r="J537" s="197">
        <v>0.53665201103754456</v>
      </c>
      <c r="K537" s="197">
        <v>5.2293594525644978E-2</v>
      </c>
      <c r="L537" s="197">
        <v>1.0611450630864038E-2</v>
      </c>
      <c r="M537" s="197">
        <v>0.13965697414181394</v>
      </c>
      <c r="N537" s="197">
        <v>1.4201280425302089E-2</v>
      </c>
      <c r="O537" s="197"/>
      <c r="P537" s="197">
        <v>1.4718421733134304E-2</v>
      </c>
      <c r="Q537" s="196">
        <v>0.23186626750569631</v>
      </c>
    </row>
    <row r="538" spans="1:17" x14ac:dyDescent="0.35">
      <c r="A538" s="59" t="s">
        <v>1523</v>
      </c>
      <c r="B538" s="232">
        <v>486.95130004277456</v>
      </c>
      <c r="C538" s="145">
        <v>54.28463867368486</v>
      </c>
      <c r="D538" s="145">
        <v>13.784615412938107</v>
      </c>
      <c r="E538" s="145">
        <v>146.53991848634078</v>
      </c>
      <c r="F538" s="145">
        <v>16.791506534360167</v>
      </c>
      <c r="G538" s="145"/>
      <c r="H538" s="145">
        <v>14.460932299436951</v>
      </c>
      <c r="I538" s="144">
        <v>221.86771341595008</v>
      </c>
      <c r="J538" s="197">
        <v>0.51006722809671146</v>
      </c>
      <c r="K538" s="197">
        <v>5.686156947129159E-2</v>
      </c>
      <c r="L538" s="197">
        <v>1.443898100988523E-2</v>
      </c>
      <c r="M538" s="197">
        <v>0.15349627369570665</v>
      </c>
      <c r="N538" s="197">
        <v>1.758861141308497E-2</v>
      </c>
      <c r="O538" s="197"/>
      <c r="P538" s="197">
        <v>1.5147403144873187E-2</v>
      </c>
      <c r="Q538" s="196">
        <v>0.23239993316844706</v>
      </c>
    </row>
    <row r="539" spans="1:17" x14ac:dyDescent="0.35">
      <c r="A539" s="59" t="s">
        <v>1522</v>
      </c>
      <c r="B539" s="232">
        <v>38.821777995400126</v>
      </c>
      <c r="C539" s="145">
        <v>5.2442458928930575</v>
      </c>
      <c r="D539" s="145">
        <v>1.628673884255579</v>
      </c>
      <c r="E539" s="145">
        <v>14.355003214246974</v>
      </c>
      <c r="F539" s="145">
        <v>1.8592533672440659</v>
      </c>
      <c r="G539" s="145"/>
      <c r="H539" s="145">
        <v>1.2827668902760645</v>
      </c>
      <c r="I539" s="144">
        <v>19.352245959834395</v>
      </c>
      <c r="J539" s="197">
        <v>0.47031635757686469</v>
      </c>
      <c r="K539" s="197">
        <v>6.3532758001839537E-2</v>
      </c>
      <c r="L539" s="197">
        <v>1.9730986278227856E-2</v>
      </c>
      <c r="M539" s="197">
        <v>0.17390735750250216</v>
      </c>
      <c r="N539" s="197">
        <v>2.2524400391923296E-2</v>
      </c>
      <c r="O539" s="197"/>
      <c r="P539" s="197">
        <v>1.5540407539456956E-2</v>
      </c>
      <c r="Q539" s="196">
        <v>0.23444773270918551</v>
      </c>
    </row>
    <row r="540" spans="1:17" x14ac:dyDescent="0.35">
      <c r="A540" s="59" t="s">
        <v>1521</v>
      </c>
      <c r="B540" s="232">
        <v>28.98629709603415</v>
      </c>
      <c r="C540" s="145">
        <v>3.8799986708294187</v>
      </c>
      <c r="D540" s="145">
        <v>1.1892832823976378</v>
      </c>
      <c r="E540" s="145">
        <v>10.676277069258138</v>
      </c>
      <c r="F540" s="145">
        <v>1.3549823257967706</v>
      </c>
      <c r="G540" s="145"/>
      <c r="H540" s="145">
        <v>0.94429553582127035</v>
      </c>
      <c r="I540" s="144">
        <v>14.398831934593405</v>
      </c>
      <c r="J540" s="197">
        <v>0.47185924107900717</v>
      </c>
      <c r="K540" s="197">
        <v>6.3161335238491517E-2</v>
      </c>
      <c r="L540" s="197">
        <v>1.9359986037570793E-2</v>
      </c>
      <c r="M540" s="197">
        <v>0.17379591393681673</v>
      </c>
      <c r="N540" s="197">
        <v>2.2057351092748177E-2</v>
      </c>
      <c r="O540" s="197"/>
      <c r="P540" s="197">
        <v>1.5371903952087819E-2</v>
      </c>
      <c r="Q540" s="196">
        <v>0.23439426866327776</v>
      </c>
    </row>
    <row r="541" spans="1:17" x14ac:dyDescent="0.35">
      <c r="A541" s="59" t="s">
        <v>1520</v>
      </c>
      <c r="B541" s="232">
        <v>1178.3373886659981</v>
      </c>
      <c r="C541" s="145">
        <v>166.61263074394915</v>
      </c>
      <c r="D541" s="145">
        <v>53.015860533962993</v>
      </c>
      <c r="E541" s="145">
        <v>433.52221079559376</v>
      </c>
      <c r="F541" s="145">
        <v>59.186361619568345</v>
      </c>
      <c r="G541" s="145"/>
      <c r="H541" s="145">
        <v>40.174818401879975</v>
      </c>
      <c r="I541" s="144">
        <v>610.06939016422666</v>
      </c>
      <c r="J541" s="197">
        <v>0.46374463172975045</v>
      </c>
      <c r="K541" s="197">
        <v>6.5571808065388232E-2</v>
      </c>
      <c r="L541" s="197">
        <v>2.0864839693317559E-2</v>
      </c>
      <c r="M541" s="197">
        <v>0.17061632765440157</v>
      </c>
      <c r="N541" s="197">
        <v>2.3293292512566247E-2</v>
      </c>
      <c r="O541" s="197"/>
      <c r="P541" s="197">
        <v>1.5811139104803862E-2</v>
      </c>
      <c r="Q541" s="196">
        <v>0.24009796123977181</v>
      </c>
    </row>
    <row r="542" spans="1:17" x14ac:dyDescent="0.35">
      <c r="A542" s="59" t="s">
        <v>1519</v>
      </c>
      <c r="B542" s="232">
        <v>2.0215457104467718</v>
      </c>
      <c r="C542" s="145">
        <v>0.25272763888463595</v>
      </c>
      <c r="D542" s="145">
        <v>7.2524023696585532E-2</v>
      </c>
      <c r="E542" s="145">
        <v>0.72657177481905721</v>
      </c>
      <c r="F542" s="145">
        <v>8.5010640973251159E-2</v>
      </c>
      <c r="G542" s="145"/>
      <c r="H542" s="145">
        <v>6.306282343230861E-2</v>
      </c>
      <c r="I542" s="144">
        <v>0.96512885338574761</v>
      </c>
      <c r="J542" s="197">
        <v>0.48286425468638977</v>
      </c>
      <c r="K542" s="197">
        <v>6.0366254573442649E-2</v>
      </c>
      <c r="L542" s="197">
        <v>1.732301103464557E-2</v>
      </c>
      <c r="M542" s="197">
        <v>0.17354816005947996</v>
      </c>
      <c r="N542" s="197">
        <v>2.0305551134378871E-2</v>
      </c>
      <c r="O542" s="197"/>
      <c r="P542" s="197">
        <v>1.5063118819277807E-2</v>
      </c>
      <c r="Q542" s="196">
        <v>0.23052964969238554</v>
      </c>
    </row>
    <row r="543" spans="1:17" x14ac:dyDescent="0.35">
      <c r="A543" s="57" t="s">
        <v>1518</v>
      </c>
      <c r="B543" s="231">
        <v>4.6507177496065335</v>
      </c>
      <c r="C543" s="142">
        <v>0.59224982896335854</v>
      </c>
      <c r="D543" s="142">
        <v>0.17538492260548058</v>
      </c>
      <c r="E543" s="142">
        <v>1.6501879193738545</v>
      </c>
      <c r="F543" s="142">
        <v>0.20470252814662249</v>
      </c>
      <c r="G543" s="142"/>
      <c r="H543" s="142">
        <v>0.140521275589405</v>
      </c>
      <c r="I543" s="141">
        <v>2.3059581737964856</v>
      </c>
      <c r="J543" s="194">
        <v>0.47848256967960195</v>
      </c>
      <c r="K543" s="194">
        <v>6.0932792595006988E-2</v>
      </c>
      <c r="L543" s="194">
        <v>1.8044231658313013E-2</v>
      </c>
      <c r="M543" s="194">
        <v>0.16977726850506877</v>
      </c>
      <c r="N543" s="194">
        <v>2.1060532365309331E-2</v>
      </c>
      <c r="O543" s="194"/>
      <c r="P543" s="194">
        <v>1.4457334256494602E-2</v>
      </c>
      <c r="Q543" s="193">
        <v>0.23724527094020545</v>
      </c>
    </row>
  </sheetData>
  <mergeCells count="20">
    <mergeCell ref="B206:I206"/>
    <mergeCell ref="J206:Q206"/>
    <mergeCell ref="B240:I240"/>
    <mergeCell ref="J240:Q240"/>
    <mergeCell ref="B274:I274"/>
    <mergeCell ref="J274:Q274"/>
    <mergeCell ref="B308:I308"/>
    <mergeCell ref="J308:Q308"/>
    <mergeCell ref="B342:I342"/>
    <mergeCell ref="J342:Q342"/>
    <mergeCell ref="B376:I376"/>
    <mergeCell ref="J376:Q376"/>
    <mergeCell ref="B512:I512"/>
    <mergeCell ref="J512:Q512"/>
    <mergeCell ref="B410:I410"/>
    <mergeCell ref="J410:Q410"/>
    <mergeCell ref="B444:I444"/>
    <mergeCell ref="J444:Q444"/>
    <mergeCell ref="B478:I478"/>
    <mergeCell ref="J478:Q478"/>
  </mergeCells>
  <pageMargins left="0.75" right="0.75" top="1" bottom="1" header="0.5" footer="0.5"/>
  <pageSetup orientation="landscape" r:id="rId1"/>
  <headerFooter alignWithMargins="0">
    <oddHeader>&amp;A</oddHeader>
    <oddFooter>Page &amp;P</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I317"/>
  <sheetViews>
    <sheetView showGridLines="0" topLeftCell="A251" zoomScale="70" zoomScaleNormal="70" workbookViewId="0">
      <selection activeCell="A281" sqref="A281:XFD281"/>
    </sheetView>
  </sheetViews>
  <sheetFormatPr defaultColWidth="9.1328125" defaultRowHeight="14.25" x14ac:dyDescent="0.45"/>
  <cols>
    <col min="1" max="1" width="45.53125" customWidth="1"/>
    <col min="2" max="2" width="15.53125" customWidth="1"/>
    <col min="3" max="3" width="13.796875" customWidth="1"/>
    <col min="4" max="4" width="11.53125" customWidth="1"/>
    <col min="5" max="5" width="12.53125" customWidth="1"/>
    <col min="6" max="6" width="12" customWidth="1"/>
    <col min="7" max="7" width="12.19921875" customWidth="1"/>
    <col min="8" max="8" width="12.86328125" customWidth="1"/>
    <col min="9" max="9" width="12" customWidth="1"/>
    <col min="10" max="10" width="11" customWidth="1"/>
    <col min="11" max="11" width="11.796875" customWidth="1"/>
    <col min="12" max="12" width="12.19921875" customWidth="1"/>
    <col min="13" max="13" width="11.796875" customWidth="1"/>
    <col min="14" max="14" width="10.86328125" customWidth="1"/>
    <col min="15" max="15" width="14" customWidth="1"/>
    <col min="16" max="16" width="9.86328125" customWidth="1"/>
    <col min="17" max="17" width="11.86328125" customWidth="1"/>
    <col min="18" max="18" width="12.19921875" customWidth="1"/>
    <col min="19" max="19" width="12.53125" customWidth="1"/>
    <col min="20" max="20" width="10.19921875" customWidth="1"/>
    <col min="21" max="21" width="11" customWidth="1"/>
    <col min="22" max="22" width="11.46484375" customWidth="1"/>
    <col min="23" max="25" width="12.1328125" customWidth="1"/>
    <col min="26" max="83" width="9.1328125" customWidth="1"/>
    <col min="87" max="87" width="9.1328125" customWidth="1"/>
  </cols>
  <sheetData>
    <row r="1" spans="1:12" ht="15.4" x14ac:dyDescent="0.45">
      <c r="A1" s="724" t="s">
        <v>2332</v>
      </c>
      <c r="G1" s="230" t="s">
        <v>2848</v>
      </c>
    </row>
    <row r="2" spans="1:12" x14ac:dyDescent="0.45">
      <c r="A2" s="725"/>
    </row>
    <row r="3" spans="1:12" x14ac:dyDescent="0.45">
      <c r="A3" s="726" t="s">
        <v>2333</v>
      </c>
    </row>
    <row r="4" spans="1:12" x14ac:dyDescent="0.45">
      <c r="A4" s="725" t="s">
        <v>2334</v>
      </c>
    </row>
    <row r="5" spans="1:12" x14ac:dyDescent="0.45">
      <c r="A5" s="727" t="s">
        <v>2335</v>
      </c>
      <c r="B5" s="728">
        <v>0</v>
      </c>
    </row>
    <row r="6" spans="1:12" x14ac:dyDescent="0.45">
      <c r="A6" s="729" t="s">
        <v>225</v>
      </c>
      <c r="B6" s="730">
        <v>3.5937409233160827E-2</v>
      </c>
    </row>
    <row r="7" spans="1:12" x14ac:dyDescent="0.45">
      <c r="A7" s="731" t="s">
        <v>2336</v>
      </c>
      <c r="B7" s="732">
        <v>3.5937409233160827E-2</v>
      </c>
    </row>
    <row r="8" spans="1:12" x14ac:dyDescent="0.45">
      <c r="B8" s="733"/>
    </row>
    <row r="9" spans="1:12" ht="28.5" x14ac:dyDescent="0.45">
      <c r="A9" s="734"/>
      <c r="B9" s="735" t="s">
        <v>2337</v>
      </c>
      <c r="C9" s="735" t="s">
        <v>225</v>
      </c>
      <c r="D9" s="736" t="s">
        <v>2336</v>
      </c>
    </row>
    <row r="10" spans="1:12" x14ac:dyDescent="0.45">
      <c r="A10" s="737" t="s">
        <v>2338</v>
      </c>
      <c r="B10" s="738">
        <v>5</v>
      </c>
      <c r="C10" s="738">
        <v>4</v>
      </c>
      <c r="D10" s="739">
        <v>4</v>
      </c>
      <c r="E10" t="s">
        <v>2339</v>
      </c>
    </row>
    <row r="11" spans="1:12" x14ac:dyDescent="0.45">
      <c r="B11" s="7"/>
      <c r="C11" s="7"/>
      <c r="D11" s="7"/>
      <c r="I11" s="21"/>
    </row>
    <row r="12" spans="1:12" x14ac:dyDescent="0.45">
      <c r="A12" s="725" t="s">
        <v>2340</v>
      </c>
      <c r="L12" t="s">
        <v>2341</v>
      </c>
    </row>
    <row r="13" spans="1:12" x14ac:dyDescent="0.45">
      <c r="A13" s="740"/>
      <c r="B13" s="2254" t="s">
        <v>2342</v>
      </c>
      <c r="C13" s="2256" t="s">
        <v>2343</v>
      </c>
      <c r="D13" s="2257"/>
      <c r="E13" s="2258" t="s">
        <v>2344</v>
      </c>
      <c r="F13" s="2258"/>
      <c r="G13" s="2256" t="s">
        <v>2345</v>
      </c>
      <c r="H13" s="2257"/>
      <c r="L13" t="s">
        <v>2341</v>
      </c>
    </row>
    <row r="14" spans="1:12" x14ac:dyDescent="0.45">
      <c r="A14" s="737"/>
      <c r="B14" s="2255"/>
      <c r="C14" s="741" t="s">
        <v>2346</v>
      </c>
      <c r="D14" s="742" t="s">
        <v>2347</v>
      </c>
      <c r="E14" s="743" t="s">
        <v>2346</v>
      </c>
      <c r="F14" s="743" t="s">
        <v>2347</v>
      </c>
      <c r="G14" s="741" t="s">
        <v>2348</v>
      </c>
      <c r="H14" s="742" t="s">
        <v>2349</v>
      </c>
    </row>
    <row r="15" spans="1:12" x14ac:dyDescent="0.45">
      <c r="A15" s="744" t="s">
        <v>2350</v>
      </c>
      <c r="B15" s="745">
        <v>0.71441951817683236</v>
      </c>
      <c r="C15" s="746">
        <v>4.9725564573272849E-3</v>
      </c>
      <c r="D15" s="747">
        <v>3.9123698918971286E-2</v>
      </c>
      <c r="E15" s="748">
        <v>5.196111916693559E-2</v>
      </c>
      <c r="F15" s="745">
        <v>6.619250849291161E-3</v>
      </c>
      <c r="G15" s="749">
        <v>8.2029652625111776E-2</v>
      </c>
      <c r="H15" s="750">
        <v>0.10087420380553044</v>
      </c>
    </row>
    <row r="16" spans="1:12" x14ac:dyDescent="0.45">
      <c r="A16" s="737" t="s">
        <v>2351</v>
      </c>
      <c r="B16" s="751">
        <v>0.71177190469534413</v>
      </c>
      <c r="C16" s="752">
        <v>5.8214313283645397E-3</v>
      </c>
      <c r="D16" s="753">
        <v>4.0606426767733995E-2</v>
      </c>
      <c r="E16" s="751">
        <v>6.0831503789072566E-2</v>
      </c>
      <c r="F16" s="751">
        <v>6.8701102476450083E-3</v>
      </c>
      <c r="G16" s="752">
        <v>7.9161072327024129E-2</v>
      </c>
      <c r="H16" s="753">
        <v>9.4937550844815602E-2</v>
      </c>
    </row>
    <row r="18" spans="1:6" x14ac:dyDescent="0.45">
      <c r="A18" s="725" t="s">
        <v>2352</v>
      </c>
      <c r="E18" s="4"/>
      <c r="F18" s="15"/>
    </row>
    <row r="19" spans="1:6" ht="28.5" x14ac:dyDescent="0.45">
      <c r="A19" s="754"/>
      <c r="B19" s="735" t="s">
        <v>2353</v>
      </c>
      <c r="C19" s="735" t="s">
        <v>2354</v>
      </c>
      <c r="D19" s="736" t="s">
        <v>2355</v>
      </c>
      <c r="E19" s="4"/>
      <c r="F19" s="15"/>
    </row>
    <row r="20" spans="1:6" x14ac:dyDescent="0.45">
      <c r="A20" s="755" t="s">
        <v>2356</v>
      </c>
      <c r="B20" s="756">
        <v>0.2</v>
      </c>
      <c r="C20" s="756">
        <v>0.7</v>
      </c>
      <c r="D20" s="757">
        <v>0.10000000000000009</v>
      </c>
      <c r="E20" s="4"/>
      <c r="F20" s="15"/>
    </row>
    <row r="21" spans="1:6" x14ac:dyDescent="0.45">
      <c r="E21" s="4"/>
      <c r="F21" s="15"/>
    </row>
    <row r="22" spans="1:6" ht="28.5" x14ac:dyDescent="0.45">
      <c r="A22" s="758"/>
      <c r="B22" s="735" t="s">
        <v>2357</v>
      </c>
      <c r="C22" s="735" t="s">
        <v>2358</v>
      </c>
      <c r="D22" s="736" t="s">
        <v>2359</v>
      </c>
      <c r="E22" s="4"/>
      <c r="F22" s="15"/>
    </row>
    <row r="23" spans="1:6" x14ac:dyDescent="0.45">
      <c r="A23" s="759" t="s">
        <v>2360</v>
      </c>
      <c r="B23" s="760">
        <v>1</v>
      </c>
      <c r="C23" s="760">
        <v>0</v>
      </c>
      <c r="D23" s="761">
        <v>0.30236878003658452</v>
      </c>
      <c r="E23" s="4"/>
      <c r="F23" s="15"/>
    </row>
    <row r="24" spans="1:6" x14ac:dyDescent="0.45">
      <c r="A24" s="762" t="s">
        <v>2361</v>
      </c>
      <c r="B24" s="763">
        <v>1</v>
      </c>
      <c r="C24" s="763">
        <v>0</v>
      </c>
      <c r="D24" s="764">
        <v>0.3612853123306633</v>
      </c>
      <c r="E24" s="4"/>
      <c r="F24" s="15"/>
    </row>
    <row r="26" spans="1:6" x14ac:dyDescent="0.45">
      <c r="A26" s="725" t="s">
        <v>2362</v>
      </c>
    </row>
    <row r="27" spans="1:6" x14ac:dyDescent="0.45">
      <c r="A27" s="754"/>
      <c r="B27" s="765"/>
      <c r="C27" s="766" t="s">
        <v>2348</v>
      </c>
      <c r="D27" s="767" t="s">
        <v>2349</v>
      </c>
    </row>
    <row r="28" spans="1:6" x14ac:dyDescent="0.45">
      <c r="A28" s="768" t="s">
        <v>2363</v>
      </c>
      <c r="B28" s="769"/>
      <c r="C28" s="770">
        <v>55.07</v>
      </c>
      <c r="D28" s="771">
        <v>15.4</v>
      </c>
    </row>
    <row r="29" spans="1:6" x14ac:dyDescent="0.45">
      <c r="A29" s="768" t="s">
        <v>2364</v>
      </c>
      <c r="B29" s="769"/>
      <c r="C29" s="12">
        <v>97.221717813691669</v>
      </c>
      <c r="D29" s="772">
        <v>84.610389610389603</v>
      </c>
    </row>
    <row r="30" spans="1:6" x14ac:dyDescent="0.45">
      <c r="A30" s="768" t="s">
        <v>2365</v>
      </c>
      <c r="B30" s="769"/>
      <c r="C30" s="13">
        <v>9.0793535500272374E-2</v>
      </c>
      <c r="D30" s="773">
        <v>0.12987012987012986</v>
      </c>
    </row>
    <row r="31" spans="1:6" x14ac:dyDescent="0.45">
      <c r="A31" s="768" t="s">
        <v>2366</v>
      </c>
      <c r="B31" s="769"/>
      <c r="C31" s="770">
        <v>6</v>
      </c>
      <c r="D31" s="771">
        <v>4.5999999999999996</v>
      </c>
    </row>
    <row r="32" spans="1:6" x14ac:dyDescent="0.45">
      <c r="A32" s="768" t="s">
        <v>2367</v>
      </c>
      <c r="B32" s="769"/>
      <c r="C32" s="12">
        <v>49.666666666666664</v>
      </c>
      <c r="D32" s="772">
        <v>29.565217391304401</v>
      </c>
    </row>
    <row r="33" spans="1:18" x14ac:dyDescent="0.45">
      <c r="A33" s="755" t="s">
        <v>2368</v>
      </c>
      <c r="B33" s="774"/>
      <c r="C33" s="775">
        <v>10</v>
      </c>
      <c r="D33" s="776">
        <v>13.478260869565219</v>
      </c>
    </row>
    <row r="34" spans="1:18" x14ac:dyDescent="0.45">
      <c r="C34" s="13"/>
      <c r="D34" s="13"/>
    </row>
    <row r="35" spans="1:18" x14ac:dyDescent="0.45">
      <c r="A35" s="725" t="s">
        <v>2369</v>
      </c>
      <c r="C35" s="13"/>
      <c r="D35" s="13"/>
    </row>
    <row r="36" spans="1:18" x14ac:dyDescent="0.45">
      <c r="A36" t="s">
        <v>2370</v>
      </c>
      <c r="D36" s="777"/>
      <c r="H36" s="778"/>
      <c r="I36" s="778"/>
      <c r="J36" s="778"/>
      <c r="K36" s="778"/>
      <c r="L36" s="778"/>
      <c r="M36" s="778"/>
      <c r="Q36" s="778"/>
      <c r="R36" s="778"/>
    </row>
    <row r="37" spans="1:18" x14ac:dyDescent="0.45">
      <c r="A37" s="779" t="s">
        <v>2371</v>
      </c>
      <c r="B37" s="780">
        <v>6.6673547634480135E-2</v>
      </c>
    </row>
    <row r="38" spans="1:18" x14ac:dyDescent="0.45">
      <c r="A38" s="768" t="s">
        <v>2372</v>
      </c>
      <c r="B38" s="781">
        <v>0.17584448531624242</v>
      </c>
    </row>
    <row r="39" spans="1:18" x14ac:dyDescent="0.45">
      <c r="A39" s="755" t="s">
        <v>2373</v>
      </c>
      <c r="B39" s="782">
        <v>0.2977128888697852</v>
      </c>
    </row>
    <row r="40" spans="1:18" x14ac:dyDescent="0.45">
      <c r="B40" s="778"/>
    </row>
    <row r="41" spans="1:18" x14ac:dyDescent="0.45">
      <c r="A41" t="s">
        <v>2374</v>
      </c>
      <c r="B41" s="778"/>
    </row>
    <row r="42" spans="1:18" x14ac:dyDescent="0.45">
      <c r="A42" s="779"/>
      <c r="B42" s="783" t="s">
        <v>2371</v>
      </c>
      <c r="C42" s="784" t="s">
        <v>2375</v>
      </c>
      <c r="D42" s="785"/>
      <c r="E42" s="786"/>
      <c r="F42" s="787" t="s">
        <v>2372</v>
      </c>
      <c r="G42" s="784" t="s">
        <v>2375</v>
      </c>
      <c r="H42" s="785"/>
      <c r="I42" s="785"/>
      <c r="J42" s="785"/>
      <c r="K42" s="785"/>
      <c r="L42" s="785"/>
      <c r="M42" s="785"/>
      <c r="N42" s="783" t="s">
        <v>2373</v>
      </c>
      <c r="O42" s="784" t="s">
        <v>2375</v>
      </c>
      <c r="P42" s="785"/>
      <c r="Q42" s="785"/>
      <c r="R42" s="786"/>
    </row>
    <row r="43" spans="1:18" ht="28.5" x14ac:dyDescent="0.45">
      <c r="A43" s="788"/>
      <c r="B43" s="789" t="s">
        <v>2376</v>
      </c>
      <c r="C43" s="790" t="s">
        <v>2377</v>
      </c>
      <c r="D43" s="791" t="s">
        <v>2375</v>
      </c>
      <c r="E43" s="792" t="s">
        <v>2378</v>
      </c>
      <c r="F43" s="793" t="s">
        <v>2376</v>
      </c>
      <c r="G43" s="791" t="s">
        <v>2379</v>
      </c>
      <c r="H43" s="791" t="s">
        <v>2380</v>
      </c>
      <c r="I43" s="791" t="s">
        <v>2377</v>
      </c>
      <c r="J43" s="791" t="s">
        <v>2375</v>
      </c>
      <c r="K43" s="791" t="s">
        <v>2381</v>
      </c>
      <c r="L43" s="791" t="s">
        <v>2382</v>
      </c>
      <c r="M43" s="791" t="s">
        <v>2378</v>
      </c>
      <c r="N43" s="794" t="s">
        <v>2376</v>
      </c>
      <c r="O43" s="791" t="s">
        <v>2379</v>
      </c>
      <c r="P43" s="791" t="s">
        <v>2377</v>
      </c>
      <c r="Q43" s="791" t="s">
        <v>2375</v>
      </c>
      <c r="R43" s="792" t="s">
        <v>2378</v>
      </c>
    </row>
    <row r="44" spans="1:18" x14ac:dyDescent="0.45">
      <c r="A44" s="795" t="s">
        <v>2383</v>
      </c>
      <c r="B44" s="796">
        <v>0.87434147948319318</v>
      </c>
      <c r="C44" s="797">
        <v>0.89181854230433288</v>
      </c>
      <c r="D44" s="798">
        <v>0.87434147948319318</v>
      </c>
      <c r="E44" s="799">
        <v>0.86559397431668406</v>
      </c>
      <c r="F44" s="800">
        <v>0.88383310468964127</v>
      </c>
      <c r="G44" s="798">
        <v>0.87507031655738199</v>
      </c>
      <c r="H44" s="798">
        <v>0.90262937310100344</v>
      </c>
      <c r="I44" s="798">
        <v>0.89104255839409596</v>
      </c>
      <c r="J44" s="798">
        <v>0.88383310468964127</v>
      </c>
      <c r="K44" s="798">
        <v>0.89029796469877609</v>
      </c>
      <c r="L44" s="798">
        <v>0.91157256995197145</v>
      </c>
      <c r="M44" s="798">
        <v>0.86110356651733133</v>
      </c>
      <c r="N44" s="801">
        <v>0.88503451952473211</v>
      </c>
      <c r="O44" s="798">
        <v>0.884470101991642</v>
      </c>
      <c r="P44" s="798">
        <v>0.89129909817581054</v>
      </c>
      <c r="Q44" s="798">
        <v>0.88503451952473211</v>
      </c>
      <c r="R44" s="799">
        <v>0.85906142960569198</v>
      </c>
    </row>
    <row r="45" spans="1:18" ht="26.25" x14ac:dyDescent="0.45">
      <c r="A45" s="802" t="s">
        <v>2384</v>
      </c>
      <c r="B45" s="803">
        <v>0.91923342541379893</v>
      </c>
      <c r="C45" s="804">
        <v>0.9816850404590719</v>
      </c>
      <c r="D45" s="805">
        <v>0.91923342541379893</v>
      </c>
      <c r="E45" s="806">
        <v>0.81732232688345208</v>
      </c>
      <c r="F45" s="807">
        <v>0.90731095516026927</v>
      </c>
      <c r="G45" s="805">
        <v>1.0079875304465</v>
      </c>
      <c r="H45" s="805">
        <v>0.8595051990199456</v>
      </c>
      <c r="I45" s="805">
        <v>0.97413317419897971</v>
      </c>
      <c r="J45" s="805">
        <v>0.90731095516026927</v>
      </c>
      <c r="K45" s="805">
        <v>0.97561347166964418</v>
      </c>
      <c r="L45" s="805">
        <v>0.91145279860103912</v>
      </c>
      <c r="M45" s="805">
        <v>0.87060253897706674</v>
      </c>
      <c r="N45" s="808">
        <v>0.90755596401291672</v>
      </c>
      <c r="O45" s="805">
        <v>1.0358396273032899</v>
      </c>
      <c r="P45" s="805">
        <v>0.97009626342890021</v>
      </c>
      <c r="Q45" s="805">
        <v>0.90755596401291672</v>
      </c>
      <c r="R45" s="806">
        <v>0.88159237040930061</v>
      </c>
    </row>
    <row r="46" spans="1:18" x14ac:dyDescent="0.45">
      <c r="A46" s="768" t="s">
        <v>1670</v>
      </c>
      <c r="B46" s="768"/>
      <c r="C46" s="809"/>
      <c r="E46" s="769"/>
      <c r="F46" s="810"/>
      <c r="N46" s="811"/>
      <c r="R46" s="769"/>
    </row>
    <row r="47" spans="1:18" x14ac:dyDescent="0.45">
      <c r="A47" s="812" t="s">
        <v>2385</v>
      </c>
      <c r="B47" s="813">
        <v>0.40386252332541045</v>
      </c>
      <c r="C47" s="814">
        <v>1.9302136456942286E-11</v>
      </c>
      <c r="D47" s="815">
        <v>0.40386252332541045</v>
      </c>
      <c r="E47" s="816">
        <v>0.34104333898269085</v>
      </c>
      <c r="F47" s="817">
        <v>0.40338628656522285</v>
      </c>
      <c r="G47" s="815">
        <v>0</v>
      </c>
      <c r="H47" s="815">
        <v>0.37893939625468925</v>
      </c>
      <c r="I47" s="815">
        <v>4.251836996656359E-11</v>
      </c>
      <c r="J47" s="815">
        <v>0.40338628656522285</v>
      </c>
      <c r="K47" s="815">
        <v>4.086194970281478E-2</v>
      </c>
      <c r="L47" s="815">
        <v>0.18838840399832421</v>
      </c>
      <c r="M47" s="815">
        <v>0.36847924377219504</v>
      </c>
      <c r="N47" s="818">
        <v>0.39043720792878006</v>
      </c>
      <c r="O47" s="819">
        <v>0</v>
      </c>
      <c r="P47" s="815">
        <v>5.6073651162352084E-11</v>
      </c>
      <c r="Q47" s="815">
        <v>0.39043720792878006</v>
      </c>
      <c r="R47" s="816">
        <v>0.37833557648095067</v>
      </c>
    </row>
    <row r="48" spans="1:18" x14ac:dyDescent="0.45">
      <c r="A48" s="812" t="s">
        <v>1534</v>
      </c>
      <c r="B48" s="813">
        <v>0.29725536509010925</v>
      </c>
      <c r="C48" s="814">
        <v>0.49621059477368168</v>
      </c>
      <c r="D48" s="815">
        <v>0.29725536509010925</v>
      </c>
      <c r="E48" s="816">
        <v>0.30558507163436227</v>
      </c>
      <c r="F48" s="817">
        <v>0.29661772164140027</v>
      </c>
      <c r="G48" s="815">
        <v>0.60518392746593519</v>
      </c>
      <c r="H48" s="815">
        <v>0.24390319879362121</v>
      </c>
      <c r="I48" s="815">
        <v>0.49934417566237965</v>
      </c>
      <c r="J48" s="815">
        <v>0.29661772164140027</v>
      </c>
      <c r="K48" s="815">
        <v>0.54434655203118343</v>
      </c>
      <c r="L48" s="815">
        <v>0.37054646974945182</v>
      </c>
      <c r="M48" s="815">
        <v>0.37920988177252402</v>
      </c>
      <c r="N48" s="818">
        <v>0.30045362029405398</v>
      </c>
      <c r="O48" s="819">
        <v>0.8522822583823767</v>
      </c>
      <c r="P48" s="815">
        <v>0.49373382616155848</v>
      </c>
      <c r="Q48" s="815">
        <v>0.30045362029405398</v>
      </c>
      <c r="R48" s="816">
        <v>0.40699604021594254</v>
      </c>
    </row>
    <row r="49" spans="1:18" x14ac:dyDescent="0.45">
      <c r="A49" s="812" t="s">
        <v>1664</v>
      </c>
      <c r="B49" s="813">
        <v>2.0586714938351368E-2</v>
      </c>
      <c r="C49" s="814">
        <v>3.0582772190302122E-2</v>
      </c>
      <c r="D49" s="815">
        <v>2.0586714938351368E-2</v>
      </c>
      <c r="E49" s="816">
        <v>1.8423789212845321E-2</v>
      </c>
      <c r="F49" s="817">
        <v>1.9139367834589485E-2</v>
      </c>
      <c r="G49" s="815">
        <v>3.2031151752368793E-2</v>
      </c>
      <c r="H49" s="815">
        <v>1.5765292729962934E-2</v>
      </c>
      <c r="I49" s="815">
        <v>2.8975483636217828E-2</v>
      </c>
      <c r="J49" s="815">
        <v>1.9139367834589485E-2</v>
      </c>
      <c r="K49" s="815">
        <v>2.7105573014660329E-2</v>
      </c>
      <c r="L49" s="815">
        <v>2.1293154548677758E-2</v>
      </c>
      <c r="M49" s="815">
        <v>2.2955724120257259E-2</v>
      </c>
      <c r="N49" s="818">
        <v>1.8899163698974694E-2</v>
      </c>
      <c r="O49" s="819">
        <v>4.1866534291694374E-2</v>
      </c>
      <c r="P49" s="815">
        <v>2.7703904801427853E-2</v>
      </c>
      <c r="Q49" s="815">
        <v>1.8899163698974694E-2</v>
      </c>
      <c r="R49" s="816">
        <v>2.4124277678669464E-2</v>
      </c>
    </row>
    <row r="50" spans="1:18" x14ac:dyDescent="0.45">
      <c r="A50" s="812" t="s">
        <v>2386</v>
      </c>
      <c r="B50" s="813">
        <v>4.6344265361565003E-2</v>
      </c>
      <c r="C50" s="814">
        <v>9.8474240217420322E-3</v>
      </c>
      <c r="D50" s="815">
        <v>4.6344265361565003E-2</v>
      </c>
      <c r="E50" s="816">
        <v>6.9264415142669786E-4</v>
      </c>
      <c r="F50" s="817">
        <v>4.7777722865280502E-2</v>
      </c>
      <c r="G50" s="815">
        <v>0</v>
      </c>
      <c r="H50" s="815">
        <v>2.7268385219279792E-3</v>
      </c>
      <c r="I50" s="815">
        <v>2.8289515051055279E-2</v>
      </c>
      <c r="J50" s="815">
        <v>4.7777722865280502E-2</v>
      </c>
      <c r="K50" s="815">
        <v>6.0531933828794155E-7</v>
      </c>
      <c r="L50" s="815">
        <v>1.0889458069083503E-3</v>
      </c>
      <c r="M50" s="815">
        <v>8.7837777047795866E-8</v>
      </c>
      <c r="N50" s="818">
        <v>5.2015525316293998E-2</v>
      </c>
      <c r="O50" s="819">
        <v>0</v>
      </c>
      <c r="P50" s="815">
        <v>3.8894157651466039E-2</v>
      </c>
      <c r="Q50" s="815">
        <v>5.2015525316293998E-2</v>
      </c>
      <c r="R50" s="816">
        <v>9.9054056138148969E-8</v>
      </c>
    </row>
    <row r="51" spans="1:18" x14ac:dyDescent="0.45">
      <c r="A51" s="812" t="s">
        <v>2387</v>
      </c>
      <c r="B51" s="813">
        <v>7.5497222206786271E-2</v>
      </c>
      <c r="C51" s="814">
        <v>0.34235617423299436</v>
      </c>
      <c r="D51" s="815">
        <v>7.5497222206786271E-2</v>
      </c>
      <c r="E51" s="816">
        <v>0.112168204357338</v>
      </c>
      <c r="F51" s="817">
        <v>7.0624300328782419E-2</v>
      </c>
      <c r="G51" s="815">
        <v>0.36278492078169611</v>
      </c>
      <c r="H51" s="815">
        <v>0.35778165802919587</v>
      </c>
      <c r="I51" s="815">
        <v>0.32011675566363135</v>
      </c>
      <c r="J51" s="815">
        <v>7.0624300328782419E-2</v>
      </c>
      <c r="K51" s="815">
        <v>0.21252263154318149</v>
      </c>
      <c r="L51" s="815">
        <v>0.14504994284408107</v>
      </c>
      <c r="M51" s="815">
        <v>0.18527571062854298</v>
      </c>
      <c r="N51" s="818">
        <v>7.0951967690461304E-2</v>
      </c>
      <c r="O51" s="820">
        <v>0.10585120732592893</v>
      </c>
      <c r="P51" s="815">
        <v>0.32045144507917772</v>
      </c>
      <c r="Q51" s="815">
        <v>7.0951967690461304E-2</v>
      </c>
      <c r="R51" s="816">
        <v>0.14601667767302398</v>
      </c>
    </row>
    <row r="52" spans="1:18" x14ac:dyDescent="0.45">
      <c r="A52" s="812" t="s">
        <v>2388</v>
      </c>
      <c r="B52" s="813">
        <v>0</v>
      </c>
      <c r="C52" s="814">
        <v>0</v>
      </c>
      <c r="D52" s="815">
        <v>0</v>
      </c>
      <c r="E52" s="816">
        <v>0.18733485918863765</v>
      </c>
      <c r="F52" s="817">
        <v>0</v>
      </c>
      <c r="G52" s="815">
        <v>0</v>
      </c>
      <c r="H52" s="815">
        <v>8.0883335706497081E-4</v>
      </c>
      <c r="I52" s="815">
        <v>0</v>
      </c>
      <c r="J52" s="815">
        <v>0</v>
      </c>
      <c r="K52" s="815">
        <v>0</v>
      </c>
      <c r="L52" s="815">
        <v>0</v>
      </c>
      <c r="M52" s="815">
        <v>0</v>
      </c>
      <c r="N52" s="818">
        <v>0</v>
      </c>
      <c r="O52" s="820">
        <v>0</v>
      </c>
      <c r="P52" s="815">
        <v>0</v>
      </c>
      <c r="Q52" s="815">
        <v>0</v>
      </c>
      <c r="R52" s="816">
        <v>0</v>
      </c>
    </row>
    <row r="53" spans="1:18" x14ac:dyDescent="0.45">
      <c r="A53" s="812" t="s">
        <v>2389</v>
      </c>
      <c r="B53" s="813">
        <v>0.15645390907777776</v>
      </c>
      <c r="C53" s="814">
        <v>0.12100303476197762</v>
      </c>
      <c r="D53" s="815">
        <v>0.15645390907777776</v>
      </c>
      <c r="E53" s="816">
        <v>3.4752092472699204E-2</v>
      </c>
      <c r="F53" s="817">
        <v>0.16245460076472457</v>
      </c>
      <c r="G53" s="815">
        <v>0</v>
      </c>
      <c r="H53" s="815">
        <v>7.4782313537730206E-5</v>
      </c>
      <c r="I53" s="815">
        <v>0.12327406994419765</v>
      </c>
      <c r="J53" s="815">
        <v>0.16245460076472457</v>
      </c>
      <c r="K53" s="815">
        <v>0.17516268838882154</v>
      </c>
      <c r="L53" s="815">
        <v>0.27363308305255679</v>
      </c>
      <c r="M53" s="815">
        <v>4.4079351868703633E-2</v>
      </c>
      <c r="N53" s="818">
        <v>0.16724251507143559</v>
      </c>
      <c r="O53" s="819">
        <v>0</v>
      </c>
      <c r="P53" s="815">
        <v>0.11921666625029631</v>
      </c>
      <c r="Q53" s="815">
        <v>0.16724251507143559</v>
      </c>
      <c r="R53" s="816">
        <v>4.4527328897357291E-2</v>
      </c>
    </row>
    <row r="54" spans="1:18" x14ac:dyDescent="0.45">
      <c r="A54" s="821" t="s">
        <v>2390</v>
      </c>
      <c r="B54" s="822">
        <v>109343.98298488421</v>
      </c>
      <c r="C54" s="823">
        <v>103798.45599631747</v>
      </c>
      <c r="D54" s="824">
        <v>109343.98298488421</v>
      </c>
      <c r="E54" s="825">
        <v>122983.21842648454</v>
      </c>
      <c r="F54" s="826">
        <v>103945.71469803539</v>
      </c>
      <c r="G54" s="824">
        <v>120934.499718886</v>
      </c>
      <c r="H54" s="824">
        <v>90043.963917356465</v>
      </c>
      <c r="I54" s="824">
        <v>101490.45222534277</v>
      </c>
      <c r="J54" s="824">
        <v>103945.71469803539</v>
      </c>
      <c r="K54" s="824">
        <v>107661.81801400363</v>
      </c>
      <c r="L54" s="824">
        <v>91853.807100415434</v>
      </c>
      <c r="M54" s="824">
        <v>123422.53028274633</v>
      </c>
      <c r="N54" s="827">
        <v>100407.08931709628</v>
      </c>
      <c r="O54" s="824">
        <v>107586.286178624</v>
      </c>
      <c r="P54" s="824">
        <v>98948.466283470421</v>
      </c>
      <c r="Q54" s="824">
        <v>100407.08931709628</v>
      </c>
      <c r="R54" s="825">
        <v>123910.65912493864</v>
      </c>
    </row>
    <row r="55" spans="1:18" x14ac:dyDescent="0.45">
      <c r="A55" s="812" t="s">
        <v>2391</v>
      </c>
      <c r="B55" s="828">
        <v>374.9030596593899</v>
      </c>
      <c r="C55" s="829">
        <v>425.59580870114519</v>
      </c>
      <c r="D55" s="830">
        <v>374.9030596593899</v>
      </c>
      <c r="E55" s="831">
        <v>1214.2939897348861</v>
      </c>
      <c r="F55" s="832">
        <v>350.79015554735923</v>
      </c>
      <c r="G55" s="830">
        <v>772.08857608505798</v>
      </c>
      <c r="H55" s="830">
        <v>164.67786730918746</v>
      </c>
      <c r="I55" s="830">
        <v>480.11917144849457</v>
      </c>
      <c r="J55" s="830">
        <v>350.79015554735923</v>
      </c>
      <c r="K55" s="830">
        <v>672.38943577391785</v>
      </c>
      <c r="L55" s="830">
        <v>455.75434104829412</v>
      </c>
      <c r="M55" s="830">
        <v>1376.7022003287398</v>
      </c>
      <c r="N55" s="833">
        <v>339.09942591077129</v>
      </c>
      <c r="O55" s="830">
        <v>950.22216141979698</v>
      </c>
      <c r="P55" s="830">
        <v>475.78687887998399</v>
      </c>
      <c r="Q55" s="830">
        <v>339.09942591077129</v>
      </c>
      <c r="R55" s="831">
        <v>1507.6475152414059</v>
      </c>
    </row>
    <row r="56" spans="1:18" x14ac:dyDescent="0.45">
      <c r="A56" s="834" t="s">
        <v>2392</v>
      </c>
      <c r="B56" s="835">
        <v>2082.6037200830197</v>
      </c>
      <c r="C56" s="836">
        <v>1707.4911797423918</v>
      </c>
      <c r="D56" s="837">
        <v>2082.6037200830197</v>
      </c>
      <c r="E56" s="838">
        <v>1713.3822731819246</v>
      </c>
      <c r="F56" s="839">
        <v>2025.0338225427654</v>
      </c>
      <c r="G56" s="837">
        <v>1698</v>
      </c>
      <c r="H56" s="837">
        <v>2018.6974968307622</v>
      </c>
      <c r="I56" s="837">
        <v>1720.1548919136853</v>
      </c>
      <c r="J56" s="837">
        <v>2025.0338225427654</v>
      </c>
      <c r="K56" s="837">
        <v>1650.248424330277</v>
      </c>
      <c r="L56" s="837">
        <v>1422.303171234689</v>
      </c>
      <c r="M56" s="837">
        <v>1733.6457744630804</v>
      </c>
      <c r="N56" s="840">
        <v>1944.1111502606254</v>
      </c>
      <c r="O56" s="837">
        <v>2016</v>
      </c>
      <c r="P56" s="837">
        <v>1665.1267357065267</v>
      </c>
      <c r="Q56" s="837">
        <v>1944.1111502606254</v>
      </c>
      <c r="R56" s="838">
        <v>1655.3392697684635</v>
      </c>
    </row>
    <row r="57" spans="1:18" x14ac:dyDescent="0.45">
      <c r="I57" s="7"/>
    </row>
    <row r="58" spans="1:18" x14ac:dyDescent="0.45">
      <c r="A58" s="726" t="s">
        <v>2393</v>
      </c>
    </row>
    <row r="59" spans="1:18" ht="40.5" customHeight="1" x14ac:dyDescent="0.45">
      <c r="A59" s="754"/>
      <c r="B59" s="841" t="s">
        <v>2394</v>
      </c>
      <c r="C59" s="841" t="s">
        <v>2395</v>
      </c>
      <c r="D59" s="841" t="s">
        <v>2396</v>
      </c>
      <c r="E59" s="841" t="s">
        <v>2397</v>
      </c>
      <c r="F59" s="841" t="s">
        <v>2398</v>
      </c>
      <c r="G59" s="841" t="s">
        <v>2399</v>
      </c>
      <c r="H59" s="841" t="s">
        <v>2400</v>
      </c>
      <c r="I59" s="841" t="s">
        <v>2401</v>
      </c>
      <c r="J59" s="841" t="s">
        <v>2402</v>
      </c>
      <c r="K59" s="841" t="s">
        <v>2403</v>
      </c>
      <c r="L59" s="841" t="s">
        <v>2404</v>
      </c>
      <c r="M59" s="841" t="s">
        <v>2405</v>
      </c>
      <c r="N59" s="842" t="s">
        <v>2406</v>
      </c>
    </row>
    <row r="60" spans="1:18" x14ac:dyDescent="0.45">
      <c r="A60" s="768" t="s">
        <v>2407</v>
      </c>
      <c r="B60" s="819">
        <v>1</v>
      </c>
      <c r="C60" s="819">
        <v>1</v>
      </c>
      <c r="D60" s="819">
        <v>1</v>
      </c>
      <c r="E60" s="819">
        <v>1</v>
      </c>
      <c r="F60" s="819">
        <v>1</v>
      </c>
      <c r="G60" s="819">
        <v>1</v>
      </c>
      <c r="H60" s="819">
        <v>1</v>
      </c>
      <c r="I60" s="819">
        <v>1</v>
      </c>
      <c r="J60" s="819">
        <v>1</v>
      </c>
      <c r="K60" s="819">
        <v>1</v>
      </c>
      <c r="L60" s="819"/>
      <c r="M60" s="819"/>
      <c r="N60" s="730"/>
    </row>
    <row r="61" spans="1:18" x14ac:dyDescent="0.45">
      <c r="A61" s="768" t="s">
        <v>2408</v>
      </c>
      <c r="B61" s="819"/>
      <c r="C61" s="819"/>
      <c r="D61" s="819"/>
      <c r="E61" s="819"/>
      <c r="F61" s="843">
        <v>0</v>
      </c>
      <c r="G61" s="843">
        <v>0</v>
      </c>
      <c r="H61" s="843">
        <v>0</v>
      </c>
      <c r="I61" s="843">
        <v>0</v>
      </c>
      <c r="J61" s="843">
        <v>0</v>
      </c>
      <c r="K61" s="843">
        <v>0</v>
      </c>
      <c r="L61" s="819"/>
      <c r="M61" s="819"/>
      <c r="N61" s="730"/>
    </row>
    <row r="62" spans="1:18" x14ac:dyDescent="0.45">
      <c r="A62" s="779" t="s">
        <v>2409</v>
      </c>
      <c r="B62" s="844">
        <v>0.25</v>
      </c>
      <c r="C62" s="844">
        <v>0</v>
      </c>
      <c r="D62" s="844">
        <v>0.25</v>
      </c>
      <c r="E62" s="844">
        <v>0.25</v>
      </c>
      <c r="F62" s="844">
        <v>0.33</v>
      </c>
      <c r="G62" s="844">
        <v>0.33</v>
      </c>
      <c r="H62" s="844">
        <v>0.33</v>
      </c>
      <c r="I62" s="844">
        <v>0.33</v>
      </c>
      <c r="J62" s="844">
        <v>0.33</v>
      </c>
      <c r="K62" s="844">
        <v>0.33</v>
      </c>
      <c r="L62" s="844"/>
      <c r="M62" s="844"/>
      <c r="N62" s="728"/>
    </row>
    <row r="63" spans="1:18" x14ac:dyDescent="0.45">
      <c r="A63" s="768" t="s">
        <v>2410</v>
      </c>
      <c r="B63" s="819">
        <v>0.5</v>
      </c>
      <c r="C63" s="819">
        <v>0</v>
      </c>
      <c r="D63" s="819">
        <v>0.5</v>
      </c>
      <c r="E63" s="819">
        <v>0.5</v>
      </c>
      <c r="F63" s="819">
        <v>0.33</v>
      </c>
      <c r="G63" s="819">
        <v>0.33</v>
      </c>
      <c r="H63" s="819">
        <v>0.33</v>
      </c>
      <c r="I63" s="819">
        <v>0.33</v>
      </c>
      <c r="J63" s="819">
        <v>0.33</v>
      </c>
      <c r="K63" s="819">
        <v>0.33</v>
      </c>
      <c r="L63" s="819"/>
      <c r="M63" s="819"/>
      <c r="N63" s="730"/>
    </row>
    <row r="64" spans="1:18" x14ac:dyDescent="0.45">
      <c r="A64" s="768" t="s">
        <v>2411</v>
      </c>
      <c r="B64" s="819">
        <v>0.25</v>
      </c>
      <c r="C64" s="819">
        <v>0</v>
      </c>
      <c r="D64" s="819">
        <v>0.25</v>
      </c>
      <c r="E64" s="819">
        <v>0.25</v>
      </c>
      <c r="F64" s="819">
        <v>0.33999999999999991</v>
      </c>
      <c r="G64" s="819">
        <v>0.33999999999999991</v>
      </c>
      <c r="H64" s="819">
        <v>0.33999999999999991</v>
      </c>
      <c r="I64" s="819">
        <v>0.33999999999999991</v>
      </c>
      <c r="J64" s="819">
        <v>0.33999999999999991</v>
      </c>
      <c r="K64" s="819">
        <v>0.33999999999999991</v>
      </c>
      <c r="L64" s="819"/>
      <c r="M64" s="819"/>
      <c r="N64" s="730"/>
    </row>
    <row r="65" spans="1:113" x14ac:dyDescent="0.45">
      <c r="A65" s="768" t="s">
        <v>2412</v>
      </c>
      <c r="B65" s="819">
        <v>0</v>
      </c>
      <c r="C65" s="819">
        <v>0</v>
      </c>
      <c r="D65" s="819">
        <v>0</v>
      </c>
      <c r="E65" s="819">
        <v>0</v>
      </c>
      <c r="F65" s="819"/>
      <c r="G65" s="819"/>
      <c r="H65" s="819"/>
      <c r="I65" s="819"/>
      <c r="J65" s="819"/>
      <c r="K65" s="819"/>
      <c r="L65" s="819"/>
      <c r="M65" s="819"/>
      <c r="N65" s="730"/>
    </row>
    <row r="66" spans="1:113" x14ac:dyDescent="0.45">
      <c r="A66" s="755" t="s">
        <v>2413</v>
      </c>
      <c r="B66" s="843"/>
      <c r="C66" s="843">
        <v>1</v>
      </c>
      <c r="D66" s="843"/>
      <c r="E66" s="843"/>
      <c r="F66" s="843"/>
      <c r="G66" s="843"/>
      <c r="H66" s="843"/>
      <c r="I66" s="843"/>
      <c r="J66" s="843"/>
      <c r="K66" s="843"/>
      <c r="L66" s="843"/>
      <c r="M66" s="843"/>
      <c r="N66" s="732"/>
    </row>
    <row r="67" spans="1:113" x14ac:dyDescent="0.45">
      <c r="A67" s="768" t="s">
        <v>2414</v>
      </c>
      <c r="B67" s="819">
        <v>0.5</v>
      </c>
      <c r="C67" s="819">
        <v>0</v>
      </c>
      <c r="D67" s="819">
        <v>0.5</v>
      </c>
      <c r="E67" s="819">
        <v>0.5</v>
      </c>
      <c r="F67" s="819"/>
      <c r="G67" s="819"/>
      <c r="H67" s="819"/>
      <c r="I67" s="819"/>
      <c r="J67" s="819"/>
      <c r="K67" s="819"/>
      <c r="L67" s="819"/>
      <c r="M67" s="819"/>
      <c r="N67" s="730"/>
    </row>
    <row r="68" spans="1:113" x14ac:dyDescent="0.45">
      <c r="A68" s="768" t="s">
        <v>2415</v>
      </c>
      <c r="B68" s="819">
        <v>0</v>
      </c>
      <c r="C68" s="819">
        <v>0</v>
      </c>
      <c r="D68" s="819">
        <v>0</v>
      </c>
      <c r="E68" s="819">
        <v>0</v>
      </c>
      <c r="F68" s="819">
        <v>0.25</v>
      </c>
      <c r="G68" s="819">
        <v>0.25</v>
      </c>
      <c r="H68" s="819">
        <v>0.25</v>
      </c>
      <c r="I68" s="819">
        <v>0.25</v>
      </c>
      <c r="J68" s="819">
        <v>0.25</v>
      </c>
      <c r="K68" s="819">
        <v>0.25</v>
      </c>
      <c r="L68" s="819"/>
      <c r="M68" s="819"/>
      <c r="N68" s="730"/>
    </row>
    <row r="69" spans="1:113" x14ac:dyDescent="0.45">
      <c r="A69" s="768" t="s">
        <v>2416</v>
      </c>
      <c r="B69" s="819">
        <v>0</v>
      </c>
      <c r="C69" s="819">
        <v>1</v>
      </c>
      <c r="D69" s="819">
        <v>0</v>
      </c>
      <c r="E69" s="819">
        <v>0</v>
      </c>
      <c r="F69" s="819">
        <v>0.6</v>
      </c>
      <c r="G69" s="819">
        <v>0.6</v>
      </c>
      <c r="H69" s="819">
        <v>0.6</v>
      </c>
      <c r="I69" s="819">
        <v>0.6</v>
      </c>
      <c r="J69" s="819">
        <v>0.6</v>
      </c>
      <c r="K69" s="819">
        <v>0.6</v>
      </c>
      <c r="L69" s="819">
        <v>1</v>
      </c>
      <c r="M69" s="819">
        <v>1</v>
      </c>
      <c r="N69" s="730">
        <v>1</v>
      </c>
    </row>
    <row r="70" spans="1:113" ht="12" customHeight="1" x14ac:dyDescent="0.45">
      <c r="A70" s="768" t="s">
        <v>1709</v>
      </c>
      <c r="B70" s="819">
        <v>0.5</v>
      </c>
      <c r="C70" s="819">
        <v>0</v>
      </c>
      <c r="D70" s="819">
        <v>0.5</v>
      </c>
      <c r="E70" s="819">
        <v>0.5</v>
      </c>
      <c r="F70" s="819">
        <v>0.15000000000000002</v>
      </c>
      <c r="G70" s="819">
        <v>0.15000000000000002</v>
      </c>
      <c r="H70" s="819">
        <v>0.15000000000000002</v>
      </c>
      <c r="I70" s="819">
        <v>0.15000000000000002</v>
      </c>
      <c r="J70" s="819">
        <v>0.15000000000000002</v>
      </c>
      <c r="K70" s="819">
        <v>0.15000000000000002</v>
      </c>
      <c r="L70" s="819"/>
      <c r="M70" s="819"/>
      <c r="N70" s="730"/>
    </row>
    <row r="71" spans="1:113" ht="12" customHeight="1" x14ac:dyDescent="0.45">
      <c r="A71" s="768" t="s">
        <v>2417</v>
      </c>
      <c r="B71" s="819">
        <v>0</v>
      </c>
      <c r="C71" s="819">
        <v>0</v>
      </c>
      <c r="D71" s="819">
        <v>0</v>
      </c>
      <c r="E71" s="819">
        <v>0</v>
      </c>
      <c r="F71" s="819"/>
      <c r="G71" s="819"/>
      <c r="H71" s="819"/>
      <c r="I71" s="819"/>
      <c r="J71" s="819"/>
      <c r="K71" s="819"/>
      <c r="L71" s="819"/>
      <c r="M71" s="819"/>
      <c r="N71" s="730"/>
    </row>
    <row r="72" spans="1:113" ht="11.25" customHeight="1" x14ac:dyDescent="0.45">
      <c r="A72" s="754" t="s">
        <v>1703</v>
      </c>
      <c r="B72" s="845"/>
      <c r="C72" s="845">
        <v>1</v>
      </c>
      <c r="D72" s="845"/>
      <c r="E72" s="845"/>
      <c r="F72" s="845">
        <v>1</v>
      </c>
      <c r="G72" s="845">
        <v>1</v>
      </c>
      <c r="H72" s="845">
        <v>1</v>
      </c>
      <c r="I72" s="845">
        <v>1</v>
      </c>
      <c r="J72" s="845">
        <v>1</v>
      </c>
      <c r="K72" s="845">
        <v>1</v>
      </c>
      <c r="L72" s="845"/>
      <c r="M72" s="845"/>
      <c r="N72" s="846"/>
    </row>
    <row r="73" spans="1:113" ht="11.25" customHeight="1" x14ac:dyDescent="0.45">
      <c r="A73" s="779" t="s">
        <v>1711</v>
      </c>
      <c r="B73" s="844"/>
      <c r="C73" s="844"/>
      <c r="D73" s="844"/>
      <c r="E73" s="844"/>
      <c r="F73" s="819">
        <v>1</v>
      </c>
      <c r="G73" s="819">
        <v>1</v>
      </c>
      <c r="H73" s="819">
        <v>1</v>
      </c>
      <c r="I73" s="819">
        <v>1</v>
      </c>
      <c r="J73" s="819">
        <v>1</v>
      </c>
      <c r="K73" s="819">
        <v>1</v>
      </c>
      <c r="L73" s="844"/>
      <c r="M73" s="844"/>
      <c r="N73" s="728"/>
    </row>
    <row r="74" spans="1:113" ht="11.25" customHeight="1" x14ac:dyDescent="0.45">
      <c r="A74" s="755" t="s">
        <v>2418</v>
      </c>
      <c r="B74" s="843"/>
      <c r="C74" s="843"/>
      <c r="D74" s="843"/>
      <c r="E74" s="843"/>
      <c r="F74" s="843">
        <v>0</v>
      </c>
      <c r="G74" s="843">
        <v>0</v>
      </c>
      <c r="H74" s="843">
        <v>0</v>
      </c>
      <c r="I74" s="843">
        <v>0</v>
      </c>
      <c r="J74" s="843">
        <v>0</v>
      </c>
      <c r="K74" s="843">
        <v>0</v>
      </c>
      <c r="L74" s="843"/>
      <c r="M74" s="843"/>
      <c r="N74" s="732"/>
    </row>
    <row r="75" spans="1:113" ht="11.25" customHeight="1" x14ac:dyDescent="0.45">
      <c r="A75" s="755" t="s">
        <v>2419</v>
      </c>
      <c r="B75" s="843"/>
      <c r="C75" s="843">
        <v>1</v>
      </c>
      <c r="D75" s="843"/>
      <c r="E75" s="843"/>
      <c r="F75" s="843">
        <v>1</v>
      </c>
      <c r="G75" s="843">
        <v>1</v>
      </c>
      <c r="H75" s="843">
        <v>1</v>
      </c>
      <c r="I75" s="843">
        <v>1</v>
      </c>
      <c r="J75" s="843">
        <v>1</v>
      </c>
      <c r="K75" s="843">
        <v>1</v>
      </c>
      <c r="L75" s="843"/>
      <c r="M75" s="843"/>
      <c r="N75" s="732"/>
    </row>
    <row r="76" spans="1:113" ht="11.25" customHeight="1" x14ac:dyDescent="0.45">
      <c r="A76" s="779" t="s">
        <v>1712</v>
      </c>
      <c r="B76" s="844">
        <v>1</v>
      </c>
      <c r="C76" s="844">
        <v>1</v>
      </c>
      <c r="D76" s="844">
        <v>1</v>
      </c>
      <c r="E76" s="844">
        <v>1</v>
      </c>
      <c r="F76" s="819"/>
      <c r="G76" s="819"/>
      <c r="H76" s="819"/>
      <c r="I76" s="819"/>
      <c r="J76" s="819"/>
      <c r="K76" s="819"/>
      <c r="L76" s="844"/>
      <c r="M76" s="844"/>
      <c r="N76" s="728"/>
    </row>
    <row r="77" spans="1:113" ht="11.25" customHeight="1" x14ac:dyDescent="0.45">
      <c r="A77" s="755" t="s">
        <v>2420</v>
      </c>
      <c r="B77" s="843">
        <v>0</v>
      </c>
      <c r="C77" s="843">
        <v>0</v>
      </c>
      <c r="D77" s="843">
        <v>0</v>
      </c>
      <c r="E77" s="843">
        <v>0</v>
      </c>
      <c r="F77" s="843"/>
      <c r="G77" s="843"/>
      <c r="H77" s="843"/>
      <c r="I77" s="843"/>
      <c r="J77" s="843"/>
      <c r="K77" s="843"/>
      <c r="L77" s="843"/>
      <c r="M77" s="843"/>
      <c r="N77" s="732"/>
    </row>
    <row r="78" spans="1:113" ht="11.25" customHeight="1" x14ac:dyDescent="0.45">
      <c r="G78" s="819"/>
      <c r="H78" s="819"/>
      <c r="I78" s="819"/>
      <c r="J78" s="819"/>
      <c r="K78" s="819"/>
      <c r="L78" s="819"/>
    </row>
    <row r="79" spans="1:113" x14ac:dyDescent="0.45">
      <c r="A79" s="726" t="s">
        <v>2421</v>
      </c>
    </row>
    <row r="80" spans="1:113" ht="12.75" customHeight="1" x14ac:dyDescent="0.45">
      <c r="A80" s="779"/>
      <c r="B80" s="2251" t="s">
        <v>2422</v>
      </c>
      <c r="C80" s="2252"/>
      <c r="D80" s="2252"/>
      <c r="E80" s="2253"/>
      <c r="F80" s="2251" t="s">
        <v>2423</v>
      </c>
      <c r="G80" s="2252"/>
      <c r="H80" s="2252"/>
      <c r="I80" s="2252"/>
      <c r="J80" s="2252"/>
      <c r="K80" s="2252"/>
      <c r="L80" s="2253"/>
      <c r="M80" s="2251" t="s">
        <v>2424</v>
      </c>
      <c r="N80" s="2252"/>
      <c r="O80" s="2252"/>
      <c r="P80" s="2252"/>
      <c r="Q80" s="2252"/>
      <c r="R80" s="2252"/>
      <c r="S80" s="2253"/>
      <c r="T80" s="2252" t="s">
        <v>2425</v>
      </c>
      <c r="U80" s="2252"/>
      <c r="V80" s="2252"/>
      <c r="W80" s="2252"/>
      <c r="X80" s="2252"/>
      <c r="Y80" s="2252"/>
      <c r="Z80" s="2253"/>
      <c r="AA80" s="2251" t="s">
        <v>2426</v>
      </c>
      <c r="AB80" s="2252"/>
      <c r="AC80" s="2252"/>
      <c r="AD80" s="2252"/>
      <c r="AE80" s="2252"/>
      <c r="AF80" s="2252"/>
      <c r="AG80" s="2253"/>
      <c r="AH80" s="2251" t="s">
        <v>2427</v>
      </c>
      <c r="AI80" s="2252"/>
      <c r="AJ80" s="2253"/>
      <c r="AK80" s="2251" t="s">
        <v>2428</v>
      </c>
      <c r="AL80" s="2252"/>
      <c r="AM80" s="2253"/>
      <c r="AN80" s="2251" t="s">
        <v>225</v>
      </c>
      <c r="AO80" s="2252"/>
      <c r="AP80" s="2252"/>
      <c r="AQ80" s="2252"/>
      <c r="AR80" s="2252"/>
      <c r="AS80" s="2252"/>
      <c r="AT80" s="2253"/>
      <c r="AU80" s="2251" t="s">
        <v>2336</v>
      </c>
      <c r="AV80" s="2252"/>
      <c r="AW80" s="2252"/>
      <c r="AX80" s="2252"/>
      <c r="AY80" s="2252"/>
      <c r="AZ80" s="2252"/>
      <c r="BA80" s="2253"/>
      <c r="BB80" s="2251" t="s">
        <v>2429</v>
      </c>
      <c r="BC80" s="2252"/>
      <c r="BD80" s="2252"/>
      <c r="BE80" s="2252"/>
      <c r="BF80" s="2253"/>
      <c r="BG80" s="2251" t="s">
        <v>2430</v>
      </c>
      <c r="BH80" s="2252"/>
      <c r="BI80" s="2252"/>
      <c r="BJ80" s="2252"/>
      <c r="BK80" s="2253"/>
      <c r="BL80" s="2251" t="s">
        <v>2431</v>
      </c>
      <c r="BM80" s="2252"/>
      <c r="BN80" s="2252"/>
      <c r="BO80" s="2252"/>
      <c r="BP80" s="2253"/>
      <c r="BQ80" s="2251" t="s">
        <v>2432</v>
      </c>
      <c r="BR80" s="2252"/>
      <c r="BS80" s="2252"/>
      <c r="BT80" s="2252"/>
      <c r="BU80" s="2253"/>
      <c r="BV80" s="2251" t="s">
        <v>2433</v>
      </c>
      <c r="BW80" s="2252"/>
      <c r="BX80" s="2252"/>
      <c r="BY80" s="2252"/>
      <c r="BZ80" s="2253"/>
      <c r="CA80" s="2251" t="s">
        <v>2434</v>
      </c>
      <c r="CB80" s="2252"/>
      <c r="CC80" s="2252"/>
      <c r="CD80" s="2252"/>
      <c r="CE80" s="2252"/>
      <c r="CF80" s="2252"/>
      <c r="CG80" s="2253"/>
      <c r="CH80" s="2251" t="s">
        <v>2435</v>
      </c>
      <c r="CI80" s="2252"/>
      <c r="CJ80" s="2252"/>
      <c r="CK80" s="2252"/>
      <c r="CL80" s="2253"/>
      <c r="CM80" s="2251" t="s">
        <v>2436</v>
      </c>
      <c r="CN80" s="2252"/>
      <c r="CO80" s="2252"/>
      <c r="CP80" s="2252"/>
      <c r="CQ80" s="2252"/>
      <c r="CR80" s="2253"/>
      <c r="CS80" s="2251" t="s">
        <v>2437</v>
      </c>
      <c r="CT80" s="2252"/>
      <c r="CU80" s="2252"/>
      <c r="CV80" s="2252"/>
      <c r="CW80" s="2252"/>
      <c r="CX80" s="2253"/>
      <c r="CY80" s="2251" t="s">
        <v>2438</v>
      </c>
      <c r="CZ80" s="2252"/>
      <c r="DA80" s="2252"/>
      <c r="DB80" s="2252"/>
      <c r="DC80" s="2252"/>
      <c r="DD80" s="2253"/>
      <c r="DE80" s="2251" t="s">
        <v>2439</v>
      </c>
      <c r="DF80" s="2252"/>
      <c r="DG80" s="2252"/>
      <c r="DH80" s="2252"/>
      <c r="DI80" s="2253"/>
    </row>
    <row r="81" spans="1:113" ht="156" customHeight="1" x14ac:dyDescent="0.45">
      <c r="A81" s="768"/>
      <c r="B81" s="847" t="s">
        <v>2440</v>
      </c>
      <c r="C81" s="848" t="s">
        <v>2441</v>
      </c>
      <c r="D81" s="848" t="s">
        <v>2442</v>
      </c>
      <c r="E81" s="849" t="s">
        <v>2443</v>
      </c>
      <c r="F81" s="847" t="s">
        <v>2444</v>
      </c>
      <c r="G81" s="848" t="s">
        <v>2445</v>
      </c>
      <c r="H81" s="848" t="s">
        <v>2446</v>
      </c>
      <c r="I81" s="848" t="s">
        <v>2447</v>
      </c>
      <c r="J81" s="848" t="s">
        <v>2448</v>
      </c>
      <c r="K81" s="848" t="s">
        <v>2441</v>
      </c>
      <c r="L81" s="849" t="s">
        <v>2443</v>
      </c>
      <c r="M81" s="847" t="s">
        <v>2449</v>
      </c>
      <c r="N81" s="848" t="s">
        <v>2445</v>
      </c>
      <c r="O81" s="848" t="s">
        <v>2446</v>
      </c>
      <c r="P81" s="848" t="s">
        <v>2447</v>
      </c>
      <c r="Q81" s="848" t="s">
        <v>2450</v>
      </c>
      <c r="R81" s="848" t="s">
        <v>2441</v>
      </c>
      <c r="S81" s="849" t="s">
        <v>2443</v>
      </c>
      <c r="T81" s="847" t="s">
        <v>2444</v>
      </c>
      <c r="U81" s="848" t="s">
        <v>2445</v>
      </c>
      <c r="V81" s="848" t="s">
        <v>2446</v>
      </c>
      <c r="W81" s="848" t="s">
        <v>2447</v>
      </c>
      <c r="X81" s="848" t="s">
        <v>2448</v>
      </c>
      <c r="Y81" s="848" t="s">
        <v>2441</v>
      </c>
      <c r="Z81" s="849" t="s">
        <v>2443</v>
      </c>
      <c r="AA81" s="847" t="s">
        <v>2449</v>
      </c>
      <c r="AB81" s="848" t="s">
        <v>2445</v>
      </c>
      <c r="AC81" s="848" t="s">
        <v>2446</v>
      </c>
      <c r="AD81" s="848" t="s">
        <v>2447</v>
      </c>
      <c r="AE81" s="848" t="s">
        <v>2450</v>
      </c>
      <c r="AF81" s="848" t="s">
        <v>2441</v>
      </c>
      <c r="AG81" s="849" t="s">
        <v>2443</v>
      </c>
      <c r="AH81" s="847" t="s">
        <v>2440</v>
      </c>
      <c r="AI81" s="848" t="s">
        <v>2441</v>
      </c>
      <c r="AJ81" s="849" t="s">
        <v>2443</v>
      </c>
      <c r="AK81" s="847" t="s">
        <v>2440</v>
      </c>
      <c r="AL81" s="848" t="s">
        <v>2441</v>
      </c>
      <c r="AM81" s="849" t="s">
        <v>2443</v>
      </c>
      <c r="AN81" s="847" t="s">
        <v>2451</v>
      </c>
      <c r="AO81" s="848" t="s">
        <v>2452</v>
      </c>
      <c r="AP81" s="848" t="s">
        <v>2453</v>
      </c>
      <c r="AQ81" s="848" t="s">
        <v>2454</v>
      </c>
      <c r="AR81" s="848" t="s">
        <v>2455</v>
      </c>
      <c r="AS81" s="848" t="s">
        <v>2456</v>
      </c>
      <c r="AT81" s="849" t="s">
        <v>2457</v>
      </c>
      <c r="AU81" s="848" t="s">
        <v>2458</v>
      </c>
      <c r="AV81" s="848" t="s">
        <v>2459</v>
      </c>
      <c r="AW81" s="848" t="s">
        <v>2460</v>
      </c>
      <c r="AX81" s="848" t="s">
        <v>2461</v>
      </c>
      <c r="AY81" s="848" t="s">
        <v>2462</v>
      </c>
      <c r="AZ81" s="848" t="s">
        <v>2463</v>
      </c>
      <c r="BA81" s="848" t="s">
        <v>2464</v>
      </c>
      <c r="BB81" s="847" t="s">
        <v>2465</v>
      </c>
      <c r="BC81" s="848" t="s">
        <v>2466</v>
      </c>
      <c r="BD81" s="848" t="s">
        <v>2467</v>
      </c>
      <c r="BE81" s="848" t="s">
        <v>2468</v>
      </c>
      <c r="BF81" s="849" t="s">
        <v>2469</v>
      </c>
      <c r="BG81" s="848" t="s">
        <v>2470</v>
      </c>
      <c r="BH81" s="848" t="s">
        <v>2471</v>
      </c>
      <c r="BI81" s="848" t="s">
        <v>2472</v>
      </c>
      <c r="BJ81" s="848" t="s">
        <v>2473</v>
      </c>
      <c r="BK81" s="848" t="s">
        <v>2474</v>
      </c>
      <c r="BL81" s="847" t="s">
        <v>2475</v>
      </c>
      <c r="BM81" s="848" t="s">
        <v>2476</v>
      </c>
      <c r="BN81" s="848" t="s">
        <v>2477</v>
      </c>
      <c r="BO81" s="848" t="s">
        <v>2478</v>
      </c>
      <c r="BP81" s="849" t="s">
        <v>2479</v>
      </c>
      <c r="BQ81" s="848" t="s">
        <v>2480</v>
      </c>
      <c r="BR81" s="848" t="s">
        <v>2481</v>
      </c>
      <c r="BS81" s="848" t="s">
        <v>2482</v>
      </c>
      <c r="BT81" s="848" t="s">
        <v>2483</v>
      </c>
      <c r="BU81" s="848" t="s">
        <v>2484</v>
      </c>
      <c r="BV81" s="847" t="s">
        <v>2485</v>
      </c>
      <c r="BW81" s="848" t="s">
        <v>2486</v>
      </c>
      <c r="BX81" s="848" t="s">
        <v>2487</v>
      </c>
      <c r="BY81" s="848" t="s">
        <v>2488</v>
      </c>
      <c r="BZ81" s="849" t="s">
        <v>2489</v>
      </c>
      <c r="CA81" s="847" t="s">
        <v>2490</v>
      </c>
      <c r="CB81" s="848" t="s">
        <v>2491</v>
      </c>
      <c r="CC81" s="848" t="s">
        <v>2492</v>
      </c>
      <c r="CD81" s="848" t="s">
        <v>2493</v>
      </c>
      <c r="CE81" s="848" t="s">
        <v>2494</v>
      </c>
      <c r="CF81" s="850" t="s">
        <v>2495</v>
      </c>
      <c r="CG81" s="851" t="s">
        <v>2496</v>
      </c>
      <c r="CH81" s="847" t="s">
        <v>2497</v>
      </c>
      <c r="CI81" s="848" t="s">
        <v>2498</v>
      </c>
      <c r="CJ81" s="848" t="s">
        <v>2499</v>
      </c>
      <c r="CK81" s="848" t="s">
        <v>2500</v>
      </c>
      <c r="CL81" s="849" t="s">
        <v>2501</v>
      </c>
      <c r="CM81" s="847" t="s">
        <v>2451</v>
      </c>
      <c r="CN81" s="848" t="s">
        <v>2452</v>
      </c>
      <c r="CO81" s="848" t="s">
        <v>2453</v>
      </c>
      <c r="CP81" s="848" t="s">
        <v>2502</v>
      </c>
      <c r="CQ81" s="848" t="s">
        <v>2456</v>
      </c>
      <c r="CR81" s="849" t="s">
        <v>2457</v>
      </c>
      <c r="CS81" s="847" t="s">
        <v>2451</v>
      </c>
      <c r="CT81" s="848" t="s">
        <v>2452</v>
      </c>
      <c r="CU81" s="848" t="s">
        <v>2453</v>
      </c>
      <c r="CV81" s="848" t="s">
        <v>2502</v>
      </c>
      <c r="CW81" s="848" t="s">
        <v>2456</v>
      </c>
      <c r="CX81" s="849" t="s">
        <v>2457</v>
      </c>
      <c r="CY81" s="847" t="s">
        <v>2451</v>
      </c>
      <c r="CZ81" s="848" t="s">
        <v>2452</v>
      </c>
      <c r="DA81" s="848" t="s">
        <v>2453</v>
      </c>
      <c r="DB81" s="848" t="s">
        <v>2502</v>
      </c>
      <c r="DC81" s="848" t="s">
        <v>2456</v>
      </c>
      <c r="DD81" s="849" t="s">
        <v>2457</v>
      </c>
      <c r="DE81" s="847" t="s">
        <v>2503</v>
      </c>
      <c r="DF81" s="848" t="s">
        <v>2504</v>
      </c>
      <c r="DG81" s="848" t="s">
        <v>2505</v>
      </c>
      <c r="DH81" s="848" t="s">
        <v>2506</v>
      </c>
      <c r="DI81" s="849" t="s">
        <v>2507</v>
      </c>
    </row>
    <row r="82" spans="1:113" x14ac:dyDescent="0.45">
      <c r="A82" s="795" t="s">
        <v>2383</v>
      </c>
      <c r="B82" s="852">
        <v>0.98</v>
      </c>
      <c r="C82" s="844"/>
      <c r="D82" s="844"/>
      <c r="E82" s="728"/>
      <c r="F82" s="852">
        <v>0.92615231871494519</v>
      </c>
      <c r="G82" s="844"/>
      <c r="H82" s="844"/>
      <c r="I82" s="844"/>
      <c r="J82" s="844"/>
      <c r="K82" s="844"/>
      <c r="L82" s="728"/>
      <c r="M82" s="853"/>
      <c r="N82" s="844"/>
      <c r="O82" s="844"/>
      <c r="P82" s="844"/>
      <c r="Q82" s="844"/>
      <c r="R82" s="844"/>
      <c r="S82" s="728"/>
      <c r="T82" s="852">
        <v>0.83127938053060568</v>
      </c>
      <c r="U82" s="844"/>
      <c r="V82" s="844"/>
      <c r="W82" s="844"/>
      <c r="X82" s="844"/>
      <c r="Y82" s="844"/>
      <c r="Z82" s="844"/>
      <c r="AA82" s="852">
        <v>0.74179243757445745</v>
      </c>
      <c r="AB82" s="844"/>
      <c r="AC82" s="844"/>
      <c r="AD82" s="844"/>
      <c r="AE82" s="844"/>
      <c r="AF82" s="844"/>
      <c r="AG82" s="728"/>
      <c r="AH82" s="852">
        <v>0.98831768764985406</v>
      </c>
      <c r="AI82" s="844"/>
      <c r="AJ82" s="728"/>
      <c r="AK82" s="852">
        <v>0.98544167402361904</v>
      </c>
      <c r="AL82" s="844"/>
      <c r="AM82" s="728"/>
      <c r="AN82" s="852">
        <v>0.88641901242369792</v>
      </c>
      <c r="AO82" s="844"/>
      <c r="AP82" s="853"/>
      <c r="AQ82" s="844"/>
      <c r="AR82" s="844"/>
      <c r="AS82" s="844"/>
      <c r="AT82" s="728"/>
      <c r="AU82" s="844">
        <v>0.88736014965924592</v>
      </c>
      <c r="AV82" s="844"/>
      <c r="AW82" s="853"/>
      <c r="AX82" s="853"/>
      <c r="AY82" s="844"/>
      <c r="AZ82" s="853"/>
      <c r="BA82" s="853"/>
      <c r="BB82" s="852">
        <v>0.90822383680470775</v>
      </c>
      <c r="BC82" s="844"/>
      <c r="BD82" s="853"/>
      <c r="BE82" s="844"/>
      <c r="BF82" s="728"/>
      <c r="BG82" s="844">
        <v>0.94822315752369846</v>
      </c>
      <c r="BH82" s="844"/>
      <c r="BI82" s="853"/>
      <c r="BJ82" s="844"/>
      <c r="BK82" s="844"/>
      <c r="BL82" s="852">
        <v>0.90912196086762498</v>
      </c>
      <c r="BM82" s="844"/>
      <c r="BN82" s="853"/>
      <c r="BO82" s="844"/>
      <c r="BP82" s="728"/>
      <c r="BQ82" s="844">
        <v>0.90912196086762498</v>
      </c>
      <c r="BR82" s="844"/>
      <c r="BS82" s="853"/>
      <c r="BT82" s="844"/>
      <c r="BU82" s="853"/>
      <c r="BV82" s="852">
        <v>0.85981560963666592</v>
      </c>
      <c r="BW82" s="844"/>
      <c r="BX82" s="853"/>
      <c r="BY82" s="844"/>
      <c r="BZ82" s="854"/>
      <c r="CA82" s="852">
        <v>0.93226151105131927</v>
      </c>
      <c r="CB82" s="844"/>
      <c r="CC82" s="853"/>
      <c r="CD82" s="853"/>
      <c r="CE82" s="853"/>
      <c r="CF82" s="853"/>
      <c r="CG82" s="854"/>
      <c r="CH82" s="852">
        <v>0.9260636219379248</v>
      </c>
      <c r="CI82" s="844"/>
      <c r="CJ82" s="853"/>
      <c r="CK82" s="853"/>
      <c r="CL82" s="854"/>
      <c r="CM82" s="852">
        <v>0.87434147948319318</v>
      </c>
      <c r="CN82" s="844"/>
      <c r="CO82" s="853"/>
      <c r="CP82" s="844"/>
      <c r="CQ82" s="844"/>
      <c r="CR82" s="728"/>
      <c r="CS82" s="852">
        <v>0.88383310468964127</v>
      </c>
      <c r="CT82" s="844"/>
      <c r="CU82" s="853"/>
      <c r="CV82" s="844"/>
      <c r="CW82" s="844"/>
      <c r="CX82" s="728"/>
      <c r="CY82" s="852">
        <v>0.88503451952473211</v>
      </c>
      <c r="CZ82" s="844"/>
      <c r="DA82" s="853"/>
      <c r="DB82" s="844"/>
      <c r="DC82" s="844"/>
      <c r="DD82" s="728"/>
      <c r="DE82" s="852">
        <v>0.90593085287999897</v>
      </c>
      <c r="DF82" s="844"/>
      <c r="DG82" s="853"/>
      <c r="DH82" s="844"/>
      <c r="DI82" s="728"/>
    </row>
    <row r="83" spans="1:113" x14ac:dyDescent="0.45">
      <c r="A83" s="855" t="s">
        <v>1671</v>
      </c>
      <c r="B83" s="856">
        <v>0.02</v>
      </c>
      <c r="C83" s="819">
        <v>0.38179999999999997</v>
      </c>
      <c r="D83" s="819">
        <v>0.5</v>
      </c>
      <c r="E83" s="730">
        <v>0.88179999999999992</v>
      </c>
      <c r="F83" s="856">
        <v>0.02</v>
      </c>
      <c r="G83" s="819"/>
      <c r="H83" s="819"/>
      <c r="I83" s="819"/>
      <c r="J83" s="819"/>
      <c r="K83" s="819">
        <v>0</v>
      </c>
      <c r="L83" s="730">
        <v>0.88179999999999992</v>
      </c>
      <c r="M83" s="856">
        <v>0.02</v>
      </c>
      <c r="N83" s="819"/>
      <c r="O83" s="819"/>
      <c r="P83" s="819"/>
      <c r="Q83" s="819"/>
      <c r="R83" s="819">
        <v>0.38179999999999997</v>
      </c>
      <c r="S83" s="730">
        <v>0.88179999999999992</v>
      </c>
      <c r="T83" s="819">
        <v>0.02</v>
      </c>
      <c r="U83" s="819"/>
      <c r="V83" s="819"/>
      <c r="W83" s="819"/>
      <c r="X83" s="819"/>
      <c r="Y83" s="819">
        <v>0.38179999999999997</v>
      </c>
      <c r="Z83" s="819">
        <v>0.88179999999999992</v>
      </c>
      <c r="AA83" s="856">
        <v>0.02</v>
      </c>
      <c r="AB83" s="819"/>
      <c r="AC83" s="819"/>
      <c r="AD83" s="819"/>
      <c r="AE83" s="819"/>
      <c r="AF83" s="819">
        <v>0.5</v>
      </c>
      <c r="AG83" s="730">
        <v>0.88179999999999992</v>
      </c>
      <c r="AH83" s="856">
        <v>0.02</v>
      </c>
      <c r="AI83" s="819">
        <v>0.38179999999999997</v>
      </c>
      <c r="AJ83" s="730">
        <v>0.88179999999999992</v>
      </c>
      <c r="AK83" s="856">
        <v>0.02</v>
      </c>
      <c r="AL83" s="819">
        <v>0.38179999999999997</v>
      </c>
      <c r="AM83" s="730">
        <v>0.88179999999999992</v>
      </c>
      <c r="AN83" s="856">
        <v>0.76359999999999995</v>
      </c>
      <c r="AO83" s="819"/>
      <c r="AP83" s="4"/>
      <c r="AQ83" s="819">
        <v>0.67</v>
      </c>
      <c r="AR83" s="819">
        <v>0.67</v>
      </c>
      <c r="AS83" s="819">
        <v>0.67</v>
      </c>
      <c r="AT83" s="730">
        <v>0.7</v>
      </c>
      <c r="AU83" s="819">
        <v>1</v>
      </c>
      <c r="AV83" s="819"/>
      <c r="AW83" s="4"/>
      <c r="AX83" s="819">
        <v>0.67</v>
      </c>
      <c r="AY83" s="819">
        <v>0.67</v>
      </c>
      <c r="AZ83" s="819">
        <v>0.67</v>
      </c>
      <c r="BA83" s="819">
        <v>0.7</v>
      </c>
      <c r="BB83" s="856">
        <v>0.76359999999999995</v>
      </c>
      <c r="BC83" s="819"/>
      <c r="BD83" s="4"/>
      <c r="BE83" s="819">
        <v>7.0000000000000007E-2</v>
      </c>
      <c r="BF83" s="730">
        <v>0.7</v>
      </c>
      <c r="BG83" s="819">
        <v>0.76359999999999995</v>
      </c>
      <c r="BH83" s="819"/>
      <c r="BI83" s="4"/>
      <c r="BJ83" s="819">
        <v>0.59</v>
      </c>
      <c r="BK83" s="819">
        <v>0.7</v>
      </c>
      <c r="BL83" s="856">
        <v>0.76359999999999995</v>
      </c>
      <c r="BM83" s="819"/>
      <c r="BN83" s="4"/>
      <c r="BO83" s="819">
        <v>0.67</v>
      </c>
      <c r="BP83" s="730">
        <v>0.7</v>
      </c>
      <c r="BQ83" s="819">
        <v>0.76359999999999995</v>
      </c>
      <c r="BR83" s="819"/>
      <c r="BS83" s="4"/>
      <c r="BT83" s="819">
        <v>0.67</v>
      </c>
      <c r="BU83" s="819">
        <v>0.7</v>
      </c>
      <c r="BV83" s="856">
        <v>1</v>
      </c>
      <c r="BW83" s="819"/>
      <c r="BX83" s="4"/>
      <c r="BY83" s="819">
        <v>0.67</v>
      </c>
      <c r="BZ83" s="730">
        <v>0.7</v>
      </c>
      <c r="CA83" s="856">
        <v>0.76359999999999995</v>
      </c>
      <c r="CB83" s="819"/>
      <c r="CC83" s="4"/>
      <c r="CD83" s="819">
        <v>0.67</v>
      </c>
      <c r="CE83" s="819">
        <v>0.67</v>
      </c>
      <c r="CF83" s="819">
        <v>0.67</v>
      </c>
      <c r="CG83" s="730">
        <v>0.67</v>
      </c>
      <c r="CH83" s="856">
        <v>0.76359999999999995</v>
      </c>
      <c r="CI83" s="819"/>
      <c r="CJ83" s="4"/>
      <c r="CK83" s="819">
        <v>0.67</v>
      </c>
      <c r="CL83" s="730">
        <v>0.7</v>
      </c>
      <c r="CM83" s="856">
        <v>0.76359999999999995</v>
      </c>
      <c r="CN83" s="819"/>
      <c r="CO83" s="4"/>
      <c r="CP83" s="819">
        <v>0.67</v>
      </c>
      <c r="CQ83" s="819">
        <v>0.67</v>
      </c>
      <c r="CR83" s="730">
        <v>0.7</v>
      </c>
      <c r="CS83" s="856">
        <v>0.76359999999999995</v>
      </c>
      <c r="CT83" s="819"/>
      <c r="CU83" s="4"/>
      <c r="CV83" s="819">
        <v>0.67</v>
      </c>
      <c r="CW83" s="819">
        <v>0.67</v>
      </c>
      <c r="CX83" s="730">
        <v>0.7</v>
      </c>
      <c r="CY83" s="856">
        <v>0.76359999999999995</v>
      </c>
      <c r="CZ83" s="819"/>
      <c r="DA83" s="4"/>
      <c r="DB83" s="819">
        <v>0.67</v>
      </c>
      <c r="DC83" s="819">
        <v>0.67</v>
      </c>
      <c r="DD83" s="730">
        <v>0.7</v>
      </c>
      <c r="DE83" s="856">
        <v>0.76359999999999995</v>
      </c>
      <c r="DF83" s="819"/>
      <c r="DG83" s="4"/>
      <c r="DH83" s="819">
        <v>0.67</v>
      </c>
      <c r="DI83" s="730">
        <v>0.67</v>
      </c>
    </row>
    <row r="84" spans="1:113" x14ac:dyDescent="0.45">
      <c r="A84" s="857" t="s">
        <v>2508</v>
      </c>
      <c r="B84" s="858"/>
      <c r="C84" s="859">
        <v>1.0000620635819033</v>
      </c>
      <c r="D84" s="859">
        <v>1.0000620635819033</v>
      </c>
      <c r="E84" s="860">
        <v>1</v>
      </c>
      <c r="F84" s="858"/>
      <c r="G84" s="859"/>
      <c r="H84" s="859"/>
      <c r="I84" s="859"/>
      <c r="J84" s="859"/>
      <c r="K84" s="859">
        <v>1.0000608740398345</v>
      </c>
      <c r="L84" s="860">
        <v>1</v>
      </c>
      <c r="M84" s="858"/>
      <c r="N84" s="859"/>
      <c r="O84" s="859"/>
      <c r="P84" s="859"/>
      <c r="Q84" s="859"/>
      <c r="R84" s="859">
        <v>1.0000634477208892</v>
      </c>
      <c r="S84" s="860">
        <v>1</v>
      </c>
      <c r="T84" s="859"/>
      <c r="U84" s="859"/>
      <c r="V84" s="859"/>
      <c r="W84" s="859"/>
      <c r="X84" s="859"/>
      <c r="Y84" s="859">
        <v>1.0000608740398345</v>
      </c>
      <c r="Z84" s="859">
        <v>1</v>
      </c>
      <c r="AA84" s="858"/>
      <c r="AB84" s="859"/>
      <c r="AC84" s="859"/>
      <c r="AD84" s="859"/>
      <c r="AE84" s="859"/>
      <c r="AF84" s="859">
        <v>1.0000634477208892</v>
      </c>
      <c r="AG84" s="860">
        <v>1</v>
      </c>
      <c r="AH84" s="858"/>
      <c r="AI84" s="859">
        <v>1.0000620635819033</v>
      </c>
      <c r="AJ84" s="860">
        <v>1</v>
      </c>
      <c r="AK84" s="858"/>
      <c r="AL84" s="859">
        <v>1.0000620635819033</v>
      </c>
      <c r="AM84" s="860">
        <v>1</v>
      </c>
      <c r="AN84" s="858">
        <v>0.86270000000000002</v>
      </c>
      <c r="AO84" s="859"/>
      <c r="AP84" s="859"/>
      <c r="AQ84" s="859">
        <v>1.0008132889003192</v>
      </c>
      <c r="AR84" s="859">
        <v>1</v>
      </c>
      <c r="AS84" s="859">
        <v>1</v>
      </c>
      <c r="AT84" s="860">
        <v>1</v>
      </c>
      <c r="AU84" s="858">
        <v>0.75009999999999999</v>
      </c>
      <c r="AV84" s="859"/>
      <c r="AW84" s="859"/>
      <c r="AX84" s="859">
        <v>1.0008132889003192</v>
      </c>
      <c r="AY84" s="859">
        <v>1</v>
      </c>
      <c r="AZ84" s="859">
        <v>1</v>
      </c>
      <c r="BA84" s="859">
        <v>1</v>
      </c>
      <c r="BB84" s="858">
        <v>0.88029999999999997</v>
      </c>
      <c r="BC84" s="859"/>
      <c r="BD84" s="859"/>
      <c r="BE84" s="859">
        <v>1.0000577907384296</v>
      </c>
      <c r="BF84" s="860">
        <v>1</v>
      </c>
      <c r="BG84" s="858">
        <v>0.99919999999999998</v>
      </c>
      <c r="BH84" s="859"/>
      <c r="BI84" s="859"/>
      <c r="BJ84" s="859">
        <v>1</v>
      </c>
      <c r="BK84" s="859">
        <v>1</v>
      </c>
      <c r="BL84" s="858">
        <v>1.0007999999999999</v>
      </c>
      <c r="BM84" s="859"/>
      <c r="BN84" s="859"/>
      <c r="BO84" s="859">
        <v>1.0000440875118408</v>
      </c>
      <c r="BP84" s="860">
        <v>1</v>
      </c>
      <c r="BQ84" s="858">
        <v>1.0007999999999999</v>
      </c>
      <c r="BR84" s="859"/>
      <c r="BS84" s="859"/>
      <c r="BT84" s="859">
        <v>1.0000439030849393</v>
      </c>
      <c r="BU84" s="859">
        <v>1</v>
      </c>
      <c r="BV84" s="858">
        <v>0.9781610608238982</v>
      </c>
      <c r="BW84" s="859"/>
      <c r="BX84" s="859"/>
      <c r="BY84" s="859">
        <v>1.0000439030849393</v>
      </c>
      <c r="BZ84" s="860">
        <v>1.0000439030849393</v>
      </c>
      <c r="CA84" s="858">
        <v>0.98899999999999999</v>
      </c>
      <c r="CB84" s="859"/>
      <c r="CC84" s="859"/>
      <c r="CD84" s="859">
        <v>1.0008411850928962</v>
      </c>
      <c r="CE84" s="859">
        <v>1</v>
      </c>
      <c r="CF84" s="859">
        <v>1.0008411850928962</v>
      </c>
      <c r="CG84" s="860">
        <v>1</v>
      </c>
      <c r="CH84" s="858">
        <v>1.0257000000000001</v>
      </c>
      <c r="CI84" s="859"/>
      <c r="CJ84" s="859"/>
      <c r="CK84" s="859">
        <v>1</v>
      </c>
      <c r="CL84" s="860">
        <v>1</v>
      </c>
      <c r="CM84" s="858">
        <v>0.91923342541379893</v>
      </c>
      <c r="CN84" s="859"/>
      <c r="CO84" s="859"/>
      <c r="CP84" s="859">
        <v>1.0008132889003192</v>
      </c>
      <c r="CQ84" s="859">
        <v>1</v>
      </c>
      <c r="CR84" s="860">
        <v>1</v>
      </c>
      <c r="CS84" s="858">
        <v>0.90731095516026927</v>
      </c>
      <c r="CT84" s="859"/>
      <c r="CU84" s="859"/>
      <c r="CV84" s="859">
        <v>1.0008132889003192</v>
      </c>
      <c r="CW84" s="859">
        <v>1</v>
      </c>
      <c r="CX84" s="860">
        <v>1</v>
      </c>
      <c r="CY84" s="858">
        <v>0.90755596401291672</v>
      </c>
      <c r="CZ84" s="859"/>
      <c r="DA84" s="859"/>
      <c r="DB84" s="859">
        <v>1.0008132889003192</v>
      </c>
      <c r="DC84" s="859">
        <v>1</v>
      </c>
      <c r="DD84" s="860">
        <v>1</v>
      </c>
      <c r="DE84" s="858">
        <v>0.98899999999999999</v>
      </c>
      <c r="DF84" s="859"/>
      <c r="DG84" s="859"/>
      <c r="DH84" s="859">
        <v>1.0008239904554463</v>
      </c>
      <c r="DI84" s="860">
        <v>1</v>
      </c>
    </row>
    <row r="85" spans="1:113" x14ac:dyDescent="0.45">
      <c r="A85" s="861" t="s">
        <v>1670</v>
      </c>
      <c r="B85" s="779"/>
      <c r="C85" s="785"/>
      <c r="D85" s="785"/>
      <c r="E85" s="786"/>
      <c r="F85" s="779"/>
      <c r="G85" s="785"/>
      <c r="H85" s="785"/>
      <c r="I85" s="785"/>
      <c r="J85" s="785"/>
      <c r="K85" s="785"/>
      <c r="L85" s="786"/>
      <c r="T85" s="779"/>
      <c r="U85" s="785"/>
      <c r="V85" s="785"/>
      <c r="W85" s="785"/>
      <c r="X85" s="785"/>
      <c r="Y85" s="785"/>
      <c r="Z85" s="786"/>
      <c r="AH85" s="779"/>
      <c r="AI85" s="785"/>
      <c r="AJ85" s="786"/>
      <c r="AK85" s="779"/>
      <c r="AL85" s="785"/>
      <c r="AM85" s="786"/>
      <c r="AN85" s="779"/>
      <c r="AO85" s="785"/>
      <c r="AP85" s="785"/>
      <c r="AQ85" s="785"/>
      <c r="AR85" s="785"/>
      <c r="AS85" s="785"/>
      <c r="AT85" s="786"/>
      <c r="AU85" s="779"/>
      <c r="AV85" s="785"/>
      <c r="AW85" s="785"/>
      <c r="AX85" s="785"/>
      <c r="AZ85" s="785"/>
      <c r="BA85" s="786"/>
      <c r="BB85" s="779"/>
      <c r="BC85" s="785"/>
      <c r="BD85" s="785"/>
      <c r="BE85" s="785"/>
      <c r="BF85" s="786"/>
      <c r="BG85" s="779"/>
      <c r="BH85" s="785"/>
      <c r="BI85" s="785"/>
      <c r="BJ85" s="785"/>
      <c r="BK85" s="786"/>
      <c r="BL85" s="779"/>
      <c r="BM85" s="785"/>
      <c r="BN85" s="785"/>
      <c r="BO85" s="785"/>
      <c r="BP85" s="786"/>
      <c r="BQ85" s="779"/>
      <c r="BR85" s="785"/>
      <c r="BS85" s="785"/>
      <c r="BT85" s="785"/>
      <c r="BU85" s="786"/>
      <c r="BV85" s="779"/>
      <c r="BW85" s="785"/>
      <c r="BX85" s="785"/>
      <c r="BY85" s="785"/>
      <c r="BZ85" s="786"/>
      <c r="CA85" s="779"/>
      <c r="CB85" s="785"/>
      <c r="CC85" s="785"/>
      <c r="CD85" s="785"/>
      <c r="CE85" s="785"/>
      <c r="CF85" s="785"/>
      <c r="CG85" s="786"/>
      <c r="CH85" s="768"/>
      <c r="CL85" s="786"/>
      <c r="CM85" s="779"/>
      <c r="CN85" s="785"/>
      <c r="CO85" s="785"/>
      <c r="CP85" s="785"/>
      <c r="CQ85" s="785"/>
      <c r="CR85" s="786"/>
      <c r="CS85" s="779"/>
      <c r="CT85" s="785"/>
      <c r="CU85" s="785"/>
      <c r="CV85" s="785"/>
      <c r="CW85" s="785"/>
      <c r="CX85" s="786"/>
      <c r="CY85" s="779"/>
      <c r="CZ85" s="785"/>
      <c r="DA85" s="785"/>
      <c r="DB85" s="785"/>
      <c r="DC85" s="785"/>
      <c r="DD85" s="786"/>
      <c r="DE85" s="779"/>
      <c r="DF85" s="785"/>
      <c r="DG85" s="785"/>
      <c r="DH85" s="785"/>
      <c r="DI85" s="786"/>
    </row>
    <row r="86" spans="1:113" x14ac:dyDescent="0.45">
      <c r="A86" s="862" t="s">
        <v>2509</v>
      </c>
      <c r="B86" s="863"/>
      <c r="C86" s="13"/>
      <c r="D86" s="13"/>
      <c r="E86" s="773"/>
      <c r="F86" s="863"/>
      <c r="G86" s="13"/>
      <c r="H86" s="13"/>
      <c r="I86" s="13"/>
      <c r="J86" s="13"/>
      <c r="K86" s="13"/>
      <c r="L86" s="773"/>
      <c r="M86" s="13"/>
      <c r="N86" s="13"/>
      <c r="O86" s="13"/>
      <c r="P86" s="13"/>
      <c r="Q86" s="13"/>
      <c r="R86" s="13"/>
      <c r="S86" s="13"/>
      <c r="T86" s="863"/>
      <c r="U86" s="13"/>
      <c r="V86" s="13"/>
      <c r="W86" s="13"/>
      <c r="X86" s="13"/>
      <c r="Y86" s="13"/>
      <c r="Z86" s="773"/>
      <c r="AA86" s="13"/>
      <c r="AB86" s="13"/>
      <c r="AC86" s="13"/>
      <c r="AD86" s="13"/>
      <c r="AE86" s="13"/>
      <c r="AF86" s="13"/>
      <c r="AG86" s="13"/>
      <c r="AH86" s="863"/>
      <c r="AI86" s="13"/>
      <c r="AJ86" s="773"/>
      <c r="AK86" s="863"/>
      <c r="AL86" s="13"/>
      <c r="AM86" s="773"/>
      <c r="AN86" s="863">
        <v>0.86270000000000002</v>
      </c>
      <c r="AO86" s="13"/>
      <c r="AP86" s="13"/>
      <c r="AQ86" s="13"/>
      <c r="AR86" s="13"/>
      <c r="AS86" s="13"/>
      <c r="AT86" s="773"/>
      <c r="AU86" s="863">
        <v>0.75009999999999999</v>
      </c>
      <c r="AV86" s="13"/>
      <c r="AW86" s="13"/>
      <c r="AX86" s="13"/>
      <c r="AZ86" s="13"/>
      <c r="BA86" s="773"/>
      <c r="BB86" s="863">
        <v>0.88029999999999997</v>
      </c>
      <c r="BC86" s="13"/>
      <c r="BD86" s="13"/>
      <c r="BE86" s="13"/>
      <c r="BF86" s="773"/>
      <c r="BG86" s="863">
        <v>0.99919999999999998</v>
      </c>
      <c r="BH86" s="13"/>
      <c r="BI86" s="13"/>
      <c r="BJ86" s="13"/>
      <c r="BK86" s="773"/>
      <c r="BL86" s="863">
        <v>1.0007999999999999</v>
      </c>
      <c r="BM86" s="13"/>
      <c r="BN86" s="13"/>
      <c r="BO86" s="13"/>
      <c r="BP86" s="773"/>
      <c r="BQ86" s="863">
        <v>1.0007999999999999</v>
      </c>
      <c r="BR86" s="13"/>
      <c r="BS86" s="13"/>
      <c r="BT86" s="13"/>
      <c r="BU86" s="773"/>
      <c r="BV86" s="863">
        <v>0.9781610608238982</v>
      </c>
      <c r="BW86" s="13"/>
      <c r="BX86" s="13"/>
      <c r="BY86" s="13"/>
      <c r="BZ86" s="773"/>
      <c r="CA86" s="863">
        <v>0.98899999999999999</v>
      </c>
      <c r="CB86" s="13"/>
      <c r="CC86" s="13"/>
      <c r="CD86" s="13"/>
      <c r="CE86" s="13"/>
      <c r="CF86" s="13"/>
      <c r="CG86" s="773"/>
      <c r="CH86" s="863">
        <v>1.0257000000000001</v>
      </c>
      <c r="CI86" s="13"/>
      <c r="CJ86" s="13"/>
      <c r="CK86" s="13"/>
      <c r="CL86" s="773"/>
      <c r="CM86" s="863">
        <v>0.91923342541379893</v>
      </c>
      <c r="CN86" s="13"/>
      <c r="CO86" s="13"/>
      <c r="CP86" s="13"/>
      <c r="CQ86" s="13"/>
      <c r="CR86" s="773"/>
      <c r="CS86" s="863">
        <v>0.90731095516026927</v>
      </c>
      <c r="CT86" s="13"/>
      <c r="CU86" s="13"/>
      <c r="CV86" s="13"/>
      <c r="CW86" s="13"/>
      <c r="CX86" s="773"/>
      <c r="CY86" s="863">
        <v>0.90755596401291672</v>
      </c>
      <c r="CZ86" s="13"/>
      <c r="DA86" s="13"/>
      <c r="DB86" s="13"/>
      <c r="DC86" s="13"/>
      <c r="DD86" s="773"/>
      <c r="DE86" s="863">
        <v>0.98899999999999999</v>
      </c>
      <c r="DF86" s="13"/>
      <c r="DG86" s="13"/>
      <c r="DH86" s="13"/>
      <c r="DI86" s="773"/>
    </row>
    <row r="87" spans="1:113" x14ac:dyDescent="0.45">
      <c r="A87" s="744" t="s">
        <v>2510</v>
      </c>
      <c r="B87" s="864">
        <v>9.9860830307020275E-3</v>
      </c>
      <c r="C87" s="820"/>
      <c r="D87" s="820"/>
      <c r="E87" s="865"/>
      <c r="F87" s="856">
        <v>0.2684358382662787</v>
      </c>
      <c r="G87" s="819"/>
      <c r="H87" s="819"/>
      <c r="I87" s="819"/>
      <c r="J87" s="819"/>
      <c r="K87" s="819"/>
      <c r="L87" s="730"/>
      <c r="M87" s="856">
        <v>7.4377971178017643E-2</v>
      </c>
      <c r="N87" s="819"/>
      <c r="O87" s="819"/>
      <c r="P87" s="819"/>
      <c r="Q87" s="819"/>
      <c r="R87" s="819"/>
      <c r="S87" s="819"/>
      <c r="T87" s="856">
        <v>0</v>
      </c>
      <c r="U87" s="819"/>
      <c r="V87" s="819"/>
      <c r="W87" s="819"/>
      <c r="X87" s="819"/>
      <c r="Y87" s="819"/>
      <c r="Z87" s="730"/>
      <c r="AA87" s="856">
        <v>0</v>
      </c>
      <c r="AB87" s="819"/>
      <c r="AC87" s="819"/>
      <c r="AD87" s="819"/>
      <c r="AE87" s="819"/>
      <c r="AF87" s="819"/>
      <c r="AG87" s="819"/>
      <c r="AH87" s="856">
        <v>0</v>
      </c>
      <c r="AI87" s="820"/>
      <c r="AJ87" s="865"/>
      <c r="AK87" s="856">
        <v>0</v>
      </c>
      <c r="AL87" s="820"/>
      <c r="AM87" s="865"/>
      <c r="AN87" s="856">
        <v>0</v>
      </c>
      <c r="AO87" s="819"/>
      <c r="AP87" s="819"/>
      <c r="AQ87" s="819"/>
      <c r="AR87" s="819"/>
      <c r="AS87" s="819"/>
      <c r="AT87" s="730"/>
      <c r="AU87" s="856">
        <v>0</v>
      </c>
      <c r="AV87" s="819"/>
      <c r="AW87" s="819"/>
      <c r="AX87" s="819"/>
      <c r="AZ87" s="819"/>
      <c r="BA87" s="730"/>
      <c r="BB87" s="856">
        <v>0</v>
      </c>
      <c r="BC87" s="819"/>
      <c r="BD87" s="819"/>
      <c r="BE87" s="819"/>
      <c r="BF87" s="730"/>
      <c r="BG87" s="856">
        <v>0</v>
      </c>
      <c r="BH87" s="819"/>
      <c r="BI87" s="819"/>
      <c r="BJ87" s="819"/>
      <c r="BK87" s="730"/>
      <c r="BL87" s="856">
        <v>0</v>
      </c>
      <c r="BM87" s="819"/>
      <c r="BN87" s="819"/>
      <c r="BO87" s="819"/>
      <c r="BP87" s="730"/>
      <c r="BQ87" s="856">
        <v>0</v>
      </c>
      <c r="BR87" s="819"/>
      <c r="BS87" s="819"/>
      <c r="BT87" s="819"/>
      <c r="BU87" s="730"/>
      <c r="BV87" s="856"/>
      <c r="BW87" s="819"/>
      <c r="BX87" s="819"/>
      <c r="BY87" s="819"/>
      <c r="BZ87" s="730"/>
      <c r="CA87" s="856">
        <v>0</v>
      </c>
      <c r="CB87" s="819"/>
      <c r="CC87" s="819"/>
      <c r="CD87" s="819"/>
      <c r="CE87" s="4"/>
      <c r="CF87" s="819"/>
      <c r="CG87" s="781"/>
      <c r="CH87" s="856">
        <v>0</v>
      </c>
      <c r="CI87" s="819"/>
      <c r="CJ87" s="819"/>
      <c r="CK87" s="819"/>
      <c r="CL87" s="730"/>
      <c r="CM87" s="856"/>
      <c r="CN87" s="819"/>
      <c r="CO87" s="819"/>
      <c r="CP87" s="819"/>
      <c r="CQ87" s="819"/>
      <c r="CR87" s="730"/>
      <c r="CS87" s="856"/>
      <c r="CT87" s="819"/>
      <c r="CU87" s="819"/>
      <c r="CV87" s="819"/>
      <c r="CW87" s="819"/>
      <c r="CX87" s="730"/>
      <c r="CY87" s="856"/>
      <c r="CZ87" s="819"/>
      <c r="DA87" s="819"/>
      <c r="DB87" s="819"/>
      <c r="DC87" s="819"/>
      <c r="DD87" s="730"/>
      <c r="DE87" s="856"/>
      <c r="DF87" s="819"/>
      <c r="DG87" s="819"/>
      <c r="DH87" s="819"/>
      <c r="DI87" s="730"/>
    </row>
    <row r="88" spans="1:113" x14ac:dyDescent="0.45">
      <c r="A88" s="744" t="s">
        <v>2385</v>
      </c>
      <c r="B88" s="864">
        <v>9.9860830307020275E-3</v>
      </c>
      <c r="C88" s="820"/>
      <c r="D88" s="820"/>
      <c r="E88" s="865"/>
      <c r="F88" s="856">
        <v>0</v>
      </c>
      <c r="G88" s="819"/>
      <c r="H88" s="819"/>
      <c r="I88" s="819"/>
      <c r="J88" s="819"/>
      <c r="K88" s="819"/>
      <c r="L88" s="730"/>
      <c r="M88" s="856">
        <v>0</v>
      </c>
      <c r="N88" s="819"/>
      <c r="O88" s="819"/>
      <c r="P88" s="819"/>
      <c r="Q88" s="819"/>
      <c r="R88" s="819"/>
      <c r="S88" s="819"/>
      <c r="T88" s="856">
        <v>0</v>
      </c>
      <c r="U88" s="819"/>
      <c r="V88" s="819"/>
      <c r="W88" s="819"/>
      <c r="X88" s="819"/>
      <c r="Y88" s="819"/>
      <c r="Z88" s="730"/>
      <c r="AA88" s="856">
        <v>0</v>
      </c>
      <c r="AB88" s="819"/>
      <c r="AC88" s="819"/>
      <c r="AD88" s="819"/>
      <c r="AE88" s="819"/>
      <c r="AF88" s="819"/>
      <c r="AG88" s="819"/>
      <c r="AH88" s="856">
        <v>0</v>
      </c>
      <c r="AI88" s="820"/>
      <c r="AJ88" s="865"/>
      <c r="AK88" s="856">
        <v>0</v>
      </c>
      <c r="AL88" s="820"/>
      <c r="AM88" s="865"/>
      <c r="AN88" s="856">
        <v>0.34950000000000003</v>
      </c>
      <c r="AO88" s="819"/>
      <c r="AP88" s="819"/>
      <c r="AQ88" s="819"/>
      <c r="AR88" s="819"/>
      <c r="AS88" s="819"/>
      <c r="AT88" s="730"/>
      <c r="AU88" s="856">
        <v>0.3659</v>
      </c>
      <c r="AV88" s="819"/>
      <c r="AW88" s="819"/>
      <c r="AX88" s="819"/>
      <c r="AZ88" s="819"/>
      <c r="BA88" s="730"/>
      <c r="BB88" s="856">
        <v>0.47850000000000004</v>
      </c>
      <c r="BC88" s="819"/>
      <c r="BD88" s="819"/>
      <c r="BE88" s="819"/>
      <c r="BF88" s="730"/>
      <c r="BG88" s="856">
        <v>0.48709999999999998</v>
      </c>
      <c r="BH88" s="819"/>
      <c r="BI88" s="819"/>
      <c r="BJ88" s="819"/>
      <c r="BK88" s="730"/>
      <c r="BL88" s="856">
        <v>0.31320000000000003</v>
      </c>
      <c r="BM88" s="819"/>
      <c r="BN88" s="819"/>
      <c r="BO88" s="819"/>
      <c r="BP88" s="730"/>
      <c r="BQ88" s="856">
        <v>0.31320000000000003</v>
      </c>
      <c r="BR88" s="819"/>
      <c r="BS88" s="819"/>
      <c r="BT88" s="819"/>
      <c r="BU88" s="730"/>
      <c r="BV88" s="856">
        <v>0.20770264845514541</v>
      </c>
      <c r="BW88" s="819"/>
      <c r="BX88" s="819"/>
      <c r="BY88" s="819"/>
      <c r="BZ88" s="730"/>
      <c r="CA88" s="856">
        <v>0.30619999999999992</v>
      </c>
      <c r="CB88" s="819"/>
      <c r="CC88" s="819"/>
      <c r="CD88" s="819"/>
      <c r="CE88" s="4"/>
      <c r="CF88" s="819"/>
      <c r="CG88" s="781"/>
      <c r="CH88" s="856">
        <v>0.2762</v>
      </c>
      <c r="CI88" s="819"/>
      <c r="CJ88" s="819"/>
      <c r="CK88" s="819"/>
      <c r="CL88" s="730"/>
      <c r="CM88" s="856">
        <v>0.40386252332541045</v>
      </c>
      <c r="CN88" s="819"/>
      <c r="CO88" s="819"/>
      <c r="CP88" s="819"/>
      <c r="CQ88" s="819"/>
      <c r="CR88" s="730"/>
      <c r="CS88" s="856">
        <v>0.40338628656522285</v>
      </c>
      <c r="CT88" s="819"/>
      <c r="CU88" s="819"/>
      <c r="CV88" s="819"/>
      <c r="CW88" s="819"/>
      <c r="CX88" s="730"/>
      <c r="CY88" s="856">
        <v>0.39043720792878006</v>
      </c>
      <c r="CZ88" s="819"/>
      <c r="DA88" s="819"/>
      <c r="DB88" s="819"/>
      <c r="DC88" s="819"/>
      <c r="DD88" s="730"/>
      <c r="DE88" s="856">
        <v>0.30619999999999992</v>
      </c>
      <c r="DF88" s="819"/>
      <c r="DG88" s="819"/>
      <c r="DH88" s="819"/>
      <c r="DI88" s="730"/>
    </row>
    <row r="89" spans="1:113" x14ac:dyDescent="0.45">
      <c r="A89" s="744" t="s">
        <v>2511</v>
      </c>
      <c r="B89" s="864">
        <v>0.14979124546053041</v>
      </c>
      <c r="C89" s="820"/>
      <c r="D89" s="820"/>
      <c r="E89" s="865"/>
      <c r="F89" s="856">
        <v>0</v>
      </c>
      <c r="G89" s="819"/>
      <c r="H89" s="819"/>
      <c r="I89" s="819"/>
      <c r="J89" s="819"/>
      <c r="K89" s="819"/>
      <c r="L89" s="730"/>
      <c r="M89" s="856">
        <v>0</v>
      </c>
      <c r="N89" s="819"/>
      <c r="O89" s="819"/>
      <c r="P89" s="819"/>
      <c r="Q89" s="819"/>
      <c r="R89" s="819"/>
      <c r="S89" s="819"/>
      <c r="T89" s="856">
        <v>0</v>
      </c>
      <c r="U89" s="819"/>
      <c r="V89" s="819"/>
      <c r="W89" s="819"/>
      <c r="X89" s="819"/>
      <c r="Y89" s="819"/>
      <c r="Z89" s="730"/>
      <c r="AA89" s="856">
        <v>0</v>
      </c>
      <c r="AB89" s="819"/>
      <c r="AC89" s="819"/>
      <c r="AD89" s="819"/>
      <c r="AE89" s="819"/>
      <c r="AF89" s="819"/>
      <c r="AG89" s="819"/>
      <c r="AH89" s="856">
        <v>0.11065613524961559</v>
      </c>
      <c r="AI89" s="820"/>
      <c r="AJ89" s="865"/>
      <c r="AK89" s="856">
        <v>8.2569103978306427E-2</v>
      </c>
      <c r="AL89" s="820"/>
      <c r="AM89" s="865"/>
      <c r="AN89" s="856">
        <v>0</v>
      </c>
      <c r="AO89" s="819"/>
      <c r="AP89" s="819"/>
      <c r="AQ89" s="819"/>
      <c r="AR89" s="819"/>
      <c r="AS89" s="819"/>
      <c r="AT89" s="730"/>
      <c r="AU89" s="856">
        <v>0</v>
      </c>
      <c r="AV89" s="819"/>
      <c r="AW89" s="819"/>
      <c r="AX89" s="819"/>
      <c r="AZ89" s="819"/>
      <c r="BA89" s="730"/>
      <c r="BB89" s="856">
        <v>0</v>
      </c>
      <c r="BC89" s="819"/>
      <c r="BD89" s="819"/>
      <c r="BE89" s="819"/>
      <c r="BF89" s="730"/>
      <c r="BG89" s="856">
        <v>0</v>
      </c>
      <c r="BH89" s="819"/>
      <c r="BI89" s="819"/>
      <c r="BJ89" s="819"/>
      <c r="BK89" s="730"/>
      <c r="BL89" s="856">
        <v>0</v>
      </c>
      <c r="BM89" s="819"/>
      <c r="BN89" s="819"/>
      <c r="BO89" s="819"/>
      <c r="BP89" s="730"/>
      <c r="BQ89" s="856">
        <v>0</v>
      </c>
      <c r="BR89" s="819"/>
      <c r="BS89" s="819"/>
      <c r="BT89" s="819"/>
      <c r="BU89" s="730"/>
      <c r="BV89" s="856"/>
      <c r="BW89" s="819"/>
      <c r="BX89" s="819"/>
      <c r="BY89" s="819"/>
      <c r="BZ89" s="730"/>
      <c r="CA89" s="856">
        <v>0</v>
      </c>
      <c r="CB89" s="819"/>
      <c r="CC89" s="819"/>
      <c r="CD89" s="819"/>
      <c r="CE89" s="4"/>
      <c r="CF89" s="819"/>
      <c r="CG89" s="781"/>
      <c r="CH89" s="856">
        <v>0</v>
      </c>
      <c r="CI89" s="819"/>
      <c r="CJ89" s="819"/>
      <c r="CK89" s="819"/>
      <c r="CL89" s="730"/>
      <c r="CM89" s="856"/>
      <c r="CN89" s="819"/>
      <c r="CO89" s="819"/>
      <c r="CP89" s="819"/>
      <c r="CQ89" s="819"/>
      <c r="CR89" s="730"/>
      <c r="CS89" s="856"/>
      <c r="CT89" s="819"/>
      <c r="CU89" s="819"/>
      <c r="CV89" s="819"/>
      <c r="CW89" s="819"/>
      <c r="CX89" s="730"/>
      <c r="CY89" s="856"/>
      <c r="CZ89" s="819"/>
      <c r="DA89" s="819"/>
      <c r="DB89" s="819"/>
      <c r="DC89" s="819"/>
      <c r="DD89" s="730"/>
      <c r="DE89" s="856"/>
      <c r="DF89" s="819"/>
      <c r="DG89" s="819"/>
      <c r="DH89" s="819"/>
      <c r="DI89" s="730"/>
    </row>
    <row r="90" spans="1:113" x14ac:dyDescent="0.45">
      <c r="A90" s="744" t="s">
        <v>1666</v>
      </c>
      <c r="B90" s="864">
        <v>1.9972166061404055E-2</v>
      </c>
      <c r="C90" s="820"/>
      <c r="D90" s="820"/>
      <c r="E90" s="865"/>
      <c r="F90" s="856">
        <v>0</v>
      </c>
      <c r="G90" s="819"/>
      <c r="H90" s="819"/>
      <c r="I90" s="819"/>
      <c r="J90" s="819"/>
      <c r="K90" s="819"/>
      <c r="L90" s="730"/>
      <c r="M90" s="856">
        <v>0</v>
      </c>
      <c r="N90" s="819"/>
      <c r="O90" s="819"/>
      <c r="P90" s="819"/>
      <c r="Q90" s="819"/>
      <c r="R90" s="819"/>
      <c r="S90" s="819"/>
      <c r="T90" s="856">
        <v>0</v>
      </c>
      <c r="U90" s="819"/>
      <c r="V90" s="819"/>
      <c r="W90" s="819"/>
      <c r="X90" s="819"/>
      <c r="Y90" s="819"/>
      <c r="Z90" s="730"/>
      <c r="AA90" s="856">
        <v>0</v>
      </c>
      <c r="AB90" s="819"/>
      <c r="AC90" s="819"/>
      <c r="AD90" s="819"/>
      <c r="AE90" s="819"/>
      <c r="AF90" s="819"/>
      <c r="AG90" s="819"/>
      <c r="AH90" s="856">
        <v>0</v>
      </c>
      <c r="AI90" s="820"/>
      <c r="AJ90" s="865"/>
      <c r="AK90" s="856">
        <v>0</v>
      </c>
      <c r="AL90" s="820"/>
      <c r="AM90" s="865"/>
      <c r="AN90" s="856">
        <v>0</v>
      </c>
      <c r="AO90" s="819"/>
      <c r="AP90" s="819"/>
      <c r="AQ90" s="819"/>
      <c r="AR90" s="819"/>
      <c r="AS90" s="819"/>
      <c r="AT90" s="730"/>
      <c r="AU90" s="856">
        <v>0</v>
      </c>
      <c r="AV90" s="819"/>
      <c r="AW90" s="819"/>
      <c r="AX90" s="819"/>
      <c r="AZ90" s="819"/>
      <c r="BA90" s="730"/>
      <c r="BB90" s="856">
        <v>0</v>
      </c>
      <c r="BC90" s="819"/>
      <c r="BD90" s="819"/>
      <c r="BE90" s="819"/>
      <c r="BF90" s="730"/>
      <c r="BG90" s="856">
        <v>0</v>
      </c>
      <c r="BH90" s="819"/>
      <c r="BI90" s="819"/>
      <c r="BJ90" s="819"/>
      <c r="BK90" s="730"/>
      <c r="BL90" s="856">
        <v>0</v>
      </c>
      <c r="BM90" s="819"/>
      <c r="BN90" s="819"/>
      <c r="BO90" s="819"/>
      <c r="BP90" s="730"/>
      <c r="BQ90" s="856">
        <v>0</v>
      </c>
      <c r="BR90" s="819"/>
      <c r="BS90" s="819"/>
      <c r="BT90" s="819"/>
      <c r="BU90" s="730"/>
      <c r="BV90" s="856"/>
      <c r="BW90" s="819"/>
      <c r="BX90" s="819"/>
      <c r="BY90" s="819"/>
      <c r="BZ90" s="730"/>
      <c r="CA90" s="856">
        <v>0</v>
      </c>
      <c r="CB90" s="819"/>
      <c r="CC90" s="819"/>
      <c r="CD90" s="819"/>
      <c r="CE90" s="4"/>
      <c r="CF90" s="819"/>
      <c r="CG90" s="781"/>
      <c r="CH90" s="856">
        <v>0</v>
      </c>
      <c r="CI90" s="819"/>
      <c r="CJ90" s="819"/>
      <c r="CK90" s="819"/>
      <c r="CL90" s="730"/>
      <c r="CM90" s="856"/>
      <c r="CN90" s="819"/>
      <c r="CO90" s="819"/>
      <c r="CP90" s="819"/>
      <c r="CQ90" s="819"/>
      <c r="CR90" s="730"/>
      <c r="CS90" s="856"/>
      <c r="CT90" s="819"/>
      <c r="CU90" s="819"/>
      <c r="CV90" s="819"/>
      <c r="CW90" s="819"/>
      <c r="CX90" s="730"/>
      <c r="CY90" s="856"/>
      <c r="CZ90" s="819"/>
      <c r="DA90" s="819"/>
      <c r="DB90" s="819"/>
      <c r="DC90" s="819"/>
      <c r="DD90" s="730"/>
      <c r="DE90" s="856"/>
      <c r="DF90" s="819"/>
      <c r="DG90" s="819"/>
      <c r="DH90" s="819"/>
      <c r="DI90" s="730"/>
    </row>
    <row r="91" spans="1:113" x14ac:dyDescent="0.45">
      <c r="A91" s="744" t="s">
        <v>1534</v>
      </c>
      <c r="B91" s="864">
        <v>0.6191371479035257</v>
      </c>
      <c r="C91" s="820"/>
      <c r="D91" s="820"/>
      <c r="E91" s="865"/>
      <c r="F91" s="856">
        <v>0.7315641617337213</v>
      </c>
      <c r="G91" s="819"/>
      <c r="H91" s="819"/>
      <c r="I91" s="819"/>
      <c r="J91" s="819"/>
      <c r="K91" s="819"/>
      <c r="L91" s="730"/>
      <c r="M91" s="856">
        <v>0.33649705889673365</v>
      </c>
      <c r="N91" s="819"/>
      <c r="O91" s="819"/>
      <c r="P91" s="819"/>
      <c r="Q91" s="819"/>
      <c r="R91" s="819"/>
      <c r="S91" s="819"/>
      <c r="T91" s="856">
        <v>0.86326706575025247</v>
      </c>
      <c r="U91" s="819"/>
      <c r="V91" s="819"/>
      <c r="W91" s="819"/>
      <c r="X91" s="819"/>
      <c r="Y91" s="819"/>
      <c r="Z91" s="730"/>
      <c r="AA91" s="856">
        <v>0.67562326551484408</v>
      </c>
      <c r="AB91" s="819"/>
      <c r="AC91" s="819"/>
      <c r="AD91" s="819"/>
      <c r="AE91" s="819"/>
      <c r="AF91" s="819"/>
      <c r="AG91" s="819"/>
      <c r="AH91" s="856">
        <v>0.88347249266952266</v>
      </c>
      <c r="AI91" s="820"/>
      <c r="AJ91" s="865"/>
      <c r="AK91" s="856">
        <v>1.1530064734839534</v>
      </c>
      <c r="AL91" s="820"/>
      <c r="AM91" s="865"/>
      <c r="AN91" s="856">
        <v>0.2361</v>
      </c>
      <c r="AO91" s="819"/>
      <c r="AP91" s="819"/>
      <c r="AQ91" s="819"/>
      <c r="AR91" s="819"/>
      <c r="AS91" s="819"/>
      <c r="AT91" s="730"/>
      <c r="AU91" s="856">
        <v>0.2261</v>
      </c>
      <c r="AV91" s="819"/>
      <c r="AW91" s="819"/>
      <c r="AX91" s="819"/>
      <c r="AZ91" s="819"/>
      <c r="BA91" s="730"/>
      <c r="BB91" s="856">
        <v>0.2011</v>
      </c>
      <c r="BC91" s="819"/>
      <c r="BD91" s="819"/>
      <c r="BE91" s="819"/>
      <c r="BF91" s="730"/>
      <c r="BG91" s="856">
        <v>0.43890000000000001</v>
      </c>
      <c r="BH91" s="819"/>
      <c r="BI91" s="819"/>
      <c r="BJ91" s="819"/>
      <c r="BK91" s="730"/>
      <c r="BL91" s="856">
        <v>0.5232</v>
      </c>
      <c r="BM91" s="819"/>
      <c r="BN91" s="819"/>
      <c r="BO91" s="819"/>
      <c r="BP91" s="730"/>
      <c r="BQ91" s="856">
        <v>0.5232</v>
      </c>
      <c r="BR91" s="819"/>
      <c r="BS91" s="819"/>
      <c r="BT91" s="819"/>
      <c r="BU91" s="730"/>
      <c r="BV91" s="856">
        <v>0.7166591626733636</v>
      </c>
      <c r="BW91" s="819"/>
      <c r="BX91" s="819"/>
      <c r="BY91" s="819"/>
      <c r="BZ91" s="730"/>
      <c r="CA91" s="856">
        <v>0.58750000000000002</v>
      </c>
      <c r="CB91" s="819"/>
      <c r="CC91" s="819"/>
      <c r="CD91" s="819"/>
      <c r="CE91" s="4"/>
      <c r="CF91" s="819"/>
      <c r="CG91" s="781"/>
      <c r="CH91" s="856">
        <v>0.66349999999999998</v>
      </c>
      <c r="CI91" s="819"/>
      <c r="CJ91" s="819"/>
      <c r="CK91" s="819"/>
      <c r="CL91" s="730"/>
      <c r="CM91" s="856">
        <v>0.29725536509010925</v>
      </c>
      <c r="CN91" s="819"/>
      <c r="CO91" s="819"/>
      <c r="CP91" s="819"/>
      <c r="CQ91" s="819"/>
      <c r="CR91" s="730"/>
      <c r="CS91" s="856">
        <v>0.29661772164140027</v>
      </c>
      <c r="CT91" s="819"/>
      <c r="CU91" s="819"/>
      <c r="CV91" s="819"/>
      <c r="CW91" s="819"/>
      <c r="CX91" s="730"/>
      <c r="CY91" s="856">
        <v>0.30045362029405398</v>
      </c>
      <c r="CZ91" s="819"/>
      <c r="DA91" s="819"/>
      <c r="DB91" s="819"/>
      <c r="DC91" s="819"/>
      <c r="DD91" s="730"/>
      <c r="DE91" s="856">
        <v>0.58750000000000002</v>
      </c>
      <c r="DF91" s="819"/>
      <c r="DG91" s="819"/>
      <c r="DH91" s="819"/>
      <c r="DI91" s="730"/>
    </row>
    <row r="92" spans="1:113" x14ac:dyDescent="0.45">
      <c r="A92" s="744" t="s">
        <v>1535</v>
      </c>
      <c r="B92" s="864">
        <v>0</v>
      </c>
      <c r="C92" s="820"/>
      <c r="D92" s="820"/>
      <c r="E92" s="865"/>
      <c r="F92" s="856">
        <v>0</v>
      </c>
      <c r="G92" s="819"/>
      <c r="H92" s="819"/>
      <c r="I92" s="819"/>
      <c r="J92" s="819"/>
      <c r="K92" s="819"/>
      <c r="L92" s="730"/>
      <c r="M92" s="856">
        <v>0</v>
      </c>
      <c r="N92" s="819"/>
      <c r="O92" s="819"/>
      <c r="P92" s="819"/>
      <c r="Q92" s="819"/>
      <c r="R92" s="819"/>
      <c r="S92" s="819"/>
      <c r="T92" s="856">
        <v>0</v>
      </c>
      <c r="U92" s="819"/>
      <c r="V92" s="819"/>
      <c r="W92" s="819"/>
      <c r="X92" s="819"/>
      <c r="Y92" s="819"/>
      <c r="Z92" s="730"/>
      <c r="AA92" s="856">
        <v>0</v>
      </c>
      <c r="AB92" s="819"/>
      <c r="AC92" s="819"/>
      <c r="AD92" s="819"/>
      <c r="AE92" s="819"/>
      <c r="AF92" s="819"/>
      <c r="AG92" s="819"/>
      <c r="AH92" s="856">
        <v>0</v>
      </c>
      <c r="AI92" s="820"/>
      <c r="AJ92" s="865"/>
      <c r="AK92" s="856">
        <v>0</v>
      </c>
      <c r="AL92" s="820"/>
      <c r="AM92" s="865"/>
      <c r="AN92" s="856">
        <v>0</v>
      </c>
      <c r="AO92" s="819"/>
      <c r="AP92" s="819"/>
      <c r="AQ92" s="819"/>
      <c r="AR92" s="819"/>
      <c r="AS92" s="819"/>
      <c r="AT92" s="730"/>
      <c r="AU92" s="856">
        <v>0</v>
      </c>
      <c r="AV92" s="819"/>
      <c r="AW92" s="819"/>
      <c r="AX92" s="819"/>
      <c r="AZ92" s="819"/>
      <c r="BA92" s="730"/>
      <c r="BB92" s="856">
        <v>0</v>
      </c>
      <c r="BC92" s="819"/>
      <c r="BD92" s="819"/>
      <c r="BE92" s="819"/>
      <c r="BF92" s="730"/>
      <c r="BG92" s="856">
        <v>0</v>
      </c>
      <c r="BH92" s="819"/>
      <c r="BI92" s="819"/>
      <c r="BJ92" s="819"/>
      <c r="BK92" s="730"/>
      <c r="BL92" s="856">
        <v>0</v>
      </c>
      <c r="BM92" s="819"/>
      <c r="BN92" s="819"/>
      <c r="BO92" s="819"/>
      <c r="BP92" s="730"/>
      <c r="BQ92" s="856">
        <v>0</v>
      </c>
      <c r="BR92" s="819"/>
      <c r="BS92" s="819"/>
      <c r="BT92" s="819"/>
      <c r="BU92" s="730"/>
      <c r="BV92" s="856"/>
      <c r="BW92" s="819"/>
      <c r="BX92" s="819"/>
      <c r="BY92" s="819"/>
      <c r="BZ92" s="730"/>
      <c r="CA92" s="856">
        <v>0</v>
      </c>
      <c r="CB92" s="819"/>
      <c r="CC92" s="819"/>
      <c r="CD92" s="819"/>
      <c r="CE92" s="4"/>
      <c r="CF92" s="819"/>
      <c r="CG92" s="781"/>
      <c r="CH92" s="856">
        <v>0</v>
      </c>
      <c r="CI92" s="819"/>
      <c r="CJ92" s="819"/>
      <c r="CK92" s="819"/>
      <c r="CL92" s="730"/>
      <c r="CM92" s="856"/>
      <c r="CN92" s="819"/>
      <c r="CO92" s="819"/>
      <c r="CP92" s="819"/>
      <c r="CQ92" s="819"/>
      <c r="CR92" s="730"/>
      <c r="CS92" s="856"/>
      <c r="CT92" s="819"/>
      <c r="CU92" s="819"/>
      <c r="CV92" s="819"/>
      <c r="CW92" s="819"/>
      <c r="CX92" s="730"/>
      <c r="CY92" s="856"/>
      <c r="CZ92" s="819"/>
      <c r="DA92" s="819"/>
      <c r="DB92" s="819"/>
      <c r="DC92" s="819"/>
      <c r="DD92" s="730"/>
      <c r="DE92" s="856"/>
      <c r="DF92" s="819"/>
      <c r="DG92" s="819"/>
      <c r="DH92" s="819"/>
      <c r="DI92" s="730"/>
    </row>
    <row r="93" spans="1:113" x14ac:dyDescent="0.45">
      <c r="A93" s="744" t="s">
        <v>1936</v>
      </c>
      <c r="B93" s="864"/>
      <c r="C93" s="820"/>
      <c r="D93" s="820"/>
      <c r="E93" s="865"/>
      <c r="F93" s="856">
        <v>0</v>
      </c>
      <c r="G93" s="819"/>
      <c r="H93" s="819"/>
      <c r="I93" s="819"/>
      <c r="J93" s="819"/>
      <c r="K93" s="819"/>
      <c r="L93" s="730"/>
      <c r="M93" s="856">
        <v>0</v>
      </c>
      <c r="N93" s="819"/>
      <c r="O93" s="819"/>
      <c r="P93" s="819"/>
      <c r="Q93" s="819"/>
      <c r="R93" s="819"/>
      <c r="S93" s="819"/>
      <c r="T93" s="856">
        <v>0</v>
      </c>
      <c r="U93" s="819"/>
      <c r="V93" s="819"/>
      <c r="W93" s="819"/>
      <c r="X93" s="819"/>
      <c r="Y93" s="819"/>
      <c r="Z93" s="730"/>
      <c r="AA93" s="856">
        <v>0</v>
      </c>
      <c r="AB93" s="819"/>
      <c r="AC93" s="819"/>
      <c r="AD93" s="819"/>
      <c r="AE93" s="819"/>
      <c r="AF93" s="819"/>
      <c r="AG93" s="819"/>
      <c r="AH93" s="856">
        <v>0</v>
      </c>
      <c r="AI93" s="820"/>
      <c r="AJ93" s="865"/>
      <c r="AK93" s="856">
        <v>0</v>
      </c>
      <c r="AL93" s="820"/>
      <c r="AM93" s="865"/>
      <c r="AN93" s="856">
        <v>0</v>
      </c>
      <c r="AO93" s="819"/>
      <c r="AP93" s="819"/>
      <c r="AQ93" s="819"/>
      <c r="AR93" s="819"/>
      <c r="AS93" s="819"/>
      <c r="AT93" s="730"/>
      <c r="AU93" s="856">
        <v>0</v>
      </c>
      <c r="AV93" s="819"/>
      <c r="AW93" s="819"/>
      <c r="AX93" s="819"/>
      <c r="AZ93" s="819"/>
      <c r="BA93" s="730"/>
      <c r="BB93" s="856">
        <v>0</v>
      </c>
      <c r="BC93" s="819"/>
      <c r="BD93" s="819"/>
      <c r="BE93" s="819"/>
      <c r="BF93" s="730"/>
      <c r="BG93" s="856">
        <v>0</v>
      </c>
      <c r="BH93" s="819"/>
      <c r="BI93" s="819"/>
      <c r="BJ93" s="819"/>
      <c r="BK93" s="730"/>
      <c r="BL93" s="856">
        <v>0</v>
      </c>
      <c r="BM93" s="819"/>
      <c r="BN93" s="819"/>
      <c r="BO93" s="819"/>
      <c r="BP93" s="730"/>
      <c r="BQ93" s="856">
        <v>0</v>
      </c>
      <c r="BR93" s="819"/>
      <c r="BS93" s="819"/>
      <c r="BT93" s="819"/>
      <c r="BU93" s="730"/>
      <c r="BV93" s="856"/>
      <c r="BW93" s="819"/>
      <c r="BX93" s="819"/>
      <c r="BY93" s="819"/>
      <c r="BZ93" s="730"/>
      <c r="CA93" s="856">
        <v>0</v>
      </c>
      <c r="CB93" s="819"/>
      <c r="CC93" s="819"/>
      <c r="CD93" s="819"/>
      <c r="CE93" s="4"/>
      <c r="CF93" s="819"/>
      <c r="CG93" s="781"/>
      <c r="CH93" s="856">
        <v>0</v>
      </c>
      <c r="CI93" s="819"/>
      <c r="CJ93" s="819"/>
      <c r="CK93" s="819"/>
      <c r="CL93" s="730"/>
      <c r="CM93" s="856"/>
      <c r="CN93" s="819"/>
      <c r="CO93" s="819"/>
      <c r="CP93" s="819"/>
      <c r="CQ93" s="819"/>
      <c r="CR93" s="730"/>
      <c r="CS93" s="856"/>
      <c r="CT93" s="819"/>
      <c r="CU93" s="819"/>
      <c r="CV93" s="819"/>
      <c r="CW93" s="819"/>
      <c r="CX93" s="730"/>
      <c r="CY93" s="856"/>
      <c r="CZ93" s="819"/>
      <c r="DA93" s="819"/>
      <c r="DB93" s="819"/>
      <c r="DC93" s="819"/>
      <c r="DD93" s="730"/>
      <c r="DE93" s="856"/>
      <c r="DF93" s="819"/>
      <c r="DG93" s="819"/>
      <c r="DH93" s="819"/>
      <c r="DI93" s="730"/>
    </row>
    <row r="94" spans="1:113" x14ac:dyDescent="0.45">
      <c r="A94" s="744" t="s">
        <v>1664</v>
      </c>
      <c r="B94" s="864">
        <v>0.18973557758333853</v>
      </c>
      <c r="C94" s="820"/>
      <c r="D94" s="820"/>
      <c r="E94" s="865"/>
      <c r="F94" s="856">
        <v>0</v>
      </c>
      <c r="G94" s="819"/>
      <c r="H94" s="819"/>
      <c r="I94" s="819"/>
      <c r="J94" s="819"/>
      <c r="K94" s="819"/>
      <c r="L94" s="730"/>
      <c r="M94" s="856">
        <v>0</v>
      </c>
      <c r="N94" s="819"/>
      <c r="O94" s="819"/>
      <c r="P94" s="819"/>
      <c r="Q94" s="819"/>
      <c r="R94" s="819"/>
      <c r="S94" s="819"/>
      <c r="T94" s="856">
        <v>0</v>
      </c>
      <c r="U94" s="819"/>
      <c r="V94" s="819"/>
      <c r="W94" s="819"/>
      <c r="X94" s="819"/>
      <c r="Y94" s="819"/>
      <c r="Z94" s="730"/>
      <c r="AA94" s="856">
        <v>0</v>
      </c>
      <c r="AB94" s="819"/>
      <c r="AC94" s="819"/>
      <c r="AD94" s="819"/>
      <c r="AE94" s="819"/>
      <c r="AF94" s="819"/>
      <c r="AG94" s="819"/>
      <c r="AH94" s="856">
        <v>3.4685791630231187E-3</v>
      </c>
      <c r="AI94" s="820"/>
      <c r="AJ94" s="865"/>
      <c r="AK94" s="856">
        <v>1.1843928849347235E-2</v>
      </c>
      <c r="AL94" s="820"/>
      <c r="AM94" s="865"/>
      <c r="AN94" s="856">
        <v>1.5100000000000001E-2</v>
      </c>
      <c r="AO94" s="819"/>
      <c r="AP94" s="819"/>
      <c r="AQ94" s="819"/>
      <c r="AR94" s="819"/>
      <c r="AS94" s="819"/>
      <c r="AT94" s="730"/>
      <c r="AU94" s="856">
        <v>1.3100000000000001E-2</v>
      </c>
      <c r="AV94" s="819"/>
      <c r="AW94" s="819"/>
      <c r="AX94" s="819"/>
      <c r="AZ94" s="819"/>
      <c r="BA94" s="730"/>
      <c r="BB94" s="856">
        <v>1.34E-2</v>
      </c>
      <c r="BC94" s="819"/>
      <c r="BD94" s="819"/>
      <c r="BE94" s="819"/>
      <c r="BF94" s="730"/>
      <c r="BG94" s="856">
        <v>2.41E-2</v>
      </c>
      <c r="BH94" s="819"/>
      <c r="BI94" s="819"/>
      <c r="BJ94" s="819"/>
      <c r="BK94" s="730"/>
      <c r="BL94" s="856">
        <v>3.2399999999999998E-2</v>
      </c>
      <c r="BM94" s="819"/>
      <c r="BN94" s="819"/>
      <c r="BO94" s="819"/>
      <c r="BP94" s="730"/>
      <c r="BQ94" s="856">
        <v>3.2399999999999998E-2</v>
      </c>
      <c r="BR94" s="819"/>
      <c r="BS94" s="819"/>
      <c r="BT94" s="819"/>
      <c r="BU94" s="730"/>
      <c r="BV94" s="856">
        <v>3.71102243057626E-2</v>
      </c>
      <c r="BW94" s="819"/>
      <c r="BX94" s="819"/>
      <c r="BY94" s="819"/>
      <c r="BZ94" s="730"/>
      <c r="CA94" s="856">
        <v>3.2000000000000001E-2</v>
      </c>
      <c r="CB94" s="819"/>
      <c r="CC94" s="819"/>
      <c r="CD94" s="819"/>
      <c r="CE94" s="4"/>
      <c r="CF94" s="819"/>
      <c r="CG94" s="781"/>
      <c r="CH94" s="856">
        <v>4.2900000000000001E-2</v>
      </c>
      <c r="CI94" s="819"/>
      <c r="CJ94" s="819"/>
      <c r="CK94" s="819"/>
      <c r="CL94" s="730"/>
      <c r="CM94" s="856">
        <v>2.0586714938351368E-2</v>
      </c>
      <c r="CN94" s="819"/>
      <c r="CO94" s="819"/>
      <c r="CP94" s="819"/>
      <c r="CQ94" s="819"/>
      <c r="CR94" s="730"/>
      <c r="CS94" s="856">
        <v>1.9139367834589485E-2</v>
      </c>
      <c r="CT94" s="819"/>
      <c r="CU94" s="819"/>
      <c r="CV94" s="819"/>
      <c r="CW94" s="819"/>
      <c r="CX94" s="730"/>
      <c r="CY94" s="856">
        <v>1.8899163698974694E-2</v>
      </c>
      <c r="CZ94" s="819"/>
      <c r="DA94" s="819"/>
      <c r="DB94" s="819"/>
      <c r="DC94" s="819"/>
      <c r="DD94" s="730"/>
      <c r="DE94" s="856">
        <v>3.2000000000000001E-2</v>
      </c>
      <c r="DF94" s="819"/>
      <c r="DG94" s="819"/>
      <c r="DH94" s="819"/>
      <c r="DI94" s="730"/>
    </row>
    <row r="95" spans="1:113" x14ac:dyDescent="0.45">
      <c r="A95" s="744" t="s">
        <v>2386</v>
      </c>
      <c r="B95" s="856">
        <v>0</v>
      </c>
      <c r="C95" s="819"/>
      <c r="D95" s="819"/>
      <c r="E95" s="730"/>
      <c r="F95" s="856">
        <v>0</v>
      </c>
      <c r="G95" s="819"/>
      <c r="H95" s="819"/>
      <c r="I95" s="819"/>
      <c r="J95" s="819"/>
      <c r="K95" s="819"/>
      <c r="L95" s="730"/>
      <c r="M95" s="856">
        <v>0</v>
      </c>
      <c r="N95" s="819"/>
      <c r="O95" s="819"/>
      <c r="P95" s="819"/>
      <c r="Q95" s="819"/>
      <c r="R95" s="819"/>
      <c r="S95" s="819"/>
      <c r="T95" s="856">
        <v>0</v>
      </c>
      <c r="U95" s="819"/>
      <c r="V95" s="819"/>
      <c r="W95" s="819"/>
      <c r="X95" s="819"/>
      <c r="Y95" s="819"/>
      <c r="Z95" s="730"/>
      <c r="AA95" s="856">
        <v>0</v>
      </c>
      <c r="AB95" s="819"/>
      <c r="AC95" s="819"/>
      <c r="AD95" s="819"/>
      <c r="AE95" s="819"/>
      <c r="AF95" s="819"/>
      <c r="AG95" s="819"/>
      <c r="AH95" s="856">
        <v>0</v>
      </c>
      <c r="AI95" s="819"/>
      <c r="AJ95" s="730"/>
      <c r="AK95" s="856">
        <v>0</v>
      </c>
      <c r="AL95" s="819"/>
      <c r="AM95" s="730"/>
      <c r="AN95" s="856">
        <v>2.3800000000000002E-2</v>
      </c>
      <c r="AO95" s="819"/>
      <c r="AP95" s="819"/>
      <c r="AQ95" s="819"/>
      <c r="AR95" s="819"/>
      <c r="AS95" s="819"/>
      <c r="AT95" s="730"/>
      <c r="AU95" s="856">
        <v>6.7000000000000002E-3</v>
      </c>
      <c r="AV95" s="819"/>
      <c r="AW95" s="819"/>
      <c r="AX95" s="819"/>
      <c r="AZ95" s="819"/>
      <c r="BA95" s="730"/>
      <c r="BB95" s="856">
        <v>3.2099999999999997E-2</v>
      </c>
      <c r="BC95" s="819"/>
      <c r="BD95" s="819"/>
      <c r="BE95" s="819"/>
      <c r="BF95" s="730"/>
      <c r="BG95" s="856">
        <v>2.5899999999999999E-2</v>
      </c>
      <c r="BH95" s="819"/>
      <c r="BI95" s="819"/>
      <c r="BJ95" s="819"/>
      <c r="BK95" s="730"/>
      <c r="BL95" s="856">
        <v>0.13020000000000001</v>
      </c>
      <c r="BM95" s="819"/>
      <c r="BN95" s="819"/>
      <c r="BO95" s="819"/>
      <c r="BP95" s="730"/>
      <c r="BQ95" s="856">
        <v>0.13020000000000001</v>
      </c>
      <c r="BR95" s="819"/>
      <c r="BS95" s="819"/>
      <c r="BT95" s="819"/>
      <c r="BU95" s="730"/>
      <c r="BV95" s="856">
        <v>3.6410382531080476E-2</v>
      </c>
      <c r="BW95" s="819"/>
      <c r="BX95" s="819"/>
      <c r="BY95" s="819"/>
      <c r="BZ95" s="730"/>
      <c r="CA95" s="856">
        <v>7.4300000000000005E-2</v>
      </c>
      <c r="CB95" s="819"/>
      <c r="CC95" s="819"/>
      <c r="CD95" s="819"/>
      <c r="CE95" s="4"/>
      <c r="CF95" s="819"/>
      <c r="CG95" s="781"/>
      <c r="CH95" s="856">
        <v>1.61E-2</v>
      </c>
      <c r="CI95" s="819"/>
      <c r="CJ95" s="819"/>
      <c r="CK95" s="819"/>
      <c r="CL95" s="730"/>
      <c r="CM95" s="856">
        <v>4.6344265361565003E-2</v>
      </c>
      <c r="CN95" s="819"/>
      <c r="CO95" s="819"/>
      <c r="CP95" s="819"/>
      <c r="CQ95" s="819"/>
      <c r="CR95" s="730"/>
      <c r="CS95" s="856">
        <v>4.7777722865280502E-2</v>
      </c>
      <c r="CT95" s="819"/>
      <c r="CU95" s="819"/>
      <c r="CV95" s="819"/>
      <c r="CW95" s="819"/>
      <c r="CX95" s="730"/>
      <c r="CY95" s="856">
        <v>5.2015525316293998E-2</v>
      </c>
      <c r="CZ95" s="819"/>
      <c r="DA95" s="819"/>
      <c r="DB95" s="819"/>
      <c r="DC95" s="819"/>
      <c r="DD95" s="730"/>
      <c r="DE95" s="856">
        <v>7.4300000000000005E-2</v>
      </c>
      <c r="DF95" s="819"/>
      <c r="DG95" s="819"/>
      <c r="DH95" s="819"/>
      <c r="DI95" s="730"/>
    </row>
    <row r="96" spans="1:113" x14ac:dyDescent="0.45">
      <c r="A96" s="744" t="s">
        <v>2512</v>
      </c>
      <c r="B96" s="856"/>
      <c r="C96" s="819"/>
      <c r="D96" s="819"/>
      <c r="E96" s="730"/>
      <c r="F96" s="856">
        <v>0</v>
      </c>
      <c r="G96" s="819"/>
      <c r="H96" s="819"/>
      <c r="I96" s="819"/>
      <c r="J96" s="819"/>
      <c r="K96" s="819"/>
      <c r="L96" s="730"/>
      <c r="M96" s="856">
        <v>0.11071656724714393</v>
      </c>
      <c r="N96" s="819"/>
      <c r="O96" s="819"/>
      <c r="P96" s="819"/>
      <c r="Q96" s="819"/>
      <c r="R96" s="819"/>
      <c r="S96" s="819"/>
      <c r="T96" s="856">
        <v>0</v>
      </c>
      <c r="U96" s="819"/>
      <c r="V96" s="819"/>
      <c r="W96" s="819"/>
      <c r="X96" s="819"/>
      <c r="Y96" s="819"/>
      <c r="Z96" s="730"/>
      <c r="AA96" s="856">
        <v>0.10368127416787805</v>
      </c>
      <c r="AB96" s="819"/>
      <c r="AC96" s="819"/>
      <c r="AD96" s="819"/>
      <c r="AE96" s="819"/>
      <c r="AF96" s="819"/>
      <c r="AG96" s="819"/>
      <c r="AH96" s="856">
        <v>0</v>
      </c>
      <c r="AI96" s="819"/>
      <c r="AJ96" s="730"/>
      <c r="AK96" s="856">
        <v>0</v>
      </c>
      <c r="AL96" s="819"/>
      <c r="AM96" s="730"/>
      <c r="AN96" s="856">
        <v>0</v>
      </c>
      <c r="AO96" s="819"/>
      <c r="AP96" s="819"/>
      <c r="AQ96" s="819"/>
      <c r="AR96" s="819"/>
      <c r="AS96" s="819"/>
      <c r="AT96" s="730"/>
      <c r="AU96" s="856">
        <v>0</v>
      </c>
      <c r="AV96" s="819"/>
      <c r="AW96" s="819"/>
      <c r="AX96" s="819"/>
      <c r="AZ96" s="819"/>
      <c r="BA96" s="730"/>
      <c r="BB96" s="856">
        <v>0</v>
      </c>
      <c r="BC96" s="819"/>
      <c r="BD96" s="819"/>
      <c r="BE96" s="819"/>
      <c r="BF96" s="730"/>
      <c r="BG96" s="856">
        <v>0</v>
      </c>
      <c r="BH96" s="819"/>
      <c r="BI96" s="819"/>
      <c r="BJ96" s="819"/>
      <c r="BK96" s="730"/>
      <c r="BL96" s="856">
        <v>0</v>
      </c>
      <c r="BM96" s="819"/>
      <c r="BN96" s="819"/>
      <c r="BO96" s="819"/>
      <c r="BP96" s="730"/>
      <c r="BQ96" s="856">
        <v>0</v>
      </c>
      <c r="BR96" s="819"/>
      <c r="BS96" s="819"/>
      <c r="BT96" s="819"/>
      <c r="BU96" s="730"/>
      <c r="BV96" s="856"/>
      <c r="BW96" s="819"/>
      <c r="BX96" s="819"/>
      <c r="BY96" s="819"/>
      <c r="BZ96" s="730"/>
      <c r="CA96" s="856">
        <v>0</v>
      </c>
      <c r="CB96" s="819"/>
      <c r="CC96" s="819"/>
      <c r="CD96" s="819"/>
      <c r="CE96" s="4"/>
      <c r="CF96" s="819"/>
      <c r="CG96" s="781"/>
      <c r="CH96" s="856">
        <v>0</v>
      </c>
      <c r="CI96" s="819"/>
      <c r="CJ96" s="819"/>
      <c r="CK96" s="819"/>
      <c r="CL96" s="730"/>
      <c r="CM96" s="856"/>
      <c r="CN96" s="819"/>
      <c r="CO96" s="819"/>
      <c r="CP96" s="819"/>
      <c r="CQ96" s="819"/>
      <c r="CR96" s="730"/>
      <c r="CS96" s="856"/>
      <c r="CT96" s="819"/>
      <c r="CU96" s="819"/>
      <c r="CV96" s="819"/>
      <c r="CW96" s="819"/>
      <c r="CX96" s="730"/>
      <c r="CY96" s="856"/>
      <c r="CZ96" s="819"/>
      <c r="DA96" s="819"/>
      <c r="DB96" s="819"/>
      <c r="DC96" s="819"/>
      <c r="DD96" s="730"/>
      <c r="DE96" s="856"/>
      <c r="DF96" s="819"/>
      <c r="DG96" s="819"/>
      <c r="DH96" s="819"/>
      <c r="DI96" s="730"/>
    </row>
    <row r="97" spans="1:113" x14ac:dyDescent="0.45">
      <c r="A97" s="744" t="s">
        <v>2387</v>
      </c>
      <c r="B97" s="866"/>
      <c r="C97" s="4"/>
      <c r="D97" s="4"/>
      <c r="E97" s="781"/>
      <c r="F97" s="864">
        <v>0</v>
      </c>
      <c r="G97" s="4"/>
      <c r="H97" s="4"/>
      <c r="I97" s="4"/>
      <c r="J97" s="4"/>
      <c r="K97" s="4"/>
      <c r="L97" s="781"/>
      <c r="M97" s="864">
        <v>0</v>
      </c>
      <c r="N97" s="4"/>
      <c r="O97" s="4"/>
      <c r="P97" s="4"/>
      <c r="Q97" s="4"/>
      <c r="R97" s="4"/>
      <c r="S97" s="4"/>
      <c r="T97" s="864">
        <v>0</v>
      </c>
      <c r="U97" s="4"/>
      <c r="V97" s="4"/>
      <c r="W97" s="4"/>
      <c r="X97" s="4"/>
      <c r="Y97" s="4"/>
      <c r="Z97" s="781"/>
      <c r="AA97" s="864">
        <v>0</v>
      </c>
      <c r="AB97" s="4"/>
      <c r="AC97" s="4"/>
      <c r="AD97" s="4"/>
      <c r="AE97" s="4"/>
      <c r="AF97" s="4"/>
      <c r="AG97" s="4"/>
      <c r="AH97" s="864">
        <v>0</v>
      </c>
      <c r="AI97" s="4"/>
      <c r="AJ97" s="781"/>
      <c r="AK97" s="864">
        <v>0</v>
      </c>
      <c r="AL97" s="4"/>
      <c r="AM97" s="781"/>
      <c r="AN97" s="864">
        <v>0.2427</v>
      </c>
      <c r="AO97" s="4"/>
      <c r="AP97" s="4"/>
      <c r="AQ97" s="4"/>
      <c r="AR97" s="4"/>
      <c r="AS97" s="4"/>
      <c r="AT97" s="781"/>
      <c r="AU97" s="864">
        <v>0.2041</v>
      </c>
      <c r="AV97" s="4"/>
      <c r="AW97" s="4"/>
      <c r="AX97" s="4"/>
      <c r="AZ97" s="4"/>
      <c r="BA97" s="781"/>
      <c r="BB97" s="866">
        <v>0.27489999999999998</v>
      </c>
      <c r="BC97" s="4"/>
      <c r="BD97" s="4"/>
      <c r="BE97" s="4"/>
      <c r="BF97" s="781"/>
      <c r="BG97" s="866">
        <v>1.2999999999999999E-3</v>
      </c>
      <c r="BH97" s="4"/>
      <c r="BI97" s="4"/>
      <c r="BJ97" s="4"/>
      <c r="BK97" s="781"/>
      <c r="BL97" s="866">
        <v>1E-3</v>
      </c>
      <c r="BM97" s="4"/>
      <c r="BN97" s="4"/>
      <c r="BO97" s="4"/>
      <c r="BP97" s="781"/>
      <c r="BQ97" s="866">
        <v>1E-3</v>
      </c>
      <c r="BR97" s="4"/>
      <c r="BS97" s="4"/>
      <c r="BT97" s="4"/>
      <c r="BU97" s="781"/>
      <c r="BV97" s="866">
        <v>1.9999571479936773E-3</v>
      </c>
      <c r="BW97" s="4"/>
      <c r="BX97" s="4"/>
      <c r="BY97" s="4"/>
      <c r="BZ97" s="781"/>
      <c r="CA97" s="866">
        <v>0</v>
      </c>
      <c r="CB97" s="4"/>
      <c r="CC97" s="4"/>
      <c r="CD97" s="4"/>
      <c r="CE97" s="4"/>
      <c r="CF97" s="4"/>
      <c r="CG97" s="781"/>
      <c r="CH97" s="866">
        <v>1.2999999999999999E-3</v>
      </c>
      <c r="CI97" s="4"/>
      <c r="CJ97" s="4"/>
      <c r="CK97" s="4"/>
      <c r="CL97" s="781"/>
      <c r="CM97" s="856">
        <v>7.5497222206786271E-2</v>
      </c>
      <c r="CN97" s="4"/>
      <c r="CO97" s="4"/>
      <c r="CP97" s="4"/>
      <c r="CQ97" s="4"/>
      <c r="CR97" s="781"/>
      <c r="CS97" s="856">
        <v>7.0624300328782419E-2</v>
      </c>
      <c r="CT97" s="4"/>
      <c r="CU97" s="4"/>
      <c r="CV97" s="4"/>
      <c r="CW97" s="4"/>
      <c r="CX97" s="781"/>
      <c r="CY97" s="856">
        <v>7.0951967690461304E-2</v>
      </c>
      <c r="CZ97" s="4"/>
      <c r="DA97" s="4"/>
      <c r="DB97" s="4"/>
      <c r="DC97" s="4"/>
      <c r="DD97" s="781"/>
      <c r="DE97" s="866">
        <v>0</v>
      </c>
      <c r="DF97" s="4"/>
      <c r="DG97" s="4"/>
      <c r="DH97" s="4"/>
      <c r="DI97" s="781"/>
    </row>
    <row r="98" spans="1:113" x14ac:dyDescent="0.45">
      <c r="A98" s="744" t="s">
        <v>2388</v>
      </c>
      <c r="B98" s="866"/>
      <c r="C98" s="4"/>
      <c r="D98" s="4"/>
      <c r="E98" s="781"/>
      <c r="F98" s="864">
        <v>0</v>
      </c>
      <c r="G98" s="4"/>
      <c r="H98" s="4"/>
      <c r="I98" s="4"/>
      <c r="J98" s="4"/>
      <c r="K98" s="4"/>
      <c r="L98" s="781"/>
      <c r="M98" s="864">
        <v>0</v>
      </c>
      <c r="N98" s="4"/>
      <c r="O98" s="4"/>
      <c r="P98" s="4"/>
      <c r="Q98" s="4"/>
      <c r="R98" s="4"/>
      <c r="S98" s="4"/>
      <c r="T98" s="864">
        <v>0</v>
      </c>
      <c r="U98" s="4"/>
      <c r="V98" s="4"/>
      <c r="W98" s="4"/>
      <c r="X98" s="4"/>
      <c r="Y98" s="4"/>
      <c r="Z98" s="781"/>
      <c r="AA98" s="864">
        <v>0</v>
      </c>
      <c r="AB98" s="4"/>
      <c r="AC98" s="4"/>
      <c r="AD98" s="4"/>
      <c r="AE98" s="4"/>
      <c r="AF98" s="4"/>
      <c r="AG98" s="4"/>
      <c r="AH98" s="864">
        <v>0</v>
      </c>
      <c r="AI98" s="4"/>
      <c r="AJ98" s="781"/>
      <c r="AK98" s="864">
        <v>0</v>
      </c>
      <c r="AL98" s="4"/>
      <c r="AM98" s="781"/>
      <c r="AN98" s="864">
        <v>0.12809999999999999</v>
      </c>
      <c r="AO98" s="4"/>
      <c r="AP98" s="4"/>
      <c r="AQ98" s="4"/>
      <c r="AR98" s="4"/>
      <c r="AS98" s="4"/>
      <c r="AT98" s="781"/>
      <c r="AU98" s="864">
        <v>0.18410000000000001</v>
      </c>
      <c r="AV98" s="4"/>
      <c r="AW98" s="4"/>
      <c r="AX98" s="4"/>
      <c r="AZ98" s="4"/>
      <c r="BA98" s="781"/>
      <c r="BB98" s="866">
        <v>0</v>
      </c>
      <c r="BC98" s="4"/>
      <c r="BD98" s="4"/>
      <c r="BE98" s="4"/>
      <c r="BF98" s="781"/>
      <c r="BG98" s="866">
        <v>0</v>
      </c>
      <c r="BH98" s="4"/>
      <c r="BI98" s="4"/>
      <c r="BJ98" s="4"/>
      <c r="BK98" s="781"/>
      <c r="BL98" s="866">
        <v>0</v>
      </c>
      <c r="BM98" s="4"/>
      <c r="BN98" s="4"/>
      <c r="BO98" s="4"/>
      <c r="BP98" s="781"/>
      <c r="BQ98" s="866">
        <v>0</v>
      </c>
      <c r="BR98" s="4"/>
      <c r="BS98" s="4"/>
      <c r="BT98" s="4"/>
      <c r="BU98" s="781"/>
      <c r="BV98" s="866">
        <v>0</v>
      </c>
      <c r="BW98" s="4"/>
      <c r="BX98" s="4"/>
      <c r="BY98" s="4"/>
      <c r="BZ98" s="781"/>
      <c r="CA98" s="866">
        <v>0</v>
      </c>
      <c r="CB98" s="4"/>
      <c r="CC98" s="4"/>
      <c r="CD98" s="4"/>
      <c r="CE98" s="4"/>
      <c r="CF98" s="4"/>
      <c r="CG98" s="781"/>
      <c r="CH98" s="866">
        <v>0</v>
      </c>
      <c r="CI98" s="4"/>
      <c r="CJ98" s="4"/>
      <c r="CK98" s="4"/>
      <c r="CL98" s="781"/>
      <c r="CM98" s="856">
        <v>0</v>
      </c>
      <c r="CN98" s="4"/>
      <c r="CO98" s="4"/>
      <c r="CP98" s="4"/>
      <c r="CQ98" s="4"/>
      <c r="CR98" s="781"/>
      <c r="CS98" s="856">
        <v>0</v>
      </c>
      <c r="CT98" s="4"/>
      <c r="CU98" s="4"/>
      <c r="CV98" s="4"/>
      <c r="CW98" s="4"/>
      <c r="CX98" s="781"/>
      <c r="CY98" s="856">
        <v>0</v>
      </c>
      <c r="CZ98" s="4"/>
      <c r="DA98" s="4"/>
      <c r="DB98" s="4"/>
      <c r="DC98" s="4"/>
      <c r="DD98" s="781"/>
      <c r="DE98" s="866">
        <v>0</v>
      </c>
      <c r="DF98" s="4"/>
      <c r="DG98" s="4"/>
      <c r="DH98" s="4"/>
      <c r="DI98" s="781"/>
    </row>
    <row r="99" spans="1:113" x14ac:dyDescent="0.45">
      <c r="A99" s="744" t="s">
        <v>2389</v>
      </c>
      <c r="B99" s="864"/>
      <c r="C99" s="820"/>
      <c r="D99" s="820"/>
      <c r="E99" s="865"/>
      <c r="F99" s="856">
        <v>0</v>
      </c>
      <c r="G99" s="819"/>
      <c r="H99" s="819"/>
      <c r="I99" s="819"/>
      <c r="J99" s="819"/>
      <c r="K99" s="819"/>
      <c r="L99" s="730"/>
      <c r="M99" s="856">
        <v>0</v>
      </c>
      <c r="N99" s="819"/>
      <c r="O99" s="819"/>
      <c r="P99" s="819"/>
      <c r="Q99" s="819"/>
      <c r="R99" s="819"/>
      <c r="S99" s="819"/>
      <c r="T99" s="856">
        <v>0</v>
      </c>
      <c r="U99" s="819"/>
      <c r="V99" s="819"/>
      <c r="W99" s="819"/>
      <c r="X99" s="819"/>
      <c r="Y99" s="819"/>
      <c r="Z99" s="730"/>
      <c r="AA99" s="856">
        <v>0</v>
      </c>
      <c r="AB99" s="819"/>
      <c r="AC99" s="819"/>
      <c r="AD99" s="819"/>
      <c r="AE99" s="819"/>
      <c r="AF99" s="819"/>
      <c r="AG99" s="819"/>
      <c r="AH99" s="856">
        <v>0</v>
      </c>
      <c r="AI99" s="820"/>
      <c r="AJ99" s="865"/>
      <c r="AK99" s="856">
        <v>0</v>
      </c>
      <c r="AL99" s="820"/>
      <c r="AM99" s="865"/>
      <c r="AN99" s="856">
        <v>4.7000000000000002E-3</v>
      </c>
      <c r="AO99" s="819"/>
      <c r="AP99" s="819"/>
      <c r="AQ99" s="819"/>
      <c r="AR99" s="819"/>
      <c r="AS99" s="819"/>
      <c r="AT99" s="730"/>
      <c r="AU99" s="856">
        <v>0</v>
      </c>
      <c r="AV99" s="819"/>
      <c r="AW99" s="819"/>
      <c r="AX99" s="819"/>
      <c r="AZ99" s="819"/>
      <c r="BA99" s="730"/>
      <c r="BB99" s="856">
        <v>0</v>
      </c>
      <c r="BC99" s="819"/>
      <c r="BD99" s="819"/>
      <c r="BE99" s="819"/>
      <c r="BF99" s="730"/>
      <c r="BG99" s="856">
        <v>2.2700000000000001E-2</v>
      </c>
      <c r="BH99" s="819"/>
      <c r="BI99" s="819"/>
      <c r="BJ99" s="819"/>
      <c r="BK99" s="730"/>
      <c r="BL99" s="856">
        <v>0</v>
      </c>
      <c r="BM99" s="819"/>
      <c r="BN99" s="819"/>
      <c r="BO99" s="819"/>
      <c r="BP99" s="730"/>
      <c r="BQ99" s="856">
        <v>0</v>
      </c>
      <c r="BR99" s="819"/>
      <c r="BS99" s="819"/>
      <c r="BT99" s="819"/>
      <c r="BU99" s="730"/>
      <c r="BV99" s="856">
        <v>1.1762488665404738E-4</v>
      </c>
      <c r="BW99" s="819"/>
      <c r="BX99" s="819"/>
      <c r="BY99" s="819"/>
      <c r="BZ99" s="730"/>
      <c r="CA99" s="856">
        <v>0</v>
      </c>
      <c r="CB99" s="819"/>
      <c r="CC99" s="819"/>
      <c r="CD99" s="819"/>
      <c r="CE99" s="4"/>
      <c r="CF99" s="819"/>
      <c r="CG99" s="781"/>
      <c r="CH99" s="856">
        <v>0</v>
      </c>
      <c r="CI99" s="819"/>
      <c r="CJ99" s="819"/>
      <c r="CK99" s="819"/>
      <c r="CL99" s="730"/>
      <c r="CM99" s="856">
        <v>0.15645390907777776</v>
      </c>
      <c r="CN99" s="819"/>
      <c r="CO99" s="819"/>
      <c r="CP99" s="819"/>
      <c r="CQ99" s="819"/>
      <c r="CR99" s="730"/>
      <c r="CS99" s="856">
        <v>0.16245460076472457</v>
      </c>
      <c r="CT99" s="819"/>
      <c r="CU99" s="819"/>
      <c r="CV99" s="819"/>
      <c r="CW99" s="819"/>
      <c r="CX99" s="730"/>
      <c r="CY99" s="856">
        <v>0.16724251507143559</v>
      </c>
      <c r="CZ99" s="819"/>
      <c r="DA99" s="819"/>
      <c r="DB99" s="819"/>
      <c r="DC99" s="819"/>
      <c r="DD99" s="730"/>
      <c r="DE99" s="856">
        <v>0</v>
      </c>
      <c r="DF99" s="819"/>
      <c r="DG99" s="819"/>
      <c r="DH99" s="819"/>
      <c r="DI99" s="730"/>
    </row>
    <row r="100" spans="1:113" x14ac:dyDescent="0.45">
      <c r="A100" s="744" t="s">
        <v>2513</v>
      </c>
      <c r="B100" s="856"/>
      <c r="C100" s="819"/>
      <c r="D100" s="819"/>
      <c r="E100" s="730"/>
      <c r="F100" s="856">
        <v>0</v>
      </c>
      <c r="G100" s="819"/>
      <c r="H100" s="819"/>
      <c r="I100" s="819"/>
      <c r="J100" s="819"/>
      <c r="K100" s="819"/>
      <c r="L100" s="730"/>
      <c r="M100" s="856">
        <v>0</v>
      </c>
      <c r="N100" s="819"/>
      <c r="O100" s="819"/>
      <c r="P100" s="819"/>
      <c r="Q100" s="819"/>
      <c r="R100" s="819"/>
      <c r="S100" s="819"/>
      <c r="T100" s="856">
        <v>0.1367329342497475</v>
      </c>
      <c r="U100" s="819"/>
      <c r="V100" s="819"/>
      <c r="W100" s="819"/>
      <c r="X100" s="819"/>
      <c r="Y100" s="819"/>
      <c r="Z100" s="730"/>
      <c r="AA100" s="856">
        <v>2.7694305430267232E-3</v>
      </c>
      <c r="AB100" s="819"/>
      <c r="AC100" s="819"/>
      <c r="AD100" s="819"/>
      <c r="AE100" s="819"/>
      <c r="AF100" s="819"/>
      <c r="AG100" s="819"/>
      <c r="AH100" s="856">
        <v>0</v>
      </c>
      <c r="AI100" s="819"/>
      <c r="AJ100" s="730"/>
      <c r="AK100" s="856">
        <v>0</v>
      </c>
      <c r="AL100" s="819"/>
      <c r="AM100" s="730"/>
      <c r="AN100" s="856"/>
      <c r="AO100" s="819"/>
      <c r="AP100" s="819"/>
      <c r="AQ100" s="819"/>
      <c r="AR100" s="819"/>
      <c r="AS100" s="819"/>
      <c r="AT100" s="730"/>
      <c r="AU100" s="856"/>
      <c r="AV100" s="819"/>
      <c r="AW100" s="819"/>
      <c r="AX100" s="819"/>
      <c r="AZ100" s="819"/>
      <c r="BA100" s="730"/>
      <c r="BB100" s="856"/>
      <c r="BC100" s="819"/>
      <c r="BD100" s="819"/>
      <c r="BE100" s="819"/>
      <c r="BF100" s="730"/>
      <c r="BG100" s="856"/>
      <c r="BH100" s="819"/>
      <c r="BI100" s="819"/>
      <c r="BJ100" s="819"/>
      <c r="BK100" s="730"/>
      <c r="BL100" s="856"/>
      <c r="BM100" s="819"/>
      <c r="BN100" s="819"/>
      <c r="BO100" s="819"/>
      <c r="BP100" s="730"/>
      <c r="BQ100" s="856"/>
      <c r="BR100" s="819"/>
      <c r="BS100" s="819"/>
      <c r="BT100" s="819"/>
      <c r="BU100" s="730"/>
      <c r="BV100" s="856"/>
      <c r="BW100" s="819"/>
      <c r="BX100" s="819"/>
      <c r="BY100" s="819"/>
      <c r="BZ100" s="730"/>
      <c r="CA100" s="856"/>
      <c r="CB100" s="819"/>
      <c r="CC100" s="819"/>
      <c r="CD100" s="819"/>
      <c r="CE100" s="4"/>
      <c r="CF100" s="819"/>
      <c r="CG100" s="781"/>
      <c r="CH100" s="856"/>
      <c r="CI100" s="819"/>
      <c r="CJ100" s="819"/>
      <c r="CK100" s="819"/>
      <c r="CL100" s="730"/>
      <c r="CM100" s="856"/>
      <c r="CN100" s="819"/>
      <c r="CO100" s="819"/>
      <c r="CP100" s="819"/>
      <c r="CQ100" s="819"/>
      <c r="CR100" s="730"/>
      <c r="CS100" s="856"/>
      <c r="CT100" s="819"/>
      <c r="CU100" s="819"/>
      <c r="CV100" s="819"/>
      <c r="CW100" s="819"/>
      <c r="CX100" s="730"/>
      <c r="CY100" s="856"/>
      <c r="CZ100" s="819"/>
      <c r="DA100" s="819"/>
      <c r="DB100" s="819"/>
      <c r="DC100" s="819"/>
      <c r="DD100" s="730"/>
      <c r="DE100" s="856"/>
      <c r="DF100" s="819"/>
      <c r="DG100" s="819"/>
      <c r="DH100" s="819"/>
      <c r="DI100" s="730"/>
    </row>
    <row r="101" spans="1:113" x14ac:dyDescent="0.45">
      <c r="A101" s="744" t="s">
        <v>2514</v>
      </c>
      <c r="B101" s="864">
        <v>0</v>
      </c>
      <c r="C101" s="820"/>
      <c r="D101" s="820"/>
      <c r="E101" s="865"/>
      <c r="F101" s="856">
        <v>0</v>
      </c>
      <c r="G101" s="819"/>
      <c r="H101" s="819"/>
      <c r="I101" s="819"/>
      <c r="J101" s="819"/>
      <c r="K101" s="819"/>
      <c r="L101" s="730"/>
      <c r="M101" s="856">
        <v>0.47840840267810475</v>
      </c>
      <c r="N101" s="819"/>
      <c r="O101" s="819"/>
      <c r="P101" s="819"/>
      <c r="Q101" s="819"/>
      <c r="R101" s="819"/>
      <c r="S101" s="819"/>
      <c r="T101" s="856">
        <v>0</v>
      </c>
      <c r="U101" s="819"/>
      <c r="V101" s="819"/>
      <c r="W101" s="819"/>
      <c r="X101" s="819"/>
      <c r="Y101" s="819"/>
      <c r="Z101" s="730"/>
      <c r="AA101" s="856">
        <v>0.21792602977425118</v>
      </c>
      <c r="AB101" s="819"/>
      <c r="AC101" s="819"/>
      <c r="AD101" s="819"/>
      <c r="AE101" s="819"/>
      <c r="AF101" s="819"/>
      <c r="AG101" s="819"/>
      <c r="AH101" s="856">
        <v>0</v>
      </c>
      <c r="AI101" s="820"/>
      <c r="AJ101" s="865"/>
      <c r="AK101" s="856">
        <v>0</v>
      </c>
      <c r="AL101" s="820"/>
      <c r="AM101" s="865"/>
      <c r="AN101" s="856"/>
      <c r="AO101" s="819"/>
      <c r="AP101" s="819"/>
      <c r="AQ101" s="819"/>
      <c r="AR101" s="819"/>
      <c r="AS101" s="819"/>
      <c r="AT101" s="730"/>
      <c r="AU101" s="856"/>
      <c r="AV101" s="819"/>
      <c r="AW101" s="819"/>
      <c r="AX101" s="819"/>
      <c r="AZ101" s="819"/>
      <c r="BA101" s="730"/>
      <c r="BB101" s="856"/>
      <c r="BC101" s="819"/>
      <c r="BD101" s="819"/>
      <c r="BE101" s="819"/>
      <c r="BF101" s="730"/>
      <c r="BG101" s="856"/>
      <c r="BH101" s="819"/>
      <c r="BI101" s="819"/>
      <c r="BJ101" s="819"/>
      <c r="BK101" s="730"/>
      <c r="BL101" s="856"/>
      <c r="BM101" s="819"/>
      <c r="BN101" s="819"/>
      <c r="BO101" s="819"/>
      <c r="BP101" s="730"/>
      <c r="BQ101" s="856"/>
      <c r="BR101" s="819"/>
      <c r="BS101" s="819"/>
      <c r="BT101" s="819"/>
      <c r="BU101" s="730"/>
      <c r="BV101" s="856"/>
      <c r="BW101" s="819"/>
      <c r="BX101" s="819"/>
      <c r="BY101" s="819"/>
      <c r="BZ101" s="730"/>
      <c r="CA101" s="856"/>
      <c r="CB101" s="819"/>
      <c r="CC101" s="819"/>
      <c r="CD101" s="819"/>
      <c r="CE101" s="4"/>
      <c r="CF101" s="819"/>
      <c r="CG101" s="781"/>
      <c r="CH101" s="856"/>
      <c r="CI101" s="819"/>
      <c r="CJ101" s="819"/>
      <c r="CK101" s="819"/>
      <c r="CL101" s="730"/>
      <c r="CM101" s="856"/>
      <c r="CN101" s="819"/>
      <c r="CO101" s="819"/>
      <c r="CP101" s="819"/>
      <c r="CQ101" s="819"/>
      <c r="CR101" s="730"/>
      <c r="CS101" s="856"/>
      <c r="CT101" s="819"/>
      <c r="CU101" s="819"/>
      <c r="CV101" s="819"/>
      <c r="CW101" s="819"/>
      <c r="CX101" s="730"/>
      <c r="CY101" s="856"/>
      <c r="CZ101" s="819"/>
      <c r="DA101" s="819"/>
      <c r="DB101" s="819"/>
      <c r="DC101" s="819"/>
      <c r="DD101" s="730"/>
      <c r="DE101" s="856"/>
      <c r="DF101" s="819"/>
      <c r="DG101" s="819"/>
      <c r="DH101" s="819"/>
      <c r="DI101" s="730"/>
    </row>
    <row r="102" spans="1:113" x14ac:dyDescent="0.45">
      <c r="A102" s="744" t="s">
        <v>2515</v>
      </c>
      <c r="B102" s="864"/>
      <c r="C102" s="820"/>
      <c r="D102" s="820"/>
      <c r="E102" s="865"/>
      <c r="F102" s="856">
        <v>0</v>
      </c>
      <c r="G102" s="819"/>
      <c r="H102" s="819"/>
      <c r="I102" s="819"/>
      <c r="J102" s="819"/>
      <c r="K102" s="819"/>
      <c r="L102" s="730"/>
      <c r="M102" s="856">
        <v>0</v>
      </c>
      <c r="N102" s="819"/>
      <c r="O102" s="819"/>
      <c r="P102" s="819"/>
      <c r="Q102" s="819"/>
      <c r="R102" s="819"/>
      <c r="S102" s="819"/>
      <c r="T102" s="856">
        <v>0</v>
      </c>
      <c r="U102" s="819"/>
      <c r="V102" s="819"/>
      <c r="W102" s="819"/>
      <c r="X102" s="819"/>
      <c r="Y102" s="819"/>
      <c r="Z102" s="730"/>
      <c r="AA102" s="856">
        <v>0</v>
      </c>
      <c r="AB102" s="819"/>
      <c r="AC102" s="819"/>
      <c r="AD102" s="819"/>
      <c r="AE102" s="819"/>
      <c r="AF102" s="819"/>
      <c r="AG102" s="819"/>
      <c r="AH102" s="856">
        <v>0</v>
      </c>
      <c r="AI102" s="820"/>
      <c r="AJ102" s="865"/>
      <c r="AK102" s="856">
        <v>0</v>
      </c>
      <c r="AL102" s="820"/>
      <c r="AM102" s="865"/>
      <c r="AN102" s="856"/>
      <c r="AO102" s="819"/>
      <c r="AP102" s="819"/>
      <c r="AQ102" s="819"/>
      <c r="AR102" s="819"/>
      <c r="AS102" s="819"/>
      <c r="AT102" s="730"/>
      <c r="AU102" s="856"/>
      <c r="AV102" s="819"/>
      <c r="AW102" s="819"/>
      <c r="AX102" s="819"/>
      <c r="AZ102" s="819"/>
      <c r="BA102" s="730"/>
      <c r="BB102" s="856"/>
      <c r="BC102" s="819"/>
      <c r="BD102" s="819"/>
      <c r="BE102" s="819"/>
      <c r="BF102" s="730"/>
      <c r="BG102" s="856"/>
      <c r="BH102" s="819"/>
      <c r="BI102" s="819"/>
      <c r="BJ102" s="819"/>
      <c r="BK102" s="730"/>
      <c r="BL102" s="856"/>
      <c r="BM102" s="819"/>
      <c r="BN102" s="819"/>
      <c r="BO102" s="819"/>
      <c r="BP102" s="730"/>
      <c r="BQ102" s="856"/>
      <c r="BR102" s="819"/>
      <c r="BS102" s="819"/>
      <c r="BT102" s="819"/>
      <c r="BU102" s="730"/>
      <c r="BV102" s="856"/>
      <c r="BW102" s="819"/>
      <c r="BX102" s="819"/>
      <c r="BY102" s="819"/>
      <c r="BZ102" s="730"/>
      <c r="CA102" s="856"/>
      <c r="CB102" s="819"/>
      <c r="CC102" s="819"/>
      <c r="CD102" s="819"/>
      <c r="CE102" s="4"/>
      <c r="CF102" s="819"/>
      <c r="CG102" s="781"/>
      <c r="CH102" s="856"/>
      <c r="CI102" s="819"/>
      <c r="CJ102" s="819"/>
      <c r="CK102" s="819"/>
      <c r="CL102" s="730"/>
      <c r="CM102" s="856"/>
      <c r="CN102" s="819"/>
      <c r="CO102" s="819"/>
      <c r="CP102" s="819"/>
      <c r="CQ102" s="819"/>
      <c r="CR102" s="730"/>
      <c r="CS102" s="856"/>
      <c r="CT102" s="819"/>
      <c r="CU102" s="819"/>
      <c r="CV102" s="819"/>
      <c r="CW102" s="819"/>
      <c r="CX102" s="730"/>
      <c r="CY102" s="856"/>
      <c r="CZ102" s="819"/>
      <c r="DA102" s="819"/>
      <c r="DB102" s="819"/>
      <c r="DC102" s="819"/>
      <c r="DD102" s="730"/>
      <c r="DE102" s="856"/>
      <c r="DF102" s="819"/>
      <c r="DG102" s="819"/>
      <c r="DH102" s="819"/>
      <c r="DI102" s="730"/>
    </row>
    <row r="103" spans="1:113" x14ac:dyDescent="0.45">
      <c r="A103" s="744" t="s">
        <v>2516</v>
      </c>
      <c r="B103" s="864"/>
      <c r="C103" s="820"/>
      <c r="D103" s="820"/>
      <c r="E103" s="865"/>
      <c r="F103" s="856">
        <v>0</v>
      </c>
      <c r="G103" s="819"/>
      <c r="H103" s="819"/>
      <c r="I103" s="819"/>
      <c r="J103" s="819"/>
      <c r="K103" s="819"/>
      <c r="L103" s="730"/>
      <c r="M103" s="856">
        <v>0</v>
      </c>
      <c r="N103" s="819"/>
      <c r="O103" s="819"/>
      <c r="P103" s="819"/>
      <c r="Q103" s="819"/>
      <c r="R103" s="819"/>
      <c r="S103" s="819"/>
      <c r="T103" s="856">
        <v>0</v>
      </c>
      <c r="U103" s="819"/>
      <c r="V103" s="819"/>
      <c r="W103" s="819"/>
      <c r="X103" s="819"/>
      <c r="Y103" s="819"/>
      <c r="Z103" s="730"/>
      <c r="AA103" s="856">
        <v>0</v>
      </c>
      <c r="AB103" s="819"/>
      <c r="AC103" s="819"/>
      <c r="AD103" s="819"/>
      <c r="AE103" s="819"/>
      <c r="AF103" s="819"/>
      <c r="AG103" s="819"/>
      <c r="AH103" s="856">
        <v>0</v>
      </c>
      <c r="AI103" s="820"/>
      <c r="AJ103" s="865"/>
      <c r="AK103" s="856">
        <v>0</v>
      </c>
      <c r="AL103" s="820"/>
      <c r="AM103" s="865"/>
      <c r="AN103" s="856"/>
      <c r="AO103" s="819"/>
      <c r="AP103" s="819"/>
      <c r="AQ103" s="819"/>
      <c r="AR103" s="819"/>
      <c r="AS103" s="819"/>
      <c r="AT103" s="730"/>
      <c r="AU103" s="856"/>
      <c r="AV103" s="819"/>
      <c r="AW103" s="819"/>
      <c r="AX103" s="819"/>
      <c r="AZ103" s="819"/>
      <c r="BA103" s="730"/>
      <c r="BB103" s="856"/>
      <c r="BC103" s="819"/>
      <c r="BD103" s="819"/>
      <c r="BE103" s="819"/>
      <c r="BF103" s="730"/>
      <c r="BG103" s="856"/>
      <c r="BH103" s="819"/>
      <c r="BI103" s="819"/>
      <c r="BJ103" s="819"/>
      <c r="BK103" s="730"/>
      <c r="BL103" s="856"/>
      <c r="BM103" s="819"/>
      <c r="BN103" s="819"/>
      <c r="BO103" s="819"/>
      <c r="BP103" s="730"/>
      <c r="BQ103" s="856"/>
      <c r="BR103" s="819"/>
      <c r="BS103" s="819"/>
      <c r="BT103" s="819"/>
      <c r="BU103" s="730"/>
      <c r="BV103" s="856"/>
      <c r="BW103" s="819"/>
      <c r="BX103" s="819"/>
      <c r="BY103" s="819"/>
      <c r="BZ103" s="730"/>
      <c r="CA103" s="856"/>
      <c r="CB103" s="819"/>
      <c r="CC103" s="819"/>
      <c r="CD103" s="819"/>
      <c r="CE103" s="4"/>
      <c r="CF103" s="819"/>
      <c r="CG103" s="781"/>
      <c r="CH103" s="856"/>
      <c r="CI103" s="819"/>
      <c r="CJ103" s="819"/>
      <c r="CK103" s="819"/>
      <c r="CL103" s="730"/>
      <c r="CM103" s="856"/>
      <c r="CN103" s="819"/>
      <c r="CO103" s="819"/>
      <c r="CP103" s="819"/>
      <c r="CQ103" s="819"/>
      <c r="CR103" s="730"/>
      <c r="CS103" s="856"/>
      <c r="CT103" s="819"/>
      <c r="CU103" s="819"/>
      <c r="CV103" s="819"/>
      <c r="CW103" s="819"/>
      <c r="CX103" s="730"/>
      <c r="CY103" s="856"/>
      <c r="CZ103" s="819"/>
      <c r="DA103" s="819"/>
      <c r="DB103" s="819"/>
      <c r="DC103" s="819"/>
      <c r="DD103" s="730"/>
      <c r="DE103" s="856"/>
      <c r="DF103" s="819"/>
      <c r="DG103" s="819"/>
      <c r="DH103" s="819"/>
      <c r="DI103" s="730"/>
    </row>
    <row r="104" spans="1:113" x14ac:dyDescent="0.45">
      <c r="A104" s="744" t="s">
        <v>2517</v>
      </c>
      <c r="B104" s="864">
        <v>1.3916969297971902E-3</v>
      </c>
      <c r="C104" s="820"/>
      <c r="D104" s="820"/>
      <c r="E104" s="865"/>
      <c r="F104" s="856">
        <v>0</v>
      </c>
      <c r="G104" s="819"/>
      <c r="H104" s="819"/>
      <c r="I104" s="819"/>
      <c r="J104" s="819"/>
      <c r="K104" s="819"/>
      <c r="L104" s="730"/>
      <c r="M104" s="856">
        <v>0</v>
      </c>
      <c r="N104" s="819"/>
      <c r="O104" s="819"/>
      <c r="P104" s="819"/>
      <c r="Q104" s="819"/>
      <c r="R104" s="819"/>
      <c r="S104" s="819"/>
      <c r="T104" s="856">
        <v>0</v>
      </c>
      <c r="U104" s="819"/>
      <c r="V104" s="819"/>
      <c r="W104" s="819"/>
      <c r="X104" s="819"/>
      <c r="Y104" s="819"/>
      <c r="Z104" s="730"/>
      <c r="AA104" s="856">
        <v>0</v>
      </c>
      <c r="AB104" s="819"/>
      <c r="AC104" s="819"/>
      <c r="AD104" s="819"/>
      <c r="AE104" s="819"/>
      <c r="AF104" s="819"/>
      <c r="AG104" s="819"/>
      <c r="AH104" s="856">
        <v>2.4027929178386197E-3</v>
      </c>
      <c r="AI104" s="820"/>
      <c r="AJ104" s="865"/>
      <c r="AK104" s="856">
        <v>2.4027929178386197E-3</v>
      </c>
      <c r="AL104" s="820"/>
      <c r="AM104" s="865"/>
      <c r="AN104" s="856">
        <v>0</v>
      </c>
      <c r="AO104" s="819"/>
      <c r="AP104" s="819"/>
      <c r="AQ104" s="819"/>
      <c r="AR104" s="819"/>
      <c r="AS104" s="819"/>
      <c r="AT104" s="730"/>
      <c r="AU104" s="856">
        <v>0</v>
      </c>
      <c r="AV104" s="819"/>
      <c r="AW104" s="819"/>
      <c r="AX104" s="819"/>
      <c r="AZ104" s="819"/>
      <c r="BA104" s="730"/>
      <c r="BB104" s="867">
        <v>0</v>
      </c>
      <c r="BC104" s="843"/>
      <c r="BD104" s="843"/>
      <c r="BE104" s="843"/>
      <c r="BF104" s="732"/>
      <c r="BG104" s="867">
        <v>0</v>
      </c>
      <c r="BH104" s="843"/>
      <c r="BI104" s="843"/>
      <c r="BJ104" s="843"/>
      <c r="BK104" s="732"/>
      <c r="BL104" s="867">
        <v>0</v>
      </c>
      <c r="BM104" s="843"/>
      <c r="BN104" s="843"/>
      <c r="BO104" s="843"/>
      <c r="BP104" s="732"/>
      <c r="BQ104" s="867">
        <v>0</v>
      </c>
      <c r="BR104" s="843"/>
      <c r="BS104" s="843"/>
      <c r="BT104" s="843"/>
      <c r="BU104" s="732"/>
      <c r="BV104" s="867">
        <v>0</v>
      </c>
      <c r="BW104" s="843"/>
      <c r="BX104" s="843"/>
      <c r="BY104" s="843"/>
      <c r="BZ104" s="732"/>
      <c r="CA104" s="867">
        <v>0</v>
      </c>
      <c r="CB104" s="843"/>
      <c r="CC104" s="843"/>
      <c r="CD104" s="843"/>
      <c r="CE104" s="868"/>
      <c r="CF104" s="843"/>
      <c r="CG104" s="782"/>
      <c r="CH104" s="856">
        <v>0</v>
      </c>
      <c r="CI104" s="819"/>
      <c r="CJ104" s="819"/>
      <c r="CK104" s="819"/>
      <c r="CL104" s="732"/>
      <c r="CM104" s="856">
        <v>0</v>
      </c>
      <c r="CN104" s="819"/>
      <c r="CO104" s="819"/>
      <c r="CP104" s="819"/>
      <c r="CQ104" s="819"/>
      <c r="CR104" s="730"/>
      <c r="CS104" s="856">
        <v>0</v>
      </c>
      <c r="CT104" s="819"/>
      <c r="CU104" s="819"/>
      <c r="CV104" s="819"/>
      <c r="CW104" s="819"/>
      <c r="CX104" s="730"/>
      <c r="CY104" s="856">
        <v>0</v>
      </c>
      <c r="CZ104" s="819"/>
      <c r="DA104" s="819"/>
      <c r="DB104" s="819"/>
      <c r="DC104" s="819"/>
      <c r="DD104" s="730"/>
      <c r="DE104" s="867">
        <v>0</v>
      </c>
      <c r="DF104" s="843"/>
      <c r="DG104" s="843"/>
      <c r="DH104" s="843"/>
      <c r="DI104" s="732"/>
    </row>
    <row r="105" spans="1:113" x14ac:dyDescent="0.45">
      <c r="A105" s="861" t="s">
        <v>2518</v>
      </c>
      <c r="B105" s="779"/>
      <c r="C105" s="785"/>
      <c r="D105" s="785"/>
      <c r="E105" s="786"/>
      <c r="F105" s="779"/>
      <c r="G105" s="785"/>
      <c r="H105" s="785"/>
      <c r="I105" s="785"/>
      <c r="J105" s="785"/>
      <c r="K105" s="785"/>
      <c r="L105" s="786"/>
      <c r="M105" s="785"/>
      <c r="N105" s="785"/>
      <c r="O105" s="785"/>
      <c r="P105" s="785"/>
      <c r="Q105" s="785"/>
      <c r="R105" s="785"/>
      <c r="S105" s="785"/>
      <c r="T105" s="779"/>
      <c r="U105" s="785"/>
      <c r="V105" s="785"/>
      <c r="W105" s="785"/>
      <c r="X105" s="785"/>
      <c r="Y105" s="785"/>
      <c r="Z105" s="786"/>
      <c r="AA105" s="785"/>
      <c r="AB105" s="785"/>
      <c r="AC105" s="785"/>
      <c r="AD105" s="785"/>
      <c r="AE105" s="785"/>
      <c r="AF105" s="785"/>
      <c r="AG105" s="785"/>
      <c r="AH105" s="779"/>
      <c r="AI105" s="785"/>
      <c r="AJ105" s="786"/>
      <c r="AK105" s="779"/>
      <c r="AL105" s="785"/>
      <c r="AM105" s="786"/>
      <c r="AN105" s="779"/>
      <c r="AO105" s="785"/>
      <c r="AP105" s="785"/>
      <c r="AQ105" s="785"/>
      <c r="AR105" s="785"/>
      <c r="AS105" s="785"/>
      <c r="AT105" s="786"/>
      <c r="AU105" s="779"/>
      <c r="AV105" s="785"/>
      <c r="AW105" s="785"/>
      <c r="AX105" s="785"/>
      <c r="AZ105" s="785"/>
      <c r="BA105" s="785"/>
      <c r="BB105" s="779"/>
      <c r="BC105" s="785"/>
      <c r="BD105" s="785"/>
      <c r="BE105" s="785"/>
      <c r="BF105" s="786"/>
      <c r="BG105" s="779"/>
      <c r="BH105" s="785"/>
      <c r="BI105" s="785"/>
      <c r="BJ105" s="785"/>
      <c r="BK105" s="785"/>
      <c r="BL105" s="779"/>
      <c r="BM105" s="785"/>
      <c r="BN105" s="785"/>
      <c r="BO105" s="785"/>
      <c r="BP105" s="786"/>
      <c r="BQ105" s="779"/>
      <c r="BR105" s="785"/>
      <c r="BS105" s="785"/>
      <c r="BT105" s="785"/>
      <c r="BU105" s="785"/>
      <c r="BV105" s="779"/>
      <c r="BW105" s="785"/>
      <c r="BX105" s="785"/>
      <c r="BY105" s="785"/>
      <c r="BZ105" s="786"/>
      <c r="CA105" s="779"/>
      <c r="CB105" s="785"/>
      <c r="CC105" s="785"/>
      <c r="CD105" s="785"/>
      <c r="CE105" s="785"/>
      <c r="CF105" s="785"/>
      <c r="CG105" s="786"/>
      <c r="CH105" s="779"/>
      <c r="CI105" s="785"/>
      <c r="CJ105" s="785"/>
      <c r="CK105" s="785"/>
      <c r="CL105" s="786"/>
      <c r="CM105" s="779"/>
      <c r="CN105" s="785"/>
      <c r="CO105" s="785"/>
      <c r="CP105" s="785"/>
      <c r="CQ105" s="785"/>
      <c r="CR105" s="786"/>
      <c r="CS105" s="779"/>
      <c r="CT105" s="785"/>
      <c r="CU105" s="785"/>
      <c r="CV105" s="785"/>
      <c r="CW105" s="785"/>
      <c r="CX105" s="786"/>
      <c r="CY105" s="779"/>
      <c r="CZ105" s="785"/>
      <c r="DA105" s="785"/>
      <c r="DB105" s="785"/>
      <c r="DC105" s="785"/>
      <c r="DD105" s="786"/>
      <c r="DE105" s="779"/>
      <c r="DF105" s="785"/>
      <c r="DG105" s="785"/>
      <c r="DH105" s="785"/>
      <c r="DI105" s="786"/>
    </row>
    <row r="106" spans="1:113" x14ac:dyDescent="0.45">
      <c r="A106" s="744" t="s">
        <v>2510</v>
      </c>
      <c r="B106" s="869">
        <v>203.79761287147019</v>
      </c>
      <c r="C106" s="870"/>
      <c r="D106" s="870"/>
      <c r="E106" s="871"/>
      <c r="F106" s="872">
        <v>21404</v>
      </c>
      <c r="G106" s="873"/>
      <c r="H106" s="873"/>
      <c r="I106" s="873"/>
      <c r="J106" s="873"/>
      <c r="K106" s="873"/>
      <c r="L106" s="874"/>
      <c r="M106" s="875">
        <v>17930</v>
      </c>
      <c r="N106" s="873"/>
      <c r="O106" s="873"/>
      <c r="P106" s="873"/>
      <c r="Q106" s="873"/>
      <c r="R106" s="873"/>
      <c r="S106" s="873"/>
      <c r="T106" s="876"/>
      <c r="U106" s="873"/>
      <c r="V106" s="873"/>
      <c r="W106" s="873"/>
      <c r="X106" s="873"/>
      <c r="Y106" s="873"/>
      <c r="Z106" s="874"/>
      <c r="AA106" s="873"/>
      <c r="AB106" s="873"/>
      <c r="AC106" s="873"/>
      <c r="AD106" s="873"/>
      <c r="AE106" s="873"/>
      <c r="AF106" s="873"/>
      <c r="AG106" s="873"/>
      <c r="AH106" s="869"/>
      <c r="AI106" s="870"/>
      <c r="AJ106" s="871"/>
      <c r="AK106" s="869"/>
      <c r="AL106" s="870"/>
      <c r="AM106" s="871"/>
      <c r="AN106" s="876">
        <v>0</v>
      </c>
      <c r="AO106" s="873"/>
      <c r="AP106" s="7"/>
      <c r="AQ106" s="873"/>
      <c r="AR106" s="873"/>
      <c r="AS106" s="873"/>
      <c r="AT106" s="874"/>
      <c r="AU106" s="876">
        <v>0</v>
      </c>
      <c r="AV106" s="873"/>
      <c r="AW106" s="7"/>
      <c r="AX106" s="7"/>
      <c r="AZ106" s="7"/>
      <c r="BA106" s="7"/>
      <c r="BB106" s="876">
        <v>0</v>
      </c>
      <c r="BC106" s="873"/>
      <c r="BD106" s="873"/>
      <c r="BE106" s="873"/>
      <c r="BF106" s="874"/>
      <c r="BG106" s="876">
        <v>0</v>
      </c>
      <c r="BH106" s="873"/>
      <c r="BI106" s="873"/>
      <c r="BJ106" s="873"/>
      <c r="BK106" s="873"/>
      <c r="BL106" s="876">
        <v>0</v>
      </c>
      <c r="BM106" s="873"/>
      <c r="BN106" s="7"/>
      <c r="BO106" s="873"/>
      <c r="BP106" s="874"/>
      <c r="BQ106" s="876">
        <v>0</v>
      </c>
      <c r="BR106" s="873"/>
      <c r="BS106" s="7"/>
      <c r="BT106" s="870"/>
      <c r="BU106" s="7"/>
      <c r="BV106" s="876">
        <v>0</v>
      </c>
      <c r="BW106" s="873"/>
      <c r="BX106" s="7"/>
      <c r="BY106" s="870"/>
      <c r="BZ106" s="877"/>
      <c r="CA106" s="876">
        <v>0</v>
      </c>
      <c r="CB106" s="873"/>
      <c r="CC106" s="7"/>
      <c r="CD106" s="870"/>
      <c r="CE106" s="7"/>
      <c r="CF106" s="870"/>
      <c r="CG106" s="877"/>
      <c r="CH106" s="876">
        <v>0</v>
      </c>
      <c r="CI106" s="873"/>
      <c r="CJ106" s="7"/>
      <c r="CK106" s="873"/>
      <c r="CL106" s="874"/>
      <c r="CM106" s="876">
        <v>0</v>
      </c>
      <c r="CN106" s="873"/>
      <c r="CO106" s="7"/>
      <c r="CP106" s="873"/>
      <c r="CQ106" s="873"/>
      <c r="CR106" s="874"/>
      <c r="CS106" s="876">
        <v>0</v>
      </c>
      <c r="CT106" s="873"/>
      <c r="CU106" s="7"/>
      <c r="CV106" s="873"/>
      <c r="CW106" s="873"/>
      <c r="CX106" s="874"/>
      <c r="CY106" s="876">
        <v>0</v>
      </c>
      <c r="CZ106" s="873"/>
      <c r="DA106" s="7"/>
      <c r="DB106" s="873"/>
      <c r="DC106" s="873"/>
      <c r="DD106" s="874"/>
      <c r="DE106" s="876">
        <v>0</v>
      </c>
      <c r="DF106" s="873"/>
      <c r="DG106" s="7"/>
      <c r="DH106" s="873"/>
      <c r="DI106" s="874"/>
    </row>
    <row r="107" spans="1:113" x14ac:dyDescent="0.45">
      <c r="A107" s="744" t="s">
        <v>2385</v>
      </c>
      <c r="B107" s="869">
        <v>203.79761287147019</v>
      </c>
      <c r="C107" s="870"/>
      <c r="D107" s="870"/>
      <c r="E107" s="871"/>
      <c r="F107" s="876"/>
      <c r="G107" s="873"/>
      <c r="H107" s="873"/>
      <c r="I107" s="873"/>
      <c r="J107" s="873"/>
      <c r="K107" s="873"/>
      <c r="L107" s="874"/>
      <c r="M107" s="873"/>
      <c r="N107" s="873"/>
      <c r="O107" s="873"/>
      <c r="P107" s="873"/>
      <c r="Q107" s="873"/>
      <c r="R107" s="873"/>
      <c r="S107" s="873"/>
      <c r="T107" s="876"/>
      <c r="U107" s="873"/>
      <c r="V107" s="873"/>
      <c r="W107" s="873"/>
      <c r="X107" s="873"/>
      <c r="Y107" s="873"/>
      <c r="Z107" s="874"/>
      <c r="AA107" s="873"/>
      <c r="AB107" s="873"/>
      <c r="AC107" s="873"/>
      <c r="AD107" s="873"/>
      <c r="AE107" s="873"/>
      <c r="AF107" s="873"/>
      <c r="AG107" s="873"/>
      <c r="AH107" s="869"/>
      <c r="AI107" s="870"/>
      <c r="AJ107" s="871"/>
      <c r="AK107" s="869"/>
      <c r="AL107" s="870"/>
      <c r="AM107" s="871"/>
      <c r="AN107" s="876">
        <v>92769.409254761442</v>
      </c>
      <c r="AO107" s="873"/>
      <c r="AP107" s="873"/>
      <c r="AQ107" s="873"/>
      <c r="AR107" s="873"/>
      <c r="AS107" s="873"/>
      <c r="AT107" s="874"/>
      <c r="AU107" s="876">
        <v>137885.07684153982</v>
      </c>
      <c r="AV107" s="873"/>
      <c r="AW107" s="7"/>
      <c r="AX107" s="7"/>
      <c r="AZ107" s="7"/>
      <c r="BA107" s="7"/>
      <c r="BB107" s="876">
        <v>105628.95112290347</v>
      </c>
      <c r="BC107" s="873"/>
      <c r="BD107" s="873"/>
      <c r="BE107" s="873"/>
      <c r="BF107" s="874"/>
      <c r="BG107" s="876">
        <v>26987.321884290493</v>
      </c>
      <c r="BH107" s="873"/>
      <c r="BI107" s="873"/>
      <c r="BJ107" s="873"/>
      <c r="BK107" s="873"/>
      <c r="BL107" s="876">
        <v>31057.672648011368</v>
      </c>
      <c r="BM107" s="873"/>
      <c r="BN107" s="7"/>
      <c r="BO107" s="873"/>
      <c r="BP107" s="874"/>
      <c r="BQ107" s="876">
        <v>31057.672648011368</v>
      </c>
      <c r="BR107" s="873"/>
      <c r="BS107" s="7"/>
      <c r="BT107" s="870"/>
      <c r="BU107" s="7"/>
      <c r="BV107" s="876">
        <v>38399.85820241669</v>
      </c>
      <c r="BW107" s="873"/>
      <c r="BX107" s="7"/>
      <c r="BY107" s="870"/>
      <c r="BZ107" s="877"/>
      <c r="CA107" s="876">
        <v>25616.81272315708</v>
      </c>
      <c r="CB107" s="873"/>
      <c r="CC107" s="7"/>
      <c r="CD107" s="870"/>
      <c r="CE107" s="7"/>
      <c r="CF107" s="870"/>
      <c r="CG107" s="877"/>
      <c r="CH107" s="876">
        <v>14953.306492722313</v>
      </c>
      <c r="CI107" s="873"/>
      <c r="CJ107" s="7"/>
      <c r="CK107" s="873"/>
      <c r="CL107" s="874"/>
      <c r="CM107" s="876">
        <v>90660.865985434284</v>
      </c>
      <c r="CN107" s="873"/>
      <c r="CO107" s="873"/>
      <c r="CP107" s="873"/>
      <c r="CQ107" s="873"/>
      <c r="CR107" s="874"/>
      <c r="CS107" s="876">
        <v>90408.699081092025</v>
      </c>
      <c r="CT107" s="873"/>
      <c r="CU107" s="873"/>
      <c r="CV107" s="873"/>
      <c r="CW107" s="873"/>
      <c r="CX107" s="874"/>
      <c r="CY107" s="876">
        <v>86811.162440015833</v>
      </c>
      <c r="CZ107" s="873"/>
      <c r="DA107" s="873"/>
      <c r="DB107" s="873"/>
      <c r="DC107" s="873"/>
      <c r="DD107" s="874"/>
      <c r="DE107" s="876">
        <v>35163.091140504876</v>
      </c>
      <c r="DF107" s="873"/>
      <c r="DG107" s="7"/>
      <c r="DH107" s="873"/>
      <c r="DI107" s="874"/>
    </row>
    <row r="108" spans="1:113" x14ac:dyDescent="0.45">
      <c r="A108" s="744" t="s">
        <v>2511</v>
      </c>
      <c r="B108" s="869">
        <v>3056.9641930720527</v>
      </c>
      <c r="C108" s="873"/>
      <c r="D108" s="870"/>
      <c r="E108" s="871"/>
      <c r="F108" s="876"/>
      <c r="G108" s="873"/>
      <c r="H108" s="873"/>
      <c r="I108" s="873"/>
      <c r="J108" s="873"/>
      <c r="K108" s="873"/>
      <c r="L108" s="874"/>
      <c r="M108" s="873"/>
      <c r="N108" s="873"/>
      <c r="O108" s="873"/>
      <c r="P108" s="873"/>
      <c r="Q108" s="873"/>
      <c r="R108" s="873"/>
      <c r="S108" s="873"/>
      <c r="T108" s="876"/>
      <c r="U108" s="873"/>
      <c r="V108" s="873"/>
      <c r="W108" s="873"/>
      <c r="X108" s="873"/>
      <c r="Y108" s="873"/>
      <c r="Z108" s="874"/>
      <c r="AA108" s="873"/>
      <c r="AB108" s="873"/>
      <c r="AC108" s="873"/>
      <c r="AD108" s="873"/>
      <c r="AE108" s="873"/>
      <c r="AF108" s="873"/>
      <c r="AG108" s="873"/>
      <c r="AH108" s="872">
        <v>1308</v>
      </c>
      <c r="AI108" s="873"/>
      <c r="AJ108" s="871"/>
      <c r="AK108" s="872">
        <v>976</v>
      </c>
      <c r="AL108" s="873"/>
      <c r="AM108" s="871"/>
      <c r="AN108" s="876">
        <v>0</v>
      </c>
      <c r="AO108" s="873"/>
      <c r="AP108" s="873"/>
      <c r="AQ108" s="873"/>
      <c r="AR108" s="873"/>
      <c r="AS108" s="873"/>
      <c r="AT108" s="874"/>
      <c r="AU108" s="876">
        <v>0</v>
      </c>
      <c r="AV108" s="873"/>
      <c r="AW108" s="7"/>
      <c r="AX108" s="7"/>
      <c r="AZ108" s="7"/>
      <c r="BA108" s="7"/>
      <c r="BB108" s="876">
        <v>0</v>
      </c>
      <c r="BC108" s="873"/>
      <c r="BD108" s="873"/>
      <c r="BE108" s="873"/>
      <c r="BF108" s="874"/>
      <c r="BG108" s="876">
        <v>0</v>
      </c>
      <c r="BH108" s="873"/>
      <c r="BI108" s="873"/>
      <c r="BJ108" s="873"/>
      <c r="BK108" s="873"/>
      <c r="BL108" s="876">
        <v>0</v>
      </c>
      <c r="BM108" s="873"/>
      <c r="BN108" s="7"/>
      <c r="BO108" s="873"/>
      <c r="BP108" s="874"/>
      <c r="BQ108" s="876">
        <v>0</v>
      </c>
      <c r="BR108" s="873"/>
      <c r="BS108" s="7"/>
      <c r="BT108" s="870"/>
      <c r="BU108" s="7"/>
      <c r="BV108" s="876">
        <v>0</v>
      </c>
      <c r="BW108" s="873"/>
      <c r="BX108" s="7"/>
      <c r="BY108" s="870"/>
      <c r="BZ108" s="877"/>
      <c r="CA108" s="876">
        <v>0</v>
      </c>
      <c r="CB108" s="873"/>
      <c r="CC108" s="7"/>
      <c r="CD108" s="870"/>
      <c r="CE108" s="7"/>
      <c r="CF108" s="870"/>
      <c r="CG108" s="877"/>
      <c r="CH108" s="876">
        <v>0</v>
      </c>
      <c r="CI108" s="873"/>
      <c r="CJ108" s="7"/>
      <c r="CK108" s="873"/>
      <c r="CL108" s="874"/>
      <c r="CM108" s="876">
        <v>0</v>
      </c>
      <c r="CN108" s="873"/>
      <c r="CO108" s="873"/>
      <c r="CP108" s="873"/>
      <c r="CQ108" s="873"/>
      <c r="CR108" s="874"/>
      <c r="CS108" s="876">
        <v>0</v>
      </c>
      <c r="CT108" s="873"/>
      <c r="CU108" s="873"/>
      <c r="CV108" s="873"/>
      <c r="CW108" s="873"/>
      <c r="CX108" s="874"/>
      <c r="CY108" s="876">
        <v>0</v>
      </c>
      <c r="CZ108" s="873"/>
      <c r="DA108" s="873"/>
      <c r="DB108" s="873"/>
      <c r="DC108" s="873"/>
      <c r="DD108" s="874"/>
      <c r="DE108" s="876">
        <v>0</v>
      </c>
      <c r="DF108" s="873"/>
      <c r="DG108" s="7"/>
      <c r="DH108" s="873"/>
      <c r="DI108" s="874"/>
    </row>
    <row r="109" spans="1:113" x14ac:dyDescent="0.45">
      <c r="A109" s="744" t="s">
        <v>1666</v>
      </c>
      <c r="B109" s="869">
        <v>407.59522574294039</v>
      </c>
      <c r="C109" s="870"/>
      <c r="D109" s="870"/>
      <c r="E109" s="871"/>
      <c r="F109" s="876"/>
      <c r="G109" s="873"/>
      <c r="H109" s="873"/>
      <c r="I109" s="873"/>
      <c r="J109" s="873"/>
      <c r="K109" s="873"/>
      <c r="L109" s="874"/>
      <c r="M109" s="873"/>
      <c r="N109" s="873"/>
      <c r="O109" s="873"/>
      <c r="P109" s="873"/>
      <c r="Q109" s="873"/>
      <c r="R109" s="873"/>
      <c r="S109" s="873"/>
      <c r="T109" s="876"/>
      <c r="U109" s="873"/>
      <c r="V109" s="873"/>
      <c r="W109" s="873"/>
      <c r="X109" s="873"/>
      <c r="Y109" s="873"/>
      <c r="Z109" s="874"/>
      <c r="AA109" s="873"/>
      <c r="AB109" s="873"/>
      <c r="AC109" s="873"/>
      <c r="AD109" s="873"/>
      <c r="AE109" s="873"/>
      <c r="AF109" s="873"/>
      <c r="AG109" s="873"/>
      <c r="AH109" s="869"/>
      <c r="AI109" s="870"/>
      <c r="AJ109" s="871"/>
      <c r="AK109" s="869"/>
      <c r="AL109" s="870"/>
      <c r="AM109" s="871"/>
      <c r="AN109" s="876">
        <v>0</v>
      </c>
      <c r="AO109" s="873"/>
      <c r="AP109" s="873"/>
      <c r="AQ109" s="873"/>
      <c r="AR109" s="873"/>
      <c r="AS109" s="873"/>
      <c r="AT109" s="874"/>
      <c r="AU109" s="876">
        <v>0</v>
      </c>
      <c r="AV109" s="873"/>
      <c r="AW109" s="7"/>
      <c r="AX109" s="7"/>
      <c r="AZ109" s="7"/>
      <c r="BA109" s="7"/>
      <c r="BB109" s="876">
        <v>0</v>
      </c>
      <c r="BC109" s="873"/>
      <c r="BD109" s="873"/>
      <c r="BE109" s="873"/>
      <c r="BF109" s="874"/>
      <c r="BG109" s="876">
        <v>0</v>
      </c>
      <c r="BH109" s="873"/>
      <c r="BI109" s="873"/>
      <c r="BJ109" s="873"/>
      <c r="BK109" s="873"/>
      <c r="BL109" s="876">
        <v>0</v>
      </c>
      <c r="BM109" s="873"/>
      <c r="BN109" s="7"/>
      <c r="BO109" s="873"/>
      <c r="BP109" s="874"/>
      <c r="BQ109" s="876">
        <v>0</v>
      </c>
      <c r="BR109" s="873"/>
      <c r="BS109" s="7"/>
      <c r="BT109" s="870"/>
      <c r="BU109" s="7"/>
      <c r="BV109" s="876">
        <v>0</v>
      </c>
      <c r="BW109" s="873"/>
      <c r="BX109" s="7"/>
      <c r="BY109" s="870"/>
      <c r="BZ109" s="877"/>
      <c r="CA109" s="876">
        <v>0</v>
      </c>
      <c r="CB109" s="873"/>
      <c r="CC109" s="7"/>
      <c r="CD109" s="870"/>
      <c r="CE109" s="7"/>
      <c r="CF109" s="870"/>
      <c r="CG109" s="877"/>
      <c r="CH109" s="876">
        <v>0</v>
      </c>
      <c r="CI109" s="873"/>
      <c r="CJ109" s="7"/>
      <c r="CK109" s="873"/>
      <c r="CL109" s="874"/>
      <c r="CM109" s="876">
        <v>0</v>
      </c>
      <c r="CN109" s="873"/>
      <c r="CO109" s="873"/>
      <c r="CP109" s="873"/>
      <c r="CQ109" s="873"/>
      <c r="CR109" s="874"/>
      <c r="CS109" s="876">
        <v>0</v>
      </c>
      <c r="CT109" s="873"/>
      <c r="CU109" s="873"/>
      <c r="CV109" s="873"/>
      <c r="CW109" s="873"/>
      <c r="CX109" s="874"/>
      <c r="CY109" s="876">
        <v>0</v>
      </c>
      <c r="CZ109" s="873"/>
      <c r="DA109" s="873"/>
      <c r="DB109" s="873"/>
      <c r="DC109" s="873"/>
      <c r="DD109" s="874"/>
      <c r="DE109" s="876">
        <v>0</v>
      </c>
      <c r="DF109" s="873"/>
      <c r="DG109" s="7"/>
      <c r="DH109" s="873"/>
      <c r="DI109" s="874"/>
    </row>
    <row r="110" spans="1:113" x14ac:dyDescent="0.45">
      <c r="A110" s="744" t="s">
        <v>1534</v>
      </c>
      <c r="B110" s="869">
        <v>12635.451998031151</v>
      </c>
      <c r="C110" s="870"/>
      <c r="D110" s="870"/>
      <c r="E110" s="871"/>
      <c r="F110" s="872">
        <v>58332</v>
      </c>
      <c r="G110" s="873"/>
      <c r="H110" s="873"/>
      <c r="I110" s="873"/>
      <c r="J110" s="873"/>
      <c r="K110" s="873"/>
      <c r="L110" s="874"/>
      <c r="M110" s="875">
        <v>81118</v>
      </c>
      <c r="N110" s="875">
        <v>48528</v>
      </c>
      <c r="O110" s="873"/>
      <c r="P110" s="873"/>
      <c r="Q110" s="873"/>
      <c r="R110" s="873"/>
      <c r="S110" s="873"/>
      <c r="T110" s="872">
        <v>175213</v>
      </c>
      <c r="U110" s="873"/>
      <c r="V110" s="873"/>
      <c r="W110" s="873"/>
      <c r="X110" s="873"/>
      <c r="Y110" s="873"/>
      <c r="Z110" s="874"/>
      <c r="AA110" s="875">
        <v>235175</v>
      </c>
      <c r="AB110" s="875">
        <v>17201</v>
      </c>
      <c r="AC110" s="873"/>
      <c r="AD110" s="873"/>
      <c r="AE110" s="873"/>
      <c r="AF110" s="873"/>
      <c r="AG110" s="873"/>
      <c r="AH110" s="872">
        <v>10443</v>
      </c>
      <c r="AI110" s="870"/>
      <c r="AJ110" s="871"/>
      <c r="AK110" s="872">
        <v>13629</v>
      </c>
      <c r="AL110" s="870"/>
      <c r="AM110" s="871"/>
      <c r="AN110" s="876">
        <v>62669.120243345278</v>
      </c>
      <c r="AO110" s="873"/>
      <c r="AP110" s="873"/>
      <c r="AQ110" s="873"/>
      <c r="AR110" s="873"/>
      <c r="AS110" s="873"/>
      <c r="AT110" s="874"/>
      <c r="AU110" s="876">
        <v>85203.104328702248</v>
      </c>
      <c r="AV110" s="873"/>
      <c r="AW110" s="7"/>
      <c r="AX110" s="7"/>
      <c r="AZ110" s="7"/>
      <c r="BA110" s="7"/>
      <c r="BB110" s="876">
        <v>44392.856992300702</v>
      </c>
      <c r="BC110" s="873"/>
      <c r="BD110" s="873"/>
      <c r="BE110" s="873"/>
      <c r="BF110" s="874"/>
      <c r="BG110" s="876">
        <v>24316.845770919928</v>
      </c>
      <c r="BH110" s="873"/>
      <c r="BI110" s="873"/>
      <c r="BJ110" s="873"/>
      <c r="BK110" s="873"/>
      <c r="BL110" s="876">
        <v>51881.7826610458</v>
      </c>
      <c r="BM110" s="873"/>
      <c r="BN110" s="7"/>
      <c r="BO110" s="873"/>
      <c r="BP110" s="874"/>
      <c r="BQ110" s="876">
        <v>51881.7826610458</v>
      </c>
      <c r="BR110" s="873"/>
      <c r="BS110" s="7"/>
      <c r="BT110" s="870"/>
      <c r="BU110" s="7"/>
      <c r="BV110" s="876">
        <v>132495.23022843333</v>
      </c>
      <c r="BW110" s="873"/>
      <c r="BX110" s="7"/>
      <c r="BY110" s="870"/>
      <c r="BZ110" s="877"/>
      <c r="CA110" s="876">
        <v>49150.48162917958</v>
      </c>
      <c r="CB110" s="873"/>
      <c r="CC110" s="7"/>
      <c r="CD110" s="870"/>
      <c r="CE110" s="7"/>
      <c r="CF110" s="870"/>
      <c r="CG110" s="877"/>
      <c r="CH110" s="876">
        <v>35921.502019990061</v>
      </c>
      <c r="CI110" s="873"/>
      <c r="CJ110" s="7"/>
      <c r="CK110" s="873"/>
      <c r="CL110" s="874"/>
      <c r="CM110" s="876">
        <v>66729.214179081799</v>
      </c>
      <c r="CN110" s="873"/>
      <c r="CO110" s="873"/>
      <c r="CP110" s="873"/>
      <c r="CQ110" s="873"/>
      <c r="CR110" s="874"/>
      <c r="CS110" s="876">
        <v>66479.261271715324</v>
      </c>
      <c r="CT110" s="873"/>
      <c r="CU110" s="873"/>
      <c r="CV110" s="873"/>
      <c r="CW110" s="873"/>
      <c r="CX110" s="874"/>
      <c r="CY110" s="876">
        <v>66803.899596054194</v>
      </c>
      <c r="CZ110" s="873"/>
      <c r="DA110" s="873"/>
      <c r="DB110" s="873"/>
      <c r="DC110" s="873"/>
      <c r="DD110" s="874"/>
      <c r="DE110" s="876">
        <v>67466.740839472957</v>
      </c>
      <c r="DF110" s="873"/>
      <c r="DG110" s="7"/>
      <c r="DH110" s="873"/>
      <c r="DI110" s="874"/>
    </row>
    <row r="111" spans="1:113" x14ac:dyDescent="0.45">
      <c r="A111" s="744" t="s">
        <v>1535</v>
      </c>
      <c r="B111" s="869"/>
      <c r="C111" s="870"/>
      <c r="D111" s="870"/>
      <c r="E111" s="871"/>
      <c r="F111" s="876"/>
      <c r="G111" s="873"/>
      <c r="H111" s="873"/>
      <c r="I111" s="873"/>
      <c r="J111" s="873"/>
      <c r="K111" s="873"/>
      <c r="L111" s="874"/>
      <c r="M111" s="873"/>
      <c r="N111" s="873"/>
      <c r="O111" s="873"/>
      <c r="P111" s="873"/>
      <c r="Q111" s="873"/>
      <c r="R111" s="873"/>
      <c r="S111" s="873"/>
      <c r="T111" s="876"/>
      <c r="U111" s="873"/>
      <c r="V111" s="873"/>
      <c r="W111" s="873"/>
      <c r="X111" s="873"/>
      <c r="Y111" s="873"/>
      <c r="Z111" s="874"/>
      <c r="AA111" s="873"/>
      <c r="AB111" s="873"/>
      <c r="AC111" s="873"/>
      <c r="AD111" s="873"/>
      <c r="AE111" s="873"/>
      <c r="AF111" s="873"/>
      <c r="AG111" s="873"/>
      <c r="AH111" s="869"/>
      <c r="AI111" s="870"/>
      <c r="AJ111" s="871"/>
      <c r="AK111" s="869"/>
      <c r="AL111" s="870"/>
      <c r="AM111" s="871"/>
      <c r="AN111" s="876">
        <v>0</v>
      </c>
      <c r="AO111" s="873"/>
      <c r="AP111" s="873"/>
      <c r="AQ111" s="873"/>
      <c r="AR111" s="873"/>
      <c r="AS111" s="873"/>
      <c r="AT111" s="874"/>
      <c r="AU111" s="876">
        <v>0</v>
      </c>
      <c r="AV111" s="873"/>
      <c r="AW111" s="7"/>
      <c r="AX111" s="7"/>
      <c r="AZ111" s="7"/>
      <c r="BA111" s="7"/>
      <c r="BB111" s="876">
        <v>0</v>
      </c>
      <c r="BC111" s="873"/>
      <c r="BD111" s="873"/>
      <c r="BE111" s="873"/>
      <c r="BF111" s="874"/>
      <c r="BG111" s="876">
        <v>0</v>
      </c>
      <c r="BH111" s="873"/>
      <c r="BI111" s="873"/>
      <c r="BJ111" s="873"/>
      <c r="BK111" s="873"/>
      <c r="BL111" s="876">
        <v>0</v>
      </c>
      <c r="BM111" s="873"/>
      <c r="BN111" s="7"/>
      <c r="BO111" s="873"/>
      <c r="BP111" s="874"/>
      <c r="BQ111" s="876">
        <v>0</v>
      </c>
      <c r="BR111" s="873"/>
      <c r="BS111" s="7"/>
      <c r="BT111" s="870"/>
      <c r="BU111" s="7"/>
      <c r="BV111" s="876">
        <v>0</v>
      </c>
      <c r="BW111" s="873"/>
      <c r="BX111" s="7"/>
      <c r="BY111" s="870"/>
      <c r="BZ111" s="877"/>
      <c r="CA111" s="876">
        <v>0</v>
      </c>
      <c r="CB111" s="873"/>
      <c r="CC111" s="7"/>
      <c r="CD111" s="870"/>
      <c r="CE111" s="7"/>
      <c r="CF111" s="870"/>
      <c r="CG111" s="877"/>
      <c r="CH111" s="876">
        <v>0</v>
      </c>
      <c r="CI111" s="873"/>
      <c r="CJ111" s="7"/>
      <c r="CK111" s="873"/>
      <c r="CL111" s="874"/>
      <c r="CM111" s="876">
        <v>0</v>
      </c>
      <c r="CN111" s="873"/>
      <c r="CO111" s="873"/>
      <c r="CP111" s="873"/>
      <c r="CQ111" s="873"/>
      <c r="CR111" s="874"/>
      <c r="CS111" s="876">
        <v>0</v>
      </c>
      <c r="CT111" s="873"/>
      <c r="CU111" s="873"/>
      <c r="CV111" s="873"/>
      <c r="CW111" s="873"/>
      <c r="CX111" s="874"/>
      <c r="CY111" s="876">
        <v>0</v>
      </c>
      <c r="CZ111" s="873"/>
      <c r="DA111" s="873"/>
      <c r="DB111" s="873"/>
      <c r="DC111" s="873"/>
      <c r="DD111" s="874"/>
      <c r="DE111" s="876">
        <v>0</v>
      </c>
      <c r="DF111" s="873"/>
      <c r="DG111" s="7"/>
      <c r="DH111" s="873"/>
      <c r="DI111" s="874"/>
    </row>
    <row r="112" spans="1:113" x14ac:dyDescent="0.45">
      <c r="A112" s="744" t="s">
        <v>1936</v>
      </c>
      <c r="B112" s="869"/>
      <c r="C112" s="870"/>
      <c r="D112" s="870"/>
      <c r="E112" s="871"/>
      <c r="F112" s="876"/>
      <c r="G112" s="873"/>
      <c r="H112" s="873"/>
      <c r="I112" s="873"/>
      <c r="J112" s="873"/>
      <c r="K112" s="873"/>
      <c r="L112" s="874"/>
      <c r="M112" s="873"/>
      <c r="N112" s="873"/>
      <c r="O112" s="873"/>
      <c r="P112" s="873"/>
      <c r="Q112" s="873"/>
      <c r="R112" s="873"/>
      <c r="S112" s="873"/>
      <c r="T112" s="876"/>
      <c r="U112" s="873"/>
      <c r="V112" s="873"/>
      <c r="W112" s="873"/>
      <c r="X112" s="873"/>
      <c r="Y112" s="873"/>
      <c r="Z112" s="874"/>
      <c r="AA112" s="873"/>
      <c r="AB112" s="873"/>
      <c r="AC112" s="873"/>
      <c r="AD112" s="873"/>
      <c r="AE112" s="873"/>
      <c r="AF112" s="873"/>
      <c r="AG112" s="873"/>
      <c r="AH112" s="869"/>
      <c r="AI112" s="870"/>
      <c r="AJ112" s="871"/>
      <c r="AK112" s="869"/>
      <c r="AL112" s="870"/>
      <c r="AM112" s="871"/>
      <c r="AN112" s="876">
        <v>0</v>
      </c>
      <c r="AO112" s="873"/>
      <c r="AP112" s="873"/>
      <c r="AQ112" s="873"/>
      <c r="AR112" s="873"/>
      <c r="AS112" s="873"/>
      <c r="AT112" s="874"/>
      <c r="AU112" s="876">
        <v>0</v>
      </c>
      <c r="AV112" s="873"/>
      <c r="AW112" s="7"/>
      <c r="AX112" s="7"/>
      <c r="AZ112" s="7"/>
      <c r="BA112" s="7"/>
      <c r="BB112" s="876">
        <v>0</v>
      </c>
      <c r="BC112" s="873"/>
      <c r="BD112" s="873"/>
      <c r="BE112" s="873"/>
      <c r="BF112" s="874"/>
      <c r="BG112" s="876">
        <v>0</v>
      </c>
      <c r="BH112" s="873"/>
      <c r="BI112" s="873"/>
      <c r="BJ112" s="873"/>
      <c r="BK112" s="873"/>
      <c r="BL112" s="876">
        <v>0</v>
      </c>
      <c r="BM112" s="873"/>
      <c r="BN112" s="7"/>
      <c r="BO112" s="873"/>
      <c r="BP112" s="874"/>
      <c r="BQ112" s="876">
        <v>0</v>
      </c>
      <c r="BR112" s="873"/>
      <c r="BS112" s="7"/>
      <c r="BT112" s="870"/>
      <c r="BU112" s="7"/>
      <c r="BV112" s="876">
        <v>0</v>
      </c>
      <c r="BW112" s="873"/>
      <c r="BX112" s="7"/>
      <c r="BY112" s="870"/>
      <c r="BZ112" s="877"/>
      <c r="CA112" s="876">
        <v>0</v>
      </c>
      <c r="CB112" s="873"/>
      <c r="CC112" s="7"/>
      <c r="CD112" s="870"/>
      <c r="CE112" s="7"/>
      <c r="CF112" s="870"/>
      <c r="CG112" s="877"/>
      <c r="CH112" s="876">
        <v>0</v>
      </c>
      <c r="CI112" s="873"/>
      <c r="CJ112" s="7"/>
      <c r="CK112" s="873"/>
      <c r="CL112" s="874"/>
      <c r="CM112" s="876">
        <v>0</v>
      </c>
      <c r="CN112" s="873"/>
      <c r="CO112" s="873"/>
      <c r="CP112" s="873"/>
      <c r="CQ112" s="873"/>
      <c r="CR112" s="874"/>
      <c r="CS112" s="876">
        <v>0</v>
      </c>
      <c r="CT112" s="873"/>
      <c r="CU112" s="873"/>
      <c r="CV112" s="873"/>
      <c r="CW112" s="873"/>
      <c r="CX112" s="874"/>
      <c r="CY112" s="876">
        <v>0</v>
      </c>
      <c r="CZ112" s="873"/>
      <c r="DA112" s="873"/>
      <c r="DB112" s="873"/>
      <c r="DC112" s="873"/>
      <c r="DD112" s="874"/>
      <c r="DE112" s="876">
        <v>0</v>
      </c>
      <c r="DF112" s="873"/>
      <c r="DG112" s="7"/>
      <c r="DH112" s="873"/>
      <c r="DI112" s="874"/>
    </row>
    <row r="113" spans="1:113" x14ac:dyDescent="0.45">
      <c r="A113" s="744" t="s">
        <v>1664</v>
      </c>
      <c r="B113" s="869">
        <v>3872.1546445579338</v>
      </c>
      <c r="C113" s="870"/>
      <c r="D113" s="870"/>
      <c r="E113" s="871"/>
      <c r="F113" s="876"/>
      <c r="G113" s="873"/>
      <c r="H113" s="875">
        <v>-4144</v>
      </c>
      <c r="I113" s="873"/>
      <c r="J113" s="873"/>
      <c r="K113" s="873"/>
      <c r="L113" s="874"/>
      <c r="M113" s="873"/>
      <c r="N113" s="873"/>
      <c r="O113" s="875">
        <v>-2353</v>
      </c>
      <c r="P113" s="873"/>
      <c r="Q113" s="873"/>
      <c r="R113" s="873"/>
      <c r="S113" s="873"/>
      <c r="T113" s="876"/>
      <c r="U113" s="873"/>
      <c r="V113" s="875">
        <v>-1433</v>
      </c>
      <c r="W113" s="873"/>
      <c r="X113" s="873"/>
      <c r="Y113" s="873"/>
      <c r="Z113" s="874"/>
      <c r="AA113" s="873"/>
      <c r="AB113" s="873"/>
      <c r="AC113" s="875">
        <v>-357</v>
      </c>
      <c r="AD113" s="873"/>
      <c r="AE113" s="873"/>
      <c r="AF113" s="873"/>
      <c r="AG113" s="873"/>
      <c r="AH113" s="872">
        <v>41</v>
      </c>
      <c r="AI113" s="870"/>
      <c r="AJ113" s="871"/>
      <c r="AK113" s="872">
        <v>140</v>
      </c>
      <c r="AL113" s="870"/>
      <c r="AM113" s="871"/>
      <c r="AN113" s="876">
        <v>4008.0631752414811</v>
      </c>
      <c r="AO113" s="873"/>
      <c r="AP113" s="873"/>
      <c r="AQ113" s="873"/>
      <c r="AR113" s="873"/>
      <c r="AS113" s="873"/>
      <c r="AT113" s="874"/>
      <c r="AU113" s="876">
        <v>4936.5796846793428</v>
      </c>
      <c r="AV113" s="873"/>
      <c r="AW113" s="7"/>
      <c r="AX113" s="7"/>
      <c r="AZ113" s="7"/>
      <c r="BA113" s="7"/>
      <c r="BB113" s="876">
        <v>2958.0521317594703</v>
      </c>
      <c r="BC113" s="873"/>
      <c r="BD113" s="873"/>
      <c r="BE113" s="873"/>
      <c r="BF113" s="874"/>
      <c r="BG113" s="876">
        <v>1335.2380566852821</v>
      </c>
      <c r="BH113" s="873"/>
      <c r="BI113" s="873"/>
      <c r="BJ113" s="873"/>
      <c r="BK113" s="873"/>
      <c r="BL113" s="876">
        <v>3212.8626877253132</v>
      </c>
      <c r="BM113" s="873"/>
      <c r="BN113" s="7"/>
      <c r="BO113" s="873"/>
      <c r="BP113" s="874"/>
      <c r="BQ113" s="876">
        <v>3212.8626877253132</v>
      </c>
      <c r="BR113" s="873"/>
      <c r="BS113" s="7"/>
      <c r="BT113" s="870"/>
      <c r="BU113" s="7"/>
      <c r="BV113" s="876">
        <v>6860.9012056430483</v>
      </c>
      <c r="BW113" s="873"/>
      <c r="BX113" s="7"/>
      <c r="BY113" s="870"/>
      <c r="BZ113" s="877"/>
      <c r="CA113" s="876">
        <v>2677.1326163978665</v>
      </c>
      <c r="CB113" s="873"/>
      <c r="CC113" s="7"/>
      <c r="CD113" s="870"/>
      <c r="CE113" s="7"/>
      <c r="CF113" s="870"/>
      <c r="CG113" s="877"/>
      <c r="CH113" s="876">
        <v>2322.5809143294255</v>
      </c>
      <c r="CI113" s="873"/>
      <c r="CJ113" s="7"/>
      <c r="CK113" s="873"/>
      <c r="CL113" s="874"/>
      <c r="CM113" s="876">
        <v>4621.3978676163524</v>
      </c>
      <c r="CN113" s="873"/>
      <c r="CO113" s="873"/>
      <c r="CP113" s="873"/>
      <c r="CQ113" s="873"/>
      <c r="CR113" s="874"/>
      <c r="CS113" s="876">
        <v>4289.5988405891258</v>
      </c>
      <c r="CT113" s="873"/>
      <c r="CU113" s="873"/>
      <c r="CV113" s="873"/>
      <c r="CW113" s="873"/>
      <c r="CX113" s="874"/>
      <c r="CY113" s="876">
        <v>4202.1055794237118</v>
      </c>
      <c r="CZ113" s="873"/>
      <c r="DA113" s="873"/>
      <c r="DB113" s="873"/>
      <c r="DC113" s="873"/>
      <c r="DD113" s="874"/>
      <c r="DE113" s="876">
        <v>3674.7841818946972</v>
      </c>
      <c r="DF113" s="873"/>
      <c r="DG113" s="7"/>
      <c r="DH113" s="873"/>
      <c r="DI113" s="874"/>
    </row>
    <row r="114" spans="1:113" x14ac:dyDescent="0.45">
      <c r="A114" s="744" t="s">
        <v>2386</v>
      </c>
      <c r="B114" s="869"/>
      <c r="C114" s="873"/>
      <c r="D114" s="873"/>
      <c r="E114" s="874"/>
      <c r="F114" s="876"/>
      <c r="G114" s="873"/>
      <c r="H114" s="873"/>
      <c r="I114" s="7"/>
      <c r="J114" s="7"/>
      <c r="K114" s="873"/>
      <c r="L114" s="874"/>
      <c r="M114" s="873"/>
      <c r="N114" s="873"/>
      <c r="O114" s="873"/>
      <c r="P114" s="7"/>
      <c r="Q114" s="7"/>
      <c r="R114" s="873"/>
      <c r="S114" s="873"/>
      <c r="T114" s="876"/>
      <c r="U114" s="873"/>
      <c r="V114" s="873"/>
      <c r="W114" s="7"/>
      <c r="X114" s="7"/>
      <c r="Y114" s="873"/>
      <c r="Z114" s="874"/>
      <c r="AA114" s="873"/>
      <c r="AB114" s="873"/>
      <c r="AC114" s="873"/>
      <c r="AD114" s="7"/>
      <c r="AE114" s="7"/>
      <c r="AF114" s="873"/>
      <c r="AG114" s="873"/>
      <c r="AH114" s="869"/>
      <c r="AI114" s="873"/>
      <c r="AJ114" s="874"/>
      <c r="AK114" s="869"/>
      <c r="AL114" s="873"/>
      <c r="AM114" s="874"/>
      <c r="AN114" s="876">
        <v>6317.3446073342557</v>
      </c>
      <c r="AO114" s="873"/>
      <c r="AP114" s="873"/>
      <c r="AQ114" s="873"/>
      <c r="AR114" s="873"/>
      <c r="AS114" s="873"/>
      <c r="AT114" s="874"/>
      <c r="AU114" s="876">
        <v>2524.8155639199695</v>
      </c>
      <c r="AV114" s="873"/>
      <c r="AW114" s="7"/>
      <c r="AX114" s="7"/>
      <c r="AZ114" s="7"/>
      <c r="BA114" s="7"/>
      <c r="BB114" s="876">
        <v>7086.0801066775357</v>
      </c>
      <c r="BC114" s="873"/>
      <c r="BD114" s="873"/>
      <c r="BE114" s="873"/>
      <c r="BF114" s="874"/>
      <c r="BG114" s="876">
        <v>1434.9653804211123</v>
      </c>
      <c r="BH114" s="873"/>
      <c r="BI114" s="873"/>
      <c r="BJ114" s="873"/>
      <c r="BK114" s="873"/>
      <c r="BL114" s="876">
        <v>12910.948208081354</v>
      </c>
      <c r="BM114" s="873"/>
      <c r="BN114" s="7"/>
      <c r="BO114" s="873"/>
      <c r="BP114" s="874"/>
      <c r="BQ114" s="876">
        <v>12910.948208081354</v>
      </c>
      <c r="BR114" s="873"/>
      <c r="BS114" s="7"/>
      <c r="BT114" s="873"/>
      <c r="BU114" s="7"/>
      <c r="BV114" s="876">
        <v>6731.515157309992</v>
      </c>
      <c r="BW114" s="873"/>
      <c r="BX114" s="7"/>
      <c r="BY114" s="873"/>
      <c r="BZ114" s="877"/>
      <c r="CA114" s="876">
        <v>6215.9672936987963</v>
      </c>
      <c r="CB114" s="873"/>
      <c r="CC114" s="7"/>
      <c r="CD114" s="873"/>
      <c r="CE114" s="7"/>
      <c r="CF114" s="873"/>
      <c r="CG114" s="877"/>
      <c r="CH114" s="876">
        <v>871.64458556418992</v>
      </c>
      <c r="CI114" s="873"/>
      <c r="CJ114" s="7"/>
      <c r="CK114" s="873"/>
      <c r="CL114" s="874"/>
      <c r="CM114" s="876">
        <v>10403.568017507827</v>
      </c>
      <c r="CN114" s="873"/>
      <c r="CO114" s="873"/>
      <c r="CP114" s="873"/>
      <c r="CQ114" s="873"/>
      <c r="CR114" s="874"/>
      <c r="CS114" s="876">
        <v>10708.152243069719</v>
      </c>
      <c r="CT114" s="873"/>
      <c r="CU114" s="873"/>
      <c r="CV114" s="873"/>
      <c r="CW114" s="873"/>
      <c r="CX114" s="874"/>
      <c r="CY114" s="876">
        <v>11565.312234430368</v>
      </c>
      <c r="CZ114" s="873"/>
      <c r="DA114" s="873"/>
      <c r="DB114" s="873"/>
      <c r="DC114" s="873"/>
      <c r="DD114" s="874"/>
      <c r="DE114" s="876">
        <v>8532.3895223367508</v>
      </c>
      <c r="DF114" s="873"/>
      <c r="DG114" s="7"/>
      <c r="DH114" s="873"/>
      <c r="DI114" s="874"/>
    </row>
    <row r="115" spans="1:113" x14ac:dyDescent="0.45">
      <c r="A115" s="744" t="s">
        <v>2519</v>
      </c>
      <c r="B115" s="869"/>
      <c r="C115" s="873"/>
      <c r="D115" s="873"/>
      <c r="E115" s="874"/>
      <c r="F115" s="876"/>
      <c r="G115" s="873"/>
      <c r="H115" s="873"/>
      <c r="I115" s="873"/>
      <c r="J115" s="7"/>
      <c r="K115" s="873"/>
      <c r="L115" s="874"/>
      <c r="M115" s="875">
        <v>26690</v>
      </c>
      <c r="N115" s="873"/>
      <c r="O115" s="873"/>
      <c r="P115" s="873"/>
      <c r="Q115" s="7"/>
      <c r="R115" s="873"/>
      <c r="S115" s="873"/>
      <c r="T115" s="876"/>
      <c r="U115" s="873"/>
      <c r="V115" s="873"/>
      <c r="W115" s="873"/>
      <c r="X115" s="7"/>
      <c r="Y115" s="873"/>
      <c r="Z115" s="874"/>
      <c r="AA115" s="875">
        <v>36090</v>
      </c>
      <c r="AB115" s="873"/>
      <c r="AC115" s="873"/>
      <c r="AD115" s="873"/>
      <c r="AE115" s="7"/>
      <c r="AF115" s="873"/>
      <c r="AG115" s="873"/>
      <c r="AH115" s="869"/>
      <c r="AI115" s="873"/>
      <c r="AJ115" s="874"/>
      <c r="AK115" s="869"/>
      <c r="AL115" s="873"/>
      <c r="AM115" s="874"/>
      <c r="AN115" s="876">
        <v>0</v>
      </c>
      <c r="AO115" s="878">
        <v>23769.992441212238</v>
      </c>
      <c r="AP115" s="873"/>
      <c r="AQ115" s="873"/>
      <c r="AR115" s="873"/>
      <c r="AS115" s="873"/>
      <c r="AT115" s="874"/>
      <c r="AU115" s="876">
        <v>0</v>
      </c>
      <c r="AV115" s="878">
        <v>20975.265452901869</v>
      </c>
      <c r="AW115" s="7"/>
      <c r="AX115" s="7"/>
      <c r="AZ115" s="7"/>
      <c r="BA115" s="7"/>
      <c r="BB115" s="876">
        <v>0</v>
      </c>
      <c r="BC115" s="878">
        <v>29803.837635055479</v>
      </c>
      <c r="BD115" s="873"/>
      <c r="BE115" s="873"/>
      <c r="BF115" s="874"/>
      <c r="BG115" s="876">
        <v>0</v>
      </c>
      <c r="BH115" s="878">
        <v>10803.644258698043</v>
      </c>
      <c r="BI115" s="873"/>
      <c r="BJ115" s="873"/>
      <c r="BK115" s="873"/>
      <c r="BL115" s="876">
        <v>0</v>
      </c>
      <c r="BM115" s="878">
        <v>9233.4619578452184</v>
      </c>
      <c r="BN115" s="7"/>
      <c r="BO115" s="873"/>
      <c r="BP115" s="874"/>
      <c r="BQ115" s="876">
        <v>0</v>
      </c>
      <c r="BR115" s="878">
        <v>9233.4619578452184</v>
      </c>
      <c r="BS115" s="7"/>
      <c r="BT115" s="873"/>
      <c r="BU115" s="7"/>
      <c r="BV115" s="876">
        <v>0</v>
      </c>
      <c r="BW115" s="878">
        <v>7475.6478097206755</v>
      </c>
      <c r="BX115" s="7"/>
      <c r="BY115" s="873"/>
      <c r="BZ115" s="877"/>
      <c r="CA115" s="876">
        <v>0</v>
      </c>
      <c r="CB115" s="878">
        <v>1984.9474369271541</v>
      </c>
      <c r="CC115" s="7"/>
      <c r="CD115" s="873"/>
      <c r="CE115" s="7"/>
      <c r="CF115" s="873"/>
      <c r="CG115" s="877"/>
      <c r="CH115" s="876">
        <v>0</v>
      </c>
      <c r="CI115" s="878">
        <v>4700.6715421757481</v>
      </c>
      <c r="CJ115" s="7"/>
      <c r="CK115" s="873"/>
      <c r="CL115" s="874"/>
      <c r="CM115" s="876">
        <v>0</v>
      </c>
      <c r="CN115" s="873">
        <v>20566.462270217642</v>
      </c>
      <c r="CO115" s="873"/>
      <c r="CP115" s="873"/>
      <c r="CQ115" s="873"/>
      <c r="CR115" s="874"/>
      <c r="CS115" s="876">
        <v>0</v>
      </c>
      <c r="CT115" s="873">
        <v>19997.938784811246</v>
      </c>
      <c r="CU115" s="873"/>
      <c r="CV115" s="873"/>
      <c r="CW115" s="873"/>
      <c r="CX115" s="874"/>
      <c r="CY115" s="876">
        <v>0</v>
      </c>
      <c r="CZ115" s="873">
        <v>19198.798232892186</v>
      </c>
      <c r="DA115" s="873"/>
      <c r="DB115" s="873"/>
      <c r="DC115" s="873"/>
      <c r="DD115" s="874"/>
      <c r="DE115" s="876">
        <v>0</v>
      </c>
      <c r="DF115" s="878">
        <v>1878.9259207644395</v>
      </c>
      <c r="DG115" s="7"/>
      <c r="DH115" s="873"/>
      <c r="DI115" s="874"/>
    </row>
    <row r="116" spans="1:113" x14ac:dyDescent="0.45">
      <c r="A116" s="744" t="s">
        <v>2387</v>
      </c>
      <c r="B116" s="879"/>
      <c r="C116" s="7"/>
      <c r="D116" s="7"/>
      <c r="E116" s="877"/>
      <c r="F116" s="879"/>
      <c r="G116" s="7"/>
      <c r="H116" s="7"/>
      <c r="I116" s="7"/>
      <c r="J116" s="7"/>
      <c r="K116" s="7"/>
      <c r="L116" s="877"/>
      <c r="M116" s="7"/>
      <c r="N116" s="7"/>
      <c r="O116" s="7"/>
      <c r="P116" s="7"/>
      <c r="Q116" s="7"/>
      <c r="R116" s="7"/>
      <c r="S116" s="7"/>
      <c r="T116" s="879"/>
      <c r="U116" s="7"/>
      <c r="V116" s="7"/>
      <c r="W116" s="7"/>
      <c r="X116" s="7"/>
      <c r="Y116" s="7"/>
      <c r="Z116" s="877"/>
      <c r="AA116" s="7"/>
      <c r="AB116" s="7"/>
      <c r="AC116" s="7"/>
      <c r="AD116" s="7"/>
      <c r="AE116" s="7"/>
      <c r="AF116" s="7"/>
      <c r="AG116" s="7"/>
      <c r="AH116" s="879"/>
      <c r="AI116" s="7"/>
      <c r="AJ116" s="877"/>
      <c r="AK116" s="879"/>
      <c r="AL116" s="7"/>
      <c r="AM116" s="877"/>
      <c r="AN116" s="876">
        <v>64420.988915967384</v>
      </c>
      <c r="AO116" s="7"/>
      <c r="AP116" s="7"/>
      <c r="AQ116" s="7"/>
      <c r="AR116" s="7"/>
      <c r="AS116" s="7"/>
      <c r="AT116" s="877"/>
      <c r="AU116" s="876">
        <v>76912.665163591897</v>
      </c>
      <c r="AV116" s="7"/>
      <c r="AW116" s="7"/>
      <c r="AX116" s="7"/>
      <c r="AZ116" s="7"/>
      <c r="BA116" s="7"/>
      <c r="BB116" s="876">
        <v>60684.218732886438</v>
      </c>
      <c r="BC116" s="7"/>
      <c r="BD116" s="7"/>
      <c r="BE116" s="7"/>
      <c r="BF116" s="7"/>
      <c r="BG116" s="876">
        <v>72.025289364766252</v>
      </c>
      <c r="BH116" s="7"/>
      <c r="BI116" s="7"/>
      <c r="BJ116" s="7"/>
      <c r="BK116" s="7"/>
      <c r="BL116" s="876">
        <v>99.162428633497328</v>
      </c>
      <c r="BM116" s="7"/>
      <c r="BN116" s="7"/>
      <c r="BO116" s="7"/>
      <c r="BP116" s="7"/>
      <c r="BQ116" s="876">
        <v>99.162428633497328</v>
      </c>
      <c r="BR116" s="7"/>
      <c r="BS116" s="7"/>
      <c r="BT116" s="7"/>
      <c r="BU116" s="7"/>
      <c r="BV116" s="876">
        <v>369.75008005471773</v>
      </c>
      <c r="BW116" s="7"/>
      <c r="BX116" s="7"/>
      <c r="BY116" s="7"/>
      <c r="BZ116" s="877"/>
      <c r="CA116" s="876">
        <v>0</v>
      </c>
      <c r="CB116" s="7"/>
      <c r="CC116" s="7"/>
      <c r="CD116" s="7"/>
      <c r="CE116" s="7"/>
      <c r="CF116" s="7"/>
      <c r="CG116" s="877"/>
      <c r="CH116" s="876">
        <v>70.381239828164396</v>
      </c>
      <c r="CI116" s="7"/>
      <c r="CJ116" s="7"/>
      <c r="CK116" s="7"/>
      <c r="CL116" s="877"/>
      <c r="CM116" s="876">
        <v>16947.954190953642</v>
      </c>
      <c r="CN116" s="7"/>
      <c r="CO116" s="7"/>
      <c r="CP116" s="7"/>
      <c r="CQ116" s="7"/>
      <c r="CR116" s="877"/>
      <c r="CS116" s="876">
        <v>15828.627122169584</v>
      </c>
      <c r="CT116" s="7"/>
      <c r="CU116" s="7"/>
      <c r="CV116" s="7"/>
      <c r="CW116" s="7"/>
      <c r="CX116" s="877"/>
      <c r="CY116" s="876">
        <v>15775.706483739981</v>
      </c>
      <c r="CZ116" s="7"/>
      <c r="DA116" s="7"/>
      <c r="DB116" s="7"/>
      <c r="DC116" s="7"/>
      <c r="DD116" s="877"/>
      <c r="DE116" s="876">
        <v>0</v>
      </c>
      <c r="DF116" s="7"/>
      <c r="DG116" s="7"/>
      <c r="DH116" s="7"/>
      <c r="DI116" s="877"/>
    </row>
    <row r="117" spans="1:113" x14ac:dyDescent="0.45">
      <c r="A117" s="744" t="s">
        <v>2388</v>
      </c>
      <c r="B117" s="879"/>
      <c r="C117" s="7"/>
      <c r="D117" s="7"/>
      <c r="E117" s="877"/>
      <c r="F117" s="879"/>
      <c r="G117" s="7"/>
      <c r="H117" s="7"/>
      <c r="I117" s="7"/>
      <c r="J117" s="7"/>
      <c r="K117" s="7"/>
      <c r="L117" s="877"/>
      <c r="M117" s="7"/>
      <c r="N117" s="7"/>
      <c r="O117" s="7"/>
      <c r="P117" s="7"/>
      <c r="Q117" s="7"/>
      <c r="R117" s="7"/>
      <c r="S117" s="7"/>
      <c r="T117" s="879"/>
      <c r="U117" s="7"/>
      <c r="V117" s="7"/>
      <c r="W117" s="7"/>
      <c r="X117" s="7"/>
      <c r="Y117" s="7"/>
      <c r="Z117" s="877"/>
      <c r="AA117" s="7"/>
      <c r="AB117" s="7"/>
      <c r="AC117" s="7"/>
      <c r="AD117" s="7"/>
      <c r="AE117" s="7"/>
      <c r="AF117" s="7"/>
      <c r="AG117" s="7"/>
      <c r="AH117" s="879"/>
      <c r="AI117" s="7"/>
      <c r="AJ117" s="877"/>
      <c r="AK117" s="879"/>
      <c r="AL117" s="7"/>
      <c r="AM117" s="877"/>
      <c r="AN117" s="876">
        <v>34002.178327710841</v>
      </c>
      <c r="AO117" s="7"/>
      <c r="AP117" s="7"/>
      <c r="AQ117" s="7"/>
      <c r="AR117" s="7"/>
      <c r="AS117" s="7"/>
      <c r="AT117" s="877"/>
      <c r="AU117" s="876">
        <v>69375.902286218858</v>
      </c>
      <c r="AV117" s="7"/>
      <c r="AW117" s="7"/>
      <c r="AX117" s="7"/>
      <c r="AZ117" s="7"/>
      <c r="BA117" s="7"/>
      <c r="BB117" s="876">
        <v>0</v>
      </c>
      <c r="BC117" s="7"/>
      <c r="BD117" s="7"/>
      <c r="BE117" s="7"/>
      <c r="BF117" s="7"/>
      <c r="BG117" s="876">
        <v>0</v>
      </c>
      <c r="BH117" s="7"/>
      <c r="BI117" s="7"/>
      <c r="BJ117" s="7"/>
      <c r="BK117" s="7"/>
      <c r="BL117" s="876">
        <v>0</v>
      </c>
      <c r="BM117" s="7"/>
      <c r="BN117" s="7"/>
      <c r="BO117" s="7"/>
      <c r="BP117" s="7"/>
      <c r="BQ117" s="876">
        <v>0</v>
      </c>
      <c r="BR117" s="7"/>
      <c r="BS117" s="7"/>
      <c r="BT117" s="7"/>
      <c r="BU117" s="7"/>
      <c r="BV117" s="876">
        <v>0</v>
      </c>
      <c r="BW117" s="7"/>
      <c r="BX117" s="7"/>
      <c r="BY117" s="7"/>
      <c r="BZ117" s="877"/>
      <c r="CA117" s="876">
        <v>0</v>
      </c>
      <c r="CB117" s="7"/>
      <c r="CC117" s="7"/>
      <c r="CD117" s="7"/>
      <c r="CE117" s="7"/>
      <c r="CF117" s="7"/>
      <c r="CG117" s="877"/>
      <c r="CH117" s="876">
        <v>0</v>
      </c>
      <c r="CI117" s="7"/>
      <c r="CJ117" s="7"/>
      <c r="CK117" s="7"/>
      <c r="CL117" s="877"/>
      <c r="CM117" s="876">
        <v>0</v>
      </c>
      <c r="CN117" s="7"/>
      <c r="CO117" s="7"/>
      <c r="CP117" s="7"/>
      <c r="CQ117" s="7"/>
      <c r="CR117" s="877"/>
      <c r="CS117" s="876">
        <v>0</v>
      </c>
      <c r="CT117" s="7"/>
      <c r="CU117" s="7"/>
      <c r="CV117" s="7"/>
      <c r="CW117" s="7"/>
      <c r="CX117" s="877"/>
      <c r="CY117" s="876">
        <v>0</v>
      </c>
      <c r="CZ117" s="7"/>
      <c r="DA117" s="7"/>
      <c r="DB117" s="7"/>
      <c r="DC117" s="7"/>
      <c r="DD117" s="877"/>
      <c r="DE117" s="876">
        <v>0</v>
      </c>
      <c r="DF117" s="7"/>
      <c r="DG117" s="7"/>
      <c r="DH117" s="7"/>
      <c r="DI117" s="877"/>
    </row>
    <row r="118" spans="1:113" x14ac:dyDescent="0.45">
      <c r="A118" s="744" t="s">
        <v>2389</v>
      </c>
      <c r="B118" s="869"/>
      <c r="C118" s="870"/>
      <c r="D118" s="870"/>
      <c r="E118" s="871"/>
      <c r="F118" s="876"/>
      <c r="G118" s="880"/>
      <c r="H118" s="873"/>
      <c r="I118" s="873"/>
      <c r="J118" s="7"/>
      <c r="K118" s="873"/>
      <c r="L118" s="874"/>
      <c r="M118" s="873"/>
      <c r="N118" s="880"/>
      <c r="O118" s="873"/>
      <c r="P118" s="880"/>
      <c r="Q118" s="7"/>
      <c r="R118" s="873"/>
      <c r="S118" s="873"/>
      <c r="T118" s="876"/>
      <c r="U118" s="880"/>
      <c r="V118" s="873"/>
      <c r="W118" s="873"/>
      <c r="X118" s="7"/>
      <c r="Y118" s="873"/>
      <c r="Z118" s="874"/>
      <c r="AA118" s="873"/>
      <c r="AB118" s="880"/>
      <c r="AC118" s="873"/>
      <c r="AD118" s="873"/>
      <c r="AE118" s="7"/>
      <c r="AF118" s="873"/>
      <c r="AG118" s="873"/>
      <c r="AH118" s="869"/>
      <c r="AI118" s="870"/>
      <c r="AJ118" s="871"/>
      <c r="AK118" s="869"/>
      <c r="AL118" s="870"/>
      <c r="AM118" s="871"/>
      <c r="AN118" s="876">
        <v>1247.542842624832</v>
      </c>
      <c r="AO118" s="870"/>
      <c r="AP118" s="870"/>
      <c r="AQ118" s="870"/>
      <c r="AR118" s="870"/>
      <c r="AS118" s="870"/>
      <c r="AT118" s="871"/>
      <c r="AU118" s="876">
        <v>0</v>
      </c>
      <c r="AV118" s="873"/>
      <c r="AW118" s="7"/>
      <c r="AX118" s="7"/>
      <c r="AZ118" s="7"/>
      <c r="BA118" s="7"/>
      <c r="BB118" s="876">
        <v>0</v>
      </c>
      <c r="BC118" s="873"/>
      <c r="BD118" s="870"/>
      <c r="BE118" s="870"/>
      <c r="BF118" s="871"/>
      <c r="BG118" s="876">
        <v>1257.6723604463032</v>
      </c>
      <c r="BH118" s="873"/>
      <c r="BI118" s="870"/>
      <c r="BJ118" s="870"/>
      <c r="BK118" s="870"/>
      <c r="BL118" s="876">
        <v>0</v>
      </c>
      <c r="BM118" s="873"/>
      <c r="BN118" s="7"/>
      <c r="BO118" s="870"/>
      <c r="BP118" s="871"/>
      <c r="BQ118" s="876">
        <v>0</v>
      </c>
      <c r="BR118" s="873"/>
      <c r="BS118" s="7"/>
      <c r="BT118" s="7"/>
      <c r="BU118" s="870"/>
      <c r="BV118" s="876">
        <v>21.746371566206484</v>
      </c>
      <c r="BW118" s="873"/>
      <c r="BX118" s="7"/>
      <c r="BY118" s="7"/>
      <c r="BZ118" s="871"/>
      <c r="CA118" s="876">
        <v>0</v>
      </c>
      <c r="CB118" s="873"/>
      <c r="CC118" s="7"/>
      <c r="CD118" s="7"/>
      <c r="CE118" s="870"/>
      <c r="CF118" s="7"/>
      <c r="CG118" s="871"/>
      <c r="CH118" s="876">
        <v>0</v>
      </c>
      <c r="CI118" s="873"/>
      <c r="CJ118" s="880"/>
      <c r="CK118" s="7"/>
      <c r="CL118" s="871"/>
      <c r="CM118" s="876">
        <v>35121.473433594219</v>
      </c>
      <c r="CN118" s="873"/>
      <c r="CO118" s="870"/>
      <c r="CP118" s="870"/>
      <c r="CQ118" s="870"/>
      <c r="CR118" s="871"/>
      <c r="CS118" s="876">
        <v>36410.035749944022</v>
      </c>
      <c r="CT118" s="873"/>
      <c r="CU118" s="873"/>
      <c r="CV118" s="873"/>
      <c r="CW118" s="873"/>
      <c r="CX118" s="874"/>
      <c r="CY118" s="876">
        <v>37185.280623642619</v>
      </c>
      <c r="CZ118" s="873"/>
      <c r="DA118" s="870"/>
      <c r="DB118" s="870"/>
      <c r="DC118" s="870"/>
      <c r="DD118" s="871"/>
      <c r="DE118" s="876">
        <v>0</v>
      </c>
      <c r="DF118" s="873"/>
      <c r="DG118" s="7"/>
      <c r="DH118" s="870"/>
      <c r="DI118" s="871"/>
    </row>
    <row r="119" spans="1:113" x14ac:dyDescent="0.45">
      <c r="A119" s="744" t="s">
        <v>2513</v>
      </c>
      <c r="B119" s="869"/>
      <c r="C119" s="870"/>
      <c r="D119" s="870"/>
      <c r="E119" s="871"/>
      <c r="F119" s="876"/>
      <c r="G119" s="873"/>
      <c r="H119" s="873"/>
      <c r="I119" s="873"/>
      <c r="J119" s="873"/>
      <c r="K119" s="873"/>
      <c r="L119" s="874"/>
      <c r="M119" s="873"/>
      <c r="N119" s="873"/>
      <c r="O119" s="873"/>
      <c r="P119" s="873"/>
      <c r="Q119" s="873"/>
      <c r="R119" s="873"/>
      <c r="S119" s="873"/>
      <c r="T119" s="872">
        <v>27752</v>
      </c>
      <c r="U119" s="873"/>
      <c r="V119" s="873"/>
      <c r="W119" s="875">
        <v>599</v>
      </c>
      <c r="X119" s="873"/>
      <c r="Y119" s="873"/>
      <c r="Z119" s="874"/>
      <c r="AA119" s="875">
        <v>964</v>
      </c>
      <c r="AB119" s="873"/>
      <c r="AC119" s="873"/>
      <c r="AD119" s="875">
        <v>106</v>
      </c>
      <c r="AE119" s="873"/>
      <c r="AF119" s="873"/>
      <c r="AG119" s="873"/>
      <c r="AH119" s="869"/>
      <c r="AI119" s="870"/>
      <c r="AJ119" s="871"/>
      <c r="AK119" s="869"/>
      <c r="AL119" s="870"/>
      <c r="AM119" s="871"/>
      <c r="AN119" s="876"/>
      <c r="AO119" s="870"/>
      <c r="AP119" s="7"/>
      <c r="AQ119" s="870"/>
      <c r="AR119" s="870"/>
      <c r="AS119" s="870"/>
      <c r="AT119" s="871"/>
      <c r="AU119" s="876"/>
      <c r="AV119" s="870"/>
      <c r="AW119" s="7"/>
      <c r="AX119" s="870"/>
      <c r="AZ119" s="870"/>
      <c r="BA119" s="870"/>
      <c r="BB119" s="876"/>
      <c r="BC119" s="870"/>
      <c r="BD119" s="870"/>
      <c r="BE119" s="870"/>
      <c r="BF119" s="871"/>
      <c r="BG119" s="876"/>
      <c r="BH119" s="870"/>
      <c r="BI119" s="870"/>
      <c r="BJ119" s="870"/>
      <c r="BK119" s="870"/>
      <c r="BL119" s="876"/>
      <c r="BM119" s="870"/>
      <c r="BN119" s="7"/>
      <c r="BO119" s="870"/>
      <c r="BP119" s="871"/>
      <c r="BQ119" s="876"/>
      <c r="BR119" s="870"/>
      <c r="BS119" s="7"/>
      <c r="BT119" s="870"/>
      <c r="BU119" s="870"/>
      <c r="BV119" s="876"/>
      <c r="BW119" s="870"/>
      <c r="BX119" s="7"/>
      <c r="BY119" s="870"/>
      <c r="BZ119" s="871"/>
      <c r="CA119" s="876"/>
      <c r="CB119" s="870"/>
      <c r="CC119" s="7"/>
      <c r="CD119" s="870"/>
      <c r="CE119" s="870"/>
      <c r="CF119" s="870"/>
      <c r="CG119" s="871"/>
      <c r="CH119" s="876"/>
      <c r="CI119" s="870"/>
      <c r="CJ119" s="7"/>
      <c r="CK119" s="873"/>
      <c r="CL119" s="871"/>
      <c r="CM119" s="876"/>
      <c r="CN119" s="873"/>
      <c r="CO119" s="7"/>
      <c r="CP119" s="870"/>
      <c r="CQ119" s="870"/>
      <c r="CR119" s="871"/>
      <c r="CS119" s="876"/>
      <c r="CT119" s="873"/>
      <c r="CU119" s="7"/>
      <c r="CV119" s="873"/>
      <c r="CW119" s="873"/>
      <c r="CX119" s="874"/>
      <c r="CY119" s="876"/>
      <c r="CZ119" s="873"/>
      <c r="DA119" s="7"/>
      <c r="DB119" s="870"/>
      <c r="DC119" s="870"/>
      <c r="DD119" s="871"/>
      <c r="DE119" s="876"/>
      <c r="DF119" s="870"/>
      <c r="DG119" s="7"/>
      <c r="DH119" s="870"/>
      <c r="DI119" s="871"/>
    </row>
    <row r="120" spans="1:113" x14ac:dyDescent="0.45">
      <c r="A120" s="744" t="s">
        <v>2514</v>
      </c>
      <c r="B120" s="869"/>
      <c r="C120" s="870"/>
      <c r="D120" s="870"/>
      <c r="E120" s="871"/>
      <c r="F120" s="876"/>
      <c r="G120" s="880"/>
      <c r="H120" s="873"/>
      <c r="I120" s="873"/>
      <c r="J120" s="7"/>
      <c r="K120" s="873"/>
      <c r="L120" s="874"/>
      <c r="M120" s="875">
        <v>115328</v>
      </c>
      <c r="N120" s="881">
        <v>22139</v>
      </c>
      <c r="O120" s="873"/>
      <c r="P120" s="881">
        <v>2199</v>
      </c>
      <c r="Q120" s="7"/>
      <c r="R120" s="873"/>
      <c r="S120" s="873"/>
      <c r="T120" s="876"/>
      <c r="U120" s="880"/>
      <c r="V120" s="873"/>
      <c r="W120" s="873"/>
      <c r="X120" s="7"/>
      <c r="Y120" s="873"/>
      <c r="Z120" s="874"/>
      <c r="AA120" s="875">
        <v>75857</v>
      </c>
      <c r="AB120" s="881">
        <v>42599</v>
      </c>
      <c r="AC120" s="873"/>
      <c r="AD120" s="875">
        <v>3933</v>
      </c>
      <c r="AE120" s="7"/>
      <c r="AF120" s="873"/>
      <c r="AG120" s="873"/>
      <c r="AH120" s="869"/>
      <c r="AI120" s="870"/>
      <c r="AJ120" s="871"/>
      <c r="AK120" s="869"/>
      <c r="AL120" s="870"/>
      <c r="AM120" s="871"/>
      <c r="AN120" s="876"/>
      <c r="AO120" s="878">
        <v>92593.600000000006</v>
      </c>
      <c r="AP120" s="7"/>
      <c r="AQ120" s="870"/>
      <c r="AR120" s="870"/>
      <c r="AS120" s="870"/>
      <c r="AT120" s="871"/>
      <c r="AU120" s="876"/>
      <c r="AV120" s="878">
        <v>94099.7</v>
      </c>
      <c r="AW120" s="7"/>
      <c r="AX120" s="7"/>
      <c r="AZ120" s="7"/>
      <c r="BA120" s="7"/>
      <c r="BB120" s="876"/>
      <c r="BC120" s="878">
        <v>61175.6</v>
      </c>
      <c r="BD120" s="870"/>
      <c r="BE120" s="870"/>
      <c r="BF120" s="871"/>
      <c r="BG120" s="876"/>
      <c r="BH120" s="878">
        <v>37264.699999999997</v>
      </c>
      <c r="BI120" s="870"/>
      <c r="BJ120" s="870"/>
      <c r="BK120" s="870"/>
      <c r="BL120" s="876"/>
      <c r="BM120" s="878">
        <v>58068.5</v>
      </c>
      <c r="BN120" s="7"/>
      <c r="BO120" s="870"/>
      <c r="BP120" s="871"/>
      <c r="BQ120" s="876"/>
      <c r="BR120" s="878">
        <v>58068.5</v>
      </c>
      <c r="BS120" s="7"/>
      <c r="BT120" s="7"/>
      <c r="BU120" s="870"/>
      <c r="BV120" s="876"/>
      <c r="BW120" s="878">
        <v>115219.139297737</v>
      </c>
      <c r="BX120" s="7"/>
      <c r="BY120" s="7"/>
      <c r="BZ120" s="871"/>
      <c r="CA120" s="876"/>
      <c r="CB120" s="878">
        <v>79730.7</v>
      </c>
      <c r="CC120" s="7"/>
      <c r="CD120" s="7"/>
      <c r="CE120" s="870"/>
      <c r="CF120" s="7"/>
      <c r="CG120" s="871"/>
      <c r="CH120" s="876"/>
      <c r="CI120" s="878">
        <v>59926.9</v>
      </c>
      <c r="CJ120" s="880"/>
      <c r="CK120" s="7"/>
      <c r="CL120" s="871"/>
      <c r="CM120" s="876"/>
      <c r="CN120" s="873">
        <v>109343.98298488421</v>
      </c>
      <c r="CO120" s="7"/>
      <c r="CP120" s="870"/>
      <c r="CQ120" s="870"/>
      <c r="CR120" s="871"/>
      <c r="CS120" s="876"/>
      <c r="CT120" s="873">
        <v>103945.71469803539</v>
      </c>
      <c r="CU120" s="7"/>
      <c r="CV120" s="873"/>
      <c r="CW120" s="873"/>
      <c r="CX120" s="874"/>
      <c r="CY120" s="876"/>
      <c r="CZ120" s="873">
        <v>100407.08931709628</v>
      </c>
      <c r="DA120" s="7"/>
      <c r="DB120" s="870"/>
      <c r="DC120" s="870"/>
      <c r="DD120" s="871"/>
      <c r="DE120" s="876"/>
      <c r="DF120" s="878">
        <v>79730.7</v>
      </c>
      <c r="DG120" s="7"/>
      <c r="DH120" s="870"/>
      <c r="DI120" s="871"/>
    </row>
    <row r="121" spans="1:113" x14ac:dyDescent="0.45">
      <c r="A121" s="744" t="s">
        <v>2515</v>
      </c>
      <c r="B121" s="869"/>
      <c r="C121" s="870"/>
      <c r="D121" s="870"/>
      <c r="E121" s="871"/>
      <c r="F121" s="876"/>
      <c r="G121" s="880"/>
      <c r="H121" s="873"/>
      <c r="I121" s="880"/>
      <c r="J121" s="7"/>
      <c r="K121" s="873"/>
      <c r="L121" s="874"/>
      <c r="M121" s="873"/>
      <c r="N121" s="880"/>
      <c r="O121" s="873"/>
      <c r="P121" s="881">
        <v>2518</v>
      </c>
      <c r="Q121" s="7"/>
      <c r="R121" s="873"/>
      <c r="S121" s="873"/>
      <c r="T121" s="876"/>
      <c r="U121" s="880"/>
      <c r="V121" s="873"/>
      <c r="W121" s="880"/>
      <c r="X121" s="7"/>
      <c r="Y121" s="873"/>
      <c r="Z121" s="874"/>
      <c r="AA121" s="873"/>
      <c r="AB121" s="880"/>
      <c r="AC121" s="873"/>
      <c r="AD121" s="880"/>
      <c r="AE121" s="7"/>
      <c r="AF121" s="873"/>
      <c r="AG121" s="873"/>
      <c r="AH121" s="869"/>
      <c r="AI121" s="870"/>
      <c r="AJ121" s="871"/>
      <c r="AK121" s="869"/>
      <c r="AL121" s="870"/>
      <c r="AM121" s="871"/>
      <c r="AN121" s="869"/>
      <c r="AO121" s="870"/>
      <c r="AP121" s="7"/>
      <c r="AQ121" s="870"/>
      <c r="AR121" s="870"/>
      <c r="AS121" s="870"/>
      <c r="AT121" s="871"/>
      <c r="AU121" s="869"/>
      <c r="AV121" s="873"/>
      <c r="AW121" s="7"/>
      <c r="AX121" s="7"/>
      <c r="AZ121" s="7"/>
      <c r="BA121" s="7"/>
      <c r="BB121" s="869"/>
      <c r="BC121" s="873"/>
      <c r="BD121" s="870"/>
      <c r="BE121" s="870"/>
      <c r="BF121" s="871"/>
      <c r="BG121" s="869"/>
      <c r="BH121" s="873"/>
      <c r="BI121" s="870"/>
      <c r="BJ121" s="870"/>
      <c r="BK121" s="870"/>
      <c r="BL121" s="869"/>
      <c r="BM121" s="873"/>
      <c r="BN121" s="7"/>
      <c r="BO121" s="870"/>
      <c r="BP121" s="871"/>
      <c r="BQ121" s="869"/>
      <c r="BR121" s="873"/>
      <c r="BS121" s="7"/>
      <c r="BT121" s="7"/>
      <c r="BU121" s="870"/>
      <c r="BV121" s="869"/>
      <c r="BW121" s="873"/>
      <c r="BX121" s="7"/>
      <c r="BY121" s="7"/>
      <c r="BZ121" s="871"/>
      <c r="CA121" s="869"/>
      <c r="CB121" s="873"/>
      <c r="CC121" s="7"/>
      <c r="CD121" s="7"/>
      <c r="CE121" s="870"/>
      <c r="CF121" s="7"/>
      <c r="CG121" s="871"/>
      <c r="CH121" s="869"/>
      <c r="CI121" s="873"/>
      <c r="CJ121" s="880"/>
      <c r="CK121" s="7"/>
      <c r="CL121" s="871"/>
      <c r="CM121" s="869"/>
      <c r="CN121" s="870"/>
      <c r="CO121" s="7"/>
      <c r="CP121" s="870"/>
      <c r="CQ121" s="870"/>
      <c r="CR121" s="871"/>
      <c r="CS121" s="869"/>
      <c r="CT121" s="870"/>
      <c r="CU121" s="7"/>
      <c r="CV121" s="870"/>
      <c r="CW121" s="870"/>
      <c r="CX121" s="871"/>
      <c r="CY121" s="869"/>
      <c r="CZ121" s="870"/>
      <c r="DA121" s="7"/>
      <c r="DB121" s="870"/>
      <c r="DC121" s="870"/>
      <c r="DD121" s="871"/>
      <c r="DE121" s="869"/>
      <c r="DF121" s="873"/>
      <c r="DG121" s="7"/>
      <c r="DH121" s="870"/>
      <c r="DI121" s="871"/>
    </row>
    <row r="122" spans="1:113" x14ac:dyDescent="0.45">
      <c r="A122" s="744" t="s">
        <v>2516</v>
      </c>
      <c r="B122" s="882">
        <v>0</v>
      </c>
      <c r="C122" s="870"/>
      <c r="D122" s="870"/>
      <c r="E122" s="871"/>
      <c r="F122" s="876"/>
      <c r="G122" s="873"/>
      <c r="H122" s="873"/>
      <c r="I122" s="873"/>
      <c r="J122" s="873"/>
      <c r="K122" s="873"/>
      <c r="L122" s="874"/>
      <c r="M122" s="873"/>
      <c r="N122" s="873"/>
      <c r="O122" s="873"/>
      <c r="P122" s="875">
        <v>668</v>
      </c>
      <c r="Q122" s="873"/>
      <c r="R122" s="873"/>
      <c r="S122" s="873"/>
      <c r="T122" s="876"/>
      <c r="U122" s="873"/>
      <c r="V122" s="873"/>
      <c r="W122" s="873"/>
      <c r="X122" s="873"/>
      <c r="Y122" s="873"/>
      <c r="Z122" s="874"/>
      <c r="AA122" s="873"/>
      <c r="AB122" s="873"/>
      <c r="AC122" s="873"/>
      <c r="AD122" s="875">
        <v>28087</v>
      </c>
      <c r="AE122" s="873"/>
      <c r="AF122" s="873"/>
      <c r="AG122" s="873"/>
      <c r="AH122" s="882">
        <v>0</v>
      </c>
      <c r="AI122" s="870"/>
      <c r="AJ122" s="871"/>
      <c r="AK122" s="882">
        <v>0</v>
      </c>
      <c r="AL122" s="870"/>
      <c r="AM122" s="871"/>
      <c r="AN122" s="869"/>
      <c r="AO122" s="870"/>
      <c r="AP122" s="7"/>
      <c r="AQ122" s="870"/>
      <c r="AR122" s="870"/>
      <c r="AS122" s="870"/>
      <c r="AT122" s="871"/>
      <c r="AU122" s="869"/>
      <c r="AV122" s="7"/>
      <c r="AW122" s="7"/>
      <c r="AX122" s="7"/>
      <c r="AZ122" s="7"/>
      <c r="BA122" s="7"/>
      <c r="BB122" s="869"/>
      <c r="BC122" s="870"/>
      <c r="BD122" s="870"/>
      <c r="BE122" s="870"/>
      <c r="BF122" s="871"/>
      <c r="BG122" s="869"/>
      <c r="BH122" s="870"/>
      <c r="BI122" s="870"/>
      <c r="BJ122" s="870"/>
      <c r="BK122" s="870"/>
      <c r="BL122" s="869"/>
      <c r="BM122" s="870"/>
      <c r="BN122" s="7"/>
      <c r="BO122" s="870"/>
      <c r="BP122" s="871"/>
      <c r="BQ122" s="869"/>
      <c r="BR122" s="7"/>
      <c r="BS122" s="7"/>
      <c r="BT122" s="7"/>
      <c r="BU122" s="870"/>
      <c r="BV122" s="869"/>
      <c r="BW122" s="7"/>
      <c r="BX122" s="7"/>
      <c r="BY122" s="7"/>
      <c r="BZ122" s="871"/>
      <c r="CA122" s="869"/>
      <c r="CB122" s="7"/>
      <c r="CC122" s="7"/>
      <c r="CD122" s="7"/>
      <c r="CE122" s="870"/>
      <c r="CF122" s="7"/>
      <c r="CG122" s="871"/>
      <c r="CH122" s="869"/>
      <c r="CI122" s="7"/>
      <c r="CJ122" s="7"/>
      <c r="CK122" s="7"/>
      <c r="CL122" s="871"/>
      <c r="CM122" s="869"/>
      <c r="CN122" s="870"/>
      <c r="CO122" s="7"/>
      <c r="CP122" s="870"/>
      <c r="CQ122" s="870"/>
      <c r="CR122" s="871"/>
      <c r="CS122" s="869"/>
      <c r="CT122" s="870"/>
      <c r="CU122" s="7"/>
      <c r="CV122" s="870"/>
      <c r="CW122" s="870"/>
      <c r="CX122" s="871"/>
      <c r="CY122" s="869"/>
      <c r="CZ122" s="870"/>
      <c r="DA122" s="7"/>
      <c r="DB122" s="870"/>
      <c r="DC122" s="870"/>
      <c r="DD122" s="871"/>
      <c r="DE122" s="869"/>
      <c r="DF122" s="870"/>
      <c r="DG122" s="7"/>
      <c r="DH122" s="870"/>
      <c r="DI122" s="871"/>
    </row>
    <row r="123" spans="1:113" x14ac:dyDescent="0.45">
      <c r="A123" s="737" t="s">
        <v>2517</v>
      </c>
      <c r="B123" s="883">
        <v>28.401978159126362</v>
      </c>
      <c r="C123" s="884">
        <v>62.06358190330441</v>
      </c>
      <c r="D123" s="884">
        <v>62.06358190330441</v>
      </c>
      <c r="E123" s="885">
        <v>0</v>
      </c>
      <c r="F123" s="886"/>
      <c r="G123" s="887"/>
      <c r="H123" s="887"/>
      <c r="I123" s="887"/>
      <c r="J123" s="887"/>
      <c r="K123" s="887">
        <v>60.874039834457605</v>
      </c>
      <c r="L123" s="888">
        <v>0</v>
      </c>
      <c r="M123" s="887"/>
      <c r="N123" s="887"/>
      <c r="O123" s="887"/>
      <c r="P123" s="887"/>
      <c r="Q123" s="887"/>
      <c r="R123" s="887">
        <v>63.44772088917594</v>
      </c>
      <c r="S123" s="887">
        <v>0</v>
      </c>
      <c r="T123" s="886"/>
      <c r="U123" s="887"/>
      <c r="V123" s="887"/>
      <c r="W123" s="887"/>
      <c r="X123" s="887"/>
      <c r="Y123" s="887">
        <v>60.874039834457605</v>
      </c>
      <c r="Z123" s="888">
        <v>0</v>
      </c>
      <c r="AA123" s="887"/>
      <c r="AB123" s="887"/>
      <c r="AC123" s="887"/>
      <c r="AD123" s="887"/>
      <c r="AE123" s="887"/>
      <c r="AF123" s="887">
        <v>63.44772088917594</v>
      </c>
      <c r="AG123" s="887">
        <v>0</v>
      </c>
      <c r="AH123" s="883">
        <v>28.401978159126362</v>
      </c>
      <c r="AI123" s="884">
        <v>62.06358190330441</v>
      </c>
      <c r="AJ123" s="885">
        <v>0</v>
      </c>
      <c r="AK123" s="883">
        <v>28.401978159126362</v>
      </c>
      <c r="AL123" s="884">
        <v>62.06358190330441</v>
      </c>
      <c r="AM123" s="885">
        <v>0</v>
      </c>
      <c r="AN123" s="883">
        <v>0</v>
      </c>
      <c r="AO123" s="884"/>
      <c r="AP123" s="738"/>
      <c r="AQ123" s="884">
        <v>813.2889003191757</v>
      </c>
      <c r="AR123" s="884">
        <v>0</v>
      </c>
      <c r="AS123" s="884">
        <v>0</v>
      </c>
      <c r="AT123" s="885">
        <v>0</v>
      </c>
      <c r="AU123" s="883">
        <v>0</v>
      </c>
      <c r="AV123" s="884"/>
      <c r="AW123" s="738"/>
      <c r="AX123" s="884">
        <v>813.2889003191757</v>
      </c>
      <c r="AY123" s="884">
        <v>0</v>
      </c>
      <c r="AZ123" s="884">
        <v>0</v>
      </c>
      <c r="BA123" s="884">
        <v>0</v>
      </c>
      <c r="BB123" s="883">
        <v>0</v>
      </c>
      <c r="BC123" s="884"/>
      <c r="BD123" s="884"/>
      <c r="BE123" s="884">
        <v>57.790738429597255</v>
      </c>
      <c r="BF123" s="885">
        <v>0</v>
      </c>
      <c r="BG123" s="883">
        <v>0</v>
      </c>
      <c r="BH123" s="884"/>
      <c r="BI123" s="884"/>
      <c r="BJ123" s="884">
        <v>0</v>
      </c>
      <c r="BK123" s="884">
        <v>0</v>
      </c>
      <c r="BL123" s="883">
        <v>0</v>
      </c>
      <c r="BM123" s="884"/>
      <c r="BN123" s="738"/>
      <c r="BO123" s="884">
        <v>44.087511840817939</v>
      </c>
      <c r="BP123" s="885">
        <v>0</v>
      </c>
      <c r="BQ123" s="883">
        <v>0</v>
      </c>
      <c r="BR123" s="884"/>
      <c r="BS123" s="738"/>
      <c r="BT123" s="884">
        <v>43.903084939289627</v>
      </c>
      <c r="BU123" s="884">
        <v>0</v>
      </c>
      <c r="BV123" s="883">
        <v>0</v>
      </c>
      <c r="BW123" s="884"/>
      <c r="BX123" s="738"/>
      <c r="BY123" s="884">
        <v>43.903084939289627</v>
      </c>
      <c r="BZ123" s="885">
        <v>43.903084939289627</v>
      </c>
      <c r="CA123" s="883">
        <v>0</v>
      </c>
      <c r="CB123" s="884"/>
      <c r="CC123" s="738"/>
      <c r="CD123" s="884">
        <v>841.18509289621284</v>
      </c>
      <c r="CE123" s="884">
        <v>0</v>
      </c>
      <c r="CF123" s="884">
        <v>841.18509289621284</v>
      </c>
      <c r="CG123" s="885">
        <v>0</v>
      </c>
      <c r="CH123" s="883">
        <v>0</v>
      </c>
      <c r="CI123" s="884"/>
      <c r="CJ123" s="738"/>
      <c r="CK123" s="887"/>
      <c r="CL123" s="885">
        <v>0</v>
      </c>
      <c r="CM123" s="883">
        <v>0</v>
      </c>
      <c r="CN123" s="884"/>
      <c r="CO123" s="738"/>
      <c r="CP123" s="884">
        <v>813.2889003191757</v>
      </c>
      <c r="CQ123" s="884">
        <v>0</v>
      </c>
      <c r="CR123" s="885">
        <v>0</v>
      </c>
      <c r="CS123" s="883">
        <v>0</v>
      </c>
      <c r="CT123" s="884"/>
      <c r="CU123" s="738"/>
      <c r="CV123" s="884">
        <v>813.2889003191757</v>
      </c>
      <c r="CW123" s="884">
        <v>0</v>
      </c>
      <c r="CX123" s="885">
        <v>0</v>
      </c>
      <c r="CY123" s="883">
        <v>0</v>
      </c>
      <c r="CZ123" s="884"/>
      <c r="DA123" s="738"/>
      <c r="DB123" s="884">
        <v>813.2889003191757</v>
      </c>
      <c r="DC123" s="884">
        <v>0</v>
      </c>
      <c r="DD123" s="885">
        <v>0</v>
      </c>
      <c r="DE123" s="883">
        <v>0</v>
      </c>
      <c r="DF123" s="884"/>
      <c r="DG123" s="738"/>
      <c r="DH123" s="884">
        <v>823.99045544634396</v>
      </c>
      <c r="DI123" s="885">
        <v>0</v>
      </c>
    </row>
    <row r="124" spans="1:113" x14ac:dyDescent="0.45">
      <c r="A124" s="768" t="s">
        <v>1537</v>
      </c>
      <c r="B124" s="876">
        <v>30398.28268174635</v>
      </c>
      <c r="C124" s="873">
        <v>20682.113950390994</v>
      </c>
      <c r="D124" s="873">
        <v>14421.116818834327</v>
      </c>
      <c r="E124" s="874">
        <v>0</v>
      </c>
      <c r="F124" s="876">
        <v>94091.260895720756</v>
      </c>
      <c r="G124" s="873">
        <v>0</v>
      </c>
      <c r="H124" s="873">
        <v>-11096.608881788619</v>
      </c>
      <c r="I124" s="873">
        <v>0</v>
      </c>
      <c r="J124" s="873"/>
      <c r="K124" s="873">
        <v>57019.335481125046</v>
      </c>
      <c r="L124" s="874">
        <v>0</v>
      </c>
      <c r="M124" s="876">
        <v>256495.74858561158</v>
      </c>
      <c r="N124" s="873">
        <v>76334.133755166113</v>
      </c>
      <c r="O124" s="873">
        <v>-6300.7530643939726</v>
      </c>
      <c r="P124" s="873">
        <v>5692.3907460195132</v>
      </c>
      <c r="Q124" s="873"/>
      <c r="R124" s="873">
        <v>38177.766911262632</v>
      </c>
      <c r="S124" s="874">
        <v>0</v>
      </c>
      <c r="T124" s="876">
        <v>223426.49659256346</v>
      </c>
      <c r="U124" s="873">
        <v>0</v>
      </c>
      <c r="V124" s="873">
        <v>-3837.2202045374256</v>
      </c>
      <c r="W124" s="873">
        <v>599</v>
      </c>
      <c r="X124" s="873"/>
      <c r="Y124" s="873">
        <v>57019.335481125046</v>
      </c>
      <c r="Z124" s="873">
        <v>0</v>
      </c>
      <c r="AA124" s="876">
        <v>375549.90085870406</v>
      </c>
      <c r="AB124" s="873">
        <v>61808.744801405628</v>
      </c>
      <c r="AC124" s="873">
        <v>-955.95785974868181</v>
      </c>
      <c r="AD124" s="873">
        <v>35406.019489394792</v>
      </c>
      <c r="AE124" s="873"/>
      <c r="AF124" s="873">
        <v>38177.766911262632</v>
      </c>
      <c r="AG124" s="874">
        <v>0</v>
      </c>
      <c r="AH124" s="876">
        <v>15370.537812266622</v>
      </c>
      <c r="AI124" s="873">
        <v>23725.090717675765</v>
      </c>
      <c r="AJ124" s="874">
        <v>0</v>
      </c>
      <c r="AK124" s="876">
        <v>18405.337192365736</v>
      </c>
      <c r="AL124" s="873">
        <v>12383.617000905568</v>
      </c>
      <c r="AM124" s="874">
        <v>0</v>
      </c>
      <c r="AN124" s="889">
        <v>170524.71543706465</v>
      </c>
      <c r="AO124" s="873"/>
      <c r="AP124" s="7"/>
      <c r="AQ124" s="870">
        <v>4525.883431772264</v>
      </c>
      <c r="AR124" s="890">
        <v>1219.2160314664329</v>
      </c>
      <c r="AS124" s="870">
        <v>1268.9712231792303</v>
      </c>
      <c r="AT124" s="871">
        <v>0</v>
      </c>
      <c r="AU124" s="889">
        <v>175180.23823609855</v>
      </c>
      <c r="AV124" s="890"/>
      <c r="AW124" s="891"/>
      <c r="AX124" s="890">
        <v>4116.5408969604023</v>
      </c>
      <c r="AY124" s="890">
        <v>1219.2160314664329</v>
      </c>
      <c r="AZ124" s="890">
        <v>1268.9712231792303</v>
      </c>
      <c r="BA124" s="892">
        <v>0</v>
      </c>
      <c r="BB124" s="889">
        <v>135092.20947092981</v>
      </c>
      <c r="BC124" s="870"/>
      <c r="BD124" s="870"/>
      <c r="BE124" s="870">
        <v>9370.1021280963832</v>
      </c>
      <c r="BF124" s="871">
        <v>0</v>
      </c>
      <c r="BG124" s="889">
        <v>64090.684512475505</v>
      </c>
      <c r="BH124" s="870"/>
      <c r="BI124" s="870"/>
      <c r="BJ124" s="870">
        <v>4975.8886295831226</v>
      </c>
      <c r="BK124" s="870">
        <v>0</v>
      </c>
      <c r="BL124" s="889">
        <v>119901.56039892486</v>
      </c>
      <c r="BM124" s="870"/>
      <c r="BN124" s="7"/>
      <c r="BO124" s="870">
        <v>4209.2821117418398</v>
      </c>
      <c r="BP124" s="871">
        <v>0</v>
      </c>
      <c r="BQ124" s="889">
        <v>119901.56039892486</v>
      </c>
      <c r="BR124" s="870"/>
      <c r="BS124" s="7"/>
      <c r="BT124" s="870">
        <v>4226.594722594893</v>
      </c>
      <c r="BU124" s="870">
        <v>0</v>
      </c>
      <c r="BV124" s="889">
        <v>192987.06873790012</v>
      </c>
      <c r="BW124" s="870"/>
      <c r="BX124" s="7"/>
      <c r="BY124" s="870">
        <v>4655.0583597552231</v>
      </c>
      <c r="BZ124" s="871">
        <v>43.903084939289627</v>
      </c>
      <c r="CA124" s="889">
        <v>87455.298532494577</v>
      </c>
      <c r="CB124" s="870"/>
      <c r="CC124" s="7"/>
      <c r="CD124" s="870">
        <v>6678.4494823229916</v>
      </c>
      <c r="CE124" s="870">
        <v>0</v>
      </c>
      <c r="CF124" s="870">
        <v>22854.608281789631</v>
      </c>
      <c r="CG124" s="871">
        <v>0</v>
      </c>
      <c r="CH124" s="889">
        <v>88595.462034163298</v>
      </c>
      <c r="CI124" s="873"/>
      <c r="CJ124" s="7"/>
      <c r="CK124" s="873">
        <v>785.32461416925457</v>
      </c>
      <c r="CL124" s="871">
        <v>0</v>
      </c>
      <c r="CM124" s="889">
        <v>202866.60406995052</v>
      </c>
      <c r="CN124" s="873"/>
      <c r="CO124" s="7"/>
      <c r="CP124" s="870">
        <v>5745.0994632386974</v>
      </c>
      <c r="CQ124" s="870">
        <v>1268.9712231792303</v>
      </c>
      <c r="CR124" s="871">
        <v>0</v>
      </c>
      <c r="CS124" s="889">
        <v>191173.17405396188</v>
      </c>
      <c r="CT124" s="873"/>
      <c r="CU124" s="7"/>
      <c r="CV124" s="870">
        <v>5745.0994632386974</v>
      </c>
      <c r="CW124" s="870">
        <v>1353.3689460110593</v>
      </c>
      <c r="CX124" s="871">
        <v>0</v>
      </c>
      <c r="CY124" s="889">
        <v>190098.90405655047</v>
      </c>
      <c r="CZ124" s="873"/>
      <c r="DA124" s="7"/>
      <c r="DB124" s="870">
        <v>5745.0994632386974</v>
      </c>
      <c r="DC124" s="870">
        <v>1446.6383360425145</v>
      </c>
      <c r="DD124" s="871">
        <v>0</v>
      </c>
      <c r="DE124" s="889">
        <v>124145.33103621262</v>
      </c>
      <c r="DF124" s="870"/>
      <c r="DG124" s="7"/>
      <c r="DH124" s="870">
        <v>6783.0640772631486</v>
      </c>
      <c r="DI124" s="871">
        <v>0</v>
      </c>
    </row>
    <row r="125" spans="1:113" x14ac:dyDescent="0.45">
      <c r="A125" s="768" t="s">
        <v>1536</v>
      </c>
      <c r="B125" s="876">
        <v>28827.476934692026</v>
      </c>
      <c r="C125" s="873">
        <v>18243.932483600183</v>
      </c>
      <c r="D125" s="873">
        <v>14007.76552937994</v>
      </c>
      <c r="E125" s="874">
        <v>0</v>
      </c>
      <c r="F125" s="876">
        <v>94097.264564417143</v>
      </c>
      <c r="G125" s="873">
        <v>0</v>
      </c>
      <c r="H125" s="873">
        <v>-10459.599795508362</v>
      </c>
      <c r="I125" s="873">
        <v>0</v>
      </c>
      <c r="J125" s="873"/>
      <c r="K125" s="873">
        <v>47069.635517591531</v>
      </c>
      <c r="L125" s="874">
        <v>0</v>
      </c>
      <c r="M125" s="876">
        <v>256501.13793959416</v>
      </c>
      <c r="N125" s="873">
        <v>76333.453531021776</v>
      </c>
      <c r="O125" s="873">
        <v>-5939.0536483665965</v>
      </c>
      <c r="P125" s="873">
        <v>5689.9753385219274</v>
      </c>
      <c r="Q125" s="873"/>
      <c r="R125" s="873">
        <v>30867.370980260119</v>
      </c>
      <c r="S125" s="874">
        <v>0</v>
      </c>
      <c r="T125" s="876">
        <v>223424.04060606085</v>
      </c>
      <c r="U125" s="873">
        <v>0</v>
      </c>
      <c r="V125" s="873">
        <v>-3616.9417246533499</v>
      </c>
      <c r="W125" s="873">
        <v>599</v>
      </c>
      <c r="X125" s="873"/>
      <c r="Y125" s="873">
        <v>47069.635517591531</v>
      </c>
      <c r="Z125" s="873">
        <v>0</v>
      </c>
      <c r="AA125" s="876">
        <v>375546.60437599011</v>
      </c>
      <c r="AB125" s="873">
        <v>61808.503692447775</v>
      </c>
      <c r="AC125" s="873">
        <v>-901.08038778872708</v>
      </c>
      <c r="AD125" s="873">
        <v>35405.625789766913</v>
      </c>
      <c r="AE125" s="873"/>
      <c r="AF125" s="873">
        <v>30867.370980260119</v>
      </c>
      <c r="AG125" s="874">
        <v>0</v>
      </c>
      <c r="AH125" s="876">
        <v>15346.046806134545</v>
      </c>
      <c r="AI125" s="873">
        <v>20428.061845869204</v>
      </c>
      <c r="AJ125" s="874">
        <v>0</v>
      </c>
      <c r="AK125" s="876">
        <v>18342.911326712318</v>
      </c>
      <c r="AL125" s="873">
        <v>11060.446677581922</v>
      </c>
      <c r="AM125" s="874">
        <v>0</v>
      </c>
      <c r="AN125" s="876">
        <v>167921.31758732721</v>
      </c>
      <c r="AO125" s="873"/>
      <c r="AP125" s="7"/>
      <c r="AQ125" s="870">
        <v>4141.3520547968192</v>
      </c>
      <c r="AR125" s="870">
        <v>1213.0651177811067</v>
      </c>
      <c r="AS125" s="870">
        <v>1262.5692958246905</v>
      </c>
      <c r="AT125" s="871">
        <v>0</v>
      </c>
      <c r="AU125" s="876">
        <v>172328.42338262429</v>
      </c>
      <c r="AV125" s="870"/>
      <c r="AW125" s="7"/>
      <c r="AX125" s="870">
        <v>3503.4142753325918</v>
      </c>
      <c r="AY125" s="870">
        <v>1213.0651177811067</v>
      </c>
      <c r="AZ125" s="870">
        <v>1262.5692958246905</v>
      </c>
      <c r="BA125" s="871">
        <v>0</v>
      </c>
      <c r="BB125" s="876">
        <v>133020.82992802653</v>
      </c>
      <c r="BC125" s="870"/>
      <c r="BD125" s="870"/>
      <c r="BE125" s="870">
        <v>8386.7834070184035</v>
      </c>
      <c r="BF125" s="871">
        <v>0</v>
      </c>
      <c r="BG125" s="876">
        <v>63422.984562633792</v>
      </c>
      <c r="BH125" s="870"/>
      <c r="BI125" s="870"/>
      <c r="BJ125" s="870">
        <v>4716.6774457708334</v>
      </c>
      <c r="BK125" s="870">
        <v>0</v>
      </c>
      <c r="BL125" s="876">
        <v>118301.2002415352</v>
      </c>
      <c r="BM125" s="870"/>
      <c r="BN125" s="870"/>
      <c r="BO125" s="870">
        <v>3971.4246875674912</v>
      </c>
      <c r="BP125" s="871">
        <v>0</v>
      </c>
      <c r="BQ125" s="876">
        <v>118301.2002415352</v>
      </c>
      <c r="BR125" s="870"/>
      <c r="BS125" s="7"/>
      <c r="BT125" s="870">
        <v>3987.7381133329895</v>
      </c>
      <c r="BU125" s="870">
        <v>0</v>
      </c>
      <c r="BV125" s="876">
        <v>189907.2053060031</v>
      </c>
      <c r="BW125" s="870"/>
      <c r="BX125" s="7"/>
      <c r="BY125" s="870">
        <v>4023.6365662154149</v>
      </c>
      <c r="BZ125" s="871">
        <v>43.903084939289627</v>
      </c>
      <c r="CA125" s="876">
        <v>86166.483809341677</v>
      </c>
      <c r="CB125" s="870"/>
      <c r="CC125" s="7"/>
      <c r="CD125" s="870">
        <v>6256.9254166945411</v>
      </c>
      <c r="CE125" s="870">
        <v>0</v>
      </c>
      <c r="CF125" s="870">
        <v>22743.551125011119</v>
      </c>
      <c r="CG125" s="871">
        <v>0</v>
      </c>
      <c r="CH125" s="876">
        <v>87564.318741055671</v>
      </c>
      <c r="CI125" s="873"/>
      <c r="CJ125" s="7"/>
      <c r="CK125" s="873">
        <v>781.36267158315911</v>
      </c>
      <c r="CL125" s="871">
        <v>0</v>
      </c>
      <c r="CM125" s="876">
        <v>201121.67681032955</v>
      </c>
      <c r="CN125" s="873"/>
      <c r="CO125" s="7"/>
      <c r="CP125" s="870">
        <v>5354.4171725779261</v>
      </c>
      <c r="CQ125" s="870">
        <v>1262.5692958246905</v>
      </c>
      <c r="CR125" s="871">
        <v>0</v>
      </c>
      <c r="CS125" s="876">
        <v>189591.59060407942</v>
      </c>
      <c r="CT125" s="873"/>
      <c r="CU125" s="7"/>
      <c r="CV125" s="870">
        <v>5354.4171725779261</v>
      </c>
      <c r="CW125" s="870">
        <v>1346.5412343041335</v>
      </c>
      <c r="CX125" s="871">
        <v>0</v>
      </c>
      <c r="CY125" s="876">
        <v>188577.73054442462</v>
      </c>
      <c r="CZ125" s="873"/>
      <c r="DA125" s="7"/>
      <c r="DB125" s="870">
        <v>5354.4171725779261</v>
      </c>
      <c r="DC125" s="870">
        <v>1439.3400826491606</v>
      </c>
      <c r="DD125" s="871">
        <v>0</v>
      </c>
      <c r="DE125" s="876">
        <v>122376.23079477297</v>
      </c>
      <c r="DF125" s="870"/>
      <c r="DG125" s="870"/>
      <c r="DH125" s="870">
        <v>6352.7438496926206</v>
      </c>
      <c r="DI125" s="871">
        <v>0</v>
      </c>
    </row>
    <row r="126" spans="1:113" x14ac:dyDescent="0.45">
      <c r="A126" s="768" t="s">
        <v>1535</v>
      </c>
      <c r="B126" s="876">
        <v>3791.661062833814</v>
      </c>
      <c r="C126" s="873">
        <v>5884.9412044746759</v>
      </c>
      <c r="D126" s="873">
        <v>994.16314101094736</v>
      </c>
      <c r="E126" s="874">
        <v>0</v>
      </c>
      <c r="F126" s="876">
        <v>-89.013845892677494</v>
      </c>
      <c r="G126" s="873">
        <v>0</v>
      </c>
      <c r="H126" s="873">
        <v>-8397.3699854606948</v>
      </c>
      <c r="I126" s="873">
        <v>0</v>
      </c>
      <c r="J126" s="873"/>
      <c r="K126" s="873">
        <v>24023.942448125377</v>
      </c>
      <c r="L126" s="874">
        <v>0</v>
      </c>
      <c r="M126" s="876">
        <v>-84.222291087792982</v>
      </c>
      <c r="N126" s="873">
        <v>0</v>
      </c>
      <c r="O126" s="873">
        <v>-4768.1012489838358</v>
      </c>
      <c r="P126" s="873">
        <v>5.7326601750815511</v>
      </c>
      <c r="Q126" s="873"/>
      <c r="R126" s="873">
        <v>17652.40533603977</v>
      </c>
      <c r="S126" s="874">
        <v>0</v>
      </c>
      <c r="T126" s="876">
        <v>5.7824380753152305</v>
      </c>
      <c r="U126" s="873">
        <v>0</v>
      </c>
      <c r="V126" s="873">
        <v>-2903.8202676556893</v>
      </c>
      <c r="W126" s="873">
        <v>0</v>
      </c>
      <c r="X126" s="873"/>
      <c r="Y126" s="873">
        <v>24023.942448125377</v>
      </c>
      <c r="Z126" s="873">
        <v>0</v>
      </c>
      <c r="AA126" s="876">
        <v>7.7613240704871176</v>
      </c>
      <c r="AB126" s="873">
        <v>0</v>
      </c>
      <c r="AC126" s="873">
        <v>-723.42207645016117</v>
      </c>
      <c r="AD126" s="873">
        <v>0.92693657560442932</v>
      </c>
      <c r="AE126" s="873"/>
      <c r="AF126" s="873">
        <v>17652.40533603977</v>
      </c>
      <c r="AG126" s="874">
        <v>0</v>
      </c>
      <c r="AH126" s="876">
        <v>58.654972853297181</v>
      </c>
      <c r="AI126" s="873">
        <v>7959.310598459786</v>
      </c>
      <c r="AJ126" s="874">
        <v>0</v>
      </c>
      <c r="AK126" s="876">
        <v>150.37777936671054</v>
      </c>
      <c r="AL126" s="873">
        <v>3193.3644561435835</v>
      </c>
      <c r="AM126" s="874">
        <v>0</v>
      </c>
      <c r="AN126" s="876">
        <v>6219.7438339084165</v>
      </c>
      <c r="AO126" s="873"/>
      <c r="AP126" s="7"/>
      <c r="AQ126" s="870">
        <v>927.99176471341048</v>
      </c>
      <c r="AR126" s="870">
        <v>14.481870097382203</v>
      </c>
      <c r="AS126" s="870">
        <v>15.072863165434651</v>
      </c>
      <c r="AT126" s="871">
        <v>0</v>
      </c>
      <c r="AU126" s="876">
        <v>6878.5953024756573</v>
      </c>
      <c r="AV126" s="870"/>
      <c r="AW126" s="7"/>
      <c r="AX126" s="870">
        <v>1480.4829205054307</v>
      </c>
      <c r="AY126" s="870">
        <v>14.481870097382203</v>
      </c>
      <c r="AZ126" s="870">
        <v>15.072863165434651</v>
      </c>
      <c r="BA126" s="871">
        <v>0</v>
      </c>
      <c r="BB126" s="876">
        <v>4943.5352682289958</v>
      </c>
      <c r="BC126" s="870"/>
      <c r="BD126" s="870"/>
      <c r="BE126" s="870">
        <v>2373.108677859299</v>
      </c>
      <c r="BF126" s="871">
        <v>0</v>
      </c>
      <c r="BG126" s="876">
        <v>1602.4418433519043</v>
      </c>
      <c r="BH126" s="870"/>
      <c r="BI126" s="870"/>
      <c r="BJ126" s="870">
        <v>624.7616461695136</v>
      </c>
      <c r="BK126" s="870">
        <v>0</v>
      </c>
      <c r="BL126" s="876">
        <v>3852.9946301606251</v>
      </c>
      <c r="BM126" s="870"/>
      <c r="BN126" s="870"/>
      <c r="BO126" s="870">
        <v>573.43903635059564</v>
      </c>
      <c r="BP126" s="871">
        <v>0</v>
      </c>
      <c r="BQ126" s="876">
        <v>3852.9946301606251</v>
      </c>
      <c r="BR126" s="870"/>
      <c r="BS126" s="7"/>
      <c r="BT126" s="870">
        <v>575.84792367346324</v>
      </c>
      <c r="BU126" s="870">
        <v>0</v>
      </c>
      <c r="BV126" s="876">
        <v>7422.6973410054989</v>
      </c>
      <c r="BW126" s="870"/>
      <c r="BX126" s="7"/>
      <c r="BY126" s="870">
        <v>1524.2815951397045</v>
      </c>
      <c r="BZ126" s="871">
        <v>0</v>
      </c>
      <c r="CA126" s="876">
        <v>3102.7282889592693</v>
      </c>
      <c r="CB126" s="870"/>
      <c r="CC126" s="7"/>
      <c r="CD126" s="870">
        <v>1016.7068807837181</v>
      </c>
      <c r="CE126" s="870">
        <v>0</v>
      </c>
      <c r="CF126" s="870">
        <v>261.47583922171594</v>
      </c>
      <c r="CG126" s="871">
        <v>0</v>
      </c>
      <c r="CH126" s="876">
        <v>2484.4023917219893</v>
      </c>
      <c r="CI126" s="873"/>
      <c r="CJ126" s="7"/>
      <c r="CK126" s="873">
        <v>9.3280999865109298</v>
      </c>
      <c r="CL126" s="871">
        <v>0</v>
      </c>
      <c r="CM126" s="876">
        <v>4174.8242146366902</v>
      </c>
      <c r="CN126" s="873"/>
      <c r="CO126" s="7"/>
      <c r="CP126" s="870">
        <v>942.47363481079265</v>
      </c>
      <c r="CQ126" s="870">
        <v>15.072863165434651</v>
      </c>
      <c r="CR126" s="871">
        <v>0</v>
      </c>
      <c r="CS126" s="876">
        <v>3780.8509932378183</v>
      </c>
      <c r="CT126" s="873"/>
      <c r="CU126" s="7"/>
      <c r="CV126" s="870">
        <v>942.47363481079265</v>
      </c>
      <c r="CW126" s="870">
        <v>16.075340845370789</v>
      </c>
      <c r="CX126" s="871">
        <v>0</v>
      </c>
      <c r="CY126" s="876">
        <v>3636.2967244205047</v>
      </c>
      <c r="CZ126" s="873"/>
      <c r="DA126" s="7"/>
      <c r="DB126" s="870">
        <v>942.47363481079265</v>
      </c>
      <c r="DC126" s="870">
        <v>17.183196348938122</v>
      </c>
      <c r="DD126" s="871">
        <v>0</v>
      </c>
      <c r="DE126" s="876">
        <v>4258.9809586370593</v>
      </c>
      <c r="DF126" s="870"/>
      <c r="DG126" s="870"/>
      <c r="DH126" s="870">
        <v>1037.9230321265022</v>
      </c>
      <c r="DI126" s="871">
        <v>0</v>
      </c>
    </row>
    <row r="127" spans="1:113" x14ac:dyDescent="0.45">
      <c r="A127" s="768" t="s">
        <v>1534</v>
      </c>
      <c r="B127" s="876">
        <v>20760.555448464249</v>
      </c>
      <c r="C127" s="873">
        <v>4823.0125381345897</v>
      </c>
      <c r="D127" s="873">
        <v>1558.1103530402997</v>
      </c>
      <c r="E127" s="874">
        <v>0</v>
      </c>
      <c r="F127" s="876">
        <v>71685.273033761245</v>
      </c>
      <c r="G127" s="873">
        <v>0</v>
      </c>
      <c r="H127" s="873">
        <v>-1929.1741523836408</v>
      </c>
      <c r="I127" s="873">
        <v>0</v>
      </c>
      <c r="J127" s="873"/>
      <c r="K127" s="873">
        <v>17609.551985014317</v>
      </c>
      <c r="L127" s="874">
        <v>0</v>
      </c>
      <c r="M127" s="876">
        <v>210944.21894841979</v>
      </c>
      <c r="N127" s="873">
        <v>76215.663131196008</v>
      </c>
      <c r="O127" s="873">
        <v>-1095.4022153857882</v>
      </c>
      <c r="P127" s="873">
        <v>5397.3921776804827</v>
      </c>
      <c r="Q127" s="873"/>
      <c r="R127" s="873">
        <v>12551.668680709527</v>
      </c>
      <c r="S127" s="874">
        <v>0</v>
      </c>
      <c r="T127" s="876">
        <v>222992.9694825942</v>
      </c>
      <c r="U127" s="873">
        <v>0</v>
      </c>
      <c r="V127" s="873">
        <v>-667.11065645891779</v>
      </c>
      <c r="W127" s="873">
        <v>599</v>
      </c>
      <c r="X127" s="873"/>
      <c r="Y127" s="873">
        <v>17609.551985014317</v>
      </c>
      <c r="Z127" s="873">
        <v>0</v>
      </c>
      <c r="AA127" s="876">
        <v>338878.01059892291</v>
      </c>
      <c r="AB127" s="873">
        <v>61766.752277441941</v>
      </c>
      <c r="AC127" s="873">
        <v>-166.19574623575281</v>
      </c>
      <c r="AD127" s="873">
        <v>35336.524212573393</v>
      </c>
      <c r="AE127" s="873"/>
      <c r="AF127" s="873">
        <v>12551.668680709527</v>
      </c>
      <c r="AG127" s="874">
        <v>0</v>
      </c>
      <c r="AH127" s="876">
        <v>3315.2305752338489</v>
      </c>
      <c r="AI127" s="873">
        <v>6331.0462677876976</v>
      </c>
      <c r="AJ127" s="874">
        <v>0</v>
      </c>
      <c r="AK127" s="876">
        <v>3302.0793462575966</v>
      </c>
      <c r="AL127" s="873">
        <v>2833.2658554208019</v>
      </c>
      <c r="AM127" s="874">
        <v>0</v>
      </c>
      <c r="AN127" s="876">
        <v>99516.762583068514</v>
      </c>
      <c r="AO127" s="873"/>
      <c r="AP127" s="7"/>
      <c r="AQ127" s="870">
        <v>830.05741471701413</v>
      </c>
      <c r="AR127" s="870">
        <v>133.46583258918599</v>
      </c>
      <c r="AS127" s="870">
        <v>138.91246215785714</v>
      </c>
      <c r="AT127" s="871">
        <v>0</v>
      </c>
      <c r="AU127" s="876">
        <v>118231.35103323808</v>
      </c>
      <c r="AV127" s="870"/>
      <c r="AW127" s="7"/>
      <c r="AX127" s="870">
        <v>1063.7495090050102</v>
      </c>
      <c r="AY127" s="870">
        <v>133.46583258918599</v>
      </c>
      <c r="AZ127" s="870">
        <v>138.91246215785714</v>
      </c>
      <c r="BA127" s="871">
        <v>0</v>
      </c>
      <c r="BB127" s="876">
        <v>74701.54667370973</v>
      </c>
      <c r="BC127" s="870"/>
      <c r="BD127" s="870"/>
      <c r="BE127" s="870">
        <v>2113.3650462463315</v>
      </c>
      <c r="BF127" s="871">
        <v>0</v>
      </c>
      <c r="BG127" s="876">
        <v>34266.19661533882</v>
      </c>
      <c r="BH127" s="870"/>
      <c r="BI127" s="870"/>
      <c r="BJ127" s="870">
        <v>752.9833304496351</v>
      </c>
      <c r="BK127" s="870">
        <v>0</v>
      </c>
      <c r="BL127" s="876">
        <v>80790.003635056084</v>
      </c>
      <c r="BM127" s="870"/>
      <c r="BN127" s="870"/>
      <c r="BO127" s="870">
        <v>706.74055214134023</v>
      </c>
      <c r="BP127" s="871">
        <v>0</v>
      </c>
      <c r="BQ127" s="876">
        <v>80790.003635056084</v>
      </c>
      <c r="BR127" s="870"/>
      <c r="BS127" s="7"/>
      <c r="BT127" s="870">
        <v>709.70940889626991</v>
      </c>
      <c r="BU127" s="870">
        <v>0</v>
      </c>
      <c r="BV127" s="876">
        <v>163127.54048786679</v>
      </c>
      <c r="BW127" s="870"/>
      <c r="BX127" s="7"/>
      <c r="BY127" s="870">
        <v>1220.6931708907205</v>
      </c>
      <c r="BZ127" s="871">
        <v>0</v>
      </c>
      <c r="CA127" s="876">
        <v>67047.154405608511</v>
      </c>
      <c r="CB127" s="870"/>
      <c r="CC127" s="7"/>
      <c r="CD127" s="870">
        <v>1071.1609156986724</v>
      </c>
      <c r="CE127" s="870">
        <v>0</v>
      </c>
      <c r="CF127" s="870">
        <v>2409.7779049952078</v>
      </c>
      <c r="CG127" s="871">
        <v>0</v>
      </c>
      <c r="CH127" s="876">
        <v>43499.764575436333</v>
      </c>
      <c r="CI127" s="873"/>
      <c r="CJ127" s="7"/>
      <c r="CK127" s="873">
        <v>85.968360633196298</v>
      </c>
      <c r="CL127" s="871">
        <v>0</v>
      </c>
      <c r="CM127" s="876">
        <v>164987.07961590565</v>
      </c>
      <c r="CN127" s="873"/>
      <c r="CO127" s="7"/>
      <c r="CP127" s="870">
        <v>963.52324730620057</v>
      </c>
      <c r="CQ127" s="870">
        <v>138.91246215785714</v>
      </c>
      <c r="CR127" s="871">
        <v>0</v>
      </c>
      <c r="CS127" s="876">
        <v>167192.76092953805</v>
      </c>
      <c r="CT127" s="873"/>
      <c r="CU127" s="7"/>
      <c r="CV127" s="870">
        <v>963.52324730620057</v>
      </c>
      <c r="CW127" s="870">
        <v>148.15135998700816</v>
      </c>
      <c r="CX127" s="871">
        <v>0</v>
      </c>
      <c r="CY127" s="876">
        <v>169871.86767981318</v>
      </c>
      <c r="CZ127" s="873"/>
      <c r="DA127" s="7"/>
      <c r="DB127" s="870">
        <v>963.52324730620057</v>
      </c>
      <c r="DC127" s="870">
        <v>158.36142651694172</v>
      </c>
      <c r="DD127" s="871">
        <v>0</v>
      </c>
      <c r="DE127" s="876">
        <v>92032.729698051262</v>
      </c>
      <c r="DF127" s="870"/>
      <c r="DG127" s="870"/>
      <c r="DH127" s="870">
        <v>1093.5133877134394</v>
      </c>
      <c r="DI127" s="871">
        <v>0</v>
      </c>
    </row>
    <row r="128" spans="1:113" x14ac:dyDescent="0.45">
      <c r="A128" s="768" t="s">
        <v>1533</v>
      </c>
      <c r="B128" s="876">
        <v>4275.2604233939655</v>
      </c>
      <c r="C128" s="873">
        <v>7535.9787409909186</v>
      </c>
      <c r="D128" s="873">
        <v>11455.492035328693</v>
      </c>
      <c r="E128" s="874">
        <v>0</v>
      </c>
      <c r="F128" s="876">
        <v>22501.005376548572</v>
      </c>
      <c r="G128" s="873">
        <v>0</v>
      </c>
      <c r="H128" s="873">
        <v>-133.05565766402648</v>
      </c>
      <c r="I128" s="873">
        <v>0</v>
      </c>
      <c r="J128" s="873"/>
      <c r="K128" s="873">
        <v>5436.1410844518359</v>
      </c>
      <c r="L128" s="874">
        <v>0</v>
      </c>
      <c r="M128" s="876">
        <v>45641.141282262164</v>
      </c>
      <c r="N128" s="873">
        <v>117.7903998257633</v>
      </c>
      <c r="O128" s="873">
        <v>-75.550183996972564</v>
      </c>
      <c r="P128" s="873">
        <v>286.85050066636251</v>
      </c>
      <c r="Q128" s="873"/>
      <c r="R128" s="873">
        <v>663.29696351082271</v>
      </c>
      <c r="S128" s="874">
        <v>0</v>
      </c>
      <c r="T128" s="876">
        <v>425.28868539135067</v>
      </c>
      <c r="U128" s="873">
        <v>0</v>
      </c>
      <c r="V128" s="873">
        <v>-46.010800538742743</v>
      </c>
      <c r="W128" s="873">
        <v>0</v>
      </c>
      <c r="X128" s="873"/>
      <c r="Y128" s="873">
        <v>5436.1410844518359</v>
      </c>
      <c r="Z128" s="873">
        <v>0</v>
      </c>
      <c r="AA128" s="876">
        <v>36660.832452996699</v>
      </c>
      <c r="AB128" s="873">
        <v>41.751415005830751</v>
      </c>
      <c r="AC128" s="873">
        <v>-11.462565102813091</v>
      </c>
      <c r="AD128" s="873">
        <v>68.174640617915713</v>
      </c>
      <c r="AE128" s="873"/>
      <c r="AF128" s="873">
        <v>663.29696351082271</v>
      </c>
      <c r="AG128" s="874">
        <v>0</v>
      </c>
      <c r="AH128" s="876">
        <v>11972.161258047399</v>
      </c>
      <c r="AI128" s="873">
        <v>6137.7049796217207</v>
      </c>
      <c r="AJ128" s="874">
        <v>0</v>
      </c>
      <c r="AK128" s="876">
        <v>14890.45420108801</v>
      </c>
      <c r="AL128" s="873">
        <v>5033.8163660175369</v>
      </c>
      <c r="AM128" s="874">
        <v>0</v>
      </c>
      <c r="AN128" s="876">
        <v>62184.811170350295</v>
      </c>
      <c r="AO128" s="873"/>
      <c r="AP128" s="7"/>
      <c r="AQ128" s="870">
        <v>2383.3028753663943</v>
      </c>
      <c r="AR128" s="870">
        <v>1065.1174150945385</v>
      </c>
      <c r="AS128" s="870">
        <v>1108.5839705013987</v>
      </c>
      <c r="AT128" s="871">
        <v>0</v>
      </c>
      <c r="AU128" s="876">
        <v>47218.477046910557</v>
      </c>
      <c r="AV128" s="870"/>
      <c r="AW128" s="7"/>
      <c r="AX128" s="870">
        <v>959.18184582215088</v>
      </c>
      <c r="AY128" s="870">
        <v>1065.1174150945385</v>
      </c>
      <c r="AZ128" s="870">
        <v>1108.5839705013987</v>
      </c>
      <c r="BA128" s="871">
        <v>0</v>
      </c>
      <c r="BB128" s="876">
        <v>53375.747986087808</v>
      </c>
      <c r="BC128" s="870"/>
      <c r="BD128" s="870"/>
      <c r="BE128" s="870">
        <v>3900.309682912773</v>
      </c>
      <c r="BF128" s="871">
        <v>0</v>
      </c>
      <c r="BG128" s="876">
        <v>27554.346103943069</v>
      </c>
      <c r="BH128" s="870"/>
      <c r="BI128" s="870"/>
      <c r="BJ128" s="870">
        <v>3338.9324691516849</v>
      </c>
      <c r="BK128" s="870">
        <v>0</v>
      </c>
      <c r="BL128" s="876">
        <v>33658.201976318494</v>
      </c>
      <c r="BM128" s="870"/>
      <c r="BN128" s="7"/>
      <c r="BO128" s="870">
        <v>2691.2450990755551</v>
      </c>
      <c r="BP128" s="871">
        <v>0</v>
      </c>
      <c r="BQ128" s="876">
        <v>33658.201976318494</v>
      </c>
      <c r="BR128" s="870"/>
      <c r="BS128" s="7"/>
      <c r="BT128" s="870">
        <v>2702.1807807632563</v>
      </c>
      <c r="BU128" s="870">
        <v>0</v>
      </c>
      <c r="BV128" s="876">
        <v>19356.96747713082</v>
      </c>
      <c r="BW128" s="870"/>
      <c r="BX128" s="7"/>
      <c r="BY128" s="870">
        <v>1278.6618001849902</v>
      </c>
      <c r="BZ128" s="871">
        <v>43.903084939289627</v>
      </c>
      <c r="CA128" s="876">
        <v>16016.60111477389</v>
      </c>
      <c r="CB128" s="870"/>
      <c r="CC128" s="7"/>
      <c r="CD128" s="870">
        <v>4169.0576202121501</v>
      </c>
      <c r="CE128" s="870">
        <v>0</v>
      </c>
      <c r="CF128" s="870">
        <v>20072.297380794196</v>
      </c>
      <c r="CG128" s="871">
        <v>0</v>
      </c>
      <c r="CH128" s="876">
        <v>41580.151773897349</v>
      </c>
      <c r="CI128" s="873"/>
      <c r="CJ128" s="7"/>
      <c r="CK128" s="873">
        <v>686.06621096345179</v>
      </c>
      <c r="CL128" s="871">
        <v>0</v>
      </c>
      <c r="CM128" s="876">
        <v>31959.772979787202</v>
      </c>
      <c r="CN128" s="873"/>
      <c r="CO128" s="7"/>
      <c r="CP128" s="870">
        <v>3448.4202904609328</v>
      </c>
      <c r="CQ128" s="870">
        <v>1108.5839705013987</v>
      </c>
      <c r="CR128" s="871">
        <v>0</v>
      </c>
      <c r="CS128" s="876">
        <v>18617.978681303561</v>
      </c>
      <c r="CT128" s="873"/>
      <c r="CU128" s="7"/>
      <c r="CV128" s="870">
        <v>3448.4202904609328</v>
      </c>
      <c r="CW128" s="870">
        <v>1182.3145334717544</v>
      </c>
      <c r="CX128" s="871">
        <v>0</v>
      </c>
      <c r="CY128" s="876">
        <v>15069.566140190931</v>
      </c>
      <c r="CZ128" s="873"/>
      <c r="DA128" s="7"/>
      <c r="DB128" s="870">
        <v>3448.4202904609328</v>
      </c>
      <c r="DC128" s="870">
        <v>1263.7954597832809</v>
      </c>
      <c r="DD128" s="871">
        <v>0</v>
      </c>
      <c r="DE128" s="876">
        <v>26084.520138084656</v>
      </c>
      <c r="DF128" s="870"/>
      <c r="DG128" s="7"/>
      <c r="DH128" s="870">
        <v>4221.307429852679</v>
      </c>
      <c r="DI128" s="871">
        <v>0</v>
      </c>
    </row>
    <row r="129" spans="1:113" x14ac:dyDescent="0.45">
      <c r="A129" s="893" t="s">
        <v>1532</v>
      </c>
      <c r="B129" s="894">
        <v>20.443270738136821</v>
      </c>
      <c r="C129" s="895">
        <v>1.3542133711047069</v>
      </c>
      <c r="D129" s="895">
        <v>0.40820050650612122</v>
      </c>
      <c r="E129" s="896">
        <v>0</v>
      </c>
      <c r="F129" s="894">
        <v>28.117130484618343</v>
      </c>
      <c r="G129" s="895">
        <v>0</v>
      </c>
      <c r="H129" s="895">
        <v>-1.2488548321747162</v>
      </c>
      <c r="I129" s="895">
        <v>0</v>
      </c>
      <c r="J129" s="895"/>
      <c r="K129" s="895">
        <v>5.0763204474834707</v>
      </c>
      <c r="L129" s="896">
        <v>0</v>
      </c>
      <c r="M129" s="894">
        <v>28.114254808240087</v>
      </c>
      <c r="N129" s="895">
        <v>0.10040944405752787</v>
      </c>
      <c r="O129" s="895">
        <v>-0.70911086392546019</v>
      </c>
      <c r="P129" s="895">
        <v>1.4717508866959429E-2</v>
      </c>
      <c r="Q129" s="895"/>
      <c r="R129" s="895">
        <v>3.6665831766137069</v>
      </c>
      <c r="S129" s="896">
        <v>0</v>
      </c>
      <c r="T129" s="894">
        <v>5.8296548961418475</v>
      </c>
      <c r="U129" s="895">
        <v>0</v>
      </c>
      <c r="V129" s="895">
        <v>-0.43185544751601551</v>
      </c>
      <c r="W129" s="895">
        <v>0</v>
      </c>
      <c r="X129" s="895"/>
      <c r="Y129" s="895">
        <v>5.0763204474834707</v>
      </c>
      <c r="Z129" s="895">
        <v>0</v>
      </c>
      <c r="AA129" s="894">
        <v>12.816966174883664</v>
      </c>
      <c r="AB129" s="895">
        <v>3.5590645549652508E-2</v>
      </c>
      <c r="AC129" s="895">
        <v>-0.1075871561501867</v>
      </c>
      <c r="AD129" s="895">
        <v>5.8114903874954361E-2</v>
      </c>
      <c r="AE129" s="895"/>
      <c r="AF129" s="895">
        <v>3.6665831766137069</v>
      </c>
      <c r="AG129" s="896">
        <v>0</v>
      </c>
      <c r="AH129" s="894">
        <v>1.4974505326593319</v>
      </c>
      <c r="AI129" s="895">
        <v>1.7631269854218077</v>
      </c>
      <c r="AJ129" s="896">
        <v>0</v>
      </c>
      <c r="AK129" s="894">
        <v>2.2813067921836843</v>
      </c>
      <c r="AL129" s="895">
        <v>0.75535997857619286</v>
      </c>
      <c r="AM129" s="896">
        <v>0</v>
      </c>
      <c r="AN129" s="894">
        <v>10.603253249165755</v>
      </c>
      <c r="AO129" s="895"/>
      <c r="AP129" s="897"/>
      <c r="AQ129" s="898">
        <v>0.22165403183084847</v>
      </c>
      <c r="AR129" s="898">
        <v>2.3162431765453857E-2</v>
      </c>
      <c r="AS129" s="898">
        <v>2.4107671331930532E-2</v>
      </c>
      <c r="AT129" s="899">
        <v>0</v>
      </c>
      <c r="AU129" s="894">
        <v>13.424583157725287</v>
      </c>
      <c r="AV129" s="898"/>
      <c r="AW129" s="897"/>
      <c r="AX129" s="898">
        <v>0.30932078725265388</v>
      </c>
      <c r="AY129" s="898">
        <v>2.3162431765453857E-2</v>
      </c>
      <c r="AZ129" s="898">
        <v>2.4107671331930532E-2</v>
      </c>
      <c r="BA129" s="899">
        <v>0</v>
      </c>
      <c r="BB129" s="894">
        <v>8.6764908376656571</v>
      </c>
      <c r="BC129" s="895"/>
      <c r="BD129" s="895"/>
      <c r="BE129" s="895">
        <v>0.56386828681803269</v>
      </c>
      <c r="BF129" s="896">
        <v>0</v>
      </c>
      <c r="BG129" s="894">
        <v>2.5681933324255319</v>
      </c>
      <c r="BH129" s="895"/>
      <c r="BI129" s="895"/>
      <c r="BJ129" s="895">
        <v>0.19041236973564016</v>
      </c>
      <c r="BK129" s="895">
        <v>0</v>
      </c>
      <c r="BL129" s="894">
        <v>4.4010057621630994</v>
      </c>
      <c r="BM129" s="895"/>
      <c r="BN129" s="897"/>
      <c r="BO129" s="895">
        <v>0.168709321268524</v>
      </c>
      <c r="BP129" s="896">
        <v>0</v>
      </c>
      <c r="BQ129" s="894">
        <v>4.4010057621630994</v>
      </c>
      <c r="BR129" s="895"/>
      <c r="BS129" s="897"/>
      <c r="BT129" s="895">
        <v>0.16941803086011317</v>
      </c>
      <c r="BU129" s="895">
        <v>0</v>
      </c>
      <c r="BV129" s="894">
        <v>5.3585180361304268</v>
      </c>
      <c r="BW129" s="895"/>
      <c r="BX129" s="897"/>
      <c r="BY129" s="895">
        <v>0.33900333615064576</v>
      </c>
      <c r="BZ129" s="896">
        <v>0</v>
      </c>
      <c r="CA129" s="894">
        <v>2.6659952824681215</v>
      </c>
      <c r="CB129" s="895"/>
      <c r="CC129" s="897"/>
      <c r="CD129" s="895">
        <v>0.27258137948558392</v>
      </c>
      <c r="CE129" s="895">
        <v>0</v>
      </c>
      <c r="CF129" s="895">
        <v>0.41820678155251229</v>
      </c>
      <c r="CG129" s="896">
        <v>0</v>
      </c>
      <c r="CH129" s="894">
        <v>2.7647453839547809</v>
      </c>
      <c r="CI129" s="895"/>
      <c r="CJ129" s="897"/>
      <c r="CK129" s="895">
        <v>1.4919446037424859E-2</v>
      </c>
      <c r="CL129" s="896">
        <v>0</v>
      </c>
      <c r="CM129" s="894">
        <v>8.9224002245453615</v>
      </c>
      <c r="CN129" s="895"/>
      <c r="CO129" s="897"/>
      <c r="CP129" s="898">
        <v>0.24481646359630233</v>
      </c>
      <c r="CQ129" s="898">
        <v>2.4107671331930532E-2</v>
      </c>
      <c r="CR129" s="899">
        <v>0</v>
      </c>
      <c r="CS129" s="894">
        <v>8.8300441190071677</v>
      </c>
      <c r="CT129" s="895"/>
      <c r="CU129" s="897"/>
      <c r="CV129" s="898">
        <v>0.24481646359630233</v>
      </c>
      <c r="CW129" s="898">
        <v>2.5711043044407682E-2</v>
      </c>
      <c r="CX129" s="899">
        <v>0</v>
      </c>
      <c r="CY129" s="894">
        <v>8.758913551008515</v>
      </c>
      <c r="CZ129" s="895"/>
      <c r="DA129" s="897"/>
      <c r="DB129" s="898">
        <v>0.24481646359630233</v>
      </c>
      <c r="DC129" s="898">
        <v>2.7482956984721189E-2</v>
      </c>
      <c r="DD129" s="899">
        <v>0</v>
      </c>
      <c r="DE129" s="894">
        <v>3.1922412199265175</v>
      </c>
      <c r="DF129" s="895"/>
      <c r="DG129" s="897"/>
      <c r="DH129" s="895">
        <v>0.27826947692024778</v>
      </c>
      <c r="DI129" s="896">
        <v>0</v>
      </c>
    </row>
    <row r="130" spans="1:113" x14ac:dyDescent="0.45">
      <c r="A130" s="900" t="s">
        <v>2520</v>
      </c>
      <c r="B130" s="901"/>
      <c r="C130" s="891"/>
      <c r="D130" s="891"/>
      <c r="E130" s="902"/>
      <c r="F130" s="901"/>
      <c r="G130" s="891"/>
      <c r="H130" s="891"/>
      <c r="I130" s="891"/>
      <c r="J130" s="891"/>
      <c r="K130" s="891"/>
      <c r="L130" s="902"/>
      <c r="M130" s="901"/>
      <c r="N130" s="891"/>
      <c r="O130" s="891"/>
      <c r="P130" s="891"/>
      <c r="Q130" s="891"/>
      <c r="R130" s="891"/>
      <c r="S130" s="902"/>
      <c r="T130" s="901"/>
      <c r="U130" s="891"/>
      <c r="V130" s="891"/>
      <c r="W130" s="891"/>
      <c r="X130" s="891"/>
      <c r="Y130" s="891"/>
      <c r="Z130" s="891"/>
      <c r="AA130" s="901"/>
      <c r="AB130" s="891"/>
      <c r="AC130" s="891"/>
      <c r="AD130" s="891"/>
      <c r="AE130" s="891"/>
      <c r="AF130" s="891"/>
      <c r="AG130" s="902"/>
      <c r="AH130" s="901"/>
      <c r="AI130" s="891"/>
      <c r="AJ130" s="902"/>
      <c r="AK130" s="901"/>
      <c r="AL130" s="891"/>
      <c r="AM130" s="902"/>
      <c r="AN130" s="901"/>
      <c r="AO130" s="891"/>
      <c r="AP130" s="891"/>
      <c r="AQ130" s="891"/>
      <c r="AR130" s="891"/>
      <c r="AS130" s="891"/>
      <c r="AT130" s="902"/>
      <c r="AU130" s="901"/>
      <c r="AV130" s="891"/>
      <c r="AW130" s="891"/>
      <c r="AX130" s="891"/>
      <c r="AY130" s="891"/>
      <c r="AZ130" s="891"/>
      <c r="BA130" s="902"/>
      <c r="BB130" s="901"/>
      <c r="BC130" s="891"/>
      <c r="BD130" s="891"/>
      <c r="BE130" s="903"/>
      <c r="BF130" s="902"/>
      <c r="BG130" s="901"/>
      <c r="BH130" s="891"/>
      <c r="BI130" s="891"/>
      <c r="BJ130" s="903"/>
      <c r="BK130" s="891"/>
      <c r="BL130" s="901"/>
      <c r="BM130" s="891"/>
      <c r="BN130" s="891"/>
      <c r="BO130" s="903"/>
      <c r="BP130" s="902"/>
      <c r="BQ130" s="901"/>
      <c r="BR130" s="891"/>
      <c r="BS130" s="891"/>
      <c r="BT130" s="903"/>
      <c r="BU130" s="891"/>
      <c r="BV130" s="901"/>
      <c r="BW130" s="891"/>
      <c r="BX130" s="891"/>
      <c r="BY130" s="903"/>
      <c r="BZ130" s="902"/>
      <c r="CA130" s="901"/>
      <c r="CB130" s="891"/>
      <c r="CC130" s="891"/>
      <c r="CD130" s="903"/>
      <c r="CE130" s="891"/>
      <c r="CF130" s="903"/>
      <c r="CG130" s="902"/>
      <c r="CH130" s="901"/>
      <c r="CI130" s="891"/>
      <c r="CJ130" s="891"/>
      <c r="CK130" s="903"/>
      <c r="CL130" s="902"/>
      <c r="CM130" s="901"/>
      <c r="CN130" s="891"/>
      <c r="CO130" s="891"/>
      <c r="CP130" s="891"/>
      <c r="CQ130" s="891"/>
      <c r="CR130" s="902"/>
      <c r="CS130" s="901"/>
      <c r="CT130" s="891"/>
      <c r="CU130" s="891"/>
      <c r="CV130" s="891"/>
      <c r="CW130" s="891"/>
      <c r="CX130" s="902"/>
      <c r="CY130" s="901"/>
      <c r="CZ130" s="891"/>
      <c r="DA130" s="891"/>
      <c r="DB130" s="891"/>
      <c r="DC130" s="891"/>
      <c r="DD130" s="902"/>
      <c r="DE130" s="901"/>
      <c r="DF130" s="891"/>
      <c r="DG130" s="891"/>
      <c r="DH130" s="903"/>
      <c r="DI130" s="902"/>
    </row>
    <row r="131" spans="1:113" x14ac:dyDescent="0.45">
      <c r="A131" s="768" t="s">
        <v>1525</v>
      </c>
      <c r="B131" s="904">
        <v>1.3334629339794559</v>
      </c>
      <c r="C131" s="905">
        <v>0.55667585762610794</v>
      </c>
      <c r="D131" s="905">
        <v>0.92873558175663717</v>
      </c>
      <c r="E131" s="906"/>
      <c r="F131" s="904">
        <v>1.1928223214260532</v>
      </c>
      <c r="G131" s="905">
        <v>0</v>
      </c>
      <c r="H131" s="905">
        <v>-8.646717584499071E-2</v>
      </c>
      <c r="I131" s="905">
        <v>0</v>
      </c>
      <c r="J131" s="905">
        <v>0</v>
      </c>
      <c r="K131" s="905">
        <v>0.5888636210306839</v>
      </c>
      <c r="L131" s="906"/>
      <c r="M131" s="904">
        <v>1.6207058034414854</v>
      </c>
      <c r="N131" s="905">
        <v>0.39460224844406599</v>
      </c>
      <c r="O131" s="905">
        <v>-4.9096830300015229E-2</v>
      </c>
      <c r="P131" s="905">
        <v>3.9129349501647773E-2</v>
      </c>
      <c r="Q131" s="905">
        <v>0</v>
      </c>
      <c r="R131" s="905">
        <v>0.27686467680546245</v>
      </c>
      <c r="S131" s="906"/>
      <c r="T131" s="904">
        <v>1.8005589942164113</v>
      </c>
      <c r="U131" s="905">
        <v>0</v>
      </c>
      <c r="V131" s="905">
        <v>-2.9900449562227722E-2</v>
      </c>
      <c r="W131" s="905">
        <v>1.4974999999999999E-3</v>
      </c>
      <c r="X131" s="905">
        <v>0</v>
      </c>
      <c r="Y131" s="905">
        <v>0.5888636210306839</v>
      </c>
      <c r="Z131" s="905"/>
      <c r="AA131" s="904">
        <v>2.5342824895640539</v>
      </c>
      <c r="AB131" s="905">
        <v>0.15889701621820751</v>
      </c>
      <c r="AC131" s="905">
        <v>-7.449030351511024E-3</v>
      </c>
      <c r="AD131" s="905">
        <v>0.28630758311230525</v>
      </c>
      <c r="AE131" s="905">
        <v>0</v>
      </c>
      <c r="AF131" s="905">
        <v>0.27686467680546245</v>
      </c>
      <c r="AG131" s="906"/>
      <c r="AH131" s="904">
        <v>0.73732424271499553</v>
      </c>
      <c r="AI131" s="905">
        <v>0.39487456360293993</v>
      </c>
      <c r="AJ131" s="906"/>
      <c r="AK131" s="904">
        <v>0.95972708726860967</v>
      </c>
      <c r="AL131" s="905">
        <v>0.20407093772512197</v>
      </c>
      <c r="AM131" s="906"/>
      <c r="AN131" s="904">
        <v>1.867012258813616</v>
      </c>
      <c r="AO131" s="905">
        <v>0.2896590153875877</v>
      </c>
      <c r="AP131" s="907">
        <v>2.3079999999999998</v>
      </c>
      <c r="AQ131" s="905">
        <v>6.71741479956387E-2</v>
      </c>
      <c r="AR131" s="905">
        <v>3.4818074900013075E-2</v>
      </c>
      <c r="AS131" s="905">
        <v>3.6238971563943116E-2</v>
      </c>
      <c r="AT131" s="906"/>
      <c r="AU131" s="904">
        <v>2.7086483869226066</v>
      </c>
      <c r="AV131" s="905">
        <v>0.28678865521084945</v>
      </c>
      <c r="AW131" s="905">
        <v>2.2864482173174876</v>
      </c>
      <c r="AX131" s="905">
        <v>2.76665504426509E-2</v>
      </c>
      <c r="AY131" s="905">
        <v>3.4818074900013075E-2</v>
      </c>
      <c r="AZ131" s="905">
        <v>3.6238971563943116E-2</v>
      </c>
      <c r="BA131" s="906"/>
      <c r="BB131" s="904">
        <v>1.4670119558984713</v>
      </c>
      <c r="BC131" s="905">
        <v>0.22497615805470572</v>
      </c>
      <c r="BD131" s="905">
        <v>1.8201460101867561</v>
      </c>
      <c r="BE131" s="908">
        <v>0.1955252057652897</v>
      </c>
      <c r="BF131" s="906"/>
      <c r="BG131" s="904">
        <v>0.47727296393855634</v>
      </c>
      <c r="BH131" s="905">
        <v>0.11952330627578114</v>
      </c>
      <c r="BI131" s="905">
        <v>0.98354499151103381</v>
      </c>
      <c r="BJ131" s="908">
        <v>0.20093946648067929</v>
      </c>
      <c r="BK131" s="905"/>
      <c r="BL131" s="904">
        <v>0.90274610029360702</v>
      </c>
      <c r="BM131" s="905">
        <v>0.16813359414063558</v>
      </c>
      <c r="BN131" s="905">
        <v>1.8005534804753824</v>
      </c>
      <c r="BO131" s="908">
        <v>9.6629719246907428E-2</v>
      </c>
      <c r="BP131" s="906"/>
      <c r="BQ131" s="904">
        <v>0.90274610029360702</v>
      </c>
      <c r="BR131" s="905">
        <v>0.16813359414063558</v>
      </c>
      <c r="BS131" s="905">
        <v>1.8005534804753824</v>
      </c>
      <c r="BT131" s="908">
        <v>9.7035638779674971E-2</v>
      </c>
      <c r="BU131" s="905"/>
      <c r="BV131" s="904">
        <v>1.7625491918804361</v>
      </c>
      <c r="BW131" s="905">
        <v>0.30776284699834272</v>
      </c>
      <c r="BX131" s="905">
        <v>2.9367268805778912</v>
      </c>
      <c r="BY131" s="908">
        <v>6.3709971624560782E-2</v>
      </c>
      <c r="BZ131" s="906"/>
      <c r="CA131" s="904">
        <v>0.76005870728237768</v>
      </c>
      <c r="CB131" s="905">
        <v>0.2053713489288567</v>
      </c>
      <c r="CC131" s="905">
        <v>1.3087809847198657</v>
      </c>
      <c r="CD131" s="908">
        <v>0.16630413485454298</v>
      </c>
      <c r="CE131" s="905"/>
      <c r="CF131" s="908">
        <v>0.89825959532699617</v>
      </c>
      <c r="CG131" s="906"/>
      <c r="CH131" s="904">
        <v>0.49889256821007466</v>
      </c>
      <c r="CI131" s="905">
        <v>0.16200761327632446</v>
      </c>
      <c r="CJ131" s="905">
        <v>1.4380916808149422</v>
      </c>
      <c r="CK131" s="909">
        <v>2.0652558131307484E-2</v>
      </c>
      <c r="CL131" s="906"/>
      <c r="CM131" s="904">
        <v>2.5761126248002273</v>
      </c>
      <c r="CN131" s="905">
        <v>0.3241763388186466</v>
      </c>
      <c r="CO131" s="905">
        <v>2.5886902403926877</v>
      </c>
      <c r="CP131" s="905">
        <v>0.10199222289565177</v>
      </c>
      <c r="CQ131" s="905">
        <v>3.6238971563943116E-2</v>
      </c>
      <c r="CR131" s="906"/>
      <c r="CS131" s="904">
        <v>2.6059528513363803</v>
      </c>
      <c r="CT131" s="905">
        <v>0.30923678596058674</v>
      </c>
      <c r="CU131" s="905">
        <v>2.3674528837253721</v>
      </c>
      <c r="CV131" s="905">
        <v>0.10199222289565177</v>
      </c>
      <c r="CW131" s="905">
        <v>3.8649181206129958E-2</v>
      </c>
      <c r="CX131" s="906"/>
      <c r="CY131" s="904">
        <v>2.6220572628883847</v>
      </c>
      <c r="CZ131" s="905">
        <v>0.29842737940613295</v>
      </c>
      <c r="DA131" s="905">
        <v>2.3397878157077026</v>
      </c>
      <c r="DB131" s="905">
        <v>0.10199222289565177</v>
      </c>
      <c r="DC131" s="905">
        <v>4.1312745762517721E-2</v>
      </c>
      <c r="DD131" s="906"/>
      <c r="DE131" s="904">
        <v>1.0432997221447766</v>
      </c>
      <c r="DF131" s="905">
        <v>0.20511867697555056</v>
      </c>
      <c r="DG131" s="905">
        <v>1.87034353349228</v>
      </c>
      <c r="DH131" s="908">
        <v>0.16977448974314668</v>
      </c>
      <c r="DI131" s="906"/>
    </row>
    <row r="132" spans="1:113" x14ac:dyDescent="0.45">
      <c r="A132" s="768" t="s">
        <v>1524</v>
      </c>
      <c r="B132" s="904">
        <v>6.8892794450194597</v>
      </c>
      <c r="C132" s="905">
        <v>1.6347762024937134</v>
      </c>
      <c r="D132" s="905">
        <v>2.1215265984056986</v>
      </c>
      <c r="E132" s="906"/>
      <c r="F132" s="904">
        <v>5.8999773371399433</v>
      </c>
      <c r="G132" s="905">
        <v>0</v>
      </c>
      <c r="H132" s="905">
        <v>-0.18618605373983921</v>
      </c>
      <c r="I132" s="905">
        <v>0</v>
      </c>
      <c r="J132" s="905">
        <v>0</v>
      </c>
      <c r="K132" s="905">
        <v>1.7066224999646573</v>
      </c>
      <c r="L132" s="906"/>
      <c r="M132" s="904">
        <v>10.143034591101356</v>
      </c>
      <c r="N132" s="905">
        <v>2.024236032864672</v>
      </c>
      <c r="O132" s="905">
        <v>-0.10571809470314714</v>
      </c>
      <c r="P132" s="905">
        <v>0.20576582702126894</v>
      </c>
      <c r="Q132" s="905">
        <v>0</v>
      </c>
      <c r="R132" s="905">
        <v>0.77312575727432287</v>
      </c>
      <c r="S132" s="906"/>
      <c r="T132" s="904">
        <v>11.589381155120124</v>
      </c>
      <c r="U132" s="905">
        <v>0</v>
      </c>
      <c r="V132" s="905">
        <v>-6.4383353042758107E-2</v>
      </c>
      <c r="W132" s="905">
        <v>1.5573999999999999E-2</v>
      </c>
      <c r="X132" s="905">
        <v>0</v>
      </c>
      <c r="Y132" s="905">
        <v>1.7066224999646573</v>
      </c>
      <c r="Z132" s="905"/>
      <c r="AA132" s="904">
        <v>17.298953959239558</v>
      </c>
      <c r="AB132" s="905">
        <v>0.74843069603563306</v>
      </c>
      <c r="AC132" s="905">
        <v>-1.6039676926911824E-2</v>
      </c>
      <c r="AD132" s="905">
        <v>1.9704594117520331</v>
      </c>
      <c r="AE132" s="905">
        <v>0</v>
      </c>
      <c r="AF132" s="905">
        <v>0.77312575727432287</v>
      </c>
      <c r="AG132" s="906"/>
      <c r="AH132" s="904">
        <v>4.3197983691522728</v>
      </c>
      <c r="AI132" s="905">
        <v>1.181941554886611</v>
      </c>
      <c r="AJ132" s="906"/>
      <c r="AK132" s="904">
        <v>5.4010801252061995</v>
      </c>
      <c r="AL132" s="905">
        <v>0.78093321055250764</v>
      </c>
      <c r="AM132" s="906"/>
      <c r="AN132" s="904">
        <v>4.479200299473364</v>
      </c>
      <c r="AO132" s="905">
        <v>2.0052017512932365</v>
      </c>
      <c r="AP132" s="907">
        <v>1.1539999999999999</v>
      </c>
      <c r="AQ132" s="905">
        <v>0.35046578967621789</v>
      </c>
      <c r="AR132" s="905">
        <v>0.10542867470035713</v>
      </c>
      <c r="AS132" s="905">
        <v>0.10973113118580306</v>
      </c>
      <c r="AT132" s="906"/>
      <c r="AU132" s="904">
        <v>6.2789683200445507</v>
      </c>
      <c r="AV132" s="905">
        <v>1.99467383784612</v>
      </c>
      <c r="AW132" s="905">
        <v>1.1432241086587438</v>
      </c>
      <c r="AX132" s="905">
        <v>7.856235378146359E-2</v>
      </c>
      <c r="AY132" s="905">
        <v>0.10542867470035713</v>
      </c>
      <c r="AZ132" s="905">
        <v>0.10973113118580306</v>
      </c>
      <c r="BA132" s="906"/>
      <c r="BB132" s="904">
        <v>3.5229465330866327</v>
      </c>
      <c r="BC132" s="905">
        <v>1.5160218842955602</v>
      </c>
      <c r="BD132" s="905">
        <v>0.91007300509337807</v>
      </c>
      <c r="BE132" s="908">
        <v>0.61925103609071575</v>
      </c>
      <c r="BF132" s="906"/>
      <c r="BG132" s="904">
        <v>1.204293856639352</v>
      </c>
      <c r="BH132" s="905">
        <v>0.82378191790547473</v>
      </c>
      <c r="BI132" s="905">
        <v>0.4917724957555169</v>
      </c>
      <c r="BJ132" s="908">
        <v>0.65815846518621812</v>
      </c>
      <c r="BK132" s="905"/>
      <c r="BL132" s="904">
        <v>2.5022034869045533</v>
      </c>
      <c r="BM132" s="905">
        <v>1.1805874012284088</v>
      </c>
      <c r="BN132" s="905">
        <v>0.90027674023769122</v>
      </c>
      <c r="BO132" s="908">
        <v>0.43401041909455962</v>
      </c>
      <c r="BP132" s="906"/>
      <c r="BQ132" s="904">
        <v>2.5022034869045533</v>
      </c>
      <c r="BR132" s="905">
        <v>1.1805874012284088</v>
      </c>
      <c r="BS132" s="905">
        <v>0.90027674023769122</v>
      </c>
      <c r="BT132" s="908">
        <v>0.43583359842187352</v>
      </c>
      <c r="BU132" s="905"/>
      <c r="BV132" s="904">
        <v>5.1463365778094063</v>
      </c>
      <c r="BW132" s="905">
        <v>2.1954353306665708</v>
      </c>
      <c r="BX132" s="905">
        <v>1.4683634402889456</v>
      </c>
      <c r="BY132" s="908">
        <v>0.18759915962474094</v>
      </c>
      <c r="BZ132" s="906"/>
      <c r="CA132" s="904">
        <v>2.1435794127113117</v>
      </c>
      <c r="CB132" s="905">
        <v>1.4759874189714459</v>
      </c>
      <c r="CC132" s="905">
        <v>0.65439049235993285</v>
      </c>
      <c r="CD132" s="908">
        <v>0.45221870847687246</v>
      </c>
      <c r="CE132" s="905"/>
      <c r="CF132" s="908">
        <v>2.7708465516723018</v>
      </c>
      <c r="CG132" s="906"/>
      <c r="CH132" s="904">
        <v>1.4381317353452809</v>
      </c>
      <c r="CI132" s="905">
        <v>1.1528916956595676</v>
      </c>
      <c r="CJ132" s="905">
        <v>0.7190458404074711</v>
      </c>
      <c r="CK132" s="909">
        <v>6.1816002393420291E-2</v>
      </c>
      <c r="CL132" s="906"/>
      <c r="CM132" s="904">
        <v>4.6140365779635202</v>
      </c>
      <c r="CN132" s="905">
        <v>2.26618766771927</v>
      </c>
      <c r="CO132" s="905">
        <v>1.2943451201963438</v>
      </c>
      <c r="CP132" s="905">
        <v>0.45589446437657499</v>
      </c>
      <c r="CQ132" s="905">
        <v>0.10973113118580306</v>
      </c>
      <c r="CR132" s="906"/>
      <c r="CS132" s="904">
        <v>4.6166015341299929</v>
      </c>
      <c r="CT132" s="905">
        <v>2.160366626273754</v>
      </c>
      <c r="CU132" s="905">
        <v>1.1837264418626861</v>
      </c>
      <c r="CV132" s="905">
        <v>0.45589446437657499</v>
      </c>
      <c r="CW132" s="905">
        <v>0.11702921440997595</v>
      </c>
      <c r="CX132" s="906"/>
      <c r="CY132" s="904">
        <v>4.6247560397533913</v>
      </c>
      <c r="CZ132" s="905">
        <v>2.0852162306249764</v>
      </c>
      <c r="DA132" s="905">
        <v>1.1698939078538513</v>
      </c>
      <c r="DB132" s="905">
        <v>0.45589446437657499</v>
      </c>
      <c r="DC132" s="905">
        <v>0.12509445299554467</v>
      </c>
      <c r="DD132" s="906"/>
      <c r="DE132" s="904">
        <v>2.9423987703177614</v>
      </c>
      <c r="DF132" s="905">
        <v>1.474549612166115</v>
      </c>
      <c r="DG132" s="905">
        <v>0.93517176674614</v>
      </c>
      <c r="DH132" s="908">
        <v>0.46165539149773305</v>
      </c>
      <c r="DI132" s="906"/>
    </row>
    <row r="133" spans="1:113" x14ac:dyDescent="0.45">
      <c r="A133" s="768" t="s">
        <v>1523</v>
      </c>
      <c r="B133" s="904">
        <v>10.038242040145523</v>
      </c>
      <c r="C133" s="905">
        <v>12.469099453950477</v>
      </c>
      <c r="D133" s="905">
        <v>22.595565442682833</v>
      </c>
      <c r="E133" s="906"/>
      <c r="F133" s="904">
        <v>10.279300547101165</v>
      </c>
      <c r="G133" s="905">
        <v>0</v>
      </c>
      <c r="H133" s="905">
        <v>-0.5688728008965287</v>
      </c>
      <c r="I133" s="905">
        <v>0</v>
      </c>
      <c r="J133" s="905">
        <v>0</v>
      </c>
      <c r="K133" s="905">
        <v>6.7763718972386755</v>
      </c>
      <c r="L133" s="906"/>
      <c r="M133" s="904">
        <v>18.789699009657486</v>
      </c>
      <c r="N133" s="905">
        <v>2.5035200790289962</v>
      </c>
      <c r="O133" s="905">
        <v>-0.32301102811523458</v>
      </c>
      <c r="P133" s="905">
        <v>0.36330395435147445</v>
      </c>
      <c r="Q133" s="905">
        <v>0</v>
      </c>
      <c r="R133" s="905">
        <v>1.7363755670491088</v>
      </c>
      <c r="S133" s="906"/>
      <c r="T133" s="904">
        <v>16.003541202553937</v>
      </c>
      <c r="U133" s="905">
        <v>0</v>
      </c>
      <c r="V133" s="905">
        <v>-0.1967168734760438</v>
      </c>
      <c r="W133" s="905">
        <v>2.9291100914001462E-2</v>
      </c>
      <c r="X133" s="905">
        <v>0</v>
      </c>
      <c r="Y133" s="905">
        <v>6.7763718972386755</v>
      </c>
      <c r="Z133" s="905"/>
      <c r="AA133" s="904">
        <v>27.31039355986772</v>
      </c>
      <c r="AB133" s="905">
        <v>0.94506486960113767</v>
      </c>
      <c r="AC133" s="905">
        <v>-4.9007623050207706E-2</v>
      </c>
      <c r="AD133" s="905">
        <v>2.9520620762234606</v>
      </c>
      <c r="AE133" s="905">
        <v>0</v>
      </c>
      <c r="AF133" s="905">
        <v>1.7363755670491088</v>
      </c>
      <c r="AG133" s="906"/>
      <c r="AH133" s="904">
        <v>6.1336890284633014</v>
      </c>
      <c r="AI133" s="905">
        <v>6.4026317611157255</v>
      </c>
      <c r="AJ133" s="906"/>
      <c r="AK133" s="904">
        <v>7.1879493939286085</v>
      </c>
      <c r="AL133" s="905">
        <v>2.5563649986984038</v>
      </c>
      <c r="AM133" s="906"/>
      <c r="AN133" s="904">
        <v>7.7410242474587179</v>
      </c>
      <c r="AO133" s="905">
        <v>3.4167518658104465</v>
      </c>
      <c r="AP133" s="907">
        <v>1.3640000000000001</v>
      </c>
      <c r="AQ133" s="905">
        <v>1.6585244831657575</v>
      </c>
      <c r="AR133" s="905">
        <v>0.25394536760675235</v>
      </c>
      <c r="AS133" s="905">
        <v>0.26430866674632619</v>
      </c>
      <c r="AT133" s="906"/>
      <c r="AU133" s="904">
        <v>14.02011439795872</v>
      </c>
      <c r="AV133" s="905">
        <v>3.4305294682990293</v>
      </c>
      <c r="AW133" s="905">
        <v>1.3512631578947374</v>
      </c>
      <c r="AX133" s="905">
        <v>0.23815818770695771</v>
      </c>
      <c r="AY133" s="905">
        <v>0.25394536760675235</v>
      </c>
      <c r="AZ133" s="905">
        <v>0.26430866674632619</v>
      </c>
      <c r="BA133" s="906"/>
      <c r="BB133" s="904">
        <v>6.2474052221926701</v>
      </c>
      <c r="BC133" s="905">
        <v>2.4426541891025737</v>
      </c>
      <c r="BD133" s="905">
        <v>1.0756842105263154</v>
      </c>
      <c r="BE133" s="908">
        <v>3.1664295137022074</v>
      </c>
      <c r="BF133" s="906"/>
      <c r="BG133" s="904">
        <v>1.8554177277027122</v>
      </c>
      <c r="BH133" s="905">
        <v>1.3913430867537491</v>
      </c>
      <c r="BI133" s="905">
        <v>0.58126315789473582</v>
      </c>
      <c r="BJ133" s="908">
        <v>5.0221757081450402</v>
      </c>
      <c r="BK133" s="905"/>
      <c r="BL133" s="904">
        <v>3.659524001723141</v>
      </c>
      <c r="BM133" s="905">
        <v>2.0682168113892487</v>
      </c>
      <c r="BN133" s="905">
        <v>1.0641052631578951</v>
      </c>
      <c r="BO133" s="908">
        <v>1.8273127278468781</v>
      </c>
      <c r="BP133" s="906"/>
      <c r="BQ133" s="904">
        <v>3.659524001723141</v>
      </c>
      <c r="BR133" s="905">
        <v>2.0682168113892487</v>
      </c>
      <c r="BS133" s="905">
        <v>1.0641052631578951</v>
      </c>
      <c r="BT133" s="908">
        <v>1.8349888541410313</v>
      </c>
      <c r="BU133" s="905"/>
      <c r="BV133" s="904">
        <v>7.1662058988598289</v>
      </c>
      <c r="BW133" s="905">
        <v>3.9612512065514371</v>
      </c>
      <c r="BX133" s="905">
        <v>1.7355699588857214</v>
      </c>
      <c r="BY133" s="908">
        <v>0.50175388543099952</v>
      </c>
      <c r="BZ133" s="906"/>
      <c r="CA133" s="904">
        <v>3.0948387304156313</v>
      </c>
      <c r="CB133" s="905">
        <v>2.6992660590610962</v>
      </c>
      <c r="CC133" s="905">
        <v>0.77347368421052731</v>
      </c>
      <c r="CD133" s="908">
        <v>2.5352728913466942</v>
      </c>
      <c r="CE133" s="905"/>
      <c r="CF133" s="908">
        <v>18.633850587535296</v>
      </c>
      <c r="CG133" s="906"/>
      <c r="CH133" s="904">
        <v>2.0580219206256993</v>
      </c>
      <c r="CI133" s="905">
        <v>2.0709707107672384</v>
      </c>
      <c r="CJ133" s="905">
        <v>0.84989473684210637</v>
      </c>
      <c r="CK133" s="909">
        <v>0.14865070574766207</v>
      </c>
      <c r="CL133" s="906"/>
      <c r="CM133" s="904">
        <v>7.1916426261367192</v>
      </c>
      <c r="CN133" s="905">
        <v>3.936264139010448</v>
      </c>
      <c r="CO133" s="905">
        <v>1.5298845268178625</v>
      </c>
      <c r="CP133" s="905">
        <v>1.91246985077251</v>
      </c>
      <c r="CQ133" s="905">
        <v>0.26430866674632619</v>
      </c>
      <c r="CR133" s="906"/>
      <c r="CS133" s="904">
        <v>7.1716554932999568</v>
      </c>
      <c r="CT133" s="905">
        <v>3.7478030933663145</v>
      </c>
      <c r="CU133" s="905">
        <v>1.3991359330162083</v>
      </c>
      <c r="CV133" s="905">
        <v>1.91246985077251</v>
      </c>
      <c r="CW133" s="905">
        <v>0.2818875126575987</v>
      </c>
      <c r="CX133" s="906"/>
      <c r="CY133" s="904">
        <v>7.1459793521956545</v>
      </c>
      <c r="CZ133" s="905">
        <v>3.6186616366296374</v>
      </c>
      <c r="DA133" s="905">
        <v>1.3827862134425071</v>
      </c>
      <c r="DB133" s="905">
        <v>1.91246985077251</v>
      </c>
      <c r="DC133" s="905">
        <v>0.30131420073149773</v>
      </c>
      <c r="DD133" s="906"/>
      <c r="DE133" s="904">
        <v>4.2481513027729036</v>
      </c>
      <c r="DF133" s="905">
        <v>2.697873097509893</v>
      </c>
      <c r="DG133" s="905">
        <v>1.1053503378177947</v>
      </c>
      <c r="DH133" s="908">
        <v>2.5881777495459488</v>
      </c>
      <c r="DI133" s="906"/>
    </row>
    <row r="134" spans="1:113" x14ac:dyDescent="0.45">
      <c r="A134" s="768" t="s">
        <v>1522</v>
      </c>
      <c r="B134" s="904">
        <v>0.29178171968179328</v>
      </c>
      <c r="C134" s="905">
        <v>1.0161956571438964</v>
      </c>
      <c r="D134" s="905">
        <v>1.9413137368271249</v>
      </c>
      <c r="E134" s="906"/>
      <c r="F134" s="904">
        <v>0.41578848670432478</v>
      </c>
      <c r="G134" s="905">
        <v>0</v>
      </c>
      <c r="H134" s="905">
        <v>-0.13114356040589578</v>
      </c>
      <c r="I134" s="905">
        <v>0</v>
      </c>
      <c r="J134" s="905">
        <v>0</v>
      </c>
      <c r="K134" s="905">
        <v>0.56040035138368249</v>
      </c>
      <c r="L134" s="906"/>
      <c r="M134" s="904">
        <v>0.95079968508023116</v>
      </c>
      <c r="N134" s="905">
        <v>7.5473260989595795E-2</v>
      </c>
      <c r="O134" s="905">
        <v>-7.4464478193791692E-2</v>
      </c>
      <c r="P134" s="905">
        <v>2.2187428854441256E-2</v>
      </c>
      <c r="Q134" s="905">
        <v>0</v>
      </c>
      <c r="R134" s="905">
        <v>0.31360693158605546</v>
      </c>
      <c r="S134" s="906"/>
      <c r="T134" s="904">
        <v>0.79403720720447779</v>
      </c>
      <c r="U134" s="905">
        <v>0</v>
      </c>
      <c r="V134" s="905">
        <v>-4.5349595092096677E-2</v>
      </c>
      <c r="W134" s="905">
        <v>2.2163000285625452E-3</v>
      </c>
      <c r="X134" s="905">
        <v>0</v>
      </c>
      <c r="Y134" s="905">
        <v>0.56040035138368249</v>
      </c>
      <c r="Z134" s="905"/>
      <c r="AA134" s="904">
        <v>1.3006751820828402</v>
      </c>
      <c r="AB134" s="905">
        <v>5.2665999382854524E-2</v>
      </c>
      <c r="AC134" s="905">
        <v>-1.1297840507940346E-2</v>
      </c>
      <c r="AD134" s="905">
        <v>0.13204927271134956</v>
      </c>
      <c r="AE134" s="905">
        <v>0</v>
      </c>
      <c r="AF134" s="905">
        <v>0.31360693158605546</v>
      </c>
      <c r="AG134" s="906"/>
      <c r="AH134" s="904">
        <v>0.10731430220022539</v>
      </c>
      <c r="AI134" s="905">
        <v>0.31152321580060371</v>
      </c>
      <c r="AJ134" s="906"/>
      <c r="AK134" s="904">
        <v>0.11389513005302229</v>
      </c>
      <c r="AL134" s="905">
        <v>0.13417276238951376</v>
      </c>
      <c r="AM134" s="906"/>
      <c r="AN134" s="904">
        <v>0.43518204513530206</v>
      </c>
      <c r="AO134" s="905">
        <v>0.7417799699324904</v>
      </c>
      <c r="AP134" s="907">
        <v>0.32</v>
      </c>
      <c r="AQ134" s="905">
        <v>8.893302796252292E-2</v>
      </c>
      <c r="AR134" s="905">
        <v>9.6042454030643987E-3</v>
      </c>
      <c r="AS134" s="905">
        <v>9.9961866661000109E-3</v>
      </c>
      <c r="AT134" s="906"/>
      <c r="AU134" s="904">
        <v>0.90272237625575558</v>
      </c>
      <c r="AV134" s="905">
        <v>0.71363986890955855</v>
      </c>
      <c r="AW134" s="905">
        <v>0.31701188455008494</v>
      </c>
      <c r="AX134" s="905">
        <v>2.910288313963514E-2</v>
      </c>
      <c r="AY134" s="905">
        <v>9.6042454030643987E-3</v>
      </c>
      <c r="AZ134" s="905">
        <v>9.9961866661000109E-3</v>
      </c>
      <c r="BA134" s="906"/>
      <c r="BB134" s="904">
        <v>0.35808234451431942</v>
      </c>
      <c r="BC134" s="905">
        <v>0.66827079186440519</v>
      </c>
      <c r="BD134" s="905">
        <v>0.25235993208828511</v>
      </c>
      <c r="BE134" s="908">
        <v>0.15887038325794686</v>
      </c>
      <c r="BF134" s="906"/>
      <c r="BG134" s="904">
        <v>8.5028641428780888E-2</v>
      </c>
      <c r="BH134" s="905">
        <v>0.31416952982295077</v>
      </c>
      <c r="BI134" s="905">
        <v>0.13636672325976207</v>
      </c>
      <c r="BJ134" s="908">
        <v>0.36693293765633173</v>
      </c>
      <c r="BK134" s="905"/>
      <c r="BL134" s="904">
        <v>0.16829117268942845</v>
      </c>
      <c r="BM134" s="905">
        <v>0.3934938782686524</v>
      </c>
      <c r="BN134" s="905">
        <v>0.24964346349745339</v>
      </c>
      <c r="BO134" s="908">
        <v>8.2783330793226514E-2</v>
      </c>
      <c r="BP134" s="906"/>
      <c r="BQ134" s="904">
        <v>0.16829117268942845</v>
      </c>
      <c r="BR134" s="905">
        <v>0.3934938782686524</v>
      </c>
      <c r="BS134" s="905">
        <v>0.24964346349745339</v>
      </c>
      <c r="BT134" s="908">
        <v>8.3131084788771764E-2</v>
      </c>
      <c r="BU134" s="905"/>
      <c r="BV134" s="904">
        <v>0.263766160896798</v>
      </c>
      <c r="BW134" s="905">
        <v>0.64370606322505497</v>
      </c>
      <c r="BX134" s="905">
        <v>0.40717183786175276</v>
      </c>
      <c r="BY134" s="908">
        <v>3.946618944420284E-2</v>
      </c>
      <c r="BZ134" s="906"/>
      <c r="CA134" s="904">
        <v>0.12951000191932471</v>
      </c>
      <c r="CB134" s="905">
        <v>0.40514799965638165</v>
      </c>
      <c r="CC134" s="905">
        <v>0.18146010186757236</v>
      </c>
      <c r="CD134" s="908">
        <v>0.18317305126617908</v>
      </c>
      <c r="CE134" s="905"/>
      <c r="CF134" s="908">
        <v>0.56795275029039383</v>
      </c>
      <c r="CG134" s="906"/>
      <c r="CH134" s="904">
        <v>8.4219200573383238E-2</v>
      </c>
      <c r="CI134" s="905">
        <v>0.34506769640786561</v>
      </c>
      <c r="CJ134" s="905">
        <v>0.19938879456706307</v>
      </c>
      <c r="CK134" s="909">
        <v>5.6845193787815936E-3</v>
      </c>
      <c r="CL134" s="906"/>
      <c r="CM134" s="904">
        <v>0.35640559698888918</v>
      </c>
      <c r="CN134" s="905">
        <v>0.78114032797115496</v>
      </c>
      <c r="CO134" s="905">
        <v>0.35891719104231373</v>
      </c>
      <c r="CP134" s="905">
        <v>9.8537273365587319E-2</v>
      </c>
      <c r="CQ134" s="905">
        <v>9.9961866661000109E-3</v>
      </c>
      <c r="CR134" s="906"/>
      <c r="CS134" s="904">
        <v>0.35087495953228576</v>
      </c>
      <c r="CT134" s="905">
        <v>0.74822278483385007</v>
      </c>
      <c r="CU134" s="905">
        <v>0.32824303413869987</v>
      </c>
      <c r="CV134" s="905">
        <v>9.8537273365587319E-2</v>
      </c>
      <c r="CW134" s="905">
        <v>1.0661020805921618E-2</v>
      </c>
      <c r="CX134" s="906"/>
      <c r="CY134" s="904">
        <v>0.34676645281143487</v>
      </c>
      <c r="CZ134" s="905">
        <v>0.72125532780175838</v>
      </c>
      <c r="DA134" s="905">
        <v>0.32440732280176116</v>
      </c>
      <c r="DB134" s="905">
        <v>9.8537273365587319E-2</v>
      </c>
      <c r="DC134" s="905">
        <v>1.1395740566273528E-2</v>
      </c>
      <c r="DD134" s="906"/>
      <c r="DE134" s="904">
        <v>0.17777277955346402</v>
      </c>
      <c r="DF134" s="905">
        <v>0.40380811263704713</v>
      </c>
      <c r="DG134" s="905">
        <v>0.2593197273472832</v>
      </c>
      <c r="DH134" s="908">
        <v>0.18699541860826607</v>
      </c>
      <c r="DI134" s="906"/>
    </row>
    <row r="135" spans="1:113" x14ac:dyDescent="0.45">
      <c r="A135" s="768" t="s">
        <v>1521</v>
      </c>
      <c r="B135" s="904">
        <v>0.23002323717019324</v>
      </c>
      <c r="C135" s="905">
        <v>0.88741511383004168</v>
      </c>
      <c r="D135" s="905">
        <v>1.7778784365968134</v>
      </c>
      <c r="E135" s="906"/>
      <c r="F135" s="904">
        <v>0.33150237814777439</v>
      </c>
      <c r="G135" s="905">
        <v>0</v>
      </c>
      <c r="H135" s="905">
        <v>-5.3491121553462848E-2</v>
      </c>
      <c r="I135" s="905">
        <v>0</v>
      </c>
      <c r="J135" s="905">
        <v>0</v>
      </c>
      <c r="K135" s="905">
        <v>0.31453595282463553</v>
      </c>
      <c r="L135" s="906"/>
      <c r="M135" s="904">
        <v>0.87579952892482049</v>
      </c>
      <c r="N135" s="905">
        <v>7.3338874517448763E-2</v>
      </c>
      <c r="O135" s="905">
        <v>-3.0372733835737957E-2</v>
      </c>
      <c r="P135" s="905">
        <v>2.1982390119781346E-2</v>
      </c>
      <c r="Q135" s="905">
        <v>0</v>
      </c>
      <c r="R135" s="905">
        <v>0.13648680294101415</v>
      </c>
      <c r="S135" s="906"/>
      <c r="T135" s="904">
        <v>0.79121145671892268</v>
      </c>
      <c r="U135" s="905">
        <v>0</v>
      </c>
      <c r="V135" s="905">
        <v>-1.8497291792015508E-2</v>
      </c>
      <c r="W135" s="905">
        <v>2.2163000285625452E-3</v>
      </c>
      <c r="X135" s="905">
        <v>0</v>
      </c>
      <c r="Y135" s="905">
        <v>0.31453595282463553</v>
      </c>
      <c r="Z135" s="905"/>
      <c r="AA135" s="904">
        <v>1.2917461789536708</v>
      </c>
      <c r="AB135" s="905">
        <v>5.1244708504632655E-2</v>
      </c>
      <c r="AC135" s="905">
        <v>-4.608187836531428E-3</v>
      </c>
      <c r="AD135" s="905">
        <v>0.13159629916550655</v>
      </c>
      <c r="AE135" s="905">
        <v>0</v>
      </c>
      <c r="AF135" s="905">
        <v>0.13648680294101415</v>
      </c>
      <c r="AG135" s="906"/>
      <c r="AH135" s="904">
        <v>9.934417681588871E-2</v>
      </c>
      <c r="AI135" s="905">
        <v>0.22553166033489896</v>
      </c>
      <c r="AJ135" s="906"/>
      <c r="AK135" s="904">
        <v>0.10686050433629414</v>
      </c>
      <c r="AL135" s="905">
        <v>8.7995431125642329E-2</v>
      </c>
      <c r="AM135" s="906"/>
      <c r="AN135" s="904">
        <v>0.33699720697091518</v>
      </c>
      <c r="AO135" s="905">
        <v>0.69010641942520967</v>
      </c>
      <c r="AP135" s="905">
        <v>0.16</v>
      </c>
      <c r="AQ135" s="905">
        <v>7.5602148483186707E-2</v>
      </c>
      <c r="AR135" s="905">
        <v>5.350948715455303E-3</v>
      </c>
      <c r="AS135" s="905">
        <v>5.5693164799134219E-3</v>
      </c>
      <c r="AT135" s="906"/>
      <c r="AU135" s="904">
        <v>0.75270471211553946</v>
      </c>
      <c r="AV135" s="905">
        <v>0.66546158492967089</v>
      </c>
      <c r="AW135" s="905">
        <v>0.15850594227504247</v>
      </c>
      <c r="AX135" s="905">
        <v>1.4147134329367327E-2</v>
      </c>
      <c r="AY135" s="905">
        <v>5.350948715455303E-3</v>
      </c>
      <c r="AZ135" s="905">
        <v>5.5693164799134219E-3</v>
      </c>
      <c r="BA135" s="906"/>
      <c r="BB135" s="904">
        <v>0.27954445408496065</v>
      </c>
      <c r="BC135" s="905">
        <v>0.61491522106342977</v>
      </c>
      <c r="BD135" s="905">
        <v>0.12617996604414256</v>
      </c>
      <c r="BE135" s="909">
        <v>0.12478076163891004</v>
      </c>
      <c r="BF135" s="906"/>
      <c r="BG135" s="904">
        <v>6.3266014493129283E-2</v>
      </c>
      <c r="BH135" s="905">
        <v>0.2916869989947129</v>
      </c>
      <c r="BI135" s="905">
        <v>6.8183361629881034E-2</v>
      </c>
      <c r="BJ135" s="909">
        <v>0.33420147353477403</v>
      </c>
      <c r="BK135" s="905"/>
      <c r="BL135" s="904">
        <v>0.12157387975431833</v>
      </c>
      <c r="BM135" s="905">
        <v>0.36881989329946474</v>
      </c>
      <c r="BN135" s="905">
        <v>0.1248217317487267</v>
      </c>
      <c r="BO135" s="909">
        <v>6.9679666604704579E-2</v>
      </c>
      <c r="BP135" s="906"/>
      <c r="BQ135" s="904">
        <v>0.12157387975431833</v>
      </c>
      <c r="BR135" s="905">
        <v>0.36881989329946474</v>
      </c>
      <c r="BS135" s="905">
        <v>0.1248217317487267</v>
      </c>
      <c r="BT135" s="909">
        <v>6.9972375079198942E-2</v>
      </c>
      <c r="BU135" s="905"/>
      <c r="BV135" s="904">
        <v>0.17758105625057991</v>
      </c>
      <c r="BW135" s="905">
        <v>0.60952883827792592</v>
      </c>
      <c r="BX135" s="905">
        <v>0.20358591893087638</v>
      </c>
      <c r="BY135" s="909">
        <v>1.9880447561406767E-2</v>
      </c>
      <c r="BZ135" s="906"/>
      <c r="CA135" s="904">
        <v>9.1846960855341192E-2</v>
      </c>
      <c r="CB135" s="905">
        <v>0.38584264935625173</v>
      </c>
      <c r="CC135" s="905">
        <v>9.073005093378618E-2</v>
      </c>
      <c r="CD135" s="909">
        <v>0.15347104615750173</v>
      </c>
      <c r="CE135" s="905"/>
      <c r="CF135" s="909">
        <v>0.5450324115072227</v>
      </c>
      <c r="CG135" s="906"/>
      <c r="CH135" s="904">
        <v>5.5418309706642195E-2</v>
      </c>
      <c r="CI135" s="905">
        <v>0.32618437697457597</v>
      </c>
      <c r="CJ135" s="905">
        <v>9.9694397283531536E-2</v>
      </c>
      <c r="CK135" s="909">
        <v>3.2019952577828532E-3</v>
      </c>
      <c r="CL135" s="906"/>
      <c r="CM135" s="904">
        <v>0.29002490291892635</v>
      </c>
      <c r="CN135" s="905">
        <v>0.73034529031035633</v>
      </c>
      <c r="CO135" s="905">
        <v>0.17945859552115687</v>
      </c>
      <c r="CP135" s="905">
        <v>8.0953097198642007E-2</v>
      </c>
      <c r="CQ135" s="905">
        <v>5.5693164799134219E-3</v>
      </c>
      <c r="CR135" s="906"/>
      <c r="CS135" s="904">
        <v>0.28851265402303439</v>
      </c>
      <c r="CT135" s="905">
        <v>0.69932650188026613</v>
      </c>
      <c r="CU135" s="905">
        <v>0.16412151706934994</v>
      </c>
      <c r="CV135" s="905">
        <v>8.0953097198642007E-2</v>
      </c>
      <c r="CW135" s="905">
        <v>5.9397249021445079E-3</v>
      </c>
      <c r="CX135" s="906"/>
      <c r="CY135" s="904">
        <v>0.28632405574064224</v>
      </c>
      <c r="CZ135" s="905">
        <v>0.67418491756011834</v>
      </c>
      <c r="DA135" s="905">
        <v>0.16220366140088058</v>
      </c>
      <c r="DB135" s="905">
        <v>8.0953097198642007E-2</v>
      </c>
      <c r="DC135" s="905">
        <v>6.3490696859231782E-3</v>
      </c>
      <c r="DD135" s="906"/>
      <c r="DE135" s="904">
        <v>0.12607435165481115</v>
      </c>
      <c r="DF135" s="905">
        <v>0.38464725552978946</v>
      </c>
      <c r="DG135" s="905">
        <v>0.1296598636736416</v>
      </c>
      <c r="DH135" s="909">
        <v>0.15667360630886323</v>
      </c>
      <c r="DI135" s="906"/>
    </row>
    <row r="136" spans="1:113" x14ac:dyDescent="0.45">
      <c r="A136" s="768" t="s">
        <v>1520</v>
      </c>
      <c r="B136" s="904">
        <v>1.4175365318219546</v>
      </c>
      <c r="C136" s="905">
        <v>8.2561529116074794</v>
      </c>
      <c r="D136" s="905">
        <v>15.453793816250686</v>
      </c>
      <c r="E136" s="906"/>
      <c r="F136" s="904">
        <v>2.2254143894555476</v>
      </c>
      <c r="G136" s="905">
        <v>0</v>
      </c>
      <c r="H136" s="905">
        <v>-2.1326790671602098</v>
      </c>
      <c r="I136" s="905">
        <v>0</v>
      </c>
      <c r="J136" s="905">
        <v>0</v>
      </c>
      <c r="K136" s="905">
        <v>6.468040679025898</v>
      </c>
      <c r="L136" s="906"/>
      <c r="M136" s="904">
        <v>16.425238632134384</v>
      </c>
      <c r="N136" s="905">
        <v>1.1309801729027258E-2</v>
      </c>
      <c r="O136" s="905">
        <v>-1.210954113182426</v>
      </c>
      <c r="P136" s="905">
        <v>0.19429526852689585</v>
      </c>
      <c r="Q136" s="905">
        <v>0</v>
      </c>
      <c r="R136" s="905">
        <v>4.7154651856226275</v>
      </c>
      <c r="S136" s="906"/>
      <c r="T136" s="904">
        <v>6.6036803477148645E-2</v>
      </c>
      <c r="U136" s="905">
        <v>0</v>
      </c>
      <c r="V136" s="905">
        <v>-0.73748289170863424</v>
      </c>
      <c r="W136" s="905">
        <v>1.608708036622584E-4</v>
      </c>
      <c r="X136" s="905">
        <v>0</v>
      </c>
      <c r="Y136" s="905">
        <v>6.468040679025898</v>
      </c>
      <c r="Z136" s="905"/>
      <c r="AA136" s="904">
        <v>19.746695812165648</v>
      </c>
      <c r="AB136" s="905">
        <v>8.0005472196428892E-3</v>
      </c>
      <c r="AC136" s="905">
        <v>-0.18372741963711264</v>
      </c>
      <c r="AD136" s="905">
        <v>1.0475801938979956E-2</v>
      </c>
      <c r="AE136" s="905">
        <v>0</v>
      </c>
      <c r="AF136" s="905">
        <v>4.7154651856226275</v>
      </c>
      <c r="AG136" s="906"/>
      <c r="AH136" s="904">
        <v>3.389736038971089E-2</v>
      </c>
      <c r="AI136" s="905">
        <v>2.1905356032175654</v>
      </c>
      <c r="AJ136" s="906"/>
      <c r="AK136" s="904">
        <v>5.5405367816679749E-2</v>
      </c>
      <c r="AL136" s="905">
        <v>0.90697593056311987</v>
      </c>
      <c r="AM136" s="906"/>
      <c r="AN136" s="904">
        <v>4.1377305615364275</v>
      </c>
      <c r="AO136" s="905">
        <v>0.96108011562025286</v>
      </c>
      <c r="AP136" s="907">
        <v>4.4119999999999999</v>
      </c>
      <c r="AQ136" s="905">
        <v>0.51794931352374907</v>
      </c>
      <c r="AR136" s="905">
        <v>1.567668982441326E-2</v>
      </c>
      <c r="AS136" s="905">
        <v>1.6316442491295095E-2</v>
      </c>
      <c r="AT136" s="906"/>
      <c r="AU136" s="904">
        <v>7.8984987232356083</v>
      </c>
      <c r="AV136" s="905">
        <v>0.93153421248555379</v>
      </c>
      <c r="AW136" s="905">
        <v>4.3708013582342966</v>
      </c>
      <c r="AX136" s="905">
        <v>0.39653952575879386</v>
      </c>
      <c r="AY136" s="905">
        <v>1.567668982441326E-2</v>
      </c>
      <c r="AZ136" s="905">
        <v>1.6316442491295095E-2</v>
      </c>
      <c r="BA136" s="906"/>
      <c r="BB136" s="904">
        <v>3.312975765886045</v>
      </c>
      <c r="BC136" s="905">
        <v>0.83519897797174814</v>
      </c>
      <c r="BD136" s="905">
        <v>3.4794125636672306</v>
      </c>
      <c r="BE136" s="908">
        <v>0.97632864337355496</v>
      </c>
      <c r="BF136" s="906"/>
      <c r="BG136" s="904">
        <v>0.98161697509387946</v>
      </c>
      <c r="BH136" s="905">
        <v>0.40436190145972151</v>
      </c>
      <c r="BI136" s="905">
        <v>1.8801561969439693</v>
      </c>
      <c r="BJ136" s="908">
        <v>2.6462231655919703</v>
      </c>
      <c r="BK136" s="905"/>
      <c r="BL136" s="904">
        <v>2.0757107771744185</v>
      </c>
      <c r="BM136" s="905">
        <v>0.5221558563512686</v>
      </c>
      <c r="BN136" s="905">
        <v>3.4419592529711385</v>
      </c>
      <c r="BO136" s="908">
        <v>0.34502187894443975</v>
      </c>
      <c r="BP136" s="906"/>
      <c r="BQ136" s="904">
        <v>2.0757107771744185</v>
      </c>
      <c r="BR136" s="905">
        <v>0.5221558563512686</v>
      </c>
      <c r="BS136" s="905">
        <v>3.4419592529711385</v>
      </c>
      <c r="BT136" s="908">
        <v>0.34647123759918086</v>
      </c>
      <c r="BU136" s="905"/>
      <c r="BV136" s="904">
        <v>3.9021057828635581</v>
      </c>
      <c r="BW136" s="905">
        <v>0.88204370014247602</v>
      </c>
      <c r="BX136" s="905">
        <v>5.6138817145189162</v>
      </c>
      <c r="BY136" s="908">
        <v>0.420299925845251</v>
      </c>
      <c r="BZ136" s="906"/>
      <c r="CA136" s="904">
        <v>1.6951792315628036</v>
      </c>
      <c r="CB136" s="905">
        <v>0.56509222448506891</v>
      </c>
      <c r="CC136" s="905">
        <v>2.5018811544991539</v>
      </c>
      <c r="CD136" s="908">
        <v>1.3743453894122837</v>
      </c>
      <c r="CE136" s="905"/>
      <c r="CF136" s="908">
        <v>0.28300707470629399</v>
      </c>
      <c r="CG136" s="906"/>
      <c r="CH136" s="904">
        <v>1.2088825617467676</v>
      </c>
      <c r="CI136" s="905">
        <v>0.47030008251736538</v>
      </c>
      <c r="CJ136" s="905">
        <v>2.7490730050933818</v>
      </c>
      <c r="CK136" s="909">
        <v>1.0097710389356356E-2</v>
      </c>
      <c r="CL136" s="906"/>
      <c r="CM136" s="904">
        <v>3.6170479976966843</v>
      </c>
      <c r="CN136" s="905">
        <v>1.0283833089430046</v>
      </c>
      <c r="CO136" s="905">
        <v>4.9485707714959002</v>
      </c>
      <c r="CP136" s="905">
        <v>0.53362600334816235</v>
      </c>
      <c r="CQ136" s="905">
        <v>1.6316442491295095E-2</v>
      </c>
      <c r="CR136" s="906"/>
      <c r="CS136" s="904">
        <v>3.5276594912948083</v>
      </c>
      <c r="CT136" s="905">
        <v>0.9839579385755084</v>
      </c>
      <c r="CU136" s="905">
        <v>4.5256508331873242</v>
      </c>
      <c r="CV136" s="905">
        <v>0.53362600334816235</v>
      </c>
      <c r="CW136" s="905">
        <v>1.7401629110052094E-2</v>
      </c>
      <c r="CX136" s="906"/>
      <c r="CY136" s="904">
        <v>3.4887858292979108</v>
      </c>
      <c r="CZ136" s="905">
        <v>0.94878034973597014</v>
      </c>
      <c r="DA136" s="905">
        <v>4.4727659631292829</v>
      </c>
      <c r="DB136" s="905">
        <v>0.53362600334816235</v>
      </c>
      <c r="DC136" s="905">
        <v>1.8600887699095344E-2</v>
      </c>
      <c r="DD136" s="906"/>
      <c r="DE136" s="904">
        <v>2.3268992307169305</v>
      </c>
      <c r="DF136" s="905">
        <v>0.56358661239331087</v>
      </c>
      <c r="DG136" s="905">
        <v>3.575370740800667</v>
      </c>
      <c r="DH136" s="908">
        <v>1.4030245695478132</v>
      </c>
      <c r="DI136" s="906"/>
    </row>
    <row r="137" spans="1:113" x14ac:dyDescent="0.45">
      <c r="A137" s="768" t="s">
        <v>1519</v>
      </c>
      <c r="B137" s="904">
        <v>8.8292245274286044E-2</v>
      </c>
      <c r="C137" s="905">
        <v>0.12943351517146842</v>
      </c>
      <c r="D137" s="905">
        <v>0.26565233036864133</v>
      </c>
      <c r="E137" s="906"/>
      <c r="F137" s="904">
        <v>5.6253369206360704E-2</v>
      </c>
      <c r="G137" s="905">
        <v>0</v>
      </c>
      <c r="H137" s="905">
        <v>-2.922022738838645E-3</v>
      </c>
      <c r="I137" s="905">
        <v>0</v>
      </c>
      <c r="J137" s="905">
        <v>0</v>
      </c>
      <c r="K137" s="905">
        <v>2.5174833697335773E-2</v>
      </c>
      <c r="L137" s="906"/>
      <c r="M137" s="904">
        <v>0.13827724668475377</v>
      </c>
      <c r="N137" s="905">
        <v>4.9492456208631427E-3</v>
      </c>
      <c r="O137" s="905">
        <v>-1.6591504595770588E-3</v>
      </c>
      <c r="P137" s="905">
        <v>1.9371468634916258E-2</v>
      </c>
      <c r="Q137" s="905">
        <v>0</v>
      </c>
      <c r="R137" s="905">
        <v>1.0109473023717392E-2</v>
      </c>
      <c r="S137" s="906"/>
      <c r="T137" s="904">
        <v>0.13531623426771955</v>
      </c>
      <c r="U137" s="905">
        <v>0</v>
      </c>
      <c r="V137" s="905">
        <v>-1.0104388476727265E-3</v>
      </c>
      <c r="W137" s="905">
        <v>2.1054850271344182E-3</v>
      </c>
      <c r="X137" s="905">
        <v>0</v>
      </c>
      <c r="Y137" s="905">
        <v>2.5174833697335773E-2</v>
      </c>
      <c r="Z137" s="905"/>
      <c r="AA137" s="904">
        <v>0.20843533297718761</v>
      </c>
      <c r="AB137" s="905">
        <v>1.7542856479654408E-3</v>
      </c>
      <c r="AC137" s="905">
        <v>-2.5172831027157249E-4</v>
      </c>
      <c r="AD137" s="905">
        <v>0.11578741218050666</v>
      </c>
      <c r="AE137" s="905">
        <v>0</v>
      </c>
      <c r="AF137" s="905">
        <v>1.0109473023717392E-2</v>
      </c>
      <c r="AG137" s="906"/>
      <c r="AH137" s="904">
        <v>4.0539046552137518E-2</v>
      </c>
      <c r="AI137" s="905">
        <v>1.909557823032379E-2</v>
      </c>
      <c r="AJ137" s="906"/>
      <c r="AK137" s="904">
        <v>3.6378735183910181E-2</v>
      </c>
      <c r="AL137" s="905">
        <v>1.030334216936862E-2</v>
      </c>
      <c r="AM137" s="906"/>
      <c r="AN137" s="904">
        <v>5.6897941243336983E-2</v>
      </c>
      <c r="AO137" s="905">
        <v>9.8859080181581752E-2</v>
      </c>
      <c r="AP137" s="905">
        <v>0</v>
      </c>
      <c r="AQ137" s="905">
        <v>1.0803456206877797E-2</v>
      </c>
      <c r="AR137" s="905">
        <v>5.7097071984876476E-4</v>
      </c>
      <c r="AS137" s="905">
        <v>5.9427155981090006E-4</v>
      </c>
      <c r="AT137" s="906"/>
      <c r="AU137" s="904">
        <v>0.12636658233978518</v>
      </c>
      <c r="AV137" s="905">
        <v>0.10044185127219903</v>
      </c>
      <c r="AW137" s="905">
        <v>0</v>
      </c>
      <c r="AX137" s="905">
        <v>1.0872298936881746E-3</v>
      </c>
      <c r="AY137" s="905">
        <v>5.7097071984876476E-4</v>
      </c>
      <c r="AZ137" s="905">
        <v>5.9427155981090006E-4</v>
      </c>
      <c r="BA137" s="906"/>
      <c r="BB137" s="904">
        <v>4.7229505945396266E-2</v>
      </c>
      <c r="BC137" s="905">
        <v>6.5427001031334892E-2</v>
      </c>
      <c r="BD137" s="905">
        <v>0</v>
      </c>
      <c r="BE137" s="908">
        <v>1.3722771017137248E-2</v>
      </c>
      <c r="BF137" s="906"/>
      <c r="BG137" s="904">
        <v>1.0966472305594166E-2</v>
      </c>
      <c r="BH137" s="905">
        <v>3.9796086903698832E-2</v>
      </c>
      <c r="BI137" s="905">
        <v>0</v>
      </c>
      <c r="BJ137" s="908">
        <v>4.9500531291435217E-2</v>
      </c>
      <c r="BK137" s="905"/>
      <c r="BL137" s="904">
        <v>1.9983660692203347E-2</v>
      </c>
      <c r="BM137" s="905">
        <v>6.195277506805881E-2</v>
      </c>
      <c r="BN137" s="905">
        <v>0</v>
      </c>
      <c r="BO137" s="908">
        <v>9.59876413793871E-3</v>
      </c>
      <c r="BP137" s="906"/>
      <c r="BQ137" s="904">
        <v>1.9983660692203347E-2</v>
      </c>
      <c r="BR137" s="905">
        <v>6.195277506805881E-2</v>
      </c>
      <c r="BS137" s="905">
        <v>0</v>
      </c>
      <c r="BT137" s="908">
        <v>9.639086368867086E-3</v>
      </c>
      <c r="BU137" s="905"/>
      <c r="BV137" s="904">
        <v>3.2431792124230092E-2</v>
      </c>
      <c r="BW137" s="905">
        <v>0.12284024432377086</v>
      </c>
      <c r="BX137" s="905">
        <v>0</v>
      </c>
      <c r="BY137" s="908">
        <v>1.6907185320695988E-3</v>
      </c>
      <c r="BZ137" s="906"/>
      <c r="CA137" s="904">
        <v>1.59145674833263E-2</v>
      </c>
      <c r="CB137" s="905">
        <v>8.4979147093065574E-2</v>
      </c>
      <c r="CC137" s="905">
        <v>0</v>
      </c>
      <c r="CD137" s="908">
        <v>2.1344528864698811E-2</v>
      </c>
      <c r="CE137" s="905"/>
      <c r="CF137" s="908">
        <v>4.8286011543940528E-2</v>
      </c>
      <c r="CG137" s="906"/>
      <c r="CH137" s="904">
        <v>9.8020532739912115E-3</v>
      </c>
      <c r="CI137" s="905">
        <v>6.3897177462055366E-2</v>
      </c>
      <c r="CJ137" s="905">
        <v>0</v>
      </c>
      <c r="CK137" s="909">
        <v>3.4836367302463176E-4</v>
      </c>
      <c r="CL137" s="906"/>
      <c r="CM137" s="904">
        <v>4.6063389334572796E-2</v>
      </c>
      <c r="CN137" s="905">
        <v>0.11668336777760629</v>
      </c>
      <c r="CO137" s="905">
        <v>0</v>
      </c>
      <c r="CP137" s="905">
        <v>1.1374426926726562E-2</v>
      </c>
      <c r="CQ137" s="905">
        <v>5.9427155981090006E-4</v>
      </c>
      <c r="CR137" s="906"/>
      <c r="CS137" s="904">
        <v>4.589336381197158E-2</v>
      </c>
      <c r="CT137" s="905">
        <v>0.1109263022704767</v>
      </c>
      <c r="CU137" s="905">
        <v>0</v>
      </c>
      <c r="CV137" s="905">
        <v>1.1374426926726562E-2</v>
      </c>
      <c r="CW137" s="905">
        <v>6.3379583386504476E-4</v>
      </c>
      <c r="CX137" s="906"/>
      <c r="CY137" s="904">
        <v>4.5451834193143491E-2</v>
      </c>
      <c r="CZ137" s="905">
        <v>0.10714909764372431</v>
      </c>
      <c r="DA137" s="905">
        <v>0</v>
      </c>
      <c r="DB137" s="905">
        <v>1.1374426926726562E-2</v>
      </c>
      <c r="DC137" s="905">
        <v>6.7747479591253592E-4</v>
      </c>
      <c r="DD137" s="906"/>
      <c r="DE137" s="904">
        <v>2.1845238630020747E-2</v>
      </c>
      <c r="DF137" s="905">
        <v>8.4978305904417017E-2</v>
      </c>
      <c r="DG137" s="905">
        <v>0</v>
      </c>
      <c r="DH137" s="908">
        <v>2.1789936251324148E-2</v>
      </c>
      <c r="DI137" s="906"/>
    </row>
    <row r="138" spans="1:113" x14ac:dyDescent="0.45">
      <c r="A138" s="768" t="s">
        <v>1518</v>
      </c>
      <c r="B138" s="904">
        <v>6.2434663321617664E-2</v>
      </c>
      <c r="C138" s="905">
        <v>0.33897114716835458</v>
      </c>
      <c r="D138" s="905">
        <v>0.69668968459438574</v>
      </c>
      <c r="E138" s="906"/>
      <c r="F138" s="904">
        <v>0.15951135185851781</v>
      </c>
      <c r="G138" s="905">
        <v>0</v>
      </c>
      <c r="H138" s="905">
        <v>-6.9829966397831674E-3</v>
      </c>
      <c r="I138" s="905">
        <v>0</v>
      </c>
      <c r="J138" s="905">
        <v>0</v>
      </c>
      <c r="K138" s="905">
        <v>0.14253625656952321</v>
      </c>
      <c r="L138" s="906"/>
      <c r="M138" s="904">
        <v>0.36652452848364103</v>
      </c>
      <c r="N138" s="905">
        <v>9.5597749324316111E-3</v>
      </c>
      <c r="O138" s="905">
        <v>-3.9650075032359542E-3</v>
      </c>
      <c r="P138" s="905">
        <v>1.9918508418189044E-3</v>
      </c>
      <c r="Q138" s="905">
        <v>0</v>
      </c>
      <c r="R138" s="905">
        <v>2.3733149537801146E-2</v>
      </c>
      <c r="S138" s="906"/>
      <c r="T138" s="904">
        <v>0.33916574375235037</v>
      </c>
      <c r="U138" s="905">
        <v>0</v>
      </c>
      <c r="V138" s="905">
        <v>-2.4147283264501157E-3</v>
      </c>
      <c r="W138" s="905">
        <v>1.1081500142812727E-4</v>
      </c>
      <c r="X138" s="905">
        <v>0</v>
      </c>
      <c r="Y138" s="905">
        <v>0.14253625656952321</v>
      </c>
      <c r="Z138" s="905"/>
      <c r="AA138" s="904">
        <v>0.52200291623851947</v>
      </c>
      <c r="AB138" s="905">
        <v>3.3885115523564985E-3</v>
      </c>
      <c r="AC138" s="905">
        <v>-6.0157572403537422E-4</v>
      </c>
      <c r="AD138" s="905">
        <v>1.147630955168516E-2</v>
      </c>
      <c r="AE138" s="905">
        <v>0</v>
      </c>
      <c r="AF138" s="905">
        <v>2.3733149537801146E-2</v>
      </c>
      <c r="AG138" s="906"/>
      <c r="AH138" s="904">
        <v>3.250723138038869E-2</v>
      </c>
      <c r="AI138" s="905">
        <v>0.15107327438266155</v>
      </c>
      <c r="AJ138" s="906"/>
      <c r="AK138" s="904">
        <v>3.8032190695954211E-2</v>
      </c>
      <c r="AL138" s="905">
        <v>2.8728933503018216E-2</v>
      </c>
      <c r="AM138" s="906"/>
      <c r="AN138" s="904">
        <v>9.7579455824414199E-2</v>
      </c>
      <c r="AO138" s="905">
        <v>0.11874549355828025</v>
      </c>
      <c r="AP138" s="905">
        <v>0</v>
      </c>
      <c r="AQ138" s="905">
        <v>2.808827328755199E-2</v>
      </c>
      <c r="AR138" s="905">
        <v>1.029494835047986E-3</v>
      </c>
      <c r="AS138" s="905">
        <v>1.0715076626053289E-3</v>
      </c>
      <c r="AT138" s="906"/>
      <c r="AU138" s="904">
        <v>0.24568116764156553</v>
      </c>
      <c r="AV138" s="905">
        <v>0.12067205348275636</v>
      </c>
      <c r="AW138" s="905">
        <v>0</v>
      </c>
      <c r="AX138" s="905">
        <v>4.3017485283750071E-3</v>
      </c>
      <c r="AY138" s="905">
        <v>1.029494835047986E-3</v>
      </c>
      <c r="AZ138" s="905">
        <v>1.0715076626053289E-3</v>
      </c>
      <c r="BA138" s="906"/>
      <c r="BB138" s="904">
        <v>8.229899375559388E-2</v>
      </c>
      <c r="BC138" s="905">
        <v>7.8475676246565262E-2</v>
      </c>
      <c r="BD138" s="905">
        <v>0</v>
      </c>
      <c r="BE138" s="908">
        <v>6.895374951805873E-2</v>
      </c>
      <c r="BF138" s="906"/>
      <c r="BG138" s="904">
        <v>1.7877514203858868E-2</v>
      </c>
      <c r="BH138" s="905">
        <v>4.7791557260183873E-2</v>
      </c>
      <c r="BI138" s="905">
        <v>0</v>
      </c>
      <c r="BJ138" s="908">
        <v>0.13173854985498185</v>
      </c>
      <c r="BK138" s="905"/>
      <c r="BL138" s="904">
        <v>3.2475389180710551E-2</v>
      </c>
      <c r="BM138" s="905">
        <v>7.4460442538137064E-2</v>
      </c>
      <c r="BN138" s="905">
        <v>0</v>
      </c>
      <c r="BO138" s="908">
        <v>2.7561336983335228E-2</v>
      </c>
      <c r="BP138" s="906"/>
      <c r="BQ138" s="904">
        <v>3.2475389180710551E-2</v>
      </c>
      <c r="BR138" s="905">
        <v>7.4460442538137064E-2</v>
      </c>
      <c r="BS138" s="905">
        <v>0</v>
      </c>
      <c r="BT138" s="908">
        <v>2.7677115908472511E-2</v>
      </c>
      <c r="BU138" s="905"/>
      <c r="BV138" s="904">
        <v>4.908047018922803E-2</v>
      </c>
      <c r="BW138" s="905">
        <v>0.14772715586381432</v>
      </c>
      <c r="BX138" s="905">
        <v>0</v>
      </c>
      <c r="BY138" s="908">
        <v>5.4357909892978817E-3</v>
      </c>
      <c r="BZ138" s="906"/>
      <c r="CA138" s="904">
        <v>2.523936295927437E-2</v>
      </c>
      <c r="CB138" s="905">
        <v>0.10222105152338634</v>
      </c>
      <c r="CC138" s="905">
        <v>0</v>
      </c>
      <c r="CD138" s="908">
        <v>6.0970144724126769E-2</v>
      </c>
      <c r="CE138" s="905"/>
      <c r="CF138" s="908">
        <v>0.46515521120856035</v>
      </c>
      <c r="CG138" s="906"/>
      <c r="CH138" s="904">
        <v>1.5271538351071546E-2</v>
      </c>
      <c r="CI138" s="905">
        <v>7.6835977926187529E-2</v>
      </c>
      <c r="CJ138" s="905">
        <v>0</v>
      </c>
      <c r="CK138" s="909">
        <v>6.2783608567966421E-4</v>
      </c>
      <c r="CL138" s="906"/>
      <c r="CM138" s="904">
        <v>7.3046264733560837E-2</v>
      </c>
      <c r="CN138" s="905">
        <v>0.14021520879151944</v>
      </c>
      <c r="CO138" s="905">
        <v>0</v>
      </c>
      <c r="CP138" s="905">
        <v>2.9117768122599974E-2</v>
      </c>
      <c r="CQ138" s="905">
        <v>1.0715076626053289E-3</v>
      </c>
      <c r="CR138" s="906"/>
      <c r="CS138" s="904">
        <v>7.2452013201324522E-2</v>
      </c>
      <c r="CT138" s="905">
        <v>0.13329353144599207</v>
      </c>
      <c r="CU138" s="905">
        <v>0</v>
      </c>
      <c r="CV138" s="905">
        <v>2.9117768122599974E-2</v>
      </c>
      <c r="CW138" s="905">
        <v>1.1427723257189484E-3</v>
      </c>
      <c r="CX138" s="906"/>
      <c r="CY138" s="904">
        <v>7.1471871979940219E-2</v>
      </c>
      <c r="CZ138" s="905">
        <v>0.12875563494688258</v>
      </c>
      <c r="DA138" s="905">
        <v>0</v>
      </c>
      <c r="DB138" s="905">
        <v>2.9117768122599974E-2</v>
      </c>
      <c r="DC138" s="905">
        <v>1.221528143250292E-3</v>
      </c>
      <c r="DD138" s="906"/>
      <c r="DE138" s="904">
        <v>3.4644982170751126E-2</v>
      </c>
      <c r="DF138" s="905">
        <v>0.10222088759335463</v>
      </c>
      <c r="DG138" s="905">
        <v>0</v>
      </c>
      <c r="DH138" s="908">
        <v>6.2242440448988398E-2</v>
      </c>
      <c r="DI138" s="906"/>
    </row>
    <row r="139" spans="1:113" x14ac:dyDescent="0.45">
      <c r="A139" s="768" t="s">
        <v>2521</v>
      </c>
      <c r="B139" s="904">
        <v>6.7540461991696548</v>
      </c>
      <c r="C139" s="905">
        <v>2.3769997594620604</v>
      </c>
      <c r="D139" s="905">
        <v>1.4257425124567946</v>
      </c>
      <c r="E139" s="906"/>
      <c r="F139" s="904">
        <v>10.057197872492409</v>
      </c>
      <c r="G139" s="905">
        <v>0</v>
      </c>
      <c r="H139" s="905">
        <v>-1.3889643663697981</v>
      </c>
      <c r="I139" s="905">
        <v>0</v>
      </c>
      <c r="J139" s="905">
        <v>0</v>
      </c>
      <c r="K139" s="905">
        <v>7.1619361306212843</v>
      </c>
      <c r="L139" s="906"/>
      <c r="M139" s="904">
        <v>12.555418326552212</v>
      </c>
      <c r="N139" s="905">
        <v>5.4478661151146834</v>
      </c>
      <c r="O139" s="905">
        <v>-0.78866630165736851</v>
      </c>
      <c r="P139" s="905">
        <v>0.67836098595721439</v>
      </c>
      <c r="Q139" s="905">
        <v>0</v>
      </c>
      <c r="R139" s="905">
        <v>4.8907239801726474</v>
      </c>
      <c r="S139" s="906"/>
      <c r="T139" s="904">
        <v>19.884961677357179</v>
      </c>
      <c r="U139" s="905">
        <v>0</v>
      </c>
      <c r="V139" s="905">
        <v>-0.48030548672971057</v>
      </c>
      <c r="W139" s="905">
        <v>2.9350999999999999E-2</v>
      </c>
      <c r="X139" s="905">
        <v>0</v>
      </c>
      <c r="Y139" s="905">
        <v>7.1619361306212843</v>
      </c>
      <c r="Z139" s="905"/>
      <c r="AA139" s="904">
        <v>26.77697621829245</v>
      </c>
      <c r="AB139" s="905">
        <v>1.9310242549886185</v>
      </c>
      <c r="AC139" s="905">
        <v>-0.11965740318388464</v>
      </c>
      <c r="AD139" s="905">
        <v>4.7272859266243428</v>
      </c>
      <c r="AE139" s="905">
        <v>0</v>
      </c>
      <c r="AF139" s="905">
        <v>4.8907239801726474</v>
      </c>
      <c r="AG139" s="906"/>
      <c r="AH139" s="904">
        <v>2.9271839140741869</v>
      </c>
      <c r="AI139" s="905">
        <v>2.8494229853224988</v>
      </c>
      <c r="AJ139" s="906"/>
      <c r="AK139" s="904">
        <v>3.7555374253972169</v>
      </c>
      <c r="AL139" s="905">
        <v>1.4626780950363618</v>
      </c>
      <c r="AM139" s="906"/>
      <c r="AN139" s="904">
        <v>35.972344683638177</v>
      </c>
      <c r="AO139" s="905">
        <v>0.38769562448206923</v>
      </c>
      <c r="AP139" s="905"/>
      <c r="AQ139" s="905">
        <v>0.41864841974150668</v>
      </c>
      <c r="AR139" s="905">
        <v>0.13748275084707207</v>
      </c>
      <c r="AS139" s="905">
        <v>0.14309330750729848</v>
      </c>
      <c r="AT139" s="906"/>
      <c r="AU139" s="904">
        <v>47.926975301697318</v>
      </c>
      <c r="AV139" s="905">
        <v>0.3839989942328611</v>
      </c>
      <c r="AW139" s="905"/>
      <c r="AX139" s="905">
        <v>0.42078593394703184</v>
      </c>
      <c r="AY139" s="905">
        <v>0.13748275084707207</v>
      </c>
      <c r="AZ139" s="905">
        <v>0.14309330750729848</v>
      </c>
      <c r="BA139" s="906"/>
      <c r="BB139" s="904">
        <v>28.889310348804113</v>
      </c>
      <c r="BC139" s="905">
        <v>0.30047693268710396</v>
      </c>
      <c r="BD139" s="905"/>
      <c r="BE139" s="908">
        <v>1.0886060961764978</v>
      </c>
      <c r="BF139" s="906"/>
      <c r="BG139" s="904">
        <v>9.2112234149773951</v>
      </c>
      <c r="BH139" s="905">
        <v>0.15992011573915649</v>
      </c>
      <c r="BI139" s="905"/>
      <c r="BJ139" s="908">
        <v>0.5159981078114777</v>
      </c>
      <c r="BK139" s="905"/>
      <c r="BL139" s="904">
        <v>18.591740429152036</v>
      </c>
      <c r="BM139" s="905">
        <v>0.22529826384754173</v>
      </c>
      <c r="BN139" s="905"/>
      <c r="BO139" s="909">
        <v>0.45803579662171101</v>
      </c>
      <c r="BP139" s="906"/>
      <c r="BQ139" s="904">
        <v>18.591740429152036</v>
      </c>
      <c r="BR139" s="905">
        <v>0.22529826384754173</v>
      </c>
      <c r="BS139" s="905"/>
      <c r="BT139" s="908">
        <v>0.45995990111052171</v>
      </c>
      <c r="BU139" s="905"/>
      <c r="BV139" s="904">
        <v>36.718536468686423</v>
      </c>
      <c r="BW139" s="905">
        <v>0.41293570166223392</v>
      </c>
      <c r="BX139" s="905"/>
      <c r="BY139" s="908">
        <v>0.56921653722116805</v>
      </c>
      <c r="BZ139" s="906"/>
      <c r="CA139" s="904">
        <v>15.69557679350552</v>
      </c>
      <c r="CB139" s="905">
        <v>0.27572404084777219</v>
      </c>
      <c r="CC139" s="905"/>
      <c r="CD139" s="908">
        <v>0.67021266784978162</v>
      </c>
      <c r="CE139" s="905"/>
      <c r="CF139" s="908">
        <v>2.2056645344155248</v>
      </c>
      <c r="CG139" s="906"/>
      <c r="CH139" s="904">
        <v>10.319774959563123</v>
      </c>
      <c r="CI139" s="905">
        <v>0.21732759599953091</v>
      </c>
      <c r="CJ139" s="905"/>
      <c r="CK139" s="909">
        <v>8.7076539619226095E-2</v>
      </c>
      <c r="CL139" s="906"/>
      <c r="CM139" s="904">
        <v>38.887253101727786</v>
      </c>
      <c r="CN139" s="905">
        <v>0.43423802911619908</v>
      </c>
      <c r="CO139" s="905"/>
      <c r="CP139" s="905">
        <v>0.55613117058857875</v>
      </c>
      <c r="CQ139" s="905">
        <v>0.14309330750729848</v>
      </c>
      <c r="CR139" s="906"/>
      <c r="CS139" s="904">
        <v>39.032413662858374</v>
      </c>
      <c r="CT139" s="905">
        <v>0.41420480026575396</v>
      </c>
      <c r="CU139" s="905"/>
      <c r="CV139" s="905">
        <v>0.55613117058857875</v>
      </c>
      <c r="CW139" s="905">
        <v>0.15261026824328275</v>
      </c>
      <c r="CX139" s="906"/>
      <c r="CY139" s="904">
        <v>39.114220801876911</v>
      </c>
      <c r="CZ139" s="905">
        <v>0.39973190566456235</v>
      </c>
      <c r="DA139" s="905"/>
      <c r="DB139" s="905">
        <v>0.55613117058857875</v>
      </c>
      <c r="DC139" s="905">
        <v>0.16312762692329449</v>
      </c>
      <c r="DD139" s="906"/>
      <c r="DE139" s="904">
        <v>21.544639579377371</v>
      </c>
      <c r="DF139" s="905">
        <v>0.27539069027037671</v>
      </c>
      <c r="DG139" s="905"/>
      <c r="DH139" s="909">
        <v>0.68419834421502013</v>
      </c>
      <c r="DI139" s="906"/>
    </row>
    <row r="140" spans="1:113" x14ac:dyDescent="0.45">
      <c r="A140" s="768" t="s">
        <v>1530</v>
      </c>
      <c r="B140" s="904">
        <v>3.3149675804566105E-2</v>
      </c>
      <c r="C140" s="905">
        <v>2.8367368363844125E-2</v>
      </c>
      <c r="D140" s="905">
        <v>2.577775486766257E-2</v>
      </c>
      <c r="E140" s="906"/>
      <c r="F140" s="904">
        <v>0.15549548138335045</v>
      </c>
      <c r="G140" s="905">
        <v>0</v>
      </c>
      <c r="H140" s="905">
        <v>-1.661630963042177E-2</v>
      </c>
      <c r="I140" s="905">
        <v>0</v>
      </c>
      <c r="J140" s="905"/>
      <c r="K140" s="905">
        <v>6.4077194464758611E-2</v>
      </c>
      <c r="L140" s="906"/>
      <c r="M140" s="904">
        <v>0.31769989582309466</v>
      </c>
      <c r="N140" s="905">
        <v>8.2544524784259166E-2</v>
      </c>
      <c r="O140" s="905">
        <v>-9.4348881661154502E-3</v>
      </c>
      <c r="P140" s="905">
        <v>7.5027281868127078E-3</v>
      </c>
      <c r="Q140" s="905"/>
      <c r="R140" s="905">
        <v>3.9602208902838533E-2</v>
      </c>
      <c r="S140" s="906"/>
      <c r="T140" s="904">
        <v>0.45025527450182168</v>
      </c>
      <c r="U140" s="905">
        <v>0</v>
      </c>
      <c r="V140" s="905">
        <v>-5.7459391168905392E-3</v>
      </c>
      <c r="W140" s="905">
        <v>6.5890001428127291E-4</v>
      </c>
      <c r="X140" s="905"/>
      <c r="Y140" s="905">
        <v>6.4077194464758611E-2</v>
      </c>
      <c r="Z140" s="905"/>
      <c r="AA140" s="904">
        <v>0.66495103554191703</v>
      </c>
      <c r="AB140" s="905">
        <v>2.9258332731908216E-2</v>
      </c>
      <c r="AC140" s="905">
        <v>-1.4314726201883621E-3</v>
      </c>
      <c r="AD140" s="905">
        <v>8.3113659857921102E-2</v>
      </c>
      <c r="AE140" s="905"/>
      <c r="AF140" s="905">
        <v>3.9602208902838533E-2</v>
      </c>
      <c r="AG140" s="906"/>
      <c r="AH140" s="904">
        <v>3.7452045194278955E-3</v>
      </c>
      <c r="AI140" s="905">
        <v>3.0820193882980608E-2</v>
      </c>
      <c r="AJ140" s="906"/>
      <c r="AK140" s="904">
        <v>4.4064132545393537E-3</v>
      </c>
      <c r="AL140" s="905">
        <v>1.173823553893056E-2</v>
      </c>
      <c r="AM140" s="906"/>
      <c r="AN140" s="904">
        <v>0.13558135538241628</v>
      </c>
      <c r="AO140" s="905">
        <v>7.5358313916512348E-2</v>
      </c>
      <c r="AP140" s="905"/>
      <c r="AQ140" s="905">
        <v>5.319658272838452E-3</v>
      </c>
      <c r="AR140" s="905">
        <v>3.8098781640468713E-4</v>
      </c>
      <c r="AS140" s="905">
        <v>3.9653561216542317E-4</v>
      </c>
      <c r="AT140" s="906"/>
      <c r="AU140" s="904">
        <v>0.17364669289779558</v>
      </c>
      <c r="AV140" s="905">
        <v>7.4610613806525811E-2</v>
      </c>
      <c r="AW140" s="905"/>
      <c r="AX140" s="905">
        <v>3.5348385060664182E-3</v>
      </c>
      <c r="AY140" s="905">
        <v>3.8098781640468713E-4</v>
      </c>
      <c r="AZ140" s="905">
        <v>3.9653561216542317E-4</v>
      </c>
      <c r="BA140" s="906"/>
      <c r="BB140" s="904">
        <v>0.1015819936751205</v>
      </c>
      <c r="BC140" s="905">
        <v>5.85344527363377E-2</v>
      </c>
      <c r="BD140" s="905"/>
      <c r="BE140" s="908">
        <v>1.1278298822031801E-2</v>
      </c>
      <c r="BF140" s="906"/>
      <c r="BG140" s="904">
        <v>4.3048544269961561E-2</v>
      </c>
      <c r="BH140" s="905">
        <v>3.1095807024024726E-2</v>
      </c>
      <c r="BI140" s="905"/>
      <c r="BJ140" s="908">
        <v>8.3469140636371029E-3</v>
      </c>
      <c r="BK140" s="905"/>
      <c r="BL140" s="904">
        <v>9.2996868791493909E-2</v>
      </c>
      <c r="BM140" s="905">
        <v>4.3740320164159269E-2</v>
      </c>
      <c r="BN140" s="905"/>
      <c r="BO140" s="909">
        <v>4.9193526138164856E-3</v>
      </c>
      <c r="BP140" s="906"/>
      <c r="BQ140" s="904">
        <v>9.2996868791493909E-2</v>
      </c>
      <c r="BR140" s="905">
        <v>4.3740320164159269E-2</v>
      </c>
      <c r="BS140" s="905"/>
      <c r="BT140" s="908">
        <v>4.9400176983275656E-3</v>
      </c>
      <c r="BU140" s="905"/>
      <c r="BV140" s="904">
        <v>0.21301958939389568</v>
      </c>
      <c r="BW140" s="905">
        <v>8.0061708024370667E-2</v>
      </c>
      <c r="BX140" s="905"/>
      <c r="BY140" s="908">
        <v>3.9926171041790885E-3</v>
      </c>
      <c r="BZ140" s="906"/>
      <c r="CA140" s="904">
        <v>8.3334946831731954E-2</v>
      </c>
      <c r="CB140" s="905">
        <v>5.3424385800700441E-2</v>
      </c>
      <c r="CC140" s="905"/>
      <c r="CD140" s="908">
        <v>5.4204593730804032E-3</v>
      </c>
      <c r="CE140" s="905"/>
      <c r="CF140" s="908">
        <v>4.3513016044139631E-2</v>
      </c>
      <c r="CG140" s="906"/>
      <c r="CH140" s="904">
        <v>5.9029746114662732E-2</v>
      </c>
      <c r="CI140" s="905">
        <v>4.2145089902583685E-2</v>
      </c>
      <c r="CJ140" s="905"/>
      <c r="CK140" s="909">
        <v>2.3660445254691082E-4</v>
      </c>
      <c r="CL140" s="906"/>
      <c r="CM140" s="904">
        <v>0.13281109515707556</v>
      </c>
      <c r="CN140" s="905">
        <v>8.4336195706959605E-2</v>
      </c>
      <c r="CO140" s="905"/>
      <c r="CP140" s="905">
        <v>5.7006460892431391E-3</v>
      </c>
      <c r="CQ140" s="905">
        <v>3.9653561216542317E-4</v>
      </c>
      <c r="CR140" s="906"/>
      <c r="CS140" s="904">
        <v>0.13182615612870638</v>
      </c>
      <c r="CT140" s="905">
        <v>8.0449731172212449E-2</v>
      </c>
      <c r="CU140" s="905"/>
      <c r="CV140" s="905">
        <v>5.7006460892431391E-3</v>
      </c>
      <c r="CW140" s="905">
        <v>4.2290871037062983E-4</v>
      </c>
      <c r="CX140" s="906"/>
      <c r="CY140" s="904">
        <v>0.13200290243863524</v>
      </c>
      <c r="CZ140" s="905">
        <v>7.7637564980482673E-2</v>
      </c>
      <c r="DA140" s="905"/>
      <c r="DB140" s="905">
        <v>5.7006460892431391E-3</v>
      </c>
      <c r="DC140" s="905">
        <v>4.5205407946714794E-4</v>
      </c>
      <c r="DD140" s="906"/>
      <c r="DE140" s="904">
        <v>0.11439027806860508</v>
      </c>
      <c r="DF140" s="905">
        <v>5.3358618760391836E-2</v>
      </c>
      <c r="DG140" s="905"/>
      <c r="DH140" s="909">
        <v>5.5335709183844343E-3</v>
      </c>
      <c r="DI140" s="906"/>
    </row>
    <row r="141" spans="1:113" s="7" customFormat="1" x14ac:dyDescent="0.45">
      <c r="A141" s="879" t="s">
        <v>1529</v>
      </c>
      <c r="B141" s="879">
        <v>2787.0628814350139</v>
      </c>
      <c r="C141" s="7">
        <v>1496.5113597440211</v>
      </c>
      <c r="D141" s="7">
        <v>1161.3429516162541</v>
      </c>
      <c r="E141" s="877"/>
      <c r="F141" s="879">
        <v>6063.7458988607295</v>
      </c>
      <c r="G141" s="7">
        <v>0</v>
      </c>
      <c r="H141" s="7">
        <v>-966.59800924240437</v>
      </c>
      <c r="I141" s="7">
        <v>0</v>
      </c>
      <c r="J141" s="7">
        <v>1988.7802772500002</v>
      </c>
      <c r="K141" s="7">
        <v>3877.7166965720689</v>
      </c>
      <c r="L141" s="877"/>
      <c r="M141" s="879">
        <v>16931.00145202149</v>
      </c>
      <c r="N141" s="7">
        <v>4582.2510202140766</v>
      </c>
      <c r="O141" s="7">
        <v>-548.84293333672235</v>
      </c>
      <c r="P141" s="7">
        <v>353.9457460927087</v>
      </c>
      <c r="Q141" s="7">
        <v>1988.7802772500002</v>
      </c>
      <c r="R141" s="7">
        <v>2562.4240530985749</v>
      </c>
      <c r="S141" s="877"/>
      <c r="T141" s="879">
        <v>13435.701399538371</v>
      </c>
      <c r="U141" s="7">
        <v>0</v>
      </c>
      <c r="V141" s="7">
        <v>-334.25071120761709</v>
      </c>
      <c r="W141" s="7">
        <v>35.478340789934855</v>
      </c>
      <c r="X141" s="7">
        <v>764.91549125000006</v>
      </c>
      <c r="Y141" s="7">
        <v>3877.7166965720689</v>
      </c>
      <c r="AA141" s="879">
        <v>24242.188712744588</v>
      </c>
      <c r="AB141" s="7">
        <v>3688.7873426071824</v>
      </c>
      <c r="AC141" s="7">
        <v>-83.271112282707122</v>
      </c>
      <c r="AD141" s="7">
        <v>2125.0248232912527</v>
      </c>
      <c r="AE141" s="7">
        <v>764.91549125000006</v>
      </c>
      <c r="AF141" s="7">
        <v>2562.4240530985749</v>
      </c>
      <c r="AG141" s="877"/>
      <c r="AH141" s="879">
        <v>6451.8016098281778</v>
      </c>
      <c r="AI141" s="7">
        <v>1652.4976715525827</v>
      </c>
      <c r="AJ141" s="877"/>
      <c r="AK141" s="879">
        <v>2372.1204403098955</v>
      </c>
      <c r="AL141" s="7">
        <v>880.22004324376474</v>
      </c>
      <c r="AM141" s="877"/>
      <c r="AN141" s="879">
        <v>3598.8316177159659</v>
      </c>
      <c r="AO141" s="7">
        <v>7721.8129499245633</v>
      </c>
      <c r="AP141" s="910">
        <v>461</v>
      </c>
      <c r="AQ141" s="7">
        <v>267.16905708438327</v>
      </c>
      <c r="AR141" s="7">
        <v>93.350823959619603</v>
      </c>
      <c r="AS141" s="7">
        <v>97.160393406530474</v>
      </c>
      <c r="AT141" s="871"/>
      <c r="AU141" s="879">
        <v>3896.1771448286936</v>
      </c>
      <c r="AV141" s="7">
        <v>7525.3810544049793</v>
      </c>
      <c r="AW141" s="878">
        <v>1113</v>
      </c>
      <c r="AX141" s="7">
        <v>223.09230768746056</v>
      </c>
      <c r="AY141" s="7">
        <v>93.350823959619603</v>
      </c>
      <c r="AZ141" s="7">
        <v>97.160393406530474</v>
      </c>
      <c r="BA141" s="877"/>
      <c r="BB141" s="879">
        <v>3017.6673390693245</v>
      </c>
      <c r="BC141" s="7">
        <v>6528.9129020208275</v>
      </c>
      <c r="BD141" s="878">
        <v>445</v>
      </c>
      <c r="BE141" s="870">
        <v>667.59606369597748</v>
      </c>
      <c r="BF141" s="871"/>
      <c r="BG141" s="879">
        <v>789.13325538170977</v>
      </c>
      <c r="BH141" s="7">
        <v>3232.9235007039138</v>
      </c>
      <c r="BI141" s="878">
        <v>112</v>
      </c>
      <c r="BJ141" s="870">
        <v>381.94765674021102</v>
      </c>
      <c r="BK141" s="870"/>
      <c r="BL141" s="879">
        <v>2268.9705212218696</v>
      </c>
      <c r="BM141" s="7">
        <v>4268.3065698397168</v>
      </c>
      <c r="BN141" s="878">
        <v>902</v>
      </c>
      <c r="BO141" s="873">
        <v>308.79252574029448</v>
      </c>
      <c r="BP141" s="871"/>
      <c r="BQ141" s="879">
        <v>2268.9705212218696</v>
      </c>
      <c r="BR141" s="7">
        <v>4268.3065698397168</v>
      </c>
      <c r="BS141" s="878">
        <v>902</v>
      </c>
      <c r="BT141" s="870">
        <v>310.08969309985525</v>
      </c>
      <c r="BV141" s="879">
        <v>2785.7872094736349</v>
      </c>
      <c r="BW141" s="7">
        <v>7371.3306274827473</v>
      </c>
      <c r="BX141" s="878">
        <v>2856.2894452936998</v>
      </c>
      <c r="BY141" s="870">
        <v>322.64869681881811</v>
      </c>
      <c r="BZ141" s="877"/>
      <c r="CA141" s="879">
        <v>1509.187938390311</v>
      </c>
      <c r="CB141" s="7">
        <v>4778.1817685743918</v>
      </c>
      <c r="CC141" s="878">
        <v>283</v>
      </c>
      <c r="CD141" s="870">
        <v>432.90100342505622</v>
      </c>
      <c r="CF141" s="870">
        <v>1684.0433106120347</v>
      </c>
      <c r="CG141" s="877"/>
      <c r="CH141" s="879">
        <v>780.29929386997094</v>
      </c>
      <c r="CI141" s="7">
        <v>3916.1648258935988</v>
      </c>
      <c r="CJ141" s="878">
        <v>77</v>
      </c>
      <c r="CK141" s="873">
        <v>60.148549723412735</v>
      </c>
      <c r="CL141" s="871"/>
      <c r="CM141" s="879">
        <v>4197.3468525086446</v>
      </c>
      <c r="CN141" s="7">
        <v>8359.1583766945278</v>
      </c>
      <c r="CO141" s="7">
        <v>374.9030596593899</v>
      </c>
      <c r="CP141" s="7">
        <v>360.51988104400289</v>
      </c>
      <c r="CQ141" s="7">
        <v>97.160393406530474</v>
      </c>
      <c r="CR141" s="871"/>
      <c r="CS141" s="879">
        <v>4203.7747967853547</v>
      </c>
      <c r="CT141" s="7">
        <v>7991.7008053053623</v>
      </c>
      <c r="CU141" s="7">
        <v>350.79015554735923</v>
      </c>
      <c r="CV141" s="7">
        <v>360.51988104400289</v>
      </c>
      <c r="CW141" s="7">
        <v>103.62241224759732</v>
      </c>
      <c r="CX141" s="874"/>
      <c r="CY141" s="879">
        <v>4257.0871354262108</v>
      </c>
      <c r="CZ141" s="7">
        <v>7707.6592322150946</v>
      </c>
      <c r="DA141" s="7">
        <v>339.09942591077129</v>
      </c>
      <c r="DB141" s="7">
        <v>360.51988104400289</v>
      </c>
      <c r="DC141" s="7">
        <v>110.76370155559245</v>
      </c>
      <c r="DD141" s="871"/>
      <c r="DE141" s="879">
        <v>2071.5970249412421</v>
      </c>
      <c r="DF141" s="7">
        <v>4767.44976792946</v>
      </c>
      <c r="DG141" s="878">
        <v>283</v>
      </c>
      <c r="DH141" s="873">
        <v>441.93457384608985</v>
      </c>
      <c r="DI141" s="871"/>
    </row>
    <row r="142" spans="1:113" x14ac:dyDescent="0.45">
      <c r="A142" s="768" t="s">
        <v>2522</v>
      </c>
      <c r="B142" s="911">
        <v>0.70199999999999996</v>
      </c>
      <c r="C142" s="912">
        <v>1.534</v>
      </c>
      <c r="D142" s="912">
        <v>1.534</v>
      </c>
      <c r="E142" s="906"/>
      <c r="F142" s="904"/>
      <c r="G142" s="905"/>
      <c r="H142" s="905"/>
      <c r="I142" s="905"/>
      <c r="J142" s="905"/>
      <c r="K142" s="905">
        <v>1.534</v>
      </c>
      <c r="L142" s="906"/>
      <c r="M142" s="904"/>
      <c r="N142" s="905"/>
      <c r="O142" s="905"/>
      <c r="P142" s="905"/>
      <c r="Q142" s="905"/>
      <c r="R142" s="912">
        <v>1.534</v>
      </c>
      <c r="S142" s="906"/>
      <c r="T142" s="904"/>
      <c r="U142" s="905"/>
      <c r="V142" s="905"/>
      <c r="W142" s="905"/>
      <c r="X142" s="905"/>
      <c r="Y142" s="905">
        <v>1.534</v>
      </c>
      <c r="Z142" s="906"/>
      <c r="AA142" s="904"/>
      <c r="AB142" s="905"/>
      <c r="AC142" s="905"/>
      <c r="AD142" s="905"/>
      <c r="AE142" s="905"/>
      <c r="AF142" s="905">
        <v>1.534</v>
      </c>
      <c r="AG142" s="906"/>
      <c r="AH142" s="911">
        <v>0.70199999999999996</v>
      </c>
      <c r="AI142" s="912">
        <v>1.534</v>
      </c>
      <c r="AJ142" s="906"/>
      <c r="AK142" s="911">
        <v>0.70199999999999996</v>
      </c>
      <c r="AL142" s="912">
        <v>1.534</v>
      </c>
      <c r="AM142" s="906"/>
      <c r="AN142" s="904"/>
      <c r="AO142" s="905"/>
      <c r="AP142" s="905"/>
      <c r="AQ142" s="907">
        <v>6.6669999999999998</v>
      </c>
      <c r="AR142" s="905"/>
      <c r="AS142" s="905"/>
      <c r="AT142" s="906"/>
      <c r="AU142" s="904"/>
      <c r="AV142" s="905"/>
      <c r="AW142" s="905"/>
      <c r="AX142" s="905">
        <v>6.6669999999999998</v>
      </c>
      <c r="AY142" s="905"/>
      <c r="AZ142" s="905"/>
      <c r="BA142" s="906"/>
      <c r="BB142" s="904"/>
      <c r="BC142" s="905"/>
      <c r="BD142" s="905"/>
      <c r="BE142" s="905"/>
      <c r="BF142" s="906"/>
      <c r="BG142" s="904"/>
      <c r="BH142" s="905"/>
      <c r="BI142" s="905"/>
      <c r="BJ142" s="905"/>
      <c r="BK142" s="905"/>
      <c r="BL142" s="904"/>
      <c r="BM142" s="905"/>
      <c r="BN142" s="905"/>
      <c r="BO142" s="907">
        <v>0.20699999999999999</v>
      </c>
      <c r="BP142" s="906"/>
      <c r="BQ142" s="904"/>
      <c r="BR142" s="905"/>
      <c r="BS142" s="905"/>
      <c r="BT142" s="905">
        <v>0.20699999999999999</v>
      </c>
      <c r="BU142" s="905"/>
      <c r="BV142" s="904"/>
      <c r="BW142" s="905"/>
      <c r="BX142" s="905"/>
      <c r="BY142" s="905">
        <v>0.20699999999999999</v>
      </c>
      <c r="BZ142" s="906"/>
      <c r="CA142" s="904"/>
      <c r="CB142" s="905"/>
      <c r="CC142" s="905"/>
      <c r="CD142" s="905">
        <v>6.6669999999999998</v>
      </c>
      <c r="CE142" s="905"/>
      <c r="CF142" s="905">
        <v>6.6669999999999998</v>
      </c>
      <c r="CG142" s="906"/>
      <c r="CH142" s="904"/>
      <c r="CI142" s="905"/>
      <c r="CJ142" s="905"/>
      <c r="CK142" s="905"/>
      <c r="CL142" s="906"/>
      <c r="CM142" s="904"/>
      <c r="CN142" s="905"/>
      <c r="CO142" s="905"/>
      <c r="CP142" s="905">
        <v>6.6669999999999998</v>
      </c>
      <c r="CQ142" s="905"/>
      <c r="CR142" s="906"/>
      <c r="CS142" s="904"/>
      <c r="CT142" s="905"/>
      <c r="CU142" s="905"/>
      <c r="CV142" s="905">
        <v>6.6669999999999998</v>
      </c>
      <c r="CW142" s="905"/>
      <c r="CX142" s="906"/>
      <c r="CY142" s="904"/>
      <c r="CZ142" s="905"/>
      <c r="DA142" s="905"/>
      <c r="DB142" s="905">
        <v>6.6669999999999998</v>
      </c>
      <c r="DC142" s="905"/>
      <c r="DD142" s="906"/>
      <c r="DE142" s="904"/>
      <c r="DF142" s="905"/>
      <c r="DG142" s="905"/>
      <c r="DH142" s="905">
        <v>6.6669999999999998</v>
      </c>
      <c r="DI142" s="906"/>
    </row>
    <row r="143" spans="1:113" x14ac:dyDescent="0.45">
      <c r="A143" s="768" t="s">
        <v>2523</v>
      </c>
      <c r="B143" s="913">
        <v>1083</v>
      </c>
      <c r="C143" s="7" t="s">
        <v>2524</v>
      </c>
      <c r="D143" s="7"/>
      <c r="E143" s="877"/>
      <c r="F143" s="879"/>
      <c r="G143" s="7"/>
      <c r="H143" s="7"/>
      <c r="I143" s="7"/>
      <c r="J143" s="7"/>
      <c r="K143" s="7"/>
      <c r="L143" s="877"/>
      <c r="M143" s="879"/>
      <c r="N143" s="7"/>
      <c r="O143" s="7"/>
      <c r="P143" s="7"/>
      <c r="Q143" s="7"/>
      <c r="R143" s="7"/>
      <c r="S143" s="877"/>
      <c r="T143" s="879"/>
      <c r="U143" s="7"/>
      <c r="V143" s="7"/>
      <c r="W143" s="7"/>
      <c r="X143" s="7"/>
      <c r="Y143" s="7"/>
      <c r="Z143" s="7"/>
      <c r="AA143" s="879"/>
      <c r="AB143" s="7"/>
      <c r="AC143" s="7"/>
      <c r="AD143" s="7"/>
      <c r="AE143" s="7"/>
      <c r="AF143" s="7"/>
      <c r="AG143" s="877"/>
      <c r="AH143" s="913">
        <v>5652</v>
      </c>
      <c r="AI143" s="7" t="s">
        <v>2524</v>
      </c>
      <c r="AJ143" s="877"/>
      <c r="AK143" s="913">
        <v>1439.0000000000002</v>
      </c>
      <c r="AL143" s="7" t="s">
        <v>2524</v>
      </c>
      <c r="AM143" s="877"/>
      <c r="AN143" s="879"/>
      <c r="AO143" s="7"/>
      <c r="AP143" s="7"/>
      <c r="AQ143" s="907">
        <v>13.082000000000001</v>
      </c>
      <c r="AR143" s="7"/>
      <c r="AS143" s="7"/>
      <c r="AT143" s="877"/>
      <c r="AU143" s="879"/>
      <c r="AV143" s="7"/>
      <c r="AW143" s="7"/>
      <c r="AX143" s="905">
        <v>13.082000000000001</v>
      </c>
      <c r="AY143" s="7"/>
      <c r="AZ143" s="7"/>
      <c r="BA143" s="877"/>
      <c r="BB143" s="879"/>
      <c r="BC143" s="7"/>
      <c r="BD143" s="7"/>
      <c r="BE143" s="905">
        <v>1.3082000000000003</v>
      </c>
      <c r="BF143" s="877"/>
      <c r="BG143" s="879"/>
      <c r="BH143" s="7"/>
      <c r="BI143" s="7"/>
      <c r="BJ143" s="7"/>
      <c r="BK143" s="7"/>
      <c r="BL143" s="879"/>
      <c r="BM143" s="7"/>
      <c r="BN143" s="7"/>
      <c r="BO143" s="907">
        <v>0.88</v>
      </c>
      <c r="BP143" s="877"/>
      <c r="BQ143" s="879"/>
      <c r="BR143" s="7"/>
      <c r="BS143" s="7"/>
      <c r="BT143" s="905">
        <v>0.88</v>
      </c>
      <c r="BU143" s="7"/>
      <c r="BV143" s="879"/>
      <c r="BW143" s="7"/>
      <c r="BX143" s="7"/>
      <c r="BY143" s="905">
        <v>0.88</v>
      </c>
      <c r="BZ143" s="877"/>
      <c r="CA143" s="879"/>
      <c r="CB143" s="7"/>
      <c r="CC143" s="7"/>
      <c r="CD143" s="905">
        <v>13.082000000000001</v>
      </c>
      <c r="CE143" s="7"/>
      <c r="CF143" s="905">
        <v>13.082000000000001</v>
      </c>
      <c r="CG143" s="877"/>
      <c r="CH143" s="879"/>
      <c r="CI143" s="7"/>
      <c r="CJ143" s="7"/>
      <c r="CK143" s="7"/>
      <c r="CL143" s="877"/>
      <c r="CM143" s="879"/>
      <c r="CN143" s="7"/>
      <c r="CO143" s="7"/>
      <c r="CP143" s="905">
        <v>13.082000000000001</v>
      </c>
      <c r="CQ143" s="7"/>
      <c r="CR143" s="877"/>
      <c r="CS143" s="879"/>
      <c r="CT143" s="7"/>
      <c r="CU143" s="7"/>
      <c r="CV143" s="905">
        <v>13.082000000000001</v>
      </c>
      <c r="CW143" s="7"/>
      <c r="CX143" s="877"/>
      <c r="CY143" s="879"/>
      <c r="CZ143" s="7"/>
      <c r="DA143" s="7"/>
      <c r="DB143" s="905">
        <v>13.082000000000001</v>
      </c>
      <c r="DC143" s="7"/>
      <c r="DD143" s="877"/>
      <c r="DE143" s="879"/>
      <c r="DF143" s="7"/>
      <c r="DG143" s="7"/>
      <c r="DH143" s="905">
        <v>13.082000000000001</v>
      </c>
      <c r="DI143" s="877"/>
    </row>
    <row r="144" spans="1:113" x14ac:dyDescent="0.45">
      <c r="A144" s="755" t="s">
        <v>2525</v>
      </c>
      <c r="B144" s="914">
        <v>80</v>
      </c>
      <c r="C144" s="859"/>
      <c r="D144" s="859"/>
      <c r="E144" s="860"/>
      <c r="F144" s="858"/>
      <c r="G144" s="859"/>
      <c r="H144" s="859"/>
      <c r="I144" s="859"/>
      <c r="J144" s="915">
        <v>111.90233977619533</v>
      </c>
      <c r="K144" s="905"/>
      <c r="L144" s="860"/>
      <c r="M144" s="858"/>
      <c r="N144" s="859"/>
      <c r="O144" s="859"/>
      <c r="P144" s="859"/>
      <c r="Q144" s="915">
        <v>138.75890132248219</v>
      </c>
      <c r="R144" s="905"/>
      <c r="S144" s="860"/>
      <c r="T144" s="858"/>
      <c r="U144" s="859"/>
      <c r="V144" s="859"/>
      <c r="W144" s="859"/>
      <c r="X144" s="915">
        <v>156.66327568667344</v>
      </c>
      <c r="Y144" s="905"/>
      <c r="Z144" s="859"/>
      <c r="AA144" s="858"/>
      <c r="AB144" s="859"/>
      <c r="AC144" s="859"/>
      <c r="AD144" s="859"/>
      <c r="AE144" s="915">
        <v>0</v>
      </c>
      <c r="AF144" s="859"/>
      <c r="AG144" s="860"/>
      <c r="AH144" s="914">
        <v>65</v>
      </c>
      <c r="AI144" s="859"/>
      <c r="AJ144" s="860"/>
      <c r="AK144" s="914">
        <v>64</v>
      </c>
      <c r="AL144" s="859"/>
      <c r="AM144" s="860"/>
      <c r="AN144" s="858"/>
      <c r="AO144" s="859"/>
      <c r="AP144" s="859"/>
      <c r="AQ144" s="859"/>
      <c r="AR144" s="859"/>
      <c r="AS144" s="859"/>
      <c r="AT144" s="860"/>
      <c r="AU144" s="858"/>
      <c r="AV144" s="859"/>
      <c r="AW144" s="859"/>
      <c r="AX144" s="859"/>
      <c r="AY144" s="859"/>
      <c r="AZ144" s="859"/>
      <c r="BA144" s="860"/>
      <c r="BB144" s="858"/>
      <c r="BC144" s="859"/>
      <c r="BD144" s="859"/>
      <c r="BE144" s="859"/>
      <c r="BF144" s="860"/>
      <c r="BG144" s="858"/>
      <c r="BH144" s="859"/>
      <c r="BI144" s="859"/>
      <c r="BJ144" s="859"/>
      <c r="BK144" s="859"/>
      <c r="BL144" s="858"/>
      <c r="BM144" s="859"/>
      <c r="BN144" s="859"/>
      <c r="BO144" s="859"/>
      <c r="BP144" s="860"/>
      <c r="BQ144" s="858"/>
      <c r="BR144" s="859"/>
      <c r="BS144" s="859"/>
      <c r="BT144" s="859"/>
      <c r="BU144" s="859"/>
      <c r="BV144" s="858"/>
      <c r="BW144" s="859"/>
      <c r="BX144" s="859"/>
      <c r="BY144" s="859"/>
      <c r="BZ144" s="860"/>
      <c r="CA144" s="858"/>
      <c r="CB144" s="859"/>
      <c r="CC144" s="859"/>
      <c r="CD144" s="859"/>
      <c r="CE144" s="859"/>
      <c r="CF144" s="859"/>
      <c r="CG144" s="860"/>
      <c r="CH144" s="858"/>
      <c r="CI144" s="859"/>
      <c r="CJ144" s="859"/>
      <c r="CK144" s="859"/>
      <c r="CL144" s="860"/>
      <c r="CM144" s="858"/>
      <c r="CN144" s="859"/>
      <c r="CO144" s="859"/>
      <c r="CP144" s="859"/>
      <c r="CQ144" s="859"/>
      <c r="CR144" s="860"/>
      <c r="CS144" s="858"/>
      <c r="CT144" s="859"/>
      <c r="CU144" s="859"/>
      <c r="CV144" s="859"/>
      <c r="CW144" s="859"/>
      <c r="CX144" s="860"/>
      <c r="CY144" s="858"/>
      <c r="CZ144" s="859"/>
      <c r="DA144" s="859"/>
      <c r="DB144" s="859"/>
      <c r="DC144" s="859"/>
      <c r="DD144" s="860"/>
      <c r="DE144" s="858"/>
      <c r="DF144" s="859"/>
      <c r="DG144" s="859"/>
      <c r="DH144" s="859"/>
      <c r="DI144" s="860"/>
    </row>
    <row r="145" spans="1:113" x14ac:dyDescent="0.45">
      <c r="A145" s="855" t="s">
        <v>2526</v>
      </c>
      <c r="B145" s="879"/>
      <c r="C145" s="7"/>
      <c r="D145" s="7"/>
      <c r="E145" s="877"/>
      <c r="F145" s="901"/>
      <c r="G145" s="891"/>
      <c r="H145" s="891"/>
      <c r="I145" s="891"/>
      <c r="J145" s="891"/>
      <c r="K145" s="891"/>
      <c r="L145" s="902"/>
      <c r="M145" s="901"/>
      <c r="N145" s="891"/>
      <c r="O145" s="891"/>
      <c r="P145" s="891"/>
      <c r="Q145" s="891"/>
      <c r="R145" s="891"/>
      <c r="S145" s="902"/>
      <c r="T145" s="901"/>
      <c r="U145" s="891"/>
      <c r="V145" s="891"/>
      <c r="W145" s="891"/>
      <c r="X145" s="891"/>
      <c r="Y145" s="891"/>
      <c r="Z145" s="902"/>
      <c r="AA145" s="901"/>
      <c r="AB145" s="891"/>
      <c r="AC145" s="891"/>
      <c r="AD145" s="891"/>
      <c r="AE145" s="891"/>
      <c r="AF145" s="891"/>
      <c r="AG145" s="902"/>
      <c r="AH145" s="879"/>
      <c r="AI145" s="7"/>
      <c r="AJ145" s="877"/>
      <c r="AK145" s="879"/>
      <c r="AL145" s="7"/>
      <c r="AM145" s="877"/>
      <c r="AN145" s="879"/>
      <c r="AO145" s="7"/>
      <c r="AP145" s="7"/>
      <c r="AQ145" s="7"/>
      <c r="AR145" s="7"/>
      <c r="AS145" s="7"/>
      <c r="AT145" s="877"/>
      <c r="AU145" s="879"/>
      <c r="AV145" s="7"/>
      <c r="AW145" s="7"/>
      <c r="AX145" s="7"/>
      <c r="AY145" s="7"/>
      <c r="AZ145" s="7"/>
      <c r="BA145" s="877"/>
      <c r="BB145" s="879"/>
      <c r="BC145" s="7"/>
      <c r="BD145" s="7"/>
      <c r="BE145" s="7"/>
      <c r="BF145" s="877"/>
      <c r="BG145" s="879"/>
      <c r="BH145" s="7"/>
      <c r="BI145" s="7"/>
      <c r="BJ145" s="7"/>
      <c r="BK145" s="7"/>
      <c r="BL145" s="879"/>
      <c r="BM145" s="7"/>
      <c r="BN145" s="7"/>
      <c r="BO145" s="7"/>
      <c r="BP145" s="877"/>
      <c r="BQ145" s="879"/>
      <c r="BR145" s="7"/>
      <c r="BS145" s="7"/>
      <c r="BT145" s="7"/>
      <c r="BU145" s="7"/>
      <c r="BV145" s="879"/>
      <c r="BW145" s="7"/>
      <c r="BX145" s="7"/>
      <c r="BY145" s="7"/>
      <c r="BZ145" s="877"/>
      <c r="CA145" s="879"/>
      <c r="CB145" s="7"/>
      <c r="CC145" s="7"/>
      <c r="CD145" s="7"/>
      <c r="CE145" s="7"/>
      <c r="CF145" s="7"/>
      <c r="CG145" s="877"/>
      <c r="CH145" s="879"/>
      <c r="CI145" s="7"/>
      <c r="CJ145" s="7"/>
      <c r="CK145" s="7"/>
      <c r="CL145" s="877"/>
      <c r="CM145" s="879"/>
      <c r="CN145" s="7"/>
      <c r="CO145" s="7"/>
      <c r="CP145" s="7"/>
      <c r="CQ145" s="7"/>
      <c r="CR145" s="877"/>
      <c r="CS145" s="879"/>
      <c r="CT145" s="7"/>
      <c r="CU145" s="7"/>
      <c r="CV145" s="7"/>
      <c r="CW145" s="7"/>
      <c r="CX145" s="877"/>
      <c r="CY145" s="879"/>
      <c r="CZ145" s="7"/>
      <c r="DA145" s="7"/>
      <c r="DB145" s="7"/>
      <c r="DC145" s="7"/>
      <c r="DD145" s="877"/>
      <c r="DE145" s="879"/>
      <c r="DF145" s="7"/>
      <c r="DG145" s="7"/>
      <c r="DH145" s="7"/>
      <c r="DI145" s="877"/>
    </row>
    <row r="146" spans="1:113" x14ac:dyDescent="0.45">
      <c r="A146" s="768" t="s">
        <v>1525</v>
      </c>
      <c r="B146" s="904">
        <v>6.4141508518481494E-2</v>
      </c>
      <c r="C146" s="905">
        <v>0.62866549847785469</v>
      </c>
      <c r="D146" s="905">
        <v>0.84540836825778753</v>
      </c>
      <c r="E146" s="906">
        <v>0</v>
      </c>
      <c r="F146" s="904">
        <v>1.704262993377581E-2</v>
      </c>
      <c r="G146" s="905">
        <v>0</v>
      </c>
      <c r="H146" s="905">
        <v>-4.6943797018879699E-3</v>
      </c>
      <c r="I146" s="905">
        <v>0</v>
      </c>
      <c r="J146" s="905">
        <v>0</v>
      </c>
      <c r="K146" s="905">
        <v>3.9934362693348067E-2</v>
      </c>
      <c r="L146" s="906">
        <v>0</v>
      </c>
      <c r="M146" s="904">
        <v>2.3170198700710354E-2</v>
      </c>
      <c r="N146" s="905">
        <v>2.4990533795164601E-3</v>
      </c>
      <c r="O146" s="905">
        <v>-2.6655104822737434E-3</v>
      </c>
      <c r="P146" s="905">
        <v>4.3228832688149508E-3</v>
      </c>
      <c r="Q146" s="905">
        <v>0</v>
      </c>
      <c r="R146" s="905">
        <v>0.60539389882158789</v>
      </c>
      <c r="S146" s="906">
        <v>0</v>
      </c>
      <c r="T146" s="904">
        <v>1.6539488585544323E-2</v>
      </c>
      <c r="U146" s="905">
        <v>0</v>
      </c>
      <c r="V146" s="905">
        <v>-1.6233219384183062E-3</v>
      </c>
      <c r="W146" s="905">
        <v>2.9950000000000003E-5</v>
      </c>
      <c r="X146" s="905">
        <v>0</v>
      </c>
      <c r="Y146" s="905">
        <v>0.62561556269334806</v>
      </c>
      <c r="Z146" s="906">
        <v>0</v>
      </c>
      <c r="AA146" s="904">
        <v>2.4550288823821449E-2</v>
      </c>
      <c r="AB146" s="905">
        <v>1.2663666281750433E-3</v>
      </c>
      <c r="AC146" s="905">
        <v>-4.0441446756129472E-4</v>
      </c>
      <c r="AD146" s="905">
        <v>2.6047999731080651E-3</v>
      </c>
      <c r="AE146" s="905">
        <v>0</v>
      </c>
      <c r="AF146" s="905">
        <v>0.7867126988215879</v>
      </c>
      <c r="AG146" s="906">
        <v>0</v>
      </c>
      <c r="AH146" s="904">
        <v>3.2766565691771575E-2</v>
      </c>
      <c r="AI146" s="905">
        <v>0.62260395316166639</v>
      </c>
      <c r="AJ146" s="906">
        <v>0</v>
      </c>
      <c r="AK146" s="904">
        <v>3.6382557879720799E-2</v>
      </c>
      <c r="AL146" s="905">
        <v>0.6440486559256996</v>
      </c>
      <c r="AM146" s="906">
        <v>0</v>
      </c>
      <c r="AN146" s="904">
        <v>0.37246297958712776</v>
      </c>
      <c r="AO146" s="905">
        <v>0.22118362414996195</v>
      </c>
      <c r="AP146" s="905">
        <v>1.7623887999999996</v>
      </c>
      <c r="AQ146" s="905">
        <v>13.241732581592879</v>
      </c>
      <c r="AR146" s="905">
        <v>2.1352613641258775E-2</v>
      </c>
      <c r="AS146" s="905">
        <v>2.2223996036068901E-2</v>
      </c>
      <c r="AT146" s="906">
        <v>0</v>
      </c>
      <c r="AU146" s="904">
        <v>0.59408361445643387</v>
      </c>
      <c r="AV146" s="905">
        <v>0.28678865521084945</v>
      </c>
      <c r="AW146" s="905">
        <v>2.2864482173174876</v>
      </c>
      <c r="AX146" s="905">
        <v>13.234206396679912</v>
      </c>
      <c r="AY146" s="905">
        <v>2.1352613641258775E-2</v>
      </c>
      <c r="AZ146" s="905">
        <v>2.2223996036068901E-2</v>
      </c>
      <c r="BA146" s="906">
        <v>0</v>
      </c>
      <c r="BB146" s="904">
        <v>0.2860517753097741</v>
      </c>
      <c r="BC146" s="905">
        <v>0.17179179429057329</v>
      </c>
      <c r="BD146" s="905">
        <v>1.3898634933786069</v>
      </c>
      <c r="BE146" s="905">
        <v>0.13616116882911217</v>
      </c>
      <c r="BF146" s="906">
        <v>0</v>
      </c>
      <c r="BG146" s="904">
        <v>7.7077338132286621E-2</v>
      </c>
      <c r="BH146" s="905">
        <v>9.1267996672186477E-2</v>
      </c>
      <c r="BI146" s="905">
        <v>0.7510349555178254</v>
      </c>
      <c r="BJ146" s="905">
        <v>1.6909962683324384E-2</v>
      </c>
      <c r="BK146" s="905">
        <v>0</v>
      </c>
      <c r="BL146" s="904">
        <v>9.1811949945489607E-2</v>
      </c>
      <c r="BM146" s="905">
        <v>0.12838681248578931</v>
      </c>
      <c r="BN146" s="905">
        <v>1.3749026376910018</v>
      </c>
      <c r="BO146" s="905">
        <v>0.75950336170860688</v>
      </c>
      <c r="BP146" s="906">
        <v>0</v>
      </c>
      <c r="BQ146" s="904">
        <v>9.1811949945489607E-2</v>
      </c>
      <c r="BR146" s="905">
        <v>0.12838681248578931</v>
      </c>
      <c r="BS146" s="905">
        <v>1.3749026376910018</v>
      </c>
      <c r="BT146" s="905">
        <v>0.75963448196125383</v>
      </c>
      <c r="BU146" s="905">
        <v>0</v>
      </c>
      <c r="BV146" s="904">
        <v>0.15289565535389429</v>
      </c>
      <c r="BW146" s="905">
        <v>0.30776284699834272</v>
      </c>
      <c r="BX146" s="905">
        <v>2.9367268805778912</v>
      </c>
      <c r="BY146" s="905">
        <v>0.75248434486403726</v>
      </c>
      <c r="BZ146" s="906">
        <v>0</v>
      </c>
      <c r="CA146" s="904">
        <v>7.6895279376904768E-2</v>
      </c>
      <c r="CB146" s="905">
        <v>0.15682156204207495</v>
      </c>
      <c r="CC146" s="905">
        <v>0.99938515993208943</v>
      </c>
      <c r="CD146" s="905">
        <v>13.285581585600898</v>
      </c>
      <c r="CE146" s="905">
        <v>0</v>
      </c>
      <c r="CF146" s="905">
        <v>13.287384302071336</v>
      </c>
      <c r="CG146" s="906">
        <v>0</v>
      </c>
      <c r="CH146" s="904">
        <v>4.8540099708644861E-2</v>
      </c>
      <c r="CI146" s="905">
        <v>0.12370901349780135</v>
      </c>
      <c r="CJ146" s="905">
        <v>1.0981268074702899</v>
      </c>
      <c r="CK146" s="905">
        <v>1.9818889804301219E-3</v>
      </c>
      <c r="CL146" s="906">
        <v>0</v>
      </c>
      <c r="CM146" s="904">
        <v>0.69349273375833331</v>
      </c>
      <c r="CN146" s="905">
        <v>0.24754105232191853</v>
      </c>
      <c r="CO146" s="905">
        <v>1.9767238675638561</v>
      </c>
      <c r="CP146" s="905">
        <v>13.263085195234138</v>
      </c>
      <c r="CQ146" s="905">
        <v>2.2223996036068901E-2</v>
      </c>
      <c r="CR146" s="906">
        <v>0</v>
      </c>
      <c r="CS146" s="904">
        <v>0.70862532036677117</v>
      </c>
      <c r="CT146" s="905">
        <v>0.23613320975950403</v>
      </c>
      <c r="CU146" s="905">
        <v>1.8077870220126939</v>
      </c>
      <c r="CV146" s="905">
        <v>13.263085195234138</v>
      </c>
      <c r="CW146" s="905">
        <v>2.3702086810238405E-2</v>
      </c>
      <c r="CX146" s="906">
        <v>0</v>
      </c>
      <c r="CY146" s="904">
        <v>0.71386560891503947</v>
      </c>
      <c r="CZ146" s="905">
        <v>0.2278791469145231</v>
      </c>
      <c r="DA146" s="905">
        <v>1.7866619760744016</v>
      </c>
      <c r="DB146" s="905">
        <v>13.263085195234138</v>
      </c>
      <c r="DC146" s="905">
        <v>2.5335550608694343E-2</v>
      </c>
      <c r="DD146" s="906">
        <v>0</v>
      </c>
      <c r="DE146" s="904">
        <v>0.10555082500800106</v>
      </c>
      <c r="DF146" s="905">
        <v>0.1566286217385304</v>
      </c>
      <c r="DG146" s="905">
        <v>1.4281943221747049</v>
      </c>
      <c r="DH146" s="905">
        <v>13.28670324789765</v>
      </c>
      <c r="DI146" s="906">
        <v>0</v>
      </c>
    </row>
    <row r="147" spans="1:113" x14ac:dyDescent="0.45">
      <c r="A147" s="768" t="s">
        <v>1524</v>
      </c>
      <c r="B147" s="904">
        <v>0.20301627499455327</v>
      </c>
      <c r="C147" s="905">
        <v>0.13622954810467</v>
      </c>
      <c r="D147" s="905">
        <v>0.15979924866716416</v>
      </c>
      <c r="E147" s="906">
        <v>0</v>
      </c>
      <c r="F147" s="904">
        <v>7.8509377241278738E-2</v>
      </c>
      <c r="G147" s="905">
        <v>0</v>
      </c>
      <c r="H147" s="905">
        <v>-3.388522367165122E-2</v>
      </c>
      <c r="I147" s="905">
        <v>0</v>
      </c>
      <c r="J147" s="905">
        <v>0</v>
      </c>
      <c r="K147" s="905">
        <v>0.21929090465662024</v>
      </c>
      <c r="L147" s="906">
        <v>0</v>
      </c>
      <c r="M147" s="904">
        <v>0.14948828971706157</v>
      </c>
      <c r="N147" s="905">
        <v>9.6449756834306281E-3</v>
      </c>
      <c r="O147" s="905">
        <v>-1.9240330912016244E-2</v>
      </c>
      <c r="P147" s="905">
        <v>3.8596142950809904E-3</v>
      </c>
      <c r="Q147" s="905">
        <v>0</v>
      </c>
      <c r="R147" s="905">
        <v>0.15427660839050955</v>
      </c>
      <c r="S147" s="906">
        <v>0</v>
      </c>
      <c r="T147" s="904">
        <v>0.12043903597527127</v>
      </c>
      <c r="U147" s="905">
        <v>0</v>
      </c>
      <c r="V147" s="905">
        <v>-1.1717549594950818E-2</v>
      </c>
      <c r="W147" s="905">
        <v>3.1147999999999999E-4</v>
      </c>
      <c r="X147" s="905">
        <v>0</v>
      </c>
      <c r="Y147" s="905">
        <v>0.21929090465662024</v>
      </c>
      <c r="Z147" s="906">
        <v>0</v>
      </c>
      <c r="AA147" s="904">
        <v>0.19652439273102862</v>
      </c>
      <c r="AB147" s="905">
        <v>4.037307184489981E-3</v>
      </c>
      <c r="AC147" s="905">
        <v>-2.919166228469953E-3</v>
      </c>
      <c r="AD147" s="905">
        <v>2.1559783415536767E-2</v>
      </c>
      <c r="AE147" s="905">
        <v>0</v>
      </c>
      <c r="AF147" s="905">
        <v>0.15427660839050955</v>
      </c>
      <c r="AG147" s="906">
        <v>0</v>
      </c>
      <c r="AH147" s="904">
        <v>8.935411102659252E-2</v>
      </c>
      <c r="AI147" s="905">
        <v>0.1195129829736845</v>
      </c>
      <c r="AJ147" s="906">
        <v>0</v>
      </c>
      <c r="AK147" s="904">
        <v>0.11107328064477461</v>
      </c>
      <c r="AL147" s="905">
        <v>0.19036546192515422</v>
      </c>
      <c r="AM147" s="906">
        <v>0</v>
      </c>
      <c r="AN147" s="904">
        <v>0.52274615833513038</v>
      </c>
      <c r="AO147" s="905">
        <v>1.5311720572875154</v>
      </c>
      <c r="AP147" s="905">
        <v>0.88119439999999982</v>
      </c>
      <c r="AQ147" s="905">
        <v>4.5352233096047204E-2</v>
      </c>
      <c r="AR147" s="905">
        <v>6.505557986624147E-2</v>
      </c>
      <c r="AS147" s="905">
        <v>6.7710443946677523E-2</v>
      </c>
      <c r="AT147" s="906">
        <v>0</v>
      </c>
      <c r="AU147" s="904">
        <v>0.75626488317081675</v>
      </c>
      <c r="AV147" s="905">
        <v>1.99467383784612</v>
      </c>
      <c r="AW147" s="905">
        <v>1.1432241086587438</v>
      </c>
      <c r="AX147" s="905">
        <v>1.4639042123443184E-2</v>
      </c>
      <c r="AY147" s="905">
        <v>6.505557986624147E-2</v>
      </c>
      <c r="AZ147" s="905">
        <v>6.7710443946677523E-2</v>
      </c>
      <c r="BA147" s="906">
        <v>0</v>
      </c>
      <c r="BB147" s="904">
        <v>0.40064946421960757</v>
      </c>
      <c r="BC147" s="905">
        <v>1.1576343108480898</v>
      </c>
      <c r="BD147" s="905">
        <v>0.69493174668930346</v>
      </c>
      <c r="BE147" s="905">
        <v>0.13903941611344051</v>
      </c>
      <c r="BF147" s="906">
        <v>0</v>
      </c>
      <c r="BG147" s="904">
        <v>0.12479343507367088</v>
      </c>
      <c r="BH147" s="905">
        <v>0.6290398725126205</v>
      </c>
      <c r="BI147" s="905">
        <v>0.3755174777589127</v>
      </c>
      <c r="BJ147" s="905">
        <v>4.5767045135414144E-2</v>
      </c>
      <c r="BK147" s="905">
        <v>0</v>
      </c>
      <c r="BL147" s="904">
        <v>0.2548422671429183</v>
      </c>
      <c r="BM147" s="905">
        <v>0.9014965395780129</v>
      </c>
      <c r="BN147" s="905">
        <v>0.68745131884550092</v>
      </c>
      <c r="BO147" s="905">
        <v>0.10712242398993078</v>
      </c>
      <c r="BP147" s="906">
        <v>0</v>
      </c>
      <c r="BQ147" s="904">
        <v>0.2548422671429183</v>
      </c>
      <c r="BR147" s="905">
        <v>0.9014965395780129</v>
      </c>
      <c r="BS147" s="905">
        <v>0.68745131884550092</v>
      </c>
      <c r="BT147" s="905">
        <v>0.10757242099534287</v>
      </c>
      <c r="BU147" s="905">
        <v>0</v>
      </c>
      <c r="BV147" s="904">
        <v>0.51335864623335548</v>
      </c>
      <c r="BW147" s="905">
        <v>2.1954353306665708</v>
      </c>
      <c r="BX147" s="905">
        <v>1.4683634402889456</v>
      </c>
      <c r="BY147" s="905">
        <v>8.1257462579777048E-2</v>
      </c>
      <c r="BZ147" s="906">
        <v>0</v>
      </c>
      <c r="CA147" s="904">
        <v>0.21736415040426926</v>
      </c>
      <c r="CB147" s="905">
        <v>1.127063993126596</v>
      </c>
      <c r="CC147" s="905">
        <v>0.49969257996604471</v>
      </c>
      <c r="CD147" s="905">
        <v>0.15981130427687368</v>
      </c>
      <c r="CE147" s="905">
        <v>0</v>
      </c>
      <c r="CF147" s="905">
        <v>4.1620200187923409E-2</v>
      </c>
      <c r="CG147" s="906">
        <v>0</v>
      </c>
      <c r="CH147" s="904">
        <v>0.14718307921069851</v>
      </c>
      <c r="CI147" s="905">
        <v>0.8803480988056458</v>
      </c>
      <c r="CJ147" s="905">
        <v>0.54906340373514495</v>
      </c>
      <c r="CK147" s="905">
        <v>1.4847925910368661E-3</v>
      </c>
      <c r="CL147" s="906">
        <v>0</v>
      </c>
      <c r="CM147" s="904">
        <v>0.42410810694153311</v>
      </c>
      <c r="CN147" s="905">
        <v>1.7304609030704345</v>
      </c>
      <c r="CO147" s="905">
        <v>0.98836193378192805</v>
      </c>
      <c r="CP147" s="905">
        <v>0.11040781296228867</v>
      </c>
      <c r="CQ147" s="905">
        <v>6.7710443946677523E-2</v>
      </c>
      <c r="CR147" s="906">
        <v>0</v>
      </c>
      <c r="CS147" s="904">
        <v>0.42009428319021325</v>
      </c>
      <c r="CT147" s="905">
        <v>1.6496559558226385</v>
      </c>
      <c r="CU147" s="905">
        <v>0.90389351100634696</v>
      </c>
      <c r="CV147" s="905">
        <v>0.11040781296228867</v>
      </c>
      <c r="CW147" s="905">
        <v>7.2213782695931927E-2</v>
      </c>
      <c r="CX147" s="906">
        <v>0</v>
      </c>
      <c r="CY147" s="904">
        <v>0.41748689622713936</v>
      </c>
      <c r="CZ147" s="905">
        <v>1.5922711137052319</v>
      </c>
      <c r="DA147" s="905">
        <v>0.89333098803720079</v>
      </c>
      <c r="DB147" s="905">
        <v>0.11040781296228867</v>
      </c>
      <c r="DC147" s="905">
        <v>7.7190500599623652E-2</v>
      </c>
      <c r="DD147" s="906">
        <v>0</v>
      </c>
      <c r="DE147" s="904">
        <v>0.29836637031875696</v>
      </c>
      <c r="DF147" s="905">
        <v>1.1259660838500454</v>
      </c>
      <c r="DG147" s="905">
        <v>0.71409716108735244</v>
      </c>
      <c r="DH147" s="905">
        <v>0.16314616989243075</v>
      </c>
      <c r="DI147" s="906">
        <v>0</v>
      </c>
    </row>
    <row r="148" spans="1:113" x14ac:dyDescent="0.45">
      <c r="A148" s="768" t="s">
        <v>1523</v>
      </c>
      <c r="B148" s="904">
        <v>0.32537254425122919</v>
      </c>
      <c r="C148" s="905">
        <v>0.7788874357302743</v>
      </c>
      <c r="D148" s="905">
        <v>1.5972534885928886</v>
      </c>
      <c r="E148" s="906">
        <v>0</v>
      </c>
      <c r="F148" s="904">
        <v>0.15720462072126615</v>
      </c>
      <c r="G148" s="905">
        <v>0</v>
      </c>
      <c r="H148" s="905">
        <v>-0.14448369928368407</v>
      </c>
      <c r="I148" s="905">
        <v>0</v>
      </c>
      <c r="J148" s="905">
        <v>0</v>
      </c>
      <c r="K148" s="905">
        <v>0.56627231920353982</v>
      </c>
      <c r="L148" s="906">
        <v>0</v>
      </c>
      <c r="M148" s="904">
        <v>0.3108208810779991</v>
      </c>
      <c r="N148" s="905">
        <v>1.310718663469093E-2</v>
      </c>
      <c r="O148" s="905">
        <v>-8.2039127513153634E-2</v>
      </c>
      <c r="P148" s="905">
        <v>7.0646781538660618E-3</v>
      </c>
      <c r="Q148" s="905">
        <v>0</v>
      </c>
      <c r="R148" s="905">
        <v>0.40405038148002997</v>
      </c>
      <c r="S148" s="906">
        <v>0</v>
      </c>
      <c r="T148" s="904">
        <v>0.18661311344454132</v>
      </c>
      <c r="U148" s="905">
        <v>0</v>
      </c>
      <c r="V148" s="905">
        <v>-4.9962630567934194E-2</v>
      </c>
      <c r="W148" s="905">
        <v>5.8582201828002924E-4</v>
      </c>
      <c r="X148" s="905">
        <v>0</v>
      </c>
      <c r="Y148" s="905">
        <v>0.56627231920353982</v>
      </c>
      <c r="Z148" s="906">
        <v>0</v>
      </c>
      <c r="AA148" s="904">
        <v>0.36707780041554927</v>
      </c>
      <c r="AB148" s="905">
        <v>5.7994951276756392E-3</v>
      </c>
      <c r="AC148" s="905">
        <v>-1.244707544504711E-2</v>
      </c>
      <c r="AD148" s="905">
        <v>3.7647699277000041E-2</v>
      </c>
      <c r="AE148" s="905">
        <v>0</v>
      </c>
      <c r="AF148" s="905">
        <v>0.40405038148002997</v>
      </c>
      <c r="AG148" s="906">
        <v>0</v>
      </c>
      <c r="AH148" s="904">
        <v>0.12815457071701225</v>
      </c>
      <c r="AI148" s="905">
        <v>0.47634503677906159</v>
      </c>
      <c r="AJ148" s="906">
        <v>0</v>
      </c>
      <c r="AK148" s="904">
        <v>0.15008938727526772</v>
      </c>
      <c r="AL148" s="905">
        <v>0.50956276108335974</v>
      </c>
      <c r="AM148" s="906">
        <v>0</v>
      </c>
      <c r="AN148" s="904">
        <v>0.86069430826109006</v>
      </c>
      <c r="AO148" s="905">
        <v>2.6090317247328567</v>
      </c>
      <c r="AP148" s="905">
        <v>1.0415504</v>
      </c>
      <c r="AQ148" s="905">
        <v>0.20196603781060835</v>
      </c>
      <c r="AR148" s="905">
        <v>0.15782797127717077</v>
      </c>
      <c r="AS148" s="905">
        <v>0.16426879945352965</v>
      </c>
      <c r="AT148" s="906">
        <v>0</v>
      </c>
      <c r="AU148" s="904">
        <v>1.4791476024607761</v>
      </c>
      <c r="AV148" s="905">
        <v>3.4305294682990293</v>
      </c>
      <c r="AW148" s="905">
        <v>1.3512631578947374</v>
      </c>
      <c r="AX148" s="905">
        <v>4.5030668597737619E-2</v>
      </c>
      <c r="AY148" s="905">
        <v>0.15782797127717077</v>
      </c>
      <c r="AZ148" s="905">
        <v>0.16426879945352965</v>
      </c>
      <c r="BA148" s="906">
        <v>0</v>
      </c>
      <c r="BB148" s="904">
        <v>0.67230397870167002</v>
      </c>
      <c r="BC148" s="905">
        <v>1.8652107387987251</v>
      </c>
      <c r="BD148" s="905">
        <v>0.82139246315789438</v>
      </c>
      <c r="BE148" s="905">
        <v>0.51010550312057557</v>
      </c>
      <c r="BF148" s="906">
        <v>0</v>
      </c>
      <c r="BG148" s="904">
        <v>0.19171743071143646</v>
      </c>
      <c r="BH148" s="905">
        <v>1.0624295810451627</v>
      </c>
      <c r="BI148" s="905">
        <v>0.44385254736842022</v>
      </c>
      <c r="BJ148" s="905">
        <v>0.29090528725445991</v>
      </c>
      <c r="BK148" s="905">
        <v>0</v>
      </c>
      <c r="BL148" s="904">
        <v>0.38673234328347478</v>
      </c>
      <c r="BM148" s="905">
        <v>1.5792903571768302</v>
      </c>
      <c r="BN148" s="905">
        <v>0.8125507789473686</v>
      </c>
      <c r="BO148" s="905">
        <v>0.34694127042135703</v>
      </c>
      <c r="BP148" s="906">
        <v>0</v>
      </c>
      <c r="BQ148" s="904">
        <v>0.38673234328347478</v>
      </c>
      <c r="BR148" s="905">
        <v>1.5792903571768302</v>
      </c>
      <c r="BS148" s="905">
        <v>0.8125507789473686</v>
      </c>
      <c r="BT148" s="905">
        <v>0.3483986920043316</v>
      </c>
      <c r="BU148" s="905">
        <v>0</v>
      </c>
      <c r="BV148" s="904">
        <v>0.73974293649505229</v>
      </c>
      <c r="BW148" s="905">
        <v>3.9612512065514371</v>
      </c>
      <c r="BX148" s="905">
        <v>1.7355699588857214</v>
      </c>
      <c r="BY148" s="905">
        <v>0.20683677175548221</v>
      </c>
      <c r="BZ148" s="906">
        <v>0</v>
      </c>
      <c r="CA148" s="904">
        <v>0.32287022512765612</v>
      </c>
      <c r="CB148" s="905">
        <v>2.0611595626990531</v>
      </c>
      <c r="CC148" s="905">
        <v>0.59062450526315857</v>
      </c>
      <c r="CD148" s="905">
        <v>0.53337917434054161</v>
      </c>
      <c r="CE148" s="905">
        <v>0</v>
      </c>
      <c r="CF148" s="905">
        <v>7.5059140921601666E-2</v>
      </c>
      <c r="CG148" s="906">
        <v>0</v>
      </c>
      <c r="CH148" s="904">
        <v>0.21881166518556555</v>
      </c>
      <c r="CI148" s="905">
        <v>1.5813932347418631</v>
      </c>
      <c r="CJ148" s="905">
        <v>0.6489796210526324</v>
      </c>
      <c r="CK148" s="905">
        <v>2.6777203335587017E-3</v>
      </c>
      <c r="CL148" s="906">
        <v>0</v>
      </c>
      <c r="CM148" s="904">
        <v>0.66183558224104178</v>
      </c>
      <c r="CN148" s="905">
        <v>3.0057312965483778</v>
      </c>
      <c r="CO148" s="905">
        <v>1.1682198246781197</v>
      </c>
      <c r="CP148" s="905">
        <v>0.35979400908777914</v>
      </c>
      <c r="CQ148" s="905">
        <v>0.16426879945352965</v>
      </c>
      <c r="CR148" s="906">
        <v>0</v>
      </c>
      <c r="CS148" s="904">
        <v>0.65182123846319895</v>
      </c>
      <c r="CT148" s="905">
        <v>2.8618224420945175</v>
      </c>
      <c r="CU148" s="905">
        <v>1.0683801984511765</v>
      </c>
      <c r="CV148" s="905">
        <v>0.35979400908777914</v>
      </c>
      <c r="CW148" s="905">
        <v>0.17519411624003819</v>
      </c>
      <c r="CX148" s="906">
        <v>0</v>
      </c>
      <c r="CY148" s="904">
        <v>0.64495547680787357</v>
      </c>
      <c r="CZ148" s="905">
        <v>2.7632100257303911</v>
      </c>
      <c r="DA148" s="905">
        <v>1.0558955525846982</v>
      </c>
      <c r="DB148" s="905">
        <v>0.35979400908777914</v>
      </c>
      <c r="DC148" s="905">
        <v>0.1872678736636659</v>
      </c>
      <c r="DD148" s="906">
        <v>0</v>
      </c>
      <c r="DE148" s="904">
        <v>0.44318999695290412</v>
      </c>
      <c r="DF148" s="905">
        <v>2.0600958972585541</v>
      </c>
      <c r="DG148" s="905">
        <v>0.84404551795766791</v>
      </c>
      <c r="DH148" s="905">
        <v>0.54450947501990288</v>
      </c>
      <c r="DI148" s="906">
        <v>0</v>
      </c>
    </row>
    <row r="149" spans="1:113" x14ac:dyDescent="0.45">
      <c r="A149" s="768" t="s">
        <v>1522</v>
      </c>
      <c r="B149" s="904">
        <v>1.728703049817722E-2</v>
      </c>
      <c r="C149" s="905">
        <v>6.6085246513397575E-2</v>
      </c>
      <c r="D149" s="905">
        <v>0.14046178007371063</v>
      </c>
      <c r="E149" s="906">
        <v>0</v>
      </c>
      <c r="F149" s="904">
        <v>7.8817184321601525E-3</v>
      </c>
      <c r="G149" s="905">
        <v>0</v>
      </c>
      <c r="H149" s="905">
        <v>-2.1639275372008215E-2</v>
      </c>
      <c r="I149" s="905">
        <v>0</v>
      </c>
      <c r="J149" s="905">
        <v>0</v>
      </c>
      <c r="K149" s="905">
        <v>7.0236675017478281E-2</v>
      </c>
      <c r="L149" s="906">
        <v>0</v>
      </c>
      <c r="M149" s="904">
        <v>1.8509431410536056E-2</v>
      </c>
      <c r="N149" s="905">
        <v>1.3282103070139184E-3</v>
      </c>
      <c r="O149" s="905">
        <v>-1.2286972719675514E-2</v>
      </c>
      <c r="P149" s="905">
        <v>5.7499205559338675E-4</v>
      </c>
      <c r="Q149" s="905">
        <v>0</v>
      </c>
      <c r="R149" s="905">
        <v>4.9794447020938555E-2</v>
      </c>
      <c r="S149" s="906">
        <v>0</v>
      </c>
      <c r="T149" s="904">
        <v>1.5226313361189552E-2</v>
      </c>
      <c r="U149" s="905">
        <v>0</v>
      </c>
      <c r="V149" s="905">
        <v>-7.4828864884381695E-3</v>
      </c>
      <c r="W149" s="905">
        <v>4.4326000571250907E-5</v>
      </c>
      <c r="X149" s="905">
        <v>0</v>
      </c>
      <c r="Y149" s="905">
        <v>7.0236675017478281E-2</v>
      </c>
      <c r="Z149" s="906">
        <v>0</v>
      </c>
      <c r="AA149" s="904">
        <v>2.5135111288529424E-2</v>
      </c>
      <c r="AB149" s="905">
        <v>9.890732485643124E-4</v>
      </c>
      <c r="AC149" s="905">
        <v>-1.8641943310344915E-3</v>
      </c>
      <c r="AD149" s="905">
        <v>2.5360788696738336E-3</v>
      </c>
      <c r="AE149" s="905">
        <v>0</v>
      </c>
      <c r="AF149" s="905">
        <v>4.9794447020938555E-2</v>
      </c>
      <c r="AG149" s="906">
        <v>0</v>
      </c>
      <c r="AH149" s="904">
        <v>2.995798903419505E-3</v>
      </c>
      <c r="AI149" s="905">
        <v>3.3610633674648907E-2</v>
      </c>
      <c r="AJ149" s="906">
        <v>0</v>
      </c>
      <c r="AK149" s="904">
        <v>3.1763394695508477E-3</v>
      </c>
      <c r="AL149" s="905">
        <v>2.5620212655393333E-2</v>
      </c>
      <c r="AM149" s="906">
        <v>0</v>
      </c>
      <c r="AN149" s="904">
        <v>0.10196573766957415</v>
      </c>
      <c r="AO149" s="905">
        <v>0.56642318504044964</v>
      </c>
      <c r="AP149" s="905">
        <v>0.24435199999999999</v>
      </c>
      <c r="AQ149" s="905">
        <v>1.1156120030810649E-2</v>
      </c>
      <c r="AR149" s="905">
        <v>5.7853282384444944E-3</v>
      </c>
      <c r="AS149" s="905">
        <v>6.0214226697808742E-3</v>
      </c>
      <c r="AT149" s="906">
        <v>0</v>
      </c>
      <c r="AU149" s="904">
        <v>0.17304855675214173</v>
      </c>
      <c r="AV149" s="905">
        <v>0.71363986890955855</v>
      </c>
      <c r="AW149" s="905">
        <v>0.31701188455008494</v>
      </c>
      <c r="AX149" s="905">
        <v>4.544672906641606E-3</v>
      </c>
      <c r="AY149" s="905">
        <v>5.7853282384444944E-3</v>
      </c>
      <c r="AZ149" s="905">
        <v>6.0214226697808742E-3</v>
      </c>
      <c r="BA149" s="906">
        <v>0</v>
      </c>
      <c r="BB149" s="904">
        <v>8.0618625092805707E-2</v>
      </c>
      <c r="BC149" s="905">
        <v>0.51029157666765979</v>
      </c>
      <c r="BD149" s="905">
        <v>0.19270204414261449</v>
      </c>
      <c r="BE149" s="905">
        <v>2.5082104728366188E-2</v>
      </c>
      <c r="BF149" s="906">
        <v>0</v>
      </c>
      <c r="BG149" s="904">
        <v>1.6506702138440958E-2</v>
      </c>
      <c r="BH149" s="905">
        <v>0.23989985297280519</v>
      </c>
      <c r="BI149" s="905">
        <v>0.1041296298811543</v>
      </c>
      <c r="BJ149" s="905">
        <v>2.1572368580565642E-2</v>
      </c>
      <c r="BK149" s="905">
        <v>0</v>
      </c>
      <c r="BL149" s="904">
        <v>3.002694539027537E-2</v>
      </c>
      <c r="BM149" s="905">
        <v>0.30047192544594292</v>
      </c>
      <c r="BN149" s="905">
        <v>0.19062774872665539</v>
      </c>
      <c r="BO149" s="905">
        <v>1.5013487047018435E-2</v>
      </c>
      <c r="BP149" s="906">
        <v>0</v>
      </c>
      <c r="BQ149" s="904">
        <v>3.002694539027537E-2</v>
      </c>
      <c r="BR149" s="905">
        <v>0.30047192544594292</v>
      </c>
      <c r="BS149" s="905">
        <v>0.19062774872665539</v>
      </c>
      <c r="BT149" s="905">
        <v>1.5076555300707192E-2</v>
      </c>
      <c r="BU149" s="905">
        <v>0</v>
      </c>
      <c r="BV149" s="904">
        <v>4.1096503419532977E-2</v>
      </c>
      <c r="BW149" s="905">
        <v>0.64370606322505497</v>
      </c>
      <c r="BX149" s="905">
        <v>0.40717183786175276</v>
      </c>
      <c r="BY149" s="905">
        <v>1.0532576233369111E-2</v>
      </c>
      <c r="BZ149" s="906">
        <v>0</v>
      </c>
      <c r="CA149" s="904">
        <v>2.2501406477906938E-2</v>
      </c>
      <c r="CB149" s="905">
        <v>0.30937101253761301</v>
      </c>
      <c r="CC149" s="905">
        <v>0.13856293378607826</v>
      </c>
      <c r="CD149" s="905">
        <v>2.9382027126898268E-2</v>
      </c>
      <c r="CE149" s="905">
        <v>0</v>
      </c>
      <c r="CF149" s="905">
        <v>1.1148747096874025E-2</v>
      </c>
      <c r="CG149" s="906">
        <v>0</v>
      </c>
      <c r="CH149" s="904">
        <v>1.3833931489846563E-2</v>
      </c>
      <c r="CI149" s="905">
        <v>0.26349369297704617</v>
      </c>
      <c r="CJ149" s="905">
        <v>0.15225328353140935</v>
      </c>
      <c r="CK149" s="905">
        <v>3.9772939615954889E-4</v>
      </c>
      <c r="CL149" s="906">
        <v>0</v>
      </c>
      <c r="CM149" s="904">
        <v>6.4908888607835669E-2</v>
      </c>
      <c r="CN149" s="905">
        <v>0.59647875443877385</v>
      </c>
      <c r="CO149" s="905">
        <v>0.27406916707991075</v>
      </c>
      <c r="CP149" s="905">
        <v>1.6941448269255144E-2</v>
      </c>
      <c r="CQ149" s="905">
        <v>6.0214226697808742E-3</v>
      </c>
      <c r="CR149" s="906">
        <v>0</v>
      </c>
      <c r="CS149" s="904">
        <v>6.365831412054658E-2</v>
      </c>
      <c r="CT149" s="905">
        <v>0.57134291849912788</v>
      </c>
      <c r="CU149" s="905">
        <v>0.2506463808683112</v>
      </c>
      <c r="CV149" s="905">
        <v>1.6941448269255144E-2</v>
      </c>
      <c r="CW149" s="905">
        <v>6.421900121321697E-3</v>
      </c>
      <c r="CX149" s="906">
        <v>0</v>
      </c>
      <c r="CY149" s="904">
        <v>6.2317536733031108E-2</v>
      </c>
      <c r="CZ149" s="905">
        <v>0.55075056830942271</v>
      </c>
      <c r="DA149" s="905">
        <v>0.24771743169142479</v>
      </c>
      <c r="DB149" s="905">
        <v>1.6941448269255144E-2</v>
      </c>
      <c r="DC149" s="905">
        <v>6.8644747118825388E-3</v>
      </c>
      <c r="DD149" s="906">
        <v>0</v>
      </c>
      <c r="DE149" s="904">
        <v>3.0886707699468899E-2</v>
      </c>
      <c r="DF149" s="905">
        <v>0.30834787480964915</v>
      </c>
      <c r="DG149" s="905">
        <v>0.19801654380238543</v>
      </c>
      <c r="DH149" s="905">
        <v>2.9995157170634709E-2</v>
      </c>
      <c r="DI149" s="906">
        <v>0</v>
      </c>
    </row>
    <row r="150" spans="1:113" x14ac:dyDescent="0.45">
      <c r="A150" s="768" t="s">
        <v>1521</v>
      </c>
      <c r="B150" s="904">
        <v>1.3535280400056507E-2</v>
      </c>
      <c r="C150" s="905">
        <v>5.7603958315442336E-2</v>
      </c>
      <c r="D150" s="905">
        <v>0.12827677458944539</v>
      </c>
      <c r="E150" s="906">
        <v>0</v>
      </c>
      <c r="F150" s="904">
        <v>6.2366799265887304E-3</v>
      </c>
      <c r="G150" s="905">
        <v>0</v>
      </c>
      <c r="H150" s="905">
        <v>-1.5483008957659378E-2</v>
      </c>
      <c r="I150" s="905">
        <v>0</v>
      </c>
      <c r="J150" s="905">
        <v>0</v>
      </c>
      <c r="K150" s="905">
        <v>5.1811400251416909E-2</v>
      </c>
      <c r="L150" s="906">
        <v>0</v>
      </c>
      <c r="M150" s="904">
        <v>1.7044791813199782E-2</v>
      </c>
      <c r="N150" s="905">
        <v>1.2786427354395582E-3</v>
      </c>
      <c r="O150" s="905">
        <v>-8.7913899800609336E-3</v>
      </c>
      <c r="P150" s="905">
        <v>5.4236140233691118E-4</v>
      </c>
      <c r="Q150" s="905">
        <v>0</v>
      </c>
      <c r="R150" s="905">
        <v>3.665254235041962E-2</v>
      </c>
      <c r="S150" s="906">
        <v>0</v>
      </c>
      <c r="T150" s="904">
        <v>1.5144958304920334E-2</v>
      </c>
      <c r="U150" s="905">
        <v>0</v>
      </c>
      <c r="V150" s="905">
        <v>-5.3540424315458223E-3</v>
      </c>
      <c r="W150" s="905">
        <v>4.4326000571250907E-5</v>
      </c>
      <c r="X150" s="905">
        <v>0</v>
      </c>
      <c r="Y150" s="905">
        <v>5.1811400251416909E-2</v>
      </c>
      <c r="Z150" s="906">
        <v>0</v>
      </c>
      <c r="AA150" s="904">
        <v>2.4923190332580215E-2</v>
      </c>
      <c r="AB150" s="905">
        <v>9.5820883545704295E-4</v>
      </c>
      <c r="AC150" s="905">
        <v>-1.3338402987172775E-3</v>
      </c>
      <c r="AD150" s="905">
        <v>2.5230374888092085E-3</v>
      </c>
      <c r="AE150" s="905">
        <v>0</v>
      </c>
      <c r="AF150" s="905">
        <v>3.665254235041962E-2</v>
      </c>
      <c r="AG150" s="906">
        <v>0</v>
      </c>
      <c r="AH150" s="904">
        <v>2.6464173720290255E-3</v>
      </c>
      <c r="AI150" s="905">
        <v>2.6757172191244835E-2</v>
      </c>
      <c r="AJ150" s="906">
        <v>0</v>
      </c>
      <c r="AK150" s="904">
        <v>2.8355322185837023E-3</v>
      </c>
      <c r="AL150" s="905">
        <v>1.7013329958533746E-2</v>
      </c>
      <c r="AM150" s="906">
        <v>0</v>
      </c>
      <c r="AN150" s="904">
        <v>8.2013790027247443E-2</v>
      </c>
      <c r="AO150" s="905">
        <v>0.52696526187309012</v>
      </c>
      <c r="AP150" s="905">
        <v>0.12217599999999999</v>
      </c>
      <c r="AQ150" s="905">
        <v>9.901098550141851E-3</v>
      </c>
      <c r="AR150" s="905">
        <v>3.000442295133075E-3</v>
      </c>
      <c r="AS150" s="905">
        <v>3.1228878484760485E-3</v>
      </c>
      <c r="AT150" s="906">
        <v>0</v>
      </c>
      <c r="AU150" s="904">
        <v>0.14201687029848298</v>
      </c>
      <c r="AV150" s="905">
        <v>0.66546158492967089</v>
      </c>
      <c r="AW150" s="905">
        <v>0.15850594227504247</v>
      </c>
      <c r="AX150" s="905">
        <v>3.4216588822042872E-3</v>
      </c>
      <c r="AY150" s="905">
        <v>3.000442295133075E-3</v>
      </c>
      <c r="AZ150" s="905">
        <v>3.1228878484760485E-3</v>
      </c>
      <c r="BA150" s="906">
        <v>0</v>
      </c>
      <c r="BB150" s="904">
        <v>6.503737265573821E-2</v>
      </c>
      <c r="BC150" s="905">
        <v>0.46954926280403492</v>
      </c>
      <c r="BD150" s="905">
        <v>9.6351022071307246E-2</v>
      </c>
      <c r="BE150" s="905">
        <v>1.929510118762489E-2</v>
      </c>
      <c r="BF150" s="906">
        <v>0</v>
      </c>
      <c r="BG150" s="904">
        <v>1.3224240780741152E-2</v>
      </c>
      <c r="BH150" s="905">
        <v>0.22273219243236275</v>
      </c>
      <c r="BI150" s="905">
        <v>5.2064814940577152E-2</v>
      </c>
      <c r="BJ150" s="905">
        <v>1.9481426314035852E-2</v>
      </c>
      <c r="BK150" s="905">
        <v>0</v>
      </c>
      <c r="BL150" s="904">
        <v>2.4658060271467861E-2</v>
      </c>
      <c r="BM150" s="905">
        <v>0.28163087052347124</v>
      </c>
      <c r="BN150" s="905">
        <v>9.5313874363327694E-2</v>
      </c>
      <c r="BO150" s="905">
        <v>1.1287996126633826E-2</v>
      </c>
      <c r="BP150" s="906">
        <v>0</v>
      </c>
      <c r="BQ150" s="904">
        <v>2.4658060271467861E-2</v>
      </c>
      <c r="BR150" s="905">
        <v>0.28163087052347124</v>
      </c>
      <c r="BS150" s="905">
        <v>9.5313874363327694E-2</v>
      </c>
      <c r="BT150" s="905">
        <v>1.1335414437990991E-2</v>
      </c>
      <c r="BU150" s="905">
        <v>0</v>
      </c>
      <c r="BV150" s="904">
        <v>3.2478828239109025E-2</v>
      </c>
      <c r="BW150" s="905">
        <v>0.60952883827792592</v>
      </c>
      <c r="BX150" s="905">
        <v>0.20358591893087638</v>
      </c>
      <c r="BY150" s="905">
        <v>6.5480409226180685E-3</v>
      </c>
      <c r="BZ150" s="906">
        <v>0</v>
      </c>
      <c r="CA150" s="904">
        <v>1.8163333410374599E-2</v>
      </c>
      <c r="CB150" s="905">
        <v>0.2946294470484338</v>
      </c>
      <c r="CC150" s="905">
        <v>6.9281466893039129E-2</v>
      </c>
      <c r="CD150" s="905">
        <v>2.1836924439437678E-2</v>
      </c>
      <c r="CE150" s="905">
        <v>0</v>
      </c>
      <c r="CF150" s="905">
        <v>8.6777555787330898E-3</v>
      </c>
      <c r="CG150" s="906">
        <v>0</v>
      </c>
      <c r="CH150" s="904">
        <v>1.0811438739074907E-2</v>
      </c>
      <c r="CI150" s="905">
        <v>0.24907439025778619</v>
      </c>
      <c r="CJ150" s="905">
        <v>7.6126641765704675E-2</v>
      </c>
      <c r="CK150" s="905">
        <v>3.0957725171803379E-4</v>
      </c>
      <c r="CL150" s="906">
        <v>0</v>
      </c>
      <c r="CM150" s="904">
        <v>5.3450076342843093E-2</v>
      </c>
      <c r="CN150" s="905">
        <v>0.5576916636809881</v>
      </c>
      <c r="CO150" s="905">
        <v>0.13703458353995537</v>
      </c>
      <c r="CP150" s="905">
        <v>1.2901540845274926E-2</v>
      </c>
      <c r="CQ150" s="905">
        <v>3.1228878484760485E-3</v>
      </c>
      <c r="CR150" s="906">
        <v>0</v>
      </c>
      <c r="CS150" s="904">
        <v>5.2569552806792479E-2</v>
      </c>
      <c r="CT150" s="905">
        <v>0.53400571683577114</v>
      </c>
      <c r="CU150" s="905">
        <v>0.1253231904341556</v>
      </c>
      <c r="CV150" s="905">
        <v>1.2901540845274926E-2</v>
      </c>
      <c r="CW150" s="905">
        <v>3.3305872968608934E-3</v>
      </c>
      <c r="CX150" s="906">
        <v>0</v>
      </c>
      <c r="CY150" s="904">
        <v>5.1598962010946096E-2</v>
      </c>
      <c r="CZ150" s="905">
        <v>0.51480760304890627</v>
      </c>
      <c r="DA150" s="905">
        <v>0.1238587158457124</v>
      </c>
      <c r="DB150" s="905">
        <v>1.2901540845274926E-2</v>
      </c>
      <c r="DC150" s="905">
        <v>3.5601195663431508E-3</v>
      </c>
      <c r="DD150" s="906">
        <v>0</v>
      </c>
      <c r="DE150" s="904">
        <v>2.4932022380248206E-2</v>
      </c>
      <c r="DF150" s="905">
        <v>0.29371664432254718</v>
      </c>
      <c r="DG150" s="905">
        <v>9.9008271901192713E-2</v>
      </c>
      <c r="DH150" s="905">
        <v>2.2292606900651008E-2</v>
      </c>
      <c r="DI150" s="906">
        <v>0</v>
      </c>
    </row>
    <row r="151" spans="1:113" x14ac:dyDescent="0.45">
      <c r="A151" s="768" t="s">
        <v>1520</v>
      </c>
      <c r="B151" s="904">
        <v>0.3776557439157906</v>
      </c>
      <c r="C151" s="905">
        <v>0.90546622210331851</v>
      </c>
      <c r="D151" s="905">
        <v>1.1733511801186913</v>
      </c>
      <c r="E151" s="906">
        <v>0</v>
      </c>
      <c r="F151" s="904">
        <v>3.7028677196410002E-2</v>
      </c>
      <c r="G151" s="905">
        <v>0</v>
      </c>
      <c r="H151" s="905">
        <v>-0.79000217920676274</v>
      </c>
      <c r="I151" s="905">
        <v>0</v>
      </c>
      <c r="J151" s="905">
        <v>0</v>
      </c>
      <c r="K151" s="905">
        <v>2.2881125721411841</v>
      </c>
      <c r="L151" s="906">
        <v>0</v>
      </c>
      <c r="M151" s="904">
        <v>0.32160361643610696</v>
      </c>
      <c r="N151" s="905">
        <v>7.0700915266980169E-4</v>
      </c>
      <c r="O151" s="905">
        <v>-0.44857025281696733</v>
      </c>
      <c r="P151" s="905">
        <v>4.9379825323112251E-3</v>
      </c>
      <c r="Q151" s="905">
        <v>0</v>
      </c>
      <c r="R151" s="905">
        <v>1.6703916343675977</v>
      </c>
      <c r="S151" s="906">
        <v>0</v>
      </c>
      <c r="T151" s="904">
        <v>3.0567381479260284E-3</v>
      </c>
      <c r="U151" s="905">
        <v>0</v>
      </c>
      <c r="V151" s="905">
        <v>-0.27318366863013777</v>
      </c>
      <c r="W151" s="905">
        <v>3.2174160732451682E-6</v>
      </c>
      <c r="X151" s="905">
        <v>0</v>
      </c>
      <c r="Y151" s="905">
        <v>2.2881125721411841</v>
      </c>
      <c r="Z151" s="905">
        <v>0</v>
      </c>
      <c r="AA151" s="904">
        <v>0.39726401896847452</v>
      </c>
      <c r="AB151" s="905">
        <v>3.3043763505089647E-4</v>
      </c>
      <c r="AC151" s="905">
        <v>-6.805762016815016E-2</v>
      </c>
      <c r="AD151" s="905">
        <v>4.8780070016628203E-4</v>
      </c>
      <c r="AE151" s="905">
        <v>0</v>
      </c>
      <c r="AF151" s="905">
        <v>1.6703916343675977</v>
      </c>
      <c r="AG151" s="906">
        <v>0</v>
      </c>
      <c r="AH151" s="904">
        <v>1.0128928097624387E-2</v>
      </c>
      <c r="AI151" s="905">
        <v>0.77216339594203787</v>
      </c>
      <c r="AJ151" s="906">
        <v>0</v>
      </c>
      <c r="AK151" s="904">
        <v>1.7689037569576824E-2</v>
      </c>
      <c r="AL151" s="905">
        <v>0.31882029209662582</v>
      </c>
      <c r="AM151" s="906">
        <v>0</v>
      </c>
      <c r="AN151" s="904">
        <v>1.0157916658714254</v>
      </c>
      <c r="AO151" s="905">
        <v>0.73388077628762505</v>
      </c>
      <c r="AP151" s="905">
        <v>3.3690031999999999</v>
      </c>
      <c r="AQ151" s="905">
        <v>0.11799236471344146</v>
      </c>
      <c r="AR151" s="905">
        <v>5.2053451566412426E-3</v>
      </c>
      <c r="AS151" s="905">
        <v>5.4177709610234706E-3</v>
      </c>
      <c r="AT151" s="906">
        <v>0</v>
      </c>
      <c r="AU151" s="904">
        <v>1.5264987743881242</v>
      </c>
      <c r="AV151" s="905">
        <v>0.93153421248555379</v>
      </c>
      <c r="AW151" s="905">
        <v>4.3708013582342966</v>
      </c>
      <c r="AX151" s="905">
        <v>0.14040972439529451</v>
      </c>
      <c r="AY151" s="905">
        <v>5.2053451566412426E-3</v>
      </c>
      <c r="AZ151" s="905">
        <v>5.4177709610234706E-3</v>
      </c>
      <c r="BA151" s="906">
        <v>0</v>
      </c>
      <c r="BB151" s="904">
        <v>0.80190099687517513</v>
      </c>
      <c r="BC151" s="905">
        <v>0.63775793957922688</v>
      </c>
      <c r="BD151" s="905">
        <v>2.6568794336162971</v>
      </c>
      <c r="BE151" s="909">
        <v>0.26716947793234619</v>
      </c>
      <c r="BF151" s="906">
        <v>0</v>
      </c>
      <c r="BG151" s="904">
        <v>0.21176593174101777</v>
      </c>
      <c r="BH151" s="905">
        <v>0.30877074795464332</v>
      </c>
      <c r="BI151" s="905">
        <v>1.4356872719864149</v>
      </c>
      <c r="BJ151" s="909">
        <v>0.19011745075712849</v>
      </c>
      <c r="BK151" s="905">
        <v>0</v>
      </c>
      <c r="BL151" s="904">
        <v>0.43896579553493675</v>
      </c>
      <c r="BM151" s="905">
        <v>0.3987182119098287</v>
      </c>
      <c r="BN151" s="905">
        <v>2.6282800855687611</v>
      </c>
      <c r="BO151" s="909">
        <v>7.9406921634125355E-2</v>
      </c>
      <c r="BP151" s="906">
        <v>0</v>
      </c>
      <c r="BQ151" s="904">
        <v>0.43896579553493675</v>
      </c>
      <c r="BR151" s="905">
        <v>0.3987182119098287</v>
      </c>
      <c r="BS151" s="905">
        <v>2.6282800855687611</v>
      </c>
      <c r="BT151" s="909">
        <v>7.9740492100638605E-2</v>
      </c>
      <c r="BU151" s="905">
        <v>0</v>
      </c>
      <c r="BV151" s="904">
        <v>0.80128465837345886</v>
      </c>
      <c r="BW151" s="905">
        <v>0.88204370014247602</v>
      </c>
      <c r="BX151" s="905">
        <v>5.6138817145189162</v>
      </c>
      <c r="BY151" s="909">
        <v>0.14847063415018866</v>
      </c>
      <c r="BZ151" s="906">
        <v>0</v>
      </c>
      <c r="CA151" s="904">
        <v>0.35461139984853079</v>
      </c>
      <c r="CB151" s="905">
        <v>0.43150442261679861</v>
      </c>
      <c r="CC151" s="905">
        <v>1.9104364495755539</v>
      </c>
      <c r="CD151" s="909">
        <v>0.21346553167439297</v>
      </c>
      <c r="CE151" s="905">
        <v>0</v>
      </c>
      <c r="CF151" s="909">
        <v>8.7155692656349593E-2</v>
      </c>
      <c r="CG151" s="906">
        <v>0</v>
      </c>
      <c r="CH151" s="904">
        <v>0.27112191161648158</v>
      </c>
      <c r="CI151" s="905">
        <v>0.35912114301026016</v>
      </c>
      <c r="CJ151" s="905">
        <v>2.0991921466893064</v>
      </c>
      <c r="CK151" s="909">
        <v>3.1092624768389115E-3</v>
      </c>
      <c r="CL151" s="906">
        <v>0</v>
      </c>
      <c r="CM151" s="904">
        <v>0.63318480118672038</v>
      </c>
      <c r="CN151" s="905">
        <v>0.78527349470887819</v>
      </c>
      <c r="CO151" s="905">
        <v>3.7787286411142693</v>
      </c>
      <c r="CP151" s="905">
        <v>0.1231977098700827</v>
      </c>
      <c r="CQ151" s="905">
        <v>5.4177709610234706E-3</v>
      </c>
      <c r="CR151" s="906">
        <v>0</v>
      </c>
      <c r="CS151" s="904">
        <v>0.59376124618724413</v>
      </c>
      <c r="CT151" s="905">
        <v>0.75135028189625819</v>
      </c>
      <c r="CU151" s="905">
        <v>3.4557869762218405</v>
      </c>
      <c r="CV151" s="905">
        <v>0.1231977098700827</v>
      </c>
      <c r="CW151" s="905">
        <v>5.7781002762850265E-3</v>
      </c>
      <c r="CX151" s="906">
        <v>0</v>
      </c>
      <c r="CY151" s="904">
        <v>0.57289705187653583</v>
      </c>
      <c r="CZ151" s="905">
        <v>0.72448867505838677</v>
      </c>
      <c r="DA151" s="905">
        <v>3.41540408944552</v>
      </c>
      <c r="DB151" s="905">
        <v>0.1231977098700827</v>
      </c>
      <c r="DC151" s="905">
        <v>6.1763064638129051E-3</v>
      </c>
      <c r="DD151" s="906">
        <v>0</v>
      </c>
      <c r="DE151" s="904">
        <v>0.48675973498701391</v>
      </c>
      <c r="DF151" s="905">
        <v>0.43035473722353212</v>
      </c>
      <c r="DG151" s="905">
        <v>2.7301530976753892</v>
      </c>
      <c r="DH151" s="909">
        <v>0.21792002796242904</v>
      </c>
      <c r="DI151" s="906">
        <v>0</v>
      </c>
    </row>
    <row r="152" spans="1:113" x14ac:dyDescent="0.45">
      <c r="A152" s="768" t="s">
        <v>1519</v>
      </c>
      <c r="B152" s="904">
        <v>2.3889182383350963E-3</v>
      </c>
      <c r="C152" s="905">
        <v>7.4422509405537877E-3</v>
      </c>
      <c r="D152" s="905">
        <v>1.8901135625243669E-2</v>
      </c>
      <c r="E152" s="906">
        <v>0</v>
      </c>
      <c r="F152" s="904">
        <v>1.0579485070834789E-3</v>
      </c>
      <c r="G152" s="905">
        <v>0</v>
      </c>
      <c r="H152" s="905">
        <v>-7.6048750506690758E-4</v>
      </c>
      <c r="I152" s="905">
        <v>0</v>
      </c>
      <c r="J152" s="905">
        <v>0</v>
      </c>
      <c r="K152" s="905">
        <v>3.2201146874221891E-3</v>
      </c>
      <c r="L152" s="906">
        <v>0</v>
      </c>
      <c r="M152" s="904">
        <v>2.6775417723944694E-3</v>
      </c>
      <c r="N152" s="905">
        <v>5.1897151668715105E-5</v>
      </c>
      <c r="O152" s="905">
        <v>-4.3181155874093475E-4</v>
      </c>
      <c r="P152" s="905">
        <v>4.0287647726127443E-4</v>
      </c>
      <c r="Q152" s="905">
        <v>0</v>
      </c>
      <c r="R152" s="905">
        <v>2.1836239874646894E-3</v>
      </c>
      <c r="S152" s="906">
        <v>0</v>
      </c>
      <c r="T152" s="904">
        <v>2.53631174799791E-3</v>
      </c>
      <c r="U152" s="905">
        <v>0</v>
      </c>
      <c r="V152" s="905">
        <v>-2.6297746012569461E-4</v>
      </c>
      <c r="W152" s="905">
        <v>4.2109700542688366E-5</v>
      </c>
      <c r="X152" s="905">
        <v>0</v>
      </c>
      <c r="Y152" s="905">
        <v>3.2201146874221891E-3</v>
      </c>
      <c r="Z152" s="905">
        <v>0</v>
      </c>
      <c r="AA152" s="904">
        <v>3.9405113056441539E-3</v>
      </c>
      <c r="AB152" s="905">
        <v>1.8395213193487647E-5</v>
      </c>
      <c r="AC152" s="905">
        <v>-6.551497087569643E-5</v>
      </c>
      <c r="AD152" s="905">
        <v>2.2884948242204101E-3</v>
      </c>
      <c r="AE152" s="905">
        <v>0</v>
      </c>
      <c r="AF152" s="905">
        <v>2.1836239874646894E-3</v>
      </c>
      <c r="AG152" s="906">
        <v>0</v>
      </c>
      <c r="AH152" s="904">
        <v>8.8592014251637121E-4</v>
      </c>
      <c r="AI152" s="905">
        <v>1.9538108641529955E-3</v>
      </c>
      <c r="AJ152" s="906">
        <v>0</v>
      </c>
      <c r="AK152" s="904">
        <v>7.9577388163943068E-4</v>
      </c>
      <c r="AL152" s="905">
        <v>1.514435054069967E-3</v>
      </c>
      <c r="AM152" s="906">
        <v>0</v>
      </c>
      <c r="AN152" s="904">
        <v>8.9847498006009156E-3</v>
      </c>
      <c r="AO152" s="905">
        <v>7.5488793626655823E-2</v>
      </c>
      <c r="AP152" s="905">
        <v>0</v>
      </c>
      <c r="AQ152" s="905">
        <v>1.2924229972901878E-3</v>
      </c>
      <c r="AR152" s="905">
        <v>2.5969637732853399E-4</v>
      </c>
      <c r="AS152" s="905">
        <v>2.7029437038933625E-4</v>
      </c>
      <c r="AT152" s="906">
        <v>0</v>
      </c>
      <c r="AU152" s="904">
        <v>1.6974690685070813E-2</v>
      </c>
      <c r="AV152" s="905">
        <v>0.10044185127219903</v>
      </c>
      <c r="AW152" s="905">
        <v>0</v>
      </c>
      <c r="AX152" s="905">
        <v>2.1414960907263772E-4</v>
      </c>
      <c r="AY152" s="905">
        <v>2.5969637732853399E-4</v>
      </c>
      <c r="AZ152" s="905">
        <v>2.7029437038933625E-4</v>
      </c>
      <c r="BA152" s="906">
        <v>0</v>
      </c>
      <c r="BB152" s="904">
        <v>7.0755748121997582E-3</v>
      </c>
      <c r="BC152" s="905">
        <v>4.9960057987527319E-2</v>
      </c>
      <c r="BD152" s="905">
        <v>0</v>
      </c>
      <c r="BE152" s="909">
        <v>1.8643622544701583E-3</v>
      </c>
      <c r="BF152" s="906">
        <v>0</v>
      </c>
      <c r="BG152" s="904">
        <v>1.3501320116422516E-3</v>
      </c>
      <c r="BH152" s="905">
        <v>3.0388291959664426E-2</v>
      </c>
      <c r="BI152" s="905">
        <v>0</v>
      </c>
      <c r="BJ152" s="909">
        <v>2.7546120599761547E-3</v>
      </c>
      <c r="BK152" s="905">
        <v>0</v>
      </c>
      <c r="BL152" s="904">
        <v>2.2583028841322199E-3</v>
      </c>
      <c r="BM152" s="905">
        <v>4.7307139041969704E-2</v>
      </c>
      <c r="BN152" s="905">
        <v>0</v>
      </c>
      <c r="BO152" s="909">
        <v>1.346650583918302E-3</v>
      </c>
      <c r="BP152" s="906">
        <v>0</v>
      </c>
      <c r="BQ152" s="904">
        <v>2.2583028841322199E-3</v>
      </c>
      <c r="BR152" s="905">
        <v>4.7307139041969704E-2</v>
      </c>
      <c r="BS152" s="905">
        <v>0</v>
      </c>
      <c r="BT152" s="909">
        <v>1.3523075575707715E-3</v>
      </c>
      <c r="BU152" s="905">
        <v>0</v>
      </c>
      <c r="BV152" s="904">
        <v>2.9614819806987021E-3</v>
      </c>
      <c r="BW152" s="905">
        <v>0.12284024432377086</v>
      </c>
      <c r="BX152" s="905">
        <v>0</v>
      </c>
      <c r="BY152" s="909">
        <v>4.831382789362436E-4</v>
      </c>
      <c r="BZ152" s="906">
        <v>0</v>
      </c>
      <c r="CA152" s="904">
        <v>1.7068144145955281E-3</v>
      </c>
      <c r="CB152" s="905">
        <v>6.4890076720264867E-2</v>
      </c>
      <c r="CC152" s="905">
        <v>0</v>
      </c>
      <c r="CD152" s="909">
        <v>2.6288929606122411E-3</v>
      </c>
      <c r="CE152" s="905">
        <v>0</v>
      </c>
      <c r="CF152" s="909">
        <v>1.0793805620143157E-3</v>
      </c>
      <c r="CG152" s="906">
        <v>0</v>
      </c>
      <c r="CH152" s="904">
        <v>1.0003767146211527E-3</v>
      </c>
      <c r="CI152" s="905">
        <v>4.8791884710025477E-2</v>
      </c>
      <c r="CJ152" s="905">
        <v>0</v>
      </c>
      <c r="CK152" s="909">
        <v>3.850669276341189E-5</v>
      </c>
      <c r="CL152" s="906">
        <v>0</v>
      </c>
      <c r="CM152" s="904">
        <v>5.2262248795383586E-3</v>
      </c>
      <c r="CN152" s="905">
        <v>8.9099419634980165E-2</v>
      </c>
      <c r="CO152" s="905">
        <v>0</v>
      </c>
      <c r="CP152" s="905">
        <v>1.5521193746187217E-3</v>
      </c>
      <c r="CQ152" s="905">
        <v>2.7029437038933625E-4</v>
      </c>
      <c r="CR152" s="906">
        <v>0</v>
      </c>
      <c r="CS152" s="904">
        <v>5.1449336334450299E-3</v>
      </c>
      <c r="CT152" s="905">
        <v>8.4703324413736E-2</v>
      </c>
      <c r="CU152" s="905">
        <v>0</v>
      </c>
      <c r="CV152" s="905">
        <v>1.5521193746187217E-3</v>
      </c>
      <c r="CW152" s="905">
        <v>2.882713181233992E-4</v>
      </c>
      <c r="CX152" s="906">
        <v>0</v>
      </c>
      <c r="CY152" s="904">
        <v>5.0215136091860124E-3</v>
      </c>
      <c r="CZ152" s="905">
        <v>8.1819050960747874E-2</v>
      </c>
      <c r="DA152" s="905">
        <v>0</v>
      </c>
      <c r="DB152" s="905">
        <v>1.5521193746187217E-3</v>
      </c>
      <c r="DC152" s="905">
        <v>3.0813795543924708E-4</v>
      </c>
      <c r="DD152" s="906">
        <v>0</v>
      </c>
      <c r="DE152" s="904">
        <v>2.3428703433544646E-3</v>
      </c>
      <c r="DF152" s="905">
        <v>6.4889434388612832E-2</v>
      </c>
      <c r="DG152" s="905">
        <v>0</v>
      </c>
      <c r="DH152" s="909">
        <v>2.6837514374953089E-3</v>
      </c>
      <c r="DI152" s="906">
        <v>0</v>
      </c>
    </row>
    <row r="153" spans="1:113" x14ac:dyDescent="0.45">
      <c r="A153" s="916" t="s">
        <v>1518</v>
      </c>
      <c r="B153" s="858">
        <v>2.6265084514755896E-3</v>
      </c>
      <c r="C153" s="859">
        <v>1.9182918659342026E-2</v>
      </c>
      <c r="D153" s="859">
        <v>4.9030401841143732E-2</v>
      </c>
      <c r="E153" s="860">
        <v>0</v>
      </c>
      <c r="F153" s="859">
        <v>3.0522958943836453E-3</v>
      </c>
      <c r="G153" s="859">
        <v>0</v>
      </c>
      <c r="H153" s="859">
        <v>-1.7350868459780047E-3</v>
      </c>
      <c r="I153" s="859">
        <v>0</v>
      </c>
      <c r="J153" s="859">
        <v>0</v>
      </c>
      <c r="K153" s="859">
        <v>7.9863062678036563E-3</v>
      </c>
      <c r="L153" s="859">
        <v>0</v>
      </c>
      <c r="M153" s="858">
        <v>7.1504289875589438E-3</v>
      </c>
      <c r="N153" s="859">
        <v>9.5996631255033753E-5</v>
      </c>
      <c r="O153" s="859">
        <v>-9.8519771925343756E-4</v>
      </c>
      <c r="P153" s="859">
        <v>5.3682641889279006E-5</v>
      </c>
      <c r="Q153" s="859">
        <v>0</v>
      </c>
      <c r="R153" s="859">
        <v>5.6183353816188983E-3</v>
      </c>
      <c r="S153" s="860">
        <v>0</v>
      </c>
      <c r="T153" s="859">
        <v>6.4395941539656812E-3</v>
      </c>
      <c r="U153" s="859">
        <v>0</v>
      </c>
      <c r="V153" s="859">
        <v>-5.9999504109229751E-4</v>
      </c>
      <c r="W153" s="859">
        <v>2.2163000285625455E-6</v>
      </c>
      <c r="X153" s="859">
        <v>0</v>
      </c>
      <c r="Y153" s="859">
        <v>7.9863062678036563E-3</v>
      </c>
      <c r="Z153" s="859">
        <v>0</v>
      </c>
      <c r="AA153" s="858">
        <v>9.9787083074754333E-3</v>
      </c>
      <c r="AB153" s="859">
        <v>3.4026501282101782E-5</v>
      </c>
      <c r="AC153" s="859">
        <v>-1.4947538706905106E-4</v>
      </c>
      <c r="AD153" s="859">
        <v>1.7442706087206455E-4</v>
      </c>
      <c r="AE153" s="859">
        <v>0</v>
      </c>
      <c r="AF153" s="859">
        <v>5.6183353816188983E-3</v>
      </c>
      <c r="AG153" s="860">
        <v>0</v>
      </c>
      <c r="AH153" s="858">
        <v>7.5828487807450722E-4</v>
      </c>
      <c r="AI153" s="859">
        <v>9.8541570753180041E-3</v>
      </c>
      <c r="AJ153" s="860">
        <v>0</v>
      </c>
      <c r="AK153" s="858">
        <v>8.7262000172680832E-4</v>
      </c>
      <c r="AL153" s="859">
        <v>3.4782702100856098E-3</v>
      </c>
      <c r="AM153" s="860">
        <v>0</v>
      </c>
      <c r="AN153" s="858">
        <v>1.3521665997660666E-2</v>
      </c>
      <c r="AO153" s="859">
        <v>9.067405888110279E-2</v>
      </c>
      <c r="AP153" s="859">
        <v>0</v>
      </c>
      <c r="AQ153" s="859">
        <v>3.3033206063279781E-3</v>
      </c>
      <c r="AR153" s="859">
        <v>4.4741416355806513E-4</v>
      </c>
      <c r="AS153" s="859">
        <v>4.656727632715854E-4</v>
      </c>
      <c r="AT153" s="859">
        <v>0</v>
      </c>
      <c r="AU153" s="858">
        <v>2.8569522972102954E-2</v>
      </c>
      <c r="AV153" s="859">
        <v>0.12067205348275636</v>
      </c>
      <c r="AW153" s="859">
        <v>0</v>
      </c>
      <c r="AX153" s="859">
        <v>7.5051949336242952E-4</v>
      </c>
      <c r="AY153" s="859">
        <v>4.4741416355806513E-4</v>
      </c>
      <c r="AZ153" s="859">
        <v>4.656727632715854E-4</v>
      </c>
      <c r="BA153" s="860">
        <v>0</v>
      </c>
      <c r="BB153" s="858">
        <v>1.0859648149432705E-2</v>
      </c>
      <c r="BC153" s="859">
        <v>5.992402638187723E-2</v>
      </c>
      <c r="BD153" s="859">
        <v>0</v>
      </c>
      <c r="BE153" s="859">
        <v>7.876840225820872E-3</v>
      </c>
      <c r="BF153" s="859">
        <v>0</v>
      </c>
      <c r="BG153" s="858">
        <v>2.1756270980770173E-3</v>
      </c>
      <c r="BH153" s="859">
        <v>3.64936331238764E-2</v>
      </c>
      <c r="BI153" s="859">
        <v>0</v>
      </c>
      <c r="BJ153" s="859">
        <v>7.1654598386908554E-3</v>
      </c>
      <c r="BK153" s="860">
        <v>0</v>
      </c>
      <c r="BL153" s="858">
        <v>4.2364926719030815E-3</v>
      </c>
      <c r="BM153" s="859">
        <v>5.6857993922121458E-2</v>
      </c>
      <c r="BN153" s="859">
        <v>0</v>
      </c>
      <c r="BO153" s="859">
        <v>3.5140386626281925E-3</v>
      </c>
      <c r="BP153" s="859">
        <v>0</v>
      </c>
      <c r="BQ153" s="858">
        <v>4.2364926719030815E-3</v>
      </c>
      <c r="BR153" s="859">
        <v>5.6857993922121458E-2</v>
      </c>
      <c r="BS153" s="859">
        <v>0</v>
      </c>
      <c r="BT153" s="859">
        <v>3.5288003419870692E-3</v>
      </c>
      <c r="BU153" s="860">
        <v>0</v>
      </c>
      <c r="BV153" s="858">
        <v>5.5124153786543185E-3</v>
      </c>
      <c r="BW153" s="859">
        <v>0.14772715586381432</v>
      </c>
      <c r="BX153" s="859">
        <v>0</v>
      </c>
      <c r="BY153" s="859">
        <v>1.2214255726424302E-3</v>
      </c>
      <c r="BZ153" s="860">
        <v>0</v>
      </c>
      <c r="CA153" s="858">
        <v>3.0902976109903873E-3</v>
      </c>
      <c r="CB153" s="859">
        <v>7.8055994943257809E-2</v>
      </c>
      <c r="CC153" s="859">
        <v>0</v>
      </c>
      <c r="CD153" s="859">
        <v>6.9881469976653451E-3</v>
      </c>
      <c r="CE153" s="859">
        <v>0</v>
      </c>
      <c r="CF153" s="859">
        <v>1.5170720717367575E-3</v>
      </c>
      <c r="CG153" s="859">
        <v>0</v>
      </c>
      <c r="CH153" s="858">
        <v>1.7994280032425556E-3</v>
      </c>
      <c r="CI153" s="859">
        <v>5.8671952744436796E-2</v>
      </c>
      <c r="CJ153" s="859">
        <v>0</v>
      </c>
      <c r="CK153" s="859">
        <v>5.4121252709334313E-5</v>
      </c>
      <c r="CL153" s="860">
        <v>0</v>
      </c>
      <c r="CM153" s="858">
        <v>8.3331259627407433E-3</v>
      </c>
      <c r="CN153" s="859">
        <v>0.10706833343320424</v>
      </c>
      <c r="CO153" s="859">
        <v>0</v>
      </c>
      <c r="CP153" s="859">
        <v>3.7507347698860433E-3</v>
      </c>
      <c r="CQ153" s="859">
        <v>4.656727632715854E-4</v>
      </c>
      <c r="CR153" s="860">
        <v>0</v>
      </c>
      <c r="CS153" s="858">
        <v>8.1752990292297892E-3</v>
      </c>
      <c r="CT153" s="859">
        <v>0.10178294061215953</v>
      </c>
      <c r="CU153" s="859">
        <v>0</v>
      </c>
      <c r="CV153" s="859">
        <v>3.7507347698860433E-3</v>
      </c>
      <c r="CW153" s="859">
        <v>4.9664408877293309E-4</v>
      </c>
      <c r="CX153" s="859">
        <v>0</v>
      </c>
      <c r="CY153" s="858">
        <v>8.0178546499519651E-3</v>
      </c>
      <c r="CZ153" s="859">
        <v>9.8317802845439534E-2</v>
      </c>
      <c r="DA153" s="859">
        <v>0</v>
      </c>
      <c r="DB153" s="859">
        <v>3.7507347698860433E-3</v>
      </c>
      <c r="DC153" s="859">
        <v>5.3087103875513022E-4</v>
      </c>
      <c r="DD153" s="860">
        <v>0</v>
      </c>
      <c r="DE153" s="858">
        <v>4.2419179044982849E-3</v>
      </c>
      <c r="DF153" s="859">
        <v>7.805586976628559E-2</v>
      </c>
      <c r="DG153" s="859">
        <v>0</v>
      </c>
      <c r="DH153" s="859">
        <v>7.1339722960972836E-3</v>
      </c>
      <c r="DI153" s="860">
        <v>0</v>
      </c>
    </row>
    <row r="154" spans="1:113" x14ac:dyDescent="0.45">
      <c r="A154" s="905"/>
      <c r="B154" s="905"/>
      <c r="C154" s="905"/>
      <c r="D154" s="905"/>
      <c r="E154" s="905"/>
      <c r="F154" s="905"/>
      <c r="G154" s="905"/>
      <c r="H154" s="905"/>
      <c r="I154" s="905"/>
      <c r="J154" s="905"/>
      <c r="K154" s="905"/>
      <c r="L154" s="905"/>
      <c r="M154" s="905"/>
      <c r="N154" s="905"/>
      <c r="O154" s="905"/>
      <c r="P154" s="905"/>
      <c r="Q154" s="905"/>
      <c r="R154" s="905"/>
      <c r="S154" s="905"/>
      <c r="T154" s="905"/>
      <c r="U154" s="905"/>
      <c r="V154" s="905"/>
      <c r="W154" s="905"/>
      <c r="X154" s="905"/>
      <c r="Y154" s="905"/>
      <c r="Z154" s="905"/>
      <c r="AA154" s="905"/>
      <c r="AB154" s="905"/>
      <c r="AC154" s="905"/>
      <c r="AD154" s="905"/>
      <c r="AE154" s="905"/>
      <c r="AF154" s="905"/>
      <c r="AG154" s="905"/>
      <c r="AH154" s="905"/>
      <c r="AI154" s="905"/>
      <c r="AJ154" s="905"/>
      <c r="AK154" s="905"/>
      <c r="AL154" s="905"/>
      <c r="AM154" s="905"/>
      <c r="AN154" s="905"/>
      <c r="AO154" s="905"/>
      <c r="AP154" s="905"/>
      <c r="AQ154" s="905"/>
      <c r="AR154" s="905"/>
      <c r="AS154" s="905"/>
      <c r="AT154" s="909"/>
      <c r="AU154" s="905"/>
      <c r="AV154" s="905"/>
      <c r="AW154" s="905"/>
      <c r="AX154" s="905"/>
      <c r="AY154" s="909"/>
      <c r="AZ154" s="905"/>
      <c r="BA154" s="905"/>
      <c r="BB154" s="905"/>
      <c r="BC154" s="905"/>
      <c r="BD154" s="909"/>
      <c r="BE154" s="905"/>
      <c r="BF154" s="905"/>
      <c r="BG154" s="905"/>
      <c r="BH154" s="905"/>
      <c r="BI154" s="909"/>
      <c r="BJ154" s="905"/>
      <c r="BK154" s="905"/>
      <c r="BL154" s="905"/>
      <c r="BM154" s="905"/>
      <c r="BN154" s="909"/>
      <c r="BO154" s="905"/>
      <c r="BP154" s="909"/>
      <c r="BQ154" s="905"/>
      <c r="BR154" s="905"/>
      <c r="BS154" s="905"/>
      <c r="BT154" s="905"/>
      <c r="BU154" s="909"/>
    </row>
    <row r="155" spans="1:113" x14ac:dyDescent="0.45">
      <c r="A155" s="726" t="s">
        <v>2527</v>
      </c>
      <c r="J155" s="905"/>
    </row>
    <row r="156" spans="1:113" x14ac:dyDescent="0.45">
      <c r="A156" s="725" t="s">
        <v>2528</v>
      </c>
    </row>
    <row r="157" spans="1:113" ht="52.9" x14ac:dyDescent="0.45">
      <c r="A157" s="734"/>
      <c r="B157" s="917" t="s">
        <v>2529</v>
      </c>
      <c r="C157" s="917" t="s">
        <v>2530</v>
      </c>
      <c r="D157" s="917" t="s">
        <v>2531</v>
      </c>
      <c r="E157" s="917" t="s">
        <v>2532</v>
      </c>
      <c r="F157" s="917" t="s">
        <v>2533</v>
      </c>
      <c r="G157" s="917" t="s">
        <v>2534</v>
      </c>
      <c r="H157" s="917" t="s">
        <v>2535</v>
      </c>
      <c r="I157" s="917" t="s">
        <v>2536</v>
      </c>
      <c r="J157" s="917" t="s">
        <v>2537</v>
      </c>
      <c r="K157" s="918" t="s">
        <v>2538</v>
      </c>
    </row>
    <row r="158" spans="1:113" x14ac:dyDescent="0.45">
      <c r="A158" s="919" t="s">
        <v>2539</v>
      </c>
      <c r="B158" s="820">
        <v>0.182</v>
      </c>
      <c r="C158" s="820">
        <v>0</v>
      </c>
      <c r="D158" s="820">
        <v>0.19745829248989466</v>
      </c>
      <c r="E158" s="820">
        <v>0.19745829248989466</v>
      </c>
      <c r="F158" s="820">
        <v>0</v>
      </c>
      <c r="G158" s="820">
        <v>0.1979090346099871</v>
      </c>
      <c r="H158" s="820">
        <v>0.1979090346099871</v>
      </c>
      <c r="I158" s="820">
        <v>0</v>
      </c>
      <c r="J158" s="820">
        <v>0.1658414721407383</v>
      </c>
      <c r="K158" s="865">
        <v>0.1658414721407383</v>
      </c>
    </row>
    <row r="159" spans="1:113" x14ac:dyDescent="0.45">
      <c r="A159" s="919" t="s">
        <v>2540</v>
      </c>
      <c r="B159" s="820">
        <v>0.157</v>
      </c>
      <c r="C159" s="820">
        <v>0</v>
      </c>
      <c r="D159" s="820">
        <v>0.22890069575261673</v>
      </c>
      <c r="E159" s="820">
        <v>0.22890069575261673</v>
      </c>
      <c r="F159" s="820">
        <v>0</v>
      </c>
      <c r="G159" s="820">
        <v>0.22946560064266228</v>
      </c>
      <c r="H159" s="820">
        <v>0.22946560064266228</v>
      </c>
      <c r="I159" s="820">
        <v>0</v>
      </c>
      <c r="J159" s="820">
        <v>0.19878958247341769</v>
      </c>
      <c r="K159" s="865">
        <v>0.19878958247341769</v>
      </c>
      <c r="BK159" s="820"/>
    </row>
    <row r="160" spans="1:113" x14ac:dyDescent="0.45">
      <c r="A160" s="919" t="s">
        <v>2541</v>
      </c>
      <c r="B160" s="820">
        <v>0.157</v>
      </c>
      <c r="C160" s="820">
        <v>0</v>
      </c>
      <c r="D160" s="820">
        <v>0.22890069575261673</v>
      </c>
      <c r="E160" s="820">
        <v>0.22890069575261673</v>
      </c>
      <c r="F160" s="820">
        <v>0</v>
      </c>
      <c r="G160" s="820">
        <v>0.22316264237298744</v>
      </c>
      <c r="H160" s="820">
        <v>0.22316264237298744</v>
      </c>
      <c r="I160" s="820">
        <v>0</v>
      </c>
      <c r="J160" s="820">
        <v>0.19913056542267007</v>
      </c>
      <c r="K160" s="865">
        <v>0.19913056542267007</v>
      </c>
      <c r="BK160" s="4"/>
    </row>
    <row r="161" spans="1:63" x14ac:dyDescent="0.45">
      <c r="A161" s="920" t="s">
        <v>1056</v>
      </c>
      <c r="B161" s="921">
        <v>0.34799999999999998</v>
      </c>
      <c r="C161" s="921">
        <v>0</v>
      </c>
      <c r="D161" s="921">
        <v>0.10326841733666905</v>
      </c>
      <c r="E161" s="921">
        <v>0.10326841733666905</v>
      </c>
      <c r="F161" s="921">
        <v>0</v>
      </c>
      <c r="G161" s="921">
        <v>9.799999999999999E-2</v>
      </c>
      <c r="H161" s="921">
        <v>9.799999999999999E-2</v>
      </c>
      <c r="I161" s="921">
        <v>0</v>
      </c>
      <c r="J161" s="921">
        <v>6.6673547634480135E-2</v>
      </c>
      <c r="K161" s="922">
        <v>6.6673547634480135E-2</v>
      </c>
      <c r="BK161" s="4"/>
    </row>
    <row r="162" spans="1:63" x14ac:dyDescent="0.45">
      <c r="B162" s="923"/>
      <c r="C162" s="923"/>
      <c r="D162" s="923"/>
      <c r="E162" s="923"/>
      <c r="F162" s="923"/>
      <c r="G162" s="923"/>
      <c r="H162" s="923"/>
      <c r="BJ162" s="905"/>
      <c r="BK162" s="820"/>
    </row>
    <row r="163" spans="1:63" x14ac:dyDescent="0.45">
      <c r="A163" s="725" t="s">
        <v>2542</v>
      </c>
      <c r="BJ163" s="905"/>
      <c r="BK163" s="820"/>
    </row>
    <row r="164" spans="1:63" x14ac:dyDescent="0.45">
      <c r="A164" s="740"/>
      <c r="B164" s="924" t="s">
        <v>225</v>
      </c>
      <c r="C164" s="925"/>
      <c r="D164" s="926" t="s">
        <v>2337</v>
      </c>
      <c r="E164" s="925"/>
      <c r="BJ164" s="905"/>
      <c r="BK164" s="820"/>
    </row>
    <row r="165" spans="1:63" x14ac:dyDescent="0.45">
      <c r="A165" s="737"/>
      <c r="B165" s="927" t="s">
        <v>2543</v>
      </c>
      <c r="C165" s="767" t="s">
        <v>2544</v>
      </c>
      <c r="D165" s="766" t="s">
        <v>2543</v>
      </c>
      <c r="E165" s="767" t="s">
        <v>2544</v>
      </c>
      <c r="BJ165" s="905"/>
      <c r="BK165" s="820"/>
    </row>
    <row r="166" spans="1:63" x14ac:dyDescent="0.45">
      <c r="A166" s="919" t="s">
        <v>2539</v>
      </c>
      <c r="B166" s="928">
        <v>0.5</v>
      </c>
      <c r="C166" s="865">
        <v>0.5</v>
      </c>
      <c r="D166" s="929">
        <v>0.5</v>
      </c>
      <c r="E166" s="865">
        <v>0.5</v>
      </c>
      <c r="BJ166" s="905"/>
      <c r="BK166" s="820"/>
    </row>
    <row r="167" spans="1:63" x14ac:dyDescent="0.45">
      <c r="A167" s="919" t="s">
        <v>2540</v>
      </c>
      <c r="B167" s="928">
        <v>0.5</v>
      </c>
      <c r="C167" s="865">
        <v>0.5</v>
      </c>
      <c r="D167" s="820"/>
      <c r="E167" s="865"/>
      <c r="BJ167" s="905"/>
      <c r="BK167" s="820"/>
    </row>
    <row r="168" spans="1:63" x14ac:dyDescent="0.45">
      <c r="A168" s="920" t="s">
        <v>2541</v>
      </c>
      <c r="B168" s="930">
        <v>0.5</v>
      </c>
      <c r="C168" s="922">
        <v>0.5</v>
      </c>
      <c r="D168" s="921"/>
      <c r="E168" s="922"/>
      <c r="BJ168" s="905"/>
      <c r="BK168" s="820"/>
    </row>
    <row r="169" spans="1:63" x14ac:dyDescent="0.45">
      <c r="BJ169" s="905"/>
      <c r="BK169" s="820"/>
    </row>
    <row r="170" spans="1:63" x14ac:dyDescent="0.45">
      <c r="A170" s="725" t="s">
        <v>2545</v>
      </c>
      <c r="BJ170" s="905"/>
      <c r="BK170" s="820"/>
    </row>
    <row r="171" spans="1:63" ht="92.25" x14ac:dyDescent="0.45">
      <c r="A171" s="740"/>
      <c r="B171" s="931" t="s">
        <v>2546</v>
      </c>
      <c r="C171" s="931"/>
      <c r="D171" s="931"/>
      <c r="E171" s="932" t="s">
        <v>2547</v>
      </c>
      <c r="F171" s="931" t="s">
        <v>2548</v>
      </c>
      <c r="G171" s="931"/>
      <c r="H171" s="931"/>
      <c r="I171" s="932" t="s">
        <v>2549</v>
      </c>
      <c r="J171" s="931" t="s">
        <v>2550</v>
      </c>
      <c r="K171" s="931"/>
      <c r="L171" s="931"/>
      <c r="M171" s="932" t="s">
        <v>2551</v>
      </c>
      <c r="BJ171" s="905"/>
      <c r="BK171" s="820"/>
    </row>
    <row r="172" spans="1:63" ht="78.400000000000006" x14ac:dyDescent="0.45">
      <c r="A172" s="744"/>
      <c r="B172" s="933" t="s">
        <v>2307</v>
      </c>
      <c r="C172" s="934" t="s">
        <v>1675</v>
      </c>
      <c r="D172" s="934" t="s">
        <v>2443</v>
      </c>
      <c r="E172" s="935" t="s">
        <v>2307</v>
      </c>
      <c r="F172" s="934" t="s">
        <v>2307</v>
      </c>
      <c r="G172" s="934" t="s">
        <v>1675</v>
      </c>
      <c r="H172" s="934" t="s">
        <v>2443</v>
      </c>
      <c r="I172" s="935" t="s">
        <v>2307</v>
      </c>
      <c r="J172" s="934" t="s">
        <v>2307</v>
      </c>
      <c r="K172" s="934" t="s">
        <v>1675</v>
      </c>
      <c r="L172" s="934" t="s">
        <v>2443</v>
      </c>
      <c r="M172" s="935" t="s">
        <v>2307</v>
      </c>
    </row>
    <row r="173" spans="1:63" x14ac:dyDescent="0.45">
      <c r="A173" s="861" t="s">
        <v>1671</v>
      </c>
      <c r="B173" s="844">
        <v>0.32500000000000001</v>
      </c>
      <c r="C173" s="853"/>
      <c r="D173" s="844">
        <v>0.76359999999999995</v>
      </c>
      <c r="E173" s="936">
        <v>0.76359999999999995</v>
      </c>
      <c r="F173" s="844">
        <v>0.32500000000000001</v>
      </c>
      <c r="G173" s="853"/>
      <c r="H173" s="844">
        <v>0.76359999999999995</v>
      </c>
      <c r="I173" s="936">
        <v>0.76359999999999995</v>
      </c>
      <c r="J173" s="844">
        <v>0</v>
      </c>
      <c r="K173" s="844"/>
      <c r="L173" s="844">
        <v>0.76359999999999995</v>
      </c>
      <c r="M173" s="936">
        <v>0.76359999999999995</v>
      </c>
    </row>
    <row r="174" spans="1:63" x14ac:dyDescent="0.45">
      <c r="A174" s="937" t="s">
        <v>2508</v>
      </c>
      <c r="B174" s="859"/>
      <c r="C174" s="859"/>
      <c r="D174" s="859">
        <v>1</v>
      </c>
      <c r="E174" s="938"/>
      <c r="F174" s="858"/>
      <c r="G174" s="916"/>
      <c r="H174" s="859">
        <v>1</v>
      </c>
      <c r="I174" s="938"/>
      <c r="J174" s="859"/>
      <c r="K174" s="916"/>
      <c r="L174" s="860">
        <v>1</v>
      </c>
      <c r="M174" s="938"/>
    </row>
    <row r="175" spans="1:63" hidden="1" x14ac:dyDescent="0.45">
      <c r="A175" s="862" t="s">
        <v>1670</v>
      </c>
      <c r="E175" s="744"/>
      <c r="I175" s="744"/>
      <c r="M175" s="744"/>
    </row>
    <row r="176" spans="1:63" hidden="1" x14ac:dyDescent="0.45">
      <c r="A176" s="744" t="s">
        <v>2552</v>
      </c>
      <c r="B176" s="733"/>
      <c r="C176" s="733"/>
      <c r="D176" s="733"/>
      <c r="E176" s="939"/>
      <c r="F176" s="733"/>
      <c r="G176" s="733"/>
      <c r="H176" s="733"/>
      <c r="I176" s="939"/>
      <c r="J176" s="733"/>
      <c r="K176" s="733"/>
      <c r="L176" s="733"/>
      <c r="M176" s="939"/>
    </row>
    <row r="177" spans="1:13" hidden="1" x14ac:dyDescent="0.45">
      <c r="A177" s="744" t="s">
        <v>2553</v>
      </c>
      <c r="B177" s="733"/>
      <c r="C177" s="733"/>
      <c r="D177" s="733"/>
      <c r="E177" s="939"/>
      <c r="F177" s="733"/>
      <c r="G177" s="733"/>
      <c r="H177" s="733"/>
      <c r="I177" s="939"/>
      <c r="J177" s="733"/>
      <c r="K177" s="733"/>
      <c r="L177" s="733"/>
      <c r="M177" s="939"/>
    </row>
    <row r="178" spans="1:13" hidden="1" x14ac:dyDescent="0.45">
      <c r="A178" s="744" t="s">
        <v>2554</v>
      </c>
      <c r="B178" s="733"/>
      <c r="C178" s="733"/>
      <c r="D178" s="733"/>
      <c r="E178" s="939"/>
      <c r="F178" s="733"/>
      <c r="G178" s="733"/>
      <c r="H178" s="733"/>
      <c r="I178" s="939"/>
      <c r="J178" s="733"/>
      <c r="K178" s="733"/>
      <c r="L178" s="733"/>
      <c r="M178" s="939"/>
    </row>
    <row r="179" spans="1:13" hidden="1" x14ac:dyDescent="0.45">
      <c r="A179" s="744" t="s">
        <v>2555</v>
      </c>
      <c r="B179" s="733"/>
      <c r="C179" s="733"/>
      <c r="D179" s="733"/>
      <c r="E179" s="939"/>
      <c r="F179" s="733"/>
      <c r="G179" s="733"/>
      <c r="H179" s="733"/>
      <c r="I179" s="939"/>
      <c r="J179" s="733"/>
      <c r="K179" s="733"/>
      <c r="L179" s="733"/>
      <c r="M179" s="939"/>
    </row>
    <row r="180" spans="1:13" hidden="1" x14ac:dyDescent="0.45">
      <c r="A180" s="744" t="s">
        <v>2556</v>
      </c>
      <c r="B180" s="733"/>
      <c r="C180" s="733"/>
      <c r="D180" s="733"/>
      <c r="E180" s="939"/>
      <c r="F180" s="733"/>
      <c r="G180" s="733"/>
      <c r="H180" s="733"/>
      <c r="I180" s="939"/>
      <c r="J180" s="733"/>
      <c r="K180" s="733"/>
      <c r="L180" s="733"/>
      <c r="M180" s="939"/>
    </row>
    <row r="181" spans="1:13" x14ac:dyDescent="0.45">
      <c r="A181" s="861" t="s">
        <v>2557</v>
      </c>
      <c r="B181" s="785"/>
      <c r="C181" s="785"/>
      <c r="D181" s="785"/>
      <c r="E181" s="740"/>
      <c r="F181" s="785"/>
      <c r="G181" s="785"/>
      <c r="H181" s="785"/>
      <c r="I181" s="740"/>
      <c r="J181" s="785"/>
      <c r="K181" s="785"/>
      <c r="L181" s="785"/>
      <c r="M181" s="740"/>
    </row>
    <row r="182" spans="1:13" x14ac:dyDescent="0.45">
      <c r="A182" s="744" t="s">
        <v>2558</v>
      </c>
      <c r="C182" s="940"/>
      <c r="D182" s="940"/>
      <c r="E182" s="744"/>
      <c r="G182" s="940"/>
      <c r="H182" s="940"/>
      <c r="I182" s="744"/>
      <c r="K182" s="940"/>
      <c r="L182" s="940"/>
      <c r="M182" s="744"/>
    </row>
    <row r="183" spans="1:13" x14ac:dyDescent="0.45">
      <c r="A183" s="744" t="s">
        <v>2559</v>
      </c>
      <c r="B183" s="941">
        <v>1678040</v>
      </c>
      <c r="C183" s="870"/>
      <c r="D183" s="870"/>
      <c r="E183" s="942">
        <v>1678040</v>
      </c>
      <c r="F183" s="941">
        <v>1678040</v>
      </c>
      <c r="G183" s="870"/>
      <c r="H183" s="870"/>
      <c r="I183" s="942">
        <v>1678040</v>
      </c>
      <c r="J183" s="941">
        <v>1678040</v>
      </c>
      <c r="K183" s="870"/>
      <c r="L183" s="870"/>
      <c r="M183" s="942">
        <v>1678040</v>
      </c>
    </row>
    <row r="184" spans="1:13" x14ac:dyDescent="0.45">
      <c r="A184" s="744" t="s">
        <v>2560</v>
      </c>
      <c r="B184" s="943">
        <v>36.805999999999997</v>
      </c>
      <c r="C184" s="944"/>
      <c r="D184" s="944"/>
      <c r="E184" s="945">
        <v>36.805999999999997</v>
      </c>
      <c r="F184" s="943">
        <v>36.805999999999997</v>
      </c>
      <c r="G184" s="944"/>
      <c r="H184" s="944"/>
      <c r="I184" s="945">
        <v>36.805999999999997</v>
      </c>
      <c r="J184" s="943">
        <v>36.805999999999997</v>
      </c>
      <c r="K184" s="944"/>
      <c r="L184" s="944"/>
      <c r="M184" s="945">
        <v>36.805999999999997</v>
      </c>
    </row>
    <row r="185" spans="1:13" x14ac:dyDescent="0.45">
      <c r="A185" s="744" t="s">
        <v>2561</v>
      </c>
      <c r="B185" s="941">
        <v>252051</v>
      </c>
      <c r="C185" s="870"/>
      <c r="D185" s="870"/>
      <c r="E185" s="942">
        <v>252051</v>
      </c>
      <c r="F185" s="941">
        <v>252051</v>
      </c>
      <c r="G185" s="870"/>
      <c r="H185" s="870"/>
      <c r="I185" s="942">
        <v>252051</v>
      </c>
      <c r="J185" s="941">
        <v>252051</v>
      </c>
      <c r="K185" s="870"/>
      <c r="L185" s="870"/>
      <c r="M185" s="942">
        <v>252051</v>
      </c>
    </row>
    <row r="186" spans="1:13" x14ac:dyDescent="0.45">
      <c r="A186" s="744" t="s">
        <v>2562</v>
      </c>
      <c r="B186" s="912">
        <v>0.69699999999999995</v>
      </c>
      <c r="C186" s="905"/>
      <c r="D186" s="905"/>
      <c r="E186" s="946">
        <v>0.69699999999999995</v>
      </c>
      <c r="F186" s="912">
        <v>0.69699999999999995</v>
      </c>
      <c r="G186" s="905"/>
      <c r="H186" s="905"/>
      <c r="I186" s="946">
        <v>0.69699999999999995</v>
      </c>
      <c r="J186" s="912">
        <v>0.59199999999999997</v>
      </c>
      <c r="K186" s="905"/>
      <c r="L186" s="905"/>
      <c r="M186" s="946">
        <v>0.59199999999999997</v>
      </c>
    </row>
    <row r="187" spans="1:13" x14ac:dyDescent="0.45">
      <c r="A187" s="744" t="s">
        <v>2563</v>
      </c>
      <c r="B187" s="912">
        <v>0.36599999999999999</v>
      </c>
      <c r="C187" s="905"/>
      <c r="D187" s="905"/>
      <c r="E187" s="946">
        <v>0.36599999999999999</v>
      </c>
      <c r="F187" s="912">
        <v>0.36599999999999999</v>
      </c>
      <c r="G187" s="905"/>
      <c r="H187" s="905"/>
      <c r="I187" s="946">
        <v>0.36599999999999999</v>
      </c>
      <c r="J187" s="905"/>
      <c r="K187" s="905"/>
      <c r="L187" s="905"/>
      <c r="M187" s="947"/>
    </row>
    <row r="188" spans="1:13" x14ac:dyDescent="0.45">
      <c r="A188" s="744" t="s">
        <v>2564</v>
      </c>
      <c r="B188" s="905"/>
      <c r="C188" s="905"/>
      <c r="D188" s="905"/>
      <c r="E188" s="947"/>
      <c r="F188" s="905"/>
      <c r="G188" s="905"/>
      <c r="H188" s="905"/>
      <c r="I188" s="947"/>
      <c r="J188" s="912">
        <v>0.45100000000000001</v>
      </c>
      <c r="K188" s="905"/>
      <c r="L188" s="905"/>
      <c r="M188" s="946">
        <v>0.45100000000000001</v>
      </c>
    </row>
    <row r="189" spans="1:13" x14ac:dyDescent="0.45">
      <c r="A189" s="744" t="s">
        <v>2565</v>
      </c>
      <c r="B189" s="819">
        <v>0.8</v>
      </c>
      <c r="C189" s="819"/>
      <c r="D189" s="819"/>
      <c r="E189" s="948">
        <v>0.8</v>
      </c>
      <c r="F189" s="819">
        <v>0.8</v>
      </c>
      <c r="G189" s="819"/>
      <c r="H189" s="819"/>
      <c r="I189" s="948">
        <v>0.8</v>
      </c>
      <c r="J189" s="819">
        <v>0.8</v>
      </c>
      <c r="K189" s="819"/>
      <c r="L189" s="819"/>
      <c r="M189" s="948">
        <v>0.8</v>
      </c>
    </row>
    <row r="190" spans="1:13" x14ac:dyDescent="0.45">
      <c r="A190" s="744" t="s">
        <v>2566</v>
      </c>
      <c r="B190" s="4"/>
      <c r="C190" s="4"/>
      <c r="D190" s="4"/>
      <c r="E190" s="949"/>
      <c r="F190" s="4"/>
      <c r="G190" s="4"/>
      <c r="H190" s="4"/>
      <c r="I190" s="949"/>
      <c r="J190" s="4"/>
      <c r="K190" s="4"/>
      <c r="L190" s="4"/>
      <c r="M190" s="949"/>
    </row>
    <row r="191" spans="1:13" x14ac:dyDescent="0.45">
      <c r="A191" s="744" t="s">
        <v>2567</v>
      </c>
      <c r="B191" s="820">
        <v>1</v>
      </c>
      <c r="C191" s="820"/>
      <c r="D191" s="820"/>
      <c r="E191" s="950">
        <v>0.5</v>
      </c>
      <c r="F191" s="820">
        <v>1</v>
      </c>
      <c r="G191" s="820"/>
      <c r="H191" s="820"/>
      <c r="I191" s="950">
        <v>0.5</v>
      </c>
      <c r="J191" s="820">
        <v>1</v>
      </c>
      <c r="K191" s="820"/>
      <c r="L191" s="820"/>
      <c r="M191" s="950">
        <v>0.5</v>
      </c>
    </row>
    <row r="192" spans="1:13" x14ac:dyDescent="0.45">
      <c r="A192" s="744" t="s">
        <v>2568</v>
      </c>
      <c r="B192" s="820">
        <v>0</v>
      </c>
      <c r="C192" s="820"/>
      <c r="D192" s="820"/>
      <c r="E192" s="950">
        <v>0.5</v>
      </c>
      <c r="F192" s="820">
        <v>0</v>
      </c>
      <c r="G192" s="820"/>
      <c r="H192" s="820"/>
      <c r="I192" s="950">
        <v>0.5</v>
      </c>
      <c r="J192" s="820">
        <v>0</v>
      </c>
      <c r="K192" s="820"/>
      <c r="L192" s="820"/>
      <c r="M192" s="950">
        <v>0.5</v>
      </c>
    </row>
    <row r="193" spans="1:77" x14ac:dyDescent="0.45">
      <c r="A193" s="744" t="s">
        <v>2569</v>
      </c>
      <c r="B193" s="4"/>
      <c r="C193" s="4"/>
      <c r="D193" s="4"/>
      <c r="E193" s="949"/>
      <c r="F193" s="4"/>
      <c r="G193" s="4"/>
      <c r="H193" s="4"/>
      <c r="I193" s="949"/>
      <c r="J193" s="4"/>
      <c r="K193" s="4"/>
      <c r="L193" s="4"/>
      <c r="M193" s="949"/>
    </row>
    <row r="194" spans="1:77" x14ac:dyDescent="0.45">
      <c r="A194" s="744" t="s">
        <v>2570</v>
      </c>
      <c r="B194" s="820">
        <v>0</v>
      </c>
      <c r="C194" s="820"/>
      <c r="D194" s="820"/>
      <c r="E194" s="950">
        <v>7.5999999999999998E-2</v>
      </c>
      <c r="F194" s="820">
        <v>0</v>
      </c>
      <c r="G194" s="820"/>
      <c r="H194" s="820"/>
      <c r="I194" s="950">
        <v>7.5999999999999998E-2</v>
      </c>
      <c r="J194" s="820">
        <v>0</v>
      </c>
      <c r="K194" s="820"/>
      <c r="L194" s="820"/>
      <c r="M194" s="950">
        <v>7.5999999999999998E-2</v>
      </c>
    </row>
    <row r="195" spans="1:77" x14ac:dyDescent="0.45">
      <c r="A195" s="737" t="s">
        <v>2567</v>
      </c>
      <c r="B195" s="921">
        <v>1</v>
      </c>
      <c r="C195" s="921"/>
      <c r="D195" s="921"/>
      <c r="E195" s="951">
        <v>0.92400000000000004</v>
      </c>
      <c r="F195" s="921">
        <v>1</v>
      </c>
      <c r="G195" s="921"/>
      <c r="H195" s="921"/>
      <c r="I195" s="951">
        <v>0.92400000000000004</v>
      </c>
      <c r="J195" s="921">
        <v>1</v>
      </c>
      <c r="K195" s="921"/>
      <c r="L195" s="921"/>
      <c r="M195" s="951">
        <v>0.92400000000000004</v>
      </c>
      <c r="BX195" s="905"/>
      <c r="BY195" s="952"/>
    </row>
    <row r="196" spans="1:77" x14ac:dyDescent="0.45">
      <c r="A196" s="862" t="s">
        <v>2571</v>
      </c>
      <c r="E196" s="953"/>
      <c r="I196" s="744"/>
      <c r="M196" s="744"/>
      <c r="BX196" s="905"/>
      <c r="BY196" s="952"/>
    </row>
    <row r="197" spans="1:77" x14ac:dyDescent="0.45">
      <c r="A197" s="744" t="s">
        <v>1537</v>
      </c>
      <c r="B197" s="7">
        <v>13976353.445054241</v>
      </c>
      <c r="C197" s="7">
        <v>283774.74444567709</v>
      </c>
      <c r="D197" s="7"/>
      <c r="E197" s="954">
        <v>14292829.51188869</v>
      </c>
      <c r="F197" s="7">
        <v>12872096.363260746</v>
      </c>
      <c r="G197" s="7">
        <v>283774.74444567715</v>
      </c>
      <c r="H197" s="7"/>
      <c r="I197" s="954">
        <v>13188572.430095196</v>
      </c>
      <c r="J197" s="7">
        <v>17295993.021287758</v>
      </c>
      <c r="K197" s="7">
        <v>272060.04488582216</v>
      </c>
      <c r="L197" s="7"/>
      <c r="M197" s="954">
        <v>17582420.880704578</v>
      </c>
      <c r="BX197" s="905"/>
      <c r="BY197" s="952"/>
    </row>
    <row r="198" spans="1:77" x14ac:dyDescent="0.45">
      <c r="A198" s="744" t="s">
        <v>1536</v>
      </c>
      <c r="B198" s="7">
        <v>13757172.567174055</v>
      </c>
      <c r="C198" s="7">
        <v>282358.4227590537</v>
      </c>
      <c r="D198" s="7"/>
      <c r="E198" s="954">
        <v>14056857.6446499</v>
      </c>
      <c r="F198" s="7">
        <v>12652915.48538056</v>
      </c>
      <c r="G198" s="7">
        <v>282358.42275905376</v>
      </c>
      <c r="H198" s="7"/>
      <c r="I198" s="954">
        <v>12952600.562856406</v>
      </c>
      <c r="J198" s="7">
        <v>14026357.27312329</v>
      </c>
      <c r="K198" s="7">
        <v>270687.50891998026</v>
      </c>
      <c r="L198" s="7"/>
      <c r="M198" s="954">
        <v>14297564.740383353</v>
      </c>
      <c r="BX198" s="7"/>
      <c r="BY198" s="952"/>
    </row>
    <row r="199" spans="1:77" x14ac:dyDescent="0.45">
      <c r="A199" s="744" t="s">
        <v>1535</v>
      </c>
      <c r="B199" s="7">
        <v>529138.95688220777</v>
      </c>
      <c r="C199" s="7">
        <v>3333.3448122028021</v>
      </c>
      <c r="D199" s="7"/>
      <c r="E199" s="954">
        <v>568507.87148255645</v>
      </c>
      <c r="F199" s="7">
        <v>529138.95688220777</v>
      </c>
      <c r="G199" s="7">
        <v>3333.3448122028021</v>
      </c>
      <c r="H199" s="7"/>
      <c r="I199" s="954">
        <v>568507.87148255645</v>
      </c>
      <c r="J199" s="7">
        <v>1023296.9300405669</v>
      </c>
      <c r="K199" s="7">
        <v>3231.5341391841926</v>
      </c>
      <c r="L199" s="7"/>
      <c r="M199" s="954">
        <v>1058992.2219633143</v>
      </c>
    </row>
    <row r="200" spans="1:77" x14ac:dyDescent="0.45">
      <c r="A200" s="744" t="s">
        <v>1534</v>
      </c>
      <c r="B200" s="7">
        <v>12874337.953882176</v>
      </c>
      <c r="C200" s="7">
        <v>30094.654182430444</v>
      </c>
      <c r="D200" s="7"/>
      <c r="E200" s="954">
        <v>11594366.589715082</v>
      </c>
      <c r="F200" s="7">
        <v>11770080.872088682</v>
      </c>
      <c r="G200" s="7">
        <v>30094.654182430386</v>
      </c>
      <c r="H200" s="7"/>
      <c r="I200" s="954">
        <v>10558042.178996902</v>
      </c>
      <c r="J200" s="7">
        <v>12303454.469669146</v>
      </c>
      <c r="K200" s="7">
        <v>29782.02342144752</v>
      </c>
      <c r="L200" s="7"/>
      <c r="M200" s="954">
        <v>11112535.470496202</v>
      </c>
    </row>
    <row r="201" spans="1:77" x14ac:dyDescent="0.45">
      <c r="A201" s="744" t="s">
        <v>1533</v>
      </c>
      <c r="B201" s="7">
        <v>353695.65640967042</v>
      </c>
      <c r="C201" s="7">
        <v>248930.42376442047</v>
      </c>
      <c r="D201" s="7"/>
      <c r="E201" s="954">
        <v>1893983.1834522614</v>
      </c>
      <c r="F201" s="7">
        <v>353695.65640967042</v>
      </c>
      <c r="G201" s="7">
        <v>248930.42376442059</v>
      </c>
      <c r="H201" s="7"/>
      <c r="I201" s="954">
        <v>1826050.5123769476</v>
      </c>
      <c r="J201" s="7">
        <v>699605.87341357779</v>
      </c>
      <c r="K201" s="7">
        <v>237673.95135934858</v>
      </c>
      <c r="L201" s="7"/>
      <c r="M201" s="954">
        <v>2126037.0479238364</v>
      </c>
    </row>
    <row r="202" spans="1:77" x14ac:dyDescent="0.45">
      <c r="A202" s="893" t="s">
        <v>2572</v>
      </c>
      <c r="B202" s="897">
        <v>225.10834088693747</v>
      </c>
      <c r="C202" s="897">
        <v>5.3721193840372017</v>
      </c>
      <c r="D202" s="897"/>
      <c r="E202" s="955">
        <v>294.23039328543337</v>
      </c>
      <c r="F202" s="897">
        <v>225.10834088693747</v>
      </c>
      <c r="G202" s="897">
        <v>5.3721193840372035</v>
      </c>
      <c r="H202" s="897"/>
      <c r="I202" s="955">
        <v>294.23039328543337</v>
      </c>
      <c r="J202" s="897">
        <v>4975.2978021396557</v>
      </c>
      <c r="K202" s="897">
        <v>5.168544427844215</v>
      </c>
      <c r="L202" s="897"/>
      <c r="M202" s="955">
        <v>5037.5006259279708</v>
      </c>
      <c r="N202" s="873"/>
      <c r="O202" s="873"/>
      <c r="P202" s="873"/>
      <c r="Q202" s="873"/>
      <c r="R202" s="873"/>
      <c r="S202" s="873"/>
      <c r="T202" s="873"/>
      <c r="U202" s="873"/>
      <c r="V202" s="873"/>
      <c r="W202" s="873"/>
      <c r="X202" s="873"/>
      <c r="Y202" s="873"/>
      <c r="Z202" s="873"/>
      <c r="AA202" s="873"/>
      <c r="AB202" s="873"/>
      <c r="AC202" s="873"/>
      <c r="AD202" s="873"/>
      <c r="AE202" s="873"/>
      <c r="AF202" s="873"/>
      <c r="AG202" s="873"/>
      <c r="AH202" s="873"/>
      <c r="AI202" s="873"/>
      <c r="AJ202" s="873"/>
      <c r="AK202" s="873"/>
      <c r="AL202" s="873"/>
      <c r="AM202" s="873"/>
      <c r="AT202" s="873"/>
      <c r="AU202" s="873"/>
      <c r="AV202" s="873"/>
      <c r="AW202" s="873"/>
      <c r="AX202" s="873"/>
      <c r="AY202" s="873"/>
      <c r="AZ202" s="873"/>
      <c r="BA202" s="873"/>
      <c r="BB202" s="873"/>
      <c r="BC202" s="873"/>
      <c r="BD202" s="873"/>
      <c r="BE202" s="873"/>
      <c r="BF202" s="873"/>
      <c r="BG202" s="873"/>
      <c r="BH202" s="873"/>
      <c r="BI202" s="873"/>
      <c r="BJ202" s="873"/>
      <c r="BK202" s="873"/>
      <c r="BL202" s="873"/>
      <c r="BM202" s="873"/>
      <c r="BN202" s="873"/>
      <c r="BT202" s="873"/>
      <c r="BU202" s="873"/>
      <c r="BV202" s="873"/>
      <c r="BW202" s="873"/>
      <c r="BX202" s="873"/>
      <c r="BY202" s="873"/>
    </row>
    <row r="203" spans="1:77" x14ac:dyDescent="0.45">
      <c r="A203" s="861" t="s">
        <v>2573</v>
      </c>
      <c r="B203" s="891"/>
      <c r="C203" s="891"/>
      <c r="D203" s="891"/>
      <c r="E203" s="956"/>
      <c r="F203" s="891"/>
      <c r="G203" s="891"/>
      <c r="H203" s="891"/>
      <c r="I203" s="956"/>
      <c r="J203" s="891"/>
      <c r="K203" s="891"/>
      <c r="L203" s="891"/>
      <c r="M203" s="956"/>
    </row>
    <row r="204" spans="1:77" x14ac:dyDescent="0.45">
      <c r="A204" s="744" t="s">
        <v>1525</v>
      </c>
      <c r="B204" s="905">
        <v>530.60403148422972</v>
      </c>
      <c r="C204" s="905">
        <v>10.033355247027728</v>
      </c>
      <c r="D204" s="905">
        <v>0</v>
      </c>
      <c r="E204" s="947">
        <v>519.59975175593979</v>
      </c>
      <c r="F204" s="905">
        <v>530.60403148422972</v>
      </c>
      <c r="G204" s="905">
        <v>10.03335524702773</v>
      </c>
      <c r="H204" s="905">
        <v>0</v>
      </c>
      <c r="I204" s="947">
        <v>519.59975175593979</v>
      </c>
      <c r="J204" s="905">
        <v>940.79885104205187</v>
      </c>
      <c r="K204" s="905">
        <v>8.3095986706097715</v>
      </c>
      <c r="L204" s="905">
        <v>0</v>
      </c>
      <c r="M204" s="947">
        <v>931.16625154429221</v>
      </c>
    </row>
    <row r="205" spans="1:77" x14ac:dyDescent="0.45">
      <c r="A205" s="744" t="s">
        <v>1524</v>
      </c>
      <c r="B205" s="905">
        <v>732.08307807226106</v>
      </c>
      <c r="C205" s="905">
        <v>43.870042717966435</v>
      </c>
      <c r="D205" s="905">
        <v>0</v>
      </c>
      <c r="E205" s="947">
        <v>707.47622513104261</v>
      </c>
      <c r="F205" s="905">
        <v>732.08307807226106</v>
      </c>
      <c r="G205" s="905">
        <v>43.870042717966442</v>
      </c>
      <c r="H205" s="905">
        <v>0</v>
      </c>
      <c r="I205" s="947">
        <v>707.47622513104261</v>
      </c>
      <c r="J205" s="905">
        <v>960.58787831745974</v>
      </c>
      <c r="K205" s="905">
        <v>43.194885223106979</v>
      </c>
      <c r="L205" s="905">
        <v>0</v>
      </c>
      <c r="M205" s="947">
        <v>936.86955188804768</v>
      </c>
    </row>
    <row r="206" spans="1:77" x14ac:dyDescent="0.45">
      <c r="A206" s="744" t="s">
        <v>1523</v>
      </c>
      <c r="B206" s="905">
        <v>1079.7973822155807</v>
      </c>
      <c r="C206" s="905">
        <v>249.26114428791564</v>
      </c>
      <c r="D206" s="905">
        <v>0</v>
      </c>
      <c r="E206" s="947">
        <v>1082.5887848588741</v>
      </c>
      <c r="F206" s="905">
        <v>1079.7973822155807</v>
      </c>
      <c r="G206" s="905">
        <v>249.26114428791564</v>
      </c>
      <c r="H206" s="905">
        <v>0</v>
      </c>
      <c r="I206" s="947">
        <v>1082.5887848588741</v>
      </c>
      <c r="J206" s="905">
        <v>1783.2007492839539</v>
      </c>
      <c r="K206" s="905">
        <v>217.62715059054733</v>
      </c>
      <c r="L206" s="905">
        <v>0</v>
      </c>
      <c r="M206" s="947">
        <v>1784.1541895428822</v>
      </c>
    </row>
    <row r="207" spans="1:77" x14ac:dyDescent="0.45">
      <c r="A207" s="744" t="s">
        <v>1522</v>
      </c>
      <c r="B207" s="905">
        <v>45.91937641180408</v>
      </c>
      <c r="C207" s="905">
        <v>10.839420961870269</v>
      </c>
      <c r="D207" s="905">
        <v>0</v>
      </c>
      <c r="E207" s="947">
        <v>51.387194886716543</v>
      </c>
      <c r="F207" s="905">
        <v>45.91937641180408</v>
      </c>
      <c r="G207" s="905">
        <v>10.839420961870269</v>
      </c>
      <c r="H207" s="905">
        <v>0</v>
      </c>
      <c r="I207" s="947">
        <v>51.387194886716543</v>
      </c>
      <c r="J207" s="905">
        <v>201.75104198325008</v>
      </c>
      <c r="K207" s="905">
        <v>7.0897788423805803</v>
      </c>
      <c r="L207" s="905">
        <v>0</v>
      </c>
      <c r="M207" s="947">
        <v>206.70556194905814</v>
      </c>
    </row>
    <row r="208" spans="1:77" x14ac:dyDescent="0.45">
      <c r="A208" s="744" t="s">
        <v>1521</v>
      </c>
      <c r="B208" s="905">
        <v>38.402710203788466</v>
      </c>
      <c r="C208" s="905">
        <v>10.187410383499959</v>
      </c>
      <c r="D208" s="905">
        <v>0</v>
      </c>
      <c r="E208" s="947">
        <v>42.765326549219253</v>
      </c>
      <c r="F208" s="905">
        <v>38.402710203788466</v>
      </c>
      <c r="G208" s="905">
        <v>10.187410383499961</v>
      </c>
      <c r="H208" s="905">
        <v>0</v>
      </c>
      <c r="I208" s="947">
        <v>42.765326549219253</v>
      </c>
      <c r="J208" s="905">
        <v>88.461178408447651</v>
      </c>
      <c r="K208" s="905">
        <v>6.8044228063014724</v>
      </c>
      <c r="L208" s="905">
        <v>0</v>
      </c>
      <c r="M208" s="947">
        <v>92.414992824788811</v>
      </c>
    </row>
    <row r="209" spans="1:13" x14ac:dyDescent="0.45">
      <c r="A209" s="744" t="s">
        <v>1520</v>
      </c>
      <c r="B209" s="905">
        <v>843.72153853461475</v>
      </c>
      <c r="C209" s="905">
        <v>38.186568108095898</v>
      </c>
      <c r="D209" s="905">
        <v>0</v>
      </c>
      <c r="E209" s="947">
        <v>834.36280598150711</v>
      </c>
      <c r="F209" s="905">
        <v>843.72153853461475</v>
      </c>
      <c r="G209" s="905">
        <v>38.186568108095891</v>
      </c>
      <c r="H209" s="905">
        <v>0</v>
      </c>
      <c r="I209" s="947">
        <v>834.36280598150711</v>
      </c>
      <c r="J209" s="905">
        <v>1468.61436322692</v>
      </c>
      <c r="K209" s="905">
        <v>3.4976349106142801</v>
      </c>
      <c r="L209" s="905">
        <v>0</v>
      </c>
      <c r="M209" s="947">
        <v>1461.3757474435006</v>
      </c>
    </row>
    <row r="210" spans="1:13" x14ac:dyDescent="0.45">
      <c r="A210" s="744" t="s">
        <v>1519</v>
      </c>
      <c r="B210" s="905">
        <v>6.8127664971840316</v>
      </c>
      <c r="C210" s="905">
        <v>1.3704826153873486</v>
      </c>
      <c r="D210" s="905">
        <v>0</v>
      </c>
      <c r="E210" s="947">
        <v>7.2425728247921333</v>
      </c>
      <c r="F210" s="905">
        <v>6.8127664971840316</v>
      </c>
      <c r="G210" s="905">
        <v>1.3704826153873486</v>
      </c>
      <c r="H210" s="905">
        <v>0</v>
      </c>
      <c r="I210" s="947">
        <v>7.2425728247921333</v>
      </c>
      <c r="J210" s="905">
        <v>12.066078340197459</v>
      </c>
      <c r="K210" s="905">
        <v>0.86537457868699508</v>
      </c>
      <c r="L210" s="905">
        <v>0</v>
      </c>
      <c r="M210" s="947">
        <v>12.455841393871712</v>
      </c>
    </row>
    <row r="211" spans="1:13" x14ac:dyDescent="0.45">
      <c r="A211" s="744" t="s">
        <v>1518</v>
      </c>
      <c r="B211" s="905">
        <v>12.457770426650999</v>
      </c>
      <c r="C211" s="905">
        <v>5.1435064864534468</v>
      </c>
      <c r="D211" s="905">
        <v>0</v>
      </c>
      <c r="E211" s="947">
        <v>13.412345731938279</v>
      </c>
      <c r="F211" s="905">
        <v>12.457770426650999</v>
      </c>
      <c r="G211" s="905">
        <v>5.1435064864534485</v>
      </c>
      <c r="H211" s="905">
        <v>0</v>
      </c>
      <c r="I211" s="947">
        <v>13.412345731938279</v>
      </c>
      <c r="J211" s="905">
        <v>22.072065102824908</v>
      </c>
      <c r="K211" s="905">
        <v>3.8339567758327475</v>
      </c>
      <c r="L211" s="905">
        <v>0</v>
      </c>
      <c r="M211" s="947">
        <v>22.944970103599204</v>
      </c>
    </row>
    <row r="212" spans="1:13" x14ac:dyDescent="0.45">
      <c r="A212" s="744" t="s">
        <v>1531</v>
      </c>
      <c r="B212" s="905">
        <v>6741.8314211883953</v>
      </c>
      <c r="C212" s="905">
        <v>27.763942026275984</v>
      </c>
      <c r="D212" s="905">
        <v>0</v>
      </c>
      <c r="E212" s="947">
        <v>6502.4928099760418</v>
      </c>
      <c r="F212" s="905">
        <v>6741.8314211883953</v>
      </c>
      <c r="G212" s="905">
        <v>27.763942026275984</v>
      </c>
      <c r="H212" s="905">
        <v>0</v>
      </c>
      <c r="I212" s="947">
        <v>6502.4928099760418</v>
      </c>
      <c r="J212" s="905">
        <v>5625.7477179323041</v>
      </c>
      <c r="K212" s="905">
        <v>26.452883194979474</v>
      </c>
      <c r="L212" s="905">
        <v>0</v>
      </c>
      <c r="M212" s="947">
        <v>5405.4442603875186</v>
      </c>
    </row>
    <row r="213" spans="1:13" x14ac:dyDescent="0.45">
      <c r="A213" s="744" t="s">
        <v>1530</v>
      </c>
      <c r="B213" s="905">
        <v>10.848108829861028</v>
      </c>
      <c r="C213" s="905">
        <v>0.52341720475310094</v>
      </c>
      <c r="D213" s="905">
        <v>0</v>
      </c>
      <c r="E213" s="947">
        <v>9.8397675968033056</v>
      </c>
      <c r="F213" s="905">
        <v>10.848108829861028</v>
      </c>
      <c r="G213" s="905">
        <v>0.52341720475310105</v>
      </c>
      <c r="H213" s="905">
        <v>0</v>
      </c>
      <c r="I213" s="947">
        <v>9.8397675968033056</v>
      </c>
      <c r="J213" s="905">
        <v>404.13443796191865</v>
      </c>
      <c r="K213" s="905">
        <v>0.51938243462755873</v>
      </c>
      <c r="L213" s="905">
        <v>0</v>
      </c>
      <c r="M213" s="947">
        <v>403.09568634929059</v>
      </c>
    </row>
    <row r="214" spans="1:13" x14ac:dyDescent="0.45">
      <c r="A214" s="744" t="s">
        <v>1529</v>
      </c>
      <c r="B214" s="873">
        <v>511941.94986278401</v>
      </c>
      <c r="C214" s="7">
        <v>21890.863397944686</v>
      </c>
      <c r="D214" s="873">
        <v>0</v>
      </c>
      <c r="E214" s="957">
        <v>539504.34990285919</v>
      </c>
      <c r="F214" s="873">
        <v>511941.94986278401</v>
      </c>
      <c r="G214" s="7">
        <v>21890.863397944693</v>
      </c>
      <c r="H214" s="873">
        <v>0</v>
      </c>
      <c r="I214" s="957">
        <v>539504.34990285919</v>
      </c>
      <c r="J214" s="873">
        <v>823195.61488999228</v>
      </c>
      <c r="K214" s="7">
        <v>20809.650734530038</v>
      </c>
      <c r="L214" s="873">
        <v>0</v>
      </c>
      <c r="M214" s="957">
        <v>848221.35140004661</v>
      </c>
    </row>
    <row r="215" spans="1:13" x14ac:dyDescent="0.45">
      <c r="A215" s="744" t="s">
        <v>2574</v>
      </c>
      <c r="B215" s="7">
        <v>514746.082026452</v>
      </c>
      <c r="C215" s="7">
        <v>21991.072660354726</v>
      </c>
      <c r="D215" s="7">
        <v>0</v>
      </c>
      <c r="E215" s="954">
        <v>542235.51748294255</v>
      </c>
      <c r="F215" s="7">
        <v>514746.082026452</v>
      </c>
      <c r="G215" s="7">
        <v>21991.072660354734</v>
      </c>
      <c r="H215" s="7">
        <v>0</v>
      </c>
      <c r="I215" s="954">
        <v>542235.51748294255</v>
      </c>
      <c r="J215" s="7">
        <v>827637.26654642937</v>
      </c>
      <c r="K215" s="7">
        <v>20903.426660499274</v>
      </c>
      <c r="L215" s="7">
        <v>0</v>
      </c>
      <c r="M215" s="954">
        <v>852595.70979889797</v>
      </c>
    </row>
    <row r="216" spans="1:13" x14ac:dyDescent="0.45">
      <c r="A216" s="737" t="s">
        <v>1527</v>
      </c>
      <c r="B216" s="738">
        <v>719875.77350201702</v>
      </c>
      <c r="C216" s="738">
        <v>22962.696480402577</v>
      </c>
      <c r="D216" s="738">
        <v>0</v>
      </c>
      <c r="E216" s="958">
        <v>739917.84019537666</v>
      </c>
      <c r="F216" s="738">
        <v>719875.77350201702</v>
      </c>
      <c r="G216" s="738">
        <v>22962.696480402585</v>
      </c>
      <c r="H216" s="738">
        <v>0</v>
      </c>
      <c r="I216" s="958">
        <v>739917.84019537666</v>
      </c>
      <c r="J216" s="738">
        <v>1103505.3241443071</v>
      </c>
      <c r="K216" s="738">
        <v>21834.64950152496</v>
      </c>
      <c r="L216" s="738">
        <v>0</v>
      </c>
      <c r="M216" s="958">
        <v>1121579.3944930856</v>
      </c>
    </row>
    <row r="217" spans="1:13" x14ac:dyDescent="0.45">
      <c r="A217" s="862" t="s">
        <v>2575</v>
      </c>
      <c r="B217" s="7"/>
      <c r="C217" s="7"/>
      <c r="D217" s="7"/>
      <c r="E217" s="954"/>
      <c r="F217" s="7"/>
      <c r="G217" s="7"/>
      <c r="H217" s="7"/>
      <c r="I217" s="954"/>
      <c r="J217" s="7"/>
      <c r="K217" s="7"/>
      <c r="L217" s="7"/>
      <c r="M217" s="954"/>
    </row>
    <row r="218" spans="1:13" x14ac:dyDescent="0.45">
      <c r="A218" s="744" t="s">
        <v>1525</v>
      </c>
      <c r="B218" s="905">
        <v>90.650696955389634</v>
      </c>
      <c r="C218" s="905">
        <v>1.2547657502597303</v>
      </c>
      <c r="D218" s="905">
        <v>0</v>
      </c>
      <c r="E218" s="947">
        <v>98.396928534228493</v>
      </c>
      <c r="F218" s="905">
        <v>90.650696955389634</v>
      </c>
      <c r="G218" s="905">
        <v>1.2547657502597305</v>
      </c>
      <c r="H218" s="905">
        <v>0</v>
      </c>
      <c r="I218" s="947">
        <v>98.396928534228493</v>
      </c>
      <c r="J218" s="905">
        <v>169.94123055792437</v>
      </c>
      <c r="K218" s="905">
        <v>1.1411392005791832</v>
      </c>
      <c r="L218" s="905">
        <v>0</v>
      </c>
      <c r="M218" s="947">
        <v>179.16776522500214</v>
      </c>
    </row>
    <row r="219" spans="1:13" x14ac:dyDescent="0.45">
      <c r="A219" s="744" t="s">
        <v>1524</v>
      </c>
      <c r="B219" s="905">
        <v>48.713699469288088</v>
      </c>
      <c r="C219" s="905">
        <v>3.3999271429812232</v>
      </c>
      <c r="D219" s="905">
        <v>0</v>
      </c>
      <c r="E219" s="947">
        <v>78.621392628599182</v>
      </c>
      <c r="F219" s="905">
        <v>48.713699469288088</v>
      </c>
      <c r="G219" s="905">
        <v>3.3999271429812246</v>
      </c>
      <c r="H219" s="905">
        <v>0</v>
      </c>
      <c r="I219" s="947">
        <v>78.621392628599182</v>
      </c>
      <c r="J219" s="905">
        <v>38.215199592541552</v>
      </c>
      <c r="K219" s="905">
        <v>3.3221155342052024</v>
      </c>
      <c r="L219" s="905">
        <v>0</v>
      </c>
      <c r="M219" s="947">
        <v>86.528392613242815</v>
      </c>
    </row>
    <row r="220" spans="1:13" x14ac:dyDescent="0.45">
      <c r="A220" s="744" t="s">
        <v>1523</v>
      </c>
      <c r="B220" s="905">
        <v>85.19114926015294</v>
      </c>
      <c r="C220" s="905">
        <v>17.200657429470557</v>
      </c>
      <c r="D220" s="905">
        <v>0</v>
      </c>
      <c r="E220" s="947">
        <v>136.39721216306864</v>
      </c>
      <c r="F220" s="905">
        <v>85.19114926015294</v>
      </c>
      <c r="G220" s="905">
        <v>17.200657429470564</v>
      </c>
      <c r="H220" s="905">
        <v>0</v>
      </c>
      <c r="I220" s="947">
        <v>136.39721216306864</v>
      </c>
      <c r="J220" s="905">
        <v>73.72201254853799</v>
      </c>
      <c r="K220" s="905">
        <v>15.699058689321197</v>
      </c>
      <c r="L220" s="905">
        <v>0</v>
      </c>
      <c r="M220" s="947">
        <v>155.1348976080065</v>
      </c>
    </row>
    <row r="221" spans="1:13" x14ac:dyDescent="0.45">
      <c r="A221" s="744" t="s">
        <v>1522</v>
      </c>
      <c r="B221" s="905">
        <v>5.6122783212532559</v>
      </c>
      <c r="C221" s="905">
        <v>0.78876652052326757</v>
      </c>
      <c r="D221" s="905">
        <v>0</v>
      </c>
      <c r="E221" s="947">
        <v>11.826367280725572</v>
      </c>
      <c r="F221" s="905">
        <v>5.6122783212532559</v>
      </c>
      <c r="G221" s="905">
        <v>0.78876652052326779</v>
      </c>
      <c r="H221" s="905">
        <v>0</v>
      </c>
      <c r="I221" s="947">
        <v>11.826367280725572</v>
      </c>
      <c r="J221" s="905">
        <v>3.3055869251874741</v>
      </c>
      <c r="K221" s="905">
        <v>0.60189368781229513</v>
      </c>
      <c r="L221" s="905">
        <v>0</v>
      </c>
      <c r="M221" s="947">
        <v>11.941447967120901</v>
      </c>
    </row>
    <row r="222" spans="1:13" x14ac:dyDescent="0.45">
      <c r="A222" s="744" t="s">
        <v>1521</v>
      </c>
      <c r="B222" s="905">
        <v>4.9978787774898281</v>
      </c>
      <c r="C222" s="905">
        <v>0.72043925752423488</v>
      </c>
      <c r="D222" s="905">
        <v>0</v>
      </c>
      <c r="E222" s="947">
        <v>10.70969300070637</v>
      </c>
      <c r="F222" s="905">
        <v>4.9978787774898281</v>
      </c>
      <c r="G222" s="905">
        <v>0.72043925752423521</v>
      </c>
      <c r="H222" s="905">
        <v>0</v>
      </c>
      <c r="I222" s="947">
        <v>10.70969300070637</v>
      </c>
      <c r="J222" s="905">
        <v>2.5762108749925265</v>
      </c>
      <c r="K222" s="905">
        <v>0.55743391265319786</v>
      </c>
      <c r="L222" s="905">
        <v>0</v>
      </c>
      <c r="M222" s="947">
        <v>10.759120805769419</v>
      </c>
    </row>
    <row r="223" spans="1:13" x14ac:dyDescent="0.45">
      <c r="A223" s="744" t="s">
        <v>1520</v>
      </c>
      <c r="B223" s="905">
        <v>58.500904107015458</v>
      </c>
      <c r="C223" s="905">
        <v>2.831325119639474</v>
      </c>
      <c r="D223" s="905">
        <v>0</v>
      </c>
      <c r="E223" s="947">
        <v>73.823865409934299</v>
      </c>
      <c r="F223" s="905">
        <v>58.500904107015458</v>
      </c>
      <c r="G223" s="905">
        <v>2.8313251196394744</v>
      </c>
      <c r="H223" s="905">
        <v>0</v>
      </c>
      <c r="I223" s="947">
        <v>73.823865409934299</v>
      </c>
      <c r="J223" s="905">
        <v>67.974465967997645</v>
      </c>
      <c r="K223" s="905">
        <v>1.0857303466031016</v>
      </c>
      <c r="L223" s="905">
        <v>0</v>
      </c>
      <c r="M223" s="947">
        <v>82.049157061858509</v>
      </c>
    </row>
    <row r="224" spans="1:13" x14ac:dyDescent="0.45">
      <c r="A224" s="744" t="s">
        <v>1519</v>
      </c>
      <c r="B224" s="905">
        <v>0.58463364806765428</v>
      </c>
      <c r="C224" s="905">
        <v>9.3342852212324801E-2</v>
      </c>
      <c r="D224" s="905">
        <v>0</v>
      </c>
      <c r="E224" s="947">
        <v>1.3742948682300149</v>
      </c>
      <c r="F224" s="905">
        <v>0.58463364806765428</v>
      </c>
      <c r="G224" s="905">
        <v>9.3342852212324828E-2</v>
      </c>
      <c r="H224" s="905">
        <v>0</v>
      </c>
      <c r="I224" s="947">
        <v>1.3742948682300149</v>
      </c>
      <c r="J224" s="905">
        <v>0.25174507225369414</v>
      </c>
      <c r="K224" s="905">
        <v>6.9556162359328169E-2</v>
      </c>
      <c r="L224" s="905">
        <v>0</v>
      </c>
      <c r="M224" s="947">
        <v>1.4641702971403658</v>
      </c>
    </row>
    <row r="225" spans="1:77" x14ac:dyDescent="0.45">
      <c r="A225" s="737" t="s">
        <v>1518</v>
      </c>
      <c r="B225" s="859">
        <v>1.5487421613920989</v>
      </c>
      <c r="C225" s="859">
        <v>0.34053139159167928</v>
      </c>
      <c r="D225" s="859">
        <v>0</v>
      </c>
      <c r="E225" s="938">
        <v>3.3613083218670985</v>
      </c>
      <c r="F225" s="859">
        <v>1.5487421613920989</v>
      </c>
      <c r="G225" s="859">
        <v>0.34053139159167944</v>
      </c>
      <c r="H225" s="859">
        <v>0</v>
      </c>
      <c r="I225" s="938">
        <v>3.3613083218670985</v>
      </c>
      <c r="J225" s="859">
        <v>0.7902938703255199</v>
      </c>
      <c r="K225" s="859">
        <v>0.27933184791182131</v>
      </c>
      <c r="L225" s="859">
        <v>0</v>
      </c>
      <c r="M225" s="938">
        <v>3.7233292775886566</v>
      </c>
    </row>
    <row r="226" spans="1:77" x14ac:dyDescent="0.45">
      <c r="B226" s="905"/>
      <c r="C226" s="905"/>
      <c r="D226" s="905"/>
      <c r="E226" s="905"/>
      <c r="F226" s="905"/>
      <c r="G226" s="905"/>
      <c r="H226" s="905"/>
      <c r="I226" s="905"/>
      <c r="J226" s="905"/>
      <c r="K226" s="905"/>
      <c r="L226" s="905"/>
      <c r="M226" s="905"/>
    </row>
    <row r="227" spans="1:77" x14ac:dyDescent="0.45">
      <c r="A227" s="725" t="s">
        <v>2576</v>
      </c>
    </row>
    <row r="228" spans="1:77" ht="52.9" x14ac:dyDescent="0.45">
      <c r="A228" s="779"/>
      <c r="B228" s="959" t="s">
        <v>2577</v>
      </c>
      <c r="C228" s="959" t="s">
        <v>2578</v>
      </c>
      <c r="D228" s="960" t="s">
        <v>2540</v>
      </c>
      <c r="E228" s="961" t="s">
        <v>2541</v>
      </c>
      <c r="G228" s="962" t="s">
        <v>2579</v>
      </c>
      <c r="H228" s="963"/>
      <c r="I228" s="964"/>
    </row>
    <row r="229" spans="1:77" ht="28.5" x14ac:dyDescent="0.45">
      <c r="A229" s="779" t="s">
        <v>1968</v>
      </c>
      <c r="B229" s="891">
        <v>472921.27318485151</v>
      </c>
      <c r="C229" s="891">
        <v>472921.27318485151</v>
      </c>
      <c r="D229" s="891">
        <v>562853.64813353505</v>
      </c>
      <c r="E229" s="902">
        <v>420943.83748607966</v>
      </c>
      <c r="G229" s="965"/>
      <c r="H229" s="966" t="s">
        <v>2580</v>
      </c>
      <c r="I229" s="967" t="s">
        <v>2581</v>
      </c>
    </row>
    <row r="230" spans="1:77" x14ac:dyDescent="0.45">
      <c r="A230" s="768" t="s">
        <v>1967</v>
      </c>
      <c r="B230" s="7">
        <v>465359.14156161784</v>
      </c>
      <c r="C230" s="7">
        <v>465359.14156161784</v>
      </c>
      <c r="D230" s="7">
        <v>457876.62240273046</v>
      </c>
      <c r="E230" s="877">
        <v>413648.56344535784</v>
      </c>
      <c r="G230" s="968" t="s">
        <v>2577</v>
      </c>
      <c r="H230" s="969">
        <v>2.4916274694261525E-2</v>
      </c>
      <c r="I230" s="970">
        <v>1</v>
      </c>
    </row>
    <row r="231" spans="1:77" x14ac:dyDescent="0.45">
      <c r="A231" s="768" t="s">
        <v>114</v>
      </c>
      <c r="B231" s="7">
        <v>18235.481966367624</v>
      </c>
      <c r="C231" s="7">
        <v>18235.481966367624</v>
      </c>
      <c r="D231" s="7">
        <v>33394.796560284522</v>
      </c>
      <c r="E231" s="877">
        <v>17591.976024401349</v>
      </c>
      <c r="G231" s="968" t="s">
        <v>2578</v>
      </c>
      <c r="H231" s="969">
        <v>2.4916274694261525E-2</v>
      </c>
      <c r="I231" s="970">
        <v>1</v>
      </c>
    </row>
    <row r="232" spans="1:77" x14ac:dyDescent="0.45">
      <c r="A232" s="768" t="s">
        <v>113</v>
      </c>
      <c r="B232" s="7">
        <v>405772.43973399402</v>
      </c>
      <c r="C232" s="7">
        <v>405772.43973399402</v>
      </c>
      <c r="D232" s="7">
        <v>375429.88191155856</v>
      </c>
      <c r="E232" s="877">
        <v>357250.05717809516</v>
      </c>
      <c r="G232" s="968" t="s">
        <v>2540</v>
      </c>
      <c r="H232" s="969">
        <v>2.1568552253116012E-2</v>
      </c>
      <c r="I232" s="970">
        <v>0.56759348034515822</v>
      </c>
    </row>
    <row r="233" spans="1:77" x14ac:dyDescent="0.45">
      <c r="A233" s="768" t="s">
        <v>1966</v>
      </c>
      <c r="B233" s="7">
        <v>41351.219861256206</v>
      </c>
      <c r="C233" s="7">
        <v>41351.219861256206</v>
      </c>
      <c r="D233" s="7">
        <v>49051.943930887377</v>
      </c>
      <c r="E233" s="877">
        <v>38806.530242861285</v>
      </c>
      <c r="G233" s="968" t="s">
        <v>2541</v>
      </c>
      <c r="H233" s="969">
        <v>2.4916274694261525E-2</v>
      </c>
      <c r="I233" s="970">
        <v>1</v>
      </c>
    </row>
    <row r="234" spans="1:77" x14ac:dyDescent="0.45">
      <c r="A234" s="768" t="s">
        <v>1532</v>
      </c>
      <c r="B234" s="905">
        <v>8.6907607790746866</v>
      </c>
      <c r="C234" s="905">
        <v>8.6907607790746866</v>
      </c>
      <c r="D234" s="905">
        <v>160.41460111951434</v>
      </c>
      <c r="E234" s="906">
        <v>8.3840753724670289</v>
      </c>
      <c r="F234" s="873"/>
      <c r="G234" s="971" t="s">
        <v>1056</v>
      </c>
      <c r="H234" s="972">
        <v>0</v>
      </c>
      <c r="I234" s="973">
        <v>0</v>
      </c>
      <c r="J234" s="873"/>
      <c r="K234" s="873"/>
      <c r="L234" s="873"/>
      <c r="M234" s="873"/>
      <c r="N234" s="873"/>
      <c r="O234" s="873"/>
      <c r="P234" s="873"/>
      <c r="Q234" s="873"/>
      <c r="R234" s="873"/>
      <c r="S234" s="873"/>
      <c r="T234" s="873"/>
      <c r="U234" s="873"/>
      <c r="V234" s="873"/>
      <c r="W234" s="873"/>
      <c r="X234" s="873"/>
      <c r="Y234" s="873"/>
      <c r="Z234" s="873"/>
      <c r="AA234" s="873"/>
      <c r="AB234" s="873"/>
      <c r="AC234" s="873"/>
      <c r="AD234" s="873"/>
      <c r="AE234" s="873"/>
      <c r="AF234" s="873"/>
      <c r="AG234" s="873"/>
      <c r="AH234" s="873"/>
      <c r="AI234" s="873"/>
      <c r="AJ234" s="873"/>
      <c r="AK234" s="873"/>
      <c r="AL234" s="873"/>
      <c r="AM234" s="873"/>
      <c r="AN234" s="873"/>
      <c r="AO234" s="873"/>
      <c r="AP234" s="873"/>
      <c r="AQ234" s="873"/>
      <c r="AR234" s="873"/>
      <c r="AS234" s="873"/>
      <c r="AT234" s="873"/>
      <c r="AU234" s="873"/>
      <c r="AV234" s="873"/>
      <c r="AW234" s="873"/>
      <c r="AX234" s="873"/>
      <c r="AY234" s="873"/>
      <c r="AZ234" s="873"/>
      <c r="BA234" s="873"/>
      <c r="BB234" s="873"/>
      <c r="BC234" s="873"/>
      <c r="BD234" s="873"/>
      <c r="BE234" s="873"/>
      <c r="BF234" s="873"/>
      <c r="BG234" s="873"/>
      <c r="BH234" s="873"/>
      <c r="BI234" s="873"/>
      <c r="BJ234" s="873"/>
      <c r="BK234" s="873"/>
      <c r="BL234" s="873"/>
      <c r="BM234" s="873"/>
      <c r="BN234" s="873"/>
      <c r="BO234" s="873"/>
      <c r="BP234" s="873"/>
      <c r="BQ234" s="873"/>
      <c r="BR234" s="873"/>
      <c r="BS234" s="873"/>
      <c r="BT234" s="873"/>
      <c r="BU234" s="873"/>
      <c r="BV234" s="873"/>
      <c r="BW234" s="873"/>
      <c r="BX234" s="873"/>
      <c r="BY234" s="873"/>
    </row>
    <row r="235" spans="1:77" x14ac:dyDescent="0.45">
      <c r="A235" s="768" t="s">
        <v>2582</v>
      </c>
      <c r="B235" s="905">
        <v>17.560657030877191</v>
      </c>
      <c r="C235" s="905">
        <v>17.560657030877191</v>
      </c>
      <c r="D235" s="905">
        <v>30.108256198624101</v>
      </c>
      <c r="E235" s="906">
        <v>16.940964764720309</v>
      </c>
    </row>
    <row r="236" spans="1:77" x14ac:dyDescent="0.45">
      <c r="A236" s="768" t="s">
        <v>2583</v>
      </c>
      <c r="B236" s="905">
        <v>24.569969328212203</v>
      </c>
      <c r="C236" s="905">
        <v>24.569969328212203</v>
      </c>
      <c r="D236" s="905">
        <v>31.07506422668872</v>
      </c>
      <c r="E236" s="906">
        <v>23.702927739413269</v>
      </c>
    </row>
    <row r="237" spans="1:77" x14ac:dyDescent="0.45">
      <c r="A237" s="768" t="s">
        <v>2584</v>
      </c>
      <c r="B237" s="905">
        <v>39.943999108255241</v>
      </c>
      <c r="C237" s="905">
        <v>39.943999108255241</v>
      </c>
      <c r="D237" s="905">
        <v>60.607745442302125</v>
      </c>
      <c r="E237" s="906">
        <v>38.534428425151553</v>
      </c>
    </row>
    <row r="238" spans="1:77" x14ac:dyDescent="0.45">
      <c r="A238" s="768" t="s">
        <v>2585</v>
      </c>
      <c r="B238" s="905">
        <v>1.7912168989461943</v>
      </c>
      <c r="C238" s="905">
        <v>1.7912168989461943</v>
      </c>
      <c r="D238" s="905">
        <v>6.6540154726477239</v>
      </c>
      <c r="E238" s="906">
        <v>1.7280072333092686</v>
      </c>
    </row>
    <row r="239" spans="1:77" x14ac:dyDescent="0.45">
      <c r="A239" s="768" t="s">
        <v>2586</v>
      </c>
      <c r="B239" s="905">
        <v>1.5131159028778123</v>
      </c>
      <c r="C239" s="905">
        <v>1.5131159028778123</v>
      </c>
      <c r="D239" s="905">
        <v>3.0052712005723867</v>
      </c>
      <c r="E239" s="906">
        <v>1.4597200520754385</v>
      </c>
    </row>
    <row r="240" spans="1:77" x14ac:dyDescent="0.45">
      <c r="A240" s="768" t="s">
        <v>2587</v>
      </c>
      <c r="B240" s="905">
        <v>28.426513064490646</v>
      </c>
      <c r="C240" s="905">
        <v>28.426513064490646</v>
      </c>
      <c r="D240" s="905">
        <v>46.973030345212372</v>
      </c>
      <c r="E240" s="906">
        <v>27.423379168708813</v>
      </c>
      <c r="O240" s="7"/>
    </row>
    <row r="241" spans="1:26" x14ac:dyDescent="0.45">
      <c r="A241" s="768" t="s">
        <v>2588</v>
      </c>
      <c r="B241" s="905">
        <v>0.25549715118255428</v>
      </c>
      <c r="C241" s="905">
        <v>0.25549715118255428</v>
      </c>
      <c r="D241" s="905">
        <v>0.40651887771896289</v>
      </c>
      <c r="E241" s="906">
        <v>0.24648099601623275</v>
      </c>
      <c r="O241" s="7"/>
      <c r="Y241" s="905"/>
      <c r="Z241" s="905"/>
    </row>
    <row r="242" spans="1:26" x14ac:dyDescent="0.45">
      <c r="A242" s="768" t="s">
        <v>2589</v>
      </c>
      <c r="B242" s="905">
        <v>0.5136771489930394</v>
      </c>
      <c r="C242" s="905">
        <v>0.5136771489930394</v>
      </c>
      <c r="D242" s="905">
        <v>0.78223579840514101</v>
      </c>
      <c r="E242" s="906">
        <v>0.49555016456570317</v>
      </c>
      <c r="O242" s="7"/>
      <c r="Y242" s="905"/>
      <c r="Z242" s="905"/>
    </row>
    <row r="243" spans="1:26" x14ac:dyDescent="0.45">
      <c r="A243" s="768" t="s">
        <v>1957</v>
      </c>
      <c r="B243" s="905">
        <v>219.82496182459275</v>
      </c>
      <c r="C243" s="905">
        <v>219.82496182459275</v>
      </c>
      <c r="D243" s="905">
        <v>177.06264101799988</v>
      </c>
      <c r="E243" s="906">
        <v>212.06763084822848</v>
      </c>
      <c r="O243" s="7"/>
      <c r="Y243" s="905"/>
      <c r="Z243" s="905"/>
    </row>
    <row r="244" spans="1:26" x14ac:dyDescent="0.45">
      <c r="A244" s="768" t="s">
        <v>1956</v>
      </c>
      <c r="B244" s="905">
        <v>0.35132164222622075</v>
      </c>
      <c r="C244" s="905">
        <v>0.35132164222622075</v>
      </c>
      <c r="D244" s="905">
        <v>12.934242574852576</v>
      </c>
      <c r="E244" s="906">
        <v>0.33892396802540248</v>
      </c>
      <c r="O244" s="7"/>
      <c r="Y244" s="905"/>
      <c r="Z244" s="905"/>
    </row>
    <row r="245" spans="1:26" x14ac:dyDescent="0.45">
      <c r="A245" s="768" t="s">
        <v>1955</v>
      </c>
      <c r="B245" s="7">
        <v>17777.632113231284</v>
      </c>
      <c r="C245" s="7">
        <v>17777.632113231284</v>
      </c>
      <c r="D245" s="7">
        <v>27097.100491458434</v>
      </c>
      <c r="E245" s="877">
        <v>17150.283084559924</v>
      </c>
      <c r="O245" s="7"/>
      <c r="Y245" s="905"/>
      <c r="Z245" s="905"/>
    </row>
    <row r="246" spans="1:26" x14ac:dyDescent="0.45">
      <c r="A246" s="768" t="s">
        <v>2590</v>
      </c>
      <c r="B246" s="7">
        <v>17870.972779445663</v>
      </c>
      <c r="C246" s="7">
        <v>17870.972779445663</v>
      </c>
      <c r="D246" s="7">
        <v>27239.770133728944</v>
      </c>
      <c r="E246" s="877">
        <v>17240.329882619521</v>
      </c>
      <c r="O246" s="7"/>
      <c r="Y246" s="905"/>
      <c r="Z246" s="905"/>
    </row>
    <row r="247" spans="1:26" x14ac:dyDescent="0.45">
      <c r="A247" s="755" t="s">
        <v>2591</v>
      </c>
      <c r="B247" s="738">
        <v>24558.821869373394</v>
      </c>
      <c r="C247" s="738">
        <v>24558.821869373394</v>
      </c>
      <c r="D247" s="738">
        <v>35979.223646604871</v>
      </c>
      <c r="E247" s="739">
        <v>23692.173659593107</v>
      </c>
      <c r="O247" s="7"/>
      <c r="Y247" s="905"/>
      <c r="Z247" s="905"/>
    </row>
    <row r="248" spans="1:26" x14ac:dyDescent="0.45">
      <c r="A248" s="855" t="s">
        <v>2592</v>
      </c>
      <c r="B248" s="7"/>
      <c r="C248" s="7"/>
      <c r="D248" s="7"/>
      <c r="E248" s="877"/>
      <c r="O248" s="6"/>
      <c r="Y248" s="905"/>
      <c r="Z248" s="905"/>
    </row>
    <row r="249" spans="1:26" x14ac:dyDescent="0.45">
      <c r="A249" s="768" t="s">
        <v>2582</v>
      </c>
      <c r="B249" s="905">
        <v>3.151969407040025</v>
      </c>
      <c r="C249" s="905">
        <v>3.151969407040025</v>
      </c>
      <c r="D249" s="905">
        <v>5.6084468884448127</v>
      </c>
      <c r="E249" s="906">
        <v>3.040740592464843</v>
      </c>
      <c r="O249" s="6"/>
      <c r="Y249" s="905"/>
    </row>
    <row r="250" spans="1:26" x14ac:dyDescent="0.45">
      <c r="A250" s="768" t="s">
        <v>2583</v>
      </c>
      <c r="B250" s="905">
        <v>2.165357872758336</v>
      </c>
      <c r="C250" s="905">
        <v>2.165357872758336</v>
      </c>
      <c r="D250" s="905">
        <v>2.0506764975969296</v>
      </c>
      <c r="E250" s="906">
        <v>2.0889452690128807</v>
      </c>
      <c r="O250" s="7"/>
      <c r="Y250" s="905"/>
    </row>
    <row r="251" spans="1:26" x14ac:dyDescent="0.45">
      <c r="A251" s="768" t="s">
        <v>2584</v>
      </c>
      <c r="B251" s="905">
        <v>3.9550511018648224</v>
      </c>
      <c r="C251" s="905">
        <v>3.9550511018648224</v>
      </c>
      <c r="D251" s="905">
        <v>3.9159989548292211</v>
      </c>
      <c r="E251" s="906">
        <v>3.815482600767659</v>
      </c>
      <c r="O251" s="7"/>
      <c r="Y251" s="7"/>
    </row>
    <row r="252" spans="1:26" x14ac:dyDescent="0.45">
      <c r="A252" s="768" t="s">
        <v>2585</v>
      </c>
      <c r="B252" s="905">
        <v>0.30189975546454395</v>
      </c>
      <c r="C252" s="905">
        <v>0.30189975546454395</v>
      </c>
      <c r="D252" s="905">
        <v>0.25378398265156366</v>
      </c>
      <c r="E252" s="906">
        <v>0.29124611401553219</v>
      </c>
      <c r="O252" s="7"/>
    </row>
    <row r="253" spans="1:26" x14ac:dyDescent="0.45">
      <c r="A253" s="768" t="s">
        <v>2586</v>
      </c>
      <c r="B253" s="905">
        <v>0.27209636130024673</v>
      </c>
      <c r="C253" s="905">
        <v>0.27209636130024673</v>
      </c>
      <c r="D253" s="905">
        <v>0.22246055085161251</v>
      </c>
      <c r="E253" s="906">
        <v>0.26249444205253797</v>
      </c>
      <c r="O253" s="7"/>
    </row>
    <row r="254" spans="1:26" x14ac:dyDescent="0.45">
      <c r="A254" s="768" t="s">
        <v>2587</v>
      </c>
      <c r="B254" s="905">
        <v>2.2385839331495783</v>
      </c>
      <c r="C254" s="905">
        <v>2.2385839331495783</v>
      </c>
      <c r="D254" s="905">
        <v>2.4196672552289558</v>
      </c>
      <c r="E254" s="906">
        <v>2.1595872789767494</v>
      </c>
      <c r="O254" s="7"/>
    </row>
    <row r="255" spans="1:26" x14ac:dyDescent="0.45">
      <c r="A255" s="768" t="s">
        <v>2588</v>
      </c>
      <c r="B255" s="905">
        <v>3.399167254989359E-2</v>
      </c>
      <c r="C255" s="905">
        <v>3.399167254989359E-2</v>
      </c>
      <c r="D255" s="905">
        <v>2.8590202419595527E-2</v>
      </c>
      <c r="E255" s="906">
        <v>3.2792151566375237E-2</v>
      </c>
      <c r="O255" s="7"/>
    </row>
    <row r="256" spans="1:26" x14ac:dyDescent="0.45">
      <c r="A256" s="755" t="s">
        <v>2589</v>
      </c>
      <c r="B256" s="859">
        <v>8.696513654328078E-2</v>
      </c>
      <c r="C256" s="859">
        <v>8.696513654328078E-2</v>
      </c>
      <c r="D256" s="859">
        <v>7.6748103277853835E-2</v>
      </c>
      <c r="E256" s="860">
        <v>8.3896252363925186E-2</v>
      </c>
      <c r="O256" s="7"/>
    </row>
    <row r="257" spans="1:28" x14ac:dyDescent="0.45">
      <c r="B257" s="905"/>
      <c r="C257" s="905"/>
      <c r="D257" s="905"/>
      <c r="E257" s="905"/>
      <c r="G257" t="s">
        <v>342</v>
      </c>
      <c r="O257" s="7"/>
    </row>
    <row r="258" spans="1:28" x14ac:dyDescent="0.45">
      <c r="A258" s="726" t="s">
        <v>2593</v>
      </c>
      <c r="O258" s="7"/>
    </row>
    <row r="259" spans="1:28" x14ac:dyDescent="0.45">
      <c r="A259" s="725" t="s">
        <v>2594</v>
      </c>
    </row>
    <row r="260" spans="1:28" ht="13.5" customHeight="1" x14ac:dyDescent="0.45">
      <c r="A260" s="740"/>
      <c r="B260" s="974" t="s">
        <v>2595</v>
      </c>
      <c r="C260" s="975"/>
      <c r="D260" s="976" t="s">
        <v>2596</v>
      </c>
      <c r="E260" s="976"/>
      <c r="G260" s="976"/>
      <c r="H260" s="976"/>
      <c r="I260" s="976"/>
      <c r="J260" s="976"/>
      <c r="K260" s="976"/>
      <c r="L260" s="977"/>
      <c r="M260" s="976"/>
      <c r="N260" s="976"/>
      <c r="O260" s="976"/>
      <c r="P260" s="2251" t="s">
        <v>2597</v>
      </c>
      <c r="Q260" s="2252"/>
      <c r="R260" s="2253"/>
      <c r="S260" s="2259" t="s">
        <v>2439</v>
      </c>
      <c r="T260" s="974" t="s">
        <v>2595</v>
      </c>
      <c r="U260" s="974" t="s">
        <v>2596</v>
      </c>
      <c r="V260" s="976"/>
      <c r="W260" s="976"/>
      <c r="X260" s="975"/>
      <c r="Y260" s="2259" t="s">
        <v>2598</v>
      </c>
      <c r="Z260" s="2251" t="s">
        <v>2599</v>
      </c>
      <c r="AA260" s="2252"/>
      <c r="AB260" s="2253"/>
    </row>
    <row r="261" spans="1:28" ht="38.25" customHeight="1" x14ac:dyDescent="0.45">
      <c r="A261" s="744"/>
      <c r="B261" s="978" t="s">
        <v>2600</v>
      </c>
      <c r="C261" s="918" t="s">
        <v>2601</v>
      </c>
      <c r="D261" s="917" t="s">
        <v>2337</v>
      </c>
      <c r="E261" s="917" t="s">
        <v>2602</v>
      </c>
      <c r="F261" s="917" t="s">
        <v>225</v>
      </c>
      <c r="G261" s="917" t="s">
        <v>2336</v>
      </c>
      <c r="H261" s="917" t="s">
        <v>197</v>
      </c>
      <c r="I261" s="917" t="s">
        <v>2603</v>
      </c>
      <c r="J261" s="917" t="s">
        <v>2604</v>
      </c>
      <c r="K261" s="917" t="s">
        <v>2605</v>
      </c>
      <c r="L261" s="917" t="s">
        <v>2433</v>
      </c>
      <c r="M261" s="917" t="s">
        <v>2434</v>
      </c>
      <c r="N261" s="917" t="s">
        <v>2606</v>
      </c>
      <c r="O261" s="917" t="s">
        <v>2435</v>
      </c>
      <c r="P261" s="978" t="s">
        <v>2607</v>
      </c>
      <c r="Q261" s="917" t="s">
        <v>2608</v>
      </c>
      <c r="R261" s="918" t="s">
        <v>2609</v>
      </c>
      <c r="S261" s="2260"/>
      <c r="T261" s="978" t="s">
        <v>2610</v>
      </c>
      <c r="U261" s="978" t="s">
        <v>2611</v>
      </c>
      <c r="V261" s="917" t="s">
        <v>2612</v>
      </c>
      <c r="W261" s="917" t="s">
        <v>2613</v>
      </c>
      <c r="X261" s="918" t="s">
        <v>2614</v>
      </c>
      <c r="Y261" s="2260"/>
      <c r="Z261" s="979" t="s">
        <v>2615</v>
      </c>
      <c r="AA261" s="980" t="s">
        <v>2616</v>
      </c>
      <c r="AB261" s="981" t="s">
        <v>2617</v>
      </c>
    </row>
    <row r="262" spans="1:28" x14ac:dyDescent="0.45">
      <c r="A262" s="740" t="s">
        <v>2508</v>
      </c>
      <c r="B262" s="904"/>
      <c r="C262" s="906"/>
      <c r="D262" s="905">
        <v>0.86340162433430534</v>
      </c>
      <c r="E262" s="905">
        <v>0.75071004800412944</v>
      </c>
      <c r="F262" s="905">
        <v>0.80583557500656444</v>
      </c>
      <c r="G262" s="905">
        <v>0.70065754585884321</v>
      </c>
      <c r="H262" s="905">
        <v>0.88035087318703953</v>
      </c>
      <c r="I262" s="905">
        <v>0.99919999999999998</v>
      </c>
      <c r="J262" s="905">
        <v>1.0008441227818503</v>
      </c>
      <c r="K262" s="905">
        <v>1.0008439382074072</v>
      </c>
      <c r="L262" s="905">
        <v>0.97824695128556027</v>
      </c>
      <c r="M262" s="905">
        <v>0.98983193205687436</v>
      </c>
      <c r="N262" s="905">
        <v>0.98983193205687436</v>
      </c>
      <c r="O262" s="905">
        <v>1.0257000000000001</v>
      </c>
      <c r="P262" s="904">
        <v>0.85864262887861664</v>
      </c>
      <c r="Q262" s="905">
        <v>0.74837347646900176</v>
      </c>
      <c r="R262" s="906">
        <v>0.63788321791859337</v>
      </c>
      <c r="S262" s="905">
        <v>0.98981492656043646</v>
      </c>
      <c r="T262" s="904"/>
      <c r="U262" s="904">
        <v>0.86340162433430534</v>
      </c>
      <c r="V262" s="905">
        <v>0.88035087318703953</v>
      </c>
      <c r="W262" s="905">
        <v>0.99919999999999998</v>
      </c>
      <c r="X262" s="906">
        <v>1.0008441227818503</v>
      </c>
      <c r="Y262" s="982"/>
      <c r="Z262" s="904">
        <v>0.99919999999999998</v>
      </c>
      <c r="AA262" s="905">
        <v>0.86270000000000002</v>
      </c>
      <c r="AB262" s="906">
        <v>0.86270000000000002</v>
      </c>
    </row>
    <row r="263" spans="1:28" x14ac:dyDescent="0.45">
      <c r="A263" s="744" t="s">
        <v>1968</v>
      </c>
      <c r="B263" s="879">
        <v>78601.196693310587</v>
      </c>
      <c r="C263" s="877">
        <v>44821.286126887615</v>
      </c>
      <c r="D263" s="7">
        <v>176408.50075859838</v>
      </c>
      <c r="E263" s="873">
        <v>180658.46730783806</v>
      </c>
      <c r="F263" s="7">
        <v>217754.35498906235</v>
      </c>
      <c r="G263" s="7">
        <v>221720.96119113636</v>
      </c>
      <c r="H263" s="7">
        <v>144470.1186775676</v>
      </c>
      <c r="I263" s="7">
        <v>69066.573142058623</v>
      </c>
      <c r="J263" s="7">
        <v>124116.12867213052</v>
      </c>
      <c r="K263" s="7">
        <v>124133.4191699103</v>
      </c>
      <c r="L263" s="7">
        <v>197702.97600991547</v>
      </c>
      <c r="M263" s="7">
        <v>94207.314108237886</v>
      </c>
      <c r="N263" s="7">
        <v>110383.47290770453</v>
      </c>
      <c r="O263" s="7">
        <v>89380.786648332549</v>
      </c>
      <c r="P263" s="879">
        <v>247964.44473437345</v>
      </c>
      <c r="Q263" s="7">
        <v>302488.16258567583</v>
      </c>
      <c r="R263" s="877">
        <v>374790.48522401566</v>
      </c>
      <c r="S263" s="7">
        <v>131030.68968133783</v>
      </c>
      <c r="T263" s="879">
        <v>51082.28325844428</v>
      </c>
      <c r="U263" s="879">
        <v>178221.69830528161</v>
      </c>
      <c r="V263" s="7">
        <v>141922.48535137289</v>
      </c>
      <c r="W263" s="7">
        <v>71189.995387438816</v>
      </c>
      <c r="X263" s="877">
        <v>126454.52798346439</v>
      </c>
      <c r="Y263" s="879">
        <v>91096.6001464695</v>
      </c>
      <c r="Z263" s="879">
        <v>64090.684512475505</v>
      </c>
      <c r="AA263" s="7">
        <v>56841.57181235488</v>
      </c>
      <c r="AB263" s="877">
        <v>113683.14362470976</v>
      </c>
    </row>
    <row r="264" spans="1:28" x14ac:dyDescent="0.45">
      <c r="A264" s="744" t="s">
        <v>1967</v>
      </c>
      <c r="B264" s="879">
        <v>74375.039361977542</v>
      </c>
      <c r="C264" s="877">
        <v>42837.031600547765</v>
      </c>
      <c r="D264" s="7">
        <v>173412.3033036259</v>
      </c>
      <c r="E264" s="873">
        <v>177185.05556968457</v>
      </c>
      <c r="F264" s="7">
        <v>198818.51568162459</v>
      </c>
      <c r="G264" s="7">
        <v>202339.7251697591</v>
      </c>
      <c r="H264" s="7">
        <v>141415.30070703299</v>
      </c>
      <c r="I264" s="7">
        <v>68139.66200840463</v>
      </c>
      <c r="J264" s="7">
        <v>122277.84053466913</v>
      </c>
      <c r="K264" s="7">
        <v>122294.13214251082</v>
      </c>
      <c r="L264" s="7">
        <v>193991.4203475306</v>
      </c>
      <c r="M264" s="7">
        <v>92495.89118772393</v>
      </c>
      <c r="N264" s="7">
        <v>108982.5168960405</v>
      </c>
      <c r="O264" s="7">
        <v>88345.681412638834</v>
      </c>
      <c r="P264" s="879">
        <v>229830.49037142706</v>
      </c>
      <c r="Q264" s="7">
        <v>258295.63650943676</v>
      </c>
      <c r="R264" s="877">
        <v>301380.70545274543</v>
      </c>
      <c r="S264" s="7">
        <v>128829.81149061398</v>
      </c>
      <c r="T264" s="879">
        <v>47073.198554768009</v>
      </c>
      <c r="U264" s="879">
        <v>175585.46277496003</v>
      </c>
      <c r="V264" s="7">
        <v>139819.84323544329</v>
      </c>
      <c r="W264" s="7">
        <v>70489.939469292571</v>
      </c>
      <c r="X264" s="877">
        <v>124824.25541984504</v>
      </c>
      <c r="Y264" s="879">
        <v>90141.062401071205</v>
      </c>
      <c r="Z264" s="879">
        <v>63422.984562633792</v>
      </c>
      <c r="AA264" s="7">
        <v>55973.772529109068</v>
      </c>
      <c r="AB264" s="877">
        <v>111947.54505821814</v>
      </c>
    </row>
    <row r="265" spans="1:28" x14ac:dyDescent="0.45">
      <c r="A265" s="744" t="s">
        <v>114</v>
      </c>
      <c r="B265" s="879">
        <v>9851.7666268191697</v>
      </c>
      <c r="C265" s="877">
        <v>4786.0595279116842</v>
      </c>
      <c r="D265" s="7">
        <v>7167.2759173421555</v>
      </c>
      <c r="E265" s="873">
        <v>8379.1543782877616</v>
      </c>
      <c r="F265" s="7">
        <v>11713.482601036711</v>
      </c>
      <c r="G265" s="7">
        <v>12844.560825689259</v>
      </c>
      <c r="H265" s="7">
        <v>7316.9296366418985</v>
      </c>
      <c r="I265" s="7">
        <v>2227.2034895214179</v>
      </c>
      <c r="J265" s="7">
        <v>4426.6035354576006</v>
      </c>
      <c r="K265" s="7">
        <v>4429.0117121846069</v>
      </c>
      <c r="L265" s="7">
        <v>8947.6307090759929</v>
      </c>
      <c r="M265" s="7">
        <v>4122.045138526968</v>
      </c>
      <c r="N265" s="7">
        <v>3366.8140969649653</v>
      </c>
      <c r="O265" s="7">
        <v>2493.7304917085003</v>
      </c>
      <c r="P265" s="879">
        <v>9803.3528024531515</v>
      </c>
      <c r="Q265" s="7">
        <v>17145.792048599349</v>
      </c>
      <c r="R265" s="877">
        <v>25651.410784043706</v>
      </c>
      <c r="S265" s="7">
        <v>5300.413350423406</v>
      </c>
      <c r="T265" s="879">
        <v>9676.8375913754135</v>
      </c>
      <c r="U265" s="879">
        <v>6296.854715706173</v>
      </c>
      <c r="V265" s="7">
        <v>5016.8707876497247</v>
      </c>
      <c r="W265" s="7">
        <v>1678.3324938761807</v>
      </c>
      <c r="X265" s="877">
        <v>3923.1583071504515</v>
      </c>
      <c r="Y265" s="879">
        <v>2267.9168449090112</v>
      </c>
      <c r="Z265" s="879">
        <v>1602.4418433519043</v>
      </c>
      <c r="AA265" s="7">
        <v>2073.247944636139</v>
      </c>
      <c r="AB265" s="877">
        <v>4146.495889272278</v>
      </c>
    </row>
    <row r="266" spans="1:28" x14ac:dyDescent="0.45">
      <c r="A266" s="744" t="s">
        <v>113</v>
      </c>
      <c r="B266" s="879">
        <v>50124.388845316455</v>
      </c>
      <c r="C266" s="877">
        <v>22319.95427593798</v>
      </c>
      <c r="D266" s="7">
        <v>100561.22170877921</v>
      </c>
      <c r="E266" s="873">
        <v>119524.72262029734</v>
      </c>
      <c r="F266" s="7">
        <v>122699.68436836379</v>
      </c>
      <c r="G266" s="7">
        <v>140398.82139854127</v>
      </c>
      <c r="H266" s="7">
        <v>76819.228777500161</v>
      </c>
      <c r="I266" s="7">
        <v>35019.179945788463</v>
      </c>
      <c r="J266" s="7">
        <v>81500.306017439318</v>
      </c>
      <c r="K266" s="7">
        <v>81503.259974344182</v>
      </c>
      <c r="L266" s="7">
        <v>164362.5575777147</v>
      </c>
      <c r="M266" s="7">
        <v>68174.714388114313</v>
      </c>
      <c r="N266" s="7">
        <v>69513.331377410825</v>
      </c>
      <c r="O266" s="7">
        <v>43585.732936069537</v>
      </c>
      <c r="P266" s="879">
        <v>183854.55926348193</v>
      </c>
      <c r="Q266" s="7">
        <v>214770.3233096879</v>
      </c>
      <c r="R266" s="877">
        <v>248864.84653046104</v>
      </c>
      <c r="S266" s="7">
        <v>93202.07717662456</v>
      </c>
      <c r="T266" s="879">
        <v>25584.856461032265</v>
      </c>
      <c r="U266" s="879">
        <v>100126.5924053702</v>
      </c>
      <c r="V266" s="7">
        <v>75245.245347372605</v>
      </c>
      <c r="W266" s="7">
        <v>34824.260307208053</v>
      </c>
      <c r="X266" s="877">
        <v>81308.266586646467</v>
      </c>
      <c r="Y266" s="879">
        <v>74597.098498426465</v>
      </c>
      <c r="Z266" s="879">
        <v>34266.19661533882</v>
      </c>
      <c r="AA266" s="7">
        <v>33172.254194356174</v>
      </c>
      <c r="AB266" s="877">
        <v>66344.508388712347</v>
      </c>
    </row>
    <row r="267" spans="1:28" x14ac:dyDescent="0.45">
      <c r="A267" s="744" t="s">
        <v>1966</v>
      </c>
      <c r="B267" s="879">
        <v>14398.883889841916</v>
      </c>
      <c r="C267" s="877">
        <v>15731.017796698103</v>
      </c>
      <c r="D267" s="7">
        <v>65683.805677504526</v>
      </c>
      <c r="E267" s="873">
        <v>49281.178571099474</v>
      </c>
      <c r="F267" s="7">
        <v>64405.348712224084</v>
      </c>
      <c r="G267" s="7">
        <v>49096.342945528551</v>
      </c>
      <c r="H267" s="7">
        <v>57279.142292890931</v>
      </c>
      <c r="I267" s="7">
        <v>30893.278573094754</v>
      </c>
      <c r="J267" s="7">
        <v>36350.930981772217</v>
      </c>
      <c r="K267" s="7">
        <v>36361.860455982023</v>
      </c>
      <c r="L267" s="7">
        <v>20681.232060739916</v>
      </c>
      <c r="M267" s="7">
        <v>20199.131661082654</v>
      </c>
      <c r="N267" s="7">
        <v>36102.371421664699</v>
      </c>
      <c r="O267" s="7">
        <v>42266.217984860799</v>
      </c>
      <c r="P267" s="879">
        <v>36172.578305491981</v>
      </c>
      <c r="Q267" s="7">
        <v>26379.521151149514</v>
      </c>
      <c r="R267" s="877">
        <v>26864.448138240652</v>
      </c>
      <c r="S267" s="7">
        <v>30327.320963566017</v>
      </c>
      <c r="T267" s="879">
        <v>11811.504502360331</v>
      </c>
      <c r="U267" s="879">
        <v>69162.01565388366</v>
      </c>
      <c r="V267" s="7">
        <v>59557.727100420947</v>
      </c>
      <c r="W267" s="7">
        <v>33987.346668208338</v>
      </c>
      <c r="X267" s="877">
        <v>39592.830526048114</v>
      </c>
      <c r="Y267" s="879">
        <v>13276.04705773573</v>
      </c>
      <c r="Z267" s="879">
        <v>27554.346103943069</v>
      </c>
      <c r="AA267" s="7">
        <v>20728.270390116766</v>
      </c>
      <c r="AB267" s="877">
        <v>41456.540780233532</v>
      </c>
    </row>
    <row r="268" spans="1:28" x14ac:dyDescent="0.45">
      <c r="A268" s="744" t="s">
        <v>1532</v>
      </c>
      <c r="B268" s="904">
        <v>18.264926052591751</v>
      </c>
      <c r="C268" s="906">
        <v>20.852740027250768</v>
      </c>
      <c r="D268" s="905">
        <v>10.856693220936878</v>
      </c>
      <c r="E268" s="909">
        <v>13.767984441216985</v>
      </c>
      <c r="F268" s="905">
        <v>41.06195168072572</v>
      </c>
      <c r="G268" s="905">
        <v>43.779136787152638</v>
      </c>
      <c r="H268" s="905">
        <v>9.2408605452961758</v>
      </c>
      <c r="I268" s="905">
        <v>2.7586057021611721</v>
      </c>
      <c r="J268" s="905">
        <v>4.5699091128252736</v>
      </c>
      <c r="K268" s="905">
        <v>4.5706170107530069</v>
      </c>
      <c r="L268" s="905">
        <v>5.6979918935544918</v>
      </c>
      <c r="M268" s="905">
        <v>2.9408192574430494</v>
      </c>
      <c r="N268" s="905">
        <v>3.0864446595099775</v>
      </c>
      <c r="O268" s="905">
        <v>2.7796648299922055</v>
      </c>
      <c r="P268" s="904">
        <v>39.491891215214537</v>
      </c>
      <c r="Q268" s="905">
        <v>89.057359755183839</v>
      </c>
      <c r="R268" s="906">
        <v>144.43398403948092</v>
      </c>
      <c r="S268" s="905">
        <v>3.4731410731434669</v>
      </c>
      <c r="T268" s="904">
        <v>21.798752891849354</v>
      </c>
      <c r="U268" s="904">
        <v>10.735917654423435</v>
      </c>
      <c r="V268" s="905">
        <v>8.8025440395235979</v>
      </c>
      <c r="W268" s="905">
        <v>2.698777030180652</v>
      </c>
      <c r="X268" s="906">
        <v>4.5216368969331437</v>
      </c>
      <c r="Y268" s="904">
        <v>5.2960078930658909</v>
      </c>
      <c r="Z268" s="904">
        <v>2.5681933324255319</v>
      </c>
      <c r="AA268" s="905">
        <v>3.5344177497219182</v>
      </c>
      <c r="AB268" s="906">
        <v>7.0688354994438365</v>
      </c>
    </row>
    <row r="269" spans="1:28" x14ac:dyDescent="0.45">
      <c r="A269" s="744" t="s">
        <v>2582</v>
      </c>
      <c r="B269" s="904">
        <v>3.969948696674785</v>
      </c>
      <c r="C269" s="906">
        <v>4.498324843856607</v>
      </c>
      <c r="D269" s="905">
        <v>24.319294564687738</v>
      </c>
      <c r="E269" s="905">
        <v>25.097665583447878</v>
      </c>
      <c r="F269" s="905">
        <v>26.606595851613186</v>
      </c>
      <c r="G269" s="905">
        <v>27.333070113176721</v>
      </c>
      <c r="H269" s="905">
        <v>5.0160622987297208</v>
      </c>
      <c r="I269" s="905">
        <v>1.7812807282060508</v>
      </c>
      <c r="J269" s="905">
        <v>4.0551894885006314</v>
      </c>
      <c r="K269" s="905">
        <v>4.0555948784638751</v>
      </c>
      <c r="L269" s="905">
        <v>6.1581885496421531</v>
      </c>
      <c r="M269" s="905">
        <v>22.191428208211377</v>
      </c>
      <c r="N269" s="905">
        <v>22.923383668683826</v>
      </c>
      <c r="O269" s="905">
        <v>2.1196444204326488</v>
      </c>
      <c r="P269" s="904">
        <v>27.595883683517169</v>
      </c>
      <c r="Q269" s="905">
        <v>31.055274614535776</v>
      </c>
      <c r="R269" s="906">
        <v>35.116423704848081</v>
      </c>
      <c r="S269" s="905">
        <v>23.040106252421037</v>
      </c>
      <c r="T269" s="904">
        <v>4.126265119726078</v>
      </c>
      <c r="U269" s="904">
        <v>24.683287546989913</v>
      </c>
      <c r="V269" s="905">
        <v>5.2861137381960557</v>
      </c>
      <c r="W269" s="905">
        <v>2.0689925475324915</v>
      </c>
      <c r="X269" s="906">
        <v>4.4092419555663316</v>
      </c>
      <c r="Y269" s="904">
        <v>8.2476876275946687</v>
      </c>
      <c r="Z269" s="904">
        <v>1.5803412617253714</v>
      </c>
      <c r="AA269" s="905">
        <v>1.4882237580670676</v>
      </c>
      <c r="AB269" s="906">
        <v>2.9764475161341353</v>
      </c>
    </row>
    <row r="270" spans="1:28" x14ac:dyDescent="0.45">
      <c r="A270" s="744" t="s">
        <v>2583</v>
      </c>
      <c r="B270" s="904">
        <v>8.6113507066946724</v>
      </c>
      <c r="C270" s="906">
        <v>9.0112336167842493</v>
      </c>
      <c r="D270" s="905">
        <v>8.1005087427472393</v>
      </c>
      <c r="E270" s="905">
        <v>9.6085159278416103</v>
      </c>
      <c r="F270" s="905">
        <v>10.320767392729239</v>
      </c>
      <c r="G270" s="905">
        <v>11.728230388935081</v>
      </c>
      <c r="H270" s="905">
        <v>6.56863625806304</v>
      </c>
      <c r="I270" s="905">
        <v>3.1780067354865618</v>
      </c>
      <c r="J270" s="905">
        <v>5.0172801035135457</v>
      </c>
      <c r="K270" s="905">
        <v>5.0191024375998978</v>
      </c>
      <c r="L270" s="905">
        <v>8.9985081096121178</v>
      </c>
      <c r="M270" s="905">
        <v>4.729771221708222</v>
      </c>
      <c r="N270" s="905">
        <v>7.0483990649036521</v>
      </c>
      <c r="O270" s="905">
        <v>3.3718852738057401</v>
      </c>
      <c r="P270" s="904">
        <v>10.887496256759135</v>
      </c>
      <c r="Q270" s="905">
        <v>14.280490529440341</v>
      </c>
      <c r="R270" s="906">
        <v>18.234238011715096</v>
      </c>
      <c r="S270" s="905">
        <v>5.818185636647117</v>
      </c>
      <c r="T270" s="904">
        <v>8.5244832208722645</v>
      </c>
      <c r="U270" s="904">
        <v>8.7145117747647323</v>
      </c>
      <c r="V270" s="905">
        <v>7.021315642931099</v>
      </c>
      <c r="W270" s="905">
        <v>3.6427211026968171</v>
      </c>
      <c r="X270" s="906">
        <v>5.6188932420641899</v>
      </c>
      <c r="Y270" s="904">
        <v>15.392169147418226</v>
      </c>
      <c r="Z270" s="904">
        <v>2.5198482703003435</v>
      </c>
      <c r="AA270" s="905">
        <v>2.5461340169222004</v>
      </c>
      <c r="AB270" s="906">
        <v>5.0922680338444009</v>
      </c>
    </row>
    <row r="271" spans="1:28" x14ac:dyDescent="0.45">
      <c r="A271" s="744" t="s">
        <v>2584</v>
      </c>
      <c r="B271" s="904">
        <v>20.57253541238174</v>
      </c>
      <c r="C271" s="906">
        <v>32.634430492085379</v>
      </c>
      <c r="D271" s="905">
        <v>14.444429785566879</v>
      </c>
      <c r="E271" s="905">
        <v>19.309301961753775</v>
      </c>
      <c r="F271" s="905">
        <v>19.917317132832256</v>
      </c>
      <c r="G271" s="905">
        <v>24.457831022244498</v>
      </c>
      <c r="H271" s="905">
        <v>12.932737505058986</v>
      </c>
      <c r="I271" s="905">
        <v>8.8501996804962371</v>
      </c>
      <c r="J271" s="905">
        <v>8.6194582397114718</v>
      </c>
      <c r="K271" s="905">
        <v>8.6271331134064972</v>
      </c>
      <c r="L271" s="905">
        <v>13.365910427660786</v>
      </c>
      <c r="M271" s="905">
        <v>9.1083759141424405</v>
      </c>
      <c r="N271" s="905">
        <v>25.206953610331041</v>
      </c>
      <c r="O271" s="905">
        <v>5.1275380739827066</v>
      </c>
      <c r="P271" s="904">
        <v>20.182981499371312</v>
      </c>
      <c r="Q271" s="905">
        <v>28.834017315551861</v>
      </c>
      <c r="R271" s="906">
        <v>38.724425421309384</v>
      </c>
      <c r="S271" s="905">
        <v>10.646186743583957</v>
      </c>
      <c r="T271" s="904">
        <v>22.507964503353023</v>
      </c>
      <c r="U271" s="904">
        <v>23.632288785933532</v>
      </c>
      <c r="V271" s="905">
        <v>20.789822986179608</v>
      </c>
      <c r="W271" s="905">
        <v>15.447192111820524</v>
      </c>
      <c r="X271" s="906">
        <v>17.508483015367652</v>
      </c>
      <c r="Y271" s="904">
        <v>26.660203201757717</v>
      </c>
      <c r="Z271" s="904">
        <v>3.8280239723511973</v>
      </c>
      <c r="AA271" s="905">
        <v>4.1739253710897222</v>
      </c>
      <c r="AB271" s="906">
        <v>8.3478507421794443</v>
      </c>
    </row>
    <row r="272" spans="1:28" x14ac:dyDescent="0.45">
      <c r="A272" s="744" t="s">
        <v>2585</v>
      </c>
      <c r="B272" s="904">
        <v>1.1369628815216746</v>
      </c>
      <c r="C272" s="906">
        <v>2.2331135655275753</v>
      </c>
      <c r="D272" s="905">
        <v>1.596716751024434</v>
      </c>
      <c r="E272" s="905">
        <v>1.9736536499779604</v>
      </c>
      <c r="F272" s="905">
        <v>2.5919079297906547</v>
      </c>
      <c r="G272" s="905">
        <v>2.9437131084566102</v>
      </c>
      <c r="H272" s="905">
        <v>1.4376573494974227</v>
      </c>
      <c r="I272" s="905">
        <v>0.90249783216782542</v>
      </c>
      <c r="J272" s="905">
        <v>0.89424761911299977</v>
      </c>
      <c r="K272" s="905">
        <v>0.89459522345929821</v>
      </c>
      <c r="L272" s="905">
        <v>1.3542256878215964</v>
      </c>
      <c r="M272" s="905">
        <v>0.89989354258282739</v>
      </c>
      <c r="N272" s="905">
        <v>1.2846732416070421</v>
      </c>
      <c r="O272" s="905">
        <v>0.63436021092709349</v>
      </c>
      <c r="P272" s="904">
        <v>2.3633918826461038</v>
      </c>
      <c r="Q272" s="905">
        <v>3.9626516485220193</v>
      </c>
      <c r="R272" s="906">
        <v>5.7954486462793335</v>
      </c>
      <c r="S272" s="905">
        <v>1.0285889322305386</v>
      </c>
      <c r="T272" s="904">
        <v>1.307995485844347</v>
      </c>
      <c r="U272" s="904">
        <v>2.4518511366842137</v>
      </c>
      <c r="V272" s="905">
        <v>2.2244355697493496</v>
      </c>
      <c r="W272" s="905">
        <v>1.5333643355741806</v>
      </c>
      <c r="X272" s="906">
        <v>1.7317328861131107</v>
      </c>
      <c r="Y272" s="904">
        <v>0.77418283837864754</v>
      </c>
      <c r="Z272" s="904">
        <v>0.53556489451149369</v>
      </c>
      <c r="AA272" s="905">
        <v>0.49898733835593084</v>
      </c>
      <c r="AB272" s="906">
        <v>0.99797467671186169</v>
      </c>
    </row>
    <row r="273" spans="1:28" x14ac:dyDescent="0.45">
      <c r="A273" s="744" t="s">
        <v>2586</v>
      </c>
      <c r="B273" s="904">
        <v>0.96409780917108345</v>
      </c>
      <c r="C273" s="906">
        <v>2.0079159498330266</v>
      </c>
      <c r="D273" s="905">
        <v>1.2690221817976435</v>
      </c>
      <c r="E273" s="905">
        <v>1.5974526123967561</v>
      </c>
      <c r="F273" s="905">
        <v>1.5870835439376154</v>
      </c>
      <c r="G273" s="905">
        <v>1.8936163525775653</v>
      </c>
      <c r="H273" s="905">
        <v>1.1454793863499779</v>
      </c>
      <c r="I273" s="905">
        <v>0.75733784865249731</v>
      </c>
      <c r="J273" s="905">
        <v>0.68492229472806698</v>
      </c>
      <c r="K273" s="905">
        <v>0.685214889740272</v>
      </c>
      <c r="L273" s="905">
        <v>1.0106632521352308</v>
      </c>
      <c r="M273" s="905">
        <v>0.72236885344834545</v>
      </c>
      <c r="N273" s="905">
        <v>1.1139302187980664</v>
      </c>
      <c r="O273" s="905">
        <v>0.48449907922253255</v>
      </c>
      <c r="P273" s="904">
        <v>1.5950002194784372</v>
      </c>
      <c r="Q273" s="905">
        <v>2.0753963096485237</v>
      </c>
      <c r="R273" s="906">
        <v>2.6410183805492937</v>
      </c>
      <c r="S273" s="905">
        <v>0.7975827453869373</v>
      </c>
      <c r="T273" s="904">
        <v>1.1174526270662546</v>
      </c>
      <c r="U273" s="904">
        <v>2.062510207522612</v>
      </c>
      <c r="V273" s="905">
        <v>1.8873804511662522</v>
      </c>
      <c r="W273" s="905">
        <v>1.3379125076229992</v>
      </c>
      <c r="X273" s="906">
        <v>1.4589389804272459</v>
      </c>
      <c r="Y273" s="904">
        <v>0.69703210212847244</v>
      </c>
      <c r="Z273" s="904">
        <v>0.42313637511772323</v>
      </c>
      <c r="AA273" s="905">
        <v>0.39570120879870824</v>
      </c>
      <c r="AB273" s="906">
        <v>0.79140241759741647</v>
      </c>
    </row>
    <row r="274" spans="1:28" x14ac:dyDescent="0.45">
      <c r="A274" s="744" t="s">
        <v>2587</v>
      </c>
      <c r="B274" s="904">
        <v>8.5283896233849834</v>
      </c>
      <c r="C274" s="906">
        <v>16.871418325467285</v>
      </c>
      <c r="D274" s="905">
        <v>10.052171717261611</v>
      </c>
      <c r="E274" s="905">
        <v>13.623786601544893</v>
      </c>
      <c r="F274" s="905">
        <v>15.018425688318743</v>
      </c>
      <c r="G274" s="905">
        <v>18.351908337482744</v>
      </c>
      <c r="H274" s="905">
        <v>8.6043567548015183</v>
      </c>
      <c r="I274" s="905">
        <v>5.9123582390895404</v>
      </c>
      <c r="J274" s="905">
        <v>6.385114046336553</v>
      </c>
      <c r="K274" s="905">
        <v>6.3865622910849194</v>
      </c>
      <c r="L274" s="905">
        <v>10.81924415470594</v>
      </c>
      <c r="M274" s="905">
        <v>6.1405038517453994</v>
      </c>
      <c r="N274" s="905">
        <v>5.0491655370394097</v>
      </c>
      <c r="O274" s="905">
        <v>4.4383533597468707</v>
      </c>
      <c r="P274" s="904">
        <v>15.105770858380234</v>
      </c>
      <c r="Q274" s="905">
        <v>22.768103097439496</v>
      </c>
      <c r="R274" s="906">
        <v>31.812918016781349</v>
      </c>
      <c r="S274" s="905">
        <v>7.8742089575701488</v>
      </c>
      <c r="T274" s="904">
        <v>9.6737774208240772</v>
      </c>
      <c r="U274" s="904">
        <v>17.065683051850435</v>
      </c>
      <c r="V274" s="905">
        <v>15.104640306376123</v>
      </c>
      <c r="W274" s="905">
        <v>11.160278080613821</v>
      </c>
      <c r="X274" s="906">
        <v>13.320845810831514</v>
      </c>
      <c r="Y274" s="904">
        <v>9.3507817889288969</v>
      </c>
      <c r="Z274" s="904">
        <v>3.26613507349757</v>
      </c>
      <c r="AA274" s="905">
        <v>3.1702702257188933</v>
      </c>
      <c r="AB274" s="906">
        <v>6.3405404514377866</v>
      </c>
    </row>
    <row r="275" spans="1:28" x14ac:dyDescent="0.45">
      <c r="A275" s="744" t="s">
        <v>2588</v>
      </c>
      <c r="B275" s="904">
        <v>0.18366852283243348</v>
      </c>
      <c r="C275" s="906">
        <v>0.35395005537592339</v>
      </c>
      <c r="D275" s="905">
        <v>0.16725812380831698</v>
      </c>
      <c r="E275" s="905">
        <v>0.22865109500707656</v>
      </c>
      <c r="F275" s="905">
        <v>0.19900978103157402</v>
      </c>
      <c r="G275" s="905">
        <v>0.25630946504069085</v>
      </c>
      <c r="H275" s="905">
        <v>0.12638578849659549</v>
      </c>
      <c r="I275" s="905">
        <v>0.10026309050072821</v>
      </c>
      <c r="J275" s="905">
        <v>9.1538812271782649E-2</v>
      </c>
      <c r="K275" s="905">
        <v>9.1579119391428043E-2</v>
      </c>
      <c r="L275" s="905">
        <v>0.15697638912216416</v>
      </c>
      <c r="M275" s="905">
        <v>0.12232311372975928</v>
      </c>
      <c r="N275" s="905">
        <v>0.149264596409001</v>
      </c>
      <c r="O275" s="905">
        <v>7.4047594409071202E-2</v>
      </c>
      <c r="P275" s="904">
        <v>0.19144022467828201</v>
      </c>
      <c r="Q275" s="905">
        <v>0.23942819439921109</v>
      </c>
      <c r="R275" s="906">
        <v>0.29621227907987135</v>
      </c>
      <c r="S275" s="905">
        <v>0.12870150236687522</v>
      </c>
      <c r="T275" s="904">
        <v>0.21773124017875048</v>
      </c>
      <c r="U275" s="904">
        <v>0.28702818856908885</v>
      </c>
      <c r="V275" s="905">
        <v>0.24261681665790513</v>
      </c>
      <c r="W275" s="905">
        <v>0.18794781521716825</v>
      </c>
      <c r="X275" s="906">
        <v>0.20846575860109995</v>
      </c>
      <c r="Y275" s="904">
        <v>0.14895384948333992</v>
      </c>
      <c r="Z275" s="904">
        <v>5.0762559209292998E-2</v>
      </c>
      <c r="AA275" s="905">
        <v>5.1919007141639578E-2</v>
      </c>
      <c r="AB275" s="906">
        <v>0.10383801428327916</v>
      </c>
    </row>
    <row r="276" spans="1:28" x14ac:dyDescent="0.45">
      <c r="A276" s="744" t="s">
        <v>2589</v>
      </c>
      <c r="B276" s="904">
        <v>0.35746808375447098</v>
      </c>
      <c r="C276" s="906">
        <v>0.75912822283484405</v>
      </c>
      <c r="D276" s="905">
        <v>0.24561865218548948</v>
      </c>
      <c r="E276" s="905">
        <v>0.37198241549608146</v>
      </c>
      <c r="F276" s="905">
        <v>0.30365204044267613</v>
      </c>
      <c r="G276" s="905">
        <v>0.42159068336090721</v>
      </c>
      <c r="H276" s="905">
        <v>0.22973771080711808</v>
      </c>
      <c r="I276" s="905">
        <v>0.19740762131902459</v>
      </c>
      <c r="J276" s="905">
        <v>0.13450188323692996</v>
      </c>
      <c r="K276" s="905">
        <v>0.13461764244022315</v>
      </c>
      <c r="L276" s="905">
        <v>0.20226069834552979</v>
      </c>
      <c r="M276" s="905">
        <v>0.18853777700738467</v>
      </c>
      <c r="N276" s="905">
        <v>0.59272284349181825</v>
      </c>
      <c r="O276" s="905">
        <v>9.2735352362938742E-2</v>
      </c>
      <c r="P276" s="904">
        <v>0.30121844469997122</v>
      </c>
      <c r="Q276" s="905">
        <v>0.39032982618612072</v>
      </c>
      <c r="R276" s="906">
        <v>0.49376345220863149</v>
      </c>
      <c r="S276" s="905">
        <v>0.19922108638345615</v>
      </c>
      <c r="T276" s="904">
        <v>0.40140968540881289</v>
      </c>
      <c r="U276" s="904">
        <v>0.55622595190090729</v>
      </c>
      <c r="V276" s="905">
        <v>0.49737217538044609</v>
      </c>
      <c r="W276" s="905">
        <v>0.42102604117690867</v>
      </c>
      <c r="X276" s="906">
        <v>0.43468562885802903</v>
      </c>
      <c r="Y276" s="904">
        <v>0.34314263198377731</v>
      </c>
      <c r="Z276" s="904">
        <v>6.5669071464042744E-2</v>
      </c>
      <c r="AA276" s="905">
        <v>7.2108316460898145E-2</v>
      </c>
      <c r="AB276" s="906">
        <v>0.14421663292179629</v>
      </c>
    </row>
    <row r="277" spans="1:28" x14ac:dyDescent="0.45">
      <c r="A277" s="744" t="s">
        <v>1957</v>
      </c>
      <c r="B277" s="904">
        <v>94.334482271415681</v>
      </c>
      <c r="C277" s="906">
        <v>88.185172978478164</v>
      </c>
      <c r="D277" s="905">
        <v>36.945742695906574</v>
      </c>
      <c r="E277" s="905">
        <v>48.908533759882765</v>
      </c>
      <c r="F277" s="905">
        <v>41.324390360474673</v>
      </c>
      <c r="G277" s="905">
        <v>52.489579704605511</v>
      </c>
      <c r="H277" s="905">
        <v>30.280080277029317</v>
      </c>
      <c r="I277" s="905">
        <v>9.8871416385280284</v>
      </c>
      <c r="J277" s="905">
        <v>19.275904086037475</v>
      </c>
      <c r="K277" s="905">
        <v>19.277824720158144</v>
      </c>
      <c r="L277" s="905">
        <v>37.703949151493255</v>
      </c>
      <c r="M277" s="905">
        <v>16.654948322379092</v>
      </c>
      <c r="N277" s="905">
        <v>18.190400188944835</v>
      </c>
      <c r="O277" s="905">
        <v>10.62417909518188</v>
      </c>
      <c r="P277" s="904">
        <v>44.217994114887659</v>
      </c>
      <c r="Q277" s="905">
        <v>51.152644661180688</v>
      </c>
      <c r="R277" s="906">
        <v>58.810597585146574</v>
      </c>
      <c r="S277" s="905">
        <v>22.522208110542508</v>
      </c>
      <c r="T277" s="904">
        <v>89.136430225483437</v>
      </c>
      <c r="U277" s="904">
        <v>37.043298940591555</v>
      </c>
      <c r="V277" s="905">
        <v>29.854921154015372</v>
      </c>
      <c r="W277" s="905">
        <v>10.059876245700604</v>
      </c>
      <c r="X277" s="906">
        <v>19.4530852115637</v>
      </c>
      <c r="Y277" s="904">
        <v>134.8311170586866</v>
      </c>
      <c r="Z277" s="904">
        <v>9.3711435307165516</v>
      </c>
      <c r="AA277" s="905">
        <v>12.120013436040082</v>
      </c>
      <c r="AB277" s="906">
        <v>24.240026872080165</v>
      </c>
    </row>
    <row r="278" spans="1:28" x14ac:dyDescent="0.45">
      <c r="A278" s="744" t="s">
        <v>1956</v>
      </c>
      <c r="B278" s="904">
        <v>0.10360397773314678</v>
      </c>
      <c r="C278" s="906">
        <v>5.8929488059848045E-2</v>
      </c>
      <c r="D278" s="905">
        <v>0.21681187027984958</v>
      </c>
      <c r="E278" s="905">
        <v>0.25237503793875821</v>
      </c>
      <c r="F278" s="905">
        <v>2.7283770972334218</v>
      </c>
      <c r="G278" s="905">
        <v>2.7615691423393915</v>
      </c>
      <c r="H278" s="905">
        <v>0.17140399848116283</v>
      </c>
      <c r="I278" s="905">
        <v>8.2491265357623397E-2</v>
      </c>
      <c r="J278" s="905">
        <v>0.14166256997190682</v>
      </c>
      <c r="K278" s="905">
        <v>0.1416832098384018</v>
      </c>
      <c r="L278" s="905">
        <v>0.29709964943354333</v>
      </c>
      <c r="M278" s="905">
        <v>0.14229483191743764</v>
      </c>
      <c r="N278" s="905">
        <v>0.18038738858849684</v>
      </c>
      <c r="O278" s="905">
        <v>0.10141144046979332</v>
      </c>
      <c r="P278" s="904">
        <v>2.6062148445262689</v>
      </c>
      <c r="Q278" s="905">
        <v>6.728911486665778</v>
      </c>
      <c r="R278" s="906">
        <v>11.334338123484239</v>
      </c>
      <c r="S278" s="905">
        <v>0.1734206912372801</v>
      </c>
      <c r="T278" s="904">
        <v>6.1519101556029597E-2</v>
      </c>
      <c r="U278" s="904">
        <v>0.22266514778817409</v>
      </c>
      <c r="V278" s="905">
        <v>0.17161327017682709</v>
      </c>
      <c r="W278" s="905">
        <v>8.6242592066673174E-2</v>
      </c>
      <c r="X278" s="906">
        <v>0.14790140267415855</v>
      </c>
      <c r="Y278" s="904">
        <v>0.17592618232250243</v>
      </c>
      <c r="Z278" s="904">
        <v>7.4144351293986291E-2</v>
      </c>
      <c r="AA278" s="905">
        <v>7.0313223099642871E-2</v>
      </c>
      <c r="AB278" s="906">
        <v>0.14062644619928574</v>
      </c>
    </row>
    <row r="279" spans="1:28" x14ac:dyDescent="0.45">
      <c r="A279" s="744" t="s">
        <v>1955</v>
      </c>
      <c r="B279" s="879">
        <v>6424.1653652898813</v>
      </c>
      <c r="C279" s="877">
        <v>3948.5788081566798</v>
      </c>
      <c r="D279" s="7">
        <v>12151.7463294389</v>
      </c>
      <c r="E279" s="7">
        <v>12861.195547934596</v>
      </c>
      <c r="F279" s="7">
        <v>14325.905857809639</v>
      </c>
      <c r="G279" s="7">
        <v>14988.053580041718</v>
      </c>
      <c r="H279" s="7">
        <v>10659.753725586341</v>
      </c>
      <c r="I279" s="7">
        <v>4516.0044128258342</v>
      </c>
      <c r="J279" s="7">
        <v>7748.3975960187208</v>
      </c>
      <c r="K279" s="7">
        <v>7749.6933913754574</v>
      </c>
      <c r="L279" s="7">
        <v>13337.198661602519</v>
      </c>
      <c r="M279" s="7">
        <v>7008.797607442074</v>
      </c>
      <c r="N279" s="7">
        <v>8259.9399146290525</v>
      </c>
      <c r="O279" s="7">
        <v>4833.6126694869827</v>
      </c>
      <c r="P279" s="879">
        <v>15487.009934861971</v>
      </c>
      <c r="Q279" s="7">
        <v>18490.080330970392</v>
      </c>
      <c r="R279" s="877">
        <v>22292.868549960182</v>
      </c>
      <c r="S279" s="7">
        <v>7569.8498652973594</v>
      </c>
      <c r="T279" s="879">
        <v>4283.7472162844469</v>
      </c>
      <c r="U279" s="879">
        <v>12346.959839829378</v>
      </c>
      <c r="V279" s="7">
        <v>10553.445234519664</v>
      </c>
      <c r="W279" s="7">
        <v>4718.7214409570315</v>
      </c>
      <c r="X279" s="877">
        <v>7978.840238773666</v>
      </c>
      <c r="Y279" s="879">
        <v>6208.6744790447156</v>
      </c>
      <c r="Z279" s="879">
        <v>4134.0567560856234</v>
      </c>
      <c r="AA279" s="7">
        <v>3927.2148558801764</v>
      </c>
      <c r="AB279" s="877">
        <v>7854.4297117603528</v>
      </c>
    </row>
    <row r="280" spans="1:28" x14ac:dyDescent="0.45">
      <c r="A280" s="744" t="s">
        <v>2590</v>
      </c>
      <c r="B280" s="879">
        <v>6450.0704946002761</v>
      </c>
      <c r="C280" s="877">
        <v>3976.7590972225985</v>
      </c>
      <c r="D280" s="7">
        <v>12240.270835046969</v>
      </c>
      <c r="E280" s="7">
        <v>12954.515702127712</v>
      </c>
      <c r="F280" s="7">
        <v>14425.048096973836</v>
      </c>
      <c r="G280" s="7">
        <v>15091.671724886588</v>
      </c>
      <c r="H280" s="7">
        <v>10685.709262441958</v>
      </c>
      <c r="I280" s="7">
        <v>4526.5500816797457</v>
      </c>
      <c r="J280" s="7">
        <v>7768.9205672300695</v>
      </c>
      <c r="K280" s="7">
        <v>7770.2204897200409</v>
      </c>
      <c r="L280" s="7">
        <v>13370.532195325912</v>
      </c>
      <c r="M280" s="7">
        <v>7085.3933896584458</v>
      </c>
      <c r="N280" s="7">
        <v>8342.4605160698702</v>
      </c>
      <c r="O280" s="7">
        <v>4845.5175714561692</v>
      </c>
      <c r="P280" s="879">
        <v>15590.126028364793</v>
      </c>
      <c r="Q280" s="7">
        <v>18609.310041017674</v>
      </c>
      <c r="R280" s="877">
        <v>22430.96853976346</v>
      </c>
      <c r="S280" s="7">
        <v>7650.8010595940414</v>
      </c>
      <c r="T280" s="879">
        <v>4310.0030257308681</v>
      </c>
      <c r="U280" s="879">
        <v>12437.583652139745</v>
      </c>
      <c r="V280" s="7">
        <v>10580.95378501403</v>
      </c>
      <c r="W280" s="7">
        <v>4730.8940770820318</v>
      </c>
      <c r="X280" s="877">
        <v>8001.4120655822344</v>
      </c>
      <c r="Y280" s="7">
        <v>6258.5674665252336</v>
      </c>
      <c r="Z280" s="879">
        <v>4142.9419145856155</v>
      </c>
      <c r="AA280" s="7">
        <v>3935.8542210003629</v>
      </c>
      <c r="AB280" s="877">
        <v>7871.7084420007259</v>
      </c>
    </row>
    <row r="281" spans="1:28" x14ac:dyDescent="0.45">
      <c r="A281" s="737" t="s">
        <v>2591</v>
      </c>
      <c r="B281" s="983">
        <v>9307.5600168420315</v>
      </c>
      <c r="C281" s="739">
        <v>6637.9306009128031</v>
      </c>
      <c r="D281" s="738">
        <v>13406.098261548326</v>
      </c>
      <c r="E281" s="738">
        <v>14488.651099977966</v>
      </c>
      <c r="F281" s="738">
        <v>16387.799738554932</v>
      </c>
      <c r="G281" s="738">
        <v>17398.174938744691</v>
      </c>
      <c r="H281" s="738">
        <v>11639.533730350346</v>
      </c>
      <c r="I281" s="738">
        <v>4845.0245161553567</v>
      </c>
      <c r="J281" s="738">
        <v>8384.7382708537498</v>
      </c>
      <c r="K281" s="738">
        <v>8386.1012819319621</v>
      </c>
      <c r="L281" s="738">
        <v>14580.382076970598</v>
      </c>
      <c r="M281" s="738">
        <v>7622.7499697879393</v>
      </c>
      <c r="N281" s="738">
        <v>8935.9751797141671</v>
      </c>
      <c r="O281" s="738">
        <v>5191.1169760361208</v>
      </c>
      <c r="P281" s="983">
        <v>17607.312785610884</v>
      </c>
      <c r="Q281" s="738">
        <v>21927.050924819527</v>
      </c>
      <c r="R281" s="739">
        <v>27198.886070041182</v>
      </c>
      <c r="S281" s="738">
        <v>8372.4237860881949</v>
      </c>
      <c r="T281" s="983">
        <v>7000.3984944077183</v>
      </c>
      <c r="U281" s="983">
        <v>13607.888884521359</v>
      </c>
      <c r="V281" s="738">
        <v>11522.07893623135</v>
      </c>
      <c r="W281" s="738">
        <v>5055.5446513507186</v>
      </c>
      <c r="X281" s="739">
        <v>8624.1984936377976</v>
      </c>
      <c r="Y281" s="983">
        <v>10350.121416601294</v>
      </c>
      <c r="Z281" s="983">
        <v>4443.7244736000184</v>
      </c>
      <c r="AA281" s="738">
        <v>4318.0876282029703</v>
      </c>
      <c r="AB281" s="739">
        <v>8636.1752564059407</v>
      </c>
    </row>
    <row r="282" spans="1:28" x14ac:dyDescent="0.45">
      <c r="A282" s="725" t="s">
        <v>2618</v>
      </c>
      <c r="B282" s="7"/>
      <c r="C282" s="7"/>
      <c r="D282" s="7"/>
      <c r="E282" s="7"/>
      <c r="F282" s="7"/>
      <c r="G282" s="7"/>
      <c r="H282" s="7"/>
      <c r="I282" s="7"/>
      <c r="J282" s="7"/>
      <c r="K282" s="7"/>
      <c r="L282" s="7"/>
      <c r="M282" s="7"/>
      <c r="N282" s="7"/>
      <c r="O282" s="7"/>
      <c r="P282" s="879"/>
      <c r="Q282" s="7"/>
      <c r="R282" s="877"/>
      <c r="S282" s="7"/>
      <c r="T282" s="7"/>
      <c r="U282" s="984"/>
      <c r="V282" s="984"/>
      <c r="W282" s="984"/>
      <c r="X282" s="984"/>
      <c r="Y282" s="7"/>
      <c r="Z282" s="879"/>
      <c r="AA282" s="7"/>
      <c r="AB282" s="877"/>
    </row>
    <row r="283" spans="1:28" x14ac:dyDescent="0.45">
      <c r="A283" s="740" t="s">
        <v>2508</v>
      </c>
      <c r="B283" s="982"/>
      <c r="C283" s="985"/>
      <c r="D283" s="986">
        <v>0.86340162433430534</v>
      </c>
      <c r="E283" s="986"/>
      <c r="F283" s="986">
        <v>0.80583557500656444</v>
      </c>
      <c r="G283" s="986">
        <v>0.70065754585884321</v>
      </c>
      <c r="H283" s="986">
        <v>0.88035087318703953</v>
      </c>
      <c r="I283" s="986">
        <v>0.99919999999999998</v>
      </c>
      <c r="J283" s="986">
        <v>1.0008441227818503</v>
      </c>
      <c r="K283" s="986">
        <v>1.0008439382074072</v>
      </c>
      <c r="L283" s="986">
        <v>0.97824695128556027</v>
      </c>
      <c r="M283" s="986"/>
      <c r="N283" s="986"/>
      <c r="O283" s="986">
        <v>1.0257000000000001</v>
      </c>
      <c r="P283" s="982">
        <v>0.85864262887861664</v>
      </c>
      <c r="Q283" s="986">
        <v>0.74837347646900176</v>
      </c>
      <c r="R283" s="985">
        <v>0.63788321791859337</v>
      </c>
      <c r="S283" s="986"/>
      <c r="T283" s="982"/>
      <c r="U283" s="982">
        <v>0.86340162433430534</v>
      </c>
      <c r="V283" s="986">
        <v>0.88035087318703953</v>
      </c>
      <c r="W283" s="986">
        <v>0.99919999999999998</v>
      </c>
      <c r="X283" s="985">
        <v>1.0008441227818503</v>
      </c>
      <c r="Y283" s="982"/>
      <c r="Z283" s="982">
        <v>0.99919999999999998</v>
      </c>
      <c r="AA283" s="986">
        <v>0.86340162433430534</v>
      </c>
      <c r="AB283" s="985">
        <v>0.86340162433430534</v>
      </c>
    </row>
    <row r="284" spans="1:28" x14ac:dyDescent="0.45">
      <c r="A284" s="744" t="s">
        <v>2582</v>
      </c>
      <c r="B284" s="904">
        <v>0.68016271271756767</v>
      </c>
      <c r="C284" s="906">
        <v>0.90955385762803642</v>
      </c>
      <c r="D284" s="905">
        <v>15.621036736413846</v>
      </c>
      <c r="E284" s="905">
        <v>16.425455443901761</v>
      </c>
      <c r="F284" s="905">
        <v>15.495196173605429</v>
      </c>
      <c r="G284" s="905">
        <v>16.245981432081582</v>
      </c>
      <c r="H284" s="905">
        <v>1.9839750121636377</v>
      </c>
      <c r="I284" s="905">
        <v>0.93629025300562285</v>
      </c>
      <c r="J284" s="905">
        <v>2.3546750858827528</v>
      </c>
      <c r="K284" s="905">
        <v>2.3548059119557907</v>
      </c>
      <c r="L284" s="905">
        <v>4.1501680457406369</v>
      </c>
      <c r="M284" s="905">
        <v>14.519720853973524</v>
      </c>
      <c r="N284" s="905">
        <v>14.521523570443962</v>
      </c>
      <c r="O284" s="905">
        <v>1.2723578096571664</v>
      </c>
      <c r="P284" s="904">
        <v>15.89251673011095</v>
      </c>
      <c r="Q284" s="905">
        <v>15.503771629237914</v>
      </c>
      <c r="R284" s="906">
        <v>15.225100767207511</v>
      </c>
      <c r="S284" s="905">
        <v>14.978469868670615</v>
      </c>
      <c r="T284" s="904">
        <v>0.69281098784810347</v>
      </c>
      <c r="U284" s="904">
        <v>15.600185749008567</v>
      </c>
      <c r="V284" s="905">
        <v>1.9500509791995007</v>
      </c>
      <c r="W284" s="905">
        <v>0.93037486081993503</v>
      </c>
      <c r="X284" s="906">
        <v>2.3336019964160548</v>
      </c>
      <c r="Y284" s="904">
        <v>1.6004311752995737</v>
      </c>
      <c r="Z284" s="904">
        <v>0.91938029032229851</v>
      </c>
      <c r="AA284" s="905">
        <v>0.78534513457902977</v>
      </c>
      <c r="AB284" s="906">
        <v>1.5706902691580595</v>
      </c>
    </row>
    <row r="285" spans="1:28" x14ac:dyDescent="0.45">
      <c r="A285" s="744" t="s">
        <v>2583</v>
      </c>
      <c r="B285" s="904">
        <v>0.32280513069072631</v>
      </c>
      <c r="C285" s="906">
        <v>0.36282812357892824</v>
      </c>
      <c r="D285" s="905">
        <v>3.0479075230964066</v>
      </c>
      <c r="E285" s="905">
        <v>3.9770245310707755</v>
      </c>
      <c r="F285" s="905">
        <v>2.962243135390493</v>
      </c>
      <c r="G285" s="905">
        <v>3.8294126162756772</v>
      </c>
      <c r="H285" s="905">
        <v>2.3923851528592852</v>
      </c>
      <c r="I285" s="905">
        <v>1.1751178304806182</v>
      </c>
      <c r="J285" s="905">
        <v>1.9509938376753559</v>
      </c>
      <c r="K285" s="905">
        <v>1.951443494636268</v>
      </c>
      <c r="L285" s="905">
        <v>4.2587816680138237</v>
      </c>
      <c r="M285" s="905">
        <v>2.0054832746358904</v>
      </c>
      <c r="N285" s="905">
        <v>1.8872921705469399</v>
      </c>
      <c r="O285" s="905">
        <v>1.5780793743425261</v>
      </c>
      <c r="P285" s="904">
        <v>3.2116817194622995</v>
      </c>
      <c r="Q285" s="905">
        <v>2.9027623455108493</v>
      </c>
      <c r="R285" s="906">
        <v>2.6847931234216489</v>
      </c>
      <c r="S285" s="905">
        <v>2.3033378307412002</v>
      </c>
      <c r="T285" s="904">
        <v>0.33925842301643411</v>
      </c>
      <c r="U285" s="904">
        <v>2.9467781960673203</v>
      </c>
      <c r="V285" s="905">
        <v>2.2628039811480796</v>
      </c>
      <c r="W285" s="905">
        <v>1.1391396719089519</v>
      </c>
      <c r="X285" s="906">
        <v>1.8528996858423867</v>
      </c>
      <c r="Y285" s="904">
        <v>0.37488648108611716</v>
      </c>
      <c r="Z285" s="904">
        <v>1.1293507853452041</v>
      </c>
      <c r="AA285" s="905">
        <v>0.97837087187421512</v>
      </c>
      <c r="AB285" s="906">
        <v>1.9567417437484302</v>
      </c>
    </row>
    <row r="286" spans="1:28" x14ac:dyDescent="0.45">
      <c r="A286" s="744" t="s">
        <v>2584</v>
      </c>
      <c r="B286" s="904">
        <v>0.97466996660437211</v>
      </c>
      <c r="C286" s="906">
        <v>1.9226462266296671</v>
      </c>
      <c r="D286" s="905">
        <v>4.8747394131309516</v>
      </c>
      <c r="E286" s="905">
        <v>6.4688908217229786</v>
      </c>
      <c r="F286" s="905">
        <v>4.8019820509925291</v>
      </c>
      <c r="G286" s="905">
        <v>6.2898457297072223</v>
      </c>
      <c r="H286" s="905">
        <v>3.8692067975051518</v>
      </c>
      <c r="I286" s="905">
        <v>1.9889048463794794</v>
      </c>
      <c r="J286" s="905">
        <v>3.1256372502202048</v>
      </c>
      <c r="K286" s="905">
        <v>3.1270941593594817</v>
      </c>
      <c r="L286" s="905">
        <v>6.6439660561350156</v>
      </c>
      <c r="M286" s="905">
        <v>3.5105357022782759</v>
      </c>
      <c r="N286" s="905">
        <v>3.0522156688593358</v>
      </c>
      <c r="O286" s="905">
        <v>2.45186224131362</v>
      </c>
      <c r="P286" s="904">
        <v>5.2496070229214</v>
      </c>
      <c r="Q286" s="905">
        <v>4.8691849219868537</v>
      </c>
      <c r="R286" s="906">
        <v>4.6260886447307294</v>
      </c>
      <c r="S286" s="905">
        <v>3.8945990563238722</v>
      </c>
      <c r="T286" s="904">
        <v>1.1042801737670527</v>
      </c>
      <c r="U286" s="904">
        <v>4.5330321193497349</v>
      </c>
      <c r="V286" s="905">
        <v>3.3774992148760261</v>
      </c>
      <c r="W286" s="905">
        <v>1.7170688803608805</v>
      </c>
      <c r="X286" s="906">
        <v>2.7962835798639532</v>
      </c>
      <c r="Y286" s="904">
        <v>0.65528782962795562</v>
      </c>
      <c r="Z286" s="904">
        <v>1.6979995591250194</v>
      </c>
      <c r="AA286" s="905">
        <v>1.5037588109979823</v>
      </c>
      <c r="AB286" s="906">
        <v>3.0075176219959645</v>
      </c>
    </row>
    <row r="287" spans="1:28" x14ac:dyDescent="0.45">
      <c r="A287" s="744" t="s">
        <v>2585</v>
      </c>
      <c r="B287" s="904">
        <v>7.2927823169159189E-2</v>
      </c>
      <c r="C287" s="906">
        <v>0.15774988346692104</v>
      </c>
      <c r="D287" s="905">
        <v>0.93042469304058617</v>
      </c>
      <c r="E287" s="905">
        <v>1.2150092674584774</v>
      </c>
      <c r="F287" s="905">
        <v>0.88127769668145872</v>
      </c>
      <c r="G287" s="905">
        <v>1.1468880079208601</v>
      </c>
      <c r="H287" s="905">
        <v>0.80873963616177935</v>
      </c>
      <c r="I287" s="905">
        <v>0.38210855357296614</v>
      </c>
      <c r="J287" s="905">
        <v>0.53616308178590266</v>
      </c>
      <c r="K287" s="905">
        <v>0.53622605392982359</v>
      </c>
      <c r="L287" s="905">
        <v>1.1026028649345345</v>
      </c>
      <c r="M287" s="905">
        <v>0.50021310313444456</v>
      </c>
      <c r="N287" s="905">
        <v>0.48197982310442028</v>
      </c>
      <c r="O287" s="905">
        <v>0.42997863739446163</v>
      </c>
      <c r="P287" s="904">
        <v>0.90303759166177044</v>
      </c>
      <c r="Q287" s="905">
        <v>0.77894928115185624</v>
      </c>
      <c r="R287" s="906">
        <v>0.67488690148705455</v>
      </c>
      <c r="S287" s="905">
        <v>0.56768897328239665</v>
      </c>
      <c r="T287" s="904">
        <v>8.3373349906607983E-2</v>
      </c>
      <c r="U287" s="904">
        <v>0.91624676630475466</v>
      </c>
      <c r="V287" s="905">
        <v>0.78646653849214587</v>
      </c>
      <c r="W287" s="905">
        <v>0.36344919256316488</v>
      </c>
      <c r="X287" s="906">
        <v>0.52383625628847741</v>
      </c>
      <c r="Y287" s="904">
        <v>6.859664227132832E-2</v>
      </c>
      <c r="Z287" s="904">
        <v>0.36053618499240048</v>
      </c>
      <c r="AA287" s="905">
        <v>0.30424697423667463</v>
      </c>
      <c r="AB287" s="906">
        <v>0.60849394847334926</v>
      </c>
    </row>
    <row r="288" spans="1:28" x14ac:dyDescent="0.45">
      <c r="A288" s="744" t="s">
        <v>2586</v>
      </c>
      <c r="B288" s="904">
        <v>6.1180678988955906E-2</v>
      </c>
      <c r="C288" s="906">
        <v>0.14181289503748559</v>
      </c>
      <c r="D288" s="905">
        <v>0.74465123303373526</v>
      </c>
      <c r="E288" s="905">
        <v>0.97319212306890446</v>
      </c>
      <c r="F288" s="905">
        <v>0.70507054865334462</v>
      </c>
      <c r="G288" s="905">
        <v>0.91837380677032743</v>
      </c>
      <c r="H288" s="905">
        <v>0.65026922107183704</v>
      </c>
      <c r="I288" s="905">
        <v>0.30750267446771695</v>
      </c>
      <c r="J288" s="905">
        <v>0.41290850695332842</v>
      </c>
      <c r="K288" s="905">
        <v>0.41295585119832456</v>
      </c>
      <c r="L288" s="905">
        <v>0.85221587633440699</v>
      </c>
      <c r="M288" s="905">
        <v>0.40423256695253718</v>
      </c>
      <c r="N288" s="905">
        <v>0.39107339809183256</v>
      </c>
      <c r="O288" s="905">
        <v>0.33632204801428378</v>
      </c>
      <c r="P288" s="904">
        <v>0.7235278826493452</v>
      </c>
      <c r="Q288" s="905">
        <v>0.6266440064664166</v>
      </c>
      <c r="R288" s="906">
        <v>0.54111228260084876</v>
      </c>
      <c r="S288" s="905">
        <v>0.44029369083569975</v>
      </c>
      <c r="T288" s="904">
        <v>7.1140078763482537E-2</v>
      </c>
      <c r="U288" s="904">
        <v>0.73397564894856371</v>
      </c>
      <c r="V288" s="905">
        <v>0.63323476241414867</v>
      </c>
      <c r="W288" s="905">
        <v>0.29036699891710677</v>
      </c>
      <c r="X288" s="906">
        <v>0.40378399246137187</v>
      </c>
      <c r="Y288" s="904">
        <v>5.5760865106392318E-2</v>
      </c>
      <c r="Z288" s="904">
        <v>0.28802124815368108</v>
      </c>
      <c r="AA288" s="905">
        <v>0.24371835063344582</v>
      </c>
      <c r="AB288" s="906">
        <v>0.48743670126689165</v>
      </c>
    </row>
    <row r="289" spans="1:28" x14ac:dyDescent="0.45">
      <c r="A289" s="744" t="s">
        <v>2587</v>
      </c>
      <c r="B289" s="904">
        <v>1.2155193187139828</v>
      </c>
      <c r="C289" s="906">
        <v>1.5510303627026758</v>
      </c>
      <c r="D289" s="905">
        <v>5.246036314113236</v>
      </c>
      <c r="E289" s="905">
        <v>6.9800032298349057</v>
      </c>
      <c r="F289" s="905">
        <v>5.1496693050643554</v>
      </c>
      <c r="G289" s="905">
        <v>6.7680264950340439</v>
      </c>
      <c r="H289" s="905">
        <v>4.3639445899804565</v>
      </c>
      <c r="I289" s="905">
        <v>2.1463414024392042</v>
      </c>
      <c r="J289" s="905">
        <v>3.5455238203806427</v>
      </c>
      <c r="K289" s="905">
        <v>3.5458567516301374</v>
      </c>
      <c r="L289" s="905">
        <v>7.4463214613175852</v>
      </c>
      <c r="M289" s="905">
        <v>2.9122861032887322</v>
      </c>
      <c r="N289" s="905">
        <v>2.7859762642706891</v>
      </c>
      <c r="O289" s="905">
        <v>2.7325444637928866</v>
      </c>
      <c r="P289" s="904">
        <v>5.2274462713134415</v>
      </c>
      <c r="Q289" s="905">
        <v>4.7337014405384474</v>
      </c>
      <c r="R289" s="906">
        <v>4.5338188711993634</v>
      </c>
      <c r="S289" s="905">
        <v>3.8681929115144094</v>
      </c>
      <c r="T289" s="904">
        <v>1.283145404687303</v>
      </c>
      <c r="U289" s="904">
        <v>5.1434297884136049</v>
      </c>
      <c r="V289" s="905">
        <v>4.1177315896362403</v>
      </c>
      <c r="W289" s="905">
        <v>1.9779372609222985</v>
      </c>
      <c r="X289" s="906">
        <v>3.4861430441076244</v>
      </c>
      <c r="Y289" s="904">
        <v>0.60220969833407589</v>
      </c>
      <c r="Z289" s="904">
        <v>1.9562239516820759</v>
      </c>
      <c r="AA289" s="905">
        <v>1.706225214053017</v>
      </c>
      <c r="AB289" s="906">
        <v>3.4124504281060339</v>
      </c>
    </row>
    <row r="290" spans="1:28" x14ac:dyDescent="0.45">
      <c r="A290" s="744" t="s">
        <v>2588</v>
      </c>
      <c r="B290" s="904">
        <v>8.0548172870563532E-3</v>
      </c>
      <c r="C290" s="906">
        <v>2.1290202128401509E-2</v>
      </c>
      <c r="D290" s="905">
        <v>8.6094364197115469E-2</v>
      </c>
      <c r="E290" s="905">
        <v>0.11798588151395871</v>
      </c>
      <c r="F290" s="905">
        <v>8.1263373233146183E-2</v>
      </c>
      <c r="G290" s="905">
        <v>0.11102856995102903</v>
      </c>
      <c r="H290" s="905">
        <v>5.8903291185533536E-2</v>
      </c>
      <c r="I290" s="905">
        <v>3.4493036031282828E-2</v>
      </c>
      <c r="J290" s="905">
        <v>5.0914277727028036E-2</v>
      </c>
      <c r="K290" s="905">
        <v>5.0919925559479634E-2</v>
      </c>
      <c r="L290" s="905">
        <v>0.12629591099363713</v>
      </c>
      <c r="M290" s="905">
        <v>6.9281804407528499E-2</v>
      </c>
      <c r="N290" s="905">
        <v>6.7732292008930578E-2</v>
      </c>
      <c r="O290" s="905">
        <v>4.9830768117410038E-2</v>
      </c>
      <c r="P290" s="904">
        <v>9.0708459663504937E-2</v>
      </c>
      <c r="Q290" s="905">
        <v>7.8000989769480542E-2</v>
      </c>
      <c r="R290" s="906">
        <v>6.6370047436697444E-2</v>
      </c>
      <c r="S290" s="905">
        <v>6.9971454946859413E-2</v>
      </c>
      <c r="T290" s="863">
        <v>9.8313174437116291E-3</v>
      </c>
      <c r="U290" s="904">
        <v>8.4802004223588634E-2</v>
      </c>
      <c r="V290" s="905">
        <v>5.7303166797432574E-2</v>
      </c>
      <c r="W290" s="905">
        <v>3.2012298270811534E-2</v>
      </c>
      <c r="X290" s="906">
        <v>4.9820220908153884E-2</v>
      </c>
      <c r="Y290" s="904">
        <v>9.3711656755828179E-3</v>
      </c>
      <c r="Z290" s="904">
        <v>3.1738423971306676E-2</v>
      </c>
      <c r="AA290" s="905">
        <v>2.815784780908558E-2</v>
      </c>
      <c r="AB290" s="906">
        <v>5.6315695618171159E-2</v>
      </c>
    </row>
    <row r="291" spans="1:28" x14ac:dyDescent="0.45">
      <c r="A291" s="737" t="s">
        <v>2589</v>
      </c>
      <c r="B291" s="858">
        <v>1.8264130543359236E-2</v>
      </c>
      <c r="C291" s="860">
        <v>5.1657073303141718E-2</v>
      </c>
      <c r="D291" s="859">
        <v>0.1080312008751541</v>
      </c>
      <c r="E291" s="859">
        <v>0.15056088662937667</v>
      </c>
      <c r="F291" s="859">
        <v>0.1039449634486221</v>
      </c>
      <c r="G291" s="859">
        <v>0.14363904417383105</v>
      </c>
      <c r="H291" s="859">
        <v>7.8664605397950726E-2</v>
      </c>
      <c r="I291" s="859">
        <v>4.5834720060644277E-2</v>
      </c>
      <c r="J291" s="859">
        <v>6.4611218760553854E-2</v>
      </c>
      <c r="K291" s="859">
        <v>6.4625969172445868E-2</v>
      </c>
      <c r="L291" s="859">
        <v>0.15447445249030203</v>
      </c>
      <c r="M291" s="859">
        <v>8.8202698603553967E-2</v>
      </c>
      <c r="N291" s="859">
        <v>8.273162367762539E-2</v>
      </c>
      <c r="O291" s="859">
        <v>6.0525502000388691E-2</v>
      </c>
      <c r="P291" s="858">
        <v>0.11482966123586427</v>
      </c>
      <c r="Q291" s="859">
        <v>0.10237706289629886</v>
      </c>
      <c r="R291" s="860">
        <v>9.1605411422084254E-2</v>
      </c>
      <c r="S291" s="859">
        <v>8.9499572558426235E-2</v>
      </c>
      <c r="T291" s="858">
        <v>2.1809590121340011E-2</v>
      </c>
      <c r="U291" s="858">
        <v>0.10466774573294119</v>
      </c>
      <c r="V291" s="859">
        <v>7.1181126591196242E-2</v>
      </c>
      <c r="W291" s="859">
        <v>3.9077396815570813E-2</v>
      </c>
      <c r="X291" s="860">
        <v>6.1473603731032139E-2</v>
      </c>
      <c r="Y291" s="858">
        <v>1.2881939677118221E-2</v>
      </c>
      <c r="Z291" s="858">
        <v>3.8669260221953418E-2</v>
      </c>
      <c r="AA291" s="859">
        <v>3.4731908292921151E-2</v>
      </c>
      <c r="AB291" s="860">
        <v>6.9463816585842303E-2</v>
      </c>
    </row>
    <row r="292" spans="1:28" x14ac:dyDescent="0.45">
      <c r="B292" s="905"/>
      <c r="C292" s="905"/>
      <c r="D292" s="905"/>
      <c r="E292" s="905"/>
      <c r="F292" s="905"/>
      <c r="G292" s="905"/>
      <c r="H292" s="905"/>
      <c r="I292" s="905"/>
      <c r="J292" s="905"/>
      <c r="K292" s="905"/>
      <c r="L292" s="905"/>
      <c r="M292" s="905"/>
      <c r="N292" s="905"/>
      <c r="O292" s="905"/>
      <c r="Q292" s="905"/>
      <c r="R292" s="905"/>
      <c r="S292" s="905"/>
      <c r="T292" s="905"/>
      <c r="U292" s="905"/>
      <c r="V292" s="905"/>
      <c r="W292" s="905"/>
    </row>
    <row r="293" spans="1:28" x14ac:dyDescent="0.45">
      <c r="G293" s="987"/>
    </row>
    <row r="294" spans="1:28" x14ac:dyDescent="0.45">
      <c r="G294" s="987"/>
    </row>
    <row r="295" spans="1:28" x14ac:dyDescent="0.45">
      <c r="G295" s="987"/>
    </row>
    <row r="296" spans="1:28" x14ac:dyDescent="0.45">
      <c r="G296" s="987"/>
    </row>
    <row r="297" spans="1:28" x14ac:dyDescent="0.45">
      <c r="G297" s="987"/>
    </row>
    <row r="298" spans="1:28" x14ac:dyDescent="0.45">
      <c r="G298" s="987"/>
    </row>
    <row r="299" spans="1:28" x14ac:dyDescent="0.45">
      <c r="G299" s="987"/>
    </row>
    <row r="300" spans="1:28" x14ac:dyDescent="0.45">
      <c r="G300" s="987"/>
    </row>
    <row r="301" spans="1:28" x14ac:dyDescent="0.45">
      <c r="G301" s="987"/>
    </row>
    <row r="302" spans="1:28" x14ac:dyDescent="0.45">
      <c r="G302" s="987"/>
    </row>
    <row r="304" spans="1:28" x14ac:dyDescent="0.45">
      <c r="G304" s="987"/>
    </row>
    <row r="308" spans="7:8" x14ac:dyDescent="0.45">
      <c r="G308" s="7"/>
      <c r="H308" s="987"/>
    </row>
    <row r="309" spans="7:8" x14ac:dyDescent="0.45">
      <c r="G309" s="7"/>
      <c r="H309" s="987"/>
    </row>
    <row r="310" spans="7:8" x14ac:dyDescent="0.45">
      <c r="G310" s="7"/>
      <c r="H310" s="987"/>
    </row>
    <row r="311" spans="7:8" x14ac:dyDescent="0.45">
      <c r="G311" s="7"/>
      <c r="H311" s="987"/>
    </row>
    <row r="312" spans="7:8" x14ac:dyDescent="0.45">
      <c r="G312" s="7"/>
      <c r="H312" s="987"/>
    </row>
    <row r="317" spans="7:8" x14ac:dyDescent="0.45">
      <c r="G317" s="905"/>
      <c r="H317" s="987"/>
    </row>
  </sheetData>
  <mergeCells count="28">
    <mergeCell ref="P260:R260"/>
    <mergeCell ref="S260:S261"/>
    <mergeCell ref="Y260:Y261"/>
    <mergeCell ref="Z260:AB260"/>
    <mergeCell ref="CA80:CG80"/>
    <mergeCell ref="AU80:BA80"/>
    <mergeCell ref="BB80:BF80"/>
    <mergeCell ref="BG80:BK80"/>
    <mergeCell ref="BL80:BP80"/>
    <mergeCell ref="BQ80:BU80"/>
    <mergeCell ref="BV80:BZ80"/>
    <mergeCell ref="M80:S80"/>
    <mergeCell ref="T80:Z80"/>
    <mergeCell ref="AA80:AG80"/>
    <mergeCell ref="AH80:AJ80"/>
    <mergeCell ref="AK80:AM80"/>
    <mergeCell ref="CH80:CL80"/>
    <mergeCell ref="CM80:CR80"/>
    <mergeCell ref="CS80:CX80"/>
    <mergeCell ref="CY80:DD80"/>
    <mergeCell ref="DE80:DI80"/>
    <mergeCell ref="AN80:AT80"/>
    <mergeCell ref="B13:B14"/>
    <mergeCell ref="C13:D13"/>
    <mergeCell ref="E13:F13"/>
    <mergeCell ref="G13:H13"/>
    <mergeCell ref="B80:E80"/>
    <mergeCell ref="F80:L80"/>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S429"/>
  <sheetViews>
    <sheetView showGridLines="0" workbookViewId="0">
      <selection activeCell="G1" sqref="G1"/>
    </sheetView>
  </sheetViews>
  <sheetFormatPr defaultColWidth="9.1328125" defaultRowHeight="14.25" x14ac:dyDescent="0.45"/>
  <cols>
    <col min="1" max="1" width="42.46484375" customWidth="1"/>
    <col min="2" max="2" width="15.1328125" customWidth="1"/>
    <col min="3" max="3" width="12.1328125" customWidth="1"/>
    <col min="4" max="4" width="11.86328125" customWidth="1"/>
    <col min="5" max="5" width="12.19921875" customWidth="1"/>
    <col min="6" max="6" width="12.796875" customWidth="1"/>
    <col min="7" max="8" width="12.796875" bestFit="1" customWidth="1"/>
    <col min="9" max="9" width="11.19921875" customWidth="1"/>
    <col min="10" max="10" width="11" customWidth="1"/>
    <col min="11" max="11" width="18.1328125" bestFit="1" customWidth="1"/>
    <col min="12" max="12" width="10.796875" customWidth="1"/>
    <col min="13" max="13" width="12.796875" bestFit="1" customWidth="1"/>
    <col min="14" max="14" width="11.86328125" customWidth="1"/>
    <col min="15" max="15" width="12.1328125" customWidth="1"/>
    <col min="16" max="16" width="12" customWidth="1"/>
    <col min="17" max="17" width="11.796875" customWidth="1"/>
    <col min="18" max="19" width="12.19921875" customWidth="1"/>
    <col min="20" max="20" width="10.86328125" bestFit="1" customWidth="1"/>
    <col min="21" max="21" width="12.86328125" customWidth="1"/>
    <col min="22" max="22" width="10.46484375" bestFit="1" customWidth="1"/>
    <col min="23" max="23" width="15" bestFit="1" customWidth="1"/>
    <col min="24" max="24" width="13" customWidth="1"/>
    <col min="25" max="26" width="10.46484375" customWidth="1"/>
    <col min="27" max="27" width="18.1328125" bestFit="1" customWidth="1"/>
    <col min="28" max="28" width="11.86328125" bestFit="1" customWidth="1"/>
    <col min="29" max="29" width="9.19921875" bestFit="1" customWidth="1"/>
    <col min="30" max="30" width="11" bestFit="1" customWidth="1"/>
    <col min="31" max="31" width="18.1328125" bestFit="1" customWidth="1"/>
    <col min="32" max="32" width="11" bestFit="1" customWidth="1"/>
    <col min="33" max="33" width="9.19921875" bestFit="1" customWidth="1"/>
    <col min="34" max="34" width="12" bestFit="1" customWidth="1"/>
    <col min="35" max="35" width="10.1328125" bestFit="1" customWidth="1"/>
    <col min="36" max="36" width="12" bestFit="1" customWidth="1"/>
    <col min="37" max="37" width="8.53125" bestFit="1" customWidth="1"/>
    <col min="38" max="38" width="12" bestFit="1" customWidth="1"/>
    <col min="39" max="39" width="18.1328125" bestFit="1" customWidth="1"/>
    <col min="40" max="40" width="11.86328125" bestFit="1" customWidth="1"/>
    <col min="41" max="41" width="7.46484375" bestFit="1" customWidth="1"/>
    <col min="42" max="42" width="11.86328125" bestFit="1" customWidth="1"/>
    <col min="43" max="43" width="18.1328125" bestFit="1" customWidth="1"/>
    <col min="44" max="44" width="11.86328125" bestFit="1" customWidth="1"/>
    <col min="45" max="45" width="7.46484375" bestFit="1" customWidth="1"/>
    <col min="46" max="46" width="11.86328125" bestFit="1" customWidth="1"/>
    <col min="47" max="47" width="10" bestFit="1" customWidth="1"/>
    <col min="48" max="48" width="11.86328125" bestFit="1" customWidth="1"/>
    <col min="49" max="49" width="7.46484375" bestFit="1" customWidth="1"/>
    <col min="50" max="50" width="11.86328125" bestFit="1" customWidth="1"/>
    <col min="51" max="51" width="10" bestFit="1" customWidth="1"/>
    <col min="52" max="52" width="11.86328125" bestFit="1" customWidth="1"/>
    <col min="53" max="53" width="9" bestFit="1" customWidth="1"/>
    <col min="54" max="54" width="11.86328125" bestFit="1" customWidth="1"/>
    <col min="55" max="55" width="10" bestFit="1" customWidth="1"/>
    <col min="56" max="56" width="11.86328125" bestFit="1" customWidth="1"/>
    <col min="57" max="57" width="8.46484375" bestFit="1" customWidth="1"/>
    <col min="58" max="58" width="11.86328125" bestFit="1" customWidth="1"/>
    <col min="59" max="59" width="10" bestFit="1" customWidth="1"/>
    <col min="60" max="60" width="10.86328125" bestFit="1" customWidth="1"/>
    <col min="61" max="61" width="9.19921875" bestFit="1" customWidth="1"/>
    <col min="62" max="62" width="11.86328125" bestFit="1" customWidth="1"/>
    <col min="63" max="63" width="10" bestFit="1" customWidth="1"/>
    <col min="64" max="64" width="11.86328125" bestFit="1" customWidth="1"/>
    <col min="65" max="65" width="14.46484375" customWidth="1"/>
    <col min="66" max="66" width="11.86328125" bestFit="1" customWidth="1"/>
    <col min="67" max="67" width="10" bestFit="1" customWidth="1"/>
    <col min="68" max="68" width="11.86328125" bestFit="1" customWidth="1"/>
    <col min="69" max="69" width="9.19921875" bestFit="1" customWidth="1"/>
    <col min="70" max="70" width="11.86328125" bestFit="1" customWidth="1"/>
    <col min="71" max="71" width="10" bestFit="1" customWidth="1"/>
    <col min="72" max="72" width="10.86328125" bestFit="1" customWidth="1"/>
    <col min="73" max="73" width="9.19921875" bestFit="1" customWidth="1"/>
    <col min="74" max="74" width="10.86328125" bestFit="1" customWidth="1"/>
    <col min="75" max="75" width="9.19921875" bestFit="1" customWidth="1"/>
    <col min="76" max="76" width="10.86328125" bestFit="1" customWidth="1"/>
    <col min="77" max="77" width="9" bestFit="1" customWidth="1"/>
    <col min="78" max="78" width="10.86328125" bestFit="1" customWidth="1"/>
    <col min="79" max="79" width="15" bestFit="1" customWidth="1"/>
    <col min="80" max="80" width="10.86328125" bestFit="1" customWidth="1"/>
    <col min="81" max="81" width="7.796875" bestFit="1" customWidth="1"/>
    <col min="82" max="82" width="10.86328125" bestFit="1" customWidth="1"/>
    <col min="83" max="83" width="9.19921875" bestFit="1" customWidth="1"/>
    <col min="84" max="84" width="10.86328125" bestFit="1" customWidth="1"/>
    <col min="85" max="85" width="7.796875" bestFit="1" customWidth="1"/>
    <col min="86" max="86" width="10.86328125" bestFit="1" customWidth="1"/>
    <col min="87" max="87" width="9.19921875" bestFit="1" customWidth="1"/>
    <col min="88" max="88" width="10.86328125" bestFit="1" customWidth="1"/>
    <col min="89" max="89" width="7.796875" bestFit="1" customWidth="1"/>
    <col min="90" max="90" width="10.86328125" bestFit="1" customWidth="1"/>
    <col min="91" max="91" width="9.19921875" bestFit="1" customWidth="1"/>
    <col min="92" max="92" width="10.86328125" bestFit="1" customWidth="1"/>
    <col min="93" max="93" width="7.796875" bestFit="1" customWidth="1"/>
    <col min="94" max="94" width="10.86328125" bestFit="1" customWidth="1"/>
    <col min="95" max="95" width="9.19921875" bestFit="1" customWidth="1"/>
    <col min="96" max="96" width="10.86328125" bestFit="1" customWidth="1"/>
    <col min="97" max="97" width="7.796875" bestFit="1" customWidth="1"/>
    <col min="98" max="98" width="10.86328125" bestFit="1" customWidth="1"/>
    <col min="99" max="99" width="9.19921875" bestFit="1" customWidth="1"/>
    <col min="100" max="100" width="10.86328125" bestFit="1" customWidth="1"/>
    <col min="101" max="101" width="7.796875" bestFit="1" customWidth="1"/>
    <col min="102" max="102" width="10.86328125" bestFit="1" customWidth="1"/>
    <col min="103" max="103" width="9.19921875" bestFit="1" customWidth="1"/>
    <col min="104" max="104" width="10.86328125" bestFit="1" customWidth="1"/>
    <col min="105" max="105" width="6.796875" bestFit="1" customWidth="1"/>
    <col min="106" max="106" width="10.86328125" bestFit="1" customWidth="1"/>
    <col min="107" max="107" width="9.19921875" bestFit="1" customWidth="1"/>
    <col min="108" max="108" width="10.86328125" bestFit="1" customWidth="1"/>
    <col min="109" max="109" width="6.796875" bestFit="1" customWidth="1"/>
    <col min="110" max="110" width="10.86328125" bestFit="1" customWidth="1"/>
    <col min="111" max="111" width="9.19921875" bestFit="1" customWidth="1"/>
    <col min="112" max="112" width="10.86328125" bestFit="1" customWidth="1"/>
    <col min="113" max="113" width="6.796875" bestFit="1" customWidth="1"/>
    <col min="114" max="114" width="10.86328125" bestFit="1" customWidth="1"/>
    <col min="115" max="115" width="9.19921875" bestFit="1" customWidth="1"/>
    <col min="116" max="116" width="10.86328125" bestFit="1" customWidth="1"/>
    <col min="117" max="117" width="6.796875" bestFit="1" customWidth="1"/>
    <col min="118" max="118" width="10.86328125" bestFit="1" customWidth="1"/>
    <col min="119" max="119" width="9.19921875" bestFit="1" customWidth="1"/>
    <col min="120" max="120" width="10.86328125" bestFit="1" customWidth="1"/>
    <col min="121" max="121" width="6.796875" bestFit="1" customWidth="1"/>
    <col min="122" max="122" width="10.86328125" bestFit="1" customWidth="1"/>
    <col min="123" max="123" width="9.19921875" bestFit="1" customWidth="1"/>
    <col min="124" max="124" width="10.86328125" bestFit="1" customWidth="1"/>
    <col min="125" max="125" width="5.796875" bestFit="1" customWidth="1"/>
    <col min="126" max="126" width="10.86328125" bestFit="1" customWidth="1"/>
    <col min="127" max="127" width="9.19921875" bestFit="1" customWidth="1"/>
    <col min="128" max="128" width="10.86328125" bestFit="1" customWidth="1"/>
    <col min="129" max="129" width="5.796875" bestFit="1" customWidth="1"/>
    <col min="130" max="130" width="10.86328125" bestFit="1" customWidth="1"/>
    <col min="131" max="131" width="18.1328125" bestFit="1" customWidth="1"/>
    <col min="132" max="132" width="10.86328125" bestFit="1" customWidth="1"/>
    <col min="133" max="133" width="5.796875" bestFit="1" customWidth="1"/>
    <col min="134" max="134" width="10.86328125" bestFit="1" customWidth="1"/>
    <col min="135" max="135" width="18.1328125" bestFit="1" customWidth="1"/>
    <col min="136" max="136" width="10.86328125" bestFit="1" customWidth="1"/>
    <col min="137" max="137" width="5.796875" bestFit="1" customWidth="1"/>
    <col min="138" max="138" width="10.86328125" bestFit="1" customWidth="1"/>
    <col min="139" max="139" width="18.1328125" bestFit="1" customWidth="1"/>
    <col min="140" max="140" width="10.86328125" bestFit="1" customWidth="1"/>
    <col min="141" max="141" width="5.796875" bestFit="1" customWidth="1"/>
    <col min="142" max="142" width="10.86328125" bestFit="1" customWidth="1"/>
    <col min="143" max="143" width="9.19921875" bestFit="1" customWidth="1"/>
    <col min="144" max="144" width="10.86328125" bestFit="1" customWidth="1"/>
    <col min="145" max="145" width="5.796875" bestFit="1" customWidth="1"/>
    <col min="146" max="146" width="10.86328125" bestFit="1" customWidth="1"/>
    <col min="147" max="147" width="9.19921875" bestFit="1" customWidth="1"/>
    <col min="148" max="148" width="10.86328125" bestFit="1" customWidth="1"/>
    <col min="149" max="149" width="5.796875" bestFit="1" customWidth="1"/>
    <col min="150" max="150" width="12.86328125" bestFit="1" customWidth="1"/>
    <col min="151" max="151" width="9.1328125" bestFit="1" customWidth="1"/>
    <col min="152" max="152" width="12.86328125" bestFit="1" customWidth="1"/>
    <col min="153" max="153" width="6.53125" bestFit="1" customWidth="1"/>
    <col min="154" max="154" width="12.86328125" bestFit="1" customWidth="1"/>
    <col min="155" max="155" width="9.1328125" bestFit="1" customWidth="1"/>
    <col min="156" max="156" width="12.86328125" bestFit="1" customWidth="1"/>
    <col min="157" max="157" width="6.53125" bestFit="1" customWidth="1"/>
    <col min="158" max="158" width="12.86328125" bestFit="1" customWidth="1"/>
    <col min="159" max="159" width="9.1328125" bestFit="1" customWidth="1"/>
    <col min="160" max="160" width="12.86328125" bestFit="1" customWidth="1"/>
    <col min="161" max="161" width="6.19921875" bestFit="1" customWidth="1"/>
    <col min="162" max="162" width="12.86328125" bestFit="1" customWidth="1"/>
    <col min="163" max="163" width="9.19921875" bestFit="1" customWidth="1"/>
    <col min="164" max="164" width="12.86328125" bestFit="1" customWidth="1"/>
    <col min="165" max="165" width="6.19921875" bestFit="1" customWidth="1"/>
    <col min="166" max="166" width="12.86328125" bestFit="1" customWidth="1"/>
    <col min="167" max="167" width="9.1328125" bestFit="1" customWidth="1"/>
    <col min="168" max="168" width="12.86328125" bestFit="1" customWidth="1"/>
    <col min="169" max="169" width="6.19921875" bestFit="1" customWidth="1"/>
    <col min="170" max="170" width="12.86328125" bestFit="1" customWidth="1"/>
    <col min="171" max="171" width="9.1328125" bestFit="1" customWidth="1"/>
    <col min="172" max="172" width="12.86328125" bestFit="1" customWidth="1"/>
    <col min="173" max="173" width="7.86328125" bestFit="1" customWidth="1"/>
    <col min="174" max="174" width="12.86328125" bestFit="1" customWidth="1"/>
    <col min="175" max="175" width="9.19921875" bestFit="1" customWidth="1"/>
    <col min="176" max="176" width="12.86328125" bestFit="1" customWidth="1"/>
    <col min="177" max="177" width="7.86328125" bestFit="1" customWidth="1"/>
    <col min="178" max="178" width="12.86328125" bestFit="1" customWidth="1"/>
    <col min="179" max="179" width="9.19921875" bestFit="1" customWidth="1"/>
    <col min="180" max="180" width="12.86328125" bestFit="1" customWidth="1"/>
    <col min="181" max="181" width="6.19921875" bestFit="1" customWidth="1"/>
    <col min="182" max="182" width="10" customWidth="1"/>
    <col min="183" max="183" width="9.46484375" customWidth="1"/>
    <col min="184" max="184" width="9.19921875" bestFit="1" customWidth="1"/>
  </cols>
  <sheetData>
    <row r="1" spans="1:12" ht="15.4" x14ac:dyDescent="0.45">
      <c r="A1" s="724" t="s">
        <v>2619</v>
      </c>
      <c r="G1" s="230" t="s">
        <v>2848</v>
      </c>
    </row>
    <row r="2" spans="1:12" ht="14.25" customHeight="1" x14ac:dyDescent="0.45"/>
    <row r="3" spans="1:12" ht="18.75" customHeight="1" x14ac:dyDescent="0.45">
      <c r="A3" s="726" t="s">
        <v>2620</v>
      </c>
    </row>
    <row r="4" spans="1:12" x14ac:dyDescent="0.45">
      <c r="A4" s="734">
        <v>2</v>
      </c>
      <c r="B4" t="s">
        <v>2621</v>
      </c>
    </row>
    <row r="5" spans="1:12" x14ac:dyDescent="0.45">
      <c r="B5" t="s">
        <v>2622</v>
      </c>
    </row>
    <row r="6" spans="1:12" x14ac:dyDescent="0.45">
      <c r="B6" t="s">
        <v>2623</v>
      </c>
    </row>
    <row r="7" spans="1:12" x14ac:dyDescent="0.45">
      <c r="A7" t="s">
        <v>2341</v>
      </c>
    </row>
    <row r="8" spans="1:12" x14ac:dyDescent="0.45">
      <c r="A8" s="779"/>
      <c r="B8" s="785" t="s">
        <v>2624</v>
      </c>
      <c r="C8" s="786" t="s">
        <v>2625</v>
      </c>
    </row>
    <row r="9" spans="1:12" ht="28.5" x14ac:dyDescent="0.45">
      <c r="A9" s="988" t="s">
        <v>2626</v>
      </c>
      <c r="B9" s="989">
        <v>1</v>
      </c>
      <c r="C9" s="990">
        <v>1</v>
      </c>
      <c r="D9" t="s">
        <v>2627</v>
      </c>
    </row>
    <row r="11" spans="1:12" x14ac:dyDescent="0.45">
      <c r="A11" s="779"/>
      <c r="B11" s="785" t="s">
        <v>2628</v>
      </c>
      <c r="C11" s="786" t="s">
        <v>2629</v>
      </c>
    </row>
    <row r="12" spans="1:12" ht="28.5" x14ac:dyDescent="0.45">
      <c r="A12" s="988" t="s">
        <v>2630</v>
      </c>
      <c r="B12" s="991">
        <v>6.9260000000000002</v>
      </c>
      <c r="C12" s="992">
        <v>8.7040000000000006</v>
      </c>
      <c r="D12" s="993"/>
      <c r="L12" s="820"/>
    </row>
    <row r="13" spans="1:12" x14ac:dyDescent="0.45">
      <c r="A13" s="1"/>
      <c r="B13" s="6"/>
      <c r="C13" s="6"/>
      <c r="D13" s="993"/>
      <c r="L13" s="820"/>
    </row>
    <row r="14" spans="1:12" x14ac:dyDescent="0.45">
      <c r="A14" s="18" t="s">
        <v>2631</v>
      </c>
      <c r="B14" s="6"/>
      <c r="C14" s="6"/>
      <c r="D14" s="993"/>
    </row>
    <row r="15" spans="1:12" x14ac:dyDescent="0.45">
      <c r="A15" s="994" t="s">
        <v>2632</v>
      </c>
      <c r="B15" t="s">
        <v>2633</v>
      </c>
      <c r="C15" s="6"/>
      <c r="D15" s="993"/>
      <c r="L15" s="995"/>
    </row>
    <row r="16" spans="1:12" x14ac:dyDescent="0.45">
      <c r="A16" s="1"/>
      <c r="B16" s="6"/>
      <c r="C16" s="6"/>
      <c r="D16" s="993"/>
      <c r="L16" s="995"/>
    </row>
    <row r="17" spans="1:78" ht="42.75" x14ac:dyDescent="0.45">
      <c r="A17" s="996"/>
      <c r="B17" s="997" t="s">
        <v>2634</v>
      </c>
      <c r="C17" s="998" t="s">
        <v>2635</v>
      </c>
      <c r="D17" s="993"/>
      <c r="L17" s="995"/>
    </row>
    <row r="18" spans="1:78" x14ac:dyDescent="0.45">
      <c r="A18" s="988" t="s">
        <v>2636</v>
      </c>
      <c r="B18" s="999">
        <v>1</v>
      </c>
      <c r="C18" s="782">
        <v>0</v>
      </c>
      <c r="D18" s="993"/>
      <c r="L18" s="995"/>
    </row>
    <row r="19" spans="1:78" x14ac:dyDescent="0.45">
      <c r="A19" s="1"/>
      <c r="B19" s="4"/>
      <c r="C19" s="4"/>
      <c r="D19" s="993"/>
      <c r="L19" s="995"/>
    </row>
    <row r="20" spans="1:78" ht="28.5" x14ac:dyDescent="0.45">
      <c r="A20" s="996"/>
      <c r="B20" s="1000" t="s">
        <v>2637</v>
      </c>
      <c r="C20" s="1000" t="s">
        <v>2638</v>
      </c>
      <c r="D20" s="1001" t="s">
        <v>2639</v>
      </c>
      <c r="L20" s="995"/>
    </row>
    <row r="21" spans="1:78" x14ac:dyDescent="0.45">
      <c r="A21" s="1002" t="s">
        <v>2640</v>
      </c>
      <c r="B21" s="4">
        <v>1</v>
      </c>
      <c r="C21" s="4">
        <v>0</v>
      </c>
      <c r="D21" s="1003">
        <v>0</v>
      </c>
      <c r="L21" s="995"/>
    </row>
    <row r="22" spans="1:78" x14ac:dyDescent="0.45">
      <c r="A22" s="755" t="s">
        <v>2641</v>
      </c>
      <c r="B22" s="916">
        <v>91</v>
      </c>
      <c r="C22" s="916">
        <v>0</v>
      </c>
      <c r="D22" s="774">
        <v>0</v>
      </c>
      <c r="L22" s="995"/>
      <c r="BZ22" s="14"/>
    </row>
    <row r="23" spans="1:78" x14ac:dyDescent="0.45">
      <c r="L23" s="995"/>
    </row>
    <row r="24" spans="1:78" ht="15" customHeight="1" x14ac:dyDescent="0.45">
      <c r="A24" s="726" t="s">
        <v>2642</v>
      </c>
      <c r="L24" s="995"/>
    </row>
    <row r="25" spans="1:78" x14ac:dyDescent="0.45">
      <c r="A25" s="725" t="s">
        <v>2643</v>
      </c>
    </row>
    <row r="26" spans="1:78" ht="15" customHeight="1" x14ac:dyDescent="0.45">
      <c r="A26" s="900" t="s">
        <v>154</v>
      </c>
      <c r="B26" s="2251" t="s">
        <v>114</v>
      </c>
      <c r="C26" s="2252"/>
      <c r="D26" s="2252"/>
      <c r="E26" s="2252"/>
      <c r="F26" s="2252"/>
      <c r="G26" s="2252"/>
      <c r="H26" s="2252"/>
      <c r="I26" s="2252"/>
      <c r="J26" s="2252"/>
      <c r="K26" s="2252"/>
      <c r="L26" s="2252"/>
      <c r="M26" s="2252"/>
      <c r="N26" s="2252"/>
      <c r="O26" s="2252"/>
      <c r="P26" s="2252"/>
      <c r="Q26" s="2252"/>
      <c r="R26" s="2252"/>
      <c r="S26" s="2252"/>
      <c r="T26" s="2252"/>
      <c r="U26" s="2252"/>
      <c r="V26" s="2252"/>
      <c r="W26" s="2252"/>
      <c r="X26" s="2251" t="s">
        <v>163</v>
      </c>
      <c r="Y26" s="2252"/>
      <c r="Z26" s="2252"/>
      <c r="AA26" s="2252"/>
      <c r="AB26" s="2252"/>
      <c r="AC26" s="2252"/>
      <c r="AD26" s="2252"/>
      <c r="AE26" s="2252"/>
      <c r="AF26" s="2252"/>
      <c r="AG26" s="2252"/>
      <c r="AH26" s="2252"/>
      <c r="AI26" s="2252"/>
      <c r="AJ26" s="2252"/>
      <c r="AK26" s="2252"/>
      <c r="AL26" s="2252"/>
      <c r="AM26" s="2252"/>
      <c r="AN26" s="2252"/>
      <c r="AO26" s="2252"/>
      <c r="AP26" s="2252"/>
      <c r="AQ26" s="2252"/>
      <c r="AR26" s="2252"/>
      <c r="AS26" s="2252"/>
      <c r="AT26" s="2252"/>
      <c r="AU26" s="2252"/>
      <c r="AV26" s="2252"/>
      <c r="AW26" s="2252"/>
      <c r="AX26" s="2252"/>
      <c r="AY26" s="2252"/>
      <c r="AZ26" s="2252"/>
      <c r="BA26" s="2252"/>
      <c r="BB26" s="2252"/>
      <c r="BC26" s="2252"/>
      <c r="BD26" s="2253"/>
    </row>
    <row r="27" spans="1:78" ht="15" customHeight="1" x14ac:dyDescent="0.45">
      <c r="A27" s="1004" t="s">
        <v>2644</v>
      </c>
      <c r="B27" s="2251" t="s">
        <v>2645</v>
      </c>
      <c r="C27" s="2252"/>
      <c r="D27" s="2252"/>
      <c r="E27" s="2252"/>
      <c r="F27" s="2252"/>
      <c r="G27" s="2252"/>
      <c r="H27" s="2252"/>
      <c r="I27" s="2252"/>
      <c r="J27" s="2252"/>
      <c r="K27" s="2252"/>
      <c r="L27" s="2253"/>
      <c r="M27" s="2251" t="s">
        <v>2646</v>
      </c>
      <c r="N27" s="2252"/>
      <c r="O27" s="2252"/>
      <c r="P27" s="2252"/>
      <c r="Q27" s="2252"/>
      <c r="R27" s="2252"/>
      <c r="S27" s="2252"/>
      <c r="T27" s="2252"/>
      <c r="U27" s="2252"/>
      <c r="V27" s="2252"/>
      <c r="W27" s="2253"/>
      <c r="X27" s="2251" t="s">
        <v>2647</v>
      </c>
      <c r="Y27" s="2252"/>
      <c r="Z27" s="2252"/>
      <c r="AA27" s="2252"/>
      <c r="AB27" s="2252"/>
      <c r="AC27" s="2252"/>
      <c r="AD27" s="2252"/>
      <c r="AE27" s="2252"/>
      <c r="AF27" s="2252"/>
      <c r="AG27" s="2252"/>
      <c r="AH27" s="2253"/>
      <c r="AI27" s="2251" t="s">
        <v>2648</v>
      </c>
      <c r="AJ27" s="2252"/>
      <c r="AK27" s="2252"/>
      <c r="AL27" s="2252"/>
      <c r="AM27" s="2252"/>
      <c r="AN27" s="2252"/>
      <c r="AO27" s="2252"/>
      <c r="AP27" s="2252"/>
      <c r="AQ27" s="2252"/>
      <c r="AR27" s="2252"/>
      <c r="AS27" s="2253"/>
      <c r="AT27" s="2251" t="s">
        <v>2645</v>
      </c>
      <c r="AU27" s="2252"/>
      <c r="AV27" s="2252"/>
      <c r="AW27" s="2252"/>
      <c r="AX27" s="2252"/>
      <c r="AY27" s="2252"/>
      <c r="AZ27" s="2252"/>
      <c r="BA27" s="2252"/>
      <c r="BB27" s="2252"/>
      <c r="BC27" s="2252"/>
      <c r="BD27" s="2253"/>
    </row>
    <row r="28" spans="1:78" ht="15" customHeight="1" x14ac:dyDescent="0.45">
      <c r="A28" s="1004" t="s">
        <v>310</v>
      </c>
      <c r="B28" s="927" t="s">
        <v>2649</v>
      </c>
      <c r="C28" s="766" t="s">
        <v>2650</v>
      </c>
      <c r="D28" s="766" t="s">
        <v>2651</v>
      </c>
      <c r="E28" s="766" t="s">
        <v>2652</v>
      </c>
      <c r="F28" s="766" t="s">
        <v>2653</v>
      </c>
      <c r="G28" s="766" t="s">
        <v>2654</v>
      </c>
      <c r="H28" s="766" t="s">
        <v>2655</v>
      </c>
      <c r="I28" s="766" t="s">
        <v>2656</v>
      </c>
      <c r="J28" s="766" t="s">
        <v>2657</v>
      </c>
      <c r="K28" s="766" t="s">
        <v>2658</v>
      </c>
      <c r="L28" s="767" t="s">
        <v>2659</v>
      </c>
      <c r="M28" s="927" t="s">
        <v>2649</v>
      </c>
      <c r="N28" s="766" t="s">
        <v>2650</v>
      </c>
      <c r="O28" s="766" t="s">
        <v>2651</v>
      </c>
      <c r="P28" s="766" t="s">
        <v>2652</v>
      </c>
      <c r="Q28" s="766" t="s">
        <v>2653</v>
      </c>
      <c r="R28" s="766" t="s">
        <v>2654</v>
      </c>
      <c r="S28" s="766" t="s">
        <v>2655</v>
      </c>
      <c r="T28" s="766" t="s">
        <v>2656</v>
      </c>
      <c r="U28" s="766" t="s">
        <v>2657</v>
      </c>
      <c r="V28" s="766" t="s">
        <v>2658</v>
      </c>
      <c r="W28" s="767" t="s">
        <v>2659</v>
      </c>
      <c r="X28" s="927" t="s">
        <v>2649</v>
      </c>
      <c r="Y28" s="766" t="s">
        <v>2650</v>
      </c>
      <c r="Z28" s="766" t="s">
        <v>2651</v>
      </c>
      <c r="AA28" s="766" t="s">
        <v>2652</v>
      </c>
      <c r="AB28" s="766" t="s">
        <v>2653</v>
      </c>
      <c r="AC28" s="766" t="s">
        <v>2654</v>
      </c>
      <c r="AD28" s="766" t="s">
        <v>2655</v>
      </c>
      <c r="AE28" s="766" t="s">
        <v>2656</v>
      </c>
      <c r="AF28" s="766" t="s">
        <v>2657</v>
      </c>
      <c r="AG28" s="766" t="s">
        <v>2658</v>
      </c>
      <c r="AH28" s="767" t="s">
        <v>2659</v>
      </c>
      <c r="AI28" s="927" t="s">
        <v>2649</v>
      </c>
      <c r="AJ28" s="766" t="s">
        <v>2650</v>
      </c>
      <c r="AK28" s="766" t="s">
        <v>2651</v>
      </c>
      <c r="AL28" s="766" t="s">
        <v>2652</v>
      </c>
      <c r="AM28" s="766" t="s">
        <v>2653</v>
      </c>
      <c r="AN28" s="766" t="s">
        <v>2654</v>
      </c>
      <c r="AO28" s="766" t="s">
        <v>2655</v>
      </c>
      <c r="AP28" s="766" t="s">
        <v>2656</v>
      </c>
      <c r="AQ28" s="766" t="s">
        <v>2657</v>
      </c>
      <c r="AR28" s="766" t="s">
        <v>2658</v>
      </c>
      <c r="AS28" s="767" t="s">
        <v>2659</v>
      </c>
      <c r="AT28" s="927" t="s">
        <v>2649</v>
      </c>
      <c r="AU28" s="766" t="s">
        <v>2650</v>
      </c>
      <c r="AV28" s="766" t="s">
        <v>2651</v>
      </c>
      <c r="AW28" s="766" t="s">
        <v>2652</v>
      </c>
      <c r="AX28" s="766" t="s">
        <v>2653</v>
      </c>
      <c r="AY28" s="766" t="s">
        <v>2654</v>
      </c>
      <c r="AZ28" s="766" t="s">
        <v>2655</v>
      </c>
      <c r="BA28" s="766" t="s">
        <v>2656</v>
      </c>
      <c r="BB28" s="766" t="s">
        <v>2657</v>
      </c>
      <c r="BC28" s="766" t="s">
        <v>2658</v>
      </c>
      <c r="BD28" s="767" t="s">
        <v>2659</v>
      </c>
    </row>
    <row r="29" spans="1:78" ht="15" customHeight="1" x14ac:dyDescent="0.45">
      <c r="A29" s="855" t="s">
        <v>2660</v>
      </c>
      <c r="B29" s="866">
        <v>0.36</v>
      </c>
      <c r="C29" s="1005">
        <v>0.26</v>
      </c>
      <c r="D29" s="1005">
        <v>0.34799999999999998</v>
      </c>
      <c r="E29" s="1005">
        <v>0.22500000000000001</v>
      </c>
      <c r="F29" s="1005">
        <v>0.34399999999999997</v>
      </c>
      <c r="G29" s="1005">
        <v>0.32800000000000001</v>
      </c>
      <c r="H29" s="1005">
        <v>0.34899999999999998</v>
      </c>
      <c r="I29" s="1005">
        <v>0.34899999999999998</v>
      </c>
      <c r="J29" s="1005">
        <v>0.34300000000000003</v>
      </c>
      <c r="K29" s="1005">
        <v>0.34699999999999998</v>
      </c>
      <c r="L29" s="1006">
        <v>0.34699999999999998</v>
      </c>
      <c r="M29" s="866">
        <v>0.39</v>
      </c>
      <c r="N29" s="4">
        <v>0.39</v>
      </c>
      <c r="O29" s="1005">
        <v>0.34799999999999998</v>
      </c>
      <c r="P29" s="4">
        <v>0.39</v>
      </c>
      <c r="Q29" s="4">
        <v>0.39</v>
      </c>
      <c r="R29" s="4">
        <v>0.39</v>
      </c>
      <c r="S29" s="4">
        <v>0.39</v>
      </c>
      <c r="T29" s="4">
        <v>0.39</v>
      </c>
      <c r="U29" s="4">
        <v>0.39</v>
      </c>
      <c r="V29" s="4">
        <v>0.39</v>
      </c>
      <c r="W29" s="781">
        <v>0.39</v>
      </c>
      <c r="X29" s="866">
        <v>0.32</v>
      </c>
      <c r="Y29" s="1005">
        <v>0.39700000000000002</v>
      </c>
      <c r="Z29" s="1005">
        <v>0.28199999999999997</v>
      </c>
      <c r="AA29" s="1005">
        <v>0.371</v>
      </c>
      <c r="AB29" s="1005">
        <v>0.19800000000000001</v>
      </c>
      <c r="AC29" s="1005">
        <v>0.30599999999999999</v>
      </c>
      <c r="AD29" s="1005">
        <v>0.26100000000000001</v>
      </c>
      <c r="AE29" s="1005">
        <v>0.27500000000000002</v>
      </c>
      <c r="AF29" s="1005">
        <v>0.54900000000000004</v>
      </c>
      <c r="AG29" s="1005">
        <v>0.29499999999999998</v>
      </c>
      <c r="AH29" s="1006">
        <v>0.27600000000000002</v>
      </c>
      <c r="AI29" s="866">
        <v>0.38</v>
      </c>
      <c r="AJ29" s="1005">
        <v>0.36499999999999999</v>
      </c>
      <c r="AK29" s="1005">
        <v>0.32900000000000001</v>
      </c>
      <c r="AL29" s="1005">
        <v>0.373</v>
      </c>
      <c r="AM29" s="1005">
        <v>0.33100000000000002</v>
      </c>
      <c r="AN29" s="1005">
        <v>0.32800000000000001</v>
      </c>
      <c r="AO29" s="1005">
        <v>0.27400000000000002</v>
      </c>
      <c r="AP29" s="1005">
        <v>0.35</v>
      </c>
      <c r="AQ29" s="1005">
        <v>0.29899999999999999</v>
      </c>
      <c r="AR29" s="1005">
        <v>0.23899999999999999</v>
      </c>
      <c r="AS29" s="1006">
        <v>0.39</v>
      </c>
      <c r="AT29" s="866">
        <v>0.35</v>
      </c>
      <c r="AU29" s="4">
        <v>0.35</v>
      </c>
      <c r="AV29" s="1005">
        <v>0.33200000000000002</v>
      </c>
      <c r="AW29" s="1005">
        <v>0.34</v>
      </c>
      <c r="AX29" s="1005">
        <v>0.33400000000000002</v>
      </c>
      <c r="AY29" s="1005">
        <v>0.30099999999999999</v>
      </c>
      <c r="AZ29" s="1005">
        <v>0.32500000000000001</v>
      </c>
      <c r="BA29" s="1005">
        <v>0.33300000000000002</v>
      </c>
      <c r="BB29" s="1005">
        <v>0.34</v>
      </c>
      <c r="BC29" s="1005">
        <v>0.32400000000000001</v>
      </c>
      <c r="BD29" s="1006">
        <v>0.33900000000000002</v>
      </c>
    </row>
    <row r="30" spans="1:78" ht="15" customHeight="1" x14ac:dyDescent="0.45">
      <c r="A30" s="855" t="s">
        <v>2661</v>
      </c>
      <c r="B30" s="866">
        <v>0.99</v>
      </c>
      <c r="C30" s="4">
        <v>1</v>
      </c>
      <c r="D30" s="4">
        <v>0.97</v>
      </c>
      <c r="E30" s="4">
        <v>1</v>
      </c>
      <c r="F30" s="4">
        <v>1</v>
      </c>
      <c r="G30" s="4">
        <v>1</v>
      </c>
      <c r="H30" s="4">
        <v>1</v>
      </c>
      <c r="I30" s="4">
        <v>1</v>
      </c>
      <c r="J30" s="4">
        <v>1</v>
      </c>
      <c r="K30" s="4">
        <v>1</v>
      </c>
      <c r="L30" s="781">
        <v>1</v>
      </c>
      <c r="M30" s="866">
        <v>0.01</v>
      </c>
      <c r="N30" s="1005">
        <v>0</v>
      </c>
      <c r="O30" s="1005">
        <v>0.03</v>
      </c>
      <c r="P30" s="1005">
        <v>0</v>
      </c>
      <c r="Q30" s="1005">
        <v>0</v>
      </c>
      <c r="R30" s="1005">
        <v>0</v>
      </c>
      <c r="S30" s="1005">
        <v>0</v>
      </c>
      <c r="T30" s="1005">
        <v>0</v>
      </c>
      <c r="U30" s="1005">
        <v>0</v>
      </c>
      <c r="V30" s="1005">
        <v>0</v>
      </c>
      <c r="W30" s="1005">
        <v>0</v>
      </c>
      <c r="X30" s="866">
        <v>0.182</v>
      </c>
      <c r="Y30" s="1005">
        <v>0.61899999999999999</v>
      </c>
      <c r="Z30" s="1005">
        <v>0.16700000000000001</v>
      </c>
      <c r="AA30" s="1005">
        <v>3.4000000000000002E-2</v>
      </c>
      <c r="AB30" s="1005">
        <v>0.17199999999999999</v>
      </c>
      <c r="AC30" s="1005">
        <v>0.19600000000000001</v>
      </c>
      <c r="AD30" s="1005">
        <v>0.187</v>
      </c>
      <c r="AE30" s="1005">
        <v>0.189</v>
      </c>
      <c r="AF30" s="1005">
        <v>0.04</v>
      </c>
      <c r="AG30" s="1005">
        <v>3.0000000000000001E-3</v>
      </c>
      <c r="AH30" s="1006">
        <v>0.121</v>
      </c>
      <c r="AI30" s="866">
        <v>4.6000000000000041E-2</v>
      </c>
      <c r="AJ30" s="4">
        <v>0.38100000000000001</v>
      </c>
      <c r="AK30" s="4">
        <v>1.0000000000000009E-3</v>
      </c>
      <c r="AL30" s="4">
        <v>0.16699999999999993</v>
      </c>
      <c r="AM30" s="4">
        <v>7.4000000000000066E-2</v>
      </c>
      <c r="AN30" s="4">
        <v>1.100000000000001E-2</v>
      </c>
      <c r="AO30" s="4">
        <v>1.19999999999999E-2</v>
      </c>
      <c r="AP30" s="4">
        <v>2.0999999999999908E-2</v>
      </c>
      <c r="AQ30" s="4">
        <v>3.9999999999999925E-2</v>
      </c>
      <c r="AR30" s="4">
        <v>7.0000000000000062E-3</v>
      </c>
      <c r="AS30" s="781">
        <v>0.15500000000000003</v>
      </c>
      <c r="AT30" s="866">
        <v>0.77200000000000002</v>
      </c>
      <c r="AU30" s="1005">
        <v>0</v>
      </c>
      <c r="AV30" s="1005">
        <v>0.83199999999999996</v>
      </c>
      <c r="AW30" s="1005">
        <v>0.79900000000000004</v>
      </c>
      <c r="AX30" s="1005">
        <v>0.754</v>
      </c>
      <c r="AY30" s="1005">
        <v>0.79300000000000004</v>
      </c>
      <c r="AZ30" s="1005">
        <v>0.80100000000000005</v>
      </c>
      <c r="BA30" s="1005">
        <v>0.79</v>
      </c>
      <c r="BB30" s="1005">
        <v>0.92</v>
      </c>
      <c r="BC30" s="1005">
        <v>0.99</v>
      </c>
      <c r="BD30" s="1006">
        <v>0.72399999999999998</v>
      </c>
    </row>
    <row r="31" spans="1:78" ht="15" customHeight="1" x14ac:dyDescent="0.45">
      <c r="A31" s="900" t="s">
        <v>2662</v>
      </c>
      <c r="B31" s="779"/>
      <c r="C31" s="785"/>
      <c r="D31" s="785"/>
      <c r="E31" s="785"/>
      <c r="F31" s="785"/>
      <c r="G31" s="785"/>
      <c r="H31" s="785"/>
      <c r="I31" s="785"/>
      <c r="J31" s="785"/>
      <c r="K31" s="785"/>
      <c r="L31" s="786"/>
      <c r="M31" s="779"/>
      <c r="N31" s="785"/>
      <c r="O31" s="785"/>
      <c r="P31" s="785"/>
      <c r="Q31" s="785"/>
      <c r="R31" s="785"/>
      <c r="S31" s="785"/>
      <c r="T31" s="785"/>
      <c r="U31" s="785"/>
      <c r="V31" s="785"/>
      <c r="W31" s="786"/>
      <c r="X31" s="779"/>
      <c r="Y31" s="785"/>
      <c r="Z31" s="785"/>
      <c r="AA31" s="785"/>
      <c r="AB31" s="785"/>
      <c r="AC31" s="785"/>
      <c r="AD31" s="785"/>
      <c r="AE31" s="785"/>
      <c r="AF31" s="785"/>
      <c r="AG31" s="785"/>
      <c r="AH31" s="786"/>
      <c r="AI31" s="779"/>
      <c r="AJ31" s="785"/>
      <c r="AK31" s="785"/>
      <c r="AL31" s="785"/>
      <c r="AM31" s="785"/>
      <c r="AN31" s="785"/>
      <c r="AO31" s="785"/>
      <c r="AP31" s="785"/>
      <c r="AQ31" s="785"/>
      <c r="AR31" s="785"/>
      <c r="AS31" s="786"/>
      <c r="AT31" s="779"/>
      <c r="AU31" s="785"/>
      <c r="AV31" s="785"/>
      <c r="AW31" s="785"/>
      <c r="AX31" s="785"/>
      <c r="AY31" s="785"/>
      <c r="AZ31" s="785"/>
      <c r="BA31" s="785"/>
      <c r="BB31" s="785"/>
      <c r="BC31" s="785"/>
      <c r="BD31" s="786"/>
    </row>
    <row r="32" spans="1:78" ht="15" customHeight="1" x14ac:dyDescent="0.45">
      <c r="A32" s="855" t="s">
        <v>2582</v>
      </c>
      <c r="B32" s="863">
        <v>8.6E-3</v>
      </c>
      <c r="C32" s="1007">
        <v>3.2000000000000001E-2</v>
      </c>
      <c r="D32" s="1007">
        <v>1.2E-2</v>
      </c>
      <c r="E32" s="1007">
        <v>2.4E-2</v>
      </c>
      <c r="F32" s="1007">
        <v>1.9E-2</v>
      </c>
      <c r="G32" s="1007">
        <v>1.4E-2</v>
      </c>
      <c r="H32" s="1007">
        <v>1.2999999999999999E-2</v>
      </c>
      <c r="I32" s="1007">
        <v>1.4E-2</v>
      </c>
      <c r="J32" s="1007">
        <v>1.7999999999999999E-2</v>
      </c>
      <c r="K32" s="1007">
        <v>0.02</v>
      </c>
      <c r="L32" s="1008">
        <v>1.4999999999999999E-2</v>
      </c>
      <c r="M32" s="863">
        <v>8.9999999999999998E-4</v>
      </c>
      <c r="N32" s="13">
        <v>8.9999999999999998E-4</v>
      </c>
      <c r="O32" s="1007">
        <v>1E-3</v>
      </c>
      <c r="P32" s="13">
        <v>8.9999999999999998E-4</v>
      </c>
      <c r="Q32" s="13">
        <v>8.9999999999999998E-4</v>
      </c>
      <c r="R32" s="13">
        <v>8.9999999999999998E-4</v>
      </c>
      <c r="S32" s="13">
        <v>8.9999999999999998E-4</v>
      </c>
      <c r="T32" s="13">
        <v>8.9999999999999998E-4</v>
      </c>
      <c r="U32" s="13">
        <v>8.9999999999999998E-4</v>
      </c>
      <c r="V32" s="13">
        <v>8.9999999999999998E-4</v>
      </c>
      <c r="W32" s="773">
        <v>8.9999999999999998E-4</v>
      </c>
      <c r="X32" s="863">
        <v>2.8E-3</v>
      </c>
      <c r="Y32" s="1007">
        <v>1E-3</v>
      </c>
      <c r="Z32" s="1007">
        <v>2E-3</v>
      </c>
      <c r="AA32" s="1007">
        <v>2E-3</v>
      </c>
      <c r="AB32" s="1007">
        <v>3.0000000000000001E-3</v>
      </c>
      <c r="AC32" s="1007">
        <v>7.0000000000000001E-3</v>
      </c>
      <c r="AD32" s="1007">
        <v>6.0000000000000001E-3</v>
      </c>
      <c r="AE32" s="1007">
        <v>2E-3</v>
      </c>
      <c r="AF32" s="1007">
        <v>4.0000000000000001E-3</v>
      </c>
      <c r="AG32" s="1007">
        <v>2E-3</v>
      </c>
      <c r="AH32" s="1008">
        <v>2E-3</v>
      </c>
      <c r="AI32" s="863">
        <v>1.14E-2</v>
      </c>
      <c r="AJ32" s="1007">
        <v>1.2E-2</v>
      </c>
      <c r="AK32" s="1007">
        <v>1.2999999999999999E-2</v>
      </c>
      <c r="AL32" s="1007">
        <v>1.2E-2</v>
      </c>
      <c r="AM32" s="1007">
        <v>1.2999999999999999E-2</v>
      </c>
      <c r="AN32" s="1007">
        <v>1.2999999999999999E-2</v>
      </c>
      <c r="AO32" s="1007">
        <v>1.6E-2</v>
      </c>
      <c r="AP32" s="1007">
        <v>1.2E-2</v>
      </c>
      <c r="AQ32" s="1007">
        <v>1.4E-2</v>
      </c>
      <c r="AR32" s="1007">
        <v>1.7999999999999999E-2</v>
      </c>
      <c r="AS32" s="1008">
        <v>1.0999999999999999E-2</v>
      </c>
      <c r="AT32" s="863">
        <v>2.0400000000000001E-2</v>
      </c>
      <c r="AU32" s="13">
        <v>2.0400000000000001E-2</v>
      </c>
      <c r="AV32" s="1007">
        <v>2.5000000000000001E-2</v>
      </c>
      <c r="AW32" s="1007">
        <v>2.4E-2</v>
      </c>
      <c r="AX32" s="1007">
        <v>7.0000000000000001E-3</v>
      </c>
      <c r="AY32" s="1007">
        <v>2.7E-2</v>
      </c>
      <c r="AZ32" s="1007">
        <v>1.2E-2</v>
      </c>
      <c r="BA32" s="1007">
        <v>1.6E-2</v>
      </c>
      <c r="BB32" s="1007">
        <v>7.0000000000000001E-3</v>
      </c>
      <c r="BC32" s="1007">
        <v>7.0000000000000001E-3</v>
      </c>
      <c r="BD32" s="1008">
        <v>8.9999999999999993E-3</v>
      </c>
    </row>
    <row r="33" spans="1:56" ht="15" customHeight="1" x14ac:dyDescent="0.45">
      <c r="A33" s="855" t="s">
        <v>2583</v>
      </c>
      <c r="B33" s="863">
        <v>5.6000000000000001E-2</v>
      </c>
      <c r="C33" s="1007">
        <v>0.113</v>
      </c>
      <c r="D33" s="1007">
        <v>9.9000000000000005E-2</v>
      </c>
      <c r="E33" s="1007">
        <v>0.20399999999999999</v>
      </c>
      <c r="F33" s="1007">
        <v>0.156</v>
      </c>
      <c r="G33" s="1007">
        <v>0.112</v>
      </c>
      <c r="H33" s="1007">
        <v>0.108</v>
      </c>
      <c r="I33" s="1007">
        <v>0.113</v>
      </c>
      <c r="J33" s="1007">
        <v>0.14699999999999999</v>
      </c>
      <c r="K33" s="1007">
        <v>0.16800000000000001</v>
      </c>
      <c r="L33" s="1008">
        <v>0.127</v>
      </c>
      <c r="M33" s="863">
        <v>1.5100000000000001E-2</v>
      </c>
      <c r="N33" s="13">
        <v>1.5100000000000001E-2</v>
      </c>
      <c r="O33" s="1007">
        <v>1.7000000000000001E-2</v>
      </c>
      <c r="P33" s="13">
        <v>1.5100000000000001E-2</v>
      </c>
      <c r="Q33" s="13">
        <v>1.5100000000000001E-2</v>
      </c>
      <c r="R33" s="13">
        <v>1.5100000000000001E-2</v>
      </c>
      <c r="S33" s="13">
        <v>1.5100000000000001E-2</v>
      </c>
      <c r="T33" s="13">
        <v>1.5100000000000001E-2</v>
      </c>
      <c r="U33" s="13">
        <v>1.5100000000000001E-2</v>
      </c>
      <c r="V33" s="13">
        <v>1.5100000000000001E-2</v>
      </c>
      <c r="W33" s="773">
        <v>1.5100000000000001E-2</v>
      </c>
      <c r="X33" s="863">
        <v>1.66E-2</v>
      </c>
      <c r="Y33" s="1007">
        <v>1.4999999999999999E-2</v>
      </c>
      <c r="Z33" s="1007">
        <v>1.7999999999999999E-2</v>
      </c>
      <c r="AA33" s="1007">
        <v>1.7999999999999999E-2</v>
      </c>
      <c r="AB33" s="1007">
        <v>2.7E-2</v>
      </c>
      <c r="AC33" s="1007">
        <v>1.9E-2</v>
      </c>
      <c r="AD33" s="1007">
        <v>0.02</v>
      </c>
      <c r="AE33" s="1007">
        <v>1.9E-2</v>
      </c>
      <c r="AF33" s="1007">
        <v>3.5000000000000003E-2</v>
      </c>
      <c r="AG33" s="1007">
        <v>1.9E-2</v>
      </c>
      <c r="AH33" s="1008">
        <v>2.1000000000000001E-2</v>
      </c>
      <c r="AI33" s="863">
        <v>3.0099999999999998E-2</v>
      </c>
      <c r="AJ33" s="1007">
        <v>3.1E-2</v>
      </c>
      <c r="AK33" s="1007">
        <v>3.4000000000000002E-2</v>
      </c>
      <c r="AL33" s="1007">
        <v>3.1E-2</v>
      </c>
      <c r="AM33" s="1007">
        <v>3.4000000000000002E-2</v>
      </c>
      <c r="AN33" s="1007">
        <v>3.5000000000000003E-2</v>
      </c>
      <c r="AO33" s="1007">
        <v>4.1000000000000002E-2</v>
      </c>
      <c r="AP33" s="1007">
        <v>3.2000000000000001E-2</v>
      </c>
      <c r="AQ33" s="1007">
        <v>3.6999999999999998E-2</v>
      </c>
      <c r="AR33" s="1007">
        <v>4.8000000000000001E-2</v>
      </c>
      <c r="AS33" s="1008">
        <v>0.03</v>
      </c>
      <c r="AT33" s="863">
        <v>0.158</v>
      </c>
      <c r="AU33" s="13">
        <v>0.158</v>
      </c>
      <c r="AV33" s="1007">
        <v>0.16500000000000001</v>
      </c>
      <c r="AW33" s="1007">
        <v>0.158</v>
      </c>
      <c r="AX33" s="1007">
        <v>0.17899999999999999</v>
      </c>
      <c r="AY33" s="1007">
        <v>0.183</v>
      </c>
      <c r="AZ33" s="1007">
        <v>0.18</v>
      </c>
      <c r="BA33" s="1007">
        <v>0.17199999999999999</v>
      </c>
      <c r="BB33" s="1007">
        <v>0.17699999999999999</v>
      </c>
      <c r="BC33" s="1007">
        <v>0.185</v>
      </c>
      <c r="BD33" s="1008">
        <v>0.18099999999999999</v>
      </c>
    </row>
    <row r="34" spans="1:56" ht="15" customHeight="1" x14ac:dyDescent="0.45">
      <c r="A34" s="855" t="s">
        <v>2584</v>
      </c>
      <c r="B34" s="863">
        <v>0.3619</v>
      </c>
      <c r="C34" s="1007">
        <v>1.3380000000000001</v>
      </c>
      <c r="D34" s="1007">
        <v>0.64300000000000002</v>
      </c>
      <c r="E34" s="1007">
        <v>2.8479999999999999</v>
      </c>
      <c r="F34" s="1007">
        <v>1.385</v>
      </c>
      <c r="G34" s="1007">
        <v>1.0549999999999999</v>
      </c>
      <c r="H34" s="1007">
        <v>1.2130000000000001</v>
      </c>
      <c r="I34" s="1007">
        <v>0.873</v>
      </c>
      <c r="J34" s="1007">
        <v>1.472</v>
      </c>
      <c r="K34" s="1007">
        <v>1.0029999999999999</v>
      </c>
      <c r="L34" s="1008">
        <v>1.4930000000000001</v>
      </c>
      <c r="M34" s="863">
        <v>0.23499999999999999</v>
      </c>
      <c r="N34" s="13">
        <v>0.23499999999999999</v>
      </c>
      <c r="O34" s="1007">
        <v>0.11700000000000001</v>
      </c>
      <c r="P34" s="13">
        <v>0.23499999999999999</v>
      </c>
      <c r="Q34" s="13">
        <v>0.23499999999999999</v>
      </c>
      <c r="R34" s="13">
        <v>0.23499999999999999</v>
      </c>
      <c r="S34" s="13">
        <v>0.23499999999999999</v>
      </c>
      <c r="T34" s="13">
        <v>0.23499999999999999</v>
      </c>
      <c r="U34" s="13">
        <v>0.23499999999999999</v>
      </c>
      <c r="V34" s="13">
        <v>0.23499999999999999</v>
      </c>
      <c r="W34" s="773">
        <v>0.23499999999999999</v>
      </c>
      <c r="X34" s="863">
        <v>2.7341000000000002</v>
      </c>
      <c r="Y34" s="1007">
        <v>0.749</v>
      </c>
      <c r="Z34" s="1007">
        <v>2.5030000000000001</v>
      </c>
      <c r="AA34" s="1007">
        <v>1.5860000000000001</v>
      </c>
      <c r="AB34" s="1007">
        <v>3.79</v>
      </c>
      <c r="AC34" s="1007">
        <v>3.1659999999999999</v>
      </c>
      <c r="AD34" s="1007">
        <v>2.0169999999999999</v>
      </c>
      <c r="AE34" s="1007">
        <v>8.8390000000000004</v>
      </c>
      <c r="AF34" s="1007">
        <v>0</v>
      </c>
      <c r="AG34" s="1007">
        <v>2.9660000000000002</v>
      </c>
      <c r="AH34" s="1008">
        <v>0.83099999999999996</v>
      </c>
      <c r="AI34" s="863">
        <v>4.532</v>
      </c>
      <c r="AJ34" s="1007">
        <v>5.4329999999999998</v>
      </c>
      <c r="AK34" s="1007">
        <v>6.1130000000000004</v>
      </c>
      <c r="AL34" s="1007">
        <v>4.3419999999999996</v>
      </c>
      <c r="AM34" s="1007">
        <v>6.415</v>
      </c>
      <c r="AN34" s="1007">
        <v>3.448</v>
      </c>
      <c r="AO34" s="1007">
        <v>4.0190000000000001</v>
      </c>
      <c r="AP34" s="1007">
        <v>5.37</v>
      </c>
      <c r="AQ34" s="1007">
        <v>6.0839999999999996</v>
      </c>
      <c r="AR34" s="1007">
        <v>3.8239999999999998</v>
      </c>
      <c r="AS34" s="1008">
        <v>3.5510000000000002</v>
      </c>
      <c r="AT34" s="863">
        <v>4.2263999999999999</v>
      </c>
      <c r="AU34" s="13">
        <v>4.2263999999999999</v>
      </c>
      <c r="AV34" s="1007">
        <v>3.6219999999999999</v>
      </c>
      <c r="AW34" s="1007">
        <v>0.77900000000000003</v>
      </c>
      <c r="AX34" s="1007">
        <v>7.9589999999999996</v>
      </c>
      <c r="AY34" s="1007">
        <v>3.9239999999999999</v>
      </c>
      <c r="AZ34" s="1007">
        <v>7.0090000000000003</v>
      </c>
      <c r="BA34" s="1007">
        <v>5.1459999999999999</v>
      </c>
      <c r="BB34" s="1007">
        <v>7.8179999999999996</v>
      </c>
      <c r="BC34" s="1007">
        <v>8.2040000000000006</v>
      </c>
      <c r="BD34" s="1008">
        <v>7.8410000000000002</v>
      </c>
    </row>
    <row r="35" spans="1:56" ht="15" customHeight="1" x14ac:dyDescent="0.45">
      <c r="A35" s="855" t="s">
        <v>2585</v>
      </c>
      <c r="B35" s="863">
        <v>6.1400000000000003E-2</v>
      </c>
      <c r="C35" s="1007">
        <v>11.887</v>
      </c>
      <c r="D35" s="1007">
        <v>0.187</v>
      </c>
      <c r="E35" s="1007">
        <v>0.11799999999999999</v>
      </c>
      <c r="F35" s="1007">
        <v>0.13900000000000001</v>
      </c>
      <c r="G35" s="1007">
        <v>0.25900000000000001</v>
      </c>
      <c r="H35" s="1007">
        <v>0.39300000000000002</v>
      </c>
      <c r="I35" s="1007">
        <v>0.22800000000000001</v>
      </c>
      <c r="J35" s="1007">
        <v>0.186</v>
      </c>
      <c r="K35" s="1007">
        <v>0.124</v>
      </c>
      <c r="L35" s="1008">
        <v>0.39900000000000002</v>
      </c>
      <c r="M35" s="863">
        <v>2.8400000000000002E-2</v>
      </c>
      <c r="N35" s="13">
        <v>2.8400000000000002E-2</v>
      </c>
      <c r="O35" s="1007">
        <v>1.95</v>
      </c>
      <c r="P35" s="13">
        <v>2.8400000000000002E-2</v>
      </c>
      <c r="Q35" s="13">
        <v>2.8400000000000002E-2</v>
      </c>
      <c r="R35" s="13">
        <v>2.8400000000000002E-2</v>
      </c>
      <c r="S35" s="13">
        <v>2.8400000000000002E-2</v>
      </c>
      <c r="T35" s="13">
        <v>2.8400000000000002E-2</v>
      </c>
      <c r="U35" s="13">
        <v>2.8400000000000002E-2</v>
      </c>
      <c r="V35" s="13">
        <v>2.8400000000000002E-2</v>
      </c>
      <c r="W35" s="773">
        <v>2.8400000000000002E-2</v>
      </c>
      <c r="X35" s="863">
        <v>0.17</v>
      </c>
      <c r="Y35" s="1007">
        <v>5.2999999999999999E-2</v>
      </c>
      <c r="Z35" s="1007">
        <v>0.32700000000000001</v>
      </c>
      <c r="AA35" s="1007">
        <v>0.33800000000000002</v>
      </c>
      <c r="AB35" s="1007">
        <v>0.50900000000000001</v>
      </c>
      <c r="AC35" s="1007">
        <v>0.34799999999999998</v>
      </c>
      <c r="AD35" s="1007">
        <v>0.372</v>
      </c>
      <c r="AE35" s="1007">
        <v>0.36099999999999999</v>
      </c>
      <c r="AF35" s="1007">
        <v>0.64700000000000002</v>
      </c>
      <c r="AG35" s="1007">
        <v>0.34499999999999997</v>
      </c>
      <c r="AH35" s="1008">
        <v>0.28000000000000003</v>
      </c>
      <c r="AI35" s="863">
        <v>8.0999999999999996E-3</v>
      </c>
      <c r="AJ35" s="1007">
        <v>0.01</v>
      </c>
      <c r="AK35" s="1007">
        <v>1.0999999999999999E-2</v>
      </c>
      <c r="AL35" s="1007">
        <v>0.01</v>
      </c>
      <c r="AM35" s="1007">
        <v>1.0999999999999999E-2</v>
      </c>
      <c r="AN35" s="1007">
        <v>1.0999999999999999E-2</v>
      </c>
      <c r="AO35" s="1007">
        <v>3.2000000000000001E-2</v>
      </c>
      <c r="AP35" s="1007">
        <v>7.0999999999999994E-2</v>
      </c>
      <c r="AQ35" s="1007">
        <v>1.2E-2</v>
      </c>
      <c r="AR35" s="1007">
        <v>1.6E-2</v>
      </c>
      <c r="AS35" s="1008">
        <v>0.01</v>
      </c>
      <c r="AT35" s="863">
        <v>0.1694</v>
      </c>
      <c r="AU35" s="13">
        <v>0.1694</v>
      </c>
      <c r="AV35" s="1007">
        <v>0.23300000000000001</v>
      </c>
      <c r="AW35" s="1007">
        <v>0.222</v>
      </c>
      <c r="AX35" s="1007">
        <v>8.3000000000000004E-2</v>
      </c>
      <c r="AY35" s="1007">
        <v>9.9000000000000005E-2</v>
      </c>
      <c r="AZ35" s="1007">
        <v>0.11</v>
      </c>
      <c r="BA35" s="1007">
        <v>9.8000000000000004E-2</v>
      </c>
      <c r="BB35" s="1007">
        <v>8.1000000000000003E-2</v>
      </c>
      <c r="BC35" s="1007">
        <v>8.5000000000000006E-2</v>
      </c>
      <c r="BD35" s="1008">
        <v>9.6000000000000002E-2</v>
      </c>
    </row>
    <row r="36" spans="1:56" ht="15" customHeight="1" x14ac:dyDescent="0.45">
      <c r="A36" s="855" t="s">
        <v>2586</v>
      </c>
      <c r="B36" s="863">
        <v>4.3200000000000002E-2</v>
      </c>
      <c r="C36" s="1007">
        <v>3.504</v>
      </c>
      <c r="D36" s="1007">
        <v>0.13100000000000001</v>
      </c>
      <c r="E36" s="1007">
        <v>0.11799999999999999</v>
      </c>
      <c r="F36" s="1007">
        <v>0.11</v>
      </c>
      <c r="G36" s="1007">
        <v>0.185</v>
      </c>
      <c r="H36" s="1007">
        <v>0.25700000000000001</v>
      </c>
      <c r="I36" s="1007">
        <v>0.18</v>
      </c>
      <c r="J36" s="1007">
        <v>0.161</v>
      </c>
      <c r="K36" s="1007">
        <v>0.11</v>
      </c>
      <c r="L36" s="1008">
        <v>0.247</v>
      </c>
      <c r="M36" s="863">
        <v>8.2699999999999996E-3</v>
      </c>
      <c r="N36" s="13">
        <v>8.2699999999999996E-3</v>
      </c>
      <c r="O36" s="1007">
        <v>0.56799999999999995</v>
      </c>
      <c r="P36" s="13">
        <v>8.2699999999999996E-3</v>
      </c>
      <c r="Q36" s="13">
        <v>8.2699999999999996E-3</v>
      </c>
      <c r="R36" s="13">
        <v>8.2699999999999996E-3</v>
      </c>
      <c r="S36" s="13">
        <v>8.2699999999999996E-3</v>
      </c>
      <c r="T36" s="13">
        <v>8.2699999999999996E-3</v>
      </c>
      <c r="U36" s="13">
        <v>8.2699999999999996E-3</v>
      </c>
      <c r="V36" s="13">
        <v>8.2699999999999996E-3</v>
      </c>
      <c r="W36" s="773">
        <v>8.2699999999999996E-3</v>
      </c>
      <c r="X36" s="863">
        <v>7.0099999999999996E-2</v>
      </c>
      <c r="Y36" s="1007">
        <v>3.9E-2</v>
      </c>
      <c r="Z36" s="1007">
        <v>7.9000000000000001E-2</v>
      </c>
      <c r="AA36" s="1007">
        <v>8.1000000000000003E-2</v>
      </c>
      <c r="AB36" s="1007">
        <v>0.122</v>
      </c>
      <c r="AC36" s="1007">
        <v>8.3000000000000004E-2</v>
      </c>
      <c r="AD36" s="1007">
        <v>8.8999999999999996E-2</v>
      </c>
      <c r="AE36" s="1007">
        <v>8.6999999999999994E-2</v>
      </c>
      <c r="AF36" s="1007">
        <v>0.155</v>
      </c>
      <c r="AG36" s="1007">
        <v>8.3000000000000004E-2</v>
      </c>
      <c r="AH36" s="1008">
        <v>6.7000000000000004E-2</v>
      </c>
      <c r="AI36" s="863">
        <v>1.24E-2</v>
      </c>
      <c r="AJ36" s="1007">
        <v>0.01</v>
      </c>
      <c r="AK36" s="1007">
        <v>1.0999999999999999E-2</v>
      </c>
      <c r="AL36" s="1007">
        <v>0.01</v>
      </c>
      <c r="AM36" s="1007">
        <v>1.0999999999999999E-2</v>
      </c>
      <c r="AN36" s="1007">
        <v>1.0999999999999999E-2</v>
      </c>
      <c r="AO36" s="1007">
        <v>2.8000000000000001E-2</v>
      </c>
      <c r="AP36" s="1007">
        <v>5.7000000000000002E-2</v>
      </c>
      <c r="AQ36" s="1007">
        <v>1.2E-2</v>
      </c>
      <c r="AR36" s="1007">
        <v>1.6E-2</v>
      </c>
      <c r="AS36" s="1008">
        <v>0.01</v>
      </c>
      <c r="AT36" s="863">
        <v>0.13150000000000001</v>
      </c>
      <c r="AU36" s="13">
        <v>0.13150000000000001</v>
      </c>
      <c r="AV36" s="1007">
        <v>0.18099999999999999</v>
      </c>
      <c r="AW36" s="1007">
        <v>0.17299999999999999</v>
      </c>
      <c r="AX36" s="1007">
        <v>5.6000000000000001E-2</v>
      </c>
      <c r="AY36" s="1007">
        <v>8.5999999999999993E-2</v>
      </c>
      <c r="AZ36" s="1007">
        <v>7.9000000000000001E-2</v>
      </c>
      <c r="BA36" s="1007">
        <v>7.5999999999999998E-2</v>
      </c>
      <c r="BB36" s="1007">
        <v>5.5E-2</v>
      </c>
      <c r="BC36" s="1007">
        <v>5.7000000000000002E-2</v>
      </c>
      <c r="BD36" s="1008">
        <v>6.7000000000000004E-2</v>
      </c>
    </row>
    <row r="37" spans="1:56" ht="15" customHeight="1" x14ac:dyDescent="0.45">
      <c r="A37" s="855" t="s">
        <v>2587</v>
      </c>
      <c r="B37" s="863">
        <v>2.3641000000000001</v>
      </c>
      <c r="C37" s="1007">
        <v>4.2709999999999999</v>
      </c>
      <c r="D37" s="1007">
        <v>1.667</v>
      </c>
      <c r="E37" s="1007">
        <v>8.9629999999999992</v>
      </c>
      <c r="F37" s="1007">
        <v>3.3159999999999998</v>
      </c>
      <c r="G37" s="1007">
        <v>4.32</v>
      </c>
      <c r="H37" s="1007">
        <v>4.2229999999999999</v>
      </c>
      <c r="I37" s="1007">
        <v>2.8119999999999998</v>
      </c>
      <c r="J37" s="1007">
        <v>3.0430000000000001</v>
      </c>
      <c r="K37" s="1007">
        <v>4.5419999999999998</v>
      </c>
      <c r="L37" s="1008">
        <v>1.0309999999999999</v>
      </c>
      <c r="M37" s="863">
        <v>4.9100000000000003E-3</v>
      </c>
      <c r="N37" s="13">
        <v>4.9100000000000003E-3</v>
      </c>
      <c r="O37" s="1007">
        <v>0.04</v>
      </c>
      <c r="P37" s="13">
        <v>4.9100000000000003E-3</v>
      </c>
      <c r="Q37" s="13">
        <v>4.9100000000000003E-3</v>
      </c>
      <c r="R37" s="13">
        <v>4.9100000000000003E-3</v>
      </c>
      <c r="S37" s="13">
        <v>4.9100000000000003E-3</v>
      </c>
      <c r="T37" s="13">
        <v>4.9100000000000003E-3</v>
      </c>
      <c r="U37" s="13">
        <v>4.9100000000000003E-3</v>
      </c>
      <c r="V37" s="13">
        <v>4.9100000000000003E-3</v>
      </c>
      <c r="W37" s="773">
        <v>4.9100000000000003E-3</v>
      </c>
      <c r="X37" s="863">
        <v>0.43359999999999999</v>
      </c>
      <c r="Y37" s="1007">
        <v>0.48899999999999999</v>
      </c>
      <c r="Z37" s="1007">
        <v>0.33100000000000002</v>
      </c>
      <c r="AA37" s="1007">
        <v>0.13400000000000001</v>
      </c>
      <c r="AB37" s="1007">
        <v>0.44</v>
      </c>
      <c r="AC37" s="1007">
        <v>1.6479999999999999</v>
      </c>
      <c r="AD37" s="1007">
        <v>0.44900000000000001</v>
      </c>
      <c r="AE37" s="1007">
        <v>2.99</v>
      </c>
      <c r="AF37" s="1007">
        <v>0</v>
      </c>
      <c r="AG37" s="1007">
        <v>0.65100000000000002</v>
      </c>
      <c r="AH37" s="1008">
        <v>8.7999999999999995E-2</v>
      </c>
      <c r="AI37" s="863">
        <v>0.1086</v>
      </c>
      <c r="AJ37" s="1007">
        <v>0.26</v>
      </c>
      <c r="AK37" s="1007">
        <v>1.7350000000000001</v>
      </c>
      <c r="AL37" s="1007">
        <v>0.18</v>
      </c>
      <c r="AM37" s="1007">
        <v>0.223</v>
      </c>
      <c r="AN37" s="1007">
        <v>0.22600000000000001</v>
      </c>
      <c r="AO37" s="1007">
        <v>0.37</v>
      </c>
      <c r="AP37" s="1007">
        <v>0.23499999999999999</v>
      </c>
      <c r="AQ37" s="1007">
        <v>0.28000000000000003</v>
      </c>
      <c r="AR37" s="1007">
        <v>0.80300000000000005</v>
      </c>
      <c r="AS37" s="1008">
        <v>0.28699999999999998</v>
      </c>
      <c r="AT37" s="863">
        <v>3.6036999999999999</v>
      </c>
      <c r="AU37" s="13">
        <v>3.6036999999999999</v>
      </c>
      <c r="AV37" s="1007">
        <v>10.042999999999999</v>
      </c>
      <c r="AW37" s="1007">
        <v>0.65600000000000003</v>
      </c>
      <c r="AX37" s="1007">
        <v>7.5529999999999999</v>
      </c>
      <c r="AY37" s="1007">
        <v>3.8980000000000001</v>
      </c>
      <c r="AZ37" s="1007">
        <v>8.8610000000000007</v>
      </c>
      <c r="BA37" s="1007">
        <v>8.2720000000000002</v>
      </c>
      <c r="BB37" s="1007">
        <v>7.4189999999999996</v>
      </c>
      <c r="BC37" s="1007">
        <v>7.7859999999999996</v>
      </c>
      <c r="BD37" s="1008">
        <v>7.4409999999999998</v>
      </c>
    </row>
    <row r="38" spans="1:56" ht="15" customHeight="1" x14ac:dyDescent="0.45">
      <c r="A38" s="855" t="s">
        <v>2588</v>
      </c>
      <c r="B38" s="863">
        <v>1.8576E-3</v>
      </c>
      <c r="C38" s="13">
        <v>0.150672</v>
      </c>
      <c r="D38" s="13">
        <v>5.633E-3</v>
      </c>
      <c r="E38" s="13">
        <v>5.0739999999999995E-3</v>
      </c>
      <c r="F38" s="13">
        <v>4.7299999999999998E-3</v>
      </c>
      <c r="G38" s="13">
        <v>7.9550000000000003E-3</v>
      </c>
      <c r="H38" s="13">
        <v>1.1051E-2</v>
      </c>
      <c r="I38" s="13">
        <v>7.7399999999999995E-3</v>
      </c>
      <c r="J38" s="13">
        <v>6.9230000000000003E-3</v>
      </c>
      <c r="K38" s="13">
        <v>4.7299999999999998E-3</v>
      </c>
      <c r="L38" s="773">
        <v>1.0621E-2</v>
      </c>
      <c r="M38" s="863">
        <v>3.5560999999999996E-4</v>
      </c>
      <c r="N38" s="13">
        <v>3.5560999999999996E-4</v>
      </c>
      <c r="O38" s="13">
        <v>2.4423999999999998E-2</v>
      </c>
      <c r="P38" s="13">
        <v>3.5560999999999996E-4</v>
      </c>
      <c r="Q38" s="13">
        <v>3.5560999999999996E-4</v>
      </c>
      <c r="R38" s="13">
        <v>3.5560999999999996E-4</v>
      </c>
      <c r="S38" s="13">
        <v>3.5560999999999996E-4</v>
      </c>
      <c r="T38" s="13">
        <v>3.5560999999999996E-4</v>
      </c>
      <c r="U38" s="13">
        <v>3.5560999999999996E-4</v>
      </c>
      <c r="V38" s="13">
        <v>3.5560999999999996E-4</v>
      </c>
      <c r="W38" s="773">
        <v>3.5560999999999996E-4</v>
      </c>
      <c r="X38" s="863">
        <v>4.2059999999999997E-3</v>
      </c>
      <c r="Y38" s="13">
        <v>2.3400000000000001E-3</v>
      </c>
      <c r="Z38" s="13">
        <v>4.7399999999999994E-3</v>
      </c>
      <c r="AA38" s="13">
        <v>4.8599999999999997E-3</v>
      </c>
      <c r="AB38" s="13">
        <v>7.3200000000000001E-3</v>
      </c>
      <c r="AC38" s="13">
        <v>4.9800000000000001E-3</v>
      </c>
      <c r="AD38" s="13">
        <v>5.3400000000000001E-3</v>
      </c>
      <c r="AE38" s="13">
        <v>5.2199999999999998E-3</v>
      </c>
      <c r="AF38" s="13">
        <v>9.2999999999999992E-3</v>
      </c>
      <c r="AG38" s="13">
        <v>4.9800000000000001E-3</v>
      </c>
      <c r="AH38" s="773">
        <v>4.0200000000000001E-3</v>
      </c>
      <c r="AI38" s="863">
        <v>1.8599999999999999E-3</v>
      </c>
      <c r="AJ38" s="13">
        <v>1.5E-3</v>
      </c>
      <c r="AK38" s="13">
        <v>1.6499999999999998E-3</v>
      </c>
      <c r="AL38" s="13">
        <v>1.5E-3</v>
      </c>
      <c r="AM38" s="13">
        <v>1.6499999999999998E-3</v>
      </c>
      <c r="AN38" s="13">
        <v>1.6499999999999998E-3</v>
      </c>
      <c r="AO38" s="13">
        <v>4.1999999999999997E-3</v>
      </c>
      <c r="AP38" s="13">
        <v>8.5500000000000003E-3</v>
      </c>
      <c r="AQ38" s="13">
        <v>1.8E-3</v>
      </c>
      <c r="AR38" s="13">
        <v>2.3999999999999998E-3</v>
      </c>
      <c r="AS38" s="773">
        <v>1.5E-3</v>
      </c>
      <c r="AT38" s="863">
        <v>8.3371000000000001E-3</v>
      </c>
      <c r="AU38" s="13">
        <v>8.3371000000000001E-3</v>
      </c>
      <c r="AV38" s="13">
        <v>1.14754E-2</v>
      </c>
      <c r="AW38" s="13">
        <v>1.0968199999999999E-2</v>
      </c>
      <c r="AX38" s="13">
        <v>3.5504000000000004E-3</v>
      </c>
      <c r="AY38" s="13">
        <v>5.4523999999999996E-3</v>
      </c>
      <c r="AZ38" s="13">
        <v>5.0085999999999993E-3</v>
      </c>
      <c r="BA38" s="13">
        <v>4.8183999999999996E-3</v>
      </c>
      <c r="BB38" s="13">
        <v>3.4870000000000001E-3</v>
      </c>
      <c r="BC38" s="13">
        <v>3.6137999999999999E-3</v>
      </c>
      <c r="BD38" s="773">
        <v>4.2477999999999995E-3</v>
      </c>
    </row>
    <row r="39" spans="1:56" ht="15" customHeight="1" x14ac:dyDescent="0.45">
      <c r="A39" s="855" t="s">
        <v>2589</v>
      </c>
      <c r="B39" s="863">
        <v>3.4992000000000001E-3</v>
      </c>
      <c r="C39" s="13">
        <v>0.28382400000000002</v>
      </c>
      <c r="D39" s="13">
        <v>1.0610999999999999E-2</v>
      </c>
      <c r="E39" s="13">
        <v>9.5579999999999988E-3</v>
      </c>
      <c r="F39" s="13">
        <v>8.9099999999999995E-3</v>
      </c>
      <c r="G39" s="13">
        <v>1.4985E-2</v>
      </c>
      <c r="H39" s="13">
        <v>2.0817000000000002E-2</v>
      </c>
      <c r="I39" s="13">
        <v>1.4579999999999999E-2</v>
      </c>
      <c r="J39" s="13">
        <v>1.3041000000000001E-2</v>
      </c>
      <c r="K39" s="13">
        <v>8.9099999999999995E-3</v>
      </c>
      <c r="L39" s="773">
        <v>2.0006999999999997E-2</v>
      </c>
      <c r="M39" s="863">
        <v>6.6986999999999993E-4</v>
      </c>
      <c r="N39" s="13">
        <v>6.6986999999999993E-4</v>
      </c>
      <c r="O39" s="13">
        <v>4.6007999999999993E-2</v>
      </c>
      <c r="P39" s="13">
        <v>6.6986999999999993E-4</v>
      </c>
      <c r="Q39" s="13">
        <v>6.6986999999999993E-4</v>
      </c>
      <c r="R39" s="13">
        <v>6.6986999999999993E-4</v>
      </c>
      <c r="S39" s="13">
        <v>6.6986999999999993E-4</v>
      </c>
      <c r="T39" s="13">
        <v>6.6986999999999993E-4</v>
      </c>
      <c r="U39" s="13">
        <v>6.6986999999999993E-4</v>
      </c>
      <c r="V39" s="13">
        <v>6.6986999999999993E-4</v>
      </c>
      <c r="W39" s="773">
        <v>6.6986999999999993E-4</v>
      </c>
      <c r="X39" s="863">
        <v>2.8039999999999996E-3</v>
      </c>
      <c r="Y39" s="13">
        <v>1.56E-3</v>
      </c>
      <c r="Z39" s="13">
        <v>3.16E-3</v>
      </c>
      <c r="AA39" s="13">
        <v>3.2400000000000003E-3</v>
      </c>
      <c r="AB39" s="13">
        <v>4.8799999999999998E-3</v>
      </c>
      <c r="AC39" s="13">
        <v>3.32E-3</v>
      </c>
      <c r="AD39" s="13">
        <v>3.5599999999999998E-3</v>
      </c>
      <c r="AE39" s="13">
        <v>3.4799999999999996E-3</v>
      </c>
      <c r="AF39" s="13">
        <v>6.1999999999999998E-3</v>
      </c>
      <c r="AG39" s="13">
        <v>3.32E-3</v>
      </c>
      <c r="AH39" s="773">
        <v>2.6800000000000001E-3</v>
      </c>
      <c r="AI39" s="863">
        <v>4.836E-3</v>
      </c>
      <c r="AJ39" s="13">
        <v>3.9000000000000003E-3</v>
      </c>
      <c r="AK39" s="13">
        <v>4.2899999999999995E-3</v>
      </c>
      <c r="AL39" s="13">
        <v>3.9000000000000003E-3</v>
      </c>
      <c r="AM39" s="13">
        <v>4.2899999999999995E-3</v>
      </c>
      <c r="AN39" s="13">
        <v>4.2899999999999995E-3</v>
      </c>
      <c r="AO39" s="13">
        <v>1.0920000000000001E-2</v>
      </c>
      <c r="AP39" s="13">
        <v>2.223E-2</v>
      </c>
      <c r="AQ39" s="13">
        <v>4.6800000000000001E-3</v>
      </c>
      <c r="AR39" s="13">
        <v>6.2399999999999999E-3</v>
      </c>
      <c r="AS39" s="773">
        <v>3.9000000000000003E-3</v>
      </c>
      <c r="AT39" s="863">
        <v>5.7860000000000012E-3</v>
      </c>
      <c r="AU39" s="13">
        <v>5.7860000000000012E-3</v>
      </c>
      <c r="AV39" s="13">
        <v>7.9640000000000006E-3</v>
      </c>
      <c r="AW39" s="13">
        <v>7.6119999999999998E-3</v>
      </c>
      <c r="AX39" s="13">
        <v>2.4640000000000005E-3</v>
      </c>
      <c r="AY39" s="13">
        <v>3.784E-3</v>
      </c>
      <c r="AZ39" s="13">
        <v>3.4760000000000004E-3</v>
      </c>
      <c r="BA39" s="13">
        <v>3.3440000000000002E-3</v>
      </c>
      <c r="BB39" s="13">
        <v>2.4200000000000003E-3</v>
      </c>
      <c r="BC39" s="13">
        <v>2.5080000000000002E-3</v>
      </c>
      <c r="BD39" s="773">
        <v>2.9480000000000005E-3</v>
      </c>
    </row>
    <row r="40" spans="1:56" ht="15" customHeight="1" x14ac:dyDescent="0.45">
      <c r="A40" s="855" t="s">
        <v>1957</v>
      </c>
      <c r="B40" s="863">
        <v>0.01</v>
      </c>
      <c r="C40" s="1007">
        <v>1.4E-2</v>
      </c>
      <c r="D40" s="1007">
        <v>0.01</v>
      </c>
      <c r="E40" s="1007">
        <v>1.6E-2</v>
      </c>
      <c r="F40" s="1007">
        <v>0.01</v>
      </c>
      <c r="G40" s="1007">
        <v>1.0999999999999999E-2</v>
      </c>
      <c r="H40" s="1007">
        <v>0.01</v>
      </c>
      <c r="I40" s="1007">
        <v>0.01</v>
      </c>
      <c r="J40" s="1007">
        <v>0.01</v>
      </c>
      <c r="K40" s="1007">
        <v>0.01</v>
      </c>
      <c r="L40" s="1008">
        <v>0.01</v>
      </c>
      <c r="M40" s="863">
        <v>8.9999999999999993E-3</v>
      </c>
      <c r="N40" s="13">
        <v>8.9999999999999993E-3</v>
      </c>
      <c r="O40" s="1007">
        <v>0.01</v>
      </c>
      <c r="P40" s="13">
        <v>8.9999999999999993E-3</v>
      </c>
      <c r="Q40" s="13">
        <v>8.9999999999999993E-3</v>
      </c>
      <c r="R40" s="13">
        <v>8.9999999999999993E-3</v>
      </c>
      <c r="S40" s="13">
        <v>8.9999999999999993E-3</v>
      </c>
      <c r="T40" s="13">
        <v>8.9999999999999993E-3</v>
      </c>
      <c r="U40" s="13">
        <v>8.9999999999999993E-3</v>
      </c>
      <c r="V40" s="13">
        <v>8.9999999999999993E-3</v>
      </c>
      <c r="W40" s="773">
        <v>8.9999999999999993E-3</v>
      </c>
      <c r="X40" s="863">
        <v>3.2199999999999999E-2</v>
      </c>
      <c r="Y40" s="1007">
        <v>2.7E-2</v>
      </c>
      <c r="Z40" s="1007">
        <v>3.4000000000000002E-2</v>
      </c>
      <c r="AA40" s="1007">
        <v>3.5999999999999997E-2</v>
      </c>
      <c r="AB40" s="1007">
        <v>5.3999999999999999E-2</v>
      </c>
      <c r="AC40" s="1007">
        <v>3.6999999999999998E-2</v>
      </c>
      <c r="AD40" s="1007">
        <v>3.9E-2</v>
      </c>
      <c r="AE40" s="1007">
        <v>3.7999999999999999E-2</v>
      </c>
      <c r="AF40" s="1007">
        <v>6.8000000000000005E-2</v>
      </c>
      <c r="AG40" s="1007">
        <v>3.5999999999999997E-2</v>
      </c>
      <c r="AH40" s="1008">
        <v>3.9E-2</v>
      </c>
      <c r="AI40" s="863">
        <v>2.8400000000000002E-2</v>
      </c>
      <c r="AJ40" s="1007">
        <v>0.03</v>
      </c>
      <c r="AK40" s="1007">
        <v>3.3000000000000002E-2</v>
      </c>
      <c r="AL40" s="1007">
        <v>2.9000000000000001E-2</v>
      </c>
      <c r="AM40" s="1007">
        <v>3.3000000000000002E-2</v>
      </c>
      <c r="AN40" s="1007">
        <v>3.3000000000000002E-2</v>
      </c>
      <c r="AO40" s="1007">
        <v>3.9E-2</v>
      </c>
      <c r="AP40" s="1007">
        <v>3.1E-2</v>
      </c>
      <c r="AQ40" s="1007">
        <v>3.5999999999999997E-2</v>
      </c>
      <c r="AR40" s="1007">
        <v>4.4999999999999998E-2</v>
      </c>
      <c r="AS40" s="1008">
        <v>2.8000000000000001E-2</v>
      </c>
      <c r="AT40" s="863">
        <v>3.1E-2</v>
      </c>
      <c r="AU40" s="13">
        <v>3.1E-2</v>
      </c>
      <c r="AV40" s="1007">
        <v>3.3000000000000002E-2</v>
      </c>
      <c r="AW40" s="1007">
        <v>3.2000000000000001E-2</v>
      </c>
      <c r="AX40" s="1007">
        <v>3.2000000000000001E-2</v>
      </c>
      <c r="AY40" s="1007">
        <v>3.5999999999999997E-2</v>
      </c>
      <c r="AZ40" s="1007">
        <v>3.3000000000000002E-2</v>
      </c>
      <c r="BA40" s="1007">
        <v>3.2000000000000001E-2</v>
      </c>
      <c r="BB40" s="1007">
        <v>3.2000000000000001E-2</v>
      </c>
      <c r="BC40" s="1007">
        <v>3.3000000000000002E-2</v>
      </c>
      <c r="BD40" s="1008">
        <v>3.2000000000000001E-2</v>
      </c>
    </row>
    <row r="41" spans="1:56" ht="15" customHeight="1" x14ac:dyDescent="0.45">
      <c r="A41" s="857" t="s">
        <v>1956</v>
      </c>
      <c r="B41" s="1009">
        <v>1.4999999999999999E-2</v>
      </c>
      <c r="C41" s="1010">
        <v>2.1000000000000001E-2</v>
      </c>
      <c r="D41" s="1010">
        <v>1.6E-2</v>
      </c>
      <c r="E41" s="1010">
        <v>2.4E-2</v>
      </c>
      <c r="F41" s="1010">
        <v>1.6E-2</v>
      </c>
      <c r="G41" s="1010">
        <v>1.6E-2</v>
      </c>
      <c r="H41" s="1010">
        <v>1.4999999999999999E-2</v>
      </c>
      <c r="I41" s="1010">
        <v>1.4999999999999999E-2</v>
      </c>
      <c r="J41" s="1010">
        <v>1.6E-2</v>
      </c>
      <c r="K41" s="1010">
        <v>1.6E-2</v>
      </c>
      <c r="L41" s="1011">
        <v>1.6E-2</v>
      </c>
      <c r="M41" s="1009">
        <v>1.35E-2</v>
      </c>
      <c r="N41" s="775">
        <v>1.35E-2</v>
      </c>
      <c r="O41" s="1010">
        <v>1.6E-2</v>
      </c>
      <c r="P41" s="775">
        <v>1.35E-2</v>
      </c>
      <c r="Q41" s="775">
        <v>1.35E-2</v>
      </c>
      <c r="R41" s="775">
        <v>1.35E-2</v>
      </c>
      <c r="S41" s="775">
        <v>1.35E-2</v>
      </c>
      <c r="T41" s="775">
        <v>1.35E-2</v>
      </c>
      <c r="U41" s="775">
        <v>1.35E-2</v>
      </c>
      <c r="V41" s="775">
        <v>1.35E-2</v>
      </c>
      <c r="W41" s="776">
        <v>1.35E-2</v>
      </c>
      <c r="X41" s="1009">
        <v>6.4000000000000003E-3</v>
      </c>
      <c r="Y41" s="1010">
        <v>5.0000000000000001E-3</v>
      </c>
      <c r="Z41" s="1010">
        <v>7.0000000000000001E-3</v>
      </c>
      <c r="AA41" s="1010">
        <v>7.0000000000000001E-3</v>
      </c>
      <c r="AB41" s="1010">
        <v>1.0999999999999999E-2</v>
      </c>
      <c r="AC41" s="1010">
        <v>8.0000000000000002E-3</v>
      </c>
      <c r="AD41" s="1010">
        <v>8.0000000000000002E-3</v>
      </c>
      <c r="AE41" s="1010">
        <v>8.0000000000000002E-3</v>
      </c>
      <c r="AF41" s="1010">
        <v>1.4E-2</v>
      </c>
      <c r="AG41" s="1010">
        <v>7.0000000000000001E-3</v>
      </c>
      <c r="AH41" s="1011">
        <v>8.0000000000000002E-3</v>
      </c>
      <c r="AI41" s="1009">
        <v>5.5999999999999999E-3</v>
      </c>
      <c r="AJ41" s="1010">
        <v>6.0000000000000001E-3</v>
      </c>
      <c r="AK41" s="1010">
        <v>7.0000000000000001E-3</v>
      </c>
      <c r="AL41" s="1010">
        <v>6.0000000000000001E-3</v>
      </c>
      <c r="AM41" s="1010">
        <v>7.0000000000000001E-3</v>
      </c>
      <c r="AN41" s="1010">
        <v>7.0000000000000001E-3</v>
      </c>
      <c r="AO41" s="1010">
        <v>8.0000000000000002E-3</v>
      </c>
      <c r="AP41" s="1010">
        <v>6.0000000000000001E-3</v>
      </c>
      <c r="AQ41" s="1010">
        <v>7.0000000000000001E-3</v>
      </c>
      <c r="AR41" s="1010">
        <v>8.9999999999999993E-3</v>
      </c>
      <c r="AS41" s="1011">
        <v>6.0000000000000001E-3</v>
      </c>
      <c r="AT41" s="1009">
        <v>6.1999999999999998E-3</v>
      </c>
      <c r="AU41" s="775">
        <v>6.1999999999999998E-3</v>
      </c>
      <c r="AV41" s="1010">
        <v>7.0000000000000001E-3</v>
      </c>
      <c r="AW41" s="1010">
        <v>6.0000000000000001E-3</v>
      </c>
      <c r="AX41" s="1010">
        <v>6.0000000000000001E-3</v>
      </c>
      <c r="AY41" s="1010">
        <v>7.0000000000000001E-3</v>
      </c>
      <c r="AZ41" s="1010">
        <v>7.0000000000000001E-3</v>
      </c>
      <c r="BA41" s="1010">
        <v>6.0000000000000001E-3</v>
      </c>
      <c r="BB41" s="1010">
        <v>6.0000000000000001E-3</v>
      </c>
      <c r="BC41" s="1010">
        <v>7.0000000000000001E-3</v>
      </c>
      <c r="BD41" s="1011">
        <v>6.0000000000000001E-3</v>
      </c>
    </row>
    <row r="42" spans="1:56" ht="15" customHeight="1" x14ac:dyDescent="0.45">
      <c r="A42" s="900" t="s">
        <v>154</v>
      </c>
      <c r="B42" s="2251" t="s">
        <v>205</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c r="AS42" s="2253"/>
      <c r="AT42" s="2251" t="s">
        <v>116</v>
      </c>
      <c r="AU42" s="2252"/>
      <c r="AV42" s="2252"/>
      <c r="AW42" s="2252"/>
      <c r="AX42" s="2252"/>
      <c r="AY42" s="2252"/>
      <c r="AZ42" s="2252"/>
      <c r="BA42" s="2252"/>
      <c r="BB42" s="2252"/>
      <c r="BC42" s="2252"/>
      <c r="BD42" s="2253"/>
    </row>
    <row r="43" spans="1:56" ht="15" customHeight="1" x14ac:dyDescent="0.45">
      <c r="A43" s="1004" t="s">
        <v>2644</v>
      </c>
      <c r="B43" s="2251" t="s">
        <v>2663</v>
      </c>
      <c r="C43" s="2252"/>
      <c r="D43" s="2252"/>
      <c r="E43" s="2252"/>
      <c r="F43" s="2252"/>
      <c r="G43" s="2252"/>
      <c r="H43" s="2252"/>
      <c r="I43" s="2252"/>
      <c r="J43" s="2252"/>
      <c r="K43" s="2252"/>
      <c r="L43" s="2253"/>
      <c r="M43" s="2251" t="s">
        <v>2647</v>
      </c>
      <c r="N43" s="2252"/>
      <c r="O43" s="2252"/>
      <c r="P43" s="2252"/>
      <c r="Q43" s="2252"/>
      <c r="R43" s="2252"/>
      <c r="S43" s="2252"/>
      <c r="T43" s="2252"/>
      <c r="U43" s="2252"/>
      <c r="V43" s="2252"/>
      <c r="W43" s="2253"/>
      <c r="X43" s="2251" t="s">
        <v>2648</v>
      </c>
      <c r="Y43" s="2252"/>
      <c r="Z43" s="2252"/>
      <c r="AA43" s="2252"/>
      <c r="AB43" s="2252"/>
      <c r="AC43" s="2252"/>
      <c r="AD43" s="2252"/>
      <c r="AE43" s="2252"/>
      <c r="AF43" s="2252"/>
      <c r="AG43" s="2252"/>
      <c r="AH43" s="2253"/>
      <c r="AI43" s="2251" t="s">
        <v>2645</v>
      </c>
      <c r="AJ43" s="2252"/>
      <c r="AK43" s="2252"/>
      <c r="AL43" s="2252"/>
      <c r="AM43" s="2252"/>
      <c r="AN43" s="2252"/>
      <c r="AO43" s="2252"/>
      <c r="AP43" s="2252"/>
      <c r="AQ43" s="2252"/>
      <c r="AR43" s="2252"/>
      <c r="AS43" s="2253"/>
      <c r="AT43" s="2251" t="s">
        <v>2645</v>
      </c>
      <c r="AU43" s="2252"/>
      <c r="AV43" s="2252"/>
      <c r="AW43" s="2252"/>
      <c r="AX43" s="2252"/>
      <c r="AY43" s="2252"/>
      <c r="AZ43" s="2252"/>
      <c r="BA43" s="2252"/>
      <c r="BB43" s="2252"/>
      <c r="BC43" s="2252"/>
      <c r="BD43" s="2253"/>
    </row>
    <row r="44" spans="1:56" ht="15" customHeight="1" x14ac:dyDescent="0.45">
      <c r="A44" s="1004" t="s">
        <v>310</v>
      </c>
      <c r="B44" s="927" t="s">
        <v>2649</v>
      </c>
      <c r="C44" s="766" t="s">
        <v>2650</v>
      </c>
      <c r="D44" s="766" t="s">
        <v>2651</v>
      </c>
      <c r="E44" s="766" t="s">
        <v>2652</v>
      </c>
      <c r="F44" s="766" t="s">
        <v>2653</v>
      </c>
      <c r="G44" s="766" t="s">
        <v>2654</v>
      </c>
      <c r="H44" s="766" t="s">
        <v>2655</v>
      </c>
      <c r="I44" s="766" t="s">
        <v>2656</v>
      </c>
      <c r="J44" s="766" t="s">
        <v>2657</v>
      </c>
      <c r="K44" s="766" t="s">
        <v>2658</v>
      </c>
      <c r="L44" s="767" t="s">
        <v>2659</v>
      </c>
      <c r="M44" s="927" t="s">
        <v>2649</v>
      </c>
      <c r="N44" s="766" t="s">
        <v>2650</v>
      </c>
      <c r="O44" s="766" t="s">
        <v>2651</v>
      </c>
      <c r="P44" s="766" t="s">
        <v>2652</v>
      </c>
      <c r="Q44" s="766" t="s">
        <v>2653</v>
      </c>
      <c r="R44" s="766" t="s">
        <v>2654</v>
      </c>
      <c r="S44" s="766" t="s">
        <v>2655</v>
      </c>
      <c r="T44" s="766" t="s">
        <v>2656</v>
      </c>
      <c r="U44" s="766" t="s">
        <v>2657</v>
      </c>
      <c r="V44" s="766" t="s">
        <v>2658</v>
      </c>
      <c r="W44" s="767" t="s">
        <v>2659</v>
      </c>
      <c r="X44" s="927" t="s">
        <v>2649</v>
      </c>
      <c r="Y44" s="766" t="s">
        <v>2650</v>
      </c>
      <c r="Z44" s="766" t="s">
        <v>2651</v>
      </c>
      <c r="AA44" s="766" t="s">
        <v>2652</v>
      </c>
      <c r="AB44" s="766" t="s">
        <v>2653</v>
      </c>
      <c r="AC44" s="766" t="s">
        <v>2654</v>
      </c>
      <c r="AD44" s="766" t="s">
        <v>2655</v>
      </c>
      <c r="AE44" s="766" t="s">
        <v>2656</v>
      </c>
      <c r="AF44" s="766" t="s">
        <v>2657</v>
      </c>
      <c r="AG44" s="766" t="s">
        <v>2658</v>
      </c>
      <c r="AH44" s="767" t="s">
        <v>2659</v>
      </c>
      <c r="AI44" s="927" t="s">
        <v>2649</v>
      </c>
      <c r="AJ44" s="766" t="s">
        <v>2650</v>
      </c>
      <c r="AK44" s="766" t="s">
        <v>2651</v>
      </c>
      <c r="AL44" s="766" t="s">
        <v>2652</v>
      </c>
      <c r="AM44" s="766" t="s">
        <v>2653</v>
      </c>
      <c r="AN44" s="766" t="s">
        <v>2654</v>
      </c>
      <c r="AO44" s="766" t="s">
        <v>2655</v>
      </c>
      <c r="AP44" s="766" t="s">
        <v>2656</v>
      </c>
      <c r="AQ44" s="766" t="s">
        <v>2657</v>
      </c>
      <c r="AR44" s="766" t="s">
        <v>2658</v>
      </c>
      <c r="AS44" s="767" t="s">
        <v>2659</v>
      </c>
      <c r="AT44" s="927" t="s">
        <v>2649</v>
      </c>
      <c r="AU44" s="766" t="s">
        <v>2650</v>
      </c>
      <c r="AV44" s="766" t="s">
        <v>2651</v>
      </c>
      <c r="AW44" s="766" t="s">
        <v>2652</v>
      </c>
      <c r="AX44" s="766" t="s">
        <v>2653</v>
      </c>
      <c r="AY44" s="766" t="s">
        <v>2654</v>
      </c>
      <c r="AZ44" s="766" t="s">
        <v>2655</v>
      </c>
      <c r="BA44" s="766" t="s">
        <v>2656</v>
      </c>
      <c r="BB44" s="766" t="s">
        <v>2657</v>
      </c>
      <c r="BC44" s="766" t="s">
        <v>2658</v>
      </c>
      <c r="BD44" s="767" t="s">
        <v>2659</v>
      </c>
    </row>
    <row r="45" spans="1:56" ht="15" customHeight="1" x14ac:dyDescent="0.45">
      <c r="A45" s="861" t="s">
        <v>2660</v>
      </c>
      <c r="B45" s="864">
        <v>0.55000000000000004</v>
      </c>
      <c r="C45" s="1005">
        <v>0.38300000000000001</v>
      </c>
      <c r="D45" s="1005">
        <v>0.50900000000000001</v>
      </c>
      <c r="E45" s="4">
        <v>0.55000000000000004</v>
      </c>
      <c r="F45" s="1005">
        <v>0.48499999999999999</v>
      </c>
      <c r="G45" s="1005">
        <v>0.50900000000000001</v>
      </c>
      <c r="H45" s="1005">
        <v>0.501</v>
      </c>
      <c r="I45" s="1005">
        <v>0.50900000000000001</v>
      </c>
      <c r="J45" s="1005">
        <v>0.495</v>
      </c>
      <c r="K45" s="1005">
        <v>0.503</v>
      </c>
      <c r="L45" s="1006">
        <v>0.51100000000000001</v>
      </c>
      <c r="M45" s="866">
        <v>0.34</v>
      </c>
      <c r="N45" s="1005">
        <v>0.29899999999999999</v>
      </c>
      <c r="O45" s="1005">
        <v>0.318</v>
      </c>
      <c r="P45" s="1005">
        <v>0.432</v>
      </c>
      <c r="Q45" s="1005">
        <v>0.28199999999999997</v>
      </c>
      <c r="R45" s="1005">
        <v>0.33200000000000002</v>
      </c>
      <c r="S45" s="1005">
        <v>0.29899999999999999</v>
      </c>
      <c r="T45" s="1005">
        <v>0.32200000000000001</v>
      </c>
      <c r="U45" s="1005">
        <v>0.311</v>
      </c>
      <c r="V45" s="1005">
        <v>0.29099999999999998</v>
      </c>
      <c r="W45" s="1006">
        <v>0.32800000000000001</v>
      </c>
      <c r="X45" s="866">
        <v>0.34</v>
      </c>
      <c r="Y45" s="4">
        <v>0.34</v>
      </c>
      <c r="Z45" s="1005">
        <v>0.33900000000000002</v>
      </c>
      <c r="AA45" s="4">
        <v>0.34</v>
      </c>
      <c r="AB45" s="1005">
        <v>0.30599999999999999</v>
      </c>
      <c r="AC45" s="1005">
        <v>0.314</v>
      </c>
      <c r="AD45" s="1005">
        <v>0.316</v>
      </c>
      <c r="AE45" s="1005">
        <v>0.33100000000000002</v>
      </c>
      <c r="AF45" s="1005">
        <v>0.35499999999999998</v>
      </c>
      <c r="AG45" s="1005">
        <v>0.35399999999999998</v>
      </c>
      <c r="AH45" s="1006">
        <v>0.34399999999999997</v>
      </c>
      <c r="AI45" s="866">
        <v>0.34</v>
      </c>
      <c r="AJ45" s="4">
        <v>0.34</v>
      </c>
      <c r="AK45" s="1005">
        <v>0.33</v>
      </c>
      <c r="AL45" s="4">
        <v>0.34</v>
      </c>
      <c r="AM45" s="1005">
        <v>0.28599999999999998</v>
      </c>
      <c r="AN45" s="1005">
        <v>0.33100000000000002</v>
      </c>
      <c r="AO45" s="1005">
        <v>0.31900000000000001</v>
      </c>
      <c r="AP45" s="1005">
        <v>0.31900000000000001</v>
      </c>
      <c r="AQ45" s="1005">
        <v>0.32500000000000001</v>
      </c>
      <c r="AR45" s="1005">
        <v>0.31900000000000001</v>
      </c>
      <c r="AS45" s="1006">
        <v>0.32</v>
      </c>
      <c r="AT45" s="864">
        <v>0.22</v>
      </c>
      <c r="AU45" s="1005">
        <v>0.39900000000000002</v>
      </c>
      <c r="AV45" s="1005">
        <v>0.185</v>
      </c>
      <c r="AW45" s="1005">
        <v>0.22900000000000001</v>
      </c>
      <c r="AX45" s="1005">
        <v>0.20699999999999999</v>
      </c>
      <c r="AY45" s="1005">
        <v>0.23599999999999999</v>
      </c>
      <c r="AZ45" s="1005">
        <v>0.221</v>
      </c>
      <c r="BA45" s="1005">
        <v>0.19900000000000001</v>
      </c>
      <c r="BB45" s="1005">
        <v>0.38700000000000001</v>
      </c>
      <c r="BC45" s="4">
        <v>0.22</v>
      </c>
      <c r="BD45" s="1006">
        <v>0.22600000000000001</v>
      </c>
    </row>
    <row r="46" spans="1:56" ht="15" customHeight="1" x14ac:dyDescent="0.45">
      <c r="A46" s="937" t="s">
        <v>2661</v>
      </c>
      <c r="B46" s="866">
        <v>0.84199999999999997</v>
      </c>
      <c r="C46" s="1005">
        <v>0.65300000000000002</v>
      </c>
      <c r="D46" s="1005">
        <v>0.89700000000000002</v>
      </c>
      <c r="E46" s="1005">
        <v>0</v>
      </c>
      <c r="F46" s="1005">
        <v>0.70599999999999996</v>
      </c>
      <c r="G46" s="1005">
        <v>0.80300000000000005</v>
      </c>
      <c r="H46" s="1005">
        <v>0.83499999999999996</v>
      </c>
      <c r="I46" s="1005">
        <v>0.75600000000000001</v>
      </c>
      <c r="J46" s="1005">
        <v>0.63400000000000001</v>
      </c>
      <c r="K46" s="1005">
        <v>0.85799999999999998</v>
      </c>
      <c r="L46" s="1006">
        <v>0.89200000000000002</v>
      </c>
      <c r="M46" s="866">
        <v>6.0999999999999999E-2</v>
      </c>
      <c r="N46" s="1005">
        <v>0.34699999999999998</v>
      </c>
      <c r="O46" s="1005">
        <v>3.4000000000000002E-2</v>
      </c>
      <c r="P46" s="1005">
        <v>1</v>
      </c>
      <c r="Q46" s="1005">
        <v>0.182</v>
      </c>
      <c r="R46" s="1005">
        <v>4.5999999999999999E-2</v>
      </c>
      <c r="S46" s="1005">
        <v>8.5000000000000006E-2</v>
      </c>
      <c r="T46" s="1005">
        <v>9.6000000000000002E-2</v>
      </c>
      <c r="U46" s="1005">
        <v>3.5999999999999997E-2</v>
      </c>
      <c r="V46" s="1005">
        <v>2.1999999999999999E-2</v>
      </c>
      <c r="W46" s="1006">
        <v>3.3000000000000002E-2</v>
      </c>
      <c r="X46" s="866">
        <v>9.0000000000000357E-3</v>
      </c>
      <c r="Y46" s="4">
        <v>0</v>
      </c>
      <c r="Z46" s="4">
        <v>2.0000000000000295E-3</v>
      </c>
      <c r="AA46" s="4">
        <v>0</v>
      </c>
      <c r="AB46" s="4">
        <v>5.8999999999999997E-2</v>
      </c>
      <c r="AC46" s="4">
        <v>1.099999999999994E-2</v>
      </c>
      <c r="AD46" s="4">
        <v>2.4999999999999981E-2</v>
      </c>
      <c r="AE46" s="4">
        <v>4.9999999999999767E-3</v>
      </c>
      <c r="AF46" s="4">
        <v>1.9999999999999254E-3</v>
      </c>
      <c r="AG46" s="4">
        <v>7.000000000000027E-3</v>
      </c>
      <c r="AH46" s="781">
        <v>1.0999999999999927E-2</v>
      </c>
      <c r="AI46" s="866">
        <v>8.7999999999999995E-2</v>
      </c>
      <c r="AJ46" s="1005">
        <v>0</v>
      </c>
      <c r="AK46" s="1005">
        <v>6.7000000000000004E-2</v>
      </c>
      <c r="AL46" s="1005">
        <v>0</v>
      </c>
      <c r="AM46" s="1005">
        <v>5.2999999999999999E-2</v>
      </c>
      <c r="AN46" s="1005">
        <v>0.14000000000000001</v>
      </c>
      <c r="AO46" s="1005">
        <v>5.5E-2</v>
      </c>
      <c r="AP46" s="1005">
        <v>0.14299999999999999</v>
      </c>
      <c r="AQ46" s="1005">
        <v>0.32800000000000001</v>
      </c>
      <c r="AR46" s="1005">
        <v>0.113</v>
      </c>
      <c r="AS46" s="1006">
        <v>6.4000000000000001E-2</v>
      </c>
      <c r="AT46" s="864">
        <v>0.99</v>
      </c>
      <c r="AU46" s="1005">
        <v>1</v>
      </c>
      <c r="AV46" s="1005">
        <v>1</v>
      </c>
      <c r="AW46" s="1005">
        <v>1</v>
      </c>
      <c r="AX46" s="1005">
        <v>1</v>
      </c>
      <c r="AY46" s="1005">
        <v>1</v>
      </c>
      <c r="AZ46" s="1005">
        <v>1</v>
      </c>
      <c r="BA46" s="1005">
        <v>1</v>
      </c>
      <c r="BB46" s="1005">
        <v>1</v>
      </c>
      <c r="BC46" s="1005">
        <v>0</v>
      </c>
      <c r="BD46" s="1006">
        <v>1</v>
      </c>
    </row>
    <row r="47" spans="1:56" ht="15" customHeight="1" x14ac:dyDescent="0.45">
      <c r="A47" s="855" t="s">
        <v>2662</v>
      </c>
      <c r="B47" s="779"/>
      <c r="C47" s="785"/>
      <c r="D47" s="785"/>
      <c r="E47" s="785"/>
      <c r="F47" s="785"/>
      <c r="G47" s="785"/>
      <c r="H47" s="785"/>
      <c r="I47" s="785"/>
      <c r="J47" s="785"/>
      <c r="K47" s="785"/>
      <c r="L47" s="786"/>
      <c r="M47" s="779"/>
      <c r="N47" s="785"/>
      <c r="O47" s="785"/>
      <c r="P47" s="785"/>
      <c r="Q47" s="785"/>
      <c r="R47" s="785"/>
      <c r="S47" s="785"/>
      <c r="T47" s="785"/>
      <c r="U47" s="785"/>
      <c r="V47" s="785"/>
      <c r="W47" s="786"/>
      <c r="X47" s="779"/>
      <c r="Y47" s="785"/>
      <c r="Z47" s="785"/>
      <c r="AA47" s="785"/>
      <c r="AB47" s="785"/>
      <c r="AC47" s="785"/>
      <c r="AD47" s="785"/>
      <c r="AE47" s="785"/>
      <c r="AF47" s="785"/>
      <c r="AG47" s="785"/>
      <c r="AH47" s="786"/>
      <c r="AI47" s="779"/>
      <c r="AJ47" s="785"/>
      <c r="AK47" s="785"/>
      <c r="AL47" s="785"/>
      <c r="AM47" s="785"/>
      <c r="AN47" s="785"/>
      <c r="AO47" s="785"/>
      <c r="AP47" s="785"/>
      <c r="AQ47" s="785"/>
      <c r="AR47" s="785"/>
      <c r="AS47" s="786"/>
      <c r="AT47" s="779"/>
      <c r="AU47" s="785"/>
      <c r="AV47" s="785"/>
      <c r="AW47" s="785"/>
      <c r="AX47" s="785"/>
      <c r="AY47" s="785"/>
      <c r="AZ47" s="785"/>
      <c r="BA47" s="785"/>
      <c r="BB47" s="785"/>
      <c r="BC47" s="785"/>
      <c r="BD47" s="786"/>
    </row>
    <row r="48" spans="1:56" ht="15" customHeight="1" x14ac:dyDescent="0.45">
      <c r="A48" s="855" t="s">
        <v>2582</v>
      </c>
      <c r="B48" s="863">
        <v>1.6999999999999999E-3</v>
      </c>
      <c r="C48" s="1007">
        <v>3.0000000000000001E-3</v>
      </c>
      <c r="D48" s="1007">
        <v>2E-3</v>
      </c>
      <c r="E48" s="13">
        <v>1.6999999999999999E-3</v>
      </c>
      <c r="F48" s="1007">
        <v>2E-3</v>
      </c>
      <c r="G48" s="1007">
        <v>2E-3</v>
      </c>
      <c r="H48" s="1007">
        <v>2E-3</v>
      </c>
      <c r="I48" s="1007">
        <v>2E-3</v>
      </c>
      <c r="J48" s="1007">
        <v>2E-3</v>
      </c>
      <c r="K48" s="1007">
        <v>2E-3</v>
      </c>
      <c r="L48" s="1008">
        <v>2E-3</v>
      </c>
      <c r="M48" s="863">
        <v>1.06E-2</v>
      </c>
      <c r="N48" s="1007">
        <v>1.2E-2</v>
      </c>
      <c r="O48" s="1007">
        <v>1.0999999999999999E-2</v>
      </c>
      <c r="P48" s="1007">
        <v>8.0000000000000002E-3</v>
      </c>
      <c r="Q48" s="1007">
        <v>1.2999999999999999E-2</v>
      </c>
      <c r="R48" s="1007">
        <v>1.0999999999999999E-2</v>
      </c>
      <c r="S48" s="1007">
        <v>1.2E-2</v>
      </c>
      <c r="T48" s="1007">
        <v>1.0999999999999999E-2</v>
      </c>
      <c r="U48" s="1007">
        <v>1.2E-2</v>
      </c>
      <c r="V48" s="1007">
        <v>1.2E-2</v>
      </c>
      <c r="W48" s="1008">
        <v>1.0999999999999999E-2</v>
      </c>
      <c r="X48" s="863">
        <v>1.071</v>
      </c>
      <c r="Y48" s="13">
        <v>1.071</v>
      </c>
      <c r="Z48" s="1007">
        <v>1.1359999999999999</v>
      </c>
      <c r="AA48" s="13">
        <v>1.071</v>
      </c>
      <c r="AB48" s="1007">
        <v>1.2430000000000001</v>
      </c>
      <c r="AC48" s="1007">
        <v>1.232</v>
      </c>
      <c r="AD48" s="1007">
        <v>1.2</v>
      </c>
      <c r="AE48" s="1007">
        <v>1.157</v>
      </c>
      <c r="AF48" s="1007">
        <v>0.84099999999999997</v>
      </c>
      <c r="AG48" s="1007">
        <v>0.93500000000000005</v>
      </c>
      <c r="AH48" s="1008">
        <v>0.97299999999999998</v>
      </c>
      <c r="AI48" s="863">
        <v>3.04E-2</v>
      </c>
      <c r="AJ48" s="13">
        <v>3.04E-2</v>
      </c>
      <c r="AK48" s="1007">
        <v>2.8000000000000001E-2</v>
      </c>
      <c r="AL48" s="13">
        <v>3.04E-2</v>
      </c>
      <c r="AM48" s="1007">
        <v>3.3000000000000002E-2</v>
      </c>
      <c r="AN48" s="1007">
        <v>2.8000000000000001E-2</v>
      </c>
      <c r="AO48" s="1007">
        <v>2.9000000000000001E-2</v>
      </c>
      <c r="AP48" s="1007">
        <v>3.7999999999999999E-2</v>
      </c>
      <c r="AQ48" s="1007">
        <v>3.1E-2</v>
      </c>
      <c r="AR48" s="1007">
        <v>2.9000000000000001E-2</v>
      </c>
      <c r="AS48" s="1008">
        <v>3.3000000000000002E-2</v>
      </c>
      <c r="AT48" s="863">
        <v>0.1343</v>
      </c>
      <c r="AU48" s="1007">
        <v>0.92500000000000004</v>
      </c>
      <c r="AV48" s="1007">
        <v>0.159</v>
      </c>
      <c r="AW48" s="1007">
        <v>0.14699999999999999</v>
      </c>
      <c r="AX48" s="1007">
        <v>0.14199999999999999</v>
      </c>
      <c r="AY48" s="1007">
        <v>0.125</v>
      </c>
      <c r="AZ48" s="1007">
        <v>0.13300000000000001</v>
      </c>
      <c r="BA48" s="1007">
        <v>0.14899999999999999</v>
      </c>
      <c r="BB48" s="1007">
        <v>8.1000000000000003E-2</v>
      </c>
      <c r="BC48" s="13">
        <v>0.1343</v>
      </c>
      <c r="BD48" s="1008">
        <v>0.13100000000000001</v>
      </c>
    </row>
    <row r="49" spans="1:56" ht="15" customHeight="1" x14ac:dyDescent="0.45">
      <c r="A49" s="855" t="s">
        <v>2583</v>
      </c>
      <c r="B49" s="863">
        <v>9.0200000000000002E-2</v>
      </c>
      <c r="C49" s="1007">
        <v>0.154</v>
      </c>
      <c r="D49" s="1007">
        <v>9.5000000000000001E-2</v>
      </c>
      <c r="E49" s="13">
        <v>9.0200000000000002E-2</v>
      </c>
      <c r="F49" s="1007">
        <v>0.10199999999999999</v>
      </c>
      <c r="G49" s="1007">
        <v>0.10199999999999999</v>
      </c>
      <c r="H49" s="1007">
        <v>0.105</v>
      </c>
      <c r="I49" s="1007">
        <v>9.7000000000000003E-2</v>
      </c>
      <c r="J49" s="1007">
        <v>0.10299999999999999</v>
      </c>
      <c r="K49" s="1007">
        <v>0.1</v>
      </c>
      <c r="L49" s="1008">
        <v>9.2999999999999999E-2</v>
      </c>
      <c r="M49" s="863">
        <v>0.4143</v>
      </c>
      <c r="N49" s="1007">
        <v>0.47099999999999997</v>
      </c>
      <c r="O49" s="1007">
        <v>0.443</v>
      </c>
      <c r="P49" s="1007">
        <v>0.32600000000000001</v>
      </c>
      <c r="Q49" s="1007">
        <v>0.498</v>
      </c>
      <c r="R49" s="1007">
        <v>0.42399999999999999</v>
      </c>
      <c r="S49" s="1007">
        <v>0.47099999999999997</v>
      </c>
      <c r="T49" s="1007">
        <v>0.437</v>
      </c>
      <c r="U49" s="1007">
        <v>0.45300000000000001</v>
      </c>
      <c r="V49" s="1007">
        <v>0.48399999999999999</v>
      </c>
      <c r="W49" s="1008">
        <v>0.42899999999999999</v>
      </c>
      <c r="X49" s="863">
        <v>3.6839</v>
      </c>
      <c r="Y49" s="13">
        <v>3.6839</v>
      </c>
      <c r="Z49" s="1007">
        <v>3.9060000000000001</v>
      </c>
      <c r="AA49" s="13">
        <v>3.6839</v>
      </c>
      <c r="AB49" s="1007">
        <v>4.2750000000000004</v>
      </c>
      <c r="AC49" s="1007">
        <v>4.2389999999999999</v>
      </c>
      <c r="AD49" s="1007">
        <v>4.1260000000000003</v>
      </c>
      <c r="AE49" s="1007">
        <v>3.9809999999999999</v>
      </c>
      <c r="AF49" s="1007">
        <v>2.891</v>
      </c>
      <c r="AG49" s="1007">
        <v>3.2149999999999999</v>
      </c>
      <c r="AH49" s="1008">
        <v>3.347</v>
      </c>
      <c r="AI49" s="863">
        <v>0.45800000000000002</v>
      </c>
      <c r="AJ49" s="13">
        <v>0.45800000000000002</v>
      </c>
      <c r="AK49" s="1007">
        <v>0.41399999999999998</v>
      </c>
      <c r="AL49" s="13">
        <v>0.45800000000000002</v>
      </c>
      <c r="AM49" s="1007">
        <v>0.498</v>
      </c>
      <c r="AN49" s="1007">
        <v>0.42699999999999999</v>
      </c>
      <c r="AO49" s="1007">
        <v>0.35799999999999998</v>
      </c>
      <c r="AP49" s="1007">
        <v>0.57299999999999995</v>
      </c>
      <c r="AQ49" s="1007">
        <v>0.47399999999999998</v>
      </c>
      <c r="AR49" s="1007">
        <v>0.44600000000000001</v>
      </c>
      <c r="AS49" s="1008">
        <v>0.495</v>
      </c>
      <c r="AT49" s="863">
        <v>4.7329999999999997</v>
      </c>
      <c r="AU49" s="1007">
        <v>23.120999999999999</v>
      </c>
      <c r="AV49" s="1007">
        <v>5.6079999999999997</v>
      </c>
      <c r="AW49" s="1007">
        <v>4.9909999999999997</v>
      </c>
      <c r="AX49" s="1007">
        <v>5.0220000000000002</v>
      </c>
      <c r="AY49" s="1007">
        <v>4.3949999999999996</v>
      </c>
      <c r="AZ49" s="1007">
        <v>4.7060000000000004</v>
      </c>
      <c r="BA49" s="1007">
        <v>5.2450000000000001</v>
      </c>
      <c r="BB49" s="1007">
        <v>2.8559999999999999</v>
      </c>
      <c r="BC49" s="13">
        <v>4.7329999999999997</v>
      </c>
      <c r="BD49" s="1008">
        <v>4.6139999999999999</v>
      </c>
    </row>
    <row r="50" spans="1:56" ht="15" customHeight="1" x14ac:dyDescent="0.45">
      <c r="A50" s="855" t="s">
        <v>2584</v>
      </c>
      <c r="B50" s="863">
        <v>0.1081</v>
      </c>
      <c r="C50" s="1007">
        <v>0.9</v>
      </c>
      <c r="D50" s="1007">
        <v>0.11899999999999999</v>
      </c>
      <c r="E50" s="13">
        <v>0.1081</v>
      </c>
      <c r="F50" s="1007">
        <v>0.108</v>
      </c>
      <c r="G50" s="1007">
        <v>6.7000000000000004E-2</v>
      </c>
      <c r="H50" s="1007">
        <v>0.10100000000000001</v>
      </c>
      <c r="I50" s="1007">
        <v>9.9000000000000005E-2</v>
      </c>
      <c r="J50" s="1007">
        <v>0.28499999999999998</v>
      </c>
      <c r="K50" s="1007">
        <v>0.191</v>
      </c>
      <c r="L50" s="1008">
        <v>8.4000000000000005E-2</v>
      </c>
      <c r="M50" s="863">
        <v>0.32079999999999997</v>
      </c>
      <c r="N50" s="1007">
        <v>1.986</v>
      </c>
      <c r="O50" s="1007">
        <v>0.25800000000000001</v>
      </c>
      <c r="P50" s="1007">
        <v>0.29499999999999998</v>
      </c>
      <c r="Q50" s="1007">
        <v>0.68500000000000005</v>
      </c>
      <c r="R50" s="1007">
        <v>0.53400000000000003</v>
      </c>
      <c r="S50" s="1007">
        <v>0.42799999999999999</v>
      </c>
      <c r="T50" s="1007">
        <v>0.28999999999999998</v>
      </c>
      <c r="U50" s="1007">
        <v>0.36499999999999999</v>
      </c>
      <c r="V50" s="1007">
        <v>0.81799999999999995</v>
      </c>
      <c r="W50" s="1008">
        <v>0.186</v>
      </c>
      <c r="X50" s="863">
        <v>2.9741</v>
      </c>
      <c r="Y50" s="13">
        <v>2.9741</v>
      </c>
      <c r="Z50" s="1007">
        <v>7.742</v>
      </c>
      <c r="AA50" s="13">
        <v>2.9741</v>
      </c>
      <c r="AB50" s="1007">
        <v>6.2320000000000002</v>
      </c>
      <c r="AC50" s="1007">
        <v>1.2989999999999999</v>
      </c>
      <c r="AD50" s="1007">
        <v>2.7080000000000002</v>
      </c>
      <c r="AE50" s="1007">
        <v>2.5950000000000002</v>
      </c>
      <c r="AF50" s="1007">
        <v>8.09</v>
      </c>
      <c r="AG50" s="1007">
        <v>1.27</v>
      </c>
      <c r="AH50" s="1008">
        <v>3.7050000000000001</v>
      </c>
      <c r="AI50" s="863">
        <v>0.82199999999999995</v>
      </c>
      <c r="AJ50" s="13">
        <v>0.82199999999999995</v>
      </c>
      <c r="AK50" s="1007">
        <v>1.9510000000000001</v>
      </c>
      <c r="AL50" s="13">
        <v>0.82199999999999995</v>
      </c>
      <c r="AM50" s="1007">
        <v>2.2919999999999998</v>
      </c>
      <c r="AN50" s="1007">
        <v>0.22500000000000001</v>
      </c>
      <c r="AO50" s="1007">
        <v>0.504</v>
      </c>
      <c r="AP50" s="1007">
        <v>0.997</v>
      </c>
      <c r="AQ50" s="1007">
        <v>1.052</v>
      </c>
      <c r="AR50" s="1007">
        <v>0.52800000000000002</v>
      </c>
      <c r="AS50" s="1008">
        <v>0.42699999999999999</v>
      </c>
      <c r="AT50" s="863">
        <v>0.92249999999999999</v>
      </c>
      <c r="AU50" s="1007">
        <v>0.50900000000000001</v>
      </c>
      <c r="AV50" s="1007">
        <v>9.3140000000000001</v>
      </c>
      <c r="AW50" s="1007">
        <v>6.5780000000000003</v>
      </c>
      <c r="AX50" s="1007">
        <v>3.1459999999999999</v>
      </c>
      <c r="AY50" s="1007">
        <v>0.73799999999999999</v>
      </c>
      <c r="AZ50" s="1007">
        <v>1.095</v>
      </c>
      <c r="BA50" s="1007">
        <v>7.13</v>
      </c>
      <c r="BB50" s="1007">
        <v>0.52400000000000002</v>
      </c>
      <c r="BC50" s="13">
        <v>0.92249999999999999</v>
      </c>
      <c r="BD50" s="1008">
        <v>2.81</v>
      </c>
    </row>
    <row r="51" spans="1:56" ht="15" customHeight="1" x14ac:dyDescent="0.45">
      <c r="A51" s="855" t="s">
        <v>2585</v>
      </c>
      <c r="B51" s="863">
        <v>8.0000000000000004E-4</v>
      </c>
      <c r="C51" s="1007">
        <v>1E-3</v>
      </c>
      <c r="D51" s="1007">
        <v>1E-3</v>
      </c>
      <c r="E51" s="13">
        <v>8.0000000000000004E-4</v>
      </c>
      <c r="F51" s="1007">
        <v>1E-3</v>
      </c>
      <c r="G51" s="1007">
        <v>1E-3</v>
      </c>
      <c r="H51" s="1007">
        <v>1E-3</v>
      </c>
      <c r="I51" s="1007">
        <v>1E-3</v>
      </c>
      <c r="J51" s="1007">
        <v>1E-3</v>
      </c>
      <c r="K51" s="1007">
        <v>1E-3</v>
      </c>
      <c r="L51" s="1008">
        <v>1E-3</v>
      </c>
      <c r="M51" s="863">
        <v>3.5900000000000001E-2</v>
      </c>
      <c r="N51" s="1007">
        <v>3.7999999999999999E-2</v>
      </c>
      <c r="O51" s="1007">
        <v>3.5999999999999997E-2</v>
      </c>
      <c r="P51" s="1007">
        <v>2.5999999999999999E-2</v>
      </c>
      <c r="Q51" s="1007">
        <v>0.04</v>
      </c>
      <c r="R51" s="1007">
        <v>3.5999999999999997E-2</v>
      </c>
      <c r="S51" s="1007">
        <v>4.9000000000000002E-2</v>
      </c>
      <c r="T51" s="1007">
        <v>3.5999999999999997E-2</v>
      </c>
      <c r="U51" s="1007">
        <v>3.5999999999999997E-2</v>
      </c>
      <c r="V51" s="1007">
        <v>4.2999999999999997E-2</v>
      </c>
      <c r="W51" s="1008">
        <v>3.6999999999999998E-2</v>
      </c>
      <c r="X51" s="863">
        <v>0.4551</v>
      </c>
      <c r="Y51" s="13">
        <v>0.4551</v>
      </c>
      <c r="Z51" s="1007">
        <v>0.48299999999999998</v>
      </c>
      <c r="AA51" s="13">
        <v>0.4551</v>
      </c>
      <c r="AB51" s="1007">
        <v>0.52800000000000002</v>
      </c>
      <c r="AC51" s="1007">
        <v>0.52400000000000002</v>
      </c>
      <c r="AD51" s="1007">
        <v>0.51</v>
      </c>
      <c r="AE51" s="1007">
        <v>0.49199999999999999</v>
      </c>
      <c r="AF51" s="1007">
        <v>0.35699999999999998</v>
      </c>
      <c r="AG51" s="1007">
        <v>0.39700000000000002</v>
      </c>
      <c r="AH51" s="1008">
        <v>0.41399999999999998</v>
      </c>
      <c r="AI51" s="863">
        <v>4.0500000000000001E-2</v>
      </c>
      <c r="AJ51" s="13">
        <v>4.0500000000000001E-2</v>
      </c>
      <c r="AK51" s="1007">
        <v>2.3E-2</v>
      </c>
      <c r="AL51" s="13">
        <v>4.0500000000000001E-2</v>
      </c>
      <c r="AM51" s="1007">
        <v>4.1000000000000002E-2</v>
      </c>
      <c r="AN51" s="1007">
        <v>3.7999999999999999E-2</v>
      </c>
      <c r="AO51" s="1007">
        <v>0.04</v>
      </c>
      <c r="AP51" s="1007">
        <v>5.2999999999999999E-2</v>
      </c>
      <c r="AQ51" s="1007">
        <v>4.1000000000000002E-2</v>
      </c>
      <c r="AR51" s="1007">
        <v>0.04</v>
      </c>
      <c r="AS51" s="1008">
        <v>4.4999999999999998E-2</v>
      </c>
      <c r="AT51" s="863">
        <v>2.0937999999999999</v>
      </c>
      <c r="AU51" s="1007">
        <v>1.7430000000000001</v>
      </c>
      <c r="AV51" s="1007">
        <v>3.5230000000000001</v>
      </c>
      <c r="AW51" s="1007">
        <v>2.8530000000000002</v>
      </c>
      <c r="AX51" s="1007">
        <v>2.5150000000000001</v>
      </c>
      <c r="AY51" s="1007">
        <v>2.6139999999999999</v>
      </c>
      <c r="AZ51" s="1007">
        <v>2.8239999999999998</v>
      </c>
      <c r="BA51" s="1007">
        <v>2.819</v>
      </c>
      <c r="BB51" s="1007">
        <v>1.794</v>
      </c>
      <c r="BC51" s="13">
        <v>2.0937999999999999</v>
      </c>
      <c r="BD51" s="1008">
        <v>2.899</v>
      </c>
    </row>
    <row r="52" spans="1:56" ht="15" customHeight="1" x14ac:dyDescent="0.45">
      <c r="A52" s="855" t="s">
        <v>2586</v>
      </c>
      <c r="B52" s="863">
        <v>8.0000000000000004E-4</v>
      </c>
      <c r="C52" s="1007">
        <v>1E-3</v>
      </c>
      <c r="D52" s="1007">
        <v>1E-3</v>
      </c>
      <c r="E52" s="13">
        <v>8.0000000000000004E-4</v>
      </c>
      <c r="F52" s="1007">
        <v>1E-3</v>
      </c>
      <c r="G52" s="1007">
        <v>1E-3</v>
      </c>
      <c r="H52" s="1007">
        <v>1E-3</v>
      </c>
      <c r="I52" s="1007">
        <v>1E-3</v>
      </c>
      <c r="J52" s="1007">
        <v>1E-3</v>
      </c>
      <c r="K52" s="1007">
        <v>1E-3</v>
      </c>
      <c r="L52" s="1008">
        <v>1E-3</v>
      </c>
      <c r="M52" s="863">
        <v>3.5900000000000001E-2</v>
      </c>
      <c r="N52" s="1007">
        <v>3.7999999999999999E-2</v>
      </c>
      <c r="O52" s="1007">
        <v>3.5999999999999997E-2</v>
      </c>
      <c r="P52" s="1007">
        <v>2.5999999999999999E-2</v>
      </c>
      <c r="Q52" s="1007">
        <v>0.04</v>
      </c>
      <c r="R52" s="1007">
        <v>3.5999999999999997E-2</v>
      </c>
      <c r="S52" s="1007">
        <v>4.9000000000000002E-2</v>
      </c>
      <c r="T52" s="1007">
        <v>3.5999999999999997E-2</v>
      </c>
      <c r="U52" s="1007">
        <v>3.5999999999999997E-2</v>
      </c>
      <c r="V52" s="1007">
        <v>4.2999999999999997E-2</v>
      </c>
      <c r="W52" s="1008">
        <v>3.6999999999999998E-2</v>
      </c>
      <c r="X52" s="863">
        <v>0.4551</v>
      </c>
      <c r="Y52" s="13">
        <v>0.4551</v>
      </c>
      <c r="Z52" s="1007">
        <v>0.48299999999999998</v>
      </c>
      <c r="AA52" s="13">
        <v>0.4551</v>
      </c>
      <c r="AB52" s="1007">
        <v>0.52800000000000002</v>
      </c>
      <c r="AC52" s="1007">
        <v>0.52400000000000002</v>
      </c>
      <c r="AD52" s="1007">
        <v>0.51</v>
      </c>
      <c r="AE52" s="1007">
        <v>0.49199999999999999</v>
      </c>
      <c r="AF52" s="1007">
        <v>0.35699999999999998</v>
      </c>
      <c r="AG52" s="1007">
        <v>0.39700000000000002</v>
      </c>
      <c r="AH52" s="1008">
        <v>0.41399999999999998</v>
      </c>
      <c r="AI52" s="863">
        <v>4.0500000000000001E-2</v>
      </c>
      <c r="AJ52" s="13">
        <v>4.0500000000000001E-2</v>
      </c>
      <c r="AK52" s="1007">
        <v>2.3E-2</v>
      </c>
      <c r="AL52" s="13">
        <v>4.0500000000000001E-2</v>
      </c>
      <c r="AM52" s="1007">
        <v>4.1000000000000002E-2</v>
      </c>
      <c r="AN52" s="1007">
        <v>3.7999999999999999E-2</v>
      </c>
      <c r="AO52" s="1007">
        <v>0.04</v>
      </c>
      <c r="AP52" s="1007">
        <v>5.2999999999999999E-2</v>
      </c>
      <c r="AQ52" s="1007">
        <v>4.1000000000000002E-2</v>
      </c>
      <c r="AR52" s="1007">
        <v>0.04</v>
      </c>
      <c r="AS52" s="1008">
        <v>4.4999999999999998E-2</v>
      </c>
      <c r="AT52" s="863">
        <v>0.61029999999999995</v>
      </c>
      <c r="AU52" s="1007">
        <v>1.2350000000000001</v>
      </c>
      <c r="AV52" s="1007">
        <v>2.4950000000000001</v>
      </c>
      <c r="AW52" s="1007">
        <v>2.0209999999999999</v>
      </c>
      <c r="AX52" s="1007">
        <v>1.804</v>
      </c>
      <c r="AY52" s="1007">
        <v>1.8360000000000001</v>
      </c>
      <c r="AZ52" s="1007">
        <v>1.9039999999999999</v>
      </c>
      <c r="BA52" s="1007">
        <v>2.0139999999999998</v>
      </c>
      <c r="BB52" s="1007">
        <v>1.2709999999999999</v>
      </c>
      <c r="BC52" s="13">
        <v>0.61029999999999995</v>
      </c>
      <c r="BD52" s="1008">
        <v>2.0529999999999999</v>
      </c>
    </row>
    <row r="53" spans="1:56" ht="15" customHeight="1" x14ac:dyDescent="0.45">
      <c r="A53" s="855" t="s">
        <v>2587</v>
      </c>
      <c r="B53" s="863">
        <v>3.8E-3</v>
      </c>
      <c r="C53" s="1007">
        <v>8.0000000000000002E-3</v>
      </c>
      <c r="D53" s="1007">
        <v>3.0000000000000001E-3</v>
      </c>
      <c r="E53" s="13">
        <v>3.8E-3</v>
      </c>
      <c r="F53" s="1007">
        <v>4.0000000000000001E-3</v>
      </c>
      <c r="G53" s="1007">
        <v>4.0000000000000001E-3</v>
      </c>
      <c r="H53" s="1007">
        <v>5.0000000000000001E-3</v>
      </c>
      <c r="I53" s="1007">
        <v>4.0000000000000001E-3</v>
      </c>
      <c r="J53" s="1007">
        <v>4.0000000000000001E-3</v>
      </c>
      <c r="K53" s="1007">
        <v>4.0000000000000001E-3</v>
      </c>
      <c r="L53" s="1008">
        <v>4.0000000000000001E-3</v>
      </c>
      <c r="M53" s="863">
        <v>1.6E-2</v>
      </c>
      <c r="N53" s="1007">
        <v>1.2999999999999999E-2</v>
      </c>
      <c r="O53" s="1007">
        <v>6.2E-2</v>
      </c>
      <c r="P53" s="1007">
        <v>1.2999999999999999E-2</v>
      </c>
      <c r="Q53" s="1007">
        <v>8.9999999999999993E-3</v>
      </c>
      <c r="R53" s="1007">
        <v>1.4E-2</v>
      </c>
      <c r="S53" s="1007">
        <v>1.2999999999999999E-2</v>
      </c>
      <c r="T53" s="1007">
        <v>1.4999999999999999E-2</v>
      </c>
      <c r="U53" s="1007">
        <v>6.0000000000000001E-3</v>
      </c>
      <c r="V53" s="1007">
        <v>0.01</v>
      </c>
      <c r="W53" s="1008">
        <v>4.0000000000000001E-3</v>
      </c>
      <c r="X53" s="863">
        <v>5.8999999999999999E-3</v>
      </c>
      <c r="Y53" s="13">
        <v>5.8999999999999999E-3</v>
      </c>
      <c r="Z53" s="1007">
        <v>2.5000000000000001E-2</v>
      </c>
      <c r="AA53" s="13">
        <v>5.8999999999999999E-3</v>
      </c>
      <c r="AB53" s="1007">
        <v>8.9999999999999993E-3</v>
      </c>
      <c r="AC53" s="1007">
        <v>1E-3</v>
      </c>
      <c r="AD53" s="1007">
        <v>3.0000000000000001E-3</v>
      </c>
      <c r="AE53" s="1007">
        <v>1.0999999999999999E-2</v>
      </c>
      <c r="AF53" s="1007">
        <v>5.6000000000000001E-2</v>
      </c>
      <c r="AG53" s="1007">
        <v>2E-3</v>
      </c>
      <c r="AH53" s="1008">
        <v>8.9999999999999993E-3</v>
      </c>
      <c r="AI53" s="863">
        <v>0.1658</v>
      </c>
      <c r="AJ53" s="13">
        <v>0.1658</v>
      </c>
      <c r="AK53" s="1007">
        <v>2.8620000000000001</v>
      </c>
      <c r="AL53" s="13">
        <v>0.1658</v>
      </c>
      <c r="AM53" s="1007">
        <v>4.8979999999999997</v>
      </c>
      <c r="AN53" s="1007">
        <v>8.0000000000000002E-3</v>
      </c>
      <c r="AO53" s="1007">
        <v>3.5999999999999997E-2</v>
      </c>
      <c r="AP53" s="1007">
        <v>4.4999999999999998E-2</v>
      </c>
      <c r="AQ53" s="1007">
        <v>3.0000000000000001E-3</v>
      </c>
      <c r="AR53" s="1007">
        <v>4.0000000000000001E-3</v>
      </c>
      <c r="AS53" s="1008">
        <v>8.0000000000000002E-3</v>
      </c>
      <c r="AT53" s="863"/>
      <c r="AU53" s="1007">
        <v>0.33100000000000002</v>
      </c>
      <c r="AV53" s="1007">
        <v>17.093</v>
      </c>
      <c r="AW53" s="1007">
        <v>11.42</v>
      </c>
      <c r="AX53" s="1007">
        <v>1.7230000000000001</v>
      </c>
      <c r="AY53" s="1007">
        <v>0.23400000000000001</v>
      </c>
      <c r="AZ53" s="1007">
        <v>0.503</v>
      </c>
      <c r="BA53" s="1007">
        <v>0.39300000000000002</v>
      </c>
      <c r="BB53" s="1007">
        <v>0.34100000000000003</v>
      </c>
      <c r="BC53" s="13">
        <v>0</v>
      </c>
      <c r="BD53" s="1008">
        <v>2.7450000000000001</v>
      </c>
    </row>
    <row r="54" spans="1:56" ht="15" customHeight="1" x14ac:dyDescent="0.45">
      <c r="A54" s="855" t="s">
        <v>2588</v>
      </c>
      <c r="B54" s="863">
        <v>2.3200000000000001E-5</v>
      </c>
      <c r="C54" s="13">
        <v>2.8999999999999997E-5</v>
      </c>
      <c r="D54" s="13">
        <v>2.8999999999999997E-5</v>
      </c>
      <c r="E54" s="13">
        <v>2.3200000000000001E-5</v>
      </c>
      <c r="F54" s="13">
        <v>2.8999999999999997E-5</v>
      </c>
      <c r="G54" s="13">
        <v>2.8999999999999997E-5</v>
      </c>
      <c r="H54" s="13">
        <v>2.8999999999999997E-5</v>
      </c>
      <c r="I54" s="13">
        <v>2.8999999999999997E-5</v>
      </c>
      <c r="J54" s="13">
        <v>2.8999999999999997E-5</v>
      </c>
      <c r="K54" s="13">
        <v>2.8999999999999997E-5</v>
      </c>
      <c r="L54" s="773">
        <v>2.8999999999999997E-5</v>
      </c>
      <c r="M54" s="863">
        <v>1.0410999999999999E-3</v>
      </c>
      <c r="N54" s="13">
        <v>1.1019999999999999E-3</v>
      </c>
      <c r="O54" s="13">
        <v>1.044E-3</v>
      </c>
      <c r="P54" s="13">
        <v>7.539999999999999E-4</v>
      </c>
      <c r="Q54" s="13">
        <v>1.16E-3</v>
      </c>
      <c r="R54" s="13">
        <v>1.044E-3</v>
      </c>
      <c r="S54" s="13">
        <v>1.421E-3</v>
      </c>
      <c r="T54" s="13">
        <v>1.044E-3</v>
      </c>
      <c r="U54" s="13">
        <v>1.044E-3</v>
      </c>
      <c r="V54" s="13">
        <v>1.2469999999999998E-3</v>
      </c>
      <c r="W54" s="773">
        <v>1.073E-3</v>
      </c>
      <c r="X54" s="863">
        <v>9.1020000000000004E-2</v>
      </c>
      <c r="Y54" s="13">
        <v>9.1020000000000004E-2</v>
      </c>
      <c r="Z54" s="13">
        <v>9.6600000000000005E-2</v>
      </c>
      <c r="AA54" s="13">
        <v>9.1020000000000004E-2</v>
      </c>
      <c r="AB54" s="13">
        <v>0.1056</v>
      </c>
      <c r="AC54" s="13">
        <v>0.1048</v>
      </c>
      <c r="AD54" s="13">
        <v>0.10199999999999999</v>
      </c>
      <c r="AE54" s="13">
        <v>9.8400000000000001E-2</v>
      </c>
      <c r="AF54" s="13">
        <v>7.1399999999999991E-2</v>
      </c>
      <c r="AG54" s="13">
        <v>7.9399999999999998E-2</v>
      </c>
      <c r="AH54" s="773">
        <v>8.2799999999999999E-2</v>
      </c>
      <c r="AI54" s="863">
        <v>6.6825000000000001E-3</v>
      </c>
      <c r="AJ54" s="13">
        <v>6.6825000000000001E-3</v>
      </c>
      <c r="AK54" s="13">
        <v>3.7950000000000002E-3</v>
      </c>
      <c r="AL54" s="13">
        <v>6.6825000000000001E-3</v>
      </c>
      <c r="AM54" s="13">
        <v>6.7650000000000002E-3</v>
      </c>
      <c r="AN54" s="13">
        <v>6.2700000000000004E-3</v>
      </c>
      <c r="AO54" s="13">
        <v>6.6E-3</v>
      </c>
      <c r="AP54" s="13">
        <v>8.7449999999999993E-3</v>
      </c>
      <c r="AQ54" s="13">
        <v>6.7650000000000002E-3</v>
      </c>
      <c r="AR54" s="13">
        <v>6.6E-3</v>
      </c>
      <c r="AS54" s="773">
        <v>7.4249999999999993E-3</v>
      </c>
      <c r="AT54" s="863">
        <v>8.4221400000000002E-2</v>
      </c>
      <c r="AU54" s="13">
        <v>0.17043000000000003</v>
      </c>
      <c r="AV54" s="13">
        <v>0.34431000000000006</v>
      </c>
      <c r="AW54" s="13">
        <v>0.27889800000000003</v>
      </c>
      <c r="AX54" s="13">
        <v>0.24895200000000003</v>
      </c>
      <c r="AY54" s="13">
        <v>0.25336800000000004</v>
      </c>
      <c r="AZ54" s="13">
        <v>0.26275200000000004</v>
      </c>
      <c r="BA54" s="13">
        <v>0.27793200000000001</v>
      </c>
      <c r="BB54" s="13">
        <v>0.175398</v>
      </c>
      <c r="BC54" s="13">
        <v>8.4221400000000002E-2</v>
      </c>
      <c r="BD54" s="773">
        <v>0.28331400000000001</v>
      </c>
    </row>
    <row r="55" spans="1:56" ht="15" customHeight="1" x14ac:dyDescent="0.45">
      <c r="A55" s="855" t="s">
        <v>2589</v>
      </c>
      <c r="B55" s="863">
        <v>5.44E-4</v>
      </c>
      <c r="C55" s="13">
        <v>6.8000000000000005E-4</v>
      </c>
      <c r="D55" s="13">
        <v>6.8000000000000005E-4</v>
      </c>
      <c r="E55" s="13">
        <v>5.44E-4</v>
      </c>
      <c r="F55" s="13">
        <v>6.8000000000000005E-4</v>
      </c>
      <c r="G55" s="13">
        <v>6.8000000000000005E-4</v>
      </c>
      <c r="H55" s="13">
        <v>6.8000000000000005E-4</v>
      </c>
      <c r="I55" s="13">
        <v>6.8000000000000005E-4</v>
      </c>
      <c r="J55" s="13">
        <v>6.8000000000000005E-4</v>
      </c>
      <c r="K55" s="13">
        <v>6.8000000000000005E-4</v>
      </c>
      <c r="L55" s="773">
        <v>6.8000000000000005E-4</v>
      </c>
      <c r="M55" s="863">
        <v>2.4412000000000003E-2</v>
      </c>
      <c r="N55" s="13">
        <v>2.5840000000000002E-2</v>
      </c>
      <c r="O55" s="13">
        <v>2.4479999999999998E-2</v>
      </c>
      <c r="P55" s="13">
        <v>1.7680000000000001E-2</v>
      </c>
      <c r="Q55" s="13">
        <v>2.7200000000000002E-2</v>
      </c>
      <c r="R55" s="13">
        <v>2.4479999999999998E-2</v>
      </c>
      <c r="S55" s="13">
        <v>3.3320000000000002E-2</v>
      </c>
      <c r="T55" s="13">
        <v>2.4479999999999998E-2</v>
      </c>
      <c r="U55" s="13">
        <v>2.4479999999999998E-2</v>
      </c>
      <c r="V55" s="13">
        <v>2.9239999999999999E-2</v>
      </c>
      <c r="W55" s="773">
        <v>2.5160000000000002E-2</v>
      </c>
      <c r="X55" s="863">
        <v>0.19478279999999998</v>
      </c>
      <c r="Y55" s="13">
        <v>0.19478279999999998</v>
      </c>
      <c r="Z55" s="13">
        <v>0.20672399999999999</v>
      </c>
      <c r="AA55" s="13">
        <v>0.19478279999999998</v>
      </c>
      <c r="AB55" s="13">
        <v>0.22598399999999999</v>
      </c>
      <c r="AC55" s="13">
        <v>0.224272</v>
      </c>
      <c r="AD55" s="13">
        <v>0.21828</v>
      </c>
      <c r="AE55" s="13">
        <v>0.21057599999999999</v>
      </c>
      <c r="AF55" s="13">
        <v>0.15279599999999999</v>
      </c>
      <c r="AG55" s="13">
        <v>0.16991599999999998</v>
      </c>
      <c r="AH55" s="773">
        <v>0.17719199999999996</v>
      </c>
      <c r="AI55" s="863">
        <v>1.7333999999999999E-2</v>
      </c>
      <c r="AJ55" s="13">
        <v>1.7333999999999999E-2</v>
      </c>
      <c r="AK55" s="13">
        <v>9.8439999999999986E-3</v>
      </c>
      <c r="AL55" s="13">
        <v>1.7333999999999999E-2</v>
      </c>
      <c r="AM55" s="13">
        <v>1.7547999999999998E-2</v>
      </c>
      <c r="AN55" s="13">
        <v>1.6263999999999997E-2</v>
      </c>
      <c r="AO55" s="13">
        <v>1.712E-2</v>
      </c>
      <c r="AP55" s="13">
        <v>2.2683999999999996E-2</v>
      </c>
      <c r="AQ55" s="13">
        <v>1.7547999999999998E-2</v>
      </c>
      <c r="AR55" s="13">
        <v>1.712E-2</v>
      </c>
      <c r="AS55" s="773">
        <v>1.9259999999999996E-2</v>
      </c>
      <c r="AT55" s="863">
        <v>0.19895779999999999</v>
      </c>
      <c r="AU55" s="13">
        <v>0.40261000000000002</v>
      </c>
      <c r="AV55" s="13">
        <v>0.81337000000000004</v>
      </c>
      <c r="AW55" s="13">
        <v>0.65884600000000004</v>
      </c>
      <c r="AX55" s="13">
        <v>0.58810399999999996</v>
      </c>
      <c r="AY55" s="13">
        <v>0.59853600000000007</v>
      </c>
      <c r="AZ55" s="13">
        <v>0.62070400000000003</v>
      </c>
      <c r="BA55" s="13">
        <v>0.65656399999999993</v>
      </c>
      <c r="BB55" s="13">
        <v>0.41434599999999994</v>
      </c>
      <c r="BC55" s="13">
        <v>0.19895779999999999</v>
      </c>
      <c r="BD55" s="773">
        <v>0.66927800000000004</v>
      </c>
    </row>
    <row r="56" spans="1:56" ht="15" customHeight="1" x14ac:dyDescent="0.45">
      <c r="A56" s="855" t="s">
        <v>1957</v>
      </c>
      <c r="B56" s="863">
        <v>7.1000000000000004E-3</v>
      </c>
      <c r="C56" s="1007">
        <v>1.2E-2</v>
      </c>
      <c r="D56" s="1007">
        <v>7.0000000000000001E-3</v>
      </c>
      <c r="E56" s="13">
        <v>7.1000000000000004E-3</v>
      </c>
      <c r="F56" s="1007">
        <v>8.0000000000000002E-3</v>
      </c>
      <c r="G56" s="1007">
        <v>8.0000000000000002E-3</v>
      </c>
      <c r="H56" s="1007">
        <v>8.0000000000000002E-3</v>
      </c>
      <c r="I56" s="1007">
        <v>8.0000000000000002E-3</v>
      </c>
      <c r="J56" s="1007">
        <v>8.0000000000000002E-3</v>
      </c>
      <c r="K56" s="1007">
        <v>8.0000000000000002E-3</v>
      </c>
      <c r="L56" s="1008">
        <v>7.0000000000000001E-3</v>
      </c>
      <c r="M56" s="863">
        <v>1.06E-2</v>
      </c>
      <c r="N56" s="1007">
        <v>1.2E-2</v>
      </c>
      <c r="O56" s="1007">
        <v>1.0999999999999999E-2</v>
      </c>
      <c r="P56" s="1007">
        <v>8.0000000000000002E-3</v>
      </c>
      <c r="Q56" s="1007">
        <v>1.2999999999999999E-2</v>
      </c>
      <c r="R56" s="1007">
        <v>1.0999999999999999E-2</v>
      </c>
      <c r="S56" s="1007">
        <v>1.2E-2</v>
      </c>
      <c r="T56" s="1007">
        <v>1.0999999999999999E-2</v>
      </c>
      <c r="U56" s="1007">
        <v>1.2E-2</v>
      </c>
      <c r="V56" s="1007">
        <v>1.2E-2</v>
      </c>
      <c r="W56" s="1008">
        <v>1.0999999999999999E-2</v>
      </c>
      <c r="X56" s="863">
        <v>1.06E-2</v>
      </c>
      <c r="Y56" s="13">
        <v>1.06E-2</v>
      </c>
      <c r="Z56" s="1007">
        <v>1.0999999999999999E-2</v>
      </c>
      <c r="AA56" s="13">
        <v>1.06E-2</v>
      </c>
      <c r="AB56" s="1007">
        <v>1.2E-2</v>
      </c>
      <c r="AC56" s="1007">
        <v>1.0999999999999999E-2</v>
      </c>
      <c r="AD56" s="1007">
        <v>1.0999999999999999E-2</v>
      </c>
      <c r="AE56" s="1007">
        <v>1.0999999999999999E-2</v>
      </c>
      <c r="AF56" s="1007">
        <v>0.01</v>
      </c>
      <c r="AG56" s="1007">
        <v>0.01</v>
      </c>
      <c r="AH56" s="1008">
        <v>0.01</v>
      </c>
      <c r="AI56" s="863">
        <v>1.0500000000000001E-2</v>
      </c>
      <c r="AJ56" s="13">
        <v>1.0500000000000001E-2</v>
      </c>
      <c r="AK56" s="1007">
        <v>1.0999999999999999E-2</v>
      </c>
      <c r="AL56" s="13">
        <v>1.0500000000000001E-2</v>
      </c>
      <c r="AM56" s="1007">
        <v>1.2999999999999999E-2</v>
      </c>
      <c r="AN56" s="1007">
        <v>1.0999999999999999E-2</v>
      </c>
      <c r="AO56" s="1007">
        <v>1.0999999999999999E-2</v>
      </c>
      <c r="AP56" s="1007">
        <v>1.0999999999999999E-2</v>
      </c>
      <c r="AQ56" s="1007">
        <v>1.0999999999999999E-2</v>
      </c>
      <c r="AR56" s="1007">
        <v>1.0999999999999999E-2</v>
      </c>
      <c r="AS56" s="1008">
        <v>1.0999999999999999E-2</v>
      </c>
      <c r="AT56" s="863">
        <v>0.49049999999999999</v>
      </c>
      <c r="AU56" s="1007">
        <v>0.27100000000000002</v>
      </c>
      <c r="AV56" s="1007">
        <v>0.58299999999999996</v>
      </c>
      <c r="AW56" s="1007">
        <v>0.47199999999999998</v>
      </c>
      <c r="AX56" s="1007">
        <v>0.52200000000000002</v>
      </c>
      <c r="AY56" s="1007">
        <v>0.45700000000000002</v>
      </c>
      <c r="AZ56" s="1007">
        <v>0.48899999999999999</v>
      </c>
      <c r="BA56" s="1007">
        <v>0.54400000000000004</v>
      </c>
      <c r="BB56" s="1007">
        <v>0.27900000000000003</v>
      </c>
      <c r="BC56" s="13">
        <v>0.49049999999999999</v>
      </c>
      <c r="BD56" s="1008">
        <v>0.47899999999999998</v>
      </c>
    </row>
    <row r="57" spans="1:56" ht="15" customHeight="1" x14ac:dyDescent="0.45">
      <c r="A57" s="857" t="s">
        <v>1956</v>
      </c>
      <c r="B57" s="1009">
        <v>6.9999999999999999E-4</v>
      </c>
      <c r="C57" s="1010">
        <v>1E-3</v>
      </c>
      <c r="D57" s="1010">
        <v>1E-3</v>
      </c>
      <c r="E57" s="775">
        <v>6.9999999999999999E-4</v>
      </c>
      <c r="F57" s="1010">
        <v>1E-3</v>
      </c>
      <c r="G57" s="1010">
        <v>1E-3</v>
      </c>
      <c r="H57" s="1010">
        <v>1E-3</v>
      </c>
      <c r="I57" s="1010">
        <v>1E-3</v>
      </c>
      <c r="J57" s="1010">
        <v>1E-3</v>
      </c>
      <c r="K57" s="1010">
        <v>1E-3</v>
      </c>
      <c r="L57" s="1011">
        <v>1E-3</v>
      </c>
      <c r="M57" s="1009">
        <v>1E-3</v>
      </c>
      <c r="N57" s="1010">
        <v>1E-3</v>
      </c>
      <c r="O57" s="1010">
        <v>1E-3</v>
      </c>
      <c r="P57" s="1010">
        <v>1E-3</v>
      </c>
      <c r="Q57" s="1010">
        <v>1E-3</v>
      </c>
      <c r="R57" s="1010">
        <v>1E-3</v>
      </c>
      <c r="S57" s="1010">
        <v>1E-3</v>
      </c>
      <c r="T57" s="1010">
        <v>1E-3</v>
      </c>
      <c r="U57" s="1010">
        <v>1E-3</v>
      </c>
      <c r="V57" s="1010">
        <v>1E-3</v>
      </c>
      <c r="W57" s="1011">
        <v>1E-3</v>
      </c>
      <c r="X57" s="1009">
        <v>1.1000000000000001E-3</v>
      </c>
      <c r="Y57" s="775">
        <v>1.1000000000000001E-3</v>
      </c>
      <c r="Z57" s="1010">
        <v>1E-3</v>
      </c>
      <c r="AA57" s="775">
        <v>1.1000000000000001E-3</v>
      </c>
      <c r="AB57" s="1010">
        <v>1E-3</v>
      </c>
      <c r="AC57" s="1010">
        <v>1E-3</v>
      </c>
      <c r="AD57" s="1010">
        <v>1E-3</v>
      </c>
      <c r="AE57" s="1010">
        <v>1E-3</v>
      </c>
      <c r="AF57" s="1010">
        <v>1E-3</v>
      </c>
      <c r="AG57" s="1010">
        <v>1E-3</v>
      </c>
      <c r="AH57" s="1011">
        <v>1E-3</v>
      </c>
      <c r="AI57" s="1009">
        <v>1E-3</v>
      </c>
      <c r="AJ57" s="775">
        <v>1E-3</v>
      </c>
      <c r="AK57" s="1010">
        <v>1E-3</v>
      </c>
      <c r="AL57" s="775">
        <v>1E-3</v>
      </c>
      <c r="AM57" s="1010">
        <v>1E-3</v>
      </c>
      <c r="AN57" s="1010">
        <v>1E-3</v>
      </c>
      <c r="AO57" s="1010">
        <v>1E-3</v>
      </c>
      <c r="AP57" s="1010">
        <v>1E-3</v>
      </c>
      <c r="AQ57" s="1010">
        <v>1E-3</v>
      </c>
      <c r="AR57" s="1010">
        <v>1E-3</v>
      </c>
      <c r="AS57" s="1011">
        <v>1E-3</v>
      </c>
      <c r="AT57" s="1009">
        <v>6.54E-2</v>
      </c>
      <c r="AU57" s="1010">
        <v>3.5999999999999997E-2</v>
      </c>
      <c r="AV57" s="1010">
        <v>7.8E-2</v>
      </c>
      <c r="AW57" s="1010">
        <v>6.3E-2</v>
      </c>
      <c r="AX57" s="1010">
        <v>7.0000000000000007E-2</v>
      </c>
      <c r="AY57" s="1010">
        <v>6.0999999999999999E-2</v>
      </c>
      <c r="AZ57" s="1010">
        <v>6.5000000000000002E-2</v>
      </c>
      <c r="BA57" s="1010">
        <v>7.2999999999999995E-2</v>
      </c>
      <c r="BB57" s="1010">
        <v>3.6999999999999998E-2</v>
      </c>
      <c r="BC57" s="775">
        <v>6.54E-2</v>
      </c>
      <c r="BD57" s="1011">
        <v>6.4000000000000001E-2</v>
      </c>
    </row>
    <row r="58" spans="1:56" ht="15" customHeight="1" x14ac:dyDescent="0.45">
      <c r="A58" s="725" t="s">
        <v>2664</v>
      </c>
    </row>
    <row r="59" spans="1:56" ht="99" customHeight="1" x14ac:dyDescent="0.45">
      <c r="A59" s="779"/>
      <c r="B59" s="785"/>
      <c r="C59" s="1012" t="s">
        <v>2665</v>
      </c>
      <c r="D59" s="850" t="s">
        <v>2666</v>
      </c>
      <c r="E59" s="850" t="s">
        <v>2667</v>
      </c>
      <c r="F59" s="850" t="s">
        <v>2668</v>
      </c>
      <c r="G59" s="850" t="s">
        <v>2669</v>
      </c>
      <c r="H59" s="850" t="s">
        <v>2670</v>
      </c>
      <c r="I59" s="1013" t="s">
        <v>2671</v>
      </c>
      <c r="J59" s="1014" t="s">
        <v>2672</v>
      </c>
      <c r="O59" s="754"/>
      <c r="P59" s="1015"/>
      <c r="Q59" s="1015"/>
      <c r="R59" s="765"/>
      <c r="S59" s="1015" t="s">
        <v>2650</v>
      </c>
      <c r="T59" s="1015" t="s">
        <v>2651</v>
      </c>
      <c r="U59" s="1015" t="s">
        <v>2652</v>
      </c>
      <c r="V59" s="1015" t="s">
        <v>2653</v>
      </c>
      <c r="W59" s="1015" t="s">
        <v>2654</v>
      </c>
      <c r="X59" s="1015" t="s">
        <v>2655</v>
      </c>
      <c r="Y59" s="1015" t="s">
        <v>2656</v>
      </c>
      <c r="Z59" s="1015" t="s">
        <v>2657</v>
      </c>
      <c r="AA59" s="1015" t="s">
        <v>2658</v>
      </c>
      <c r="AB59" s="765" t="s">
        <v>2659</v>
      </c>
    </row>
    <row r="60" spans="1:56" x14ac:dyDescent="0.45">
      <c r="A60" s="779" t="s">
        <v>2673</v>
      </c>
      <c r="B60" s="785"/>
      <c r="C60" s="1016">
        <v>4.5957430958218108E-3</v>
      </c>
      <c r="D60" s="1017">
        <v>4.5957430958218108E-3</v>
      </c>
      <c r="E60" s="1017"/>
      <c r="F60" s="1017"/>
      <c r="G60" s="1017">
        <v>0.34536147726424365</v>
      </c>
      <c r="H60" s="1017">
        <v>0.34536147726424365</v>
      </c>
      <c r="I60" s="1017">
        <v>0.01</v>
      </c>
      <c r="J60" s="1018">
        <v>0.01</v>
      </c>
      <c r="O60" s="768" t="s">
        <v>2674</v>
      </c>
      <c r="R60" s="769"/>
      <c r="AB60" s="769"/>
    </row>
    <row r="61" spans="1:56" x14ac:dyDescent="0.45">
      <c r="A61" s="768" t="s">
        <v>2675</v>
      </c>
      <c r="C61" s="1019"/>
      <c r="D61" s="543"/>
      <c r="E61" s="543">
        <v>0.77200000000000002</v>
      </c>
      <c r="F61" s="543">
        <v>0.77200000000000002</v>
      </c>
      <c r="G61" s="543">
        <v>0.35</v>
      </c>
      <c r="H61" s="543">
        <v>0.35</v>
      </c>
      <c r="I61" s="543"/>
      <c r="J61" s="1020"/>
      <c r="O61" s="768"/>
      <c r="R61" s="1021" t="s">
        <v>2673</v>
      </c>
      <c r="S61" s="820">
        <v>0.13122739357042124</v>
      </c>
      <c r="T61" s="820">
        <v>2.3414199113561537E-3</v>
      </c>
      <c r="U61" s="820">
        <v>0.66744585251394983</v>
      </c>
      <c r="V61" s="820">
        <v>2.6846930981731239E-3</v>
      </c>
      <c r="W61" s="820">
        <v>3.0156634568555443E-3</v>
      </c>
      <c r="X61" s="820">
        <v>1.8867571674250068E-3</v>
      </c>
      <c r="Y61" s="820">
        <v>2.8512724401202039E-3</v>
      </c>
      <c r="Z61" s="820">
        <v>1.6778262531988986E-2</v>
      </c>
      <c r="AA61" s="820">
        <v>1.1946905413233696E-3</v>
      </c>
      <c r="AB61" s="865">
        <v>1.666552818299117E-3</v>
      </c>
    </row>
    <row r="62" spans="1:56" x14ac:dyDescent="0.45">
      <c r="A62" s="768" t="s">
        <v>2676</v>
      </c>
      <c r="C62" s="1019"/>
      <c r="D62" s="543"/>
      <c r="E62" s="543">
        <v>4.5999999999999985E-2</v>
      </c>
      <c r="F62" s="543">
        <v>4.5999999999999985E-2</v>
      </c>
      <c r="G62" s="543">
        <v>0.38</v>
      </c>
      <c r="H62" s="543">
        <v>0.38</v>
      </c>
      <c r="I62" s="543"/>
      <c r="J62" s="1020"/>
      <c r="O62" s="768"/>
      <c r="R62" s="1021" t="s">
        <v>2677</v>
      </c>
      <c r="S62" s="820">
        <v>0.47994801606431786</v>
      </c>
      <c r="T62" s="820">
        <v>0.71122905132978786</v>
      </c>
      <c r="U62" s="820">
        <v>0</v>
      </c>
      <c r="V62" s="820">
        <v>4.9557944137183681E-2</v>
      </c>
      <c r="W62" s="820">
        <v>0.39956989092607126</v>
      </c>
      <c r="X62" s="820">
        <v>0.19578382162655883</v>
      </c>
      <c r="Y62" s="820">
        <v>0.30947325789896052</v>
      </c>
      <c r="Z62" s="820">
        <v>0.30828825529925608</v>
      </c>
      <c r="AA62" s="820">
        <v>0.45539753735784477</v>
      </c>
      <c r="AB62" s="865">
        <v>0.25541978364010637</v>
      </c>
    </row>
    <row r="63" spans="1:56" x14ac:dyDescent="0.45">
      <c r="A63" s="755" t="s">
        <v>2678</v>
      </c>
      <c r="B63" s="916"/>
      <c r="C63" s="1022"/>
      <c r="D63" s="1023"/>
      <c r="E63" s="1023">
        <v>0.182</v>
      </c>
      <c r="F63" s="1023">
        <v>0.182</v>
      </c>
      <c r="G63" s="1023">
        <v>0.32</v>
      </c>
      <c r="H63" s="1023">
        <v>0.32</v>
      </c>
      <c r="I63" s="1023"/>
      <c r="J63" s="1024"/>
      <c r="O63" s="768"/>
      <c r="R63" s="1021" t="s">
        <v>2679</v>
      </c>
      <c r="S63" s="820">
        <v>9.3786236979943594E-2</v>
      </c>
      <c r="T63" s="820">
        <v>0.14084040435994633</v>
      </c>
      <c r="U63" s="820">
        <v>0.15050790815336773</v>
      </c>
      <c r="V63" s="820">
        <v>0.54157175414872638</v>
      </c>
      <c r="W63" s="820">
        <v>4.7590737093058041E-2</v>
      </c>
      <c r="X63" s="820">
        <v>0.45138349584085175</v>
      </c>
      <c r="Y63" s="820">
        <v>0.34360084186524792</v>
      </c>
      <c r="Z63" s="820">
        <v>0.32520263462143828</v>
      </c>
      <c r="AA63" s="820">
        <v>0.28887570074820929</v>
      </c>
      <c r="AB63" s="865">
        <v>0.24740609494816829</v>
      </c>
    </row>
    <row r="64" spans="1:56" x14ac:dyDescent="0.45">
      <c r="A64" s="768" t="s">
        <v>2677</v>
      </c>
      <c r="C64" s="1019">
        <v>0.29771229338335625</v>
      </c>
      <c r="D64" s="543">
        <v>0.29771229338335625</v>
      </c>
      <c r="E64" s="543"/>
      <c r="F64" s="543"/>
      <c r="G64" s="543">
        <v>0.50109866552333993</v>
      </c>
      <c r="H64" s="543">
        <v>0.50109866552333993</v>
      </c>
      <c r="I64" s="543">
        <v>0.313</v>
      </c>
      <c r="J64" s="1020">
        <v>0.313</v>
      </c>
      <c r="O64" s="768"/>
      <c r="R64" s="1021" t="s">
        <v>2680</v>
      </c>
      <c r="S64" s="820">
        <v>6.7903345112275641E-3</v>
      </c>
      <c r="T64" s="820">
        <v>8.7233344494532438E-4</v>
      </c>
      <c r="U64" s="820">
        <v>3.6131426700141904E-2</v>
      </c>
      <c r="V64" s="820">
        <v>2.8716879984656933E-3</v>
      </c>
      <c r="W64" s="820">
        <v>3.7102883586474463E-3</v>
      </c>
      <c r="X64" s="820">
        <v>8.2366448321751341E-4</v>
      </c>
      <c r="Y64" s="820">
        <v>2.1314032996446264E-3</v>
      </c>
      <c r="Z64" s="820">
        <v>2.5521047459647637E-5</v>
      </c>
      <c r="AA64" s="820">
        <v>1.3007819966204856E-4</v>
      </c>
      <c r="AB64" s="865">
        <v>1.4786594903933672E-3</v>
      </c>
    </row>
    <row r="65" spans="1:55" x14ac:dyDescent="0.45">
      <c r="A65" s="768" t="s">
        <v>2675</v>
      </c>
      <c r="C65" s="1019"/>
      <c r="D65" s="543"/>
      <c r="E65" s="543">
        <v>8.7999999999999995E-2</v>
      </c>
      <c r="F65" s="543">
        <v>8.7999999999999995E-2</v>
      </c>
      <c r="G65" s="543">
        <v>0.34</v>
      </c>
      <c r="H65" s="543">
        <v>0.34</v>
      </c>
      <c r="I65" s="543"/>
      <c r="J65" s="1020"/>
      <c r="O65" s="768"/>
      <c r="R65" s="1021" t="s">
        <v>2681</v>
      </c>
      <c r="S65" s="820">
        <v>0</v>
      </c>
      <c r="T65" s="820">
        <v>0.12464644946253323</v>
      </c>
      <c r="U65" s="820">
        <v>0</v>
      </c>
      <c r="V65" s="820">
        <v>0.10593482895486575</v>
      </c>
      <c r="W65" s="820">
        <v>0.32511775240155849</v>
      </c>
      <c r="X65" s="820">
        <v>0.30059937129259279</v>
      </c>
      <c r="Y65" s="820">
        <v>0.29371755976250669</v>
      </c>
      <c r="Z65" s="820">
        <v>3.8663561153697262E-2</v>
      </c>
      <c r="AA65" s="820">
        <v>0.11478030983075582</v>
      </c>
      <c r="AB65" s="865">
        <v>8.3160496087017366E-2</v>
      </c>
    </row>
    <row r="66" spans="1:55" x14ac:dyDescent="0.45">
      <c r="A66" s="768" t="s">
        <v>2682</v>
      </c>
      <c r="C66" s="1019"/>
      <c r="D66" s="543"/>
      <c r="E66" s="543">
        <v>6.0999999999999999E-2</v>
      </c>
      <c r="F66" s="543">
        <v>6.0999999999999999E-2</v>
      </c>
      <c r="G66" s="543">
        <v>0.34</v>
      </c>
      <c r="H66" s="543">
        <v>0.34</v>
      </c>
      <c r="I66" s="543"/>
      <c r="J66" s="1020"/>
      <c r="O66" s="755"/>
      <c r="P66" s="916"/>
      <c r="Q66" s="916"/>
      <c r="R66" s="1025" t="s">
        <v>2683</v>
      </c>
      <c r="S66" s="820">
        <v>0.2882480188740898</v>
      </c>
      <c r="T66" s="820">
        <v>2.0070341491431054E-2</v>
      </c>
      <c r="U66" s="820">
        <v>0.14591481263254058</v>
      </c>
      <c r="V66" s="820">
        <v>0.29737909166258536</v>
      </c>
      <c r="W66" s="820">
        <v>0.2209956677638093</v>
      </c>
      <c r="X66" s="820">
        <v>4.9522889589354135E-2</v>
      </c>
      <c r="Y66" s="820">
        <v>4.8225664733520079E-2</v>
      </c>
      <c r="Z66" s="820">
        <v>0.31104176534615968</v>
      </c>
      <c r="AA66" s="820">
        <v>0.1396216833222047</v>
      </c>
      <c r="AB66" s="865">
        <v>0.41086841301601551</v>
      </c>
    </row>
    <row r="67" spans="1:55" x14ac:dyDescent="0.45">
      <c r="A67" s="768" t="s">
        <v>2684</v>
      </c>
      <c r="C67" s="1019"/>
      <c r="D67" s="543"/>
      <c r="E67" s="543">
        <v>0.84199999999999997</v>
      </c>
      <c r="F67" s="543">
        <v>0.84199999999999997</v>
      </c>
      <c r="G67" s="543">
        <v>0.55000000000000004</v>
      </c>
      <c r="H67" s="543">
        <v>0.55000000000000004</v>
      </c>
      <c r="I67" s="543"/>
      <c r="J67" s="1020"/>
      <c r="O67" s="779" t="s">
        <v>2685</v>
      </c>
      <c r="P67" s="785"/>
      <c r="Q67" s="785"/>
      <c r="R67" s="786"/>
      <c r="S67" s="785"/>
      <c r="T67" s="785"/>
      <c r="U67" s="785"/>
      <c r="V67" s="785"/>
      <c r="W67" s="785"/>
      <c r="X67" s="785"/>
      <c r="Y67" s="785"/>
      <c r="Z67" s="785"/>
      <c r="AA67" s="785"/>
      <c r="AB67" s="786"/>
    </row>
    <row r="68" spans="1:55" x14ac:dyDescent="0.45">
      <c r="A68" s="768" t="s">
        <v>2676</v>
      </c>
      <c r="C68" s="1019"/>
      <c r="D68" s="543"/>
      <c r="E68" s="543">
        <v>9.000000000000008E-3</v>
      </c>
      <c r="F68" s="543">
        <v>9.000000000000008E-3</v>
      </c>
      <c r="G68" s="543">
        <v>0.34</v>
      </c>
      <c r="H68" s="543">
        <v>0.34</v>
      </c>
      <c r="I68" s="543"/>
      <c r="J68" s="1020"/>
      <c r="O68" s="768"/>
      <c r="R68" s="1021" t="s">
        <v>2686</v>
      </c>
      <c r="S68" s="820">
        <v>0.90728622975902773</v>
      </c>
      <c r="T68" s="820">
        <v>0.35839157025326512</v>
      </c>
      <c r="U68" s="820">
        <v>6.2581801549097468E-2</v>
      </c>
      <c r="V68" s="820">
        <v>0.17940840458117313</v>
      </c>
      <c r="W68" s="820">
        <v>0.74887901563879311</v>
      </c>
      <c r="X68" s="820">
        <v>0.26810222983843413</v>
      </c>
      <c r="Y68" s="820">
        <v>0.6895765842438879</v>
      </c>
      <c r="Z68" s="820">
        <v>0.12405070987012012</v>
      </c>
      <c r="AA68" s="820">
        <v>1.7331531821299706E-2</v>
      </c>
      <c r="AB68" s="865">
        <v>0.65091652515330733</v>
      </c>
    </row>
    <row r="69" spans="1:55" x14ac:dyDescent="0.45">
      <c r="A69" s="779" t="s">
        <v>2679</v>
      </c>
      <c r="B69" s="785"/>
      <c r="C69" s="1016">
        <v>0.32687123883176805</v>
      </c>
      <c r="D69" s="1017">
        <v>0.32687123883176805</v>
      </c>
      <c r="E69" s="1017"/>
      <c r="F69" s="1017"/>
      <c r="G69" s="1017">
        <v>0.36027713625866054</v>
      </c>
      <c r="H69" s="1017">
        <v>0.36027713625866054</v>
      </c>
      <c r="I69" s="1017">
        <v>0.38</v>
      </c>
      <c r="J69" s="1018">
        <v>0.38</v>
      </c>
      <c r="K69" s="900" t="s">
        <v>2687</v>
      </c>
      <c r="L69" s="785"/>
      <c r="M69" s="786"/>
      <c r="O69" s="768"/>
      <c r="R69" s="1021" t="s">
        <v>2688</v>
      </c>
      <c r="S69" s="820">
        <v>0</v>
      </c>
      <c r="T69" s="820">
        <v>0</v>
      </c>
      <c r="U69" s="820">
        <v>0.17917260230187837</v>
      </c>
      <c r="V69" s="820">
        <v>0</v>
      </c>
      <c r="W69" s="820">
        <v>0</v>
      </c>
      <c r="X69" s="820">
        <v>0</v>
      </c>
      <c r="Y69" s="820">
        <v>0</v>
      </c>
      <c r="Z69" s="820">
        <v>0</v>
      </c>
      <c r="AA69" s="820">
        <v>0</v>
      </c>
      <c r="AB69" s="865">
        <v>5.6401699030266553E-2</v>
      </c>
    </row>
    <row r="70" spans="1:55" x14ac:dyDescent="0.45">
      <c r="A70" s="768" t="s">
        <v>2675</v>
      </c>
      <c r="C70" s="1019"/>
      <c r="D70" s="543"/>
      <c r="E70" s="543">
        <v>0.99</v>
      </c>
      <c r="F70" s="543">
        <v>0.99</v>
      </c>
      <c r="G70" s="543">
        <v>0.36</v>
      </c>
      <c r="H70" s="543">
        <v>0.36</v>
      </c>
      <c r="I70" s="543"/>
      <c r="J70" s="1020"/>
      <c r="K70" s="768" t="s">
        <v>2689</v>
      </c>
      <c r="M70" s="1026">
        <v>0.503</v>
      </c>
      <c r="O70" s="768"/>
      <c r="R70" s="1021" t="s">
        <v>2690</v>
      </c>
      <c r="S70" s="820">
        <v>9.2713770240972229E-2</v>
      </c>
      <c r="T70" s="820">
        <v>0</v>
      </c>
      <c r="U70" s="820">
        <v>0.44026592564221967</v>
      </c>
      <c r="V70" s="820">
        <v>0.79990705145733654</v>
      </c>
      <c r="W70" s="820">
        <v>0.14468910952445643</v>
      </c>
      <c r="X70" s="820">
        <v>0.55150450805811246</v>
      </c>
      <c r="Y70" s="820">
        <v>0.12036075302382926</v>
      </c>
      <c r="Z70" s="820">
        <v>0.86615917373539708</v>
      </c>
      <c r="AA70" s="820">
        <v>0.93666751041750129</v>
      </c>
      <c r="AB70" s="865">
        <v>0.16774290808072997</v>
      </c>
    </row>
    <row r="71" spans="1:55" x14ac:dyDescent="0.45">
      <c r="A71" s="755" t="s">
        <v>2691</v>
      </c>
      <c r="B71" s="916"/>
      <c r="C71" s="1022"/>
      <c r="D71" s="1023"/>
      <c r="E71" s="1023">
        <v>0.01</v>
      </c>
      <c r="F71" s="1023">
        <v>0.01</v>
      </c>
      <c r="G71" s="1023">
        <v>0.39</v>
      </c>
      <c r="H71" s="1023">
        <v>0.39</v>
      </c>
      <c r="I71" s="1023"/>
      <c r="J71" s="1024"/>
      <c r="K71" s="768" t="s">
        <v>2692</v>
      </c>
      <c r="M71" s="1026">
        <v>0.40200000000000002</v>
      </c>
      <c r="O71" s="768"/>
      <c r="R71" s="1021" t="s">
        <v>2693</v>
      </c>
      <c r="S71" s="820">
        <v>0</v>
      </c>
      <c r="T71" s="820">
        <v>0.16171060044730551</v>
      </c>
      <c r="U71" s="820">
        <v>6.0971258207709114E-2</v>
      </c>
      <c r="V71" s="820">
        <v>1.0157869597362151E-2</v>
      </c>
      <c r="W71" s="820">
        <v>2.0474875103303179E-2</v>
      </c>
      <c r="X71" s="820">
        <v>3.9854303097024715E-2</v>
      </c>
      <c r="Y71" s="820">
        <v>0.1457988464607147</v>
      </c>
      <c r="Z71" s="820">
        <v>8.4735202183209967E-3</v>
      </c>
      <c r="AA71" s="820">
        <v>3.2489720480814818E-2</v>
      </c>
      <c r="AB71" s="865">
        <v>0.11443572737042007</v>
      </c>
    </row>
    <row r="72" spans="1:55" x14ac:dyDescent="0.45">
      <c r="A72" s="768" t="s">
        <v>2680</v>
      </c>
      <c r="C72" s="1019">
        <v>1.4593888338939596E-3</v>
      </c>
      <c r="D72" s="543">
        <v>1.4593888338939596E-3</v>
      </c>
      <c r="E72" s="543"/>
      <c r="F72" s="543"/>
      <c r="G72" s="543">
        <v>0.22099447513812154</v>
      </c>
      <c r="H72" s="543">
        <v>0.22099447513812154</v>
      </c>
      <c r="I72" s="1017">
        <v>1.2999999999999999E-2</v>
      </c>
      <c r="J72" s="1020">
        <v>1.2999999999999999E-2</v>
      </c>
      <c r="K72" s="768" t="s">
        <v>2694</v>
      </c>
      <c r="M72" s="1026">
        <v>4.3999999999999997E-2</v>
      </c>
      <c r="O72" s="755"/>
      <c r="P72" s="916"/>
      <c r="Q72" s="916"/>
      <c r="R72" s="1025" t="s">
        <v>2695</v>
      </c>
      <c r="S72" s="921">
        <v>0</v>
      </c>
      <c r="T72" s="921">
        <v>0.47989782929942937</v>
      </c>
      <c r="U72" s="921">
        <v>0.25700841229909543</v>
      </c>
      <c r="V72" s="921">
        <v>1.052667436412813E-2</v>
      </c>
      <c r="W72" s="921">
        <v>8.5956999733447281E-2</v>
      </c>
      <c r="X72" s="921">
        <v>0.14053895900642865</v>
      </c>
      <c r="Y72" s="921">
        <v>4.4263816271568057E-2</v>
      </c>
      <c r="Z72" s="921">
        <v>1.3165961761617551E-3</v>
      </c>
      <c r="AA72" s="921">
        <v>1.3511237280384281E-2</v>
      </c>
      <c r="AB72" s="922">
        <v>1.0503140365275998E-2</v>
      </c>
    </row>
    <row r="73" spans="1:55" x14ac:dyDescent="0.45">
      <c r="A73" s="768" t="s">
        <v>2675</v>
      </c>
      <c r="C73" s="1019"/>
      <c r="D73" s="543"/>
      <c r="E73" s="543">
        <v>0.99</v>
      </c>
      <c r="F73" s="543">
        <v>0.99</v>
      </c>
      <c r="G73" s="543">
        <v>0.22</v>
      </c>
      <c r="H73" s="543">
        <v>0.22</v>
      </c>
      <c r="I73" s="543"/>
      <c r="J73" s="1020"/>
      <c r="K73" s="768" t="s">
        <v>2696</v>
      </c>
      <c r="M73" s="1026">
        <v>4.5999999999999999E-2</v>
      </c>
      <c r="O73" s="768" t="s">
        <v>2697</v>
      </c>
      <c r="R73" s="1021"/>
      <c r="AB73" s="769"/>
    </row>
    <row r="74" spans="1:55" x14ac:dyDescent="0.45">
      <c r="A74" s="768" t="s">
        <v>2691</v>
      </c>
      <c r="C74" s="1019"/>
      <c r="D74" s="543"/>
      <c r="E74" s="543">
        <v>1.0000000000000009E-2</v>
      </c>
      <c r="F74" s="543">
        <v>1.0000000000000009E-2</v>
      </c>
      <c r="G74" s="543">
        <v>0.4</v>
      </c>
      <c r="H74" s="543">
        <v>0.4</v>
      </c>
      <c r="I74" s="543"/>
      <c r="J74" s="1020"/>
      <c r="K74" s="768" t="s">
        <v>2698</v>
      </c>
      <c r="M74" s="1026">
        <v>2E-3</v>
      </c>
      <c r="O74" s="768"/>
      <c r="R74" s="1021" t="s">
        <v>2673</v>
      </c>
      <c r="S74" s="820">
        <v>0.38416774480900973</v>
      </c>
      <c r="T74" s="820">
        <v>0.32244935713625017</v>
      </c>
      <c r="U74" s="820">
        <v>0.3460967606840803</v>
      </c>
      <c r="V74" s="820">
        <v>0.29853091266316395</v>
      </c>
      <c r="W74" s="820">
        <v>0.30224163953947669</v>
      </c>
      <c r="X74" s="820">
        <v>0.31008847095092867</v>
      </c>
      <c r="Y74" s="820">
        <v>0.32054928303022773</v>
      </c>
      <c r="Z74" s="820">
        <v>0.34334512117128019</v>
      </c>
      <c r="AA74" s="820">
        <v>0.32310034163719553</v>
      </c>
      <c r="AB74" s="865">
        <v>0.33652641827503693</v>
      </c>
    </row>
    <row r="75" spans="1:55" x14ac:dyDescent="0.45">
      <c r="A75" s="779" t="s">
        <v>2681</v>
      </c>
      <c r="B75" s="785"/>
      <c r="C75" s="1016">
        <v>0.20616125153487222</v>
      </c>
      <c r="D75" s="1017">
        <v>0.20616125153487222</v>
      </c>
      <c r="E75" s="1017"/>
      <c r="F75" s="1017"/>
      <c r="G75" s="1017">
        <v>1</v>
      </c>
      <c r="H75" s="1017">
        <v>1</v>
      </c>
      <c r="I75" s="1017">
        <v>0.22900000000000001</v>
      </c>
      <c r="J75" s="1018">
        <v>0.22900000000000001</v>
      </c>
      <c r="K75" s="768" t="s">
        <v>2435</v>
      </c>
      <c r="M75" s="1026">
        <v>3.0000000000000001E-3</v>
      </c>
      <c r="O75" s="768"/>
      <c r="R75" s="1021" t="s">
        <v>2677</v>
      </c>
      <c r="S75" s="820">
        <v>0.34897972865901977</v>
      </c>
      <c r="T75" s="820">
        <v>0.48120249220745387</v>
      </c>
      <c r="U75" s="820">
        <v>0.432</v>
      </c>
      <c r="V75" s="820">
        <v>0.40335831016951773</v>
      </c>
      <c r="W75" s="820">
        <v>0.45994987974556201</v>
      </c>
      <c r="X75" s="820">
        <v>0.45403459952271757</v>
      </c>
      <c r="Y75" s="820">
        <v>0.44508071717058689</v>
      </c>
      <c r="Z75" s="820">
        <v>0.4146919932679145</v>
      </c>
      <c r="AA75" s="820">
        <v>0.46395686847584111</v>
      </c>
      <c r="AB75" s="865">
        <v>0.48118949214778811</v>
      </c>
    </row>
    <row r="76" spans="1:55" x14ac:dyDescent="0.45">
      <c r="A76" s="779" t="s">
        <v>2683</v>
      </c>
      <c r="B76" s="786"/>
      <c r="C76" s="1017">
        <v>0.16320008432028765</v>
      </c>
      <c r="D76" s="1017">
        <v>0.16320008432028765</v>
      </c>
      <c r="E76" s="1017"/>
      <c r="F76" s="1017"/>
      <c r="G76" s="1017">
        <v>1</v>
      </c>
      <c r="H76" s="1017">
        <v>1</v>
      </c>
      <c r="I76" s="1017"/>
      <c r="J76" s="1027"/>
      <c r="K76" s="755" t="s">
        <v>2699</v>
      </c>
      <c r="L76" s="916"/>
      <c r="M76" s="1028">
        <v>1E-4</v>
      </c>
      <c r="O76" s="768"/>
      <c r="R76" s="1021" t="s">
        <v>2679</v>
      </c>
      <c r="S76" s="820">
        <v>0.26</v>
      </c>
      <c r="T76" s="820">
        <v>0.34799999999999998</v>
      </c>
      <c r="U76" s="820">
        <v>0.22499999999999998</v>
      </c>
      <c r="V76" s="820">
        <v>0.34399999999999997</v>
      </c>
      <c r="W76" s="820">
        <v>0.32800000000000001</v>
      </c>
      <c r="X76" s="820">
        <v>0.34899999999999998</v>
      </c>
      <c r="Y76" s="820">
        <v>0.34899999999999998</v>
      </c>
      <c r="Z76" s="820">
        <v>0.34300000000000003</v>
      </c>
      <c r="AA76" s="820">
        <v>0.34699999999999998</v>
      </c>
      <c r="AB76" s="865">
        <v>0.34699999999999998</v>
      </c>
    </row>
    <row r="77" spans="1:55" x14ac:dyDescent="0.45">
      <c r="A77" s="768" t="s">
        <v>2686</v>
      </c>
      <c r="B77" s="769"/>
      <c r="C77" s="543"/>
      <c r="D77" s="543"/>
      <c r="E77" s="543">
        <v>0.47413488078343791</v>
      </c>
      <c r="F77" s="543">
        <v>0.47413488078343791</v>
      </c>
      <c r="G77" s="543"/>
      <c r="H77" s="543"/>
      <c r="I77" s="543"/>
      <c r="J77" s="1029"/>
      <c r="O77" s="755"/>
      <c r="P77" s="916"/>
      <c r="Q77" s="916"/>
      <c r="R77" s="1025" t="s">
        <v>2680</v>
      </c>
      <c r="S77" s="921">
        <v>0.39900000000000002</v>
      </c>
      <c r="T77" s="921">
        <v>0.185</v>
      </c>
      <c r="U77" s="921">
        <v>0.22900000000000004</v>
      </c>
      <c r="V77" s="921">
        <v>0.20699999999999999</v>
      </c>
      <c r="W77" s="921">
        <v>0.23599999999999999</v>
      </c>
      <c r="X77" s="921">
        <v>0.221</v>
      </c>
      <c r="Y77" s="921">
        <v>0.19900000000000001</v>
      </c>
      <c r="Z77" s="921">
        <v>0.38700000000000001</v>
      </c>
      <c r="AA77" s="921">
        <v>0.4</v>
      </c>
      <c r="AB77" s="922">
        <v>0.22600000000000001</v>
      </c>
      <c r="BC77" s="13"/>
    </row>
    <row r="78" spans="1:55" x14ac:dyDescent="0.45">
      <c r="A78" s="768" t="s">
        <v>2688</v>
      </c>
      <c r="B78" s="769"/>
      <c r="C78" s="543"/>
      <c r="D78" s="543"/>
      <c r="E78" s="543">
        <v>2.7236122759287312E-2</v>
      </c>
      <c r="F78" s="543">
        <v>2.7236122759287312E-2</v>
      </c>
      <c r="G78" s="543"/>
      <c r="H78" s="543"/>
      <c r="I78" s="543"/>
      <c r="J78" s="1029"/>
      <c r="BC78" s="13"/>
    </row>
    <row r="79" spans="1:55" x14ac:dyDescent="0.45">
      <c r="A79" s="768" t="s">
        <v>2690</v>
      </c>
      <c r="B79" s="769"/>
      <c r="C79" s="543"/>
      <c r="D79" s="543"/>
      <c r="E79" s="543">
        <v>0.39207591356482868</v>
      </c>
      <c r="F79" s="543">
        <v>0.39207591356482868</v>
      </c>
      <c r="G79" s="543"/>
      <c r="H79" s="543"/>
      <c r="I79" s="543"/>
      <c r="J79" s="1029"/>
      <c r="BC79" s="13"/>
    </row>
    <row r="80" spans="1:55" x14ac:dyDescent="0.45">
      <c r="A80" s="768" t="s">
        <v>2693</v>
      </c>
      <c r="B80" s="769"/>
      <c r="C80" s="543"/>
      <c r="D80" s="543"/>
      <c r="E80" s="543">
        <v>7.4791260469015297E-2</v>
      </c>
      <c r="F80" s="543">
        <v>7.4791260469015297E-2</v>
      </c>
      <c r="G80" s="543"/>
      <c r="H80" s="543"/>
      <c r="I80" s="543"/>
      <c r="J80" s="1029"/>
      <c r="BC80" s="13"/>
    </row>
    <row r="81" spans="1:79" x14ac:dyDescent="0.45">
      <c r="A81" s="755" t="s">
        <v>2695</v>
      </c>
      <c r="B81" s="774"/>
      <c r="C81" s="1023"/>
      <c r="D81" s="1023"/>
      <c r="E81" s="1023">
        <v>3.1761822423430841E-2</v>
      </c>
      <c r="F81" s="1023">
        <v>3.1761822423430841E-2</v>
      </c>
      <c r="G81" s="1023"/>
      <c r="H81" s="1023"/>
      <c r="I81" s="1023"/>
      <c r="J81" s="1030"/>
      <c r="BC81" s="13"/>
    </row>
    <row r="82" spans="1:79" ht="11.25" customHeight="1" x14ac:dyDescent="0.45">
      <c r="BC82" s="13"/>
      <c r="BG82" s="1031"/>
      <c r="BR82" s="1032"/>
      <c r="BS82" s="1032"/>
      <c r="BT82" s="1032"/>
      <c r="BU82" s="1032"/>
      <c r="BV82" s="1032"/>
      <c r="BW82" s="1032"/>
      <c r="BX82" s="1032"/>
      <c r="BY82" s="1032"/>
      <c r="BZ82" s="1032"/>
      <c r="CA82" s="1032"/>
    </row>
    <row r="83" spans="1:79" ht="11.25" customHeight="1" x14ac:dyDescent="0.45">
      <c r="A83" s="726" t="s">
        <v>2700</v>
      </c>
      <c r="BC83" s="13"/>
      <c r="BG83" s="1031"/>
      <c r="BR83" s="1032"/>
      <c r="BS83" s="1032"/>
      <c r="BT83" s="1032"/>
      <c r="BU83" s="1032"/>
      <c r="BV83" s="1032"/>
      <c r="BW83" s="1032"/>
      <c r="BX83" s="1032"/>
      <c r="BY83" s="1032"/>
      <c r="BZ83" s="1032"/>
      <c r="CA83" s="1032"/>
    </row>
    <row r="84" spans="1:79" ht="11.25" customHeight="1" x14ac:dyDescent="0.45">
      <c r="A84" s="754" t="s">
        <v>2701</v>
      </c>
      <c r="B84" s="1033" t="s">
        <v>2702</v>
      </c>
      <c r="C84" s="1033" t="s">
        <v>2703</v>
      </c>
      <c r="D84" s="543"/>
      <c r="BC84" s="13"/>
      <c r="BG84" s="1031"/>
      <c r="BR84" s="1032"/>
      <c r="BS84" s="1032"/>
      <c r="BT84" s="1032"/>
      <c r="BU84" s="1032"/>
      <c r="BV84" s="1032"/>
      <c r="BW84" s="1032"/>
      <c r="BX84" s="1032"/>
      <c r="BY84" s="1032"/>
      <c r="BZ84" s="1032"/>
      <c r="CA84" s="1032"/>
    </row>
    <row r="85" spans="1:79" ht="11.25" customHeight="1" x14ac:dyDescent="0.45">
      <c r="A85" s="768" t="s">
        <v>2675</v>
      </c>
      <c r="B85" s="1034">
        <v>0.52800000000000002</v>
      </c>
      <c r="C85" s="1035">
        <v>0.80600000000000005</v>
      </c>
      <c r="D85" s="543"/>
      <c r="BC85" s="13"/>
      <c r="BG85" s="1031"/>
      <c r="BR85" s="1032"/>
      <c r="BS85" s="1032"/>
      <c r="BT85" s="1032"/>
      <c r="BU85" s="1032"/>
      <c r="BV85" s="1032"/>
      <c r="BW85" s="1032"/>
      <c r="BX85" s="1032"/>
      <c r="BY85" s="1032"/>
      <c r="BZ85" s="1032"/>
      <c r="CA85" s="1032"/>
    </row>
    <row r="86" spans="1:79" ht="11.25" customHeight="1" x14ac:dyDescent="0.45">
      <c r="A86" s="768" t="s">
        <v>2682</v>
      </c>
      <c r="B86" s="1035">
        <v>0.65800000000000003</v>
      </c>
      <c r="C86" s="1035">
        <v>0.79400000000000004</v>
      </c>
      <c r="D86" s="543"/>
      <c r="BC86" s="13"/>
      <c r="BG86" s="1031"/>
      <c r="BR86" s="1032"/>
      <c r="BS86" s="1032"/>
      <c r="BT86" s="1032"/>
      <c r="BU86" s="1032"/>
      <c r="BV86" s="1032"/>
      <c r="BW86" s="1032"/>
      <c r="BX86" s="1032"/>
      <c r="BY86" s="1032"/>
      <c r="BZ86" s="1032"/>
      <c r="CA86" s="1032"/>
    </row>
    <row r="87" spans="1:79" ht="11.25" customHeight="1" x14ac:dyDescent="0.45">
      <c r="A87" s="755" t="s">
        <v>2684</v>
      </c>
      <c r="B87" s="1036">
        <v>0.68100000000000005</v>
      </c>
      <c r="C87" s="1037">
        <v>0.77900000000000003</v>
      </c>
      <c r="D87" s="543"/>
      <c r="BC87" s="13"/>
      <c r="BG87" s="1031"/>
      <c r="BR87" s="1032"/>
      <c r="BS87" s="1032"/>
      <c r="BT87" s="1032"/>
      <c r="BU87" s="1032"/>
      <c r="BV87" s="1032"/>
      <c r="BW87" s="1032"/>
      <c r="BX87" s="1032"/>
      <c r="BY87" s="1032"/>
      <c r="BZ87" s="1032"/>
      <c r="CA87" s="1032"/>
    </row>
    <row r="88" spans="1:79" ht="11.25" customHeight="1" x14ac:dyDescent="0.45">
      <c r="BC88" s="13"/>
      <c r="BG88" s="1031"/>
      <c r="BR88" s="1032"/>
      <c r="BS88" s="1032"/>
      <c r="BT88" s="1032"/>
      <c r="BU88" s="1032"/>
      <c r="BV88" s="1032"/>
      <c r="BW88" s="1032"/>
      <c r="BX88" s="1032"/>
      <c r="BY88" s="1032"/>
      <c r="BZ88" s="1032"/>
      <c r="CA88" s="1032"/>
    </row>
    <row r="89" spans="1:79" ht="11.25" customHeight="1" x14ac:dyDescent="0.45">
      <c r="A89" s="754" t="s">
        <v>2704</v>
      </c>
      <c r="B89" s="1033" t="s">
        <v>2702</v>
      </c>
      <c r="C89" s="1033" t="s">
        <v>2703</v>
      </c>
      <c r="D89" s="543"/>
      <c r="BC89" s="13"/>
      <c r="BG89" s="1031"/>
      <c r="BR89" s="1032"/>
      <c r="BS89" s="1032"/>
      <c r="BT89" s="1032"/>
      <c r="BU89" s="1032"/>
      <c r="BV89" s="1032"/>
      <c r="BW89" s="1032"/>
      <c r="BX89" s="1032"/>
      <c r="BY89" s="1032"/>
      <c r="BZ89" s="1032"/>
      <c r="CA89" s="1032"/>
    </row>
    <row r="90" spans="1:79" ht="11.25" customHeight="1" x14ac:dyDescent="0.45">
      <c r="A90" s="755" t="s">
        <v>2675</v>
      </c>
      <c r="B90" s="1037">
        <v>0.46899999999999997</v>
      </c>
      <c r="C90" s="1037">
        <v>0.77400000000000002</v>
      </c>
      <c r="D90" s="543"/>
      <c r="BC90" s="13"/>
      <c r="BG90" s="1031"/>
      <c r="BR90" s="1032"/>
      <c r="BS90" s="1032"/>
      <c r="BT90" s="1032"/>
      <c r="BU90" s="1032"/>
      <c r="BV90" s="1032"/>
      <c r="BW90" s="1032"/>
      <c r="BX90" s="1032"/>
      <c r="BY90" s="1032"/>
      <c r="BZ90" s="1032"/>
      <c r="CA90" s="1032"/>
    </row>
    <row r="91" spans="1:79" ht="11.25" customHeight="1" x14ac:dyDescent="0.45">
      <c r="BC91" s="13"/>
      <c r="BG91" s="1031"/>
      <c r="BR91" s="1032"/>
      <c r="BS91" s="1032"/>
      <c r="BT91" s="1032"/>
      <c r="BU91" s="1032"/>
      <c r="BV91" s="1032"/>
      <c r="BW91" s="1032"/>
      <c r="BX91" s="1032"/>
      <c r="BY91" s="1032"/>
      <c r="BZ91" s="1032"/>
      <c r="CA91" s="1032"/>
    </row>
    <row r="92" spans="1:79" ht="11.25" customHeight="1" x14ac:dyDescent="0.45">
      <c r="A92" s="726" t="s">
        <v>2705</v>
      </c>
      <c r="BC92" s="13"/>
      <c r="BG92" s="1031"/>
      <c r="BR92" s="1032"/>
      <c r="BS92" s="1032"/>
      <c r="BT92" s="1032"/>
      <c r="BU92" s="1032"/>
      <c r="BV92" s="1032"/>
      <c r="BW92" s="1032"/>
      <c r="BX92" s="1032"/>
      <c r="BY92" s="1032"/>
      <c r="BZ92" s="1032"/>
      <c r="CA92" s="1032"/>
    </row>
    <row r="93" spans="1:79" ht="11.25" customHeight="1" x14ac:dyDescent="0.45">
      <c r="A93" s="754"/>
      <c r="B93" s="1033" t="s">
        <v>2706</v>
      </c>
      <c r="C93" s="1033" t="s">
        <v>2707</v>
      </c>
      <c r="D93" s="1033" t="s">
        <v>2708</v>
      </c>
      <c r="BC93" s="13"/>
      <c r="BG93" s="1031"/>
      <c r="BR93" s="1032"/>
      <c r="BS93" s="1032"/>
      <c r="BT93" s="1032"/>
      <c r="BU93" s="1032"/>
      <c r="BV93" s="1032"/>
      <c r="BW93" s="1032"/>
      <c r="BX93" s="1032"/>
      <c r="BY93" s="1032"/>
      <c r="BZ93" s="1032"/>
      <c r="CA93" s="1032"/>
    </row>
    <row r="94" spans="1:79" ht="11.25" customHeight="1" x14ac:dyDescent="0.45">
      <c r="A94" s="768" t="s">
        <v>2709</v>
      </c>
      <c r="B94" s="730"/>
      <c r="C94" s="730"/>
      <c r="D94" s="1038"/>
      <c r="F94" s="734"/>
      <c r="G94" s="1039" t="s">
        <v>114</v>
      </c>
      <c r="H94" s="1039" t="s">
        <v>205</v>
      </c>
      <c r="BC94" s="13"/>
      <c r="BG94" s="1031"/>
      <c r="BR94" s="1032"/>
      <c r="BS94" s="1032"/>
      <c r="BT94" s="1032"/>
      <c r="BU94" s="1032"/>
      <c r="BV94" s="1032"/>
      <c r="BW94" s="1032"/>
      <c r="BX94" s="1032"/>
      <c r="BY94" s="1032"/>
      <c r="BZ94" s="1032"/>
      <c r="CA94" s="1032"/>
    </row>
    <row r="95" spans="1:79" ht="11.25" customHeight="1" x14ac:dyDescent="0.45">
      <c r="A95" s="768" t="s">
        <v>2710</v>
      </c>
      <c r="B95" s="730">
        <v>0.27337868296755463</v>
      </c>
      <c r="C95" s="1035">
        <v>0.9</v>
      </c>
      <c r="D95" s="1040"/>
      <c r="F95" s="1039" t="s">
        <v>2711</v>
      </c>
      <c r="G95" s="1041">
        <v>31.152063507693523</v>
      </c>
      <c r="H95" s="734">
        <v>24.201808489226178</v>
      </c>
      <c r="BC95" s="13"/>
      <c r="BG95" s="1031"/>
      <c r="BR95" s="1032"/>
      <c r="BS95" s="1032"/>
      <c r="BT95" s="1032"/>
      <c r="BU95" s="1032"/>
      <c r="BV95" s="1032"/>
      <c r="BW95" s="1032"/>
      <c r="BX95" s="1032"/>
      <c r="BY95" s="1032"/>
      <c r="BZ95" s="1032"/>
      <c r="CA95" s="1032"/>
    </row>
    <row r="96" spans="1:79" ht="11.25" customHeight="1" x14ac:dyDescent="0.45">
      <c r="A96" s="768" t="s">
        <v>2712</v>
      </c>
      <c r="B96" s="730">
        <v>0.30874219057470131</v>
      </c>
      <c r="C96" s="730">
        <v>0.86032030794823711</v>
      </c>
      <c r="D96" s="1042">
        <v>0.38300000000000001</v>
      </c>
      <c r="F96" s="1039" t="s">
        <v>2713</v>
      </c>
      <c r="G96" s="1041">
        <v>5.2771948522120091</v>
      </c>
      <c r="H96" s="734">
        <v>7.2902792130438456</v>
      </c>
      <c r="BC96" s="13"/>
      <c r="BG96" s="1031"/>
      <c r="BR96" s="1032"/>
      <c r="BS96" s="1032"/>
      <c r="BT96" s="1032"/>
      <c r="BU96" s="1032"/>
      <c r="BV96" s="1032"/>
      <c r="BW96" s="1032"/>
      <c r="BX96" s="1032"/>
      <c r="BY96" s="1032"/>
      <c r="BZ96" s="1032"/>
      <c r="CA96" s="1032"/>
    </row>
    <row r="97" spans="1:79" ht="11.25" customHeight="1" x14ac:dyDescent="0.45">
      <c r="A97" s="768" t="s">
        <v>2714</v>
      </c>
      <c r="B97" s="730"/>
      <c r="C97" s="730"/>
      <c r="D97" s="1040"/>
      <c r="BC97" s="13"/>
      <c r="BG97" s="1031"/>
      <c r="BR97" s="1032"/>
      <c r="BS97" s="1032"/>
      <c r="BT97" s="1032"/>
      <c r="BU97" s="1032"/>
      <c r="BV97" s="1032"/>
      <c r="BW97" s="1032"/>
      <c r="BX97" s="1032"/>
      <c r="BY97" s="1032"/>
      <c r="BZ97" s="1032"/>
      <c r="CA97" s="1032"/>
    </row>
    <row r="98" spans="1:79" ht="11.25" customHeight="1" x14ac:dyDescent="0.45">
      <c r="A98" s="768" t="s">
        <v>2710</v>
      </c>
      <c r="B98" s="730">
        <v>0.49632869201479912</v>
      </c>
      <c r="C98" s="1035">
        <v>0.9</v>
      </c>
      <c r="D98" s="1040"/>
      <c r="BC98" s="13"/>
      <c r="BG98" s="1031"/>
      <c r="BR98" s="1032"/>
      <c r="BS98" s="1032"/>
      <c r="BT98" s="1032"/>
      <c r="BU98" s="1032"/>
      <c r="BV98" s="1032"/>
      <c r="BW98" s="1032"/>
      <c r="BX98" s="1032"/>
      <c r="BY98" s="1032"/>
      <c r="BZ98" s="1032"/>
      <c r="CA98" s="1032"/>
    </row>
    <row r="99" spans="1:79" ht="11.25" customHeight="1" x14ac:dyDescent="0.45">
      <c r="A99" s="755" t="s">
        <v>2712</v>
      </c>
      <c r="B99" s="732">
        <v>0.49550409802481238</v>
      </c>
      <c r="C99" s="732">
        <v>0.89586807737758456</v>
      </c>
      <c r="D99" s="1043"/>
      <c r="BC99" s="13"/>
      <c r="BG99" s="1031"/>
      <c r="BR99" s="1032"/>
      <c r="BS99" s="1032"/>
      <c r="BT99" s="1032"/>
      <c r="BU99" s="1032"/>
      <c r="BV99" s="1032"/>
      <c r="BW99" s="1032"/>
      <c r="BX99" s="1032"/>
      <c r="BY99" s="1032"/>
      <c r="BZ99" s="1032"/>
      <c r="CA99" s="1032"/>
    </row>
    <row r="100" spans="1:79" ht="11.25" customHeight="1" x14ac:dyDescent="0.45">
      <c r="BC100" s="13"/>
      <c r="BG100" s="1031"/>
      <c r="BR100" s="1032"/>
      <c r="BS100" s="1032"/>
      <c r="BT100" s="1032"/>
      <c r="BU100" s="1032"/>
      <c r="BV100" s="1032"/>
      <c r="BW100" s="1032"/>
      <c r="BX100" s="1032"/>
      <c r="BY100" s="1032"/>
      <c r="BZ100" s="1032"/>
      <c r="CA100" s="1032"/>
    </row>
    <row r="101" spans="1:79" x14ac:dyDescent="0.45">
      <c r="A101" s="726" t="s">
        <v>2715</v>
      </c>
      <c r="D101" s="1044">
        <v>4.9000000000000002E-2</v>
      </c>
      <c r="BC101" s="13"/>
      <c r="BG101" s="1031"/>
      <c r="BR101" s="1032"/>
      <c r="BS101" s="1032"/>
      <c r="BT101" s="1032"/>
      <c r="BU101" s="1032"/>
      <c r="BV101" s="1032"/>
      <c r="BW101" s="1032"/>
      <c r="BX101" s="1032"/>
      <c r="BY101" s="1032"/>
      <c r="BZ101" s="1032"/>
      <c r="CA101" s="1032"/>
    </row>
    <row r="102" spans="1:79" x14ac:dyDescent="0.45">
      <c r="BC102" s="13"/>
      <c r="BG102" s="1031"/>
      <c r="BR102" s="1032"/>
      <c r="BS102" s="1032"/>
      <c r="BT102" s="1032"/>
      <c r="BU102" s="1032"/>
      <c r="BV102" s="1032"/>
      <c r="BW102" s="1032"/>
      <c r="BX102" s="1032"/>
      <c r="BY102" s="1032"/>
      <c r="BZ102" s="1032"/>
      <c r="CA102" s="1032"/>
    </row>
    <row r="103" spans="1:79" x14ac:dyDescent="0.45">
      <c r="A103" s="726" t="s">
        <v>2716</v>
      </c>
      <c r="BG103" s="1031"/>
      <c r="BR103" s="1032"/>
      <c r="BS103" s="1032"/>
      <c r="BT103" s="1032"/>
      <c r="BU103" s="1032"/>
      <c r="BV103" s="1032"/>
      <c r="BW103" s="1032"/>
      <c r="BX103" s="1032"/>
      <c r="BY103" s="1032"/>
      <c r="BZ103" s="1032"/>
      <c r="CA103" s="1032"/>
    </row>
    <row r="104" spans="1:79" ht="25.5" customHeight="1" x14ac:dyDescent="0.45">
      <c r="A104" s="740"/>
      <c r="B104" s="2261" t="s">
        <v>2717</v>
      </c>
      <c r="C104" s="2262"/>
      <c r="D104" s="2262"/>
      <c r="E104" s="2262"/>
      <c r="F104" s="2262"/>
      <c r="G104" s="2262"/>
      <c r="H104" s="2262"/>
      <c r="I104" s="2263"/>
      <c r="J104" s="2261" t="s">
        <v>2717</v>
      </c>
      <c r="K104" s="2262"/>
      <c r="L104" s="2262"/>
      <c r="M104" s="2262"/>
      <c r="N104" s="2262"/>
      <c r="O104" s="2262"/>
      <c r="P104" s="2262"/>
      <c r="Q104" s="2263"/>
      <c r="R104" s="2261" t="s">
        <v>2718</v>
      </c>
      <c r="S104" s="2262"/>
      <c r="T104" s="2262"/>
      <c r="U104" s="2262"/>
      <c r="V104" s="2262"/>
      <c r="W104" s="2262"/>
      <c r="X104" s="2262"/>
      <c r="Y104" s="2262"/>
      <c r="Z104" s="2262"/>
      <c r="AA104" s="2262"/>
      <c r="AB104" s="2262"/>
      <c r="AC104" s="2262"/>
      <c r="AD104" s="2262"/>
      <c r="AE104" s="2262"/>
      <c r="AF104" s="2262"/>
      <c r="AG104" s="2262"/>
      <c r="AH104" s="2262"/>
      <c r="AI104" s="2262"/>
      <c r="AJ104" s="2263"/>
      <c r="AK104" s="2261" t="s">
        <v>2719</v>
      </c>
      <c r="AL104" s="2262"/>
      <c r="AM104" s="2262"/>
      <c r="AN104" s="2262"/>
      <c r="AO104" s="2262"/>
      <c r="AP104" s="2262"/>
      <c r="AQ104" s="2262"/>
      <c r="AR104" s="2262"/>
      <c r="AS104" s="2262"/>
      <c r="AT104" s="2262"/>
      <c r="AU104" s="2262"/>
      <c r="AV104" s="2262"/>
      <c r="AW104" s="2262"/>
      <c r="AX104" s="2262"/>
      <c r="AY104" s="2262"/>
      <c r="AZ104" s="2262"/>
      <c r="BA104" s="2262"/>
      <c r="BB104" s="2262"/>
      <c r="BC104" s="2263"/>
      <c r="BD104" s="2261" t="s">
        <v>2720</v>
      </c>
      <c r="BE104" s="2262"/>
      <c r="BF104" s="2262"/>
      <c r="BG104" s="2263"/>
      <c r="BH104" s="2261" t="s">
        <v>2721</v>
      </c>
      <c r="BI104" s="2262"/>
      <c r="BJ104" s="2262"/>
      <c r="BK104" s="2263"/>
      <c r="BL104" s="2261" t="s">
        <v>2717</v>
      </c>
      <c r="BM104" s="2262"/>
      <c r="BN104" s="2262"/>
      <c r="BO104" s="2263"/>
      <c r="BP104" s="2261" t="s">
        <v>2722</v>
      </c>
      <c r="BQ104" s="2262"/>
      <c r="BR104" s="2262"/>
      <c r="BS104" s="2263"/>
    </row>
    <row r="105" spans="1:79" ht="12.75" customHeight="1" x14ac:dyDescent="0.45">
      <c r="A105" s="744"/>
      <c r="B105" s="2261" t="s">
        <v>2723</v>
      </c>
      <c r="C105" s="2262"/>
      <c r="D105" s="2262"/>
      <c r="E105" s="2262"/>
      <c r="F105" s="2262"/>
      <c r="G105" s="2262"/>
      <c r="H105" s="2262"/>
      <c r="I105" s="2263"/>
      <c r="J105" s="2261" t="s">
        <v>2724</v>
      </c>
      <c r="K105" s="2262"/>
      <c r="L105" s="2262"/>
      <c r="M105" s="2262"/>
      <c r="N105" s="2262"/>
      <c r="O105" s="2262"/>
      <c r="P105" s="2262"/>
      <c r="Q105" s="2263"/>
      <c r="R105" s="2261" t="s">
        <v>2725</v>
      </c>
      <c r="S105" s="2262"/>
      <c r="T105" s="2262"/>
      <c r="U105" s="2262"/>
      <c r="V105" s="2262"/>
      <c r="W105" s="2262"/>
      <c r="X105" s="2262"/>
      <c r="Y105" s="2262"/>
      <c r="Z105" s="2262"/>
      <c r="AA105" s="2262"/>
      <c r="AB105" s="2262"/>
      <c r="AC105" s="2262"/>
      <c r="AD105" s="2262"/>
      <c r="AE105" s="2262"/>
      <c r="AF105" s="2262"/>
      <c r="AG105" s="2262"/>
      <c r="AH105" s="2262"/>
      <c r="AI105" s="2262"/>
      <c r="AJ105" s="2263"/>
      <c r="AK105" s="2261" t="s">
        <v>2725</v>
      </c>
      <c r="AL105" s="2262"/>
      <c r="AM105" s="2262"/>
      <c r="AN105" s="2262"/>
      <c r="AO105" s="2262"/>
      <c r="AP105" s="2262"/>
      <c r="AQ105" s="2262"/>
      <c r="AR105" s="2262"/>
      <c r="AS105" s="2262"/>
      <c r="AT105" s="2262"/>
      <c r="AU105" s="2262"/>
      <c r="AV105" s="2262"/>
      <c r="AW105" s="2262"/>
      <c r="AX105" s="2262"/>
      <c r="AY105" s="2262"/>
      <c r="AZ105" s="2262"/>
      <c r="BA105" s="2262"/>
      <c r="BB105" s="2262"/>
      <c r="BC105" s="2263"/>
      <c r="BD105" s="2261" t="s">
        <v>2725</v>
      </c>
      <c r="BE105" s="2262"/>
      <c r="BF105" s="2262"/>
      <c r="BG105" s="2263"/>
      <c r="BH105" s="2261" t="s">
        <v>2725</v>
      </c>
      <c r="BI105" s="2262"/>
      <c r="BJ105" s="2262"/>
      <c r="BK105" s="2263"/>
      <c r="BL105" s="2261" t="s">
        <v>2726</v>
      </c>
      <c r="BM105" s="2263"/>
      <c r="BN105" s="2261" t="s">
        <v>2727</v>
      </c>
      <c r="BO105" s="2263"/>
      <c r="BP105" s="2261" t="s">
        <v>2726</v>
      </c>
      <c r="BQ105" s="2263"/>
      <c r="BR105" s="2261" t="s">
        <v>2727</v>
      </c>
      <c r="BS105" s="2263"/>
    </row>
    <row r="106" spans="1:79" ht="66" x14ac:dyDescent="0.45">
      <c r="A106" s="737"/>
      <c r="B106" s="980" t="s">
        <v>2728</v>
      </c>
      <c r="C106" s="980" t="s">
        <v>2729</v>
      </c>
      <c r="D106" s="980" t="s">
        <v>2730</v>
      </c>
      <c r="E106" s="980" t="s">
        <v>2731</v>
      </c>
      <c r="F106" s="980" t="s">
        <v>2732</v>
      </c>
      <c r="G106" s="980" t="s">
        <v>2733</v>
      </c>
      <c r="H106" s="980" t="s">
        <v>2734</v>
      </c>
      <c r="I106" s="980" t="s">
        <v>2735</v>
      </c>
      <c r="J106" s="979" t="s">
        <v>2728</v>
      </c>
      <c r="K106" s="980" t="s">
        <v>2729</v>
      </c>
      <c r="L106" s="980" t="s">
        <v>2730</v>
      </c>
      <c r="M106" s="980" t="s">
        <v>2731</v>
      </c>
      <c r="N106" s="980" t="s">
        <v>2732</v>
      </c>
      <c r="O106" s="980" t="s">
        <v>2733</v>
      </c>
      <c r="P106" s="980" t="s">
        <v>2734</v>
      </c>
      <c r="Q106" s="981" t="s">
        <v>2735</v>
      </c>
      <c r="R106" s="980" t="s">
        <v>2736</v>
      </c>
      <c r="S106" s="980" t="s">
        <v>2737</v>
      </c>
      <c r="T106" s="980" t="s">
        <v>2738</v>
      </c>
      <c r="U106" s="980" t="s">
        <v>2739</v>
      </c>
      <c r="V106" s="980" t="s">
        <v>2740</v>
      </c>
      <c r="W106" s="980" t="s">
        <v>2741</v>
      </c>
      <c r="X106" s="980" t="s">
        <v>2742</v>
      </c>
      <c r="Y106" s="980" t="s">
        <v>2709</v>
      </c>
      <c r="Z106" s="980" t="s">
        <v>2743</v>
      </c>
      <c r="AA106" s="980" t="s">
        <v>2744</v>
      </c>
      <c r="AB106" s="980" t="s">
        <v>2745</v>
      </c>
      <c r="AC106" s="980" t="s">
        <v>2746</v>
      </c>
      <c r="AD106" s="980" t="s">
        <v>2747</v>
      </c>
      <c r="AE106" s="980" t="s">
        <v>2748</v>
      </c>
      <c r="AF106" s="980" t="s">
        <v>2749</v>
      </c>
      <c r="AG106" s="980" t="s">
        <v>2750</v>
      </c>
      <c r="AH106" s="980" t="s">
        <v>2751</v>
      </c>
      <c r="AI106" s="980" t="s">
        <v>2752</v>
      </c>
      <c r="AJ106" s="980" t="s">
        <v>2753</v>
      </c>
      <c r="AK106" s="980" t="s">
        <v>2736</v>
      </c>
      <c r="AL106" s="980" t="s">
        <v>2737</v>
      </c>
      <c r="AM106" s="980" t="s">
        <v>2738</v>
      </c>
      <c r="AN106" s="980" t="s">
        <v>2739</v>
      </c>
      <c r="AO106" s="980" t="s">
        <v>2740</v>
      </c>
      <c r="AP106" s="980" t="s">
        <v>2741</v>
      </c>
      <c r="AQ106" s="980" t="s">
        <v>2742</v>
      </c>
      <c r="AR106" s="980" t="s">
        <v>2709</v>
      </c>
      <c r="AS106" s="980" t="s">
        <v>2743</v>
      </c>
      <c r="AT106" s="980" t="s">
        <v>2744</v>
      </c>
      <c r="AU106" s="980" t="s">
        <v>2745</v>
      </c>
      <c r="AV106" s="980" t="s">
        <v>2746</v>
      </c>
      <c r="AW106" s="980" t="s">
        <v>2747</v>
      </c>
      <c r="AX106" s="980" t="s">
        <v>2748</v>
      </c>
      <c r="AY106" s="980" t="s">
        <v>2749</v>
      </c>
      <c r="AZ106" s="980" t="s">
        <v>2750</v>
      </c>
      <c r="BA106" s="980" t="s">
        <v>2751</v>
      </c>
      <c r="BB106" s="980" t="s">
        <v>2752</v>
      </c>
      <c r="BC106" s="980" t="s">
        <v>2753</v>
      </c>
      <c r="BD106" s="979" t="s">
        <v>2728</v>
      </c>
      <c r="BE106" s="980" t="s">
        <v>2729</v>
      </c>
      <c r="BF106" s="980" t="s">
        <v>2730</v>
      </c>
      <c r="BG106" s="981" t="s">
        <v>2754</v>
      </c>
      <c r="BH106" s="980" t="s">
        <v>2728</v>
      </c>
      <c r="BI106" s="980" t="s">
        <v>2729</v>
      </c>
      <c r="BJ106" s="980" t="s">
        <v>2730</v>
      </c>
      <c r="BK106" s="980" t="s">
        <v>2754</v>
      </c>
      <c r="BL106" s="979" t="s">
        <v>127</v>
      </c>
      <c r="BM106" s="981" t="s">
        <v>668</v>
      </c>
      <c r="BN106" s="980" t="s">
        <v>127</v>
      </c>
      <c r="BO106" s="981" t="s">
        <v>668</v>
      </c>
      <c r="BP106" s="979" t="s">
        <v>127</v>
      </c>
      <c r="BQ106" s="981" t="s">
        <v>668</v>
      </c>
      <c r="BR106" s="980" t="s">
        <v>127</v>
      </c>
      <c r="BS106" s="981" t="s">
        <v>668</v>
      </c>
    </row>
    <row r="107" spans="1:79" x14ac:dyDescent="0.45">
      <c r="A107" s="744" t="s">
        <v>2582</v>
      </c>
      <c r="B107" s="905">
        <v>1.7060190678477933E-2</v>
      </c>
      <c r="C107" s="905">
        <v>1.6325651882849786E-2</v>
      </c>
      <c r="D107" s="905">
        <v>1.4038841203014551E-2</v>
      </c>
      <c r="E107" s="1045">
        <v>0.12273716394479724</v>
      </c>
      <c r="F107" s="1045">
        <v>0.12273716394479724</v>
      </c>
      <c r="G107" s="1045">
        <v>0.12273716394479724</v>
      </c>
      <c r="H107" s="1045">
        <v>0.12273716394479724</v>
      </c>
      <c r="I107" s="1045">
        <v>0.12273716394479724</v>
      </c>
      <c r="J107" s="904">
        <v>1.7060190678477933E-2</v>
      </c>
      <c r="K107" s="905">
        <v>1.6325651882849786E-2</v>
      </c>
      <c r="L107" s="905">
        <v>1.4038841203014551E-2</v>
      </c>
      <c r="M107" s="1045">
        <v>0.12273716394479724</v>
      </c>
      <c r="N107" s="1045">
        <v>0.12273716394479724</v>
      </c>
      <c r="O107" s="1045">
        <v>0.12273716394479724</v>
      </c>
      <c r="P107" s="1045">
        <v>0.12273716394479724</v>
      </c>
      <c r="Q107" s="1046">
        <v>0.12273716394479724</v>
      </c>
      <c r="R107" s="905">
        <v>2.0400000000000001E-2</v>
      </c>
      <c r="S107" s="905">
        <v>1.14E-2</v>
      </c>
      <c r="T107" s="905">
        <v>2.8E-3</v>
      </c>
      <c r="U107" s="905">
        <v>3.04E-2</v>
      </c>
      <c r="V107" s="905">
        <v>1.06E-2</v>
      </c>
      <c r="W107" s="905">
        <v>1.6999999999999999E-3</v>
      </c>
      <c r="X107" s="905">
        <v>1.071</v>
      </c>
      <c r="Y107" s="905">
        <v>8.6E-3</v>
      </c>
      <c r="Z107" s="905">
        <v>8.9999999999999998E-4</v>
      </c>
      <c r="AA107" s="905">
        <v>0.1343</v>
      </c>
      <c r="AB107" s="905">
        <v>0.1343</v>
      </c>
      <c r="AC107" s="905">
        <v>0.1343</v>
      </c>
      <c r="AD107" s="905">
        <v>0.1343</v>
      </c>
      <c r="AE107" s="905">
        <v>0.1343</v>
      </c>
      <c r="AF107" s="905">
        <v>7.0000000000000007E-2</v>
      </c>
      <c r="AG107" s="905">
        <v>7.0000000000000007E-2</v>
      </c>
      <c r="AH107" s="905">
        <v>7.0000000000000007E-2</v>
      </c>
      <c r="AI107" s="905">
        <v>7.0000000000000007E-2</v>
      </c>
      <c r="AJ107" s="905">
        <v>7.0000000000000007E-2</v>
      </c>
      <c r="AK107" s="905">
        <v>2.0400000000000001E-2</v>
      </c>
      <c r="AL107" s="905">
        <v>1.14E-2</v>
      </c>
      <c r="AM107" s="905">
        <v>2.8E-3</v>
      </c>
      <c r="AN107" s="905">
        <v>3.04E-2</v>
      </c>
      <c r="AO107" s="905">
        <v>1.06E-2</v>
      </c>
      <c r="AP107" s="905">
        <v>1.6999999999999999E-3</v>
      </c>
      <c r="AQ107" s="905">
        <v>1.071</v>
      </c>
      <c r="AR107" s="905">
        <v>8.6E-3</v>
      </c>
      <c r="AS107" s="905">
        <v>8.9999999999999998E-4</v>
      </c>
      <c r="AT107" s="905">
        <v>0.1343</v>
      </c>
      <c r="AU107" s="905">
        <v>0.1343</v>
      </c>
      <c r="AV107" s="905">
        <v>0.1343</v>
      </c>
      <c r="AW107" s="905">
        <v>0.1343</v>
      </c>
      <c r="AX107" s="905">
        <v>0.1343</v>
      </c>
      <c r="AY107" s="905">
        <v>7.0000000000000007E-2</v>
      </c>
      <c r="AZ107" s="905">
        <v>7.0000000000000007E-2</v>
      </c>
      <c r="BA107" s="905">
        <v>7.0000000000000007E-2</v>
      </c>
      <c r="BB107" s="905">
        <v>7.0000000000000007E-2</v>
      </c>
      <c r="BC107" s="905">
        <v>7.0000000000000007E-2</v>
      </c>
      <c r="BD107" s="904">
        <v>1.67828E-2</v>
      </c>
      <c r="BE107" s="905">
        <v>1.4392200000000008E-2</v>
      </c>
      <c r="BF107" s="905">
        <v>8.5230000000000011E-3</v>
      </c>
      <c r="BG107" s="906">
        <v>0.133657</v>
      </c>
      <c r="BH107" s="904">
        <v>1.67828E-2</v>
      </c>
      <c r="BI107" s="905">
        <v>1.4392200000000008E-2</v>
      </c>
      <c r="BJ107" s="905">
        <v>8.5230000000000011E-3</v>
      </c>
      <c r="BK107" s="905">
        <v>0.133657</v>
      </c>
      <c r="BL107" s="904">
        <v>9.7067661789022215E-3</v>
      </c>
      <c r="BM107" s="906">
        <v>3.2681808100672163E-3</v>
      </c>
      <c r="BN107" s="905">
        <v>9.7067661789022215E-3</v>
      </c>
      <c r="BO107" s="906">
        <v>3.2681808100672163E-3</v>
      </c>
      <c r="BP107" s="904">
        <v>7.3428454079954245E-3</v>
      </c>
      <c r="BQ107" s="906">
        <v>2.4030800123045169E-3</v>
      </c>
      <c r="BR107" s="905">
        <v>7.3428454079954245E-3</v>
      </c>
      <c r="BS107" s="906">
        <v>2.4030800123045169E-3</v>
      </c>
    </row>
    <row r="108" spans="1:79" x14ac:dyDescent="0.45">
      <c r="A108" s="744" t="s">
        <v>2583</v>
      </c>
      <c r="B108" s="905">
        <v>0.39639483108274209</v>
      </c>
      <c r="C108" s="905">
        <v>0.18457098691659884</v>
      </c>
      <c r="D108" s="905">
        <v>0.11670908956365458</v>
      </c>
      <c r="E108" s="1045">
        <v>4.328911311688719</v>
      </c>
      <c r="F108" s="1045">
        <v>4.328911311688719</v>
      </c>
      <c r="G108" s="1045">
        <v>4.328911311688719</v>
      </c>
      <c r="H108" s="1045">
        <v>4.328911311688719</v>
      </c>
      <c r="I108" s="1045">
        <v>4.328911311688719</v>
      </c>
      <c r="J108" s="904">
        <v>0.39639483108274209</v>
      </c>
      <c r="K108" s="905">
        <v>0.18457098691659884</v>
      </c>
      <c r="L108" s="905">
        <v>0.11670908956365458</v>
      </c>
      <c r="M108" s="1045">
        <v>4.328911311688719</v>
      </c>
      <c r="N108" s="1045">
        <v>4.328911311688719</v>
      </c>
      <c r="O108" s="1045">
        <v>4.328911311688719</v>
      </c>
      <c r="P108" s="1045">
        <v>4.328911311688719</v>
      </c>
      <c r="Q108" s="1046">
        <v>4.328911311688719</v>
      </c>
      <c r="R108" s="905">
        <v>0.158</v>
      </c>
      <c r="S108" s="905">
        <v>3.0099999999999998E-2</v>
      </c>
      <c r="T108" s="905">
        <v>1.66E-2</v>
      </c>
      <c r="U108" s="905">
        <v>0.45800000000000002</v>
      </c>
      <c r="V108" s="905">
        <v>0.4143</v>
      </c>
      <c r="W108" s="905">
        <v>9.0200000000000002E-2</v>
      </c>
      <c r="X108" s="905">
        <v>3.6839</v>
      </c>
      <c r="Y108" s="905">
        <v>5.6000000000000001E-2</v>
      </c>
      <c r="Z108" s="905">
        <v>1.5100000000000001E-2</v>
      </c>
      <c r="AA108" s="905">
        <v>4.7329999999999997</v>
      </c>
      <c r="AB108" s="905">
        <v>4.7329999999999997</v>
      </c>
      <c r="AC108" s="905">
        <v>4.7329999999999997</v>
      </c>
      <c r="AD108" s="905">
        <v>4.7329999999999997</v>
      </c>
      <c r="AE108" s="905">
        <v>4.7329999999999997</v>
      </c>
      <c r="AF108" s="905">
        <v>7.0999999999999994E-2</v>
      </c>
      <c r="AG108" s="905">
        <v>7.0999999999999994E-2</v>
      </c>
      <c r="AH108" s="905">
        <v>7.0999999999999994E-2</v>
      </c>
      <c r="AI108" s="905">
        <v>7.0999999999999994E-2</v>
      </c>
      <c r="AJ108" s="905">
        <v>7.0999999999999994E-2</v>
      </c>
      <c r="AK108" s="905">
        <v>0.158</v>
      </c>
      <c r="AL108" s="905">
        <v>3.0099999999999998E-2</v>
      </c>
      <c r="AM108" s="905">
        <v>1.66E-2</v>
      </c>
      <c r="AN108" s="905">
        <v>0.45800000000000002</v>
      </c>
      <c r="AO108" s="905">
        <v>0.4143</v>
      </c>
      <c r="AP108" s="905">
        <v>9.0200000000000002E-2</v>
      </c>
      <c r="AQ108" s="905">
        <v>3.6839</v>
      </c>
      <c r="AR108" s="905">
        <v>5.6000000000000001E-2</v>
      </c>
      <c r="AS108" s="905">
        <v>1.5100000000000001E-2</v>
      </c>
      <c r="AT108" s="905">
        <v>4.7329999999999997</v>
      </c>
      <c r="AU108" s="905">
        <v>4.7329999999999997</v>
      </c>
      <c r="AV108" s="905">
        <v>4.7329999999999997</v>
      </c>
      <c r="AW108" s="905">
        <v>4.7329999999999997</v>
      </c>
      <c r="AX108" s="905">
        <v>4.7329999999999997</v>
      </c>
      <c r="AY108" s="905">
        <v>7.0999999999999994E-2</v>
      </c>
      <c r="AZ108" s="905">
        <v>7.0999999999999994E-2</v>
      </c>
      <c r="BA108" s="905">
        <v>7.0999999999999994E-2</v>
      </c>
      <c r="BB108" s="905">
        <v>7.0999999999999994E-2</v>
      </c>
      <c r="BC108" s="905">
        <v>7.0999999999999994E-2</v>
      </c>
      <c r="BD108" s="904">
        <v>0.12638179999999999</v>
      </c>
      <c r="BE108" s="905">
        <v>0.17467980000000002</v>
      </c>
      <c r="BF108" s="905">
        <v>5.5591000000000002E-2</v>
      </c>
      <c r="BG108" s="906">
        <v>4.6863799999999998</v>
      </c>
      <c r="BH108" s="905">
        <v>0.12638179999999999</v>
      </c>
      <c r="BI108" s="905">
        <v>0.17467980000000002</v>
      </c>
      <c r="BJ108" s="905">
        <v>5.5591000000000002E-2</v>
      </c>
      <c r="BK108" s="905">
        <v>4.6863799999999998</v>
      </c>
      <c r="BL108" s="904">
        <v>0.10123719013493337</v>
      </c>
      <c r="BM108" s="906">
        <v>3.179595982813669E-2</v>
      </c>
      <c r="BN108" s="905">
        <v>0.10123719013493337</v>
      </c>
      <c r="BO108" s="906">
        <v>3.179595982813669E-2</v>
      </c>
      <c r="BP108" s="904">
        <v>7.7595491831814328E-2</v>
      </c>
      <c r="BQ108" s="906">
        <v>2.3277089445591155E-2</v>
      </c>
      <c r="BR108" s="905">
        <v>7.7595491831814328E-2</v>
      </c>
      <c r="BS108" s="906">
        <v>2.3277089445591155E-2</v>
      </c>
    </row>
    <row r="109" spans="1:79" x14ac:dyDescent="0.45">
      <c r="A109" s="744" t="s">
        <v>2584</v>
      </c>
      <c r="B109" s="905">
        <v>4.618251936084568</v>
      </c>
      <c r="C109" s="905">
        <v>0.21797310672261985</v>
      </c>
      <c r="D109" s="905">
        <v>1.0898429179401699</v>
      </c>
      <c r="E109" s="1045">
        <v>1.587757813496961</v>
      </c>
      <c r="F109" s="1045">
        <v>1.587757813496961</v>
      </c>
      <c r="G109" s="1045">
        <v>1.587757813496961</v>
      </c>
      <c r="H109" s="1045">
        <v>1.587757813496961</v>
      </c>
      <c r="I109" s="1045">
        <v>1.587757813496961</v>
      </c>
      <c r="J109" s="904">
        <v>4.618251936084568</v>
      </c>
      <c r="K109" s="905">
        <v>0.21797310672261985</v>
      </c>
      <c r="L109" s="905">
        <v>1.0898429179401699</v>
      </c>
      <c r="M109" s="1045">
        <v>1.587757813496961</v>
      </c>
      <c r="N109" s="1045">
        <v>1.587757813496961</v>
      </c>
      <c r="O109" s="1045">
        <v>1.587757813496961</v>
      </c>
      <c r="P109" s="1045">
        <v>1.587757813496961</v>
      </c>
      <c r="Q109" s="1046">
        <v>1.587757813496961</v>
      </c>
      <c r="R109" s="905">
        <v>4.2263999999999999</v>
      </c>
      <c r="S109" s="905">
        <v>4.532</v>
      </c>
      <c r="T109" s="905">
        <v>2.7341000000000002</v>
      </c>
      <c r="U109" s="905">
        <v>0.82199999999999995</v>
      </c>
      <c r="V109" s="905">
        <v>0.32079999999999997</v>
      </c>
      <c r="W109" s="905">
        <v>0.1081</v>
      </c>
      <c r="X109" s="905">
        <v>2.9741</v>
      </c>
      <c r="Y109" s="905">
        <v>0.3619</v>
      </c>
      <c r="Z109" s="905">
        <v>0.23499999999999999</v>
      </c>
      <c r="AA109" s="905">
        <v>0.92249999999999999</v>
      </c>
      <c r="AB109" s="905">
        <v>0.92249999999999999</v>
      </c>
      <c r="AC109" s="905">
        <v>0.92249999999999999</v>
      </c>
      <c r="AD109" s="905">
        <v>0.92249999999999999</v>
      </c>
      <c r="AE109" s="905">
        <v>0.92249999999999999</v>
      </c>
      <c r="AF109" s="905">
        <v>7.8E-2</v>
      </c>
      <c r="AG109" s="905">
        <v>7.8E-2</v>
      </c>
      <c r="AH109" s="905">
        <v>7.8E-2</v>
      </c>
      <c r="AI109" s="905">
        <v>7.8E-2</v>
      </c>
      <c r="AJ109" s="905">
        <v>7.8E-2</v>
      </c>
      <c r="AK109" s="905">
        <v>4.2263999999999999</v>
      </c>
      <c r="AL109" s="905">
        <v>4.532</v>
      </c>
      <c r="AM109" s="905">
        <v>2.7341000000000002</v>
      </c>
      <c r="AN109" s="905">
        <v>0.82199999999999995</v>
      </c>
      <c r="AO109" s="905">
        <v>0.32079999999999997</v>
      </c>
      <c r="AP109" s="905">
        <v>0.1081</v>
      </c>
      <c r="AQ109" s="905">
        <v>2.9741</v>
      </c>
      <c r="AR109" s="905">
        <v>0.3619</v>
      </c>
      <c r="AS109" s="905">
        <v>0.23499999999999999</v>
      </c>
      <c r="AT109" s="905">
        <v>0.92249999999999999</v>
      </c>
      <c r="AU109" s="905">
        <v>0.92249999999999999</v>
      </c>
      <c r="AV109" s="905">
        <v>0.92249999999999999</v>
      </c>
      <c r="AW109" s="905">
        <v>0.92249999999999999</v>
      </c>
      <c r="AX109" s="905">
        <v>0.92249999999999999</v>
      </c>
      <c r="AY109" s="905">
        <v>7.8E-2</v>
      </c>
      <c r="AZ109" s="905">
        <v>7.8E-2</v>
      </c>
      <c r="BA109" s="905">
        <v>7.8E-2</v>
      </c>
      <c r="BB109" s="905">
        <v>7.8E-2</v>
      </c>
      <c r="BC109" s="905">
        <v>7.8E-2</v>
      </c>
      <c r="BD109" s="904">
        <v>3.9688589999999997</v>
      </c>
      <c r="BE109" s="905">
        <v>0.20969190000000004</v>
      </c>
      <c r="BF109" s="905">
        <v>0.36063100000000003</v>
      </c>
      <c r="BG109" s="906">
        <v>0.91405499999999995</v>
      </c>
      <c r="BH109" s="905">
        <v>3.9688589999999997</v>
      </c>
      <c r="BI109" s="905">
        <v>0.20969190000000004</v>
      </c>
      <c r="BJ109" s="905">
        <v>0.36063100000000003</v>
      </c>
      <c r="BK109" s="905">
        <v>0.91405499999999995</v>
      </c>
      <c r="BL109" s="904">
        <v>0.44467303369139016</v>
      </c>
      <c r="BM109" s="906">
        <v>0.15592451642104541</v>
      </c>
      <c r="BN109" s="905">
        <v>0.44467303369139016</v>
      </c>
      <c r="BO109" s="906">
        <v>0.15592451642104541</v>
      </c>
      <c r="BP109" s="904">
        <v>0.19988157619215796</v>
      </c>
      <c r="BQ109" s="906">
        <v>6.4534021792657589E-2</v>
      </c>
      <c r="BR109" s="905">
        <v>0.19988157619215796</v>
      </c>
      <c r="BS109" s="906">
        <v>6.4534021792657589E-2</v>
      </c>
    </row>
    <row r="110" spans="1:79" x14ac:dyDescent="0.45">
      <c r="A110" s="744" t="s">
        <v>2585</v>
      </c>
      <c r="B110" s="905">
        <v>0.20370212859924924</v>
      </c>
      <c r="C110" s="905">
        <v>6.630510861322908E-3</v>
      </c>
      <c r="D110" s="905">
        <v>0.29266011039933248</v>
      </c>
      <c r="E110" s="1045">
        <v>0.56278103762712706</v>
      </c>
      <c r="F110" s="1045">
        <v>0.56278103762712706</v>
      </c>
      <c r="G110" s="1045">
        <v>0.56278103762712706</v>
      </c>
      <c r="H110" s="1045">
        <v>0.56278103762712706</v>
      </c>
      <c r="I110" s="1045">
        <v>0.56278103762712706</v>
      </c>
      <c r="J110" s="904">
        <v>0.20370212859924924</v>
      </c>
      <c r="K110" s="905">
        <v>6.630510861322908E-3</v>
      </c>
      <c r="L110" s="905">
        <v>0.29266011039933248</v>
      </c>
      <c r="M110" s="1045">
        <v>0.56278103762712706</v>
      </c>
      <c r="N110" s="1045">
        <v>0.56278103762712706</v>
      </c>
      <c r="O110" s="1045">
        <v>0.56278103762712706</v>
      </c>
      <c r="P110" s="1045">
        <v>0.56278103762712706</v>
      </c>
      <c r="Q110" s="1046">
        <v>0.56278103762712706</v>
      </c>
      <c r="R110" s="905">
        <v>0.1694</v>
      </c>
      <c r="S110" s="905">
        <v>8.0999999999999996E-3</v>
      </c>
      <c r="T110" s="905">
        <v>0.17</v>
      </c>
      <c r="U110" s="905">
        <v>4.0500000000000001E-2</v>
      </c>
      <c r="V110" s="905">
        <v>3.5900000000000001E-2</v>
      </c>
      <c r="W110" s="905">
        <v>8.0000000000000004E-4</v>
      </c>
      <c r="X110" s="905">
        <v>0.4551</v>
      </c>
      <c r="Y110" s="905">
        <v>6.1400000000000003E-2</v>
      </c>
      <c r="Z110" s="905">
        <v>2.8400000000000002E-2</v>
      </c>
      <c r="AA110" s="905">
        <v>2.0937999999999999</v>
      </c>
      <c r="AB110" s="905">
        <v>2.0937999999999999</v>
      </c>
      <c r="AC110" s="905">
        <v>2.0937999999999999</v>
      </c>
      <c r="AD110" s="905">
        <v>2.0937999999999999</v>
      </c>
      <c r="AE110" s="905">
        <v>2.0937999999999999</v>
      </c>
      <c r="AF110" s="905">
        <v>2.4E-2</v>
      </c>
      <c r="AG110" s="905">
        <v>2.4E-2</v>
      </c>
      <c r="AH110" s="905">
        <v>2.4E-2</v>
      </c>
      <c r="AI110" s="905">
        <v>2.4E-2</v>
      </c>
      <c r="AJ110" s="905">
        <v>2.4E-2</v>
      </c>
      <c r="AK110" s="905">
        <v>0.1694</v>
      </c>
      <c r="AL110" s="905">
        <v>8.0999999999999996E-3</v>
      </c>
      <c r="AM110" s="905">
        <v>0.17</v>
      </c>
      <c r="AN110" s="905">
        <v>4.0500000000000001E-2</v>
      </c>
      <c r="AO110" s="905">
        <v>3.5900000000000001E-2</v>
      </c>
      <c r="AP110" s="905">
        <v>8.0000000000000004E-4</v>
      </c>
      <c r="AQ110" s="905">
        <v>0.4551</v>
      </c>
      <c r="AR110" s="905">
        <v>6.1400000000000003E-2</v>
      </c>
      <c r="AS110" s="905">
        <v>2.8400000000000002E-2</v>
      </c>
      <c r="AT110" s="905">
        <v>2.0937999999999999</v>
      </c>
      <c r="AU110" s="905">
        <v>2.0937999999999999</v>
      </c>
      <c r="AV110" s="905">
        <v>2.0937999999999999</v>
      </c>
      <c r="AW110" s="905">
        <v>2.0937999999999999</v>
      </c>
      <c r="AX110" s="905">
        <v>2.0937999999999999</v>
      </c>
      <c r="AY110" s="905">
        <v>2.4E-2</v>
      </c>
      <c r="AZ110" s="905">
        <v>2.4E-2</v>
      </c>
      <c r="BA110" s="905">
        <v>2.4E-2</v>
      </c>
      <c r="BB110" s="905">
        <v>2.4E-2</v>
      </c>
      <c r="BC110" s="905">
        <v>2.4E-2</v>
      </c>
      <c r="BD110" s="904">
        <v>0.16208939999999999</v>
      </c>
      <c r="BE110" s="905">
        <v>1.0523400000000002E-2</v>
      </c>
      <c r="BF110" s="905">
        <v>6.1069999999999999E-2</v>
      </c>
      <c r="BG110" s="906">
        <v>2.0731019999999996</v>
      </c>
      <c r="BH110" s="905">
        <v>0.16208939999999999</v>
      </c>
      <c r="BI110" s="905">
        <v>1.0523400000000002E-2</v>
      </c>
      <c r="BJ110" s="905">
        <v>6.1069999999999999E-2</v>
      </c>
      <c r="BK110" s="905">
        <v>2.0731019999999996</v>
      </c>
      <c r="BL110" s="904">
        <v>9.9393636451054007E-2</v>
      </c>
      <c r="BM110" s="906">
        <v>3.6989521597692622E-2</v>
      </c>
      <c r="BN110" s="905">
        <v>9.9393636451054007E-2</v>
      </c>
      <c r="BO110" s="906">
        <v>3.6989521597692622E-2</v>
      </c>
      <c r="BP110" s="904">
        <v>2.6865355254925619E-2</v>
      </c>
      <c r="BQ110" s="906">
        <v>8.6129622649006692E-3</v>
      </c>
      <c r="BR110" s="905">
        <v>2.6865355254925619E-2</v>
      </c>
      <c r="BS110" s="906">
        <v>8.6129622649006692E-3</v>
      </c>
    </row>
    <row r="111" spans="1:79" x14ac:dyDescent="0.45">
      <c r="A111" s="744" t="s">
        <v>2586</v>
      </c>
      <c r="B111" s="905">
        <v>0.13662388132400904</v>
      </c>
      <c r="C111" s="905">
        <v>6.630510861322908E-3</v>
      </c>
      <c r="D111" s="905">
        <v>0.19669916052311354</v>
      </c>
      <c r="E111" s="1045">
        <v>0.50445501345619315</v>
      </c>
      <c r="F111" s="1045">
        <v>0.50445501345619315</v>
      </c>
      <c r="G111" s="1045">
        <v>0.50445501345619315</v>
      </c>
      <c r="H111" s="1045">
        <v>0.50445501345619315</v>
      </c>
      <c r="I111" s="1045">
        <v>0.50445501345619315</v>
      </c>
      <c r="J111" s="904">
        <v>0.13662388132400904</v>
      </c>
      <c r="K111" s="905">
        <v>6.630510861322908E-3</v>
      </c>
      <c r="L111" s="905">
        <v>0.19669916052311354</v>
      </c>
      <c r="M111" s="1045">
        <v>0.50445501345619315</v>
      </c>
      <c r="N111" s="1045">
        <v>0.50445501345619315</v>
      </c>
      <c r="O111" s="1045">
        <v>0.50445501345619315</v>
      </c>
      <c r="P111" s="1045">
        <v>0.50445501345619315</v>
      </c>
      <c r="Q111" s="1046">
        <v>0.50445501345619315</v>
      </c>
      <c r="R111" s="905">
        <v>0.13150000000000001</v>
      </c>
      <c r="S111" s="905">
        <v>1.24E-2</v>
      </c>
      <c r="T111" s="905">
        <v>7.0099999999999996E-2</v>
      </c>
      <c r="U111" s="905">
        <v>4.0500000000000001E-2</v>
      </c>
      <c r="V111" s="905">
        <v>3.5900000000000001E-2</v>
      </c>
      <c r="W111" s="905">
        <v>8.0000000000000004E-4</v>
      </c>
      <c r="X111" s="905">
        <v>0.4551</v>
      </c>
      <c r="Y111" s="905">
        <v>4.3200000000000002E-2</v>
      </c>
      <c r="Z111" s="905">
        <v>8.2699999999999996E-3</v>
      </c>
      <c r="AA111" s="905">
        <v>0.61029999999999995</v>
      </c>
      <c r="AB111" s="905">
        <v>0.61029999999999995</v>
      </c>
      <c r="AC111" s="905">
        <v>0.61029999999999995</v>
      </c>
      <c r="AD111" s="905">
        <v>0.61029999999999995</v>
      </c>
      <c r="AE111" s="905">
        <v>0.61029999999999995</v>
      </c>
      <c r="AF111" s="905">
        <v>1.2E-2</v>
      </c>
      <c r="AG111" s="905">
        <v>1.2E-2</v>
      </c>
      <c r="AH111" s="905">
        <v>1.2E-2</v>
      </c>
      <c r="AI111" s="905">
        <v>1.2E-2</v>
      </c>
      <c r="AJ111" s="905">
        <v>1.2E-2</v>
      </c>
      <c r="AK111" s="905">
        <v>0.13150000000000001</v>
      </c>
      <c r="AL111" s="905">
        <v>1.24E-2</v>
      </c>
      <c r="AM111" s="905">
        <v>7.0099999999999996E-2</v>
      </c>
      <c r="AN111" s="905">
        <v>4.0500000000000001E-2</v>
      </c>
      <c r="AO111" s="905">
        <v>3.5900000000000001E-2</v>
      </c>
      <c r="AP111" s="905">
        <v>8.0000000000000004E-4</v>
      </c>
      <c r="AQ111" s="905">
        <v>0.4551</v>
      </c>
      <c r="AR111" s="905">
        <v>4.3200000000000002E-2</v>
      </c>
      <c r="AS111" s="905">
        <v>8.2699999999999996E-3</v>
      </c>
      <c r="AT111" s="905">
        <v>0.61029999999999995</v>
      </c>
      <c r="AU111" s="905">
        <v>0.61029999999999995</v>
      </c>
      <c r="AV111" s="905">
        <v>0.61029999999999995</v>
      </c>
      <c r="AW111" s="905">
        <v>0.61029999999999995</v>
      </c>
      <c r="AX111" s="905">
        <v>0.61029999999999995</v>
      </c>
      <c r="AY111" s="905">
        <v>1.2E-2</v>
      </c>
      <c r="AZ111" s="905">
        <v>1.2E-2</v>
      </c>
      <c r="BA111" s="905">
        <v>1.2E-2</v>
      </c>
      <c r="BB111" s="905">
        <v>1.2E-2</v>
      </c>
      <c r="BC111" s="905">
        <v>1.2E-2</v>
      </c>
      <c r="BD111" s="904">
        <v>0.11484660000000001</v>
      </c>
      <c r="BE111" s="905">
        <v>1.0523400000000002E-2</v>
      </c>
      <c r="BF111" s="905">
        <v>4.2850699999999999E-2</v>
      </c>
      <c r="BG111" s="906">
        <v>0.60431699999999999</v>
      </c>
      <c r="BH111" s="905">
        <v>0.11484660000000001</v>
      </c>
      <c r="BI111" s="905">
        <v>1.0523400000000002E-2</v>
      </c>
      <c r="BJ111" s="905">
        <v>4.2850699999999999E-2</v>
      </c>
      <c r="BK111" s="905">
        <v>0.60431699999999999</v>
      </c>
      <c r="BL111" s="904">
        <v>6.763336714534561E-2</v>
      </c>
      <c r="BM111" s="906">
        <v>2.5065919954350573E-2</v>
      </c>
      <c r="BN111" s="905">
        <v>6.763336714534561E-2</v>
      </c>
      <c r="BO111" s="906">
        <v>2.5065919954350573E-2</v>
      </c>
      <c r="BP111" s="904">
        <v>1.854934589295976E-2</v>
      </c>
      <c r="BQ111" s="906">
        <v>6.3198864761862131E-3</v>
      </c>
      <c r="BR111" s="905">
        <v>1.854934589295976E-2</v>
      </c>
      <c r="BS111" s="906">
        <v>6.3198864761862131E-3</v>
      </c>
    </row>
    <row r="112" spans="1:79" x14ac:dyDescent="0.45">
      <c r="A112" s="744" t="s">
        <v>2587</v>
      </c>
      <c r="B112" s="905">
        <v>6.1933125432676341</v>
      </c>
      <c r="C112" s="905">
        <v>1.8287494720546998E-3</v>
      </c>
      <c r="D112" s="905">
        <v>3.0537708355585016</v>
      </c>
      <c r="E112" s="1045">
        <v>0.90977388910144763</v>
      </c>
      <c r="F112" s="1045">
        <v>0.35173278414478965</v>
      </c>
      <c r="G112" s="1045">
        <v>2.1329780129115359</v>
      </c>
      <c r="H112" s="1045">
        <v>1.4607617047692232</v>
      </c>
      <c r="I112" s="1045">
        <v>0.64812904374369307</v>
      </c>
      <c r="J112" s="904">
        <v>6.1933125432676341</v>
      </c>
      <c r="K112" s="905">
        <v>1.8287494720546998E-3</v>
      </c>
      <c r="L112" s="905">
        <v>3.0537708355585016</v>
      </c>
      <c r="M112" s="1045">
        <v>0.90977388910144763</v>
      </c>
      <c r="N112" s="1045">
        <v>0.35173278414478965</v>
      </c>
      <c r="O112" s="1045">
        <v>2.1329780129115359</v>
      </c>
      <c r="P112" s="1045">
        <v>1.4607617047692232</v>
      </c>
      <c r="Q112" s="1046">
        <v>0.64812904374369307</v>
      </c>
      <c r="R112" s="905">
        <v>3.6036999999999999</v>
      </c>
      <c r="S112" s="905">
        <v>0.1086</v>
      </c>
      <c r="T112" s="905">
        <v>0.43359999999999999</v>
      </c>
      <c r="U112" s="905">
        <v>0.1658</v>
      </c>
      <c r="V112" s="905">
        <v>1.6E-2</v>
      </c>
      <c r="W112" s="905">
        <v>3.8E-3</v>
      </c>
      <c r="X112" s="905">
        <v>5.8999999999999999E-3</v>
      </c>
      <c r="Y112" s="905">
        <v>2.3641000000000001</v>
      </c>
      <c r="Z112" s="905">
        <v>4.9100000000000003E-3</v>
      </c>
      <c r="AA112" s="905">
        <v>0.91388637780155446</v>
      </c>
      <c r="AB112" s="905">
        <v>0.35332273645885448</v>
      </c>
      <c r="AC112" s="905">
        <v>2.142619802020628</v>
      </c>
      <c r="AD112" s="905">
        <v>1.4673648465788278</v>
      </c>
      <c r="AE112" s="905">
        <v>0.65105880838140939</v>
      </c>
      <c r="AF112" s="905">
        <v>0.50263750779085492</v>
      </c>
      <c r="AG112" s="905">
        <v>0.19432750505236995</v>
      </c>
      <c r="AH112" s="905">
        <v>1.1784408911113453</v>
      </c>
      <c r="AI112" s="905">
        <v>0.80705066561835526</v>
      </c>
      <c r="AJ112" s="905">
        <v>0.35808234460977512</v>
      </c>
      <c r="AK112" s="905">
        <v>3.6036999999999999</v>
      </c>
      <c r="AL112" s="905">
        <v>0.1086</v>
      </c>
      <c r="AM112" s="905">
        <v>0.43359999999999999</v>
      </c>
      <c r="AN112" s="905">
        <v>0.1658</v>
      </c>
      <c r="AO112" s="905">
        <v>1.6E-2</v>
      </c>
      <c r="AP112" s="905">
        <v>3.8E-3</v>
      </c>
      <c r="AQ112" s="905">
        <v>5.8999999999999999E-3</v>
      </c>
      <c r="AR112" s="905">
        <v>2.3641000000000001</v>
      </c>
      <c r="AS112" s="905">
        <v>4.9100000000000003E-3</v>
      </c>
      <c r="AT112" s="905">
        <v>0.91388637780155446</v>
      </c>
      <c r="AU112" s="905">
        <v>0.35332273645885448</v>
      </c>
      <c r="AV112" s="905">
        <v>2.142619802020628</v>
      </c>
      <c r="AW112" s="905">
        <v>1.4673648465788278</v>
      </c>
      <c r="AX112" s="905">
        <v>0.65105880838140939</v>
      </c>
      <c r="AY112" s="905">
        <v>0.50263750779085492</v>
      </c>
      <c r="AZ112" s="905">
        <v>0.19432750505236995</v>
      </c>
      <c r="BA112" s="905">
        <v>1.1784408911113453</v>
      </c>
      <c r="BB112" s="905">
        <v>0.80705066561835526</v>
      </c>
      <c r="BC112" s="905">
        <v>0.35808234460977512</v>
      </c>
      <c r="BD112" s="904">
        <v>2.8659672</v>
      </c>
      <c r="BE112" s="905">
        <v>1.8819099999999998E-2</v>
      </c>
      <c r="BF112" s="905">
        <v>2.3405081000000001</v>
      </c>
      <c r="BG112" s="906">
        <v>0.64812904374369307</v>
      </c>
      <c r="BH112" s="905">
        <v>2.8659672</v>
      </c>
      <c r="BI112" s="905">
        <v>1.8819099999999998E-2</v>
      </c>
      <c r="BJ112" s="905">
        <v>2.3405081000000001</v>
      </c>
      <c r="BK112" s="905">
        <v>0.64812904374369307</v>
      </c>
      <c r="BL112" s="904">
        <v>1.0281430429770306</v>
      </c>
      <c r="BM112" s="906">
        <v>0.37977948049715354</v>
      </c>
      <c r="BN112" s="905">
        <v>1.0281430429770306</v>
      </c>
      <c r="BO112" s="906">
        <v>0.37977948049715354</v>
      </c>
      <c r="BP112" s="904">
        <v>0.78476458082481215</v>
      </c>
      <c r="BQ112" s="906">
        <v>0.29261466407633213</v>
      </c>
      <c r="BR112" s="905">
        <v>0.78476458082481215</v>
      </c>
      <c r="BS112" s="906">
        <v>0.29261466407633213</v>
      </c>
    </row>
    <row r="113" spans="1:79" x14ac:dyDescent="0.45">
      <c r="A113" s="744" t="s">
        <v>2588</v>
      </c>
      <c r="B113" s="905">
        <v>2.5861757333301781E-2</v>
      </c>
      <c r="C113" s="905">
        <v>7.2465878528970478E-4</v>
      </c>
      <c r="D113" s="905">
        <v>8.4580639024938817E-3</v>
      </c>
      <c r="E113" s="1045">
        <v>6.9614791856954655E-2</v>
      </c>
      <c r="F113" s="1045">
        <v>6.9614791856954655E-2</v>
      </c>
      <c r="G113" s="1045">
        <v>6.9614791856954655E-2</v>
      </c>
      <c r="H113" s="1045">
        <v>6.9614791856954655E-2</v>
      </c>
      <c r="I113" s="1045">
        <v>6.9614791856954655E-2</v>
      </c>
      <c r="J113" s="904">
        <v>2.5861757333301781E-2</v>
      </c>
      <c r="K113" s="905">
        <v>7.2465878528970478E-4</v>
      </c>
      <c r="L113" s="905">
        <v>8.4580639024938817E-3</v>
      </c>
      <c r="M113" s="1045">
        <v>6.9614791856954655E-2</v>
      </c>
      <c r="N113" s="1045">
        <v>6.9614791856954655E-2</v>
      </c>
      <c r="O113" s="1045">
        <v>6.9614791856954655E-2</v>
      </c>
      <c r="P113" s="1045">
        <v>6.9614791856954655E-2</v>
      </c>
      <c r="Q113" s="1046">
        <v>6.9614791856954655E-2</v>
      </c>
      <c r="R113" s="905">
        <v>8.3371000000000001E-3</v>
      </c>
      <c r="S113" s="905">
        <v>1.8599999999999999E-3</v>
      </c>
      <c r="T113" s="905">
        <v>4.2059999999999997E-3</v>
      </c>
      <c r="U113" s="905">
        <v>6.6825000000000001E-3</v>
      </c>
      <c r="V113" s="905">
        <v>1.0410999999999999E-3</v>
      </c>
      <c r="W113" s="905">
        <v>2.3200000000000001E-5</v>
      </c>
      <c r="X113" s="905">
        <v>9.1020000000000004E-2</v>
      </c>
      <c r="Y113" s="905">
        <v>1.8576E-3</v>
      </c>
      <c r="Z113" s="905">
        <v>3.5560999999999996E-4</v>
      </c>
      <c r="AA113" s="905">
        <v>8.4221400000000002E-2</v>
      </c>
      <c r="AB113" s="905">
        <v>8.4221400000000002E-2</v>
      </c>
      <c r="AC113" s="905">
        <v>8.4221400000000002E-2</v>
      </c>
      <c r="AD113" s="905">
        <v>8.4221400000000002E-2</v>
      </c>
      <c r="AE113" s="905">
        <v>8.4221400000000002E-2</v>
      </c>
      <c r="AF113" s="905">
        <v>1.6560000000000004E-3</v>
      </c>
      <c r="AG113" s="905">
        <v>1.6560000000000004E-3</v>
      </c>
      <c r="AH113" s="905">
        <v>1.6560000000000004E-3</v>
      </c>
      <c r="AI113" s="905">
        <v>1.6560000000000004E-3</v>
      </c>
      <c r="AJ113" s="905">
        <v>1.6560000000000004E-3</v>
      </c>
      <c r="AK113" s="905">
        <v>8.3371000000000001E-3</v>
      </c>
      <c r="AL113" s="905">
        <v>1.8599999999999999E-3</v>
      </c>
      <c r="AM113" s="905">
        <v>4.2059999999999997E-3</v>
      </c>
      <c r="AN113" s="905">
        <v>6.6825000000000001E-3</v>
      </c>
      <c r="AO113" s="905">
        <v>1.0410999999999999E-3</v>
      </c>
      <c r="AP113" s="905">
        <v>2.3200000000000001E-5</v>
      </c>
      <c r="AQ113" s="905">
        <v>9.1020000000000004E-2</v>
      </c>
      <c r="AR113" s="905">
        <v>1.8576E-3</v>
      </c>
      <c r="AS113" s="905">
        <v>3.5560999999999996E-4</v>
      </c>
      <c r="AT113" s="905">
        <v>8.4221400000000002E-2</v>
      </c>
      <c r="AU113" s="905">
        <v>8.4221400000000002E-2</v>
      </c>
      <c r="AV113" s="905">
        <v>8.4221400000000002E-2</v>
      </c>
      <c r="AW113" s="905">
        <v>8.4221400000000002E-2</v>
      </c>
      <c r="AX113" s="905">
        <v>8.4221400000000002E-2</v>
      </c>
      <c r="AY113" s="905">
        <v>1.6560000000000004E-3</v>
      </c>
      <c r="AZ113" s="905">
        <v>1.6560000000000004E-3</v>
      </c>
      <c r="BA113" s="905">
        <v>1.6560000000000004E-3</v>
      </c>
      <c r="BB113" s="905">
        <v>1.6560000000000004E-3</v>
      </c>
      <c r="BC113" s="905">
        <v>1.6560000000000004E-3</v>
      </c>
      <c r="BD113" s="904">
        <v>7.2872932000000003E-3</v>
      </c>
      <c r="BE113" s="905">
        <v>1.4902815000000006E-3</v>
      </c>
      <c r="BF113" s="905">
        <v>1.8425801000000002E-3</v>
      </c>
      <c r="BG113" s="906">
        <v>8.3395746000000007E-2</v>
      </c>
      <c r="BH113" s="905">
        <v>7.2872932000000003E-3</v>
      </c>
      <c r="BI113" s="905">
        <v>1.4902815000000006E-3</v>
      </c>
      <c r="BJ113" s="905">
        <v>1.8425801000000002E-3</v>
      </c>
      <c r="BK113" s="905">
        <v>8.3395746000000007E-2</v>
      </c>
      <c r="BL113" s="904">
        <v>3.2008866974356613E-3</v>
      </c>
      <c r="BM113" s="906">
        <v>1.120621015870232E-3</v>
      </c>
      <c r="BN113" s="905">
        <v>3.2008866974356613E-3</v>
      </c>
      <c r="BO113" s="906">
        <v>1.120621015870232E-3</v>
      </c>
      <c r="BP113" s="904">
        <v>1.2011589110033376E-3</v>
      </c>
      <c r="BQ113" s="906">
        <v>3.696562546620376E-4</v>
      </c>
      <c r="BR113" s="905">
        <v>1.2011589110033376E-3</v>
      </c>
      <c r="BS113" s="906">
        <v>3.696562546620376E-4</v>
      </c>
    </row>
    <row r="114" spans="1:79" x14ac:dyDescent="0.45">
      <c r="A114" s="744" t="s">
        <v>2589</v>
      </c>
      <c r="B114" s="905">
        <v>1.1697739662494388E-2</v>
      </c>
      <c r="C114" s="905">
        <v>3.5644469410972424E-3</v>
      </c>
      <c r="D114" s="905">
        <v>1.5932632002372195E-2</v>
      </c>
      <c r="E114" s="1045">
        <v>0.16445233438671894</v>
      </c>
      <c r="F114" s="1045">
        <v>0.16445233438671894</v>
      </c>
      <c r="G114" s="1045">
        <v>0.16445233438671894</v>
      </c>
      <c r="H114" s="1045">
        <v>0.16445233438671894</v>
      </c>
      <c r="I114" s="1045">
        <v>0.16445233438671894</v>
      </c>
      <c r="J114" s="904">
        <v>1.1697739662494388E-2</v>
      </c>
      <c r="K114" s="905">
        <v>3.5644469410972424E-3</v>
      </c>
      <c r="L114" s="905">
        <v>1.5932632002372195E-2</v>
      </c>
      <c r="M114" s="1045">
        <v>0.16445233438671894</v>
      </c>
      <c r="N114" s="1045">
        <v>0.16445233438671894</v>
      </c>
      <c r="O114" s="1045">
        <v>0.16445233438671894</v>
      </c>
      <c r="P114" s="1045">
        <v>0.16445233438671894</v>
      </c>
      <c r="Q114" s="1046">
        <v>0.16445233438671894</v>
      </c>
      <c r="R114" s="905">
        <v>5.7860000000000012E-3</v>
      </c>
      <c r="S114" s="905">
        <v>4.836E-3</v>
      </c>
      <c r="T114" s="905">
        <v>2.8039999999999996E-3</v>
      </c>
      <c r="U114" s="905">
        <v>1.7333999999999999E-2</v>
      </c>
      <c r="V114" s="905">
        <v>2.4412000000000003E-2</v>
      </c>
      <c r="W114" s="905">
        <v>5.44E-4</v>
      </c>
      <c r="X114" s="905">
        <v>0.19478279999999998</v>
      </c>
      <c r="Y114" s="905">
        <v>3.4992000000000001E-3</v>
      </c>
      <c r="Z114" s="905">
        <v>6.6986999999999993E-4</v>
      </c>
      <c r="AA114" s="905">
        <v>0.19895779999999999</v>
      </c>
      <c r="AB114" s="905">
        <v>0.19895779999999999</v>
      </c>
      <c r="AC114" s="905">
        <v>0.19895779999999999</v>
      </c>
      <c r="AD114" s="905">
        <v>0.19895779999999999</v>
      </c>
      <c r="AE114" s="905">
        <v>0.19895779999999999</v>
      </c>
      <c r="AF114" s="905">
        <v>3.9120000000000005E-3</v>
      </c>
      <c r="AG114" s="905">
        <v>3.9120000000000005E-3</v>
      </c>
      <c r="AH114" s="905">
        <v>3.9120000000000005E-3</v>
      </c>
      <c r="AI114" s="905">
        <v>3.9120000000000005E-3</v>
      </c>
      <c r="AJ114" s="905">
        <v>3.9120000000000005E-3</v>
      </c>
      <c r="AK114" s="905">
        <v>5.7860000000000012E-3</v>
      </c>
      <c r="AL114" s="905">
        <v>4.836E-3</v>
      </c>
      <c r="AM114" s="905">
        <v>2.8039999999999996E-3</v>
      </c>
      <c r="AN114" s="905">
        <v>1.7333999999999999E-2</v>
      </c>
      <c r="AO114" s="905">
        <v>2.4412000000000003E-2</v>
      </c>
      <c r="AP114" s="905">
        <v>5.44E-4</v>
      </c>
      <c r="AQ114" s="905">
        <v>0.19478279999999998</v>
      </c>
      <c r="AR114" s="905">
        <v>3.4992000000000001E-3</v>
      </c>
      <c r="AS114" s="905">
        <v>6.6986999999999993E-4</v>
      </c>
      <c r="AT114" s="905">
        <v>0.19895779999999999</v>
      </c>
      <c r="AU114" s="905">
        <v>0.19895779999999999</v>
      </c>
      <c r="AV114" s="905">
        <v>0.19895779999999999</v>
      </c>
      <c r="AW114" s="905">
        <v>0.19895779999999999</v>
      </c>
      <c r="AX114" s="905">
        <v>0.19895779999999999</v>
      </c>
      <c r="AY114" s="905">
        <v>3.9120000000000005E-3</v>
      </c>
      <c r="AZ114" s="905">
        <v>3.9120000000000005E-3</v>
      </c>
      <c r="BA114" s="905">
        <v>3.9120000000000005E-3</v>
      </c>
      <c r="BB114" s="905">
        <v>3.9120000000000005E-3</v>
      </c>
      <c r="BC114" s="905">
        <v>3.9120000000000005E-3</v>
      </c>
      <c r="BD114" s="904">
        <v>5.1995760000000009E-3</v>
      </c>
      <c r="BE114" s="905">
        <v>5.225617200000001E-3</v>
      </c>
      <c r="BF114" s="905">
        <v>3.4709067E-3</v>
      </c>
      <c r="BG114" s="906">
        <v>0.197007342</v>
      </c>
      <c r="BH114" s="905">
        <v>5.1995760000000009E-3</v>
      </c>
      <c r="BI114" s="905">
        <v>5.225617200000001E-3</v>
      </c>
      <c r="BJ114" s="905">
        <v>3.4709067E-3</v>
      </c>
      <c r="BK114" s="905">
        <v>0.197007342</v>
      </c>
      <c r="BL114" s="904">
        <v>6.5628585407458244E-3</v>
      </c>
      <c r="BM114" s="906">
        <v>2.3148161155450773E-3</v>
      </c>
      <c r="BN114" s="905">
        <v>6.5628585407458244E-3</v>
      </c>
      <c r="BO114" s="906">
        <v>2.3148161155450773E-3</v>
      </c>
      <c r="BP114" s="904">
        <v>3.0016762844671261E-3</v>
      </c>
      <c r="BQ114" s="906">
        <v>9.2204527149196045E-4</v>
      </c>
      <c r="BR114" s="905">
        <v>3.0016762844671261E-3</v>
      </c>
      <c r="BS114" s="906">
        <v>9.2204527149196045E-4</v>
      </c>
    </row>
    <row r="115" spans="1:79" x14ac:dyDescent="0.45">
      <c r="A115" s="744" t="s">
        <v>1957</v>
      </c>
      <c r="B115" s="905">
        <v>3.1560419909652498E-2</v>
      </c>
      <c r="C115" s="905">
        <v>4.2985993625627286E-2</v>
      </c>
      <c r="D115" s="905">
        <v>1.0019491458128095E-2</v>
      </c>
      <c r="E115" s="1045">
        <v>0.15180055161056774</v>
      </c>
      <c r="F115" s="1045">
        <v>0.15180055161056774</v>
      </c>
      <c r="G115" s="1045">
        <v>0.15180055161056774</v>
      </c>
      <c r="H115" s="1045">
        <v>0.15180055161056774</v>
      </c>
      <c r="I115" s="1045">
        <v>0.15180055161056774</v>
      </c>
      <c r="J115" s="904">
        <v>3.1560419909652498E-2</v>
      </c>
      <c r="K115" s="905">
        <v>4.2985993625627286E-2</v>
      </c>
      <c r="L115" s="905">
        <v>1.0019491458128095E-2</v>
      </c>
      <c r="M115" s="1045">
        <v>0.15180055161056774</v>
      </c>
      <c r="N115" s="1045">
        <v>0.15180055161056774</v>
      </c>
      <c r="O115" s="1045">
        <v>0.15180055161056774</v>
      </c>
      <c r="P115" s="1045">
        <v>0.15180055161056774</v>
      </c>
      <c r="Q115" s="1046">
        <v>0.15180055161056774</v>
      </c>
      <c r="R115" s="905">
        <v>3.1E-2</v>
      </c>
      <c r="S115" s="905">
        <v>2.8400000000000002E-2</v>
      </c>
      <c r="T115" s="905">
        <v>3.2199999999999999E-2</v>
      </c>
      <c r="U115" s="905">
        <v>1.0500000000000001E-2</v>
      </c>
      <c r="V115" s="905">
        <v>1.06E-2</v>
      </c>
      <c r="W115" s="905">
        <v>7.1000000000000004E-3</v>
      </c>
      <c r="X115" s="905">
        <v>1.06E-2</v>
      </c>
      <c r="Y115" s="905">
        <v>0.01</v>
      </c>
      <c r="Z115" s="905">
        <v>8.9999999999999993E-3</v>
      </c>
      <c r="AA115" s="905">
        <v>0.49049999999999999</v>
      </c>
      <c r="AB115" s="905">
        <v>0.49049999999999999</v>
      </c>
      <c r="AC115" s="905">
        <v>0.49049999999999999</v>
      </c>
      <c r="AD115" s="905">
        <v>0.49049999999999999</v>
      </c>
      <c r="AE115" s="905">
        <v>0.49049999999999999</v>
      </c>
      <c r="AF115" s="905">
        <v>3.04236075265867E-2</v>
      </c>
      <c r="AG115" s="905">
        <v>3.04236075265867E-2</v>
      </c>
      <c r="AH115" s="905">
        <v>3.04236075265867E-2</v>
      </c>
      <c r="AI115" s="905">
        <v>3.04236075265867E-2</v>
      </c>
      <c r="AJ115" s="905">
        <v>3.04236075265867E-2</v>
      </c>
      <c r="AK115" s="905">
        <v>3.1E-2</v>
      </c>
      <c r="AL115" s="905">
        <v>2.8400000000000002E-2</v>
      </c>
      <c r="AM115" s="905">
        <v>3.2199999999999999E-2</v>
      </c>
      <c r="AN115" s="905">
        <v>1.0500000000000001E-2</v>
      </c>
      <c r="AO115" s="905">
        <v>1.06E-2</v>
      </c>
      <c r="AP115" s="905">
        <v>7.1000000000000004E-3</v>
      </c>
      <c r="AQ115" s="905">
        <v>1.06E-2</v>
      </c>
      <c r="AR115" s="905">
        <v>0.01</v>
      </c>
      <c r="AS115" s="905">
        <v>8.9999999999999993E-3</v>
      </c>
      <c r="AT115" s="905">
        <v>0.49049999999999999</v>
      </c>
      <c r="AU115" s="905">
        <v>0.49049999999999999</v>
      </c>
      <c r="AV115" s="905">
        <v>0.49049999999999999</v>
      </c>
      <c r="AW115" s="905">
        <v>0.49049999999999999</v>
      </c>
      <c r="AX115" s="905">
        <v>0.49049999999999999</v>
      </c>
      <c r="AY115" s="905">
        <v>3.04236075265867E-2</v>
      </c>
      <c r="AZ115" s="905">
        <v>3.04236075265867E-2</v>
      </c>
      <c r="BA115" s="905">
        <v>3.04236075265867E-2</v>
      </c>
      <c r="BB115" s="905">
        <v>3.04236075265867E-2</v>
      </c>
      <c r="BC115" s="905">
        <v>3.04236075265867E-2</v>
      </c>
      <c r="BD115" s="904">
        <v>3.1098800000000003E-2</v>
      </c>
      <c r="BE115" s="905">
        <v>7.6442000000000003E-3</v>
      </c>
      <c r="BF115" s="905">
        <v>9.9900000000000006E-3</v>
      </c>
      <c r="BG115" s="906">
        <v>0.48589923607526586</v>
      </c>
      <c r="BH115" s="905">
        <v>3.1098800000000003E-2</v>
      </c>
      <c r="BI115" s="905">
        <v>7.6442000000000003E-3</v>
      </c>
      <c r="BJ115" s="905">
        <v>9.9900000000000006E-3</v>
      </c>
      <c r="BK115" s="905">
        <v>0.48589923607526586</v>
      </c>
      <c r="BL115" s="904">
        <v>1.6439121942930911E-2</v>
      </c>
      <c r="BM115" s="906"/>
      <c r="BN115" s="905">
        <v>1.6439121942930911E-2</v>
      </c>
      <c r="BO115" s="906"/>
      <c r="BP115" s="904">
        <v>6.3932540039246064E-3</v>
      </c>
      <c r="BQ115" s="906"/>
      <c r="BR115" s="905">
        <v>6.3932540039246064E-3</v>
      </c>
      <c r="BS115" s="906"/>
    </row>
    <row r="116" spans="1:79" x14ac:dyDescent="0.45">
      <c r="A116" s="744" t="s">
        <v>1956</v>
      </c>
      <c r="B116" s="905">
        <v>6.2197662385731498E-3</v>
      </c>
      <c r="C116" s="905">
        <v>1.3564425343132714E-3</v>
      </c>
      <c r="D116" s="905">
        <v>1.5020378742545679E-2</v>
      </c>
      <c r="E116" s="1045">
        <v>9.4709109475105038E-2</v>
      </c>
      <c r="F116" s="1045">
        <v>9.4709109475105038E-2</v>
      </c>
      <c r="G116" s="1045">
        <v>9.4709109475105038E-2</v>
      </c>
      <c r="H116" s="1045">
        <v>9.4709109475105038E-2</v>
      </c>
      <c r="I116" s="1045">
        <v>9.4709109475105038E-2</v>
      </c>
      <c r="J116" s="904">
        <v>6.2197662385731498E-3</v>
      </c>
      <c r="K116" s="905">
        <v>1.3564425343132714E-3</v>
      </c>
      <c r="L116" s="905">
        <v>1.5020378742545679E-2</v>
      </c>
      <c r="M116" s="1045">
        <v>9.4709109475105038E-2</v>
      </c>
      <c r="N116" s="1045">
        <v>9.4709109475105038E-2</v>
      </c>
      <c r="O116" s="1045">
        <v>9.4709109475105038E-2</v>
      </c>
      <c r="P116" s="1045">
        <v>9.4709109475105038E-2</v>
      </c>
      <c r="Q116" s="1046">
        <v>9.4709109475105038E-2</v>
      </c>
      <c r="R116" s="905">
        <v>6.1999999999999998E-3</v>
      </c>
      <c r="S116" s="905">
        <v>5.5999999999999999E-3</v>
      </c>
      <c r="T116" s="905">
        <v>6.4000000000000003E-3</v>
      </c>
      <c r="U116" s="905">
        <v>1E-3</v>
      </c>
      <c r="V116" s="905">
        <v>1E-3</v>
      </c>
      <c r="W116" s="905">
        <v>6.9999999999999999E-4</v>
      </c>
      <c r="X116" s="905">
        <v>1.1000000000000001E-3</v>
      </c>
      <c r="Y116" s="905">
        <v>1.4999999999999999E-2</v>
      </c>
      <c r="Z116" s="905">
        <v>1.35E-2</v>
      </c>
      <c r="AA116" s="905">
        <v>6.54E-2</v>
      </c>
      <c r="AB116" s="905">
        <v>6.54E-2</v>
      </c>
      <c r="AC116" s="905">
        <v>6.54E-2</v>
      </c>
      <c r="AD116" s="905">
        <v>6.54E-2</v>
      </c>
      <c r="AE116" s="905">
        <v>6.54E-2</v>
      </c>
      <c r="AF116" s="905">
        <v>8.7287343019349206E-2</v>
      </c>
      <c r="AG116" s="905">
        <v>8.7287343019349206E-2</v>
      </c>
      <c r="AH116" s="905">
        <v>8.7287343019349206E-2</v>
      </c>
      <c r="AI116" s="905">
        <v>8.7287343019349206E-2</v>
      </c>
      <c r="AJ116" s="905">
        <v>8.7287343019349206E-2</v>
      </c>
      <c r="AK116" s="905">
        <v>6.1999999999999998E-3</v>
      </c>
      <c r="AL116" s="905">
        <v>5.5999999999999999E-3</v>
      </c>
      <c r="AM116" s="905">
        <v>6.4000000000000003E-3</v>
      </c>
      <c r="AN116" s="905">
        <v>1E-3</v>
      </c>
      <c r="AO116" s="905">
        <v>1E-3</v>
      </c>
      <c r="AP116" s="905">
        <v>6.9999999999999999E-4</v>
      </c>
      <c r="AQ116" s="905">
        <v>1.1000000000000001E-3</v>
      </c>
      <c r="AR116" s="905">
        <v>1.4999999999999999E-2</v>
      </c>
      <c r="AS116" s="905">
        <v>1.35E-2</v>
      </c>
      <c r="AT116" s="905">
        <v>6.54E-2</v>
      </c>
      <c r="AU116" s="905">
        <v>6.54E-2</v>
      </c>
      <c r="AV116" s="905">
        <v>6.54E-2</v>
      </c>
      <c r="AW116" s="905">
        <v>6.54E-2</v>
      </c>
      <c r="AX116" s="905">
        <v>6.54E-2</v>
      </c>
      <c r="AY116" s="905">
        <v>8.7287343019349206E-2</v>
      </c>
      <c r="AZ116" s="905">
        <v>8.7287343019349206E-2</v>
      </c>
      <c r="BA116" s="905">
        <v>8.7287343019349206E-2</v>
      </c>
      <c r="BB116" s="905">
        <v>8.7287343019349206E-2</v>
      </c>
      <c r="BC116" s="905">
        <v>8.7287343019349206E-2</v>
      </c>
      <c r="BD116" s="904">
        <v>6.2088000000000004E-3</v>
      </c>
      <c r="BE116" s="905">
        <v>7.4829999999999992E-4</v>
      </c>
      <c r="BF116" s="905">
        <v>1.4984999999999998E-2</v>
      </c>
      <c r="BG116" s="906">
        <v>6.5618873430193486E-2</v>
      </c>
      <c r="BH116" s="905">
        <v>6.2088000000000004E-3</v>
      </c>
      <c r="BI116" s="905">
        <v>7.4829999999999992E-4</v>
      </c>
      <c r="BJ116" s="905">
        <v>1.4984999999999998E-2</v>
      </c>
      <c r="BK116" s="905">
        <v>6.5618873430193486E-2</v>
      </c>
      <c r="BL116" s="904">
        <v>5.4803612896159532E-3</v>
      </c>
      <c r="BM116" s="906"/>
      <c r="BN116" s="905">
        <v>5.4803612896159532E-3</v>
      </c>
      <c r="BO116" s="906"/>
      <c r="BP116" s="904">
        <v>5.2452411239428736E-3</v>
      </c>
      <c r="BQ116" s="906"/>
      <c r="BR116" s="905">
        <v>5.2452411239428736E-3</v>
      </c>
      <c r="BS116" s="906"/>
    </row>
    <row r="117" spans="1:79" x14ac:dyDescent="0.45">
      <c r="A117" s="744" t="s">
        <v>2755</v>
      </c>
      <c r="B117" s="7">
        <v>839.8323619935577</v>
      </c>
      <c r="C117" s="7">
        <v>404.10088887585351</v>
      </c>
      <c r="D117" s="7">
        <v>947.25142501834841</v>
      </c>
      <c r="E117" s="1047">
        <v>1616.9503507092265</v>
      </c>
      <c r="F117" s="1047">
        <v>1607.7302539220216</v>
      </c>
      <c r="G117" s="1047">
        <v>1649.0103660983675</v>
      </c>
      <c r="H117" s="1047">
        <v>1585.8450023561691</v>
      </c>
      <c r="I117" s="1047">
        <v>1486.6049423345141</v>
      </c>
      <c r="J117" s="879">
        <v>839.8323619935577</v>
      </c>
      <c r="K117" s="7">
        <v>404.10088887585351</v>
      </c>
      <c r="L117" s="7">
        <v>947.25142501834841</v>
      </c>
      <c r="M117" s="1047">
        <v>1616.9503507092265</v>
      </c>
      <c r="N117" s="1047">
        <v>1607.7302539220216</v>
      </c>
      <c r="O117" s="1047">
        <v>1649.0103660983675</v>
      </c>
      <c r="P117" s="1047">
        <v>1585.8450023561691</v>
      </c>
      <c r="Q117" s="1048">
        <v>1486.6049423345141</v>
      </c>
      <c r="R117" s="7">
        <v>829.05777141896203</v>
      </c>
      <c r="S117" s="7">
        <v>763.81067657009658</v>
      </c>
      <c r="T117" s="7">
        <v>907.09292042103743</v>
      </c>
      <c r="U117" s="7">
        <v>595.40515580122576</v>
      </c>
      <c r="V117" s="7">
        <v>595.53526222979724</v>
      </c>
      <c r="W117" s="7">
        <v>368.42341052993532</v>
      </c>
      <c r="X117" s="7">
        <v>587.09240603932108</v>
      </c>
      <c r="Y117" s="7">
        <v>948.09324163049109</v>
      </c>
      <c r="Z117" s="7">
        <v>875.24306562594779</v>
      </c>
      <c r="AA117" s="7">
        <v>1622.6914271990713</v>
      </c>
      <c r="AB117" s="7">
        <v>1613.4296524253846</v>
      </c>
      <c r="AC117" s="7">
        <v>1654.8963648074496</v>
      </c>
      <c r="AD117" s="7">
        <v>1591.4454720478332</v>
      </c>
      <c r="AE117" s="7">
        <v>1491.756813060736</v>
      </c>
      <c r="AF117" s="7">
        <v>897.12964006260052</v>
      </c>
      <c r="AG117" s="7">
        <v>892.03566393707285</v>
      </c>
      <c r="AH117" s="7">
        <v>914.84235574720867</v>
      </c>
      <c r="AI117" s="7">
        <v>879.94436472941959</v>
      </c>
      <c r="AJ117" s="7">
        <v>825.11560228651626</v>
      </c>
      <c r="AK117" s="7">
        <v>829.05777141896203</v>
      </c>
      <c r="AL117" s="7">
        <v>763.81067657009658</v>
      </c>
      <c r="AM117" s="7">
        <v>907.09292042103743</v>
      </c>
      <c r="AN117" s="7">
        <v>595.40515580122576</v>
      </c>
      <c r="AO117" s="7">
        <v>595.53526222979724</v>
      </c>
      <c r="AP117" s="7">
        <v>368.42341052993532</v>
      </c>
      <c r="AQ117" s="7">
        <v>587.09240603932108</v>
      </c>
      <c r="AR117" s="7">
        <v>948.09324163049109</v>
      </c>
      <c r="AS117" s="7">
        <v>875.24306562594779</v>
      </c>
      <c r="AT117" s="7">
        <v>1622.6914271990713</v>
      </c>
      <c r="AU117" s="7">
        <v>1613.4296524253846</v>
      </c>
      <c r="AV117" s="7">
        <v>1654.8963648074496</v>
      </c>
      <c r="AW117" s="7">
        <v>1591.4454720478332</v>
      </c>
      <c r="AX117" s="7">
        <v>1491.756813060736</v>
      </c>
      <c r="AY117" s="7">
        <v>897.12964006260052</v>
      </c>
      <c r="AZ117" s="7">
        <v>892.03566393707285</v>
      </c>
      <c r="BA117" s="7">
        <v>914.84235574720867</v>
      </c>
      <c r="BB117" s="7">
        <v>879.94436472941959</v>
      </c>
      <c r="BC117" s="7">
        <v>825.11560228651626</v>
      </c>
      <c r="BD117" s="879">
        <v>840.25880217429199</v>
      </c>
      <c r="BE117" s="7">
        <v>404.21964802708493</v>
      </c>
      <c r="BF117" s="7">
        <v>947.36473987044565</v>
      </c>
      <c r="BG117" s="877">
        <v>-9.117098644445063</v>
      </c>
      <c r="BH117" s="7">
        <v>840.25880217429199</v>
      </c>
      <c r="BI117" s="7">
        <v>404.21964802708493</v>
      </c>
      <c r="BJ117" s="7">
        <v>947.36473987044565</v>
      </c>
      <c r="BK117" s="7">
        <v>-9.117098644445063</v>
      </c>
      <c r="BL117" s="879">
        <v>434.18809717379889</v>
      </c>
      <c r="BM117" s="877"/>
      <c r="BN117" s="7">
        <v>434.18809717379889</v>
      </c>
      <c r="BO117" s="877"/>
      <c r="BP117" s="879">
        <v>434.26024210389102</v>
      </c>
      <c r="BQ117" s="877"/>
      <c r="BR117" s="7">
        <v>434.26024210389102</v>
      </c>
      <c r="BS117" s="877"/>
    </row>
    <row r="118" spans="1:79" x14ac:dyDescent="0.45">
      <c r="A118" s="737" t="s">
        <v>2590</v>
      </c>
      <c r="B118" s="738"/>
      <c r="C118" s="738"/>
      <c r="D118" s="738"/>
      <c r="E118" s="1049">
        <v>-1624.5529079721516</v>
      </c>
      <c r="F118" s="1049">
        <v>-1615.3328111849466</v>
      </c>
      <c r="G118" s="1049">
        <v>-1656.6129233612926</v>
      </c>
      <c r="H118" s="1049">
        <v>-1593.4475596190941</v>
      </c>
      <c r="I118" s="1049">
        <v>-1494.2074995974392</v>
      </c>
      <c r="J118" s="983"/>
      <c r="K118" s="738"/>
      <c r="L118" s="738"/>
      <c r="M118" s="1049">
        <v>-1624.5529079721516</v>
      </c>
      <c r="N118" s="1049">
        <v>-1615.3328111849466</v>
      </c>
      <c r="O118" s="1049">
        <v>-1656.6129233612926</v>
      </c>
      <c r="P118" s="1049">
        <v>-1593.4475596190941</v>
      </c>
      <c r="Q118" s="1050">
        <v>-1494.2074995974392</v>
      </c>
      <c r="R118" s="738"/>
      <c r="S118" s="738"/>
      <c r="T118" s="738"/>
      <c r="U118" s="738"/>
      <c r="V118" s="738"/>
      <c r="W118" s="738"/>
      <c r="X118" s="738"/>
      <c r="Y118" s="738"/>
      <c r="Z118" s="738"/>
      <c r="AA118" s="738">
        <v>-1631.8964419609761</v>
      </c>
      <c r="AB118" s="738">
        <v>-1622.6346671872893</v>
      </c>
      <c r="AC118" s="738">
        <v>-1664.1013795693543</v>
      </c>
      <c r="AD118" s="738">
        <v>-1600.6504868097379</v>
      </c>
      <c r="AE118" s="738">
        <v>-1500.9618278226408</v>
      </c>
      <c r="AF118" s="738">
        <v>-897.5430430785367</v>
      </c>
      <c r="AG118" s="738">
        <v>-892.44906695300904</v>
      </c>
      <c r="AH118" s="738">
        <v>-915.25575876314485</v>
      </c>
      <c r="AI118" s="738">
        <v>-880.35776774535577</v>
      </c>
      <c r="AJ118" s="738">
        <v>-825.52900530245245</v>
      </c>
      <c r="AK118" s="738"/>
      <c r="AL118" s="738"/>
      <c r="AM118" s="738"/>
      <c r="AN118" s="738"/>
      <c r="AO118" s="738"/>
      <c r="AP118" s="738"/>
      <c r="AQ118" s="738"/>
      <c r="AR118" s="738"/>
      <c r="AS118" s="738"/>
      <c r="AT118" s="738">
        <v>-1631.8964419609761</v>
      </c>
      <c r="AU118" s="738">
        <v>-1622.6346671872893</v>
      </c>
      <c r="AV118" s="738">
        <v>-1664.1013795693543</v>
      </c>
      <c r="AW118" s="738">
        <v>-1600.6504868097379</v>
      </c>
      <c r="AX118" s="738">
        <v>-1500.9618278226408</v>
      </c>
      <c r="AY118" s="738">
        <v>-897.5430430785367</v>
      </c>
      <c r="AZ118" s="738">
        <v>-892.44906695300904</v>
      </c>
      <c r="BA118" s="738">
        <v>-915.25575876314485</v>
      </c>
      <c r="BB118" s="738">
        <v>-880.35776774535577</v>
      </c>
      <c r="BC118" s="738">
        <v>-825.52900530245245</v>
      </c>
      <c r="BD118" s="983"/>
      <c r="BE118" s="738"/>
      <c r="BF118" s="738"/>
      <c r="BG118" s="739"/>
      <c r="BH118" s="738"/>
      <c r="BI118" s="738"/>
      <c r="BJ118" s="738"/>
      <c r="BK118" s="738"/>
      <c r="BL118" s="983"/>
      <c r="BM118" s="739"/>
      <c r="BN118" s="738"/>
      <c r="BO118" s="739"/>
      <c r="BP118" s="983"/>
      <c r="BQ118" s="739"/>
      <c r="BR118" s="738"/>
      <c r="BS118" s="739"/>
    </row>
    <row r="119" spans="1:79" x14ac:dyDescent="0.45">
      <c r="A119" s="726" t="s">
        <v>2756</v>
      </c>
      <c r="BG119" s="1031"/>
      <c r="BR119" s="1032"/>
      <c r="BS119" s="1032"/>
      <c r="BT119" s="1032"/>
      <c r="BU119" s="1032"/>
      <c r="BV119" s="1032"/>
      <c r="BW119" s="1032"/>
      <c r="BX119" s="1032"/>
      <c r="BY119" s="1032"/>
      <c r="BZ119" s="1032"/>
      <c r="CA119" s="1032"/>
    </row>
    <row r="120" spans="1:79" ht="38.25" customHeight="1" x14ac:dyDescent="0.45">
      <c r="A120" s="740"/>
      <c r="B120" s="2261" t="s">
        <v>2757</v>
      </c>
      <c r="C120" s="2263"/>
      <c r="D120" s="2261" t="s">
        <v>2758</v>
      </c>
      <c r="E120" s="2263"/>
      <c r="F120" s="2261" t="s">
        <v>2759</v>
      </c>
      <c r="G120" s="2263"/>
      <c r="H120" s="2261" t="s">
        <v>2760</v>
      </c>
      <c r="I120" s="2263"/>
      <c r="J120" s="2261" t="s">
        <v>2761</v>
      </c>
      <c r="K120" s="2263"/>
      <c r="L120" s="2261" t="s">
        <v>2762</v>
      </c>
      <c r="M120" s="2263"/>
      <c r="N120" s="2261" t="s">
        <v>2763</v>
      </c>
      <c r="O120" s="2263"/>
      <c r="P120" s="2261" t="s">
        <v>2764</v>
      </c>
      <c r="Q120" s="2263"/>
      <c r="R120" s="2261" t="s">
        <v>2765</v>
      </c>
      <c r="S120" s="2263"/>
      <c r="T120" s="2261" t="s">
        <v>2766</v>
      </c>
      <c r="U120" s="2263"/>
      <c r="V120" s="2261" t="s">
        <v>2767</v>
      </c>
      <c r="W120" s="2263"/>
      <c r="X120" s="2261" t="s">
        <v>2768</v>
      </c>
      <c r="Y120" s="2263"/>
      <c r="Z120" s="2261" t="s">
        <v>2769</v>
      </c>
      <c r="AA120" s="2263"/>
      <c r="AB120" s="2261" t="s">
        <v>2770</v>
      </c>
      <c r="AC120" s="2263"/>
      <c r="AD120" s="2261" t="s">
        <v>2771</v>
      </c>
      <c r="AE120" s="2263"/>
      <c r="AF120" s="2261" t="s">
        <v>2772</v>
      </c>
      <c r="AG120" s="2263"/>
      <c r="AH120" s="2261" t="s">
        <v>2773</v>
      </c>
      <c r="AI120" s="2263"/>
      <c r="AJ120" s="2261" t="s">
        <v>2774</v>
      </c>
      <c r="AK120" s="2263"/>
      <c r="AL120" s="2261" t="s">
        <v>2775</v>
      </c>
      <c r="AM120" s="2263"/>
      <c r="AN120" s="2261" t="s">
        <v>2776</v>
      </c>
      <c r="AO120" s="2263"/>
      <c r="AP120" s="2261" t="s">
        <v>2777</v>
      </c>
      <c r="AQ120" s="2263"/>
      <c r="AR120" s="2261" t="s">
        <v>2778</v>
      </c>
      <c r="AS120" s="2263"/>
      <c r="AT120" s="2261" t="s">
        <v>2779</v>
      </c>
      <c r="AU120" s="2263"/>
      <c r="AV120" s="2261" t="s">
        <v>2780</v>
      </c>
      <c r="AW120" s="2263"/>
      <c r="AX120" s="2261" t="s">
        <v>2781</v>
      </c>
      <c r="AY120" s="2263"/>
      <c r="AZ120" s="2261" t="s">
        <v>2782</v>
      </c>
      <c r="BA120" s="2263"/>
      <c r="BB120" s="2261" t="s">
        <v>2783</v>
      </c>
      <c r="BC120" s="2263"/>
      <c r="BD120" s="2261" t="s">
        <v>2784</v>
      </c>
      <c r="BE120" s="2263"/>
      <c r="BG120" s="1031"/>
      <c r="BR120" s="1032"/>
      <c r="BS120" s="1032"/>
      <c r="BT120" s="1032"/>
      <c r="BU120" s="1032"/>
      <c r="BV120" s="1032"/>
      <c r="BW120" s="1032"/>
      <c r="BX120" s="1032"/>
      <c r="BY120" s="1032"/>
      <c r="BZ120" s="1032"/>
      <c r="CA120" s="1032"/>
    </row>
    <row r="121" spans="1:79" x14ac:dyDescent="0.45">
      <c r="A121" s="737"/>
      <c r="B121" s="978" t="s">
        <v>127</v>
      </c>
      <c r="C121" s="918" t="s">
        <v>668</v>
      </c>
      <c r="D121" s="978" t="s">
        <v>127</v>
      </c>
      <c r="E121" s="918" t="s">
        <v>668</v>
      </c>
      <c r="F121" s="978" t="s">
        <v>127</v>
      </c>
      <c r="G121" s="918" t="s">
        <v>668</v>
      </c>
      <c r="H121" s="978" t="s">
        <v>127</v>
      </c>
      <c r="I121" s="918" t="s">
        <v>668</v>
      </c>
      <c r="J121" s="978" t="s">
        <v>127</v>
      </c>
      <c r="K121" s="918" t="s">
        <v>668</v>
      </c>
      <c r="L121" s="978" t="s">
        <v>127</v>
      </c>
      <c r="M121" s="918" t="s">
        <v>668</v>
      </c>
      <c r="N121" s="978" t="s">
        <v>127</v>
      </c>
      <c r="O121" s="918" t="s">
        <v>668</v>
      </c>
      <c r="P121" s="978" t="s">
        <v>127</v>
      </c>
      <c r="Q121" s="918" t="s">
        <v>668</v>
      </c>
      <c r="R121" s="978" t="s">
        <v>127</v>
      </c>
      <c r="S121" s="918" t="s">
        <v>668</v>
      </c>
      <c r="T121" s="978" t="s">
        <v>127</v>
      </c>
      <c r="U121" s="918" t="s">
        <v>668</v>
      </c>
      <c r="V121" s="978" t="s">
        <v>127</v>
      </c>
      <c r="W121" s="918" t="s">
        <v>668</v>
      </c>
      <c r="X121" s="978" t="s">
        <v>127</v>
      </c>
      <c r="Y121" s="918" t="s">
        <v>668</v>
      </c>
      <c r="Z121" s="978" t="s">
        <v>127</v>
      </c>
      <c r="AA121" s="918" t="s">
        <v>668</v>
      </c>
      <c r="AB121" s="978" t="s">
        <v>127</v>
      </c>
      <c r="AC121" s="918" t="s">
        <v>668</v>
      </c>
      <c r="AD121" s="978" t="s">
        <v>127</v>
      </c>
      <c r="AE121" s="918" t="s">
        <v>668</v>
      </c>
      <c r="AF121" s="978" t="s">
        <v>127</v>
      </c>
      <c r="AG121" s="918" t="s">
        <v>668</v>
      </c>
      <c r="AH121" s="978" t="s">
        <v>127</v>
      </c>
      <c r="AI121" s="918" t="s">
        <v>668</v>
      </c>
      <c r="AJ121" s="978" t="s">
        <v>127</v>
      </c>
      <c r="AK121" s="918" t="s">
        <v>668</v>
      </c>
      <c r="AL121" s="978" t="s">
        <v>127</v>
      </c>
      <c r="AM121" s="918" t="s">
        <v>668</v>
      </c>
      <c r="AN121" s="978" t="s">
        <v>127</v>
      </c>
      <c r="AO121" s="918" t="s">
        <v>668</v>
      </c>
      <c r="AP121" s="978" t="s">
        <v>127</v>
      </c>
      <c r="AQ121" s="918" t="s">
        <v>668</v>
      </c>
      <c r="AR121" s="978" t="s">
        <v>127</v>
      </c>
      <c r="AS121" s="918" t="s">
        <v>668</v>
      </c>
      <c r="AT121" s="978" t="s">
        <v>127</v>
      </c>
      <c r="AU121" s="918" t="s">
        <v>668</v>
      </c>
      <c r="AV121" s="978" t="s">
        <v>127</v>
      </c>
      <c r="AW121" s="918" t="s">
        <v>668</v>
      </c>
      <c r="AX121" s="978" t="s">
        <v>127</v>
      </c>
      <c r="AY121" s="918" t="s">
        <v>668</v>
      </c>
      <c r="AZ121" s="978" t="s">
        <v>127</v>
      </c>
      <c r="BA121" s="918" t="s">
        <v>668</v>
      </c>
      <c r="BB121" s="978" t="s">
        <v>127</v>
      </c>
      <c r="BC121" s="918" t="s">
        <v>668</v>
      </c>
      <c r="BD121" s="978" t="s">
        <v>127</v>
      </c>
      <c r="BE121" s="918" t="s">
        <v>668</v>
      </c>
      <c r="BG121" s="1031"/>
      <c r="BR121" s="1032"/>
      <c r="BS121" s="1032"/>
      <c r="BT121" s="1032"/>
      <c r="BU121" s="1032"/>
      <c r="BV121" s="1032"/>
      <c r="BW121" s="1032"/>
      <c r="BX121" s="1032"/>
      <c r="BY121" s="1032"/>
      <c r="BZ121" s="1032"/>
      <c r="CA121" s="1032"/>
    </row>
    <row r="122" spans="1:79" x14ac:dyDescent="0.45">
      <c r="A122" s="744" t="s">
        <v>2582</v>
      </c>
      <c r="B122" s="904">
        <v>7.7211833943169553E-3</v>
      </c>
      <c r="C122" s="906">
        <v>2.5268980150415532E-3</v>
      </c>
      <c r="D122" s="904">
        <v>7.7211833943169553E-3</v>
      </c>
      <c r="E122" s="906">
        <v>2.5268980150415532E-3</v>
      </c>
      <c r="F122" s="904">
        <v>1.7647528916929549E-2</v>
      </c>
      <c r="G122" s="906">
        <v>1.7647528916929549E-4</v>
      </c>
      <c r="H122" s="904">
        <v>1.5133753943217674E-2</v>
      </c>
      <c r="I122" s="906">
        <v>4.7368649842271316E-3</v>
      </c>
      <c r="J122" s="904">
        <v>8.9621451104100955E-3</v>
      </c>
      <c r="K122" s="906">
        <v>3.4056151419558363E-3</v>
      </c>
      <c r="L122" s="904">
        <v>0.14054363827549948</v>
      </c>
      <c r="M122" s="906">
        <v>1.8270672975814932E-3</v>
      </c>
      <c r="N122" s="904">
        <v>0</v>
      </c>
      <c r="O122" s="906">
        <v>0</v>
      </c>
      <c r="P122" s="904">
        <v>0</v>
      </c>
      <c r="Q122" s="906">
        <v>0</v>
      </c>
      <c r="R122" s="982">
        <v>2.1451104100946375E-2</v>
      </c>
      <c r="S122" s="986">
        <v>2.1451104100946375E-4</v>
      </c>
      <c r="T122" s="982">
        <v>1.1987381703470032E-2</v>
      </c>
      <c r="U122" s="986">
        <v>1.1987381703470032E-4</v>
      </c>
      <c r="V122" s="982">
        <v>2.9442691903259727E-3</v>
      </c>
      <c r="W122" s="985">
        <v>2.9442691903259727E-5</v>
      </c>
      <c r="X122" s="904">
        <v>3.1966351209253417E-2</v>
      </c>
      <c r="Y122" s="906">
        <v>1.000546792849632E-2</v>
      </c>
      <c r="Z122" s="904">
        <v>1.1146161934805469E-2</v>
      </c>
      <c r="AA122" s="906">
        <v>3.4887486855941117E-3</v>
      </c>
      <c r="AB122" s="904">
        <v>1.7875920084121978E-3</v>
      </c>
      <c r="AC122" s="906">
        <v>5.5951629863301787E-4</v>
      </c>
      <c r="AD122" s="905">
        <v>1.1261829652996846</v>
      </c>
      <c r="AE122" s="905">
        <v>0.35249526813880128</v>
      </c>
      <c r="AF122" s="904">
        <v>9.0431125131440592E-3</v>
      </c>
      <c r="AG122" s="906">
        <v>3.4363827549947425E-3</v>
      </c>
      <c r="AH122" s="904">
        <v>9.4637223974763408E-4</v>
      </c>
      <c r="AI122" s="906">
        <v>3.5962145110410098E-4</v>
      </c>
      <c r="AJ122" s="904">
        <v>0.14121976866456362</v>
      </c>
      <c r="AK122" s="906">
        <v>1.8358569926393269E-3</v>
      </c>
      <c r="AL122" s="904">
        <v>0.14121976866456362</v>
      </c>
      <c r="AM122" s="906">
        <v>1.8358569926393269E-3</v>
      </c>
      <c r="AN122" s="904">
        <v>0.14121976866456362</v>
      </c>
      <c r="AO122" s="906">
        <v>1.8358569926393269E-3</v>
      </c>
      <c r="AP122" s="904">
        <v>0.14121976866456362</v>
      </c>
      <c r="AQ122" s="906">
        <v>1.8358569926393269E-3</v>
      </c>
      <c r="AR122" s="904">
        <v>0.14121976866456362</v>
      </c>
      <c r="AS122" s="906">
        <v>1.8358569926393269E-3</v>
      </c>
      <c r="AT122" s="904">
        <v>7.3606729758149331E-2</v>
      </c>
      <c r="AU122" s="906">
        <v>9.5688748685594121E-4</v>
      </c>
      <c r="AV122" s="904">
        <v>7.3606729758149331E-2</v>
      </c>
      <c r="AW122" s="906">
        <v>9.5688748685594121E-4</v>
      </c>
      <c r="AX122" s="904">
        <v>7.3606729758149331E-2</v>
      </c>
      <c r="AY122" s="906">
        <v>9.5688748685594121E-4</v>
      </c>
      <c r="AZ122" s="904">
        <v>7.3606729758149331E-2</v>
      </c>
      <c r="BA122" s="906">
        <v>9.5688748685594121E-4</v>
      </c>
      <c r="BB122" s="904">
        <v>7.3606729758149331E-2</v>
      </c>
      <c r="BC122" s="906">
        <v>9.5688748685594121E-4</v>
      </c>
      <c r="BD122" s="904">
        <v>0</v>
      </c>
      <c r="BE122" s="906">
        <v>0</v>
      </c>
      <c r="BG122" s="1031"/>
      <c r="BR122" s="1032"/>
      <c r="BS122" s="1032"/>
      <c r="BT122" s="1032"/>
      <c r="BU122" s="1032"/>
      <c r="BV122" s="1032"/>
      <c r="BW122" s="1032"/>
      <c r="BX122" s="1032"/>
      <c r="BY122" s="1032"/>
      <c r="BZ122" s="1032"/>
      <c r="CA122" s="1032"/>
    </row>
    <row r="123" spans="1:79" x14ac:dyDescent="0.45">
      <c r="A123" s="744" t="s">
        <v>2583</v>
      </c>
      <c r="B123" s="904">
        <v>8.1593577110214865E-2</v>
      </c>
      <c r="C123" s="906">
        <v>2.4476434748255685E-2</v>
      </c>
      <c r="D123" s="904">
        <v>8.1593577110214865E-2</v>
      </c>
      <c r="E123" s="906">
        <v>2.4476434748255685E-2</v>
      </c>
      <c r="F123" s="904">
        <v>0.13289358569926393</v>
      </c>
      <c r="G123" s="906">
        <v>1.3289358569926395E-3</v>
      </c>
      <c r="H123" s="904">
        <v>0.18368012618296534</v>
      </c>
      <c r="I123" s="906">
        <v>5.7491879495268149E-2</v>
      </c>
      <c r="J123" s="904">
        <v>5.8455310199789702E-2</v>
      </c>
      <c r="K123" s="906">
        <v>2.2213017875920088E-2</v>
      </c>
      <c r="L123" s="904">
        <v>4.9278443743427971</v>
      </c>
      <c r="M123" s="906">
        <v>6.4061976866456358E-2</v>
      </c>
      <c r="N123" s="904">
        <v>0</v>
      </c>
      <c r="O123" s="906">
        <v>0</v>
      </c>
      <c r="P123" s="904">
        <v>0</v>
      </c>
      <c r="Q123" s="906">
        <v>0</v>
      </c>
      <c r="R123" s="904">
        <v>0.16614090431125134</v>
      </c>
      <c r="S123" s="905">
        <v>1.6614090431125133E-3</v>
      </c>
      <c r="T123" s="904">
        <v>3.1650893796004206E-2</v>
      </c>
      <c r="U123" s="905">
        <v>3.1650893796004206E-4</v>
      </c>
      <c r="V123" s="904">
        <v>1.7455310199789697E-2</v>
      </c>
      <c r="W123" s="906">
        <v>1.7455310199789698E-4</v>
      </c>
      <c r="X123" s="904">
        <v>0.48159831756046273</v>
      </c>
      <c r="Y123" s="906">
        <v>0.15074027339642485</v>
      </c>
      <c r="Z123" s="904">
        <v>0.43564668769716092</v>
      </c>
      <c r="AA123" s="906">
        <v>0.13635741324921136</v>
      </c>
      <c r="AB123" s="904">
        <v>9.484752891692956E-2</v>
      </c>
      <c r="AC123" s="906">
        <v>2.9687276550998953E-2</v>
      </c>
      <c r="AD123" s="905">
        <v>3.8737118822292325</v>
      </c>
      <c r="AE123" s="905">
        <v>1.2124718191377497</v>
      </c>
      <c r="AF123" s="904">
        <v>5.8885383806519455E-2</v>
      </c>
      <c r="AG123" s="906">
        <v>2.2376445846477393E-2</v>
      </c>
      <c r="AH123" s="904">
        <v>1.5878023133543639E-2</v>
      </c>
      <c r="AI123" s="906">
        <v>6.0336487907465828E-3</v>
      </c>
      <c r="AJ123" s="904">
        <v>4.9768664563617246</v>
      </c>
      <c r="AK123" s="906">
        <v>6.4699263932702422E-2</v>
      </c>
      <c r="AL123" s="904">
        <v>4.9768664563617246</v>
      </c>
      <c r="AM123" s="906">
        <v>6.4699263932702422E-2</v>
      </c>
      <c r="AN123" s="904">
        <v>4.9768664563617246</v>
      </c>
      <c r="AO123" s="906">
        <v>6.4699263932702422E-2</v>
      </c>
      <c r="AP123" s="904">
        <v>4.9768664563617246</v>
      </c>
      <c r="AQ123" s="906">
        <v>6.4699263932702422E-2</v>
      </c>
      <c r="AR123" s="904">
        <v>4.9768664563617246</v>
      </c>
      <c r="AS123" s="906">
        <v>6.4699263932702422E-2</v>
      </c>
      <c r="AT123" s="904">
        <v>7.4658254468980015E-2</v>
      </c>
      <c r="AU123" s="906">
        <v>9.7055730809674011E-4</v>
      </c>
      <c r="AV123" s="904">
        <v>7.4658254468980015E-2</v>
      </c>
      <c r="AW123" s="906">
        <v>9.7055730809674011E-4</v>
      </c>
      <c r="AX123" s="904">
        <v>7.4658254468980015E-2</v>
      </c>
      <c r="AY123" s="906">
        <v>9.7055730809674011E-4</v>
      </c>
      <c r="AZ123" s="904">
        <v>7.4658254468980015E-2</v>
      </c>
      <c r="BA123" s="906">
        <v>9.7055730809674011E-4</v>
      </c>
      <c r="BB123" s="904">
        <v>7.4658254468980015E-2</v>
      </c>
      <c r="BC123" s="906">
        <v>9.7055730809674011E-4</v>
      </c>
      <c r="BD123" s="904">
        <v>0</v>
      </c>
      <c r="BE123" s="906">
        <v>0</v>
      </c>
      <c r="BG123" s="1031"/>
      <c r="BR123" s="1032"/>
      <c r="BS123" s="1032"/>
      <c r="BT123" s="1032"/>
      <c r="BU123" s="1032"/>
      <c r="BV123" s="1032"/>
      <c r="BW123" s="1032"/>
      <c r="BX123" s="1032"/>
      <c r="BY123" s="1032"/>
      <c r="BZ123" s="1032"/>
      <c r="CA123" s="1032"/>
    </row>
    <row r="124" spans="1:79" x14ac:dyDescent="0.45">
      <c r="A124" s="744" t="s">
        <v>2584</v>
      </c>
      <c r="B124" s="904">
        <v>0.21018041660584436</v>
      </c>
      <c r="C124" s="906">
        <v>6.7859118604266661E-2</v>
      </c>
      <c r="D124" s="904">
        <v>0.21018041660584436</v>
      </c>
      <c r="E124" s="906">
        <v>6.7859118604266661E-2</v>
      </c>
      <c r="F124" s="904">
        <v>4.1733533123028392</v>
      </c>
      <c r="G124" s="906">
        <v>4.1733533123028396E-2</v>
      </c>
      <c r="H124" s="904">
        <v>0.22049621451104107</v>
      </c>
      <c r="I124" s="906">
        <v>6.9015315141955857E-2</v>
      </c>
      <c r="J124" s="904">
        <v>0.37921240799158784</v>
      </c>
      <c r="K124" s="906">
        <v>0.14410071503680338</v>
      </c>
      <c r="L124" s="904">
        <v>0.96115141955835959</v>
      </c>
      <c r="M124" s="906">
        <v>1.2494968454258674E-2</v>
      </c>
      <c r="N124" s="904">
        <v>0</v>
      </c>
      <c r="O124" s="906">
        <v>0</v>
      </c>
      <c r="P124" s="904">
        <v>0</v>
      </c>
      <c r="Q124" s="906">
        <v>0</v>
      </c>
      <c r="R124" s="904">
        <v>4.4441640378548897</v>
      </c>
      <c r="S124" s="905">
        <v>4.4441640378548898E-2</v>
      </c>
      <c r="T124" s="904">
        <v>4.7655099894847535</v>
      </c>
      <c r="U124" s="905">
        <v>4.7655099894847536E-2</v>
      </c>
      <c r="V124" s="904">
        <v>2.8749737118822294</v>
      </c>
      <c r="W124" s="906">
        <v>2.8749737118822293E-2</v>
      </c>
      <c r="X124" s="904">
        <v>0.86435331230283907</v>
      </c>
      <c r="Y124" s="906">
        <v>0.27054258675078863</v>
      </c>
      <c r="Z124" s="904">
        <v>0.33732912723448999</v>
      </c>
      <c r="AA124" s="906">
        <v>0.10558401682439536</v>
      </c>
      <c r="AB124" s="904">
        <v>0.11366982124079916</v>
      </c>
      <c r="AC124" s="906">
        <v>3.5578654048370136E-2</v>
      </c>
      <c r="AD124" s="905">
        <v>3.1273396424815982</v>
      </c>
      <c r="AE124" s="905">
        <v>0.97885730809674021</v>
      </c>
      <c r="AF124" s="904">
        <v>0.380546792849632</v>
      </c>
      <c r="AG124" s="906">
        <v>0.14460778128286017</v>
      </c>
      <c r="AH124" s="904">
        <v>0.24710830704521555</v>
      </c>
      <c r="AI124" s="906">
        <v>9.3901156677181907E-2</v>
      </c>
      <c r="AJ124" s="904">
        <v>0.970031545741325</v>
      </c>
      <c r="AK124" s="906">
        <v>1.2610410094637224E-2</v>
      </c>
      <c r="AL124" s="904">
        <v>0.970031545741325</v>
      </c>
      <c r="AM124" s="906">
        <v>1.2610410094637224E-2</v>
      </c>
      <c r="AN124" s="904">
        <v>0.970031545741325</v>
      </c>
      <c r="AO124" s="906">
        <v>1.2610410094637224E-2</v>
      </c>
      <c r="AP124" s="904">
        <v>0.970031545741325</v>
      </c>
      <c r="AQ124" s="906">
        <v>1.2610410094637224E-2</v>
      </c>
      <c r="AR124" s="904">
        <v>0.970031545741325</v>
      </c>
      <c r="AS124" s="906">
        <v>1.2610410094637224E-2</v>
      </c>
      <c r="AT124" s="904">
        <v>8.2018927444794956E-2</v>
      </c>
      <c r="AU124" s="906">
        <v>1.0662460567823343E-3</v>
      </c>
      <c r="AV124" s="904">
        <v>8.2018927444794956E-2</v>
      </c>
      <c r="AW124" s="906">
        <v>1.0662460567823343E-3</v>
      </c>
      <c r="AX124" s="904">
        <v>8.2018927444794956E-2</v>
      </c>
      <c r="AY124" s="906">
        <v>1.0662460567823343E-3</v>
      </c>
      <c r="AZ124" s="904">
        <v>8.2018927444794956E-2</v>
      </c>
      <c r="BA124" s="906">
        <v>1.0662460567823343E-3</v>
      </c>
      <c r="BB124" s="904">
        <v>8.2018927444794956E-2</v>
      </c>
      <c r="BC124" s="906">
        <v>1.0662460567823343E-3</v>
      </c>
      <c r="BD124" s="904">
        <v>0</v>
      </c>
      <c r="BE124" s="906">
        <v>0</v>
      </c>
      <c r="BG124" s="1031"/>
      <c r="BR124" s="1032"/>
      <c r="BS124" s="1032"/>
      <c r="BT124" s="1032"/>
      <c r="BU124" s="1032"/>
      <c r="BV124" s="1032"/>
      <c r="BW124" s="1032"/>
      <c r="BX124" s="1032"/>
      <c r="BY124" s="1032"/>
      <c r="BZ124" s="1032"/>
      <c r="CA124" s="1032"/>
    </row>
    <row r="125" spans="1:79" x14ac:dyDescent="0.45">
      <c r="A125" s="744" t="s">
        <v>2585</v>
      </c>
      <c r="B125" s="904">
        <v>2.8249584915799812E-2</v>
      </c>
      <c r="C125" s="906">
        <v>9.0567426549954463E-3</v>
      </c>
      <c r="D125" s="904">
        <v>2.8249584915799812E-2</v>
      </c>
      <c r="E125" s="906">
        <v>9.0567426549954463E-3</v>
      </c>
      <c r="F125" s="904">
        <v>0.1704410094637224</v>
      </c>
      <c r="G125" s="906">
        <v>1.704410094637224E-3</v>
      </c>
      <c r="H125" s="904">
        <v>1.1065615141955839E-2</v>
      </c>
      <c r="I125" s="906">
        <v>3.4635375394321774E-3</v>
      </c>
      <c r="J125" s="904">
        <v>6.4216614090431126E-2</v>
      </c>
      <c r="K125" s="906">
        <v>2.4402313354363828E-2</v>
      </c>
      <c r="L125" s="904">
        <v>2.1799179810725549</v>
      </c>
      <c r="M125" s="906">
        <v>2.833893375394321E-2</v>
      </c>
      <c r="N125" s="904">
        <v>0</v>
      </c>
      <c r="O125" s="906">
        <v>0</v>
      </c>
      <c r="P125" s="904">
        <v>0</v>
      </c>
      <c r="Q125" s="906">
        <v>0</v>
      </c>
      <c r="R125" s="904">
        <v>0.17812828601472136</v>
      </c>
      <c r="S125" s="905">
        <v>1.7812828601472136E-3</v>
      </c>
      <c r="T125" s="904">
        <v>8.5173501577287068E-3</v>
      </c>
      <c r="U125" s="905">
        <v>8.5173501577287075E-5</v>
      </c>
      <c r="V125" s="904">
        <v>0.1787592008412198</v>
      </c>
      <c r="W125" s="906">
        <v>1.787592008412198E-3</v>
      </c>
      <c r="X125" s="904">
        <v>4.2586750788643539E-2</v>
      </c>
      <c r="Y125" s="906">
        <v>1.3329652996845428E-2</v>
      </c>
      <c r="Z125" s="904">
        <v>3.7749737118822298E-2</v>
      </c>
      <c r="AA125" s="906">
        <v>1.181566771819138E-2</v>
      </c>
      <c r="AB125" s="904">
        <v>8.4121976866456368E-4</v>
      </c>
      <c r="AC125" s="906">
        <v>2.6330178759200845E-4</v>
      </c>
      <c r="AD125" s="905">
        <v>0.47854889589905364</v>
      </c>
      <c r="AE125" s="905">
        <v>0.14978580441640379</v>
      </c>
      <c r="AF125" s="904">
        <v>6.456361724500527E-2</v>
      </c>
      <c r="AG125" s="906">
        <v>2.4534174553102004E-2</v>
      </c>
      <c r="AH125" s="904">
        <v>2.9863301787592011E-2</v>
      </c>
      <c r="AI125" s="906">
        <v>1.1348054679284965E-2</v>
      </c>
      <c r="AJ125" s="904">
        <v>2.2016824395373291</v>
      </c>
      <c r="AK125" s="906">
        <v>2.8621871713985277E-2</v>
      </c>
      <c r="AL125" s="904">
        <v>2.2016824395373291</v>
      </c>
      <c r="AM125" s="906">
        <v>2.8621871713985277E-2</v>
      </c>
      <c r="AN125" s="904">
        <v>2.2016824395373291</v>
      </c>
      <c r="AO125" s="906">
        <v>2.8621871713985277E-2</v>
      </c>
      <c r="AP125" s="904">
        <v>2.2016824395373291</v>
      </c>
      <c r="AQ125" s="906">
        <v>2.8621871713985277E-2</v>
      </c>
      <c r="AR125" s="904">
        <v>2.2016824395373291</v>
      </c>
      <c r="AS125" s="906">
        <v>2.8621871713985277E-2</v>
      </c>
      <c r="AT125" s="904">
        <v>2.5236593059936911E-2</v>
      </c>
      <c r="AU125" s="906">
        <v>3.2807570977917981E-4</v>
      </c>
      <c r="AV125" s="904">
        <v>2.5236593059936911E-2</v>
      </c>
      <c r="AW125" s="906">
        <v>3.2807570977917981E-4</v>
      </c>
      <c r="AX125" s="904">
        <v>2.5236593059936911E-2</v>
      </c>
      <c r="AY125" s="906">
        <v>3.2807570977917981E-4</v>
      </c>
      <c r="AZ125" s="904">
        <v>2.5236593059936911E-2</v>
      </c>
      <c r="BA125" s="906">
        <v>3.2807570977917981E-4</v>
      </c>
      <c r="BB125" s="904">
        <v>2.5236593059936911E-2</v>
      </c>
      <c r="BC125" s="906">
        <v>3.2807570977917981E-4</v>
      </c>
      <c r="BD125" s="904">
        <v>0</v>
      </c>
      <c r="BE125" s="906">
        <v>0</v>
      </c>
      <c r="BG125" s="1031"/>
      <c r="BR125" s="1032"/>
      <c r="BS125" s="1032"/>
      <c r="BT125" s="1032"/>
      <c r="BU125" s="1032"/>
      <c r="BV125" s="1032"/>
      <c r="BW125" s="1032"/>
      <c r="BX125" s="1032"/>
      <c r="BY125" s="1032"/>
      <c r="BZ125" s="1032"/>
      <c r="CA125" s="1032"/>
    </row>
    <row r="126" spans="1:79" x14ac:dyDescent="0.45">
      <c r="A126" s="744" t="s">
        <v>2586</v>
      </c>
      <c r="B126" s="904">
        <v>1.9505095576193229E-2</v>
      </c>
      <c r="C126" s="906">
        <v>6.6455167993545883E-3</v>
      </c>
      <c r="D126" s="904">
        <v>1.9505095576193229E-2</v>
      </c>
      <c r="E126" s="906">
        <v>6.6455167993545883E-3</v>
      </c>
      <c r="F126" s="904">
        <v>0.12076403785488961</v>
      </c>
      <c r="G126" s="906">
        <v>1.2076403785488961E-3</v>
      </c>
      <c r="H126" s="904">
        <v>1.1065615141955839E-2</v>
      </c>
      <c r="I126" s="906">
        <v>3.4635375394321774E-3</v>
      </c>
      <c r="J126" s="904">
        <v>4.5058569926393267E-2</v>
      </c>
      <c r="K126" s="906">
        <v>1.712225657202944E-2</v>
      </c>
      <c r="L126" s="904">
        <v>0.63545425867507888</v>
      </c>
      <c r="M126" s="906">
        <v>8.2609053627760252E-3</v>
      </c>
      <c r="N126" s="904">
        <v>0</v>
      </c>
      <c r="O126" s="906">
        <v>0</v>
      </c>
      <c r="P126" s="904">
        <v>0</v>
      </c>
      <c r="Q126" s="906">
        <v>0</v>
      </c>
      <c r="R126" s="904">
        <v>0.13827549947423765</v>
      </c>
      <c r="S126" s="905">
        <v>1.3827549947423765E-3</v>
      </c>
      <c r="T126" s="904">
        <v>1.3038906414300735E-2</v>
      </c>
      <c r="U126" s="905">
        <v>1.3038906414300735E-4</v>
      </c>
      <c r="V126" s="904">
        <v>7.3711882229232389E-2</v>
      </c>
      <c r="W126" s="906">
        <v>7.371188222923239E-4</v>
      </c>
      <c r="X126" s="904">
        <v>4.2586750788643539E-2</v>
      </c>
      <c r="Y126" s="906">
        <v>1.3329652996845428E-2</v>
      </c>
      <c r="Z126" s="904">
        <v>3.7749737118822298E-2</v>
      </c>
      <c r="AA126" s="906">
        <v>1.181566771819138E-2</v>
      </c>
      <c r="AB126" s="904">
        <v>8.4121976866456368E-4</v>
      </c>
      <c r="AC126" s="906">
        <v>2.6330178759200845E-4</v>
      </c>
      <c r="AD126" s="905">
        <v>0.47854889589905364</v>
      </c>
      <c r="AE126" s="905">
        <v>0.14978580441640379</v>
      </c>
      <c r="AF126" s="904">
        <v>4.5425867507886443E-2</v>
      </c>
      <c r="AG126" s="906">
        <v>1.7261829652996847E-2</v>
      </c>
      <c r="AH126" s="904">
        <v>8.696109358569926E-3</v>
      </c>
      <c r="AI126" s="906">
        <v>3.304521556256572E-3</v>
      </c>
      <c r="AJ126" s="904">
        <v>0.641745531019979</v>
      </c>
      <c r="AK126" s="906">
        <v>8.3426919032597267E-3</v>
      </c>
      <c r="AL126" s="904">
        <v>0.641745531019979</v>
      </c>
      <c r="AM126" s="906">
        <v>8.3426919032597267E-3</v>
      </c>
      <c r="AN126" s="904">
        <v>0.641745531019979</v>
      </c>
      <c r="AO126" s="906">
        <v>8.3426919032597267E-3</v>
      </c>
      <c r="AP126" s="904">
        <v>0.641745531019979</v>
      </c>
      <c r="AQ126" s="906">
        <v>8.3426919032597267E-3</v>
      </c>
      <c r="AR126" s="904">
        <v>0.641745531019979</v>
      </c>
      <c r="AS126" s="906">
        <v>8.3426919032597267E-3</v>
      </c>
      <c r="AT126" s="904">
        <v>1.2618296529968456E-2</v>
      </c>
      <c r="AU126" s="906">
        <v>1.6403785488958991E-4</v>
      </c>
      <c r="AV126" s="904">
        <v>1.2618296529968456E-2</v>
      </c>
      <c r="AW126" s="906">
        <v>1.6403785488958991E-4</v>
      </c>
      <c r="AX126" s="904">
        <v>1.2618296529968456E-2</v>
      </c>
      <c r="AY126" s="906">
        <v>1.6403785488958991E-4</v>
      </c>
      <c r="AZ126" s="904">
        <v>1.2618296529968456E-2</v>
      </c>
      <c r="BA126" s="906">
        <v>1.6403785488958991E-4</v>
      </c>
      <c r="BB126" s="904">
        <v>1.2618296529968456E-2</v>
      </c>
      <c r="BC126" s="906">
        <v>1.6403785488958991E-4</v>
      </c>
      <c r="BD126" s="904">
        <v>0</v>
      </c>
      <c r="BE126" s="906">
        <v>0</v>
      </c>
      <c r="BG126" s="1031"/>
      <c r="BR126" s="1032"/>
      <c r="BS126" s="1032"/>
      <c r="BT126" s="1032"/>
      <c r="BU126" s="1032"/>
      <c r="BV126" s="1032"/>
      <c r="BW126" s="1032"/>
      <c r="BX126" s="1032"/>
      <c r="BY126" s="1032"/>
      <c r="BZ126" s="1032"/>
      <c r="CA126" s="1032"/>
    </row>
    <row r="127" spans="1:79" x14ac:dyDescent="0.45">
      <c r="A127" s="744" t="s">
        <v>2587</v>
      </c>
      <c r="B127" s="904">
        <v>0.82519934892198965</v>
      </c>
      <c r="C127" s="906">
        <v>0.30769155002768889</v>
      </c>
      <c r="D127" s="904">
        <v>0.82519934892198965</v>
      </c>
      <c r="E127" s="906">
        <v>0.30769155002768889</v>
      </c>
      <c r="F127" s="904">
        <v>3.0136353312302839</v>
      </c>
      <c r="G127" s="906">
        <v>3.0136353312302841E-2</v>
      </c>
      <c r="H127" s="904">
        <v>1.9788748685594111E-2</v>
      </c>
      <c r="I127" s="906">
        <v>6.1938783385909564E-3</v>
      </c>
      <c r="J127" s="904">
        <v>2.4611021030494218</v>
      </c>
      <c r="K127" s="906">
        <v>0.93521879915878026</v>
      </c>
      <c r="L127" s="904">
        <v>0.68152370530356787</v>
      </c>
      <c r="M127" s="906">
        <v>8.8598081689463815E-3</v>
      </c>
      <c r="N127" s="904">
        <v>0</v>
      </c>
      <c r="O127" s="906">
        <v>0</v>
      </c>
      <c r="P127" s="904">
        <v>0</v>
      </c>
      <c r="Q127" s="906">
        <v>0</v>
      </c>
      <c r="R127" s="904">
        <v>3.78937960042061</v>
      </c>
      <c r="S127" s="905">
        <v>3.7893796004206101E-2</v>
      </c>
      <c r="T127" s="904">
        <v>0.11419558359621451</v>
      </c>
      <c r="U127" s="905">
        <v>1.141955835962145E-3</v>
      </c>
      <c r="V127" s="904">
        <v>0.45594111461619347</v>
      </c>
      <c r="W127" s="906">
        <v>4.5594111461619352E-3</v>
      </c>
      <c r="X127" s="904">
        <v>0.17434279705573083</v>
      </c>
      <c r="Y127" s="906">
        <v>5.4569295478443747E-2</v>
      </c>
      <c r="Z127" s="904">
        <v>1.6824395373291272E-2</v>
      </c>
      <c r="AA127" s="906">
        <v>5.2660357518401679E-3</v>
      </c>
      <c r="AB127" s="904">
        <v>3.9957939011566771E-3</v>
      </c>
      <c r="AC127" s="906">
        <v>1.25068349106204E-3</v>
      </c>
      <c r="AD127" s="905">
        <v>6.203995793901157E-3</v>
      </c>
      <c r="AE127" s="905">
        <v>1.9418506834910621E-3</v>
      </c>
      <c r="AF127" s="904">
        <v>2.4859095688748689</v>
      </c>
      <c r="AG127" s="906">
        <v>0.94464563617245023</v>
      </c>
      <c r="AH127" s="904">
        <v>5.1629863301787598E-3</v>
      </c>
      <c r="AI127" s="906">
        <v>1.9619348054679287E-3</v>
      </c>
      <c r="AJ127" s="904">
        <v>0.96097410914989956</v>
      </c>
      <c r="AK127" s="906">
        <v>1.2492663418948695E-2</v>
      </c>
      <c r="AL127" s="904">
        <v>0.3715275882848102</v>
      </c>
      <c r="AM127" s="906">
        <v>4.8298586477025325E-3</v>
      </c>
      <c r="AN127" s="904">
        <v>2.2530176677398823</v>
      </c>
      <c r="AO127" s="906">
        <v>2.9289229680618468E-2</v>
      </c>
      <c r="AP127" s="904">
        <v>1.5429703959819432</v>
      </c>
      <c r="AQ127" s="906">
        <v>2.005861514776526E-2</v>
      </c>
      <c r="AR127" s="904">
        <v>0.68460442521704457</v>
      </c>
      <c r="AS127" s="906">
        <v>8.8998575278215787E-3</v>
      </c>
      <c r="AT127" s="904">
        <v>0.52853576003244473</v>
      </c>
      <c r="AU127" s="906">
        <v>6.8709648804217809E-3</v>
      </c>
      <c r="AV127" s="904">
        <v>0.2043401735566456</v>
      </c>
      <c r="AW127" s="906">
        <v>2.6564222562363926E-3</v>
      </c>
      <c r="AX127" s="904">
        <v>1.2391597172569353</v>
      </c>
      <c r="AY127" s="906">
        <v>1.6109076324340159E-2</v>
      </c>
      <c r="AZ127" s="904">
        <v>0.84863371779006869</v>
      </c>
      <c r="BA127" s="906">
        <v>1.1032238331270892E-2</v>
      </c>
      <c r="BB127" s="904">
        <v>0.37653243386937446</v>
      </c>
      <c r="BC127" s="906">
        <v>4.8949216403018679E-3</v>
      </c>
      <c r="BD127" s="904">
        <v>0</v>
      </c>
      <c r="BE127" s="906">
        <v>0</v>
      </c>
    </row>
    <row r="128" spans="1:79" x14ac:dyDescent="0.45">
      <c r="A128" s="744" t="s">
        <v>2588</v>
      </c>
      <c r="B128" s="904">
        <v>1.2630482765545086E-3</v>
      </c>
      <c r="C128" s="906">
        <v>3.887026862902604E-4</v>
      </c>
      <c r="D128" s="904">
        <v>1.2630482765545086E-3</v>
      </c>
      <c r="E128" s="906">
        <v>3.887026862902604E-4</v>
      </c>
      <c r="F128" s="904">
        <v>7.6627688748685599E-3</v>
      </c>
      <c r="G128" s="906">
        <v>7.6627688748685604E-5</v>
      </c>
      <c r="H128" s="904">
        <v>1.5670678233438494E-3</v>
      </c>
      <c r="I128" s="906">
        <v>4.9049222870662485E-4</v>
      </c>
      <c r="J128" s="904">
        <v>1.9375185068349109E-3</v>
      </c>
      <c r="K128" s="906">
        <v>7.3625703259726618E-4</v>
      </c>
      <c r="L128" s="904">
        <v>8.769268769716089E-2</v>
      </c>
      <c r="M128" s="906">
        <v>1.1400049400630916E-3</v>
      </c>
      <c r="N128" s="904">
        <v>0</v>
      </c>
      <c r="O128" s="906">
        <v>0</v>
      </c>
      <c r="P128" s="904">
        <v>0</v>
      </c>
      <c r="Q128" s="906">
        <v>0</v>
      </c>
      <c r="R128" s="904">
        <v>8.7666666666666674E-3</v>
      </c>
      <c r="S128" s="905">
        <v>8.7666666666666679E-5</v>
      </c>
      <c r="T128" s="904">
        <v>1.9558359621451105E-3</v>
      </c>
      <c r="U128" s="905">
        <v>1.9558359621451106E-5</v>
      </c>
      <c r="V128" s="904">
        <v>4.4227129337539427E-3</v>
      </c>
      <c r="W128" s="906">
        <v>4.4227129337539426E-5</v>
      </c>
      <c r="X128" s="904">
        <v>7.0268138801261835E-3</v>
      </c>
      <c r="Y128" s="906">
        <v>2.1993927444794955E-3</v>
      </c>
      <c r="Z128" s="904">
        <v>1.0947423764458464E-3</v>
      </c>
      <c r="AA128" s="906">
        <v>3.4265436382754992E-4</v>
      </c>
      <c r="AB128" s="904">
        <v>2.4395373291272347E-5</v>
      </c>
      <c r="AC128" s="906">
        <v>7.6357518401682449E-6</v>
      </c>
      <c r="AD128" s="905">
        <v>9.5709779179810731E-2</v>
      </c>
      <c r="AE128" s="905">
        <v>2.9957160883280758E-2</v>
      </c>
      <c r="AF128" s="904">
        <v>1.9533123028391166E-3</v>
      </c>
      <c r="AG128" s="906">
        <v>7.4225867507886432E-4</v>
      </c>
      <c r="AH128" s="904">
        <v>3.7393270241850682E-4</v>
      </c>
      <c r="AI128" s="906">
        <v>1.4209442691903259E-4</v>
      </c>
      <c r="AJ128" s="904">
        <v>8.8560883280757105E-2</v>
      </c>
      <c r="AK128" s="906">
        <v>1.1512914826498422E-3</v>
      </c>
      <c r="AL128" s="904">
        <v>8.8560883280757105E-2</v>
      </c>
      <c r="AM128" s="906">
        <v>1.1512914826498422E-3</v>
      </c>
      <c r="AN128" s="904">
        <v>8.8560883280757105E-2</v>
      </c>
      <c r="AO128" s="906">
        <v>1.1512914826498422E-3</v>
      </c>
      <c r="AP128" s="904">
        <v>8.8560883280757105E-2</v>
      </c>
      <c r="AQ128" s="906">
        <v>1.1512914826498422E-3</v>
      </c>
      <c r="AR128" s="904">
        <v>8.8560883280757105E-2</v>
      </c>
      <c r="AS128" s="906">
        <v>1.1512914826498422E-3</v>
      </c>
      <c r="AT128" s="904">
        <v>1.7413249211356472E-3</v>
      </c>
      <c r="AU128" s="906">
        <v>2.2637223974763412E-5</v>
      </c>
      <c r="AV128" s="904">
        <v>1.7413249211356472E-3</v>
      </c>
      <c r="AW128" s="906">
        <v>2.2637223974763412E-5</v>
      </c>
      <c r="AX128" s="904">
        <v>1.7413249211356472E-3</v>
      </c>
      <c r="AY128" s="906">
        <v>2.2637223974763412E-5</v>
      </c>
      <c r="AZ128" s="904">
        <v>1.7413249211356472E-3</v>
      </c>
      <c r="BA128" s="906">
        <v>2.2637223974763412E-5</v>
      </c>
      <c r="BB128" s="904">
        <v>1.7413249211356472E-3</v>
      </c>
      <c r="BC128" s="906">
        <v>2.2637223974763412E-5</v>
      </c>
      <c r="BD128" s="904">
        <v>0</v>
      </c>
      <c r="BE128" s="906">
        <v>0</v>
      </c>
    </row>
    <row r="129" spans="1:87" x14ac:dyDescent="0.45">
      <c r="A129" s="744" t="s">
        <v>2589</v>
      </c>
      <c r="B129" s="904">
        <v>3.1563367870316786E-3</v>
      </c>
      <c r="C129" s="906">
        <v>9.6955338747840218E-4</v>
      </c>
      <c r="D129" s="904">
        <v>3.1563367870316786E-3</v>
      </c>
      <c r="E129" s="906">
        <v>9.6955338747840218E-4</v>
      </c>
      <c r="F129" s="904">
        <v>5.4674826498422721E-3</v>
      </c>
      <c r="G129" s="906">
        <v>5.4674826498422719E-5</v>
      </c>
      <c r="H129" s="904">
        <v>5.4948656151419572E-3</v>
      </c>
      <c r="I129" s="906">
        <v>1.7198929375394326E-3</v>
      </c>
      <c r="J129" s="904">
        <v>3.6497441640378548E-3</v>
      </c>
      <c r="K129" s="906">
        <v>1.3869027823343847E-3</v>
      </c>
      <c r="L129" s="904">
        <v>0.20715808832807572</v>
      </c>
      <c r="M129" s="906">
        <v>2.6930551482649842E-3</v>
      </c>
      <c r="N129" s="904">
        <v>0</v>
      </c>
      <c r="O129" s="906">
        <v>0</v>
      </c>
      <c r="P129" s="904">
        <v>0</v>
      </c>
      <c r="Q129" s="906">
        <v>0</v>
      </c>
      <c r="R129" s="904">
        <v>6.084121976866458E-3</v>
      </c>
      <c r="S129" s="905">
        <v>6.084121976866458E-5</v>
      </c>
      <c r="T129" s="904">
        <v>5.0851735015772876E-3</v>
      </c>
      <c r="U129" s="905">
        <v>5.085173501577288E-5</v>
      </c>
      <c r="V129" s="904">
        <v>2.9484752891692952E-3</v>
      </c>
      <c r="W129" s="906">
        <v>2.9484752891692954E-5</v>
      </c>
      <c r="X129" s="904">
        <v>1.8227129337539432E-2</v>
      </c>
      <c r="Y129" s="906">
        <v>5.7050914826498426E-3</v>
      </c>
      <c r="Z129" s="904">
        <v>2.5669821240799164E-2</v>
      </c>
      <c r="AA129" s="906">
        <v>8.0346540483701382E-3</v>
      </c>
      <c r="AB129" s="904">
        <v>5.7202944269190326E-4</v>
      </c>
      <c r="AC129" s="906">
        <v>1.7904521556256573E-4</v>
      </c>
      <c r="AD129" s="905">
        <v>0.20481892744479493</v>
      </c>
      <c r="AE129" s="905">
        <v>6.4108324290220814E-2</v>
      </c>
      <c r="AF129" s="904">
        <v>3.6794952681388016E-3</v>
      </c>
      <c r="AG129" s="906">
        <v>1.3982082018927447E-3</v>
      </c>
      <c r="AH129" s="904">
        <v>7.04384858044164E-4</v>
      </c>
      <c r="AI129" s="906">
        <v>2.6766624605678233E-4</v>
      </c>
      <c r="AJ129" s="904">
        <v>0.20920904311251315</v>
      </c>
      <c r="AK129" s="906">
        <v>2.7197175604626706E-3</v>
      </c>
      <c r="AL129" s="904">
        <v>0.20920904311251315</v>
      </c>
      <c r="AM129" s="906">
        <v>2.7197175604626706E-3</v>
      </c>
      <c r="AN129" s="904">
        <v>0.20920904311251315</v>
      </c>
      <c r="AO129" s="906">
        <v>2.7197175604626706E-3</v>
      </c>
      <c r="AP129" s="904">
        <v>0.20920904311251315</v>
      </c>
      <c r="AQ129" s="906">
        <v>2.7197175604626706E-3</v>
      </c>
      <c r="AR129" s="904">
        <v>0.20920904311251315</v>
      </c>
      <c r="AS129" s="906">
        <v>2.7197175604626706E-3</v>
      </c>
      <c r="AT129" s="904">
        <v>4.1135646687697168E-3</v>
      </c>
      <c r="AU129" s="906">
        <v>5.3476340694006319E-5</v>
      </c>
      <c r="AV129" s="904">
        <v>4.1135646687697168E-3</v>
      </c>
      <c r="AW129" s="906">
        <v>5.3476340694006319E-5</v>
      </c>
      <c r="AX129" s="904">
        <v>4.1135646687697168E-3</v>
      </c>
      <c r="AY129" s="906">
        <v>5.3476340694006319E-5</v>
      </c>
      <c r="AZ129" s="904">
        <v>4.1135646687697168E-3</v>
      </c>
      <c r="BA129" s="906">
        <v>5.3476340694006319E-5</v>
      </c>
      <c r="BB129" s="904">
        <v>4.1135646687697168E-3</v>
      </c>
      <c r="BC129" s="906">
        <v>5.3476340694006319E-5</v>
      </c>
      <c r="BD129" s="904">
        <v>0</v>
      </c>
      <c r="BE129" s="906">
        <v>0</v>
      </c>
    </row>
    <row r="130" spans="1:87" ht="11.25" customHeight="1" x14ac:dyDescent="0.45">
      <c r="A130" s="744" t="s">
        <v>1957</v>
      </c>
      <c r="B130" s="904">
        <v>6.7226645677440659E-3</v>
      </c>
      <c r="C130" s="906"/>
      <c r="D130" s="904">
        <v>6.7226645677440659E-3</v>
      </c>
      <c r="E130" s="906"/>
      <c r="F130" s="904">
        <v>3.2701156677181917E-2</v>
      </c>
      <c r="G130" s="906"/>
      <c r="H130" s="904">
        <v>8.0380651945320715E-3</v>
      </c>
      <c r="I130" s="906"/>
      <c r="J130" s="904">
        <v>1.0504731861198739E-2</v>
      </c>
      <c r="K130" s="906"/>
      <c r="L130" s="904">
        <v>0.51093505370690417</v>
      </c>
      <c r="M130" s="906"/>
      <c r="N130" s="904">
        <v>0</v>
      </c>
      <c r="O130" s="906"/>
      <c r="P130" s="904">
        <v>0</v>
      </c>
      <c r="Q130" s="906"/>
      <c r="R130" s="904">
        <v>3.2597266035751839E-2</v>
      </c>
      <c r="S130" s="905"/>
      <c r="T130" s="904">
        <v>2.9863301787592011E-2</v>
      </c>
      <c r="U130" s="905"/>
      <c r="V130" s="904">
        <v>3.3859095688748689E-2</v>
      </c>
      <c r="W130" s="906"/>
      <c r="X130" s="904">
        <v>1.1041009463722398E-2</v>
      </c>
      <c r="Y130" s="906"/>
      <c r="Z130" s="904">
        <v>1.1146161934805469E-2</v>
      </c>
      <c r="AA130" s="906"/>
      <c r="AB130" s="904">
        <v>7.4658254468980027E-3</v>
      </c>
      <c r="AC130" s="906"/>
      <c r="AD130" s="905">
        <v>1.1146161934805469E-2</v>
      </c>
      <c r="AE130" s="905"/>
      <c r="AF130" s="904">
        <v>1.0515247108307046E-2</v>
      </c>
      <c r="AG130" s="906"/>
      <c r="AH130" s="904">
        <v>9.4637223974763408E-3</v>
      </c>
      <c r="AI130" s="906"/>
      <c r="AJ130" s="904">
        <v>0.51577287066246058</v>
      </c>
      <c r="AK130" s="906"/>
      <c r="AL130" s="904">
        <v>0.51577287066246058</v>
      </c>
      <c r="AM130" s="906"/>
      <c r="AN130" s="904">
        <v>0.51577287066246058</v>
      </c>
      <c r="AO130" s="906"/>
      <c r="AP130" s="904">
        <v>0.51577287066246058</v>
      </c>
      <c r="AQ130" s="906"/>
      <c r="AR130" s="904">
        <v>0.51577287066246058</v>
      </c>
      <c r="AS130" s="906"/>
      <c r="AT130" s="904">
        <v>3.1991175106820924E-2</v>
      </c>
      <c r="AU130" s="906"/>
      <c r="AV130" s="904">
        <v>3.1991175106820924E-2</v>
      </c>
      <c r="AW130" s="906"/>
      <c r="AX130" s="904">
        <v>3.1991175106820924E-2</v>
      </c>
      <c r="AY130" s="906"/>
      <c r="AZ130" s="904">
        <v>3.1991175106820924E-2</v>
      </c>
      <c r="BA130" s="906"/>
      <c r="BB130" s="904">
        <v>3.1991175106820924E-2</v>
      </c>
      <c r="BC130" s="906"/>
      <c r="BD130" s="904">
        <v>0</v>
      </c>
      <c r="BE130" s="906"/>
    </row>
    <row r="131" spans="1:87" x14ac:dyDescent="0.45">
      <c r="A131" s="744" t="s">
        <v>1956</v>
      </c>
      <c r="B131" s="904">
        <v>5.5155006560913501E-3</v>
      </c>
      <c r="C131" s="906"/>
      <c r="D131" s="904">
        <v>5.5155006560913501E-3</v>
      </c>
      <c r="E131" s="906"/>
      <c r="F131" s="904">
        <v>6.5287066246056792E-3</v>
      </c>
      <c r="G131" s="906"/>
      <c r="H131" s="904">
        <v>7.8685594111461618E-4</v>
      </c>
      <c r="I131" s="906"/>
      <c r="J131" s="904">
        <v>1.5757097791798107E-2</v>
      </c>
      <c r="K131" s="906"/>
      <c r="L131" s="904">
        <v>6.8999866908720814E-2</v>
      </c>
      <c r="M131" s="906"/>
      <c r="N131" s="904">
        <v>0</v>
      </c>
      <c r="O131" s="906"/>
      <c r="P131" s="904">
        <v>0</v>
      </c>
      <c r="Q131" s="906"/>
      <c r="R131" s="904">
        <v>6.5194532071503677E-3</v>
      </c>
      <c r="S131" s="905"/>
      <c r="T131" s="904">
        <v>5.8885383806519453E-3</v>
      </c>
      <c r="U131" s="905"/>
      <c r="V131" s="904">
        <v>6.7297581493165094E-3</v>
      </c>
      <c r="W131" s="906"/>
      <c r="X131" s="904">
        <v>1.0515247108307045E-3</v>
      </c>
      <c r="Y131" s="906"/>
      <c r="Z131" s="904">
        <v>1.0515247108307045E-3</v>
      </c>
      <c r="AA131" s="906"/>
      <c r="AB131" s="904">
        <v>7.3606729758149316E-4</v>
      </c>
      <c r="AC131" s="906"/>
      <c r="AD131" s="905">
        <v>1.1566771819137751E-3</v>
      </c>
      <c r="AE131" s="905"/>
      <c r="AF131" s="904">
        <v>1.5772870662460567E-2</v>
      </c>
      <c r="AG131" s="906"/>
      <c r="AH131" s="904">
        <v>1.4195583596214511E-2</v>
      </c>
      <c r="AI131" s="906"/>
      <c r="AJ131" s="904">
        <v>6.8769716088328076E-2</v>
      </c>
      <c r="AK131" s="906"/>
      <c r="AL131" s="904">
        <v>6.8769716088328076E-2</v>
      </c>
      <c r="AM131" s="906"/>
      <c r="AN131" s="904">
        <v>6.8769716088328076E-2</v>
      </c>
      <c r="AO131" s="906"/>
      <c r="AP131" s="904">
        <v>6.8769716088328076E-2</v>
      </c>
      <c r="AQ131" s="906"/>
      <c r="AR131" s="904">
        <v>6.8769716088328076E-2</v>
      </c>
      <c r="AS131" s="906"/>
      <c r="AT131" s="904">
        <v>9.1784798127601694E-2</v>
      </c>
      <c r="AU131" s="906"/>
      <c r="AV131" s="904">
        <v>9.1784798127601694E-2</v>
      </c>
      <c r="AW131" s="906"/>
      <c r="AX131" s="904">
        <v>9.1784798127601694E-2</v>
      </c>
      <c r="AY131" s="906"/>
      <c r="AZ131" s="904">
        <v>9.1784798127601694E-2</v>
      </c>
      <c r="BA131" s="906"/>
      <c r="BB131" s="904">
        <v>9.1784798127601694E-2</v>
      </c>
      <c r="BC131" s="906"/>
      <c r="BD131" s="904">
        <v>0</v>
      </c>
      <c r="BE131" s="906"/>
    </row>
    <row r="132" spans="1:87" x14ac:dyDescent="0.45">
      <c r="A132" s="737" t="s">
        <v>2755</v>
      </c>
      <c r="B132" s="983">
        <v>456.63537550356574</v>
      </c>
      <c r="C132" s="739"/>
      <c r="D132" s="983">
        <v>456.63537550356574</v>
      </c>
      <c r="E132" s="739"/>
      <c r="F132" s="983">
        <v>883.55289397927663</v>
      </c>
      <c r="G132" s="739"/>
      <c r="H132" s="983">
        <v>425.04694850376967</v>
      </c>
      <c r="I132" s="739"/>
      <c r="J132" s="983">
        <v>996.17743414347603</v>
      </c>
      <c r="K132" s="739"/>
      <c r="L132" s="983">
        <v>-9.5868545157151033</v>
      </c>
      <c r="M132" s="739"/>
      <c r="N132" s="983">
        <v>0</v>
      </c>
      <c r="O132" s="739"/>
      <c r="P132" s="983">
        <v>2.606190505883434</v>
      </c>
      <c r="Q132" s="739"/>
      <c r="R132" s="983">
        <v>871.77473335327238</v>
      </c>
      <c r="S132" s="738"/>
      <c r="T132" s="983">
        <v>803.16580080977565</v>
      </c>
      <c r="U132" s="738"/>
      <c r="V132" s="983">
        <v>953.83062084231074</v>
      </c>
      <c r="W132" s="739"/>
      <c r="X132" s="983">
        <v>626.08323428099447</v>
      </c>
      <c r="Y132" s="739"/>
      <c r="Z132" s="983">
        <v>626.22004440567537</v>
      </c>
      <c r="AA132" s="739"/>
      <c r="AB132" s="983">
        <v>387.40632022075221</v>
      </c>
      <c r="AC132" s="739"/>
      <c r="AD132" s="738">
        <v>617.34217249139965</v>
      </c>
      <c r="AE132" s="738"/>
      <c r="AF132" s="983">
        <v>996.94347174604741</v>
      </c>
      <c r="AG132" s="739"/>
      <c r="AH132" s="983">
        <v>920.33971148890419</v>
      </c>
      <c r="AI132" s="739"/>
      <c r="AJ132" s="983">
        <v>-9.679300485704271</v>
      </c>
      <c r="AK132" s="739"/>
      <c r="AL132" s="983">
        <v>-9.679300485704271</v>
      </c>
      <c r="AM132" s="739"/>
      <c r="AN132" s="983">
        <v>-9.679300485704271</v>
      </c>
      <c r="AO132" s="739"/>
      <c r="AP132" s="983">
        <v>-9.679300485704271</v>
      </c>
      <c r="AQ132" s="739"/>
      <c r="AR132" s="983">
        <v>-9.679300485704271</v>
      </c>
      <c r="AS132" s="739"/>
      <c r="AT132" s="983">
        <v>-0.43470348678886306</v>
      </c>
      <c r="AU132" s="739"/>
      <c r="AV132" s="983">
        <v>-0.43470348678886306</v>
      </c>
      <c r="AW132" s="739"/>
      <c r="AX132" s="983">
        <v>-0.43470348678886306</v>
      </c>
      <c r="AY132" s="739"/>
      <c r="AZ132" s="983">
        <v>-0.43470348678886306</v>
      </c>
      <c r="BA132" s="739"/>
      <c r="BB132" s="983">
        <v>-0.43470348678886306</v>
      </c>
      <c r="BC132" s="739"/>
      <c r="BD132" s="983">
        <v>95.688748685594121</v>
      </c>
      <c r="BE132" s="739"/>
    </row>
    <row r="134" spans="1:87" x14ac:dyDescent="0.45">
      <c r="A134" s="726" t="s">
        <v>2785</v>
      </c>
    </row>
    <row r="135" spans="1:87" ht="37.5" customHeight="1" x14ac:dyDescent="0.45">
      <c r="A135" s="779"/>
      <c r="B135" s="2261" t="s">
        <v>2757</v>
      </c>
      <c r="C135" s="2263"/>
      <c r="D135" s="2261" t="s">
        <v>2758</v>
      </c>
      <c r="E135" s="2263"/>
      <c r="F135" s="2261" t="s">
        <v>2786</v>
      </c>
      <c r="G135" s="2263"/>
      <c r="H135" s="2261" t="s">
        <v>2760</v>
      </c>
      <c r="I135" s="2263"/>
      <c r="J135" s="2261" t="s">
        <v>2761</v>
      </c>
      <c r="K135" s="2263"/>
      <c r="L135" s="2261" t="s">
        <v>2762</v>
      </c>
      <c r="M135" s="2263"/>
      <c r="N135" s="2261" t="s">
        <v>2763</v>
      </c>
      <c r="O135" s="2263"/>
      <c r="P135" s="2261" t="s">
        <v>2764</v>
      </c>
      <c r="Q135" s="2263"/>
      <c r="R135" s="2261" t="s">
        <v>2765</v>
      </c>
      <c r="S135" s="2263"/>
      <c r="T135" s="2261" t="s">
        <v>2766</v>
      </c>
      <c r="U135" s="2263"/>
      <c r="V135" s="2261" t="s">
        <v>2767</v>
      </c>
      <c r="W135" s="2263"/>
      <c r="X135" s="2261" t="s">
        <v>2768</v>
      </c>
      <c r="Y135" s="2263"/>
      <c r="Z135" s="2261" t="s">
        <v>2769</v>
      </c>
      <c r="AA135" s="2263"/>
      <c r="AB135" s="2261" t="s">
        <v>2770</v>
      </c>
      <c r="AC135" s="2263"/>
      <c r="AD135" s="2261" t="s">
        <v>2771</v>
      </c>
      <c r="AE135" s="2263"/>
      <c r="AF135" s="2261" t="s">
        <v>2772</v>
      </c>
      <c r="AG135" s="2263"/>
      <c r="AH135" s="2261" t="s">
        <v>2773</v>
      </c>
      <c r="AI135" s="2263"/>
      <c r="AJ135" s="2261" t="s">
        <v>2774</v>
      </c>
      <c r="AK135" s="2263"/>
      <c r="AL135" s="2261" t="s">
        <v>2775</v>
      </c>
      <c r="AM135" s="2263"/>
      <c r="AN135" s="2261" t="s">
        <v>2776</v>
      </c>
      <c r="AO135" s="2263"/>
      <c r="AP135" s="2261" t="s">
        <v>2777</v>
      </c>
      <c r="AQ135" s="2263"/>
      <c r="AR135" s="2261" t="s">
        <v>2778</v>
      </c>
      <c r="AS135" s="2263"/>
      <c r="AT135" s="2261" t="s">
        <v>2779</v>
      </c>
      <c r="AU135" s="2263"/>
      <c r="AV135" s="2261" t="s">
        <v>2780</v>
      </c>
      <c r="AW135" s="2263"/>
      <c r="AX135" s="2261" t="s">
        <v>2781</v>
      </c>
      <c r="AY135" s="2263"/>
      <c r="AZ135" s="2261" t="s">
        <v>2782</v>
      </c>
      <c r="BA135" s="2263"/>
      <c r="BB135" s="2261" t="s">
        <v>2783</v>
      </c>
      <c r="BC135" s="2263"/>
      <c r="BD135" s="2261" t="s">
        <v>2787</v>
      </c>
      <c r="BE135" s="2263"/>
      <c r="BF135" s="2261" t="s">
        <v>2788</v>
      </c>
      <c r="BG135" s="2263"/>
      <c r="BH135" s="2261" t="s">
        <v>2789</v>
      </c>
      <c r="BI135" s="2263"/>
      <c r="BJ135" s="2261" t="s">
        <v>2790</v>
      </c>
      <c r="BK135" s="2263"/>
      <c r="BL135" s="2261" t="s">
        <v>2791</v>
      </c>
      <c r="BM135" s="2263"/>
      <c r="BN135" s="2261" t="s">
        <v>2784</v>
      </c>
      <c r="BO135" s="2263"/>
      <c r="BP135" s="2261" t="s">
        <v>2792</v>
      </c>
      <c r="BQ135" s="2263"/>
      <c r="BR135" s="2261" t="s">
        <v>2793</v>
      </c>
      <c r="BS135" s="2263"/>
      <c r="BT135" s="2261" t="s">
        <v>2794</v>
      </c>
      <c r="BU135" s="2263"/>
      <c r="BV135" s="2261" t="s">
        <v>2795</v>
      </c>
      <c r="BW135" s="2263"/>
      <c r="BX135" s="2261" t="s">
        <v>2796</v>
      </c>
      <c r="BY135" s="2263"/>
      <c r="BZ135" s="2261" t="s">
        <v>2797</v>
      </c>
      <c r="CA135" s="2263"/>
      <c r="CB135" s="2261" t="s">
        <v>2798</v>
      </c>
      <c r="CC135" s="2263"/>
      <c r="CD135" s="2261" t="s">
        <v>2799</v>
      </c>
      <c r="CE135" s="2263"/>
      <c r="CF135" s="2261" t="s">
        <v>2800</v>
      </c>
      <c r="CG135" s="2263"/>
      <c r="CH135" s="2261" t="s">
        <v>2801</v>
      </c>
      <c r="CI135" s="2263"/>
    </row>
    <row r="136" spans="1:87" x14ac:dyDescent="0.45">
      <c r="A136" s="937" t="s">
        <v>2802</v>
      </c>
      <c r="B136" s="1051" t="s">
        <v>127</v>
      </c>
      <c r="C136" s="1052" t="s">
        <v>668</v>
      </c>
      <c r="D136" s="1051" t="s">
        <v>127</v>
      </c>
      <c r="E136" s="1052" t="s">
        <v>668</v>
      </c>
      <c r="F136" s="1051" t="s">
        <v>127</v>
      </c>
      <c r="G136" s="1052" t="s">
        <v>668</v>
      </c>
      <c r="H136" s="1051" t="s">
        <v>127</v>
      </c>
      <c r="I136" s="1052" t="s">
        <v>668</v>
      </c>
      <c r="J136" s="1051" t="s">
        <v>127</v>
      </c>
      <c r="K136" s="1052" t="s">
        <v>668</v>
      </c>
      <c r="L136" s="1051" t="s">
        <v>127</v>
      </c>
      <c r="M136" s="1052" t="s">
        <v>668</v>
      </c>
      <c r="N136" s="1051" t="s">
        <v>127</v>
      </c>
      <c r="O136" s="1052" t="s">
        <v>668</v>
      </c>
      <c r="P136" s="1051" t="s">
        <v>127</v>
      </c>
      <c r="Q136" s="1052" t="s">
        <v>668</v>
      </c>
      <c r="R136" s="1051" t="s">
        <v>127</v>
      </c>
      <c r="S136" s="1052" t="s">
        <v>668</v>
      </c>
      <c r="T136" s="1051" t="s">
        <v>127</v>
      </c>
      <c r="U136" s="1052" t="s">
        <v>668</v>
      </c>
      <c r="V136" s="1051" t="s">
        <v>127</v>
      </c>
      <c r="W136" s="1052" t="s">
        <v>668</v>
      </c>
      <c r="X136" s="1051" t="s">
        <v>127</v>
      </c>
      <c r="Y136" s="1052" t="s">
        <v>668</v>
      </c>
      <c r="Z136" s="1051" t="s">
        <v>127</v>
      </c>
      <c r="AA136" s="1052" t="s">
        <v>668</v>
      </c>
      <c r="AB136" s="1051" t="s">
        <v>127</v>
      </c>
      <c r="AC136" s="1052" t="s">
        <v>668</v>
      </c>
      <c r="AD136" s="1051" t="s">
        <v>127</v>
      </c>
      <c r="AE136" s="1052" t="s">
        <v>668</v>
      </c>
      <c r="AF136" s="1051" t="s">
        <v>127</v>
      </c>
      <c r="AG136" s="1052" t="s">
        <v>668</v>
      </c>
      <c r="AH136" s="1051" t="s">
        <v>127</v>
      </c>
      <c r="AI136" s="1052" t="s">
        <v>668</v>
      </c>
      <c r="AJ136" s="1051" t="s">
        <v>127</v>
      </c>
      <c r="AK136" s="1052" t="s">
        <v>668</v>
      </c>
      <c r="AL136" s="1051" t="s">
        <v>127</v>
      </c>
      <c r="AM136" s="1052" t="s">
        <v>668</v>
      </c>
      <c r="AN136" s="1051" t="s">
        <v>127</v>
      </c>
      <c r="AO136" s="1052" t="s">
        <v>668</v>
      </c>
      <c r="AP136" s="1051" t="s">
        <v>127</v>
      </c>
      <c r="AQ136" s="1052" t="s">
        <v>668</v>
      </c>
      <c r="AR136" s="1051" t="s">
        <v>127</v>
      </c>
      <c r="AS136" s="1052" t="s">
        <v>668</v>
      </c>
      <c r="AT136" s="1051" t="s">
        <v>127</v>
      </c>
      <c r="AU136" s="1052" t="s">
        <v>668</v>
      </c>
      <c r="AV136" s="1051" t="s">
        <v>127</v>
      </c>
      <c r="AW136" s="1052" t="s">
        <v>668</v>
      </c>
      <c r="AX136" s="1051" t="s">
        <v>127</v>
      </c>
      <c r="AY136" s="1052" t="s">
        <v>668</v>
      </c>
      <c r="AZ136" s="1051" t="s">
        <v>127</v>
      </c>
      <c r="BA136" s="1052" t="s">
        <v>668</v>
      </c>
      <c r="BB136" s="1051" t="s">
        <v>127</v>
      </c>
      <c r="BC136" s="1052" t="s">
        <v>668</v>
      </c>
      <c r="BD136" s="1051" t="s">
        <v>127</v>
      </c>
      <c r="BE136" s="1052" t="s">
        <v>668</v>
      </c>
      <c r="BF136" s="1051" t="s">
        <v>127</v>
      </c>
      <c r="BG136" s="1052" t="s">
        <v>668</v>
      </c>
      <c r="BH136" s="1051" t="s">
        <v>127</v>
      </c>
      <c r="BI136" s="1052" t="s">
        <v>668</v>
      </c>
      <c r="BJ136" s="1051" t="s">
        <v>127</v>
      </c>
      <c r="BK136" s="1052" t="s">
        <v>668</v>
      </c>
      <c r="BL136" s="1051" t="s">
        <v>127</v>
      </c>
      <c r="BM136" s="1052" t="s">
        <v>668</v>
      </c>
      <c r="BN136" s="1051" t="s">
        <v>127</v>
      </c>
      <c r="BO136" s="1052" t="s">
        <v>668</v>
      </c>
      <c r="BP136" s="1051" t="s">
        <v>127</v>
      </c>
      <c r="BQ136" s="1052" t="s">
        <v>668</v>
      </c>
      <c r="BR136" s="1051" t="s">
        <v>127</v>
      </c>
      <c r="BS136" s="1052" t="s">
        <v>668</v>
      </c>
      <c r="BT136" s="1051" t="s">
        <v>127</v>
      </c>
      <c r="BU136" s="1052" t="s">
        <v>668</v>
      </c>
      <c r="BV136" s="1051" t="s">
        <v>127</v>
      </c>
      <c r="BW136" s="1052" t="s">
        <v>668</v>
      </c>
      <c r="BX136" s="1051" t="s">
        <v>127</v>
      </c>
      <c r="BY136" s="1052" t="s">
        <v>668</v>
      </c>
      <c r="BZ136" s="1051" t="s">
        <v>127</v>
      </c>
      <c r="CA136" s="1052" t="s">
        <v>668</v>
      </c>
      <c r="CB136" s="1051" t="s">
        <v>127</v>
      </c>
      <c r="CC136" s="1052" t="s">
        <v>668</v>
      </c>
      <c r="CD136" s="1051" t="s">
        <v>127</v>
      </c>
      <c r="CE136" s="1052" t="s">
        <v>668</v>
      </c>
      <c r="CF136" s="1051" t="s">
        <v>127</v>
      </c>
      <c r="CG136" s="1052" t="s">
        <v>668</v>
      </c>
      <c r="CH136" s="1051" t="s">
        <v>127</v>
      </c>
      <c r="CI136" s="1052" t="s">
        <v>668</v>
      </c>
    </row>
    <row r="137" spans="1:87" x14ac:dyDescent="0.45">
      <c r="A137" s="768" t="s">
        <v>2385</v>
      </c>
      <c r="B137" s="879">
        <v>13992.693881688363</v>
      </c>
      <c r="C137" s="877"/>
      <c r="D137" s="879">
        <v>13992.693881688363</v>
      </c>
      <c r="E137" s="877"/>
      <c r="F137" s="879">
        <v>3044707.5891621807</v>
      </c>
      <c r="G137" s="877"/>
      <c r="H137" s="879">
        <v>0</v>
      </c>
      <c r="I137" s="877"/>
      <c r="J137" s="879">
        <v>0</v>
      </c>
      <c r="K137" s="877"/>
      <c r="L137" s="879">
        <v>0</v>
      </c>
      <c r="M137" s="877"/>
      <c r="N137" s="879">
        <v>0</v>
      </c>
      <c r="O137" s="877"/>
      <c r="P137" s="879">
        <v>0</v>
      </c>
      <c r="Q137" s="877"/>
      <c r="R137" s="879">
        <v>3004356.3166591562</v>
      </c>
      <c r="S137" s="877"/>
      <c r="T137" s="879">
        <v>2767170.2916597491</v>
      </c>
      <c r="U137" s="877"/>
      <c r="V137" s="879">
        <v>3286014.7213459518</v>
      </c>
      <c r="W137" s="877"/>
      <c r="X137" s="879">
        <v>0</v>
      </c>
      <c r="Y137" s="877"/>
      <c r="Z137" s="879">
        <v>0</v>
      </c>
      <c r="AA137" s="877"/>
      <c r="AB137" s="879">
        <v>0</v>
      </c>
      <c r="AC137" s="877"/>
      <c r="AD137" s="879">
        <v>0</v>
      </c>
      <c r="AE137" s="877"/>
      <c r="AF137" s="879">
        <v>0</v>
      </c>
      <c r="AG137" s="877"/>
      <c r="AH137" s="879">
        <v>0</v>
      </c>
      <c r="AI137" s="877"/>
      <c r="AJ137" s="879">
        <v>0</v>
      </c>
      <c r="AK137" s="877"/>
      <c r="AL137" s="879">
        <v>0</v>
      </c>
      <c r="AM137" s="877"/>
      <c r="AN137" s="879">
        <v>0</v>
      </c>
      <c r="AO137" s="877"/>
      <c r="AP137" s="879">
        <v>0</v>
      </c>
      <c r="AQ137" s="877"/>
      <c r="AR137" s="879">
        <v>0</v>
      </c>
      <c r="AS137" s="877"/>
      <c r="AT137" s="879">
        <v>0</v>
      </c>
      <c r="AU137" s="877"/>
      <c r="AV137" s="879">
        <v>0</v>
      </c>
      <c r="AW137" s="877"/>
      <c r="AX137" s="879">
        <v>0</v>
      </c>
      <c r="AY137" s="877"/>
      <c r="AZ137" s="879">
        <v>0</v>
      </c>
      <c r="BA137" s="877"/>
      <c r="BB137" s="879">
        <v>0</v>
      </c>
      <c r="BC137" s="877"/>
      <c r="BD137" s="879">
        <v>0</v>
      </c>
      <c r="BE137" s="877"/>
      <c r="BF137" s="879">
        <v>0</v>
      </c>
      <c r="BG137" s="877"/>
      <c r="BH137" s="879">
        <v>0</v>
      </c>
      <c r="BI137" s="877"/>
      <c r="BJ137" s="879">
        <v>0</v>
      </c>
      <c r="BK137" s="877"/>
      <c r="BL137" s="879">
        <v>0</v>
      </c>
      <c r="BM137" s="877"/>
      <c r="BN137" s="879">
        <v>0</v>
      </c>
      <c r="BO137" s="877"/>
      <c r="BP137" s="879">
        <v>0</v>
      </c>
      <c r="BQ137" s="877"/>
      <c r="BR137" s="879">
        <v>0</v>
      </c>
      <c r="BS137" s="877"/>
      <c r="BT137" s="879">
        <v>0</v>
      </c>
      <c r="BU137" s="877"/>
      <c r="BV137" s="879">
        <v>0</v>
      </c>
      <c r="BW137" s="877"/>
      <c r="BX137" s="879">
        <v>0</v>
      </c>
      <c r="BY137" s="877"/>
      <c r="BZ137" s="879">
        <v>0</v>
      </c>
      <c r="CA137" s="877"/>
      <c r="CB137" s="879">
        <v>0</v>
      </c>
      <c r="CC137" s="877"/>
      <c r="CD137" s="879">
        <v>0</v>
      </c>
      <c r="CE137" s="877"/>
      <c r="CF137" s="879">
        <v>0</v>
      </c>
      <c r="CG137" s="877"/>
      <c r="CH137" s="879">
        <v>0</v>
      </c>
      <c r="CI137" s="877"/>
    </row>
    <row r="138" spans="1:87" x14ac:dyDescent="0.45">
      <c r="A138" s="768" t="s">
        <v>2803</v>
      </c>
      <c r="B138" s="879">
        <v>624730.92576236057</v>
      </c>
      <c r="C138" s="877"/>
      <c r="D138" s="879">
        <v>624730.92576236057</v>
      </c>
      <c r="E138" s="877"/>
      <c r="F138" s="879">
        <v>0</v>
      </c>
      <c r="G138" s="877"/>
      <c r="H138" s="879">
        <v>2098438.4576887828</v>
      </c>
      <c r="I138" s="877"/>
      <c r="J138" s="879">
        <v>0</v>
      </c>
      <c r="K138" s="877"/>
      <c r="L138" s="879">
        <v>0</v>
      </c>
      <c r="M138" s="877"/>
      <c r="N138" s="879">
        <v>0</v>
      </c>
      <c r="O138" s="877"/>
      <c r="P138" s="879">
        <v>0</v>
      </c>
      <c r="Q138" s="877"/>
      <c r="R138" s="879">
        <v>0</v>
      </c>
      <c r="S138" s="877"/>
      <c r="T138" s="879">
        <v>0</v>
      </c>
      <c r="U138" s="877"/>
      <c r="V138" s="879">
        <v>0</v>
      </c>
      <c r="W138" s="877"/>
      <c r="X138" s="879">
        <v>3092719.7377373665</v>
      </c>
      <c r="Y138" s="877"/>
      <c r="Z138" s="879">
        <v>3092719.7377373665</v>
      </c>
      <c r="AA138" s="877"/>
      <c r="AB138" s="879">
        <v>1911863.110601281</v>
      </c>
      <c r="AC138" s="877"/>
      <c r="AD138" s="879">
        <v>3092719.7377373665</v>
      </c>
      <c r="AE138" s="877"/>
      <c r="AF138" s="879">
        <v>0</v>
      </c>
      <c r="AG138" s="877"/>
      <c r="AH138" s="879">
        <v>0</v>
      </c>
      <c r="AI138" s="877"/>
      <c r="AJ138" s="879">
        <v>0</v>
      </c>
      <c r="AK138" s="877"/>
      <c r="AL138" s="879">
        <v>0</v>
      </c>
      <c r="AM138" s="877"/>
      <c r="AN138" s="879">
        <v>0</v>
      </c>
      <c r="AO138" s="877"/>
      <c r="AP138" s="879">
        <v>0</v>
      </c>
      <c r="AQ138" s="877"/>
      <c r="AR138" s="879">
        <v>0</v>
      </c>
      <c r="AS138" s="877"/>
      <c r="AT138" s="879">
        <v>0</v>
      </c>
      <c r="AU138" s="877"/>
      <c r="AV138" s="879">
        <v>0</v>
      </c>
      <c r="AW138" s="877"/>
      <c r="AX138" s="879">
        <v>0</v>
      </c>
      <c r="AY138" s="877"/>
      <c r="AZ138" s="879">
        <v>0</v>
      </c>
      <c r="BA138" s="877"/>
      <c r="BB138" s="879">
        <v>0</v>
      </c>
      <c r="BC138" s="877"/>
      <c r="BD138" s="879">
        <v>0</v>
      </c>
      <c r="BE138" s="877"/>
      <c r="BF138" s="879">
        <v>0</v>
      </c>
      <c r="BG138" s="877"/>
      <c r="BH138" s="879">
        <v>0</v>
      </c>
      <c r="BI138" s="877"/>
      <c r="BJ138" s="879">
        <v>0</v>
      </c>
      <c r="BK138" s="877"/>
      <c r="BL138" s="879">
        <v>0</v>
      </c>
      <c r="BM138" s="877"/>
      <c r="BN138" s="879">
        <v>0</v>
      </c>
      <c r="BO138" s="877"/>
      <c r="BP138" s="879">
        <v>0</v>
      </c>
      <c r="BQ138" s="877"/>
      <c r="BR138" s="879">
        <v>0</v>
      </c>
      <c r="BS138" s="877"/>
      <c r="BT138" s="879">
        <v>2118605.5284495843</v>
      </c>
      <c r="BU138" s="877"/>
      <c r="BV138" s="879">
        <v>2122131.2094537904</v>
      </c>
      <c r="BW138" s="877"/>
      <c r="BX138" s="879">
        <v>1544089.1495311372</v>
      </c>
      <c r="BY138" s="877"/>
      <c r="BZ138" s="879">
        <v>1991524.073543001</v>
      </c>
      <c r="CA138" s="877"/>
      <c r="CB138" s="879">
        <v>1598061.8705633807</v>
      </c>
      <c r="CC138" s="877"/>
      <c r="CD138" s="879">
        <v>6.3402893358470262E-3</v>
      </c>
      <c r="CE138" s="877"/>
      <c r="CF138" s="879">
        <v>227564.39671382584</v>
      </c>
      <c r="CG138" s="877"/>
      <c r="CH138" s="879">
        <v>0</v>
      </c>
      <c r="CI138" s="877"/>
    </row>
    <row r="139" spans="1:87" x14ac:dyDescent="0.45">
      <c r="A139" s="768" t="s">
        <v>1535</v>
      </c>
      <c r="B139" s="879">
        <v>954024.41703844513</v>
      </c>
      <c r="C139" s="877"/>
      <c r="D139" s="879">
        <v>954024.41703844513</v>
      </c>
      <c r="E139" s="877"/>
      <c r="F139" s="879">
        <v>0</v>
      </c>
      <c r="G139" s="877"/>
      <c r="H139" s="879">
        <v>0</v>
      </c>
      <c r="I139" s="877"/>
      <c r="J139" s="879">
        <v>2918655.1268570195</v>
      </c>
      <c r="K139" s="877"/>
      <c r="L139" s="879">
        <v>0</v>
      </c>
      <c r="M139" s="877"/>
      <c r="N139" s="879">
        <v>0</v>
      </c>
      <c r="O139" s="877"/>
      <c r="P139" s="879">
        <v>0</v>
      </c>
      <c r="Q139" s="877"/>
      <c r="R139" s="879">
        <v>0</v>
      </c>
      <c r="S139" s="877"/>
      <c r="T139" s="879">
        <v>0</v>
      </c>
      <c r="U139" s="877"/>
      <c r="V139" s="879">
        <v>0</v>
      </c>
      <c r="W139" s="877"/>
      <c r="X139" s="879">
        <v>0</v>
      </c>
      <c r="Y139" s="877"/>
      <c r="Z139" s="879">
        <v>0</v>
      </c>
      <c r="AA139" s="877"/>
      <c r="AB139" s="879">
        <v>0</v>
      </c>
      <c r="AC139" s="877"/>
      <c r="AD139" s="879">
        <v>0</v>
      </c>
      <c r="AE139" s="877"/>
      <c r="AF139" s="879">
        <v>2920901.9745297353</v>
      </c>
      <c r="AG139" s="877"/>
      <c r="AH139" s="879">
        <v>2696217.2072582166</v>
      </c>
      <c r="AI139" s="877"/>
      <c r="AJ139" s="879">
        <v>0</v>
      </c>
      <c r="AK139" s="877"/>
      <c r="AL139" s="879">
        <v>0</v>
      </c>
      <c r="AM139" s="877"/>
      <c r="AN139" s="879">
        <v>0</v>
      </c>
      <c r="AO139" s="877"/>
      <c r="AP139" s="879">
        <v>0</v>
      </c>
      <c r="AQ139" s="877"/>
      <c r="AR139" s="879">
        <v>0</v>
      </c>
      <c r="AS139" s="877"/>
      <c r="AT139" s="879">
        <v>0</v>
      </c>
      <c r="AU139" s="877"/>
      <c r="AV139" s="879">
        <v>0</v>
      </c>
      <c r="AW139" s="877"/>
      <c r="AX139" s="879">
        <v>0</v>
      </c>
      <c r="AY139" s="877"/>
      <c r="AZ139" s="879">
        <v>0</v>
      </c>
      <c r="BA139" s="877"/>
      <c r="BB139" s="879">
        <v>0</v>
      </c>
      <c r="BC139" s="877"/>
      <c r="BD139" s="879">
        <v>0</v>
      </c>
      <c r="BE139" s="877"/>
      <c r="BF139" s="879">
        <v>0</v>
      </c>
      <c r="BG139" s="877"/>
      <c r="BH139" s="879">
        <v>0</v>
      </c>
      <c r="BI139" s="877"/>
      <c r="BJ139" s="879">
        <v>0</v>
      </c>
      <c r="BK139" s="877"/>
      <c r="BL139" s="879">
        <v>0</v>
      </c>
      <c r="BM139" s="877"/>
      <c r="BN139" s="879">
        <v>0</v>
      </c>
      <c r="BO139" s="877"/>
      <c r="BP139" s="879">
        <v>0</v>
      </c>
      <c r="BQ139" s="877"/>
      <c r="BR139" s="879">
        <v>0</v>
      </c>
      <c r="BS139" s="877"/>
      <c r="BT139" s="879">
        <v>0</v>
      </c>
      <c r="BU139" s="877"/>
      <c r="BV139" s="879">
        <v>0</v>
      </c>
      <c r="BW139" s="877"/>
      <c r="BX139" s="879">
        <v>0</v>
      </c>
      <c r="BY139" s="877"/>
      <c r="BZ139" s="879">
        <v>0</v>
      </c>
      <c r="CA139" s="877"/>
      <c r="CB139" s="879">
        <v>0</v>
      </c>
      <c r="CC139" s="877"/>
      <c r="CD139" s="879">
        <v>3846403.4555155956</v>
      </c>
      <c r="CE139" s="877"/>
      <c r="CF139" s="879">
        <v>3405834.1973714936</v>
      </c>
      <c r="CG139" s="877"/>
      <c r="CH139" s="879">
        <v>2242056.9527307134</v>
      </c>
      <c r="CI139" s="877"/>
    </row>
    <row r="140" spans="1:87" x14ac:dyDescent="0.45">
      <c r="A140" s="768" t="s">
        <v>2804</v>
      </c>
      <c r="B140" s="879">
        <v>6943.9899825133207</v>
      </c>
      <c r="C140" s="877"/>
      <c r="D140" s="879">
        <v>6943.9899825133207</v>
      </c>
      <c r="E140" s="877"/>
      <c r="F140" s="879">
        <v>0</v>
      </c>
      <c r="G140" s="877"/>
      <c r="H140" s="879">
        <v>0</v>
      </c>
      <c r="I140" s="877"/>
      <c r="J140" s="879">
        <v>0</v>
      </c>
      <c r="K140" s="877"/>
      <c r="L140" s="879">
        <v>4758149.3165089386</v>
      </c>
      <c r="M140" s="877"/>
      <c r="N140" s="879">
        <v>0</v>
      </c>
      <c r="O140" s="877"/>
      <c r="P140" s="879">
        <v>0</v>
      </c>
      <c r="Q140" s="877"/>
      <c r="R140" s="879">
        <v>0</v>
      </c>
      <c r="S140" s="877"/>
      <c r="T140" s="879">
        <v>0</v>
      </c>
      <c r="U140" s="877"/>
      <c r="V140" s="879">
        <v>0</v>
      </c>
      <c r="W140" s="877"/>
      <c r="X140" s="879">
        <v>0</v>
      </c>
      <c r="Y140" s="877"/>
      <c r="Z140" s="879">
        <v>0</v>
      </c>
      <c r="AA140" s="877"/>
      <c r="AB140" s="879">
        <v>0</v>
      </c>
      <c r="AC140" s="877"/>
      <c r="AD140" s="879">
        <v>0</v>
      </c>
      <c r="AE140" s="877"/>
      <c r="AF140" s="879">
        <v>0</v>
      </c>
      <c r="AG140" s="877"/>
      <c r="AH140" s="879">
        <v>0</v>
      </c>
      <c r="AI140" s="877"/>
      <c r="AJ140" s="879">
        <v>4779657.7765032034</v>
      </c>
      <c r="AK140" s="877"/>
      <c r="AL140" s="879">
        <v>4779657.7765032034</v>
      </c>
      <c r="AM140" s="877"/>
      <c r="AN140" s="879">
        <v>4779657.7765032034</v>
      </c>
      <c r="AO140" s="877"/>
      <c r="AP140" s="879">
        <v>4779657.7765032034</v>
      </c>
      <c r="AQ140" s="877"/>
      <c r="AR140" s="879">
        <v>4779657.7765032034</v>
      </c>
      <c r="AS140" s="877"/>
      <c r="AT140" s="879">
        <v>2628811.7770767612</v>
      </c>
      <c r="AU140" s="877"/>
      <c r="AV140" s="879">
        <v>2628811.7770767612</v>
      </c>
      <c r="AW140" s="877"/>
      <c r="AX140" s="879">
        <v>2628811.7770767612</v>
      </c>
      <c r="AY140" s="877"/>
      <c r="AZ140" s="879">
        <v>2628811.7770767612</v>
      </c>
      <c r="BA140" s="877"/>
      <c r="BB140" s="879">
        <v>2628811.7770767612</v>
      </c>
      <c r="BC140" s="877"/>
      <c r="BD140" s="879">
        <v>0</v>
      </c>
      <c r="BE140" s="877"/>
      <c r="BF140" s="879">
        <v>0</v>
      </c>
      <c r="BG140" s="877"/>
      <c r="BH140" s="879">
        <v>0</v>
      </c>
      <c r="BI140" s="877"/>
      <c r="BJ140" s="879">
        <v>0</v>
      </c>
      <c r="BK140" s="877"/>
      <c r="BL140" s="879">
        <v>0</v>
      </c>
      <c r="BM140" s="877"/>
      <c r="BN140" s="879">
        <v>0</v>
      </c>
      <c r="BO140" s="877"/>
      <c r="BP140" s="879">
        <v>0</v>
      </c>
      <c r="BQ140" s="877"/>
      <c r="BR140" s="879">
        <v>0</v>
      </c>
      <c r="BS140" s="877"/>
      <c r="BT140" s="879">
        <v>0</v>
      </c>
      <c r="BU140" s="877"/>
      <c r="BV140" s="879">
        <v>0</v>
      </c>
      <c r="BW140" s="877"/>
      <c r="BX140" s="879">
        <v>0</v>
      </c>
      <c r="BY140" s="877"/>
      <c r="BZ140" s="879">
        <v>0</v>
      </c>
      <c r="CA140" s="877"/>
      <c r="CB140" s="879">
        <v>0</v>
      </c>
      <c r="CC140" s="877"/>
      <c r="CD140" s="879">
        <v>0</v>
      </c>
      <c r="CE140" s="877"/>
      <c r="CF140" s="879">
        <v>0</v>
      </c>
      <c r="CG140" s="877"/>
      <c r="CH140" s="879">
        <v>0</v>
      </c>
      <c r="CI140" s="877"/>
    </row>
    <row r="141" spans="1:87" x14ac:dyDescent="0.45">
      <c r="A141" s="768" t="s">
        <v>2805</v>
      </c>
      <c r="B141" s="879">
        <v>216783.65040470264</v>
      </c>
      <c r="C141" s="877"/>
      <c r="D141" s="879">
        <v>216783.65040470264</v>
      </c>
      <c r="E141" s="877"/>
      <c r="F141" s="879">
        <v>0</v>
      </c>
      <c r="G141" s="877"/>
      <c r="H141" s="879">
        <v>0</v>
      </c>
      <c r="I141" s="877"/>
      <c r="J141" s="879">
        <v>0</v>
      </c>
      <c r="K141" s="877"/>
      <c r="L141" s="879">
        <v>0</v>
      </c>
      <c r="M141" s="877"/>
      <c r="N141" s="879">
        <v>1051524.7108307045</v>
      </c>
      <c r="O141" s="877"/>
      <c r="P141" s="879">
        <v>0</v>
      </c>
      <c r="Q141" s="877"/>
      <c r="R141" s="879">
        <v>0</v>
      </c>
      <c r="S141" s="877"/>
      <c r="T141" s="879">
        <v>0</v>
      </c>
      <c r="U141" s="877"/>
      <c r="V141" s="879">
        <v>0</v>
      </c>
      <c r="W141" s="877"/>
      <c r="X141" s="879">
        <v>0</v>
      </c>
      <c r="Y141" s="877"/>
      <c r="Z141" s="879">
        <v>0</v>
      </c>
      <c r="AA141" s="877"/>
      <c r="AB141" s="879">
        <v>0</v>
      </c>
      <c r="AC141" s="877"/>
      <c r="AD141" s="879">
        <v>0</v>
      </c>
      <c r="AE141" s="877"/>
      <c r="AF141" s="879">
        <v>0</v>
      </c>
      <c r="AG141" s="877"/>
      <c r="AH141" s="879">
        <v>0</v>
      </c>
      <c r="AI141" s="877"/>
      <c r="AJ141" s="879">
        <v>0</v>
      </c>
      <c r="AK141" s="877"/>
      <c r="AL141" s="879">
        <v>0</v>
      </c>
      <c r="AM141" s="877"/>
      <c r="AN141" s="879">
        <v>0</v>
      </c>
      <c r="AO141" s="877"/>
      <c r="AP141" s="879">
        <v>0</v>
      </c>
      <c r="AQ141" s="877"/>
      <c r="AR141" s="879">
        <v>0</v>
      </c>
      <c r="AS141" s="877"/>
      <c r="AT141" s="879">
        <v>0</v>
      </c>
      <c r="AU141" s="877"/>
      <c r="AV141" s="879">
        <v>0</v>
      </c>
      <c r="AW141" s="877"/>
      <c r="AX141" s="879">
        <v>0</v>
      </c>
      <c r="AY141" s="877"/>
      <c r="AZ141" s="879">
        <v>0</v>
      </c>
      <c r="BA141" s="877"/>
      <c r="BB141" s="879">
        <v>0</v>
      </c>
      <c r="BC141" s="877"/>
      <c r="BD141" s="879">
        <v>1051524.7108307045</v>
      </c>
      <c r="BE141" s="877"/>
      <c r="BF141" s="879">
        <v>1051524.7108307045</v>
      </c>
      <c r="BG141" s="877"/>
      <c r="BH141" s="879">
        <v>0</v>
      </c>
      <c r="BI141" s="877"/>
      <c r="BJ141" s="879">
        <v>0</v>
      </c>
      <c r="BK141" s="877"/>
      <c r="BL141" s="879">
        <v>0</v>
      </c>
      <c r="BM141" s="877"/>
      <c r="BN141" s="879">
        <v>0</v>
      </c>
      <c r="BO141" s="877"/>
      <c r="BP141" s="879">
        <v>0</v>
      </c>
      <c r="BQ141" s="877"/>
      <c r="BR141" s="879">
        <v>0</v>
      </c>
      <c r="BS141" s="877"/>
      <c r="BT141" s="879">
        <v>0</v>
      </c>
      <c r="BU141" s="877"/>
      <c r="BV141" s="879">
        <v>0</v>
      </c>
      <c r="BW141" s="877"/>
      <c r="BX141" s="879">
        <v>0</v>
      </c>
      <c r="BY141" s="877"/>
      <c r="BZ141" s="879">
        <v>0</v>
      </c>
      <c r="CA141" s="877"/>
      <c r="CB141" s="879">
        <v>0</v>
      </c>
      <c r="CC141" s="877"/>
      <c r="CD141" s="879">
        <v>0</v>
      </c>
      <c r="CE141" s="877"/>
      <c r="CF141" s="879">
        <v>0</v>
      </c>
      <c r="CG141" s="877"/>
      <c r="CH141" s="879">
        <v>0</v>
      </c>
      <c r="CI141" s="877"/>
    </row>
    <row r="142" spans="1:87" x14ac:dyDescent="0.45">
      <c r="A142" s="755" t="s">
        <v>2806</v>
      </c>
      <c r="B142" s="983">
        <v>171608.92147243707</v>
      </c>
      <c r="C142" s="739"/>
      <c r="D142" s="983">
        <v>171608.92147243707</v>
      </c>
      <c r="E142" s="739"/>
      <c r="F142" s="983">
        <v>0</v>
      </c>
      <c r="G142" s="739"/>
      <c r="H142" s="983">
        <v>0</v>
      </c>
      <c r="I142" s="739"/>
      <c r="J142" s="983">
        <v>0</v>
      </c>
      <c r="K142" s="739"/>
      <c r="L142" s="983">
        <v>0</v>
      </c>
      <c r="M142" s="739"/>
      <c r="N142" s="983">
        <v>0</v>
      </c>
      <c r="O142" s="739"/>
      <c r="P142" s="983">
        <v>1051524.7108307045</v>
      </c>
      <c r="Q142" s="739"/>
      <c r="R142" s="983">
        <v>0</v>
      </c>
      <c r="S142" s="739"/>
      <c r="T142" s="983">
        <v>0</v>
      </c>
      <c r="U142" s="739"/>
      <c r="V142" s="983">
        <v>0</v>
      </c>
      <c r="W142" s="739"/>
      <c r="X142" s="983">
        <v>0</v>
      </c>
      <c r="Y142" s="739"/>
      <c r="Z142" s="983">
        <v>0</v>
      </c>
      <c r="AA142" s="739"/>
      <c r="AB142" s="983">
        <v>0</v>
      </c>
      <c r="AC142" s="739"/>
      <c r="AD142" s="983">
        <v>0</v>
      </c>
      <c r="AE142" s="739"/>
      <c r="AF142" s="983">
        <v>0</v>
      </c>
      <c r="AG142" s="739"/>
      <c r="AH142" s="983">
        <v>0</v>
      </c>
      <c r="AI142" s="739"/>
      <c r="AJ142" s="983">
        <v>0</v>
      </c>
      <c r="AK142" s="739"/>
      <c r="AL142" s="983">
        <v>0</v>
      </c>
      <c r="AM142" s="739"/>
      <c r="AN142" s="983">
        <v>0</v>
      </c>
      <c r="AO142" s="739"/>
      <c r="AP142" s="983">
        <v>0</v>
      </c>
      <c r="AQ142" s="739"/>
      <c r="AR142" s="983">
        <v>0</v>
      </c>
      <c r="AS142" s="739"/>
      <c r="AT142" s="983">
        <v>0</v>
      </c>
      <c r="AU142" s="739"/>
      <c r="AV142" s="983">
        <v>0</v>
      </c>
      <c r="AW142" s="739"/>
      <c r="AX142" s="983">
        <v>0</v>
      </c>
      <c r="AY142" s="739"/>
      <c r="AZ142" s="983">
        <v>0</v>
      </c>
      <c r="BA142" s="739"/>
      <c r="BB142" s="983">
        <v>0</v>
      </c>
      <c r="BC142" s="739"/>
      <c r="BD142" s="983">
        <v>0</v>
      </c>
      <c r="BE142" s="739"/>
      <c r="BF142" s="983">
        <v>0</v>
      </c>
      <c r="BG142" s="739"/>
      <c r="BH142" s="983">
        <v>1051524.7108307045</v>
      </c>
      <c r="BI142" s="739"/>
      <c r="BJ142" s="983">
        <v>1051524.7108307045</v>
      </c>
      <c r="BK142" s="739"/>
      <c r="BL142" s="983">
        <v>1051524.7108307045</v>
      </c>
      <c r="BM142" s="739"/>
      <c r="BN142" s="983">
        <v>1051524.7108307045</v>
      </c>
      <c r="BO142" s="739"/>
      <c r="BP142" s="983">
        <v>1051524.7108307045</v>
      </c>
      <c r="BQ142" s="739"/>
      <c r="BR142" s="983">
        <v>1051524.7108307045</v>
      </c>
      <c r="BS142" s="739"/>
      <c r="BT142" s="983">
        <v>0</v>
      </c>
      <c r="BU142" s="739"/>
      <c r="BV142" s="983">
        <v>0</v>
      </c>
      <c r="BW142" s="739"/>
      <c r="BX142" s="983">
        <v>0</v>
      </c>
      <c r="BY142" s="739"/>
      <c r="BZ142" s="983">
        <v>0</v>
      </c>
      <c r="CA142" s="739"/>
      <c r="CB142" s="983">
        <v>0</v>
      </c>
      <c r="CC142" s="739"/>
      <c r="CD142" s="983">
        <v>0</v>
      </c>
      <c r="CE142" s="739"/>
      <c r="CF142" s="983">
        <v>0</v>
      </c>
      <c r="CG142" s="739"/>
      <c r="CH142" s="983">
        <v>0</v>
      </c>
      <c r="CI142" s="739"/>
    </row>
    <row r="143" spans="1:87" x14ac:dyDescent="0.45">
      <c r="A143" s="855" t="s">
        <v>2807</v>
      </c>
      <c r="B143" s="879"/>
      <c r="C143" s="877"/>
      <c r="D143" s="879"/>
      <c r="E143" s="877"/>
      <c r="F143" s="879"/>
      <c r="G143" s="877"/>
      <c r="H143" s="879"/>
      <c r="I143" s="877"/>
      <c r="J143" s="879"/>
      <c r="K143" s="877"/>
      <c r="L143" s="879"/>
      <c r="M143" s="877"/>
      <c r="N143" s="879"/>
      <c r="O143" s="877"/>
      <c r="P143" s="879"/>
      <c r="Q143" s="877"/>
      <c r="R143" s="879"/>
      <c r="S143" s="877"/>
      <c r="T143" s="879"/>
      <c r="U143" s="877"/>
      <c r="V143" s="879"/>
      <c r="W143" s="877"/>
      <c r="X143" s="879"/>
      <c r="Y143" s="877"/>
      <c r="Z143" s="879"/>
      <c r="AA143" s="877"/>
      <c r="AB143" s="879"/>
      <c r="AC143" s="877"/>
      <c r="AD143" s="879"/>
      <c r="AE143" s="877"/>
      <c r="AF143" s="879"/>
      <c r="AG143" s="877"/>
      <c r="AH143" s="879"/>
      <c r="AI143" s="877"/>
      <c r="AJ143" s="879"/>
      <c r="AK143" s="877"/>
      <c r="AL143" s="879"/>
      <c r="AM143" s="877"/>
      <c r="AN143" s="879"/>
      <c r="AO143" s="877"/>
      <c r="AP143" s="879"/>
      <c r="AQ143" s="877"/>
      <c r="AR143" s="879"/>
      <c r="AS143" s="877"/>
      <c r="AT143" s="879"/>
      <c r="AU143" s="877"/>
      <c r="AV143" s="879"/>
      <c r="AW143" s="877"/>
      <c r="AX143" s="879"/>
      <c r="AY143" s="877"/>
      <c r="AZ143" s="879"/>
      <c r="BA143" s="877"/>
      <c r="BB143" s="879"/>
      <c r="BC143" s="877"/>
      <c r="BD143" s="879"/>
      <c r="BE143" s="877"/>
      <c r="BF143" s="879"/>
      <c r="BG143" s="877"/>
      <c r="BH143" s="879"/>
      <c r="BI143" s="877"/>
      <c r="BJ143" s="879"/>
      <c r="BK143" s="877"/>
      <c r="BL143" s="879"/>
      <c r="BM143" s="877"/>
      <c r="BN143" s="879"/>
      <c r="BO143" s="877"/>
      <c r="BP143" s="879"/>
      <c r="BQ143" s="877"/>
      <c r="BR143" s="879"/>
      <c r="BS143" s="877"/>
      <c r="BT143" s="879"/>
      <c r="BU143" s="877"/>
      <c r="BV143" s="879"/>
      <c r="BW143" s="877"/>
      <c r="BX143" s="879"/>
      <c r="BY143" s="877"/>
      <c r="BZ143" s="879"/>
      <c r="CA143" s="877"/>
      <c r="CB143" s="879"/>
      <c r="CC143" s="877"/>
      <c r="CD143" s="879"/>
      <c r="CE143" s="877"/>
      <c r="CF143" s="879"/>
      <c r="CG143" s="877"/>
      <c r="CH143" s="879"/>
      <c r="CI143" s="877"/>
    </row>
    <row r="144" spans="1:87" x14ac:dyDescent="0.45">
      <c r="A144" s="768" t="s">
        <v>1525</v>
      </c>
      <c r="B144" s="904">
        <v>2.2628554747491556</v>
      </c>
      <c r="C144" s="906">
        <v>0.74056070364527182</v>
      </c>
      <c r="D144" s="904">
        <v>2.2628554747491556</v>
      </c>
      <c r="E144" s="906">
        <v>0.74056070364527182</v>
      </c>
      <c r="F144" s="904">
        <v>5.1719801727363013</v>
      </c>
      <c r="G144" s="906">
        <v>5.1719801727363006E-2</v>
      </c>
      <c r="H144" s="904">
        <v>4.4352654528478821</v>
      </c>
      <c r="I144" s="906">
        <v>1.3882380867413868</v>
      </c>
      <c r="J144" s="904">
        <v>2.6265454520241853</v>
      </c>
      <c r="K144" s="906">
        <v>0.99808727176919043</v>
      </c>
      <c r="L144" s="904">
        <v>41.189274373013788</v>
      </c>
      <c r="M144" s="906">
        <v>0.5354605668491792</v>
      </c>
      <c r="N144" s="904">
        <v>0</v>
      </c>
      <c r="O144" s="906">
        <v>0</v>
      </c>
      <c r="P144" s="904">
        <v>0</v>
      </c>
      <c r="Q144" s="906">
        <v>0</v>
      </c>
      <c r="R144" s="904">
        <v>6.2866980196284619</v>
      </c>
      <c r="S144" s="906">
        <v>6.2866980196284616E-2</v>
      </c>
      <c r="T144" s="904">
        <v>3.5131547756747281</v>
      </c>
      <c r="U144" s="906">
        <v>3.5131547756747282E-2</v>
      </c>
      <c r="V144" s="904">
        <v>0.86288012034116124</v>
      </c>
      <c r="W144" s="906">
        <v>8.6288012034116141E-3</v>
      </c>
      <c r="X144" s="904">
        <v>9.3684127351326083</v>
      </c>
      <c r="Y144" s="906">
        <v>2.9323131860965068</v>
      </c>
      <c r="Z144" s="904">
        <v>3.2666175984343964</v>
      </c>
      <c r="AA144" s="906">
        <v>1.0224513083099662</v>
      </c>
      <c r="AB144" s="904">
        <v>0.52389150163570519</v>
      </c>
      <c r="AC144" s="906">
        <v>0.16397804001197569</v>
      </c>
      <c r="AD144" s="904">
        <v>330.05164603049423</v>
      </c>
      <c r="AE144" s="906">
        <v>103.30616520754469</v>
      </c>
      <c r="AF144" s="904">
        <v>2.650274655333567</v>
      </c>
      <c r="AG144" s="906">
        <v>1.0071043690267554</v>
      </c>
      <c r="AH144" s="904">
        <v>0.27735432439537328</v>
      </c>
      <c r="AI144" s="906">
        <v>0.10539464327024185</v>
      </c>
      <c r="AJ144" s="904">
        <v>41.387428629220707</v>
      </c>
      <c r="AK144" s="906">
        <v>0.53803657217986911</v>
      </c>
      <c r="AL144" s="904">
        <v>41.387428629220707</v>
      </c>
      <c r="AM144" s="906">
        <v>0.53803657217986911</v>
      </c>
      <c r="AN144" s="904">
        <v>41.387428629220707</v>
      </c>
      <c r="AO144" s="906">
        <v>0.53803657217986911</v>
      </c>
      <c r="AP144" s="904">
        <v>41.387428629220707</v>
      </c>
      <c r="AQ144" s="906">
        <v>0.53803657217986911</v>
      </c>
      <c r="AR144" s="904">
        <v>41.387428629220707</v>
      </c>
      <c r="AS144" s="906">
        <v>0.53803657217986911</v>
      </c>
      <c r="AT144" s="904">
        <v>21.572003008529038</v>
      </c>
      <c r="AU144" s="906">
        <v>0.28043603911087744</v>
      </c>
      <c r="AV144" s="904">
        <v>21.572003008529038</v>
      </c>
      <c r="AW144" s="906">
        <v>0.28043603911087744</v>
      </c>
      <c r="AX144" s="904">
        <v>21.572003008529038</v>
      </c>
      <c r="AY144" s="906">
        <v>0.28043603911087744</v>
      </c>
      <c r="AZ144" s="904">
        <v>21.572003008529038</v>
      </c>
      <c r="BA144" s="906">
        <v>0.28043603911087744</v>
      </c>
      <c r="BB144" s="904">
        <v>21.572003008529038</v>
      </c>
      <c r="BC144" s="906">
        <v>0.28043603911087744</v>
      </c>
      <c r="BD144" s="904">
        <v>0</v>
      </c>
      <c r="BE144" s="906">
        <v>0</v>
      </c>
      <c r="BF144" s="904">
        <v>0</v>
      </c>
      <c r="BG144" s="906">
        <v>0</v>
      </c>
      <c r="BH144" s="904">
        <v>0</v>
      </c>
      <c r="BI144" s="906">
        <v>0</v>
      </c>
      <c r="BJ144" s="904">
        <v>0</v>
      </c>
      <c r="BK144" s="906">
        <v>0</v>
      </c>
      <c r="BL144" s="904">
        <v>0</v>
      </c>
      <c r="BM144" s="906">
        <v>0</v>
      </c>
      <c r="BN144" s="904">
        <v>0</v>
      </c>
      <c r="BO144" s="906">
        <v>0</v>
      </c>
      <c r="BP144" s="904">
        <v>0</v>
      </c>
      <c r="BQ144" s="906">
        <v>0</v>
      </c>
      <c r="BR144" s="904">
        <v>0</v>
      </c>
      <c r="BS144" s="906">
        <v>0</v>
      </c>
      <c r="BT144" s="904">
        <v>0.58054335873664609</v>
      </c>
      <c r="BU144" s="1053">
        <v>0.18171007128457023</v>
      </c>
      <c r="BV144" s="904">
        <v>0.58150947095741123</v>
      </c>
      <c r="BW144" s="906">
        <v>0.18201246440966973</v>
      </c>
      <c r="BX144" s="904">
        <v>0.42311354757656067</v>
      </c>
      <c r="BY144" s="1054"/>
      <c r="BZ144" s="904">
        <v>6.0326900188353925</v>
      </c>
      <c r="CA144" s="1054"/>
      <c r="CB144" s="904">
        <v>1.6879179080056155</v>
      </c>
      <c r="CC144" s="1054"/>
      <c r="CD144" s="904">
        <v>3.4900266017936712</v>
      </c>
      <c r="CE144" s="906">
        <v>1.3262101086815952</v>
      </c>
      <c r="CF144" s="904">
        <v>3.3306368710665821</v>
      </c>
      <c r="CG144" s="906">
        <v>1.2656420110053013</v>
      </c>
      <c r="CH144" s="904">
        <v>2.0343259614500728</v>
      </c>
      <c r="CI144" s="906"/>
    </row>
    <row r="145" spans="1:87" x14ac:dyDescent="0.45">
      <c r="A145" s="768" t="s">
        <v>1524</v>
      </c>
      <c r="B145" s="904">
        <v>23.912716903488416</v>
      </c>
      <c r="C145" s="906">
        <v>7.1733349078584547</v>
      </c>
      <c r="D145" s="904">
        <v>23.912716903488416</v>
      </c>
      <c r="E145" s="906">
        <v>7.1733349078584547</v>
      </c>
      <c r="F145" s="904">
        <v>38.947265283190205</v>
      </c>
      <c r="G145" s="906">
        <v>0.38947265283190208</v>
      </c>
      <c r="H145" s="904">
        <v>53.831331016132147</v>
      </c>
      <c r="I145" s="906">
        <v>16.849206608049364</v>
      </c>
      <c r="J145" s="904">
        <v>17.13156027495911</v>
      </c>
      <c r="K145" s="906">
        <v>6.5099929044844611</v>
      </c>
      <c r="L145" s="904">
        <v>1444.2086208444327</v>
      </c>
      <c r="M145" s="906">
        <v>18.774712070977625</v>
      </c>
      <c r="N145" s="904">
        <v>0</v>
      </c>
      <c r="O145" s="906">
        <v>0</v>
      </c>
      <c r="P145" s="904">
        <v>0</v>
      </c>
      <c r="Q145" s="906">
        <v>0</v>
      </c>
      <c r="R145" s="904">
        <v>48.691092504965539</v>
      </c>
      <c r="S145" s="906">
        <v>0.48691092504965533</v>
      </c>
      <c r="T145" s="904">
        <v>9.2759612936674838</v>
      </c>
      <c r="U145" s="906">
        <v>9.275961293667484E-2</v>
      </c>
      <c r="V145" s="904">
        <v>5.1156464277368849</v>
      </c>
      <c r="W145" s="906">
        <v>5.1156464277368863E-2</v>
      </c>
      <c r="X145" s="904">
        <v>141.14253397008997</v>
      </c>
      <c r="Y145" s="906">
        <v>44.177613132638164</v>
      </c>
      <c r="Z145" s="904">
        <v>127.67544066333684</v>
      </c>
      <c r="AA145" s="906">
        <v>39.962412927624428</v>
      </c>
      <c r="AB145" s="904">
        <v>27.797066733847416</v>
      </c>
      <c r="AC145" s="906">
        <v>8.7004818876942416</v>
      </c>
      <c r="AD145" s="904">
        <v>1135.2728840445729</v>
      </c>
      <c r="AE145" s="906">
        <v>355.34041270595134</v>
      </c>
      <c r="AF145" s="904">
        <v>17.257602406823228</v>
      </c>
      <c r="AG145" s="906">
        <v>6.5578889145928265</v>
      </c>
      <c r="AH145" s="904">
        <v>4.6533892204112632</v>
      </c>
      <c r="AI145" s="906">
        <v>1.76828790375628</v>
      </c>
      <c r="AJ145" s="904">
        <v>1458.5755748481133</v>
      </c>
      <c r="AK145" s="906">
        <v>18.96148247302547</v>
      </c>
      <c r="AL145" s="904">
        <v>1458.5755748481133</v>
      </c>
      <c r="AM145" s="906">
        <v>18.96148247302547</v>
      </c>
      <c r="AN145" s="904">
        <v>1458.5755748481133</v>
      </c>
      <c r="AO145" s="906">
        <v>18.96148247302547</v>
      </c>
      <c r="AP145" s="904">
        <v>1458.5755748481133</v>
      </c>
      <c r="AQ145" s="906">
        <v>18.96148247302547</v>
      </c>
      <c r="AR145" s="904">
        <v>1458.5755748481133</v>
      </c>
      <c r="AS145" s="906">
        <v>18.96148247302547</v>
      </c>
      <c r="AT145" s="904">
        <v>21.880174480079447</v>
      </c>
      <c r="AU145" s="906">
        <v>0.2844422682410328</v>
      </c>
      <c r="AV145" s="904">
        <v>21.880174480079447</v>
      </c>
      <c r="AW145" s="906">
        <v>0.2844422682410328</v>
      </c>
      <c r="AX145" s="904">
        <v>21.880174480079447</v>
      </c>
      <c r="AY145" s="906">
        <v>0.2844422682410328</v>
      </c>
      <c r="AZ145" s="904">
        <v>21.880174480079447</v>
      </c>
      <c r="BA145" s="906">
        <v>0.2844422682410328</v>
      </c>
      <c r="BB145" s="904">
        <v>21.880174480079447</v>
      </c>
      <c r="BC145" s="906">
        <v>0.2844422682410328</v>
      </c>
      <c r="BD145" s="904">
        <v>0</v>
      </c>
      <c r="BE145" s="906">
        <v>0</v>
      </c>
      <c r="BF145" s="904">
        <v>0</v>
      </c>
      <c r="BG145" s="906">
        <v>0</v>
      </c>
      <c r="BH145" s="904">
        <v>0</v>
      </c>
      <c r="BI145" s="906">
        <v>0</v>
      </c>
      <c r="BJ145" s="904">
        <v>0</v>
      </c>
      <c r="BK145" s="906">
        <v>0</v>
      </c>
      <c r="BL145" s="904">
        <v>0</v>
      </c>
      <c r="BM145" s="906">
        <v>0</v>
      </c>
      <c r="BN145" s="904">
        <v>0</v>
      </c>
      <c r="BO145" s="906">
        <v>0</v>
      </c>
      <c r="BP145" s="904">
        <v>0</v>
      </c>
      <c r="BQ145" s="906">
        <v>0</v>
      </c>
      <c r="BR145" s="904">
        <v>0</v>
      </c>
      <c r="BS145" s="906">
        <v>0</v>
      </c>
      <c r="BT145" s="904">
        <v>30.802947622379698</v>
      </c>
      <c r="BU145" s="1053">
        <v>9.6413226058048451</v>
      </c>
      <c r="BV145" s="904">
        <v>30.854208400210883</v>
      </c>
      <c r="BW145" s="906">
        <v>9.657367229266006</v>
      </c>
      <c r="BX145" s="904">
        <v>22.449907053768104</v>
      </c>
      <c r="BY145" s="1054"/>
      <c r="BZ145" s="904">
        <v>90.887237783770075</v>
      </c>
      <c r="CA145" s="1054"/>
      <c r="CB145" s="904">
        <v>65.972112196860991</v>
      </c>
      <c r="CC145" s="1054"/>
      <c r="CD145" s="904">
        <v>22.725754616330885</v>
      </c>
      <c r="CE145" s="906">
        <v>8.6357867542057356</v>
      </c>
      <c r="CF145" s="904">
        <v>29.517178372949353</v>
      </c>
      <c r="CG145" s="906">
        <v>11.216527781720755</v>
      </c>
      <c r="CH145" s="904">
        <v>13.246773702465592</v>
      </c>
      <c r="CI145" s="906"/>
    </row>
    <row r="146" spans="1:87" x14ac:dyDescent="0.45">
      <c r="A146" s="768" t="s">
        <v>1523</v>
      </c>
      <c r="B146" s="904">
        <v>61.597799470953674</v>
      </c>
      <c r="C146" s="906">
        <v>19.88754446090983</v>
      </c>
      <c r="D146" s="904">
        <v>61.597799470953674</v>
      </c>
      <c r="E146" s="906">
        <v>19.88754446090983</v>
      </c>
      <c r="F146" s="904">
        <v>1223.0891184061074</v>
      </c>
      <c r="G146" s="906">
        <v>12.230891184061079</v>
      </c>
      <c r="H146" s="904">
        <v>64.621061395202432</v>
      </c>
      <c r="I146" s="906">
        <v>20.226392216698361</v>
      </c>
      <c r="J146" s="904">
        <v>111.13618595669763</v>
      </c>
      <c r="K146" s="906">
        <v>42.231750663545107</v>
      </c>
      <c r="L146" s="904">
        <v>281.68567442801435</v>
      </c>
      <c r="M146" s="906">
        <v>3.6619137675641866</v>
      </c>
      <c r="N146" s="904">
        <v>0</v>
      </c>
      <c r="O146" s="906">
        <v>0</v>
      </c>
      <c r="P146" s="904">
        <v>0</v>
      </c>
      <c r="Q146" s="906">
        <v>0</v>
      </c>
      <c r="R146" s="904">
        <v>1302.4559073606729</v>
      </c>
      <c r="S146" s="906">
        <v>13.02455907360673</v>
      </c>
      <c r="T146" s="904">
        <v>1396.6331090664798</v>
      </c>
      <c r="U146" s="906">
        <v>13.9663310906648</v>
      </c>
      <c r="V146" s="904">
        <v>842.57162036598902</v>
      </c>
      <c r="W146" s="906">
        <v>8.4257162036598903</v>
      </c>
      <c r="X146" s="904">
        <v>253.31694961444094</v>
      </c>
      <c r="Y146" s="906">
        <v>79.288205229319999</v>
      </c>
      <c r="Z146" s="904">
        <v>98.861408073373056</v>
      </c>
      <c r="AA146" s="906">
        <v>30.943620726965765</v>
      </c>
      <c r="AB146" s="904">
        <v>33.313336074599839</v>
      </c>
      <c r="AC146" s="906">
        <v>10.427074191349748</v>
      </c>
      <c r="AD146" s="904">
        <v>916.53277353808846</v>
      </c>
      <c r="AE146" s="906">
        <v>286.87475811742166</v>
      </c>
      <c r="AF146" s="904">
        <v>111.52725555409511</v>
      </c>
      <c r="AG146" s="906">
        <v>42.380357110556147</v>
      </c>
      <c r="AH146" s="904">
        <v>72.420295814347469</v>
      </c>
      <c r="AI146" s="906">
        <v>27.519712409452037</v>
      </c>
      <c r="AJ146" s="904">
        <v>284.28818250525762</v>
      </c>
      <c r="AK146" s="906">
        <v>3.6957463725683488</v>
      </c>
      <c r="AL146" s="904">
        <v>284.28818250525762</v>
      </c>
      <c r="AM146" s="906">
        <v>3.6957463725683488</v>
      </c>
      <c r="AN146" s="904">
        <v>284.28818250525762</v>
      </c>
      <c r="AO146" s="906">
        <v>3.6957463725683488</v>
      </c>
      <c r="AP146" s="904">
        <v>284.28818250525762</v>
      </c>
      <c r="AQ146" s="906">
        <v>3.6957463725683488</v>
      </c>
      <c r="AR146" s="904">
        <v>284.28818250525762</v>
      </c>
      <c r="AS146" s="906">
        <v>3.6957463725683488</v>
      </c>
      <c r="AT146" s="904">
        <v>24.037374780932353</v>
      </c>
      <c r="AU146" s="906">
        <v>0.31248587215212054</v>
      </c>
      <c r="AV146" s="904">
        <v>24.037374780932353</v>
      </c>
      <c r="AW146" s="906">
        <v>0.31248587215212054</v>
      </c>
      <c r="AX146" s="904">
        <v>24.037374780932353</v>
      </c>
      <c r="AY146" s="906">
        <v>0.31248587215212054</v>
      </c>
      <c r="AZ146" s="904">
        <v>24.037374780932353</v>
      </c>
      <c r="BA146" s="906">
        <v>0.31248587215212054</v>
      </c>
      <c r="BB146" s="904">
        <v>24.037374780932353</v>
      </c>
      <c r="BC146" s="906">
        <v>0.31248587215212054</v>
      </c>
      <c r="BD146" s="904">
        <v>0</v>
      </c>
      <c r="BE146" s="906">
        <v>0</v>
      </c>
      <c r="BF146" s="904">
        <v>0</v>
      </c>
      <c r="BG146" s="906">
        <v>0</v>
      </c>
      <c r="BH146" s="904">
        <v>0</v>
      </c>
      <c r="BI146" s="906">
        <v>0</v>
      </c>
      <c r="BJ146" s="904">
        <v>0</v>
      </c>
      <c r="BK146" s="906">
        <v>0</v>
      </c>
      <c r="BL146" s="904">
        <v>0</v>
      </c>
      <c r="BM146" s="906">
        <v>0</v>
      </c>
      <c r="BN146" s="904">
        <v>0</v>
      </c>
      <c r="BO146" s="906">
        <v>0</v>
      </c>
      <c r="BP146" s="904">
        <v>0</v>
      </c>
      <c r="BQ146" s="906">
        <v>0</v>
      </c>
      <c r="BR146" s="904">
        <v>0</v>
      </c>
      <c r="BS146" s="906">
        <v>0</v>
      </c>
      <c r="BT146" s="904">
        <v>36.915727693783204</v>
      </c>
      <c r="BU146" s="1053">
        <v>11.554622768154143</v>
      </c>
      <c r="BV146" s="904">
        <v>36.97716106499773</v>
      </c>
      <c r="BW146" s="906">
        <v>11.57385141334429</v>
      </c>
      <c r="BX146" s="904">
        <v>26.905043819427185</v>
      </c>
      <c r="BY146" s="1054"/>
      <c r="BZ146" s="904">
        <v>163.12076300929908</v>
      </c>
      <c r="CA146" s="1054"/>
      <c r="CB146" s="904">
        <v>51.083402347943526</v>
      </c>
      <c r="CC146" s="1054"/>
      <c r="CD146" s="904">
        <v>146.86518920803834</v>
      </c>
      <c r="CE146" s="906">
        <v>55.80877189905457</v>
      </c>
      <c r="CF146" s="904">
        <v>137.31745503649103</v>
      </c>
      <c r="CG146" s="906">
        <v>52.180632913866589</v>
      </c>
      <c r="CH146" s="904">
        <v>85.607275052183866</v>
      </c>
      <c r="CI146" s="906"/>
    </row>
    <row r="147" spans="1:87" x14ac:dyDescent="0.45">
      <c r="A147" s="768" t="s">
        <v>1522</v>
      </c>
      <c r="B147" s="904">
        <v>8.2791360626350965</v>
      </c>
      <c r="C147" s="906">
        <v>2.6542692555826326</v>
      </c>
      <c r="D147" s="904">
        <v>8.2791360626350965</v>
      </c>
      <c r="E147" s="906">
        <v>2.6542692555826326</v>
      </c>
      <c r="F147" s="904">
        <v>49.951328920723803</v>
      </c>
      <c r="G147" s="906">
        <v>0.49951328920723803</v>
      </c>
      <c r="H147" s="904">
        <v>3.2430116637136357</v>
      </c>
      <c r="I147" s="906">
        <v>1.0150626507423679</v>
      </c>
      <c r="J147" s="904">
        <v>18.820031767583828</v>
      </c>
      <c r="K147" s="906">
        <v>7.1516120716818552</v>
      </c>
      <c r="L147" s="904">
        <v>638.87089401410788</v>
      </c>
      <c r="M147" s="906">
        <v>8.305321622183401</v>
      </c>
      <c r="N147" s="904">
        <v>0</v>
      </c>
      <c r="O147" s="906">
        <v>0</v>
      </c>
      <c r="P147" s="904">
        <v>0</v>
      </c>
      <c r="Q147" s="906">
        <v>0</v>
      </c>
      <c r="R147" s="904">
        <v>52.20424728064026</v>
      </c>
      <c r="S147" s="906">
        <v>0.52204247280640259</v>
      </c>
      <c r="T147" s="904">
        <v>2.4961889195583593</v>
      </c>
      <c r="U147" s="906">
        <v>2.4961889195583595E-2</v>
      </c>
      <c r="V147" s="904">
        <v>52.38915016357052</v>
      </c>
      <c r="W147" s="906">
        <v>0.52389150163570519</v>
      </c>
      <c r="X147" s="904">
        <v>12.480944597791801</v>
      </c>
      <c r="Y147" s="906">
        <v>3.9065356591088336</v>
      </c>
      <c r="Z147" s="904">
        <v>11.063355828659891</v>
      </c>
      <c r="AA147" s="906">
        <v>3.4628303743705464</v>
      </c>
      <c r="AB147" s="904">
        <v>0.24653717724033183</v>
      </c>
      <c r="AC147" s="906">
        <v>7.7166136476223862E-2</v>
      </c>
      <c r="AD147" s="904">
        <v>140.24883670259376</v>
      </c>
      <c r="AE147" s="906">
        <v>43.897885887911848</v>
      </c>
      <c r="AF147" s="904">
        <v>18.921728353195469</v>
      </c>
      <c r="AG147" s="906">
        <v>7.1902567742142782</v>
      </c>
      <c r="AH147" s="904">
        <v>8.7520697920317811</v>
      </c>
      <c r="AI147" s="906">
        <v>3.3257865209720769</v>
      </c>
      <c r="AJ147" s="904">
        <v>645.24942713225846</v>
      </c>
      <c r="AK147" s="906">
        <v>8.38824255271936</v>
      </c>
      <c r="AL147" s="904">
        <v>645.24942713225846</v>
      </c>
      <c r="AM147" s="906">
        <v>8.38824255271936</v>
      </c>
      <c r="AN147" s="904">
        <v>645.24942713225846</v>
      </c>
      <c r="AO147" s="906">
        <v>8.38824255271936</v>
      </c>
      <c r="AP147" s="904">
        <v>645.24942713225846</v>
      </c>
      <c r="AQ147" s="906">
        <v>8.38824255271936</v>
      </c>
      <c r="AR147" s="904">
        <v>645.24942713225846</v>
      </c>
      <c r="AS147" s="906">
        <v>8.38824255271936</v>
      </c>
      <c r="AT147" s="904">
        <v>7.3961153172099543</v>
      </c>
      <c r="AU147" s="906">
        <v>9.6149499123729401E-2</v>
      </c>
      <c r="AV147" s="904">
        <v>7.3961153172099543</v>
      </c>
      <c r="AW147" s="906">
        <v>9.6149499123729401E-2</v>
      </c>
      <c r="AX147" s="904">
        <v>7.3961153172099543</v>
      </c>
      <c r="AY147" s="906">
        <v>9.6149499123729401E-2</v>
      </c>
      <c r="AZ147" s="904">
        <v>7.3961153172099543</v>
      </c>
      <c r="BA147" s="906">
        <v>9.6149499123729401E-2</v>
      </c>
      <c r="BB147" s="904">
        <v>7.3961153172099543</v>
      </c>
      <c r="BC147" s="906">
        <v>9.6149499123729401E-2</v>
      </c>
      <c r="BD147" s="904">
        <v>0</v>
      </c>
      <c r="BE147" s="906">
        <v>0</v>
      </c>
      <c r="BF147" s="904">
        <v>0</v>
      </c>
      <c r="BG147" s="906">
        <v>0</v>
      </c>
      <c r="BH147" s="904">
        <v>0</v>
      </c>
      <c r="BI147" s="906">
        <v>0</v>
      </c>
      <c r="BJ147" s="904">
        <v>0</v>
      </c>
      <c r="BK147" s="906">
        <v>0</v>
      </c>
      <c r="BL147" s="904">
        <v>0</v>
      </c>
      <c r="BM147" s="906">
        <v>0</v>
      </c>
      <c r="BN147" s="904">
        <v>0</v>
      </c>
      <c r="BO147" s="906">
        <v>0</v>
      </c>
      <c r="BP147" s="904">
        <v>0</v>
      </c>
      <c r="BQ147" s="906">
        <v>0</v>
      </c>
      <c r="BR147" s="904">
        <v>0</v>
      </c>
      <c r="BS147" s="906">
        <v>0</v>
      </c>
      <c r="BT147" s="904">
        <v>0.27319687469959819</v>
      </c>
      <c r="BU147" s="1053">
        <v>8.5510621780974239E-2</v>
      </c>
      <c r="BV147" s="904">
        <v>0.27365151574466412</v>
      </c>
      <c r="BW147" s="906">
        <v>8.5652924428079869E-2</v>
      </c>
      <c r="BX147" s="904">
        <v>0.19911225768308738</v>
      </c>
      <c r="BY147" s="1054"/>
      <c r="BZ147" s="904">
        <v>8.0369719000932047</v>
      </c>
      <c r="CA147" s="1054"/>
      <c r="CB147" s="904">
        <v>5.7166276318303391</v>
      </c>
      <c r="CC147" s="1054"/>
      <c r="CD147" s="904">
        <v>24.917166668619931</v>
      </c>
      <c r="CE147" s="906">
        <v>9.4685233340755737</v>
      </c>
      <c r="CF147" s="904">
        <v>22.877189262388416</v>
      </c>
      <c r="CG147" s="906">
        <v>8.6933319197075978</v>
      </c>
      <c r="CH147" s="904">
        <v>14.524141166631914</v>
      </c>
      <c r="CI147" s="906"/>
    </row>
    <row r="148" spans="1:87" x14ac:dyDescent="0.45">
      <c r="A148" s="768" t="s">
        <v>1521</v>
      </c>
      <c r="B148" s="904">
        <v>5.716379220131051</v>
      </c>
      <c r="C148" s="906">
        <v>1.9476087153978707</v>
      </c>
      <c r="D148" s="904">
        <v>5.716379220131051</v>
      </c>
      <c r="E148" s="906">
        <v>1.9476087153978707</v>
      </c>
      <c r="F148" s="904">
        <v>35.392445724561867</v>
      </c>
      <c r="G148" s="906">
        <v>0.35392445724561866</v>
      </c>
      <c r="H148" s="904">
        <v>3.2430116637136357</v>
      </c>
      <c r="I148" s="906">
        <v>1.0150626507423679</v>
      </c>
      <c r="J148" s="904">
        <v>13.205363275965357</v>
      </c>
      <c r="K148" s="906">
        <v>5.0180380448668354</v>
      </c>
      <c r="L148" s="904">
        <v>186.23325917293201</v>
      </c>
      <c r="M148" s="906">
        <v>2.4210323692481159</v>
      </c>
      <c r="N148" s="904">
        <v>0</v>
      </c>
      <c r="O148" s="906">
        <v>0</v>
      </c>
      <c r="P148" s="904">
        <v>0</v>
      </c>
      <c r="Q148" s="906">
        <v>0</v>
      </c>
      <c r="R148" s="904">
        <v>40.524548508879541</v>
      </c>
      <c r="S148" s="906">
        <v>0.40524548508879543</v>
      </c>
      <c r="T148" s="904">
        <v>3.821326247225143</v>
      </c>
      <c r="U148" s="906">
        <v>3.8213262472251423E-2</v>
      </c>
      <c r="V148" s="904">
        <v>21.602820155684075</v>
      </c>
      <c r="W148" s="906">
        <v>0.21602820155684074</v>
      </c>
      <c r="X148" s="904">
        <v>12.480944597791801</v>
      </c>
      <c r="Y148" s="906">
        <v>3.9065356591088336</v>
      </c>
      <c r="Z148" s="904">
        <v>11.063355828659891</v>
      </c>
      <c r="AA148" s="906">
        <v>3.4628303743705464</v>
      </c>
      <c r="AB148" s="904">
        <v>0.24653717724033183</v>
      </c>
      <c r="AC148" s="906">
        <v>7.7166136476223862E-2</v>
      </c>
      <c r="AD148" s="904">
        <v>140.24883670259376</v>
      </c>
      <c r="AE148" s="906">
        <v>43.897885887911848</v>
      </c>
      <c r="AF148" s="904">
        <v>13.31300757097792</v>
      </c>
      <c r="AG148" s="906">
        <v>5.0589428769716092</v>
      </c>
      <c r="AH148" s="904">
        <v>2.54857806972193</v>
      </c>
      <c r="AI148" s="906">
        <v>0.96845966649433335</v>
      </c>
      <c r="AJ148" s="904">
        <v>188.07704908721814</v>
      </c>
      <c r="AK148" s="906">
        <v>2.445001638133836</v>
      </c>
      <c r="AL148" s="904">
        <v>188.07704908721814</v>
      </c>
      <c r="AM148" s="906">
        <v>2.445001638133836</v>
      </c>
      <c r="AN148" s="904">
        <v>188.07704908721814</v>
      </c>
      <c r="AO148" s="906">
        <v>2.445001638133836</v>
      </c>
      <c r="AP148" s="904">
        <v>188.07704908721814</v>
      </c>
      <c r="AQ148" s="906">
        <v>2.445001638133836</v>
      </c>
      <c r="AR148" s="904">
        <v>188.07704908721814</v>
      </c>
      <c r="AS148" s="906">
        <v>2.445001638133836</v>
      </c>
      <c r="AT148" s="904">
        <v>3.6980576586049771</v>
      </c>
      <c r="AU148" s="906">
        <v>4.8074749561864701E-2</v>
      </c>
      <c r="AV148" s="904">
        <v>3.6980576586049771</v>
      </c>
      <c r="AW148" s="906">
        <v>4.8074749561864701E-2</v>
      </c>
      <c r="AX148" s="904">
        <v>3.6980576586049771</v>
      </c>
      <c r="AY148" s="906">
        <v>4.8074749561864701E-2</v>
      </c>
      <c r="AZ148" s="904">
        <v>3.6980576586049771</v>
      </c>
      <c r="BA148" s="906">
        <v>4.8074749561864701E-2</v>
      </c>
      <c r="BB148" s="904">
        <v>3.6980576586049771</v>
      </c>
      <c r="BC148" s="906">
        <v>4.8074749561864701E-2</v>
      </c>
      <c r="BD148" s="904">
        <v>0</v>
      </c>
      <c r="BE148" s="906">
        <v>0</v>
      </c>
      <c r="BF148" s="904">
        <v>0</v>
      </c>
      <c r="BG148" s="906">
        <v>0</v>
      </c>
      <c r="BH148" s="904">
        <v>0</v>
      </c>
      <c r="BI148" s="906">
        <v>0</v>
      </c>
      <c r="BJ148" s="904">
        <v>0</v>
      </c>
      <c r="BK148" s="906">
        <v>0</v>
      </c>
      <c r="BL148" s="904">
        <v>0</v>
      </c>
      <c r="BM148" s="906">
        <v>0</v>
      </c>
      <c r="BN148" s="904">
        <v>0</v>
      </c>
      <c r="BO148" s="906">
        <v>0</v>
      </c>
      <c r="BP148" s="904">
        <v>0</v>
      </c>
      <c r="BQ148" s="906">
        <v>0</v>
      </c>
      <c r="BR148" s="904">
        <v>0</v>
      </c>
      <c r="BS148" s="906">
        <v>0</v>
      </c>
      <c r="BT148" s="904">
        <v>0.27319687469959819</v>
      </c>
      <c r="BU148" s="1053">
        <v>8.5510621780974239E-2</v>
      </c>
      <c r="BV148" s="904">
        <v>0.27365151574466412</v>
      </c>
      <c r="BW148" s="906">
        <v>8.5652924428079869E-2</v>
      </c>
      <c r="BX148" s="904">
        <v>0.19911225768308738</v>
      </c>
      <c r="BY148" s="1054"/>
      <c r="BZ148" s="904">
        <v>8.0369719000932047</v>
      </c>
      <c r="CA148" s="1054"/>
      <c r="CB148" s="904">
        <v>5.7166276318303391</v>
      </c>
      <c r="CC148" s="1054"/>
      <c r="CD148" s="904">
        <v>17.531296418312397</v>
      </c>
      <c r="CE148" s="906">
        <v>6.6618926389587108</v>
      </c>
      <c r="CF148" s="904">
        <v>16.337300827186752</v>
      </c>
      <c r="CG148" s="906">
        <v>6.2081743143309662</v>
      </c>
      <c r="CH148" s="904">
        <v>10.218939713330599</v>
      </c>
      <c r="CI148" s="906"/>
    </row>
    <row r="149" spans="1:87" x14ac:dyDescent="0.45">
      <c r="A149" s="768" t="s">
        <v>1520</v>
      </c>
      <c r="B149" s="904">
        <v>241.84205569342677</v>
      </c>
      <c r="C149" s="906">
        <v>90.175491625633569</v>
      </c>
      <c r="D149" s="904">
        <v>241.84205569342677</v>
      </c>
      <c r="E149" s="906">
        <v>90.175491625633569</v>
      </c>
      <c r="F149" s="904">
        <v>883.20932943922185</v>
      </c>
      <c r="G149" s="906">
        <v>8.8320932943922177</v>
      </c>
      <c r="H149" s="904">
        <v>5.7995097402544102</v>
      </c>
      <c r="I149" s="906">
        <v>1.8152465486996303</v>
      </c>
      <c r="J149" s="904">
        <v>721.27782535266533</v>
      </c>
      <c r="K149" s="906">
        <v>274.0855736340128</v>
      </c>
      <c r="L149" s="904">
        <v>199.73488116505703</v>
      </c>
      <c r="M149" s="906">
        <v>2.5965534551457412</v>
      </c>
      <c r="N149" s="904">
        <v>0</v>
      </c>
      <c r="O149" s="906">
        <v>0</v>
      </c>
      <c r="P149" s="904">
        <v>0</v>
      </c>
      <c r="Q149" s="906">
        <v>0</v>
      </c>
      <c r="R149" s="904">
        <v>1110.5575320262296</v>
      </c>
      <c r="S149" s="906">
        <v>11.105575320262298</v>
      </c>
      <c r="T149" s="904">
        <v>33.467421810375043</v>
      </c>
      <c r="U149" s="906">
        <v>0.33467421810375042</v>
      </c>
      <c r="V149" s="904">
        <v>133.62315006425985</v>
      </c>
      <c r="W149" s="906">
        <v>1.3362315006425984</v>
      </c>
      <c r="X149" s="904">
        <v>51.094829983058773</v>
      </c>
      <c r="Y149" s="906">
        <v>15.992681784697394</v>
      </c>
      <c r="Z149" s="904">
        <v>4.9307435448066359</v>
      </c>
      <c r="AA149" s="906">
        <v>1.5433227295244771</v>
      </c>
      <c r="AB149" s="904">
        <v>1.171051591891576</v>
      </c>
      <c r="AC149" s="906">
        <v>0.36653914826206335</v>
      </c>
      <c r="AD149" s="904">
        <v>1.8182116821474472</v>
      </c>
      <c r="AE149" s="906">
        <v>0.5691002565121509</v>
      </c>
      <c r="AF149" s="904">
        <v>728.54817589233562</v>
      </c>
      <c r="AG149" s="906">
        <v>276.84830683908757</v>
      </c>
      <c r="AH149" s="904">
        <v>1.5131219253125368</v>
      </c>
      <c r="AI149" s="906">
        <v>0.57498633161876389</v>
      </c>
      <c r="AJ149" s="904">
        <v>281.63370987698335</v>
      </c>
      <c r="AK149" s="906">
        <v>3.6612382284007832</v>
      </c>
      <c r="AL149" s="904">
        <v>108.88398762674457</v>
      </c>
      <c r="AM149" s="906">
        <v>1.4154918391476794</v>
      </c>
      <c r="AN149" s="904">
        <v>660.2942973617553</v>
      </c>
      <c r="AO149" s="906">
        <v>8.5838258657028188</v>
      </c>
      <c r="AP149" s="904">
        <v>452.199984071546</v>
      </c>
      <c r="AQ149" s="906">
        <v>5.8785997929300979</v>
      </c>
      <c r="AR149" s="904">
        <v>200.63775104475843</v>
      </c>
      <c r="AS149" s="906">
        <v>2.6082907635818597</v>
      </c>
      <c r="AT149" s="904">
        <v>154.89854043234084</v>
      </c>
      <c r="AU149" s="906">
        <v>2.0136810256204303</v>
      </c>
      <c r="AV149" s="904">
        <v>59.886193194709513</v>
      </c>
      <c r="AW149" s="906">
        <v>0.77852051153122359</v>
      </c>
      <c r="AX149" s="904">
        <v>363.16186354896541</v>
      </c>
      <c r="AY149" s="906">
        <v>4.7211042261365499</v>
      </c>
      <c r="AZ149" s="904">
        <v>248.7099912393503</v>
      </c>
      <c r="BA149" s="906">
        <v>3.2332298861115532</v>
      </c>
      <c r="BB149" s="904">
        <v>110.35076307461712</v>
      </c>
      <c r="BC149" s="906">
        <v>1.4345599199700227</v>
      </c>
      <c r="BD149" s="904">
        <v>0</v>
      </c>
      <c r="BE149" s="906">
        <v>0</v>
      </c>
      <c r="BF149" s="904">
        <v>0</v>
      </c>
      <c r="BG149" s="906">
        <v>0</v>
      </c>
      <c r="BH149" s="904">
        <v>0</v>
      </c>
      <c r="BI149" s="906">
        <v>0</v>
      </c>
      <c r="BJ149" s="904">
        <v>0</v>
      </c>
      <c r="BK149" s="906">
        <v>0</v>
      </c>
      <c r="BL149" s="904">
        <v>0</v>
      </c>
      <c r="BM149" s="906">
        <v>0</v>
      </c>
      <c r="BN149" s="904">
        <v>0</v>
      </c>
      <c r="BO149" s="906">
        <v>0</v>
      </c>
      <c r="BP149" s="904">
        <v>0</v>
      </c>
      <c r="BQ149" s="906">
        <v>0</v>
      </c>
      <c r="BR149" s="904">
        <v>0</v>
      </c>
      <c r="BS149" s="906">
        <v>0</v>
      </c>
      <c r="BT149" s="904">
        <v>1.2976851548230912</v>
      </c>
      <c r="BU149" s="1053">
        <v>0.40617545345962758</v>
      </c>
      <c r="BV149" s="904">
        <v>1.2998446997871542</v>
      </c>
      <c r="BW149" s="906">
        <v>0.40685139103337925</v>
      </c>
      <c r="BX149" s="904">
        <v>0.94578322399466519</v>
      </c>
      <c r="BY149" s="1054"/>
      <c r="BZ149" s="904">
        <v>32.901973852727245</v>
      </c>
      <c r="CA149" s="1054"/>
      <c r="CB149" s="904">
        <v>2.547800615857533</v>
      </c>
      <c r="CC149" s="1054"/>
      <c r="CD149" s="904">
        <v>959.39208015121153</v>
      </c>
      <c r="CE149" s="906">
        <v>364.56899045746036</v>
      </c>
      <c r="CF149" s="904">
        <v>849.8655683939952</v>
      </c>
      <c r="CG149" s="906">
        <v>322.94891598971816</v>
      </c>
      <c r="CH149" s="904">
        <v>559.22674482140906</v>
      </c>
      <c r="CI149" s="906"/>
    </row>
    <row r="150" spans="1:87" x14ac:dyDescent="0.45">
      <c r="A150" s="768" t="s">
        <v>1519</v>
      </c>
      <c r="B150" s="904">
        <v>0.37016290916979228</v>
      </c>
      <c r="C150" s="906">
        <v>0.11391751196701499</v>
      </c>
      <c r="D150" s="904">
        <v>0.37016290916979228</v>
      </c>
      <c r="E150" s="906">
        <v>0.11391751196701499</v>
      </c>
      <c r="F150" s="904">
        <v>2.2457358690633309</v>
      </c>
      <c r="G150" s="906">
        <v>2.2457358690633311E-2</v>
      </c>
      <c r="H150" s="904">
        <v>0.45926224287935968</v>
      </c>
      <c r="I150" s="906">
        <v>0.14374908202123959</v>
      </c>
      <c r="J150" s="904">
        <v>0.56783062086651048</v>
      </c>
      <c r="K150" s="906">
        <v>0.21577563592927398</v>
      </c>
      <c r="L150" s="904">
        <v>25.700189765864618</v>
      </c>
      <c r="M150" s="906">
        <v>0.33410246695624007</v>
      </c>
      <c r="N150" s="904">
        <v>0</v>
      </c>
      <c r="O150" s="906">
        <v>0</v>
      </c>
      <c r="P150" s="904">
        <v>0</v>
      </c>
      <c r="Q150" s="906">
        <v>0</v>
      </c>
      <c r="R150" s="904">
        <v>2.5692563754629631</v>
      </c>
      <c r="S150" s="906">
        <v>2.5692563754629635E-2</v>
      </c>
      <c r="T150" s="904">
        <v>0.57319893708377145</v>
      </c>
      <c r="U150" s="906">
        <v>5.7319893708377154E-3</v>
      </c>
      <c r="V150" s="904">
        <v>1.2961692093410444</v>
      </c>
      <c r="W150" s="906">
        <v>1.2961692093410443E-2</v>
      </c>
      <c r="X150" s="904">
        <v>2.0593558586356471</v>
      </c>
      <c r="Y150" s="906">
        <v>0.6445783837529574</v>
      </c>
      <c r="Z150" s="904">
        <v>0.32083731903113683</v>
      </c>
      <c r="AA150" s="906">
        <v>0.10042208085674581</v>
      </c>
      <c r="AB150" s="904">
        <v>7.1495781399696229E-3</v>
      </c>
      <c r="AC150" s="906">
        <v>2.2378179578104924E-3</v>
      </c>
      <c r="AD150" s="904">
        <v>28.049767340518756</v>
      </c>
      <c r="AE150" s="906">
        <v>8.7795771775823699</v>
      </c>
      <c r="AF150" s="904">
        <v>0.57245932555205048</v>
      </c>
      <c r="AG150" s="906">
        <v>0.21753454370977918</v>
      </c>
      <c r="AH150" s="904">
        <v>0.10958885699804299</v>
      </c>
      <c r="AI150" s="906">
        <v>4.1643765659256336E-2</v>
      </c>
      <c r="AJ150" s="904">
        <v>25.954632774036103</v>
      </c>
      <c r="AK150" s="906">
        <v>0.33741022606246929</v>
      </c>
      <c r="AL150" s="904">
        <v>25.954632774036103</v>
      </c>
      <c r="AM150" s="906">
        <v>0.33741022606246929</v>
      </c>
      <c r="AN150" s="904">
        <v>25.954632774036103</v>
      </c>
      <c r="AO150" s="906">
        <v>0.33741022606246929</v>
      </c>
      <c r="AP150" s="904">
        <v>25.954632774036103</v>
      </c>
      <c r="AQ150" s="906">
        <v>0.33741022606246929</v>
      </c>
      <c r="AR150" s="904">
        <v>25.954632774036103</v>
      </c>
      <c r="AS150" s="906">
        <v>0.33741022606246929</v>
      </c>
      <c r="AT150" s="904">
        <v>0.510331956887487</v>
      </c>
      <c r="AU150" s="906">
        <v>6.6343154395373301E-3</v>
      </c>
      <c r="AV150" s="904">
        <v>0.510331956887487</v>
      </c>
      <c r="AW150" s="906">
        <v>6.6343154395373301E-3</v>
      </c>
      <c r="AX150" s="904">
        <v>0.510331956887487</v>
      </c>
      <c r="AY150" s="906">
        <v>6.6343154395373301E-3</v>
      </c>
      <c r="AZ150" s="904">
        <v>0.510331956887487</v>
      </c>
      <c r="BA150" s="906">
        <v>6.6343154395373301E-3</v>
      </c>
      <c r="BB150" s="904">
        <v>0.510331956887487</v>
      </c>
      <c r="BC150" s="906">
        <v>6.6343154395373301E-3</v>
      </c>
      <c r="BD150" s="904">
        <v>0</v>
      </c>
      <c r="BE150" s="906">
        <v>0</v>
      </c>
      <c r="BF150" s="904">
        <v>0</v>
      </c>
      <c r="BG150" s="906">
        <v>0</v>
      </c>
      <c r="BH150" s="904">
        <v>0</v>
      </c>
      <c r="BI150" s="906">
        <v>0</v>
      </c>
      <c r="BJ150" s="904">
        <v>0</v>
      </c>
      <c r="BK150" s="906">
        <v>0</v>
      </c>
      <c r="BL150" s="904">
        <v>0</v>
      </c>
      <c r="BM150" s="906">
        <v>0</v>
      </c>
      <c r="BN150" s="904">
        <v>0</v>
      </c>
      <c r="BO150" s="906">
        <v>0</v>
      </c>
      <c r="BP150" s="904">
        <v>0</v>
      </c>
      <c r="BQ150" s="906">
        <v>0</v>
      </c>
      <c r="BR150" s="904">
        <v>0</v>
      </c>
      <c r="BS150" s="906">
        <v>0</v>
      </c>
      <c r="BT150" s="904">
        <v>7.9227093662883469E-3</v>
      </c>
      <c r="BU150" s="1053">
        <v>2.4798080316482526E-3</v>
      </c>
      <c r="BV150" s="904">
        <v>7.935893956595259E-3</v>
      </c>
      <c r="BW150" s="906">
        <v>2.4839348084143161E-3</v>
      </c>
      <c r="BX150" s="904">
        <v>5.7742554728095344E-3</v>
      </c>
      <c r="BY150" s="1054"/>
      <c r="BZ150" s="904">
        <v>1.3261003635153787</v>
      </c>
      <c r="CA150" s="1054"/>
      <c r="CB150" s="904">
        <v>0.16578220132307983</v>
      </c>
      <c r="CC150" s="1054"/>
      <c r="CD150" s="904">
        <v>0.75384574598743304</v>
      </c>
      <c r="CE150" s="906">
        <v>0.28646138347522454</v>
      </c>
      <c r="CF150" s="904">
        <v>0.69110724737357887</v>
      </c>
      <c r="CG150" s="906">
        <v>0.26262075400196</v>
      </c>
      <c r="CH150" s="904">
        <v>0.43941440767321571</v>
      </c>
      <c r="CI150" s="906"/>
    </row>
    <row r="151" spans="1:87" x14ac:dyDescent="0.45">
      <c r="A151" s="768" t="s">
        <v>1518</v>
      </c>
      <c r="B151" s="904">
        <v>0.92503099770221575</v>
      </c>
      <c r="C151" s="906">
        <v>0.28414804815177919</v>
      </c>
      <c r="D151" s="904">
        <v>0.92503099770221575</v>
      </c>
      <c r="E151" s="906">
        <v>0.28414804815177919</v>
      </c>
      <c r="F151" s="904">
        <v>1.6023609873582194</v>
      </c>
      <c r="G151" s="906">
        <v>1.6023609873582194E-2</v>
      </c>
      <c r="H151" s="904">
        <v>1.6103861422831585</v>
      </c>
      <c r="I151" s="906">
        <v>0.50405086253462861</v>
      </c>
      <c r="J151" s="904">
        <v>1.069634425353194</v>
      </c>
      <c r="K151" s="906">
        <v>0.40646108163421368</v>
      </c>
      <c r="L151" s="904">
        <v>60.712042490375829</v>
      </c>
      <c r="M151" s="906">
        <v>0.7892565523748859</v>
      </c>
      <c r="N151" s="904">
        <v>0</v>
      </c>
      <c r="O151" s="906">
        <v>0</v>
      </c>
      <c r="P151" s="904">
        <v>0</v>
      </c>
      <c r="Q151" s="906">
        <v>0</v>
      </c>
      <c r="R151" s="904">
        <v>1.7830801343907001</v>
      </c>
      <c r="S151" s="906">
        <v>1.7830801343907004E-2</v>
      </c>
      <c r="T151" s="904">
        <v>1.4903172364178059</v>
      </c>
      <c r="U151" s="906">
        <v>1.490317236417806E-2</v>
      </c>
      <c r="V151" s="904">
        <v>0.86411280622736286</v>
      </c>
      <c r="W151" s="906">
        <v>8.6411280622736286E-3</v>
      </c>
      <c r="X151" s="904">
        <v>5.3418442878548893</v>
      </c>
      <c r="Y151" s="906">
        <v>1.6719972620985806</v>
      </c>
      <c r="Z151" s="904">
        <v>7.5230819634887265</v>
      </c>
      <c r="AA151" s="906">
        <v>2.3547246545719713</v>
      </c>
      <c r="AB151" s="904">
        <v>0.16764528052342562</v>
      </c>
      <c r="AC151" s="906">
        <v>5.2472972803832223E-2</v>
      </c>
      <c r="AD151" s="904">
        <v>60.026502108710126</v>
      </c>
      <c r="AE151" s="906">
        <v>18.788295160026269</v>
      </c>
      <c r="AF151" s="904">
        <v>1.0783536132492115</v>
      </c>
      <c r="AG151" s="906">
        <v>0.40977437303470038</v>
      </c>
      <c r="AH151" s="904">
        <v>0.20643482364747634</v>
      </c>
      <c r="AI151" s="906">
        <v>7.8445232986041002E-2</v>
      </c>
      <c r="AJ151" s="904">
        <v>61.313118002433107</v>
      </c>
      <c r="AK151" s="906">
        <v>0.79707053403163031</v>
      </c>
      <c r="AL151" s="904">
        <v>61.313118002433107</v>
      </c>
      <c r="AM151" s="906">
        <v>0.79707053403163031</v>
      </c>
      <c r="AN151" s="904">
        <v>61.313118002433107</v>
      </c>
      <c r="AO151" s="906">
        <v>0.79707053403163031</v>
      </c>
      <c r="AP151" s="904">
        <v>61.313118002433107</v>
      </c>
      <c r="AQ151" s="906">
        <v>0.79707053403163031</v>
      </c>
      <c r="AR151" s="904">
        <v>61.313118002433107</v>
      </c>
      <c r="AS151" s="906">
        <v>0.79707053403163031</v>
      </c>
      <c r="AT151" s="904">
        <v>1.2055667967052228</v>
      </c>
      <c r="AU151" s="906">
        <v>1.5672368357167895E-2</v>
      </c>
      <c r="AV151" s="904">
        <v>1.2055667967052228</v>
      </c>
      <c r="AW151" s="906">
        <v>1.5672368357167895E-2</v>
      </c>
      <c r="AX151" s="904">
        <v>1.2055667967052228</v>
      </c>
      <c r="AY151" s="906">
        <v>1.5672368357167895E-2</v>
      </c>
      <c r="AZ151" s="904">
        <v>1.2055667967052228</v>
      </c>
      <c r="BA151" s="906">
        <v>1.5672368357167895E-2</v>
      </c>
      <c r="BB151" s="904">
        <v>1.2055667967052228</v>
      </c>
      <c r="BC151" s="906">
        <v>1.5672368357167895E-2</v>
      </c>
      <c r="BD151" s="904">
        <v>0</v>
      </c>
      <c r="BE151" s="906">
        <v>0</v>
      </c>
      <c r="BF151" s="904">
        <v>0</v>
      </c>
      <c r="BG151" s="906">
        <v>0</v>
      </c>
      <c r="BH151" s="904">
        <v>0</v>
      </c>
      <c r="BI151" s="906">
        <v>0</v>
      </c>
      <c r="BJ151" s="904">
        <v>0</v>
      </c>
      <c r="BK151" s="906">
        <v>0</v>
      </c>
      <c r="BL151" s="904">
        <v>0</v>
      </c>
      <c r="BM151" s="906">
        <v>0</v>
      </c>
      <c r="BN151" s="904">
        <v>0</v>
      </c>
      <c r="BO151" s="906">
        <v>0</v>
      </c>
      <c r="BP151" s="904">
        <v>0</v>
      </c>
      <c r="BQ151" s="906">
        <v>0</v>
      </c>
      <c r="BR151" s="904">
        <v>0</v>
      </c>
      <c r="BS151" s="906">
        <v>0</v>
      </c>
      <c r="BT151" s="904">
        <v>0.18577387479572674</v>
      </c>
      <c r="BU151" s="1053">
        <v>5.8147222811062473E-2</v>
      </c>
      <c r="BV151" s="904">
        <v>0.18608303070637155</v>
      </c>
      <c r="BW151" s="906">
        <v>5.8243988611094297E-2</v>
      </c>
      <c r="BX151" s="904">
        <v>0.13539633522449943</v>
      </c>
      <c r="BY151" s="1054"/>
      <c r="BZ151" s="904">
        <v>3.4398239732398914</v>
      </c>
      <c r="CA151" s="1054"/>
      <c r="CB151" s="904">
        <v>3.8873067896446312</v>
      </c>
      <c r="CC151" s="1054"/>
      <c r="CD151" s="904">
        <v>1.4200350098833041</v>
      </c>
      <c r="CE151" s="906">
        <v>0.53961330375565553</v>
      </c>
      <c r="CF151" s="904">
        <v>1.8109368119360874</v>
      </c>
      <c r="CG151" s="906">
        <v>0.68815598853571325</v>
      </c>
      <c r="CH151" s="904">
        <v>0.82773411677977859</v>
      </c>
      <c r="CI151" s="906"/>
    </row>
    <row r="152" spans="1:87" x14ac:dyDescent="0.45">
      <c r="A152" s="768" t="s">
        <v>1531</v>
      </c>
      <c r="B152" s="904">
        <v>1.9702184943850272</v>
      </c>
      <c r="C152" s="906"/>
      <c r="D152" s="904">
        <v>1.9702184943850272</v>
      </c>
      <c r="E152" s="906"/>
      <c r="F152" s="904">
        <v>9.5837629594520397</v>
      </c>
      <c r="G152" s="906"/>
      <c r="H152" s="904">
        <v>2.3557243628256805</v>
      </c>
      <c r="I152" s="906"/>
      <c r="J152" s="904">
        <v>3.0786330007886438</v>
      </c>
      <c r="K152" s="906"/>
      <c r="L152" s="904">
        <v>149.74028260653705</v>
      </c>
      <c r="M152" s="906"/>
      <c r="N152" s="904">
        <v>0</v>
      </c>
      <c r="O152" s="906"/>
      <c r="P152" s="904">
        <v>0</v>
      </c>
      <c r="Q152" s="906"/>
      <c r="R152" s="904">
        <v>9.5533156180628573</v>
      </c>
      <c r="S152" s="906"/>
      <c r="T152" s="904">
        <v>8.7520697920317811</v>
      </c>
      <c r="U152" s="906"/>
      <c r="V152" s="904">
        <v>9.9231213839233572</v>
      </c>
      <c r="W152" s="906"/>
      <c r="X152" s="904">
        <v>3.235800451279355</v>
      </c>
      <c r="Y152" s="906"/>
      <c r="Z152" s="904">
        <v>3.2666175984343964</v>
      </c>
      <c r="AA152" s="906"/>
      <c r="AB152" s="904">
        <v>2.1880174480079453</v>
      </c>
      <c r="AC152" s="906"/>
      <c r="AD152" s="904">
        <v>3.2666175984343964</v>
      </c>
      <c r="AE152" s="906"/>
      <c r="AF152" s="904">
        <v>3.0817147155041473</v>
      </c>
      <c r="AG152" s="906"/>
      <c r="AH152" s="904">
        <v>2.7735432439537329</v>
      </c>
      <c r="AI152" s="906"/>
      <c r="AJ152" s="904">
        <v>151.15810679547843</v>
      </c>
      <c r="AK152" s="906"/>
      <c r="AL152" s="904">
        <v>151.15810679547843</v>
      </c>
      <c r="AM152" s="906"/>
      <c r="AN152" s="904">
        <v>151.15810679547843</v>
      </c>
      <c r="AO152" s="906"/>
      <c r="AP152" s="904">
        <v>151.15810679547843</v>
      </c>
      <c r="AQ152" s="906"/>
      <c r="AR152" s="904">
        <v>151.15810679547843</v>
      </c>
      <c r="AS152" s="906"/>
      <c r="AT152" s="904">
        <v>9.3756879013404966</v>
      </c>
      <c r="AU152" s="906"/>
      <c r="AV152" s="904">
        <v>9.3756879013404966</v>
      </c>
      <c r="AW152" s="906"/>
      <c r="AX152" s="904">
        <v>9.3756879013404966</v>
      </c>
      <c r="AY152" s="906"/>
      <c r="AZ152" s="904">
        <v>9.3756879013404966</v>
      </c>
      <c r="BA152" s="906"/>
      <c r="BB152" s="904">
        <v>9.3756879013404966</v>
      </c>
      <c r="BC152" s="906"/>
      <c r="BD152" s="904">
        <v>0</v>
      </c>
      <c r="BE152" s="906"/>
      <c r="BF152" s="904">
        <v>0</v>
      </c>
      <c r="BG152" s="906"/>
      <c r="BH152" s="904">
        <v>0</v>
      </c>
      <c r="BI152" s="906"/>
      <c r="BJ152" s="904">
        <v>0</v>
      </c>
      <c r="BK152" s="906"/>
      <c r="BL152" s="904">
        <v>0</v>
      </c>
      <c r="BM152" s="906"/>
      <c r="BN152" s="904">
        <v>0</v>
      </c>
      <c r="BO152" s="906"/>
      <c r="BP152" s="904">
        <v>0</v>
      </c>
      <c r="BQ152" s="906"/>
      <c r="BR152" s="904">
        <v>0</v>
      </c>
      <c r="BS152" s="906"/>
      <c r="BT152" s="904">
        <v>2.4246222629589336</v>
      </c>
      <c r="BU152" s="906"/>
      <c r="BV152" s="904">
        <v>2.4286572022338935</v>
      </c>
      <c r="BW152" s="906"/>
      <c r="BX152" s="904">
        <v>1.7671212869374007</v>
      </c>
      <c r="BY152" s="906"/>
      <c r="BZ152" s="904">
        <v>2.0836593815056457</v>
      </c>
      <c r="CA152" s="906"/>
      <c r="CB152" s="904">
        <v>1.6879179080056155</v>
      </c>
      <c r="CC152" s="906"/>
      <c r="CD152" s="904">
        <v>4.0581704672019434</v>
      </c>
      <c r="CE152" s="906"/>
      <c r="CF152" s="904">
        <v>3.8337052122359414</v>
      </c>
      <c r="CG152" s="906"/>
      <c r="CH152" s="904">
        <v>2.3654953040117128</v>
      </c>
      <c r="CI152" s="906"/>
    </row>
    <row r="153" spans="1:87" x14ac:dyDescent="0.45">
      <c r="A153" s="768" t="s">
        <v>1530</v>
      </c>
      <c r="B153" s="904">
        <v>1.6164336758022269</v>
      </c>
      <c r="C153" s="906"/>
      <c r="D153" s="904">
        <v>1.6164336758022269</v>
      </c>
      <c r="E153" s="906"/>
      <c r="F153" s="904">
        <v>1.9133750325622154</v>
      </c>
      <c r="G153" s="906"/>
      <c r="H153" s="904">
        <v>0.23060471216117534</v>
      </c>
      <c r="I153" s="906"/>
      <c r="J153" s="904">
        <v>4.6179495011829648</v>
      </c>
      <c r="K153" s="906"/>
      <c r="L153" s="904">
        <v>20.22186478646314</v>
      </c>
      <c r="M153" s="906"/>
      <c r="N153" s="904">
        <v>0</v>
      </c>
      <c r="O153" s="906"/>
      <c r="P153" s="904">
        <v>0</v>
      </c>
      <c r="Q153" s="906"/>
      <c r="R153" s="904">
        <v>1.9106631236125715</v>
      </c>
      <c r="S153" s="906"/>
      <c r="T153" s="904">
        <v>1.7257602406823225</v>
      </c>
      <c r="U153" s="906"/>
      <c r="V153" s="904">
        <v>1.9722974179226547</v>
      </c>
      <c r="W153" s="906"/>
      <c r="X153" s="904">
        <v>0.30817147155041474</v>
      </c>
      <c r="Y153" s="906"/>
      <c r="Z153" s="904">
        <v>0.30817147155041474</v>
      </c>
      <c r="AA153" s="906"/>
      <c r="AB153" s="904">
        <v>0.21572003008529031</v>
      </c>
      <c r="AC153" s="906"/>
      <c r="AD153" s="904">
        <v>0.33898861870545627</v>
      </c>
      <c r="AE153" s="906"/>
      <c r="AF153" s="904">
        <v>4.6225720732562214</v>
      </c>
      <c r="AG153" s="906"/>
      <c r="AH153" s="904">
        <v>4.1603148659305997</v>
      </c>
      <c r="AI153" s="906"/>
      <c r="AJ153" s="904">
        <v>20.154414239397124</v>
      </c>
      <c r="AK153" s="906"/>
      <c r="AL153" s="904">
        <v>20.154414239397124</v>
      </c>
      <c r="AM153" s="906"/>
      <c r="AN153" s="904">
        <v>20.154414239397124</v>
      </c>
      <c r="AO153" s="906"/>
      <c r="AP153" s="904">
        <v>20.154414239397124</v>
      </c>
      <c r="AQ153" s="906"/>
      <c r="AR153" s="904">
        <v>20.154414239397124</v>
      </c>
      <c r="AS153" s="906"/>
      <c r="AT153" s="904">
        <v>26.89946894599867</v>
      </c>
      <c r="AU153" s="906"/>
      <c r="AV153" s="904">
        <v>26.89946894599867</v>
      </c>
      <c r="AW153" s="906"/>
      <c r="AX153" s="904">
        <v>26.89946894599867</v>
      </c>
      <c r="AY153" s="906"/>
      <c r="AZ153" s="904">
        <v>26.89946894599867</v>
      </c>
      <c r="BA153" s="906"/>
      <c r="BB153" s="904">
        <v>26.89946894599867</v>
      </c>
      <c r="BC153" s="906"/>
      <c r="BD153" s="904">
        <v>0</v>
      </c>
      <c r="BE153" s="906"/>
      <c r="BF153" s="904">
        <v>0</v>
      </c>
      <c r="BG153" s="906"/>
      <c r="BH153" s="904">
        <v>0</v>
      </c>
      <c r="BI153" s="906"/>
      <c r="BJ153" s="904">
        <v>0</v>
      </c>
      <c r="BK153" s="906"/>
      <c r="BL153" s="904">
        <v>0</v>
      </c>
      <c r="BM153" s="906"/>
      <c r="BN153" s="904">
        <v>0</v>
      </c>
      <c r="BO153" s="906"/>
      <c r="BP153" s="904">
        <v>0</v>
      </c>
      <c r="BQ153" s="906"/>
      <c r="BR153" s="904">
        <v>0</v>
      </c>
      <c r="BS153" s="906"/>
      <c r="BT153" s="904">
        <v>0.23904726536214838</v>
      </c>
      <c r="BU153" s="906"/>
      <c r="BV153" s="904">
        <v>0.23944507627658107</v>
      </c>
      <c r="BW153" s="906"/>
      <c r="BX153" s="904">
        <v>0.17422322547270147</v>
      </c>
      <c r="BY153" s="906"/>
      <c r="BZ153" s="904">
        <v>0.1984437506195853</v>
      </c>
      <c r="CA153" s="906"/>
      <c r="CB153" s="904">
        <v>0.15923753849109581</v>
      </c>
      <c r="CC153" s="906"/>
      <c r="CD153" s="904">
        <v>6.0872557008029151</v>
      </c>
      <c r="CE153" s="906"/>
      <c r="CF153" s="904">
        <v>5.4126934050784881</v>
      </c>
      <c r="CG153" s="906"/>
      <c r="CH153" s="904">
        <v>3.5482429560175688</v>
      </c>
      <c r="CI153" s="906"/>
    </row>
    <row r="154" spans="1:87" x14ac:dyDescent="0.45">
      <c r="A154" s="755" t="s">
        <v>2808</v>
      </c>
      <c r="B154" s="983">
        <v>133826.61784499546</v>
      </c>
      <c r="C154" s="739"/>
      <c r="D154" s="983">
        <v>133826.61784499546</v>
      </c>
      <c r="E154" s="739"/>
      <c r="F154" s="983">
        <v>258943.79154924044</v>
      </c>
      <c r="G154" s="739"/>
      <c r="H154" s="983">
        <v>124568.96376209748</v>
      </c>
      <c r="I154" s="739"/>
      <c r="J154" s="983">
        <v>291950.78598085116</v>
      </c>
      <c r="K154" s="739"/>
      <c r="L154" s="983">
        <v>-2809.6297055289269</v>
      </c>
      <c r="M154" s="739"/>
      <c r="N154" s="983">
        <v>0</v>
      </c>
      <c r="O154" s="739"/>
      <c r="P154" s="983">
        <v>763.79903873521562</v>
      </c>
      <c r="Q154" s="739"/>
      <c r="R154" s="983">
        <v>255491.95341848893</v>
      </c>
      <c r="S154" s="739"/>
      <c r="T154" s="983">
        <v>235384.66018452458</v>
      </c>
      <c r="U154" s="739"/>
      <c r="V154" s="983">
        <v>279540.16011911444</v>
      </c>
      <c r="W154" s="739"/>
      <c r="X154" s="983">
        <v>183486.88303196768</v>
      </c>
      <c r="Y154" s="739"/>
      <c r="Z154" s="983">
        <v>183526.97812151877</v>
      </c>
      <c r="AA154" s="739"/>
      <c r="AB154" s="983">
        <v>113537.58457663274</v>
      </c>
      <c r="AC154" s="739"/>
      <c r="AD154" s="983">
        <v>180925.1307052112</v>
      </c>
      <c r="AE154" s="739"/>
      <c r="AF154" s="983">
        <v>292175.28944027139</v>
      </c>
      <c r="AG154" s="739"/>
      <c r="AH154" s="983">
        <v>269724.94349824463</v>
      </c>
      <c r="AI154" s="739"/>
      <c r="AJ154" s="983">
        <v>-2836.7229448194812</v>
      </c>
      <c r="AK154" s="739"/>
      <c r="AL154" s="983">
        <v>-2836.7229448194812</v>
      </c>
      <c r="AM154" s="739"/>
      <c r="AN154" s="983">
        <v>-2836.7229448194812</v>
      </c>
      <c r="AO154" s="739"/>
      <c r="AP154" s="983">
        <v>-2836.7229448194812</v>
      </c>
      <c r="AQ154" s="739"/>
      <c r="AR154" s="983">
        <v>-2836.7229448194812</v>
      </c>
      <c r="AS154" s="739"/>
      <c r="AT154" s="983">
        <v>-127.39901576444103</v>
      </c>
      <c r="AU154" s="739"/>
      <c r="AV154" s="983">
        <v>-127.39901576444103</v>
      </c>
      <c r="AW154" s="739"/>
      <c r="AX154" s="983">
        <v>-127.39901576444103</v>
      </c>
      <c r="AY154" s="739"/>
      <c r="AZ154" s="983">
        <v>-127.39901576444103</v>
      </c>
      <c r="BA154" s="739"/>
      <c r="BB154" s="983">
        <v>-127.39901576444103</v>
      </c>
      <c r="BC154" s="739"/>
      <c r="BD154" s="983">
        <v>0</v>
      </c>
      <c r="BE154" s="739"/>
      <c r="BF154" s="983">
        <v>0</v>
      </c>
      <c r="BG154" s="739"/>
      <c r="BH154" s="983">
        <v>0</v>
      </c>
      <c r="BI154" s="739"/>
      <c r="BJ154" s="983">
        <v>0</v>
      </c>
      <c r="BK154" s="739"/>
      <c r="BL154" s="983">
        <v>0</v>
      </c>
      <c r="BM154" s="739"/>
      <c r="BN154" s="983">
        <v>28043.603911087746</v>
      </c>
      <c r="BO154" s="739"/>
      <c r="BP154" s="983">
        <v>0</v>
      </c>
      <c r="BQ154" s="739"/>
      <c r="BR154" s="983">
        <v>0</v>
      </c>
      <c r="BS154" s="739"/>
      <c r="BT154" s="983">
        <v>12581.515540368166</v>
      </c>
      <c r="BU154" s="739"/>
      <c r="BV154" s="983">
        <v>13123.17670115982</v>
      </c>
      <c r="BW154" s="739"/>
      <c r="BX154" s="983">
        <v>91697.021317397972</v>
      </c>
      <c r="BY154" s="739"/>
      <c r="BZ154" s="983">
        <v>118154.43225543376</v>
      </c>
      <c r="CA154" s="739"/>
      <c r="CB154" s="983">
        <v>94831.569242122161</v>
      </c>
      <c r="CC154" s="739"/>
      <c r="CD154" s="983">
        <v>38475.239933386147</v>
      </c>
      <c r="CE154" s="739"/>
      <c r="CF154" s="983">
        <v>47572.302267944426</v>
      </c>
      <c r="CG154" s="739"/>
      <c r="CH154" s="983">
        <v>224271.01108421685</v>
      </c>
      <c r="CI154" s="739"/>
    </row>
    <row r="155" spans="1:87" x14ac:dyDescent="0.45">
      <c r="A155" s="768" t="s">
        <v>342</v>
      </c>
    </row>
    <row r="156" spans="1:87" s="905" customFormat="1" x14ac:dyDescent="0.45">
      <c r="A156" s="1055" t="s">
        <v>2809</v>
      </c>
    </row>
    <row r="157" spans="1:87" s="905" customFormat="1" ht="26.25" customHeight="1" x14ac:dyDescent="0.45">
      <c r="A157" s="1056"/>
      <c r="B157" s="2261" t="s">
        <v>2810</v>
      </c>
      <c r="C157" s="2263"/>
      <c r="D157" s="2261" t="s">
        <v>2811</v>
      </c>
      <c r="E157" s="2263"/>
      <c r="F157" s="2261" t="s">
        <v>2812</v>
      </c>
      <c r="G157" s="2263"/>
      <c r="H157" s="2261" t="s">
        <v>2768</v>
      </c>
      <c r="I157" s="2263"/>
      <c r="J157" s="2261" t="s">
        <v>2769</v>
      </c>
      <c r="K157" s="2263"/>
      <c r="L157" s="2261" t="s">
        <v>2770</v>
      </c>
      <c r="M157" s="2263"/>
      <c r="N157" s="2261" t="s">
        <v>2813</v>
      </c>
      <c r="O157" s="2263"/>
      <c r="P157" s="2261" t="s">
        <v>2772</v>
      </c>
      <c r="Q157" s="2263"/>
      <c r="R157" s="2261" t="s">
        <v>2773</v>
      </c>
      <c r="S157" s="2263"/>
      <c r="T157" s="2261" t="s">
        <v>2814</v>
      </c>
      <c r="U157" s="2263"/>
      <c r="V157" s="2261" t="s">
        <v>2815</v>
      </c>
      <c r="W157" s="2263"/>
      <c r="X157" s="2261" t="s">
        <v>2787</v>
      </c>
      <c r="Y157" s="2263"/>
      <c r="Z157" s="2261" t="s">
        <v>2788</v>
      </c>
      <c r="AA157" s="2263"/>
      <c r="AB157" s="2261" t="s">
        <v>2789</v>
      </c>
      <c r="AC157" s="2263"/>
      <c r="AD157" s="2261" t="s">
        <v>2790</v>
      </c>
      <c r="AE157" s="2263"/>
      <c r="AF157" s="2261" t="s">
        <v>2791</v>
      </c>
      <c r="AG157" s="2263"/>
      <c r="AH157" s="2261" t="s">
        <v>2784</v>
      </c>
      <c r="AI157" s="2263"/>
      <c r="AJ157" s="2261" t="s">
        <v>2792</v>
      </c>
      <c r="AK157" s="2263"/>
      <c r="AL157" s="2261" t="s">
        <v>2793</v>
      </c>
      <c r="AM157" s="2263"/>
    </row>
    <row r="158" spans="1:87" s="905" customFormat="1" x14ac:dyDescent="0.45">
      <c r="A158" s="937" t="s">
        <v>2816</v>
      </c>
      <c r="B158" s="1051" t="s">
        <v>127</v>
      </c>
      <c r="C158" s="1052" t="s">
        <v>668</v>
      </c>
      <c r="D158" s="1051" t="s">
        <v>127</v>
      </c>
      <c r="E158" s="1052" t="s">
        <v>668</v>
      </c>
      <c r="F158" s="1051" t="s">
        <v>127</v>
      </c>
      <c r="G158" s="1052" t="s">
        <v>668</v>
      </c>
      <c r="H158" s="1051" t="s">
        <v>127</v>
      </c>
      <c r="I158" s="1052" t="s">
        <v>668</v>
      </c>
      <c r="J158" s="1051" t="s">
        <v>127</v>
      </c>
      <c r="K158" s="1052" t="s">
        <v>668</v>
      </c>
      <c r="L158" s="1051" t="s">
        <v>127</v>
      </c>
      <c r="M158" s="1052" t="s">
        <v>668</v>
      </c>
      <c r="N158" s="1051" t="s">
        <v>127</v>
      </c>
      <c r="O158" s="1052" t="s">
        <v>668</v>
      </c>
      <c r="P158" s="1051" t="s">
        <v>127</v>
      </c>
      <c r="Q158" s="1052" t="s">
        <v>668</v>
      </c>
      <c r="R158" s="1051" t="s">
        <v>127</v>
      </c>
      <c r="S158" s="1052" t="s">
        <v>668</v>
      </c>
      <c r="T158" s="1051" t="s">
        <v>127</v>
      </c>
      <c r="U158" s="1052" t="s">
        <v>668</v>
      </c>
      <c r="V158" s="1051" t="s">
        <v>127</v>
      </c>
      <c r="W158" s="1052" t="s">
        <v>668</v>
      </c>
      <c r="X158" s="1051" t="s">
        <v>127</v>
      </c>
      <c r="Y158" s="1052" t="s">
        <v>668</v>
      </c>
      <c r="Z158" s="1051" t="s">
        <v>127</v>
      </c>
      <c r="AA158" s="1052" t="s">
        <v>668</v>
      </c>
      <c r="AB158" s="1051" t="s">
        <v>127</v>
      </c>
      <c r="AC158" s="1052" t="s">
        <v>668</v>
      </c>
      <c r="AD158" s="1051" t="s">
        <v>127</v>
      </c>
      <c r="AE158" s="1052" t="s">
        <v>668</v>
      </c>
      <c r="AF158" s="1051" t="s">
        <v>127</v>
      </c>
      <c r="AG158" s="1052" t="s">
        <v>668</v>
      </c>
      <c r="AH158" s="1051" t="s">
        <v>127</v>
      </c>
      <c r="AI158" s="1052" t="s">
        <v>668</v>
      </c>
      <c r="AJ158" s="1051" t="s">
        <v>127</v>
      </c>
      <c r="AK158" s="1052" t="s">
        <v>668</v>
      </c>
      <c r="AL158" s="1051" t="s">
        <v>127</v>
      </c>
      <c r="AM158" s="1052" t="s">
        <v>668</v>
      </c>
    </row>
    <row r="159" spans="1:87" s="905" customFormat="1" x14ac:dyDescent="0.45">
      <c r="A159" s="768" t="s">
        <v>1968</v>
      </c>
      <c r="B159" s="879">
        <v>2810.6942678778632</v>
      </c>
      <c r="C159" s="877"/>
      <c r="D159" s="879">
        <v>1488.8743664943477</v>
      </c>
      <c r="E159" s="877"/>
      <c r="F159" s="879">
        <v>1488.8743664943477</v>
      </c>
      <c r="G159" s="877"/>
      <c r="H159" s="879">
        <v>2810.6942678778632</v>
      </c>
      <c r="I159" s="877"/>
      <c r="J159" s="879">
        <v>1488.8743664943477</v>
      </c>
      <c r="K159" s="877"/>
      <c r="L159" s="879">
        <v>1488.8743664943477</v>
      </c>
      <c r="M159" s="877"/>
      <c r="N159" s="879">
        <v>1488.8743664943477</v>
      </c>
      <c r="O159" s="877"/>
      <c r="P159" s="879">
        <v>2810.6942678778632</v>
      </c>
      <c r="Q159" s="877"/>
      <c r="R159" s="879">
        <v>2810.6942678778632</v>
      </c>
      <c r="S159" s="877"/>
      <c r="T159" s="879">
        <v>2904.6059659457514</v>
      </c>
      <c r="U159" s="877"/>
      <c r="V159" s="879">
        <v>2810.6942678778632</v>
      </c>
      <c r="W159" s="877"/>
      <c r="X159" s="879">
        <v>1584.1614175774657</v>
      </c>
      <c r="Y159" s="877"/>
      <c r="Z159" s="879">
        <v>1383.3515561218567</v>
      </c>
      <c r="AA159" s="877"/>
      <c r="AB159" s="879">
        <v>7433.2176367728925</v>
      </c>
      <c r="AC159" s="877"/>
      <c r="AD159" s="879">
        <v>28404.799817755345</v>
      </c>
      <c r="AE159" s="877"/>
      <c r="AF159" s="879">
        <v>253147.92297159258</v>
      </c>
      <c r="AG159" s="877"/>
      <c r="AH159" s="879">
        <v>14863.613097232801</v>
      </c>
      <c r="AI159" s="877"/>
      <c r="AJ159" s="879">
        <v>74132.843867521835</v>
      </c>
      <c r="AK159" s="877"/>
      <c r="AL159" s="879">
        <v>67492.836324901858</v>
      </c>
      <c r="AM159" s="877"/>
    </row>
    <row r="160" spans="1:87" s="905" customFormat="1" x14ac:dyDescent="0.45">
      <c r="A160" s="768" t="s">
        <v>1967</v>
      </c>
      <c r="B160" s="879">
        <v>2513.3025371006861</v>
      </c>
      <c r="C160" s="877"/>
      <c r="D160" s="879">
        <v>1337.7478271692673</v>
      </c>
      <c r="E160" s="877"/>
      <c r="F160" s="879">
        <v>1337.7478271692673</v>
      </c>
      <c r="G160" s="877"/>
      <c r="H160" s="879">
        <v>2513.3025371006861</v>
      </c>
      <c r="I160" s="877"/>
      <c r="J160" s="879">
        <v>1337.7478271692673</v>
      </c>
      <c r="K160" s="877"/>
      <c r="L160" s="879">
        <v>1337.7478271692673</v>
      </c>
      <c r="M160" s="877"/>
      <c r="N160" s="879">
        <v>1337.7478271692673</v>
      </c>
      <c r="O160" s="877"/>
      <c r="P160" s="879">
        <v>2513.3025371006861</v>
      </c>
      <c r="Q160" s="877"/>
      <c r="R160" s="879">
        <v>2513.3025371006861</v>
      </c>
      <c r="S160" s="877"/>
      <c r="T160" s="879">
        <v>2566.0973756912913</v>
      </c>
      <c r="U160" s="877"/>
      <c r="V160" s="879">
        <v>2513.3025371006861</v>
      </c>
      <c r="W160" s="877"/>
      <c r="X160" s="879">
        <v>1432.8533545756438</v>
      </c>
      <c r="Y160" s="877"/>
      <c r="Z160" s="879">
        <v>1242.1665258614871</v>
      </c>
      <c r="AA160" s="877"/>
      <c r="AB160" s="879">
        <v>6908.2024467588908</v>
      </c>
      <c r="AC160" s="877"/>
      <c r="AD160" s="879">
        <v>25231.280476522988</v>
      </c>
      <c r="AE160" s="877"/>
      <c r="AF160" s="879">
        <v>205208.82896546987</v>
      </c>
      <c r="AG160" s="877"/>
      <c r="AH160" s="879">
        <v>13692.736958316884</v>
      </c>
      <c r="AI160" s="877"/>
      <c r="AJ160" s="879">
        <v>69930.61549754822</v>
      </c>
      <c r="AK160" s="877"/>
      <c r="AL160" s="879">
        <v>60127.893069927821</v>
      </c>
      <c r="AM160" s="877"/>
      <c r="AP160" s="7"/>
    </row>
    <row r="161" spans="1:42" s="905" customFormat="1" x14ac:dyDescent="0.45">
      <c r="A161" s="768" t="s">
        <v>114</v>
      </c>
      <c r="B161" s="879">
        <v>1818.5259955378115</v>
      </c>
      <c r="C161" s="877"/>
      <c r="D161" s="879">
        <v>975.01544584474937</v>
      </c>
      <c r="E161" s="877"/>
      <c r="F161" s="879">
        <v>975.01544584474937</v>
      </c>
      <c r="G161" s="877"/>
      <c r="H161" s="879">
        <v>1818.5259955378115</v>
      </c>
      <c r="I161" s="877"/>
      <c r="J161" s="879">
        <v>975.01544584474937</v>
      </c>
      <c r="K161" s="877"/>
      <c r="L161" s="879">
        <v>975.01544584474937</v>
      </c>
      <c r="M161" s="877"/>
      <c r="N161" s="879">
        <v>975.01544584474937</v>
      </c>
      <c r="O161" s="877"/>
      <c r="P161" s="879">
        <v>1818.5259955378115</v>
      </c>
      <c r="Q161" s="877"/>
      <c r="R161" s="879">
        <v>1818.5259955378115</v>
      </c>
      <c r="S161" s="877"/>
      <c r="T161" s="879">
        <v>1830.7652040612795</v>
      </c>
      <c r="U161" s="877"/>
      <c r="V161" s="879">
        <v>1818.5259955378115</v>
      </c>
      <c r="W161" s="877"/>
      <c r="X161" s="879">
        <v>1037.6706836208764</v>
      </c>
      <c r="Y161" s="877"/>
      <c r="Z161" s="879">
        <v>885.61382347800782</v>
      </c>
      <c r="AA161" s="877"/>
      <c r="AB161" s="879">
        <v>2839.481278658935</v>
      </c>
      <c r="AC161" s="877"/>
      <c r="AD161" s="879">
        <v>14705.471816373998</v>
      </c>
      <c r="AE161" s="877"/>
      <c r="AF161" s="879">
        <v>112331.251708458</v>
      </c>
      <c r="AG161" s="877"/>
      <c r="AH161" s="879">
        <v>7938.7188763847143</v>
      </c>
      <c r="AI161" s="877"/>
      <c r="AJ161" s="879">
        <v>19518.136800203774</v>
      </c>
      <c r="AK161" s="877"/>
      <c r="AL161" s="879">
        <v>33511.611038162839</v>
      </c>
      <c r="AM161" s="877"/>
      <c r="AP161" s="7"/>
    </row>
    <row r="162" spans="1:42" s="905" customFormat="1" x14ac:dyDescent="0.45">
      <c r="A162" s="768" t="s">
        <v>113</v>
      </c>
      <c r="B162" s="879">
        <v>643.00330535991634</v>
      </c>
      <c r="C162" s="877"/>
      <c r="D162" s="879">
        <v>341.61209148748873</v>
      </c>
      <c r="E162" s="877"/>
      <c r="F162" s="879">
        <v>341.61209148748873</v>
      </c>
      <c r="G162" s="877"/>
      <c r="H162" s="879">
        <v>643.00330535991634</v>
      </c>
      <c r="I162" s="877"/>
      <c r="J162" s="879">
        <v>341.61209148748873</v>
      </c>
      <c r="K162" s="877"/>
      <c r="L162" s="879">
        <v>341.61209148748873</v>
      </c>
      <c r="M162" s="877"/>
      <c r="N162" s="879">
        <v>341.61209148748873</v>
      </c>
      <c r="O162" s="877"/>
      <c r="P162" s="879">
        <v>643.00330535991634</v>
      </c>
      <c r="Q162" s="877"/>
      <c r="R162" s="879">
        <v>643.00330535991634</v>
      </c>
      <c r="S162" s="877"/>
      <c r="T162" s="879">
        <v>673.43734881079547</v>
      </c>
      <c r="U162" s="877"/>
      <c r="V162" s="879">
        <v>643.00330535991634</v>
      </c>
      <c r="W162" s="877"/>
      <c r="X162" s="879">
        <v>351.43636929061239</v>
      </c>
      <c r="Y162" s="877"/>
      <c r="Z162" s="879">
        <v>288.61622406646524</v>
      </c>
      <c r="AA162" s="877"/>
      <c r="AB162" s="879">
        <v>932.97688466220029</v>
      </c>
      <c r="AC162" s="877"/>
      <c r="AD162" s="879">
        <v>9093.950971399745</v>
      </c>
      <c r="AE162" s="877"/>
      <c r="AF162" s="879">
        <v>83608.657312723604</v>
      </c>
      <c r="AG162" s="877"/>
      <c r="AH162" s="879">
        <v>2965.737551367371</v>
      </c>
      <c r="AI162" s="877"/>
      <c r="AJ162" s="879">
        <v>12103.554909533694</v>
      </c>
      <c r="AK162" s="877"/>
      <c r="AL162" s="879">
        <v>14021.269470683183</v>
      </c>
      <c r="AM162" s="877"/>
      <c r="AP162" s="7"/>
    </row>
    <row r="163" spans="1:42" s="905" customFormat="1" x14ac:dyDescent="0.45">
      <c r="A163" s="755" t="s">
        <v>1966</v>
      </c>
      <c r="B163" s="983">
        <v>51.773236202958238</v>
      </c>
      <c r="C163" s="739"/>
      <c r="D163" s="983">
        <v>21.12028983702908</v>
      </c>
      <c r="E163" s="739"/>
      <c r="F163" s="983">
        <v>21.12028983702908</v>
      </c>
      <c r="G163" s="739"/>
      <c r="H163" s="983">
        <v>51.773236202958238</v>
      </c>
      <c r="I163" s="739"/>
      <c r="J163" s="983">
        <v>21.12028983702908</v>
      </c>
      <c r="K163" s="739"/>
      <c r="L163" s="983">
        <v>21.12028983702908</v>
      </c>
      <c r="M163" s="739"/>
      <c r="N163" s="983">
        <v>21.12028983702908</v>
      </c>
      <c r="O163" s="739"/>
      <c r="P163" s="983">
        <v>51.773236202958238</v>
      </c>
      <c r="Q163" s="739"/>
      <c r="R163" s="983">
        <v>51.773236202958238</v>
      </c>
      <c r="S163" s="739"/>
      <c r="T163" s="983">
        <v>61.894822819216088</v>
      </c>
      <c r="U163" s="739"/>
      <c r="V163" s="983">
        <v>51.773236202958238</v>
      </c>
      <c r="W163" s="739"/>
      <c r="X163" s="983">
        <v>43.746301664155084</v>
      </c>
      <c r="Y163" s="739"/>
      <c r="Z163" s="983">
        <v>67.936478317013723</v>
      </c>
      <c r="AA163" s="739"/>
      <c r="AB163" s="983">
        <v>3135.7442834377557</v>
      </c>
      <c r="AC163" s="739"/>
      <c r="AD163" s="983">
        <v>1431.8576887492422</v>
      </c>
      <c r="AE163" s="739"/>
      <c r="AF163" s="983">
        <v>9268.9199442882709</v>
      </c>
      <c r="AG163" s="739"/>
      <c r="AH163" s="983">
        <v>2788.2805305647971</v>
      </c>
      <c r="AI163" s="739"/>
      <c r="AJ163" s="983">
        <v>38308.923787810752</v>
      </c>
      <c r="AK163" s="739"/>
      <c r="AL163" s="983">
        <v>12595.0125610818</v>
      </c>
      <c r="AM163" s="739"/>
      <c r="AP163" s="7"/>
    </row>
    <row r="164" spans="1:42" s="905" customFormat="1" x14ac:dyDescent="0.45">
      <c r="A164" s="893" t="s">
        <v>2817</v>
      </c>
      <c r="B164" s="1057">
        <v>0.43470283707592788</v>
      </c>
      <c r="C164" s="1058"/>
      <c r="D164" s="1057">
        <v>0.22428917337548726</v>
      </c>
      <c r="E164" s="1058"/>
      <c r="F164" s="1057">
        <v>0.22428917337548726</v>
      </c>
      <c r="G164" s="1058"/>
      <c r="H164" s="1057">
        <v>0.43470283707592788</v>
      </c>
      <c r="I164" s="1058"/>
      <c r="J164" s="1057">
        <v>0.22428917337548726</v>
      </c>
      <c r="K164" s="1058"/>
      <c r="L164" s="1057">
        <v>0.22428917337548726</v>
      </c>
      <c r="M164" s="1058"/>
      <c r="N164" s="1057">
        <v>0.22428917337548726</v>
      </c>
      <c r="O164" s="1058"/>
      <c r="P164" s="1057">
        <v>0.43470283707592788</v>
      </c>
      <c r="Q164" s="1058"/>
      <c r="R164" s="1057">
        <v>0.43470283707592788</v>
      </c>
      <c r="S164" s="1058"/>
      <c r="T164" s="1057">
        <v>0.49742677101949695</v>
      </c>
      <c r="U164" s="1058"/>
      <c r="V164" s="1057">
        <v>0.43470283707592788</v>
      </c>
      <c r="W164" s="1058"/>
      <c r="X164" s="1057">
        <v>0.20712008119660724</v>
      </c>
      <c r="Y164" s="1058"/>
      <c r="Z164" s="1057">
        <v>0.17099623168884626</v>
      </c>
      <c r="AA164" s="1058"/>
      <c r="AB164" s="1057">
        <v>0.31609435977793338</v>
      </c>
      <c r="AC164" s="1058"/>
      <c r="AD164" s="1057">
        <v>3.5990295093754674</v>
      </c>
      <c r="AE164" s="1058"/>
      <c r="AF164" s="1057">
        <v>45.439841229224776</v>
      </c>
      <c r="AG164" s="1058"/>
      <c r="AH164" s="1057">
        <v>1.6518730371763455</v>
      </c>
      <c r="AI164" s="1058"/>
      <c r="AJ164" s="1057">
        <v>6.7561712494833959</v>
      </c>
      <c r="AK164" s="1058"/>
      <c r="AL164" s="1057">
        <v>10.444298032551107</v>
      </c>
      <c r="AM164" s="1058"/>
      <c r="AP164" s="7"/>
    </row>
    <row r="165" spans="1:42" s="905" customFormat="1" x14ac:dyDescent="0.45">
      <c r="A165" s="855" t="s">
        <v>2818</v>
      </c>
      <c r="B165" s="904"/>
      <c r="C165" s="906"/>
      <c r="D165" s="904"/>
      <c r="E165" s="906"/>
      <c r="F165" s="904"/>
      <c r="G165" s="906"/>
      <c r="H165" s="904"/>
      <c r="I165" s="906"/>
      <c r="J165" s="904"/>
      <c r="K165" s="906"/>
      <c r="L165" s="904"/>
      <c r="M165" s="906"/>
      <c r="N165" s="904"/>
      <c r="O165" s="906"/>
      <c r="P165" s="904"/>
      <c r="Q165" s="906"/>
      <c r="R165" s="904"/>
      <c r="S165" s="906"/>
      <c r="T165" s="904"/>
      <c r="U165" s="906"/>
      <c r="V165" s="904"/>
      <c r="W165" s="906"/>
      <c r="X165" s="904"/>
      <c r="Y165" s="906"/>
      <c r="Z165" s="904"/>
      <c r="AA165" s="906"/>
      <c r="AB165" s="904"/>
      <c r="AC165" s="906"/>
      <c r="AD165" s="904"/>
      <c r="AE165" s="906"/>
      <c r="AF165" s="904"/>
      <c r="AG165" s="906"/>
      <c r="AH165" s="904"/>
      <c r="AI165" s="906"/>
      <c r="AJ165" s="904"/>
      <c r="AK165" s="906"/>
      <c r="AL165" s="904"/>
      <c r="AM165" s="906"/>
      <c r="AP165"/>
    </row>
    <row r="166" spans="1:42" s="905" customFormat="1" x14ac:dyDescent="0.45">
      <c r="A166" s="768" t="s">
        <v>2582</v>
      </c>
      <c r="B166" s="904">
        <v>0.22325178345282287</v>
      </c>
      <c r="C166" s="906">
        <v>8.8565419122399512E-4</v>
      </c>
      <c r="D166" s="904">
        <v>0.12163211713847584</v>
      </c>
      <c r="E166" s="906">
        <v>4.6069911757133685E-4</v>
      </c>
      <c r="F166" s="904">
        <v>0.12163211713847584</v>
      </c>
      <c r="G166" s="906">
        <v>4.6069911757133685E-4</v>
      </c>
      <c r="H166" s="904">
        <v>0.22325178345282287</v>
      </c>
      <c r="I166" s="906">
        <v>8.8565419122399512E-4</v>
      </c>
      <c r="J166" s="904">
        <v>0.12163211713847584</v>
      </c>
      <c r="K166" s="906">
        <v>4.6069911757133685E-4</v>
      </c>
      <c r="L166" s="904">
        <v>0.12163211713847584</v>
      </c>
      <c r="M166" s="906">
        <v>4.6069911757133685E-4</v>
      </c>
      <c r="N166" s="904">
        <v>0.12163211713847584</v>
      </c>
      <c r="O166" s="906">
        <v>4.6069911757133685E-4</v>
      </c>
      <c r="P166" s="904">
        <v>0.22325178345282287</v>
      </c>
      <c r="Q166" s="906">
        <v>8.8565419122399512E-4</v>
      </c>
      <c r="R166" s="904">
        <v>0.22325178345282287</v>
      </c>
      <c r="S166" s="906">
        <v>8.8565419122399512E-4</v>
      </c>
      <c r="T166" s="904">
        <v>0.22341199194256753</v>
      </c>
      <c r="U166" s="906">
        <v>9.2658313829633459E-4</v>
      </c>
      <c r="V166" s="904">
        <v>0.22325178345282287</v>
      </c>
      <c r="W166" s="906">
        <v>8.8565419122399512E-4</v>
      </c>
      <c r="X166" s="904">
        <v>0.12117743534171023</v>
      </c>
      <c r="Y166" s="906">
        <v>5.160906256107214E-4</v>
      </c>
      <c r="Z166" s="904">
        <v>9.2684858134164466E-2</v>
      </c>
      <c r="AA166" s="906">
        <v>4.8591676095895256E-4</v>
      </c>
      <c r="AB166" s="904">
        <v>0.13761075496552927</v>
      </c>
      <c r="AC166" s="906">
        <v>1.1244567167809943E-2</v>
      </c>
      <c r="AD166" s="904">
        <v>1.5184486603383405</v>
      </c>
      <c r="AE166" s="906">
        <v>1.2583530987482449E-2</v>
      </c>
      <c r="AF166" s="904">
        <v>7.043405104541459</v>
      </c>
      <c r="AG166" s="906">
        <v>0.12085410432891369</v>
      </c>
      <c r="AH166" s="904">
        <v>0.96742518810418054</v>
      </c>
      <c r="AI166" s="906">
        <v>1.1090430271969126E-2</v>
      </c>
      <c r="AJ166" s="904">
        <v>2.6715163052734092</v>
      </c>
      <c r="AK166" s="906">
        <v>0.11877117364303132</v>
      </c>
      <c r="AL166" s="904">
        <v>3.9365269303265471</v>
      </c>
      <c r="AM166" s="906">
        <v>4.9428363004792697E-2</v>
      </c>
    </row>
    <row r="167" spans="1:42" s="905" customFormat="1" x14ac:dyDescent="0.45">
      <c r="A167" s="768" t="s">
        <v>2583</v>
      </c>
      <c r="B167" s="904">
        <v>1.6219745883291443</v>
      </c>
      <c r="C167" s="906">
        <v>5.9159145974006068E-3</v>
      </c>
      <c r="D167" s="904">
        <v>0.88171126823355817</v>
      </c>
      <c r="E167" s="906">
        <v>3.1590312387003014E-3</v>
      </c>
      <c r="F167" s="904">
        <v>0.88171126823355817</v>
      </c>
      <c r="G167" s="906">
        <v>3.1590312387003014E-3</v>
      </c>
      <c r="H167" s="904">
        <v>1.6219745883291443</v>
      </c>
      <c r="I167" s="906">
        <v>5.9159145974006068E-3</v>
      </c>
      <c r="J167" s="904">
        <v>0.88171126823355817</v>
      </c>
      <c r="K167" s="906">
        <v>3.1590312387003014E-3</v>
      </c>
      <c r="L167" s="904">
        <v>0.88171126823355817</v>
      </c>
      <c r="M167" s="906">
        <v>3.1590312387003014E-3</v>
      </c>
      <c r="N167" s="904">
        <v>0.88171126823355817</v>
      </c>
      <c r="O167" s="906">
        <v>3.1590312387003014E-3</v>
      </c>
      <c r="P167" s="904">
        <v>1.6219745883291443</v>
      </c>
      <c r="Q167" s="906">
        <v>5.9159145974006068E-3</v>
      </c>
      <c r="R167" s="904">
        <v>1.6219745883291443</v>
      </c>
      <c r="S167" s="906">
        <v>5.9159145974006068E-3</v>
      </c>
      <c r="T167" s="904">
        <v>1.6043707810349692</v>
      </c>
      <c r="U167" s="906">
        <v>6.0550039000130821E-3</v>
      </c>
      <c r="V167" s="904">
        <v>1.6219745883291443</v>
      </c>
      <c r="W167" s="906">
        <v>5.9159145974006068E-3</v>
      </c>
      <c r="X167" s="904">
        <v>0.86580155786235269</v>
      </c>
      <c r="Y167" s="906">
        <v>3.2373175584161601E-3</v>
      </c>
      <c r="Z167" s="904">
        <v>0.70475648589945583</v>
      </c>
      <c r="AA167" s="906">
        <v>2.710792630168656E-3</v>
      </c>
      <c r="AB167" s="904">
        <v>1.3197165890824303</v>
      </c>
      <c r="AC167" s="906">
        <v>1.8750314507800545E-2</v>
      </c>
      <c r="AD167" s="904">
        <v>10.210786426496508</v>
      </c>
      <c r="AE167" s="906">
        <v>6.9066448570737959E-2</v>
      </c>
      <c r="AF167" s="904">
        <v>45.517856805252386</v>
      </c>
      <c r="AG167" s="906">
        <v>0.76458723313397714</v>
      </c>
      <c r="AH167" s="904">
        <v>7.0185364793109493</v>
      </c>
      <c r="AI167" s="906">
        <v>3.0289380924191551E-2</v>
      </c>
      <c r="AJ167" s="904">
        <v>18.145325641729059</v>
      </c>
      <c r="AK167" s="906">
        <v>0.1469212547312477</v>
      </c>
      <c r="AL167" s="904">
        <v>28.39645647410098</v>
      </c>
      <c r="AM167" s="906">
        <v>0.13532990510811033</v>
      </c>
    </row>
    <row r="168" spans="1:42" s="905" customFormat="1" x14ac:dyDescent="0.45">
      <c r="A168" s="768" t="s">
        <v>2584</v>
      </c>
      <c r="B168" s="904">
        <v>0.3311937773874819</v>
      </c>
      <c r="C168" s="906">
        <v>1.5307975987660084E-2</v>
      </c>
      <c r="D168" s="904">
        <v>0.16802111904986225</v>
      </c>
      <c r="E168" s="906">
        <v>8.1742637256343835E-3</v>
      </c>
      <c r="F168" s="904">
        <v>0.16802111904986225</v>
      </c>
      <c r="G168" s="906">
        <v>8.1742637256343835E-3</v>
      </c>
      <c r="H168" s="904">
        <v>0.3311937773874819</v>
      </c>
      <c r="I168" s="906">
        <v>1.5307975987660084E-2</v>
      </c>
      <c r="J168" s="904">
        <v>0.16802111904986225</v>
      </c>
      <c r="K168" s="906">
        <v>8.1742637256343835E-3</v>
      </c>
      <c r="L168" s="904">
        <v>0.16802111904986225</v>
      </c>
      <c r="M168" s="906">
        <v>8.1742637256343835E-3</v>
      </c>
      <c r="N168" s="904">
        <v>0.16802111904986225</v>
      </c>
      <c r="O168" s="906">
        <v>8.1742637256343835E-3</v>
      </c>
      <c r="P168" s="904">
        <v>0.3311937773874819</v>
      </c>
      <c r="Q168" s="906">
        <v>1.5307975987660084E-2</v>
      </c>
      <c r="R168" s="904">
        <v>0.3311937773874819</v>
      </c>
      <c r="S168" s="906">
        <v>1.5307975987660084E-2</v>
      </c>
      <c r="T168" s="904">
        <v>0.32008539120295143</v>
      </c>
      <c r="U168" s="906">
        <v>1.5686685757354667E-2</v>
      </c>
      <c r="V168" s="904">
        <v>0.3311937773874819</v>
      </c>
      <c r="W168" s="906">
        <v>1.5307975987660084E-2</v>
      </c>
      <c r="X168" s="904">
        <v>0.22147169615086365</v>
      </c>
      <c r="Y168" s="906">
        <v>8.3204912701631273E-3</v>
      </c>
      <c r="Z168" s="904">
        <v>0.27158820989282667</v>
      </c>
      <c r="AA168" s="906">
        <v>6.9531699960254222E-3</v>
      </c>
      <c r="AB168" s="904">
        <v>2.2943161489567307</v>
      </c>
      <c r="AC168" s="906">
        <v>4.2761854674680369E-2</v>
      </c>
      <c r="AD168" s="904">
        <v>2.956619885640885</v>
      </c>
      <c r="AE168" s="906">
        <v>0.17075159820767863</v>
      </c>
      <c r="AF168" s="904">
        <v>18.247317606457482</v>
      </c>
      <c r="AG168" s="906">
        <v>1.9554575471156721</v>
      </c>
      <c r="AH168" s="904">
        <v>1.8562259188082866</v>
      </c>
      <c r="AI168" s="906">
        <v>7.3932786563734101E-2</v>
      </c>
      <c r="AJ168" s="904">
        <v>5.9410725873100549</v>
      </c>
      <c r="AK168" s="906">
        <v>0.31694600056473338</v>
      </c>
      <c r="AL168" s="904">
        <v>7.8757184963178082</v>
      </c>
      <c r="AM168" s="906">
        <v>0.33270391787705672</v>
      </c>
    </row>
    <row r="169" spans="1:42" s="905" customFormat="1" x14ac:dyDescent="0.45">
      <c r="A169" s="768" t="s">
        <v>2585</v>
      </c>
      <c r="B169" s="904">
        <v>0.14555927689151413</v>
      </c>
      <c r="C169" s="906">
        <v>1.7350843832420247E-3</v>
      </c>
      <c r="D169" s="904">
        <v>7.7278622211154682E-2</v>
      </c>
      <c r="E169" s="906">
        <v>9.2526241026347927E-4</v>
      </c>
      <c r="F169" s="904">
        <v>7.7278622211154682E-2</v>
      </c>
      <c r="G169" s="906">
        <v>9.2526241026347927E-4</v>
      </c>
      <c r="H169" s="904">
        <v>0.14555927689151413</v>
      </c>
      <c r="I169" s="906">
        <v>1.7350843832420247E-3</v>
      </c>
      <c r="J169" s="904">
        <v>7.7278622211154682E-2</v>
      </c>
      <c r="K169" s="906">
        <v>9.2526241026347927E-4</v>
      </c>
      <c r="L169" s="904">
        <v>7.7278622211154682E-2</v>
      </c>
      <c r="M169" s="906">
        <v>9.2526241026347927E-4</v>
      </c>
      <c r="N169" s="904">
        <v>7.7278622211154682E-2</v>
      </c>
      <c r="O169" s="906">
        <v>9.2526241026347927E-4</v>
      </c>
      <c r="P169" s="904">
        <v>0.14555927689151413</v>
      </c>
      <c r="Q169" s="906">
        <v>1.7350843832420247E-3</v>
      </c>
      <c r="R169" s="904">
        <v>0.14555927689151413</v>
      </c>
      <c r="S169" s="906">
        <v>1.7350843832420247E-3</v>
      </c>
      <c r="T169" s="904">
        <v>0.14808533772896323</v>
      </c>
      <c r="U169" s="906">
        <v>1.7812728096704416E-3</v>
      </c>
      <c r="V169" s="904">
        <v>0.14555927689151413</v>
      </c>
      <c r="W169" s="906">
        <v>1.7350843832420247E-3</v>
      </c>
      <c r="X169" s="904">
        <v>8.3866965092429926E-2</v>
      </c>
      <c r="Y169" s="906">
        <v>9.3830753410496933E-4</v>
      </c>
      <c r="Z169" s="904">
        <v>7.4183800310225576E-2</v>
      </c>
      <c r="AA169" s="906">
        <v>7.8712782051966522E-4</v>
      </c>
      <c r="AB169" s="904">
        <v>0.30615374323519245</v>
      </c>
      <c r="AC169" s="906">
        <v>3.7745736707776407E-3</v>
      </c>
      <c r="AD169" s="904">
        <v>1.0390375259604048</v>
      </c>
      <c r="AE169" s="906">
        <v>1.9252965858800288E-2</v>
      </c>
      <c r="AF169" s="904">
        <v>5.7617077622126782</v>
      </c>
      <c r="AG169" s="906">
        <v>0.23336190002067811</v>
      </c>
      <c r="AH169" s="904">
        <v>0.65688299314418219</v>
      </c>
      <c r="AI169" s="906">
        <v>8.7037631806483346E-3</v>
      </c>
      <c r="AJ169" s="904">
        <v>1.9201111847505159</v>
      </c>
      <c r="AK169" s="906">
        <v>4.122019369120971E-2</v>
      </c>
      <c r="AL169" s="904">
        <v>2.917449305448351</v>
      </c>
      <c r="AM169" s="906">
        <v>3.9403265165131311E-2</v>
      </c>
    </row>
    <row r="170" spans="1:42" s="905" customFormat="1" x14ac:dyDescent="0.45">
      <c r="A170" s="768" t="s">
        <v>2586</v>
      </c>
      <c r="B170" s="904">
        <v>6.2838678842376483E-2</v>
      </c>
      <c r="C170" s="906">
        <v>1.2836433131996599E-3</v>
      </c>
      <c r="D170" s="904">
        <v>3.383843485221253E-2</v>
      </c>
      <c r="E170" s="906">
        <v>6.8463505518292069E-4</v>
      </c>
      <c r="F170" s="904">
        <v>3.383843485221253E-2</v>
      </c>
      <c r="G170" s="906">
        <v>6.8463505518292069E-4</v>
      </c>
      <c r="H170" s="904">
        <v>6.2838678842376483E-2</v>
      </c>
      <c r="I170" s="906">
        <v>1.2836433131996599E-3</v>
      </c>
      <c r="J170" s="904">
        <v>3.383843485221253E-2</v>
      </c>
      <c r="K170" s="906">
        <v>6.8463505518292069E-4</v>
      </c>
      <c r="L170" s="904">
        <v>3.383843485221253E-2</v>
      </c>
      <c r="M170" s="906">
        <v>6.8463505518292069E-4</v>
      </c>
      <c r="N170" s="904">
        <v>3.383843485221253E-2</v>
      </c>
      <c r="O170" s="906">
        <v>6.8463505518292069E-4</v>
      </c>
      <c r="P170" s="904">
        <v>6.2838678842376483E-2</v>
      </c>
      <c r="Q170" s="906">
        <v>1.2836433131996599E-3</v>
      </c>
      <c r="R170" s="904">
        <v>6.2838678842376483E-2</v>
      </c>
      <c r="S170" s="906">
        <v>1.2836433131996599E-3</v>
      </c>
      <c r="T170" s="904">
        <v>6.4926204015390745E-2</v>
      </c>
      <c r="U170" s="906">
        <v>1.3168872735998176E-3</v>
      </c>
      <c r="V170" s="904">
        <v>6.2838678842376483E-2</v>
      </c>
      <c r="W170" s="906">
        <v>1.2836433131996599E-3</v>
      </c>
      <c r="X170" s="904">
        <v>3.4259406488939201E-2</v>
      </c>
      <c r="Y170" s="906">
        <v>6.947852606294262E-4</v>
      </c>
      <c r="Z170" s="904">
        <v>2.5563855272682134E-2</v>
      </c>
      <c r="AA170" s="906">
        <v>5.8365329092741048E-4</v>
      </c>
      <c r="AB170" s="904">
        <v>4.5095765289151449E-2</v>
      </c>
      <c r="AC170" s="906">
        <v>2.720756545270753E-3</v>
      </c>
      <c r="AD170" s="904">
        <v>0.43238640503733206</v>
      </c>
      <c r="AE170" s="906">
        <v>1.4006198828284517E-2</v>
      </c>
      <c r="AF170" s="904">
        <v>2.6283933612896502</v>
      </c>
      <c r="AG170" s="906">
        <v>0.16995999919664231</v>
      </c>
      <c r="AH170" s="904">
        <v>0.27578070653441894</v>
      </c>
      <c r="AI170" s="906">
        <v>6.5023728639157681E-3</v>
      </c>
      <c r="AJ170" s="904">
        <v>0.96415827530194564</v>
      </c>
      <c r="AK170" s="906">
        <v>3.1310192335585303E-2</v>
      </c>
      <c r="AL170" s="904">
        <v>1.2449363620811027</v>
      </c>
      <c r="AM170" s="906">
        <v>2.9362460969482893E-2</v>
      </c>
    </row>
    <row r="171" spans="1:42" s="905" customFormat="1" x14ac:dyDescent="0.45">
      <c r="A171" s="768" t="s">
        <v>2587</v>
      </c>
      <c r="B171" s="904">
        <v>0.93120145210139449</v>
      </c>
      <c r="C171" s="906">
        <v>5.7060896573409854E-2</v>
      </c>
      <c r="D171" s="904">
        <v>0.48243356214316413</v>
      </c>
      <c r="E171" s="906">
        <v>3.0482811519069477E-2</v>
      </c>
      <c r="F171" s="904">
        <v>0.48243356214316413</v>
      </c>
      <c r="G171" s="906">
        <v>3.0482811519069477E-2</v>
      </c>
      <c r="H171" s="904">
        <v>0.93120145210139449</v>
      </c>
      <c r="I171" s="906">
        <v>5.7060896573409854E-2</v>
      </c>
      <c r="J171" s="904">
        <v>0.48243356214316413</v>
      </c>
      <c r="K171" s="906">
        <v>3.0482811519069477E-2</v>
      </c>
      <c r="L171" s="904">
        <v>0.48243356214316413</v>
      </c>
      <c r="M171" s="906">
        <v>3.0482811519069477E-2</v>
      </c>
      <c r="N171" s="904">
        <v>0.48243356214316413</v>
      </c>
      <c r="O171" s="906">
        <v>3.0482811519069477E-2</v>
      </c>
      <c r="P171" s="904">
        <v>0.93120145210139449</v>
      </c>
      <c r="Q171" s="906">
        <v>5.7060896573409854E-2</v>
      </c>
      <c r="R171" s="904">
        <v>0.93120145210139449</v>
      </c>
      <c r="S171" s="906">
        <v>5.7060896573409854E-2</v>
      </c>
      <c r="T171" s="904">
        <v>0.92007171203591032</v>
      </c>
      <c r="U171" s="906">
        <v>5.8665570012328631E-2</v>
      </c>
      <c r="V171" s="904">
        <v>0.93120145210139449</v>
      </c>
      <c r="W171" s="906">
        <v>5.7060896573409854E-2</v>
      </c>
      <c r="X171" s="904">
        <v>0.62617694272148017</v>
      </c>
      <c r="Y171" s="906">
        <v>3.0519021615589208E-2</v>
      </c>
      <c r="Z171" s="904">
        <v>0.55601389145167368</v>
      </c>
      <c r="AA171" s="906">
        <v>2.5207558907911185E-2</v>
      </c>
      <c r="AB171" s="904">
        <v>1.8194203998272516</v>
      </c>
      <c r="AC171" s="906">
        <v>6.0438424615413697E-2</v>
      </c>
      <c r="AD171" s="904">
        <v>8.7600993947557075</v>
      </c>
      <c r="AE171" s="906">
        <v>0.61679224417943346</v>
      </c>
      <c r="AF171" s="904">
        <v>79.040974908090647</v>
      </c>
      <c r="AG171" s="906">
        <v>7.7165381674965126</v>
      </c>
      <c r="AH171" s="904">
        <v>4.0074514393672072</v>
      </c>
      <c r="AI171" s="906">
        <v>0.24817749457499544</v>
      </c>
      <c r="AJ171" s="904">
        <v>10.340481161278928</v>
      </c>
      <c r="AK171" s="906">
        <v>0.81182566849569371</v>
      </c>
      <c r="AL171" s="904">
        <v>17.783624133776971</v>
      </c>
      <c r="AM171" s="906">
        <v>1.1369861947355462</v>
      </c>
    </row>
    <row r="172" spans="1:42" s="905" customFormat="1" x14ac:dyDescent="0.45">
      <c r="A172" s="768" t="s">
        <v>2588</v>
      </c>
      <c r="B172" s="904">
        <v>1.1232333005667772E-3</v>
      </c>
      <c r="C172" s="906">
        <v>7.692521049926926E-5</v>
      </c>
      <c r="D172" s="904">
        <v>5.845067600181485E-4</v>
      </c>
      <c r="E172" s="906">
        <v>4.0883632780387802E-5</v>
      </c>
      <c r="F172" s="904">
        <v>5.845067600181485E-4</v>
      </c>
      <c r="G172" s="906">
        <v>4.0883632780387802E-5</v>
      </c>
      <c r="H172" s="904">
        <v>1.1232333005667772E-3</v>
      </c>
      <c r="I172" s="906">
        <v>7.692521049926926E-5</v>
      </c>
      <c r="J172" s="904">
        <v>5.845067600181485E-4</v>
      </c>
      <c r="K172" s="906">
        <v>4.0883632780387802E-5</v>
      </c>
      <c r="L172" s="904">
        <v>5.845067600181485E-4</v>
      </c>
      <c r="M172" s="906">
        <v>4.0883632780387802E-5</v>
      </c>
      <c r="N172" s="904">
        <v>5.845067600181485E-4</v>
      </c>
      <c r="O172" s="906">
        <v>4.0883632780387802E-5</v>
      </c>
      <c r="P172" s="904">
        <v>1.1232333005667772E-3</v>
      </c>
      <c r="Q172" s="906">
        <v>7.692521049926926E-5</v>
      </c>
      <c r="R172" s="904">
        <v>1.1232333005667772E-3</v>
      </c>
      <c r="S172" s="906">
        <v>7.692521049926926E-5</v>
      </c>
      <c r="T172" s="904">
        <v>1.1373102488332057E-3</v>
      </c>
      <c r="U172" s="906">
        <v>7.8798020570493076E-5</v>
      </c>
      <c r="V172" s="904">
        <v>1.1232333005667772E-3</v>
      </c>
      <c r="W172" s="906">
        <v>7.692521049926926E-5</v>
      </c>
      <c r="X172" s="904">
        <v>6.954082935108569E-4</v>
      </c>
      <c r="Y172" s="906">
        <v>4.2339971592082839E-5</v>
      </c>
      <c r="Z172" s="904">
        <v>6.4526283875159895E-4</v>
      </c>
      <c r="AA172" s="906">
        <v>3.6604772381368591E-5</v>
      </c>
      <c r="AB172" s="904">
        <v>4.4003154258402009E-3</v>
      </c>
      <c r="AC172" s="906">
        <v>2.6209831931926092E-4</v>
      </c>
      <c r="AD172" s="904">
        <v>1.0832137999373378E-2</v>
      </c>
      <c r="AE172" s="906">
        <v>8.6282187367632394E-4</v>
      </c>
      <c r="AF172" s="904">
        <v>0.10459853630751033</v>
      </c>
      <c r="AG172" s="906">
        <v>1.0311711580815192E-2</v>
      </c>
      <c r="AH172" s="904">
        <v>6.8219487198978978E-3</v>
      </c>
      <c r="AI172" s="906">
        <v>4.6624652167124073E-4</v>
      </c>
      <c r="AJ172" s="904">
        <v>4.1547973301800413E-2</v>
      </c>
      <c r="AK172" s="906">
        <v>2.9648591213597419E-3</v>
      </c>
      <c r="AL172" s="904">
        <v>3.0612186625747492E-2</v>
      </c>
      <c r="AM172" s="906">
        <v>2.083880808227211E-3</v>
      </c>
      <c r="AP172" s="7"/>
    </row>
    <row r="173" spans="1:42" s="905" customFormat="1" x14ac:dyDescent="0.45">
      <c r="A173" s="768" t="s">
        <v>2589</v>
      </c>
      <c r="B173" s="904">
        <v>2.2660581869873467E-3</v>
      </c>
      <c r="C173" s="906">
        <v>2.1295393218304489E-4</v>
      </c>
      <c r="D173" s="904">
        <v>1.2063614378273134E-3</v>
      </c>
      <c r="E173" s="906">
        <v>1.1382945620424208E-4</v>
      </c>
      <c r="F173" s="904">
        <v>1.2063614378273134E-3</v>
      </c>
      <c r="G173" s="906">
        <v>1.1382945620424208E-4</v>
      </c>
      <c r="H173" s="904">
        <v>2.2660581869873467E-3</v>
      </c>
      <c r="I173" s="906">
        <v>2.1295393218304489E-4</v>
      </c>
      <c r="J173" s="904">
        <v>1.2063614378273134E-3</v>
      </c>
      <c r="K173" s="906">
        <v>1.1382945620424208E-4</v>
      </c>
      <c r="L173" s="904">
        <v>1.2063614378273134E-3</v>
      </c>
      <c r="M173" s="906">
        <v>1.1382945620424208E-4</v>
      </c>
      <c r="N173" s="904">
        <v>1.2063614378273134E-3</v>
      </c>
      <c r="O173" s="906">
        <v>1.1382945620424208E-4</v>
      </c>
      <c r="P173" s="904">
        <v>2.2660581869873467E-3</v>
      </c>
      <c r="Q173" s="906">
        <v>2.1295393218304489E-4</v>
      </c>
      <c r="R173" s="904">
        <v>2.2660581869873467E-3</v>
      </c>
      <c r="S173" s="906">
        <v>2.1295393218304489E-4</v>
      </c>
      <c r="T173" s="904">
        <v>2.3144348997639758E-3</v>
      </c>
      <c r="U173" s="906">
        <v>2.1646196220533864E-4</v>
      </c>
      <c r="V173" s="904">
        <v>2.2660581869873467E-3</v>
      </c>
      <c r="W173" s="906">
        <v>2.1295393218304489E-4</v>
      </c>
      <c r="X173" s="904">
        <v>1.2741080739661469E-3</v>
      </c>
      <c r="Y173" s="906">
        <v>1.1686190709973095E-4</v>
      </c>
      <c r="Z173" s="904">
        <v>1.0827370343993105E-3</v>
      </c>
      <c r="AA173" s="906">
        <v>9.8909694789777413E-5</v>
      </c>
      <c r="AB173" s="904">
        <v>7.1248475078015258E-3</v>
      </c>
      <c r="AC173" s="906">
        <v>4.813688873611097E-4</v>
      </c>
      <c r="AD173" s="904">
        <v>2.0855948647710509E-2</v>
      </c>
      <c r="AE173" s="906">
        <v>2.2245443301214742E-3</v>
      </c>
      <c r="AF173" s="904">
        <v>0.18761142258589072</v>
      </c>
      <c r="AG173" s="906">
        <v>2.6114540240942619E-2</v>
      </c>
      <c r="AH173" s="904">
        <v>1.4067649161155127E-2</v>
      </c>
      <c r="AI173" s="906">
        <v>1.0997845494485979E-3</v>
      </c>
      <c r="AJ173" s="904">
        <v>9.1462901459280141E-2</v>
      </c>
      <c r="AK173" s="906">
        <v>5.2940707683527188E-3</v>
      </c>
      <c r="AL173" s="904">
        <v>6.1967446320897117E-2</v>
      </c>
      <c r="AM173" s="906">
        <v>4.8419870243694169E-3</v>
      </c>
      <c r="AP173" s="7"/>
    </row>
    <row r="174" spans="1:42" s="905" customFormat="1" x14ac:dyDescent="0.45">
      <c r="A174" s="768" t="s">
        <v>1957</v>
      </c>
      <c r="B174" s="904">
        <v>0.40234025641426802</v>
      </c>
      <c r="C174" s="906"/>
      <c r="D174" s="904">
        <v>0.21458459094857937</v>
      </c>
      <c r="E174" s="906"/>
      <c r="F174" s="904">
        <v>0.21458459094857937</v>
      </c>
      <c r="G174" s="906"/>
      <c r="H174" s="904">
        <v>0.40234025641426802</v>
      </c>
      <c r="I174" s="906"/>
      <c r="J174" s="904">
        <v>0.21458459094857937</v>
      </c>
      <c r="K174" s="906"/>
      <c r="L174" s="904">
        <v>0.21458459094857937</v>
      </c>
      <c r="M174" s="906"/>
      <c r="N174" s="904">
        <v>0.21458459094857937</v>
      </c>
      <c r="O174" s="906"/>
      <c r="P174" s="904">
        <v>0.40234025641426802</v>
      </c>
      <c r="Q174" s="906"/>
      <c r="R174" s="904">
        <v>0.40234025641426802</v>
      </c>
      <c r="S174" s="906"/>
      <c r="T174" s="904">
        <v>0.4105292264081008</v>
      </c>
      <c r="U174" s="906"/>
      <c r="V174" s="904">
        <v>0.40234025641426802</v>
      </c>
      <c r="W174" s="906"/>
      <c r="X174" s="904">
        <v>0.22953002156181904</v>
      </c>
      <c r="Y174" s="906"/>
      <c r="Z174" s="904">
        <v>0.19590743397334728</v>
      </c>
      <c r="AA174" s="906"/>
      <c r="AB174" s="904">
        <v>0.88595651431977407</v>
      </c>
      <c r="AC174" s="906"/>
      <c r="AD174" s="904">
        <v>4.775042690215912</v>
      </c>
      <c r="AE174" s="906"/>
      <c r="AF174" s="904">
        <v>33.975707967531875</v>
      </c>
      <c r="AG174" s="906"/>
      <c r="AH174" s="904">
        <v>1.9995204509518474</v>
      </c>
      <c r="AI174" s="906"/>
      <c r="AJ174" s="904">
        <v>8.4197004451626629</v>
      </c>
      <c r="AK174" s="906"/>
      <c r="AL174" s="904">
        <v>8.8020125838676773</v>
      </c>
      <c r="AM174" s="906"/>
    </row>
    <row r="175" spans="1:42" s="905" customFormat="1" x14ac:dyDescent="0.45">
      <c r="A175" s="768" t="s">
        <v>1956</v>
      </c>
      <c r="B175" s="904">
        <v>2.4059188570658696E-3</v>
      </c>
      <c r="C175" s="906"/>
      <c r="D175" s="904">
        <v>1.2711664070007755E-3</v>
      </c>
      <c r="E175" s="906"/>
      <c r="F175" s="904">
        <v>1.2711664070007755E-3</v>
      </c>
      <c r="G175" s="906"/>
      <c r="H175" s="904">
        <v>2.4059188570658696E-3</v>
      </c>
      <c r="I175" s="906"/>
      <c r="J175" s="904">
        <v>1.2711664070007755E-3</v>
      </c>
      <c r="K175" s="906"/>
      <c r="L175" s="904">
        <v>1.2711664070007755E-3</v>
      </c>
      <c r="M175" s="906"/>
      <c r="N175" s="904">
        <v>1.2711664070007755E-3</v>
      </c>
      <c r="O175" s="906"/>
      <c r="P175" s="904">
        <v>2.4059188570658696E-3</v>
      </c>
      <c r="Q175" s="906"/>
      <c r="R175" s="904">
        <v>2.4059188570658696E-3</v>
      </c>
      <c r="S175" s="906"/>
      <c r="T175" s="904">
        <v>2.4784878768651037E-3</v>
      </c>
      <c r="U175" s="906"/>
      <c r="V175" s="904">
        <v>2.4059188570658696E-3</v>
      </c>
      <c r="W175" s="906"/>
      <c r="X175" s="904">
        <v>1.3475037211747453E-3</v>
      </c>
      <c r="Y175" s="906"/>
      <c r="Z175" s="904">
        <v>1.2047501314286736E-3</v>
      </c>
      <c r="AA175" s="906"/>
      <c r="AB175" s="904">
        <v>6.6779173440788646E-3</v>
      </c>
      <c r="AC175" s="906"/>
      <c r="AD175" s="904">
        <v>2.6656205656945479E-2</v>
      </c>
      <c r="AE175" s="906"/>
      <c r="AF175" s="904">
        <v>0.262302120398477</v>
      </c>
      <c r="AG175" s="906"/>
      <c r="AH175" s="904">
        <v>1.3030376262894284E-2</v>
      </c>
      <c r="AI175" s="906"/>
      <c r="AJ175" s="904">
        <v>6.8311808568180574E-2</v>
      </c>
      <c r="AK175" s="906"/>
      <c r="AL175" s="904">
        <v>5.9424033444745242E-2</v>
      </c>
      <c r="AM175" s="906"/>
    </row>
    <row r="176" spans="1:42" s="905" customFormat="1" x14ac:dyDescent="0.45">
      <c r="A176" s="755" t="s">
        <v>1955</v>
      </c>
      <c r="B176" s="983">
        <v>306.23380703316462</v>
      </c>
      <c r="C176" s="739"/>
      <c r="D176" s="983">
        <v>157.57116078950881</v>
      </c>
      <c r="E176" s="739"/>
      <c r="F176" s="983">
        <v>157.57116078950881</v>
      </c>
      <c r="G176" s="739"/>
      <c r="H176" s="983">
        <v>306.23380703316462</v>
      </c>
      <c r="I176" s="739"/>
      <c r="J176" s="983">
        <v>157.57116078950881</v>
      </c>
      <c r="K176" s="739"/>
      <c r="L176" s="983">
        <v>157.57116078950881</v>
      </c>
      <c r="M176" s="739"/>
      <c r="N176" s="983">
        <v>157.57116078950881</v>
      </c>
      <c r="O176" s="739"/>
      <c r="P176" s="983">
        <v>306.23380703316462</v>
      </c>
      <c r="Q176" s="739"/>
      <c r="R176" s="983">
        <v>306.23380703316462</v>
      </c>
      <c r="S176" s="739"/>
      <c r="T176" s="983">
        <v>301.30530078858891</v>
      </c>
      <c r="U176" s="739"/>
      <c r="V176" s="983">
        <v>306.23380703316462</v>
      </c>
      <c r="W176" s="739"/>
      <c r="X176" s="983">
        <v>191.56691287096109</v>
      </c>
      <c r="Y176" s="739"/>
      <c r="Z176" s="983">
        <v>220.56686891627348</v>
      </c>
      <c r="AA176" s="739"/>
      <c r="AB176" s="983">
        <v>1720.8770728179618</v>
      </c>
      <c r="AC176" s="739"/>
      <c r="AD176" s="983">
        <v>2667.2781827181707</v>
      </c>
      <c r="AE176" s="739"/>
      <c r="AF176" s="983">
        <v>19018.278318802386</v>
      </c>
      <c r="AG176" s="739"/>
      <c r="AH176" s="983">
        <v>1688.7758100320636</v>
      </c>
      <c r="AI176" s="739"/>
      <c r="AJ176" s="983">
        <v>6237.6116282304984</v>
      </c>
      <c r="AK176" s="739"/>
      <c r="AL176" s="983">
        <v>7304.4117656415765</v>
      </c>
      <c r="AM176" s="739"/>
      <c r="AP176" s="7"/>
    </row>
    <row r="177" spans="1:71" s="905" customFormat="1" x14ac:dyDescent="0.45"/>
    <row r="178" spans="1:71" s="905" customFormat="1" x14ac:dyDescent="0.45">
      <c r="A178" s="1055" t="s">
        <v>2819</v>
      </c>
    </row>
    <row r="179" spans="1:71" s="905" customFormat="1" ht="39" customHeight="1" x14ac:dyDescent="0.45">
      <c r="A179" s="779"/>
      <c r="B179" s="2261" t="s">
        <v>2757</v>
      </c>
      <c r="C179" s="2263"/>
      <c r="D179" s="2261" t="s">
        <v>2758</v>
      </c>
      <c r="E179" s="2263"/>
      <c r="F179" s="2261" t="s">
        <v>2786</v>
      </c>
      <c r="G179" s="2263"/>
      <c r="H179" s="2261" t="s">
        <v>2760</v>
      </c>
      <c r="I179" s="2263"/>
      <c r="J179" s="2261" t="s">
        <v>2761</v>
      </c>
      <c r="K179" s="2263"/>
      <c r="L179" s="2261" t="s">
        <v>2762</v>
      </c>
      <c r="M179" s="2263"/>
      <c r="N179" s="2261" t="s">
        <v>2763</v>
      </c>
      <c r="O179" s="2263"/>
      <c r="P179" s="2261" t="s">
        <v>2764</v>
      </c>
      <c r="Q179" s="2263"/>
      <c r="R179" s="2261" t="s">
        <v>2810</v>
      </c>
      <c r="S179" s="2263"/>
      <c r="T179" s="2261" t="s">
        <v>2811</v>
      </c>
      <c r="U179" s="2263"/>
      <c r="V179" s="2261" t="s">
        <v>2812</v>
      </c>
      <c r="W179" s="2263"/>
      <c r="X179" s="2261" t="s">
        <v>2768</v>
      </c>
      <c r="Y179" s="2263"/>
      <c r="Z179" s="2261" t="s">
        <v>2769</v>
      </c>
      <c r="AA179" s="2263"/>
      <c r="AB179" s="2261" t="s">
        <v>2770</v>
      </c>
      <c r="AC179" s="2263"/>
      <c r="AD179" s="2261" t="s">
        <v>2813</v>
      </c>
      <c r="AE179" s="2263"/>
      <c r="AF179" s="2261" t="s">
        <v>2772</v>
      </c>
      <c r="AG179" s="2263"/>
      <c r="AH179" s="2261" t="s">
        <v>2773</v>
      </c>
      <c r="AI179" s="2263"/>
      <c r="AJ179" s="2261" t="s">
        <v>2774</v>
      </c>
      <c r="AK179" s="2263"/>
      <c r="AL179" s="2261" t="s">
        <v>2775</v>
      </c>
      <c r="AM179" s="2263"/>
      <c r="AN179" s="2261" t="s">
        <v>2776</v>
      </c>
      <c r="AO179" s="2263"/>
      <c r="AP179" s="2261" t="s">
        <v>2777</v>
      </c>
      <c r="AQ179" s="2263"/>
      <c r="AR179" s="2261" t="s">
        <v>2778</v>
      </c>
      <c r="AS179" s="2263"/>
      <c r="AT179" s="2261" t="s">
        <v>2779</v>
      </c>
      <c r="AU179" s="2263"/>
      <c r="AV179" s="2261" t="s">
        <v>2780</v>
      </c>
      <c r="AW179" s="2263"/>
      <c r="AX179" s="2261" t="s">
        <v>2781</v>
      </c>
      <c r="AY179" s="2263"/>
      <c r="AZ179" s="2261" t="s">
        <v>2782</v>
      </c>
      <c r="BA179" s="2263"/>
      <c r="BB179" s="2261" t="s">
        <v>2815</v>
      </c>
      <c r="BC179" s="2263"/>
      <c r="BD179" s="2261" t="s">
        <v>2787</v>
      </c>
      <c r="BE179" s="2263"/>
      <c r="BF179" s="2261" t="s">
        <v>2788</v>
      </c>
      <c r="BG179" s="2263"/>
      <c r="BH179" s="2261" t="s">
        <v>2789</v>
      </c>
      <c r="BI179" s="2263"/>
      <c r="BJ179" s="2261" t="s">
        <v>2790</v>
      </c>
      <c r="BK179" s="2263"/>
      <c r="BL179" s="2261" t="s">
        <v>2791</v>
      </c>
      <c r="BM179" s="2263"/>
      <c r="BN179" s="2261" t="s">
        <v>2784</v>
      </c>
      <c r="BO179" s="2263"/>
      <c r="BP179" s="2261" t="s">
        <v>2792</v>
      </c>
      <c r="BQ179" s="2263"/>
      <c r="BR179" s="2261" t="s">
        <v>2793</v>
      </c>
      <c r="BS179" s="2263"/>
    </row>
    <row r="180" spans="1:71" s="905" customFormat="1" x14ac:dyDescent="0.45">
      <c r="A180" s="937" t="s">
        <v>2802</v>
      </c>
      <c r="B180" s="1051" t="s">
        <v>127</v>
      </c>
      <c r="C180" s="1052" t="s">
        <v>668</v>
      </c>
      <c r="D180" s="1051" t="s">
        <v>127</v>
      </c>
      <c r="E180" s="1052" t="s">
        <v>668</v>
      </c>
      <c r="F180" s="1051" t="s">
        <v>127</v>
      </c>
      <c r="G180" s="1052" t="s">
        <v>668</v>
      </c>
      <c r="H180" s="1051" t="s">
        <v>127</v>
      </c>
      <c r="I180" s="1052" t="s">
        <v>668</v>
      </c>
      <c r="J180" s="1051" t="s">
        <v>127</v>
      </c>
      <c r="K180" s="1052" t="s">
        <v>668</v>
      </c>
      <c r="L180" s="1051" t="s">
        <v>127</v>
      </c>
      <c r="M180" s="1052" t="s">
        <v>668</v>
      </c>
      <c r="N180" s="1051" t="s">
        <v>127</v>
      </c>
      <c r="O180" s="1052" t="s">
        <v>668</v>
      </c>
      <c r="P180" s="1051" t="s">
        <v>127</v>
      </c>
      <c r="Q180" s="1052" t="s">
        <v>668</v>
      </c>
      <c r="R180" s="1051" t="s">
        <v>127</v>
      </c>
      <c r="S180" s="1052" t="s">
        <v>668</v>
      </c>
      <c r="T180" s="1051" t="s">
        <v>127</v>
      </c>
      <c r="U180" s="1052" t="s">
        <v>668</v>
      </c>
      <c r="V180" s="1051" t="s">
        <v>127</v>
      </c>
      <c r="W180" s="1052" t="s">
        <v>668</v>
      </c>
      <c r="X180" s="1051" t="s">
        <v>127</v>
      </c>
      <c r="Y180" s="1052" t="s">
        <v>668</v>
      </c>
      <c r="Z180" s="1051" t="s">
        <v>127</v>
      </c>
      <c r="AA180" s="1052" t="s">
        <v>668</v>
      </c>
      <c r="AB180" s="1051" t="s">
        <v>127</v>
      </c>
      <c r="AC180" s="1052" t="s">
        <v>668</v>
      </c>
      <c r="AD180" s="1051" t="s">
        <v>127</v>
      </c>
      <c r="AE180" s="1052" t="s">
        <v>668</v>
      </c>
      <c r="AF180" s="1051" t="s">
        <v>127</v>
      </c>
      <c r="AG180" s="1052" t="s">
        <v>668</v>
      </c>
      <c r="AH180" s="1051" t="s">
        <v>127</v>
      </c>
      <c r="AI180" s="1052" t="s">
        <v>668</v>
      </c>
      <c r="AJ180" s="1051" t="s">
        <v>127</v>
      </c>
      <c r="AK180" s="1052" t="s">
        <v>668</v>
      </c>
      <c r="AL180" s="1051" t="s">
        <v>127</v>
      </c>
      <c r="AM180" s="1052" t="s">
        <v>668</v>
      </c>
      <c r="AN180" s="1051" t="s">
        <v>127</v>
      </c>
      <c r="AO180" s="1052" t="s">
        <v>668</v>
      </c>
      <c r="AP180" s="1059"/>
      <c r="AQ180" s="1059"/>
      <c r="AR180" s="1051" t="s">
        <v>127</v>
      </c>
      <c r="AS180" s="1052" t="s">
        <v>668</v>
      </c>
      <c r="AT180" s="1051" t="s">
        <v>127</v>
      </c>
      <c r="AU180" s="1052" t="s">
        <v>668</v>
      </c>
      <c r="AV180" s="1051" t="s">
        <v>127</v>
      </c>
      <c r="AW180" s="1052" t="s">
        <v>668</v>
      </c>
      <c r="AX180" s="1051" t="s">
        <v>127</v>
      </c>
      <c r="AY180" s="1052" t="s">
        <v>668</v>
      </c>
      <c r="AZ180" s="1051" t="s">
        <v>127</v>
      </c>
      <c r="BA180" s="1052" t="s">
        <v>668</v>
      </c>
      <c r="BB180" s="1051" t="s">
        <v>127</v>
      </c>
      <c r="BC180" s="1052" t="s">
        <v>668</v>
      </c>
      <c r="BD180" s="1051" t="s">
        <v>127</v>
      </c>
      <c r="BE180" s="1052" t="s">
        <v>668</v>
      </c>
      <c r="BF180" s="1051" t="s">
        <v>127</v>
      </c>
      <c r="BG180" s="1052" t="s">
        <v>668</v>
      </c>
      <c r="BH180" s="1051" t="s">
        <v>127</v>
      </c>
      <c r="BI180" s="1052" t="s">
        <v>668</v>
      </c>
      <c r="BJ180" s="1051" t="s">
        <v>127</v>
      </c>
      <c r="BK180" s="1052" t="s">
        <v>668</v>
      </c>
      <c r="BL180" s="1051" t="s">
        <v>127</v>
      </c>
      <c r="BM180" s="1052" t="s">
        <v>668</v>
      </c>
      <c r="BN180" s="1051" t="s">
        <v>127</v>
      </c>
      <c r="BO180" s="1052" t="s">
        <v>668</v>
      </c>
      <c r="BP180" s="1051" t="s">
        <v>127</v>
      </c>
      <c r="BQ180" s="1052" t="s">
        <v>668</v>
      </c>
      <c r="BR180" s="1051" t="s">
        <v>127</v>
      </c>
      <c r="BS180" s="1052" t="s">
        <v>668</v>
      </c>
    </row>
    <row r="181" spans="1:71" s="905" customFormat="1" x14ac:dyDescent="0.45">
      <c r="A181" s="768" t="s">
        <v>1537</v>
      </c>
      <c r="B181" s="879">
        <v>7663.161561443113</v>
      </c>
      <c r="C181" s="877"/>
      <c r="D181" s="879">
        <v>7663.161561443113</v>
      </c>
      <c r="E181" s="877"/>
      <c r="F181" s="879">
        <v>2638.6112832412432</v>
      </c>
      <c r="G181" s="877"/>
      <c r="H181" s="879">
        <v>1687.9017011736037</v>
      </c>
      <c r="I181" s="877"/>
      <c r="J181" s="879">
        <v>2955.5144772637891</v>
      </c>
      <c r="K181" s="877"/>
      <c r="L181" s="879">
        <v>3053.277443706701</v>
      </c>
      <c r="M181" s="877"/>
      <c r="N181" s="879">
        <v>1665.7848765273036</v>
      </c>
      <c r="O181" s="877"/>
      <c r="P181" s="879">
        <v>35751.067330538965</v>
      </c>
      <c r="Q181" s="877"/>
      <c r="R181" s="879">
        <v>2955.5144772637891</v>
      </c>
      <c r="S181" s="877"/>
      <c r="T181" s="879">
        <v>1565.5881876912174</v>
      </c>
      <c r="U181" s="877"/>
      <c r="V181" s="879">
        <v>1565.5881876912174</v>
      </c>
      <c r="W181" s="877"/>
      <c r="X181" s="879">
        <v>2955.5144772637891</v>
      </c>
      <c r="Y181" s="877"/>
      <c r="Z181" s="879">
        <v>1565.5881876912174</v>
      </c>
      <c r="AA181" s="877"/>
      <c r="AB181" s="879">
        <v>1565.5881876912174</v>
      </c>
      <c r="AC181" s="877"/>
      <c r="AD181" s="879">
        <v>1565.5881876912174</v>
      </c>
      <c r="AE181" s="877"/>
      <c r="AF181" s="879">
        <v>2955.5144772637891</v>
      </c>
      <c r="AG181" s="877"/>
      <c r="AH181" s="879">
        <v>2955.5144772637891</v>
      </c>
      <c r="AI181" s="877"/>
      <c r="AJ181" s="879">
        <v>3054.2649484182457</v>
      </c>
      <c r="AK181" s="877"/>
      <c r="AL181" s="879">
        <v>3054.2649484182457</v>
      </c>
      <c r="AM181" s="877"/>
      <c r="AN181" s="879">
        <v>3054.2649484182457</v>
      </c>
      <c r="AO181" s="877"/>
      <c r="AP181" s="879">
        <v>3054.2649484182457</v>
      </c>
      <c r="AQ181" s="877"/>
      <c r="AR181" s="879">
        <v>3054.2649484182457</v>
      </c>
      <c r="AS181" s="877"/>
      <c r="AT181" s="879">
        <v>2955.5144772637891</v>
      </c>
      <c r="AU181" s="877"/>
      <c r="AV181" s="879">
        <v>2955.5144772637891</v>
      </c>
      <c r="AW181" s="877"/>
      <c r="AX181" s="879">
        <v>2955.5144772637891</v>
      </c>
      <c r="AY181" s="877"/>
      <c r="AZ181" s="879">
        <v>2955.5144772637891</v>
      </c>
      <c r="BA181" s="877"/>
      <c r="BB181" s="879">
        <v>2955.5144772637891</v>
      </c>
      <c r="BC181" s="877"/>
      <c r="BD181" s="879">
        <v>1665.7848765273036</v>
      </c>
      <c r="BE181" s="877"/>
      <c r="BF181" s="879">
        <v>1454.6283450282406</v>
      </c>
      <c r="BG181" s="877"/>
      <c r="BH181" s="879">
        <v>7816.2120260493093</v>
      </c>
      <c r="BI181" s="877"/>
      <c r="BJ181" s="879">
        <v>29868.34891456924</v>
      </c>
      <c r="BK181" s="877"/>
      <c r="BL181" s="879">
        <v>266191.29650009738</v>
      </c>
      <c r="BM181" s="877"/>
      <c r="BN181" s="879">
        <v>15629.456463967193</v>
      </c>
      <c r="BO181" s="877"/>
      <c r="BP181" s="879">
        <v>77952.517210853664</v>
      </c>
      <c r="BQ181" s="877"/>
      <c r="BR181" s="879">
        <v>70970.385199686498</v>
      </c>
      <c r="BS181" s="877"/>
    </row>
    <row r="182" spans="1:71" s="905" customFormat="1" x14ac:dyDescent="0.45">
      <c r="A182" s="768" t="s">
        <v>1536</v>
      </c>
      <c r="B182" s="879">
        <v>6598.0002519834607</v>
      </c>
      <c r="C182" s="877"/>
      <c r="D182" s="879">
        <v>6598.0002519834607</v>
      </c>
      <c r="E182" s="877"/>
      <c r="F182" s="879">
        <v>2360.9632631296768</v>
      </c>
      <c r="G182" s="877"/>
      <c r="H182" s="879">
        <v>1515.4538818540823</v>
      </c>
      <c r="I182" s="877"/>
      <c r="J182" s="879">
        <v>2642.7997235548751</v>
      </c>
      <c r="K182" s="877"/>
      <c r="L182" s="879">
        <v>2697.7596501633916</v>
      </c>
      <c r="M182" s="877"/>
      <c r="N182" s="879">
        <v>1506.6807093329589</v>
      </c>
      <c r="O182" s="877"/>
      <c r="P182" s="879">
        <v>30377.24619260828</v>
      </c>
      <c r="Q182" s="877"/>
      <c r="R182" s="879">
        <v>2642.7997235548751</v>
      </c>
      <c r="S182" s="877"/>
      <c r="T182" s="879">
        <v>1406.6748971285672</v>
      </c>
      <c r="U182" s="877"/>
      <c r="V182" s="879">
        <v>1406.6748971285672</v>
      </c>
      <c r="W182" s="877"/>
      <c r="X182" s="879">
        <v>2642.7997235548751</v>
      </c>
      <c r="Y182" s="877"/>
      <c r="Z182" s="879">
        <v>1406.6748971285672</v>
      </c>
      <c r="AA182" s="877"/>
      <c r="AB182" s="879">
        <v>1406.6748971285672</v>
      </c>
      <c r="AC182" s="877"/>
      <c r="AD182" s="879">
        <v>1406.6748971285672</v>
      </c>
      <c r="AE182" s="877"/>
      <c r="AF182" s="879">
        <v>2642.7997235548751</v>
      </c>
      <c r="AG182" s="877"/>
      <c r="AH182" s="879">
        <v>2642.7997235548751</v>
      </c>
      <c r="AI182" s="877"/>
      <c r="AJ182" s="879">
        <v>2698.3148009372148</v>
      </c>
      <c r="AK182" s="877"/>
      <c r="AL182" s="879">
        <v>2698.3148009372148</v>
      </c>
      <c r="AM182" s="877"/>
      <c r="AN182" s="879">
        <v>2698.3148009372148</v>
      </c>
      <c r="AO182" s="877"/>
      <c r="AP182" s="879">
        <v>2698.3148009372148</v>
      </c>
      <c r="AQ182" s="877"/>
      <c r="AR182" s="879">
        <v>2698.3148009372148</v>
      </c>
      <c r="AS182" s="877"/>
      <c r="AT182" s="879">
        <v>2642.7997235548751</v>
      </c>
      <c r="AU182" s="877"/>
      <c r="AV182" s="879">
        <v>2642.7997235548751</v>
      </c>
      <c r="AW182" s="877"/>
      <c r="AX182" s="879">
        <v>2642.7997235548751</v>
      </c>
      <c r="AY182" s="877"/>
      <c r="AZ182" s="879">
        <v>2642.7997235548751</v>
      </c>
      <c r="BA182" s="877"/>
      <c r="BB182" s="879">
        <v>2642.7997235548751</v>
      </c>
      <c r="BC182" s="877"/>
      <c r="BD182" s="879">
        <v>1506.6807093329589</v>
      </c>
      <c r="BE182" s="877"/>
      <c r="BF182" s="879">
        <v>1306.1687969100813</v>
      </c>
      <c r="BG182" s="877"/>
      <c r="BH182" s="879">
        <v>7264.1455801881084</v>
      </c>
      <c r="BI182" s="877"/>
      <c r="BJ182" s="879">
        <v>26531.314906964239</v>
      </c>
      <c r="BK182" s="877"/>
      <c r="BL182" s="879">
        <v>215782.15453782323</v>
      </c>
      <c r="BM182" s="877"/>
      <c r="BN182" s="879">
        <v>14398.251270575063</v>
      </c>
      <c r="BO182" s="877"/>
      <c r="BP182" s="879">
        <v>73533.770239272577</v>
      </c>
      <c r="BQ182" s="877"/>
      <c r="BR182" s="879">
        <v>63225.965373215375</v>
      </c>
      <c r="BS182" s="877"/>
    </row>
    <row r="183" spans="1:71" s="905" customFormat="1" x14ac:dyDescent="0.45">
      <c r="A183" s="768" t="s">
        <v>1535</v>
      </c>
      <c r="B183" s="879">
        <v>3888.4725195899446</v>
      </c>
      <c r="C183" s="877"/>
      <c r="D183" s="879">
        <v>3888.4725195899446</v>
      </c>
      <c r="E183" s="877"/>
      <c r="F183" s="879">
        <v>1709.9953629945251</v>
      </c>
      <c r="G183" s="877"/>
      <c r="H183" s="879">
        <v>1103.3063871900513</v>
      </c>
      <c r="I183" s="877"/>
      <c r="J183" s="879">
        <v>1912.2250215960164</v>
      </c>
      <c r="K183" s="877"/>
      <c r="L183" s="879">
        <v>1924.9661534974184</v>
      </c>
      <c r="M183" s="877"/>
      <c r="N183" s="879">
        <v>1091.1363655319415</v>
      </c>
      <c r="O183" s="877"/>
      <c r="P183" s="879">
        <v>16540.036005843238</v>
      </c>
      <c r="Q183" s="877"/>
      <c r="R183" s="879">
        <v>1912.2250215960164</v>
      </c>
      <c r="S183" s="877"/>
      <c r="T183" s="879">
        <v>1025.2528347473706</v>
      </c>
      <c r="U183" s="877"/>
      <c r="V183" s="879">
        <v>1025.2528347473706</v>
      </c>
      <c r="W183" s="877"/>
      <c r="X183" s="879">
        <v>1912.2250215960164</v>
      </c>
      <c r="Y183" s="877"/>
      <c r="Z183" s="879">
        <v>1025.2528347473706</v>
      </c>
      <c r="AA183" s="877"/>
      <c r="AB183" s="879">
        <v>1025.2528347473706</v>
      </c>
      <c r="AC183" s="877"/>
      <c r="AD183" s="879">
        <v>1025.2528347473706</v>
      </c>
      <c r="AE183" s="877"/>
      <c r="AF183" s="879">
        <v>1912.2250215960164</v>
      </c>
      <c r="AG183" s="877"/>
      <c r="AH183" s="879">
        <v>1912.2250215960164</v>
      </c>
      <c r="AI183" s="877"/>
      <c r="AJ183" s="879">
        <v>1925.0948517994527</v>
      </c>
      <c r="AK183" s="877"/>
      <c r="AL183" s="879">
        <v>1925.0948517994527</v>
      </c>
      <c r="AM183" s="877"/>
      <c r="AN183" s="879">
        <v>1925.0948517994527</v>
      </c>
      <c r="AO183" s="877"/>
      <c r="AP183" s="879">
        <v>1925.0948517994527</v>
      </c>
      <c r="AQ183" s="877"/>
      <c r="AR183" s="879">
        <v>1925.0948517994527</v>
      </c>
      <c r="AS183" s="877"/>
      <c r="AT183" s="879">
        <v>1912.2250215960164</v>
      </c>
      <c r="AU183" s="877"/>
      <c r="AV183" s="879">
        <v>1912.2250215960164</v>
      </c>
      <c r="AW183" s="877"/>
      <c r="AX183" s="879">
        <v>1912.2250215960164</v>
      </c>
      <c r="AY183" s="877"/>
      <c r="AZ183" s="879">
        <v>1912.2250215960164</v>
      </c>
      <c r="BA183" s="877"/>
      <c r="BB183" s="879">
        <v>1912.2250215960164</v>
      </c>
      <c r="BC183" s="877"/>
      <c r="BD183" s="879">
        <v>1091.1363655319415</v>
      </c>
      <c r="BE183" s="877"/>
      <c r="BF183" s="879">
        <v>931.24481964038682</v>
      </c>
      <c r="BG183" s="877"/>
      <c r="BH183" s="879">
        <v>2985.784730451036</v>
      </c>
      <c r="BI183" s="877"/>
      <c r="BJ183" s="879">
        <v>15463.166999341744</v>
      </c>
      <c r="BK183" s="877"/>
      <c r="BL183" s="879">
        <v>118119.08696998739</v>
      </c>
      <c r="BM183" s="877"/>
      <c r="BN183" s="879">
        <v>8347.7590708566931</v>
      </c>
      <c r="BO183" s="877"/>
      <c r="BP183" s="879">
        <v>20523.803154788406</v>
      </c>
      <c r="BQ183" s="877"/>
      <c r="BR183" s="879">
        <v>35238.287106375225</v>
      </c>
      <c r="BS183" s="877"/>
    </row>
    <row r="184" spans="1:71" s="905" customFormat="1" x14ac:dyDescent="0.45">
      <c r="A184" s="768" t="s">
        <v>2803</v>
      </c>
      <c r="B184" s="879">
        <v>2191.0011913192652</v>
      </c>
      <c r="C184" s="877"/>
      <c r="D184" s="879">
        <v>2191.0011913192652</v>
      </c>
      <c r="E184" s="877"/>
      <c r="F184" s="879">
        <v>603.87603427655392</v>
      </c>
      <c r="G184" s="877"/>
      <c r="H184" s="879">
        <v>387.10254291089632</v>
      </c>
      <c r="I184" s="877"/>
      <c r="J184" s="879">
        <v>676.13386473177331</v>
      </c>
      <c r="K184" s="877"/>
      <c r="L184" s="879">
        <v>707.81599198347703</v>
      </c>
      <c r="M184" s="877"/>
      <c r="N184" s="879">
        <v>369.5440265937039</v>
      </c>
      <c r="O184" s="877"/>
      <c r="P184" s="879">
        <v>10874.708809221613</v>
      </c>
      <c r="Q184" s="877"/>
      <c r="R184" s="879">
        <v>676.13386473177331</v>
      </c>
      <c r="S184" s="877"/>
      <c r="T184" s="879">
        <v>359.21355571765378</v>
      </c>
      <c r="U184" s="877"/>
      <c r="V184" s="879">
        <v>359.21355571765378</v>
      </c>
      <c r="W184" s="877"/>
      <c r="X184" s="879">
        <v>676.13386473177331</v>
      </c>
      <c r="Y184" s="877"/>
      <c r="Z184" s="879">
        <v>359.21355571765378</v>
      </c>
      <c r="AA184" s="877"/>
      <c r="AB184" s="879">
        <v>359.21355571765378</v>
      </c>
      <c r="AC184" s="877"/>
      <c r="AD184" s="879">
        <v>359.21355571765378</v>
      </c>
      <c r="AE184" s="877"/>
      <c r="AF184" s="879">
        <v>676.13386473177331</v>
      </c>
      <c r="AG184" s="877"/>
      <c r="AH184" s="879">
        <v>676.13386473177331</v>
      </c>
      <c r="AI184" s="877"/>
      <c r="AJ184" s="879">
        <v>708.13601347086808</v>
      </c>
      <c r="AK184" s="877"/>
      <c r="AL184" s="879">
        <v>708.13601347086808</v>
      </c>
      <c r="AM184" s="877"/>
      <c r="AN184" s="879">
        <v>708.13601347086808</v>
      </c>
      <c r="AO184" s="877"/>
      <c r="AP184" s="879">
        <v>708.13601347086808</v>
      </c>
      <c r="AQ184" s="877"/>
      <c r="AR184" s="879">
        <v>708.13601347086808</v>
      </c>
      <c r="AS184" s="877"/>
      <c r="AT184" s="879">
        <v>676.13386473177331</v>
      </c>
      <c r="AU184" s="877"/>
      <c r="AV184" s="879">
        <v>676.13386473177331</v>
      </c>
      <c r="AW184" s="877"/>
      <c r="AX184" s="879">
        <v>676.13386473177331</v>
      </c>
      <c r="AY184" s="877"/>
      <c r="AZ184" s="879">
        <v>676.13386473177331</v>
      </c>
      <c r="BA184" s="877"/>
      <c r="BB184" s="879">
        <v>676.13386473177331</v>
      </c>
      <c r="BC184" s="877"/>
      <c r="BD184" s="879">
        <v>369.5440265937039</v>
      </c>
      <c r="BE184" s="877"/>
      <c r="BF184" s="879">
        <v>303.48709155253971</v>
      </c>
      <c r="BG184" s="877"/>
      <c r="BH184" s="879">
        <v>981.04824885615176</v>
      </c>
      <c r="BI184" s="877"/>
      <c r="BJ184" s="879">
        <v>9562.5141655097214</v>
      </c>
      <c r="BK184" s="877"/>
      <c r="BL184" s="879">
        <v>87916.569203705163</v>
      </c>
      <c r="BM184" s="877"/>
      <c r="BN184" s="879">
        <v>3118.5463211013366</v>
      </c>
      <c r="BO184" s="877"/>
      <c r="BP184" s="879">
        <v>12727.187076270971</v>
      </c>
      <c r="BQ184" s="877"/>
      <c r="BR184" s="879">
        <v>14743.711325639521</v>
      </c>
      <c r="BS184" s="877"/>
    </row>
    <row r="185" spans="1:71" s="905" customFormat="1" x14ac:dyDescent="0.45">
      <c r="A185" s="768" t="s">
        <v>2385</v>
      </c>
      <c r="B185" s="879">
        <v>518.52654107425064</v>
      </c>
      <c r="C185" s="877"/>
      <c r="D185" s="879">
        <v>518.52654107425064</v>
      </c>
      <c r="E185" s="877"/>
      <c r="F185" s="879">
        <v>47.091865858597671</v>
      </c>
      <c r="G185" s="877"/>
      <c r="H185" s="879">
        <v>25.044951753134438</v>
      </c>
      <c r="I185" s="877"/>
      <c r="J185" s="879">
        <v>54.440837227085424</v>
      </c>
      <c r="K185" s="877"/>
      <c r="L185" s="879">
        <v>64.977504682495805</v>
      </c>
      <c r="M185" s="877"/>
      <c r="N185" s="879">
        <v>46.000317207313444</v>
      </c>
      <c r="O185" s="877"/>
      <c r="P185" s="879">
        <v>2962.5013775434268</v>
      </c>
      <c r="Q185" s="877"/>
      <c r="R185" s="879">
        <v>54.440837227085424</v>
      </c>
      <c r="S185" s="877"/>
      <c r="T185" s="879">
        <v>22.208506663542671</v>
      </c>
      <c r="U185" s="877"/>
      <c r="V185" s="879">
        <v>22.208506663542671</v>
      </c>
      <c r="W185" s="877"/>
      <c r="X185" s="879">
        <v>54.440837227085424</v>
      </c>
      <c r="Y185" s="877"/>
      <c r="Z185" s="879">
        <v>22.208506663542671</v>
      </c>
      <c r="AA185" s="877"/>
      <c r="AB185" s="879">
        <v>22.208506663542671</v>
      </c>
      <c r="AC185" s="877"/>
      <c r="AD185" s="879">
        <v>22.208506663542671</v>
      </c>
      <c r="AE185" s="877"/>
      <c r="AF185" s="879">
        <v>54.440837227085424</v>
      </c>
      <c r="AG185" s="877"/>
      <c r="AH185" s="879">
        <v>54.440837227085424</v>
      </c>
      <c r="AI185" s="877"/>
      <c r="AJ185" s="879">
        <v>65.083935666893893</v>
      </c>
      <c r="AK185" s="877"/>
      <c r="AL185" s="879">
        <v>65.083935666893893</v>
      </c>
      <c r="AM185" s="877"/>
      <c r="AN185" s="879">
        <v>65.083935666893893</v>
      </c>
      <c r="AO185" s="877"/>
      <c r="AP185" s="879">
        <v>65.083935666893893</v>
      </c>
      <c r="AQ185" s="877"/>
      <c r="AR185" s="879">
        <v>65.083935666893893</v>
      </c>
      <c r="AS185" s="877"/>
      <c r="AT185" s="879">
        <v>54.440837227085424</v>
      </c>
      <c r="AU185" s="877"/>
      <c r="AV185" s="879">
        <v>54.440837227085424</v>
      </c>
      <c r="AW185" s="877"/>
      <c r="AX185" s="879">
        <v>54.440837227085424</v>
      </c>
      <c r="AY185" s="877"/>
      <c r="AZ185" s="879">
        <v>54.440837227085424</v>
      </c>
      <c r="BA185" s="877"/>
      <c r="BB185" s="879">
        <v>54.440837227085424</v>
      </c>
      <c r="BC185" s="877"/>
      <c r="BD185" s="879">
        <v>46.000317207313444</v>
      </c>
      <c r="BE185" s="877"/>
      <c r="BF185" s="879">
        <v>71.436885717154283</v>
      </c>
      <c r="BG185" s="877"/>
      <c r="BH185" s="879">
        <v>3297.3126008809209</v>
      </c>
      <c r="BI185" s="877"/>
      <c r="BJ185" s="879">
        <v>1505.633742112768</v>
      </c>
      <c r="BK185" s="877"/>
      <c r="BL185" s="879">
        <v>9746.4983641306735</v>
      </c>
      <c r="BM185" s="877"/>
      <c r="BN185" s="879">
        <v>2931.9458786170317</v>
      </c>
      <c r="BO185" s="877"/>
      <c r="BP185" s="879">
        <v>40282.780008213202</v>
      </c>
      <c r="BQ185" s="877"/>
      <c r="BR185" s="879">
        <v>13243.966941200631</v>
      </c>
      <c r="BS185" s="877"/>
    </row>
    <row r="186" spans="1:71" s="905" customFormat="1" x14ac:dyDescent="0.45">
      <c r="A186" s="893" t="s">
        <v>2820</v>
      </c>
      <c r="B186" s="1057">
        <v>1.1317649340220066</v>
      </c>
      <c r="C186" s="1058"/>
      <c r="D186" s="1057">
        <v>1.1317649340220066</v>
      </c>
      <c r="E186" s="1058"/>
      <c r="F186" s="1057">
        <v>0.40665459700549678</v>
      </c>
      <c r="G186" s="1058"/>
      <c r="H186" s="1057">
        <v>0.25531606286133124</v>
      </c>
      <c r="I186" s="1058"/>
      <c r="J186" s="1057">
        <v>0.45710077505355196</v>
      </c>
      <c r="K186" s="1058"/>
      <c r="L186" s="1057">
        <v>0.52239698389070588</v>
      </c>
      <c r="M186" s="1058"/>
      <c r="N186" s="1057">
        <v>0.21779188348749448</v>
      </c>
      <c r="O186" s="1058"/>
      <c r="P186" s="1057">
        <v>5.2623110013603931</v>
      </c>
      <c r="Q186" s="1058"/>
      <c r="R186" s="1057">
        <v>0.45710077505355196</v>
      </c>
      <c r="S186" s="1058"/>
      <c r="T186" s="1057">
        <v>0.23584560817611699</v>
      </c>
      <c r="U186" s="1058"/>
      <c r="V186" s="1057">
        <v>0.23584560817611699</v>
      </c>
      <c r="W186" s="1058"/>
      <c r="X186" s="1057">
        <v>0.45710077505355196</v>
      </c>
      <c r="Y186" s="1058"/>
      <c r="Z186" s="1057">
        <v>0.23584560817611699</v>
      </c>
      <c r="AA186" s="1058"/>
      <c r="AB186" s="1057">
        <v>0.23584560817611699</v>
      </c>
      <c r="AC186" s="1058"/>
      <c r="AD186" s="1057">
        <v>0.23584560817611699</v>
      </c>
      <c r="AE186" s="1058"/>
      <c r="AF186" s="1057">
        <v>0.45710077505355196</v>
      </c>
      <c r="AG186" s="1058"/>
      <c r="AH186" s="1057">
        <v>0.45710077505355196</v>
      </c>
      <c r="AI186" s="1058"/>
      <c r="AJ186" s="1057">
        <v>0.52305654155572767</v>
      </c>
      <c r="AK186" s="1058"/>
      <c r="AL186" s="1057">
        <v>0.52305654155572767</v>
      </c>
      <c r="AM186" s="1058"/>
      <c r="AN186" s="1057">
        <v>0.52305654155572767</v>
      </c>
      <c r="AO186" s="1058"/>
      <c r="AP186" s="1057">
        <v>0.52305654155572767</v>
      </c>
      <c r="AQ186" s="1058"/>
      <c r="AR186" s="1057">
        <v>0.52305654155572767</v>
      </c>
      <c r="AS186" s="1058"/>
      <c r="AT186" s="1057">
        <v>0.45710077505355196</v>
      </c>
      <c r="AU186" s="1058"/>
      <c r="AV186" s="1057">
        <v>0.45710077505355196</v>
      </c>
      <c r="AW186" s="1058"/>
      <c r="AX186" s="1057">
        <v>0.45710077505355196</v>
      </c>
      <c r="AY186" s="1058"/>
      <c r="AZ186" s="1057">
        <v>0.45710077505355196</v>
      </c>
      <c r="BA186" s="1058"/>
      <c r="BB186" s="1057">
        <v>0.45710077505355196</v>
      </c>
      <c r="BC186" s="1058"/>
      <c r="BD186" s="1057">
        <v>0.21779188348749448</v>
      </c>
      <c r="BE186" s="1058"/>
      <c r="BF186" s="1057">
        <v>0.17980676307975421</v>
      </c>
      <c r="BG186" s="1058"/>
      <c r="BH186" s="1057">
        <v>0.33238103026070809</v>
      </c>
      <c r="BI186" s="1058"/>
      <c r="BJ186" s="1057">
        <v>3.7844684641172108</v>
      </c>
      <c r="BK186" s="1058"/>
      <c r="BL186" s="1057">
        <v>47.781115908753712</v>
      </c>
      <c r="BM186" s="1058"/>
      <c r="BN186" s="1057">
        <v>1.7369853177458945</v>
      </c>
      <c r="BO186" s="1058"/>
      <c r="BP186" s="1057">
        <v>7.1042810194357475</v>
      </c>
      <c r="BQ186" s="1058"/>
      <c r="BR186" s="1057">
        <v>10.982437468508</v>
      </c>
      <c r="BS186" s="1058"/>
    </row>
    <row r="187" spans="1:71" s="905" customFormat="1" x14ac:dyDescent="0.45">
      <c r="A187" s="900" t="s">
        <v>2807</v>
      </c>
      <c r="B187" s="982"/>
      <c r="C187" s="985"/>
      <c r="D187" s="982"/>
      <c r="E187" s="985"/>
      <c r="F187" s="982"/>
      <c r="G187" s="985"/>
      <c r="H187" s="982"/>
      <c r="I187" s="985"/>
      <c r="J187" s="982"/>
      <c r="K187" s="985"/>
      <c r="L187" s="982"/>
      <c r="M187" s="985"/>
      <c r="N187" s="982"/>
      <c r="O187" s="985"/>
      <c r="P187" s="982"/>
      <c r="Q187" s="985"/>
      <c r="R187" s="982"/>
      <c r="S187" s="985"/>
      <c r="T187" s="982"/>
      <c r="U187" s="985"/>
      <c r="V187" s="982"/>
      <c r="W187" s="985"/>
      <c r="X187" s="982"/>
      <c r="Y187" s="985"/>
      <c r="Z187" s="982"/>
      <c r="AA187" s="985"/>
      <c r="AB187" s="982"/>
      <c r="AC187" s="985"/>
      <c r="AD187" s="982"/>
      <c r="AE187" s="985"/>
      <c r="AF187" s="982"/>
      <c r="AG187" s="985"/>
      <c r="AH187" s="982"/>
      <c r="AI187" s="985"/>
      <c r="AJ187" s="982"/>
      <c r="AK187" s="985"/>
      <c r="AL187" s="982"/>
      <c r="AM187" s="985"/>
      <c r="AN187" s="982"/>
      <c r="AO187" s="985"/>
      <c r="AP187" s="982"/>
      <c r="AQ187" s="985"/>
      <c r="AR187" s="982"/>
      <c r="AS187" s="985"/>
      <c r="AT187" s="982"/>
      <c r="AU187" s="985"/>
      <c r="AV187" s="982"/>
      <c r="AW187" s="985"/>
      <c r="AX187" s="982"/>
      <c r="AY187" s="985"/>
      <c r="AZ187" s="982"/>
      <c r="BA187" s="985"/>
      <c r="BB187" s="982"/>
      <c r="BC187" s="985"/>
      <c r="BD187" s="982"/>
      <c r="BE187" s="985"/>
      <c r="BF187" s="982"/>
      <c r="BG187" s="985"/>
      <c r="BH187" s="982"/>
      <c r="BI187" s="985"/>
      <c r="BJ187" s="982"/>
      <c r="BK187" s="985"/>
      <c r="BL187" s="982"/>
      <c r="BM187" s="985"/>
      <c r="BN187" s="982"/>
      <c r="BO187" s="985"/>
      <c r="BP187" s="982"/>
      <c r="BQ187" s="985"/>
      <c r="BR187" s="982"/>
      <c r="BS187" s="985"/>
    </row>
    <row r="188" spans="1:71" s="905" customFormat="1" x14ac:dyDescent="0.45">
      <c r="A188" s="768" t="s">
        <v>1525</v>
      </c>
      <c r="B188" s="904">
        <v>0.3534766755246348</v>
      </c>
      <c r="C188" s="906">
        <v>3.9420236737217331E-3</v>
      </c>
      <c r="D188" s="904">
        <v>0.3534766755246348</v>
      </c>
      <c r="E188" s="906">
        <v>3.9420236737217331E-3</v>
      </c>
      <c r="F188" s="904">
        <v>0.21039169246388201</v>
      </c>
      <c r="G188" s="906">
        <v>8.2940529382880023E-4</v>
      </c>
      <c r="H188" s="904">
        <v>0.13730246874252197</v>
      </c>
      <c r="I188" s="906">
        <v>5.2375937334676209E-4</v>
      </c>
      <c r="J188" s="904">
        <v>0.23475476703766865</v>
      </c>
      <c r="K188" s="906">
        <v>9.3128726732281302E-4</v>
      </c>
      <c r="L188" s="904">
        <v>0.23492154559166151</v>
      </c>
      <c r="M188" s="906">
        <v>9.7389468856531143E-4</v>
      </c>
      <c r="N188" s="904">
        <v>0.12742106765689826</v>
      </c>
      <c r="O188" s="906">
        <v>5.4268204585775125E-4</v>
      </c>
      <c r="P188" s="904">
        <v>1.2762642077284221</v>
      </c>
      <c r="Q188" s="906">
        <v>2.0616227168573545E-2</v>
      </c>
      <c r="R188" s="904">
        <v>0.23475476703766865</v>
      </c>
      <c r="S188" s="906">
        <v>9.3128726732281302E-4</v>
      </c>
      <c r="T188" s="904">
        <v>0.12789917680176219</v>
      </c>
      <c r="U188" s="906">
        <v>4.8443650638416077E-4</v>
      </c>
      <c r="V188" s="904">
        <v>0.12789917680176219</v>
      </c>
      <c r="W188" s="906">
        <v>4.8443650638416077E-4</v>
      </c>
      <c r="X188" s="904">
        <v>0.23475476703766865</v>
      </c>
      <c r="Y188" s="906">
        <v>9.3128726732281302E-4</v>
      </c>
      <c r="Z188" s="904">
        <v>0.12789917680176219</v>
      </c>
      <c r="AA188" s="906">
        <v>4.8443650638416077E-4</v>
      </c>
      <c r="AB188" s="904">
        <v>0.12789917680176219</v>
      </c>
      <c r="AC188" s="906">
        <v>4.8443650638416077E-4</v>
      </c>
      <c r="AD188" s="904">
        <v>0.12789917680176219</v>
      </c>
      <c r="AE188" s="906">
        <v>4.8443650638416077E-4</v>
      </c>
      <c r="AF188" s="904">
        <v>0.23475476703766865</v>
      </c>
      <c r="AG188" s="906">
        <v>9.3128726732281302E-4</v>
      </c>
      <c r="AH188" s="904">
        <v>0.23475476703766865</v>
      </c>
      <c r="AI188" s="906">
        <v>9.3128726732281302E-4</v>
      </c>
      <c r="AJ188" s="904">
        <v>0.23492323022352002</v>
      </c>
      <c r="AK188" s="906">
        <v>9.7432506655765994E-4</v>
      </c>
      <c r="AL188" s="904">
        <v>0.23492323022352002</v>
      </c>
      <c r="AM188" s="906">
        <v>9.7432506655765994E-4</v>
      </c>
      <c r="AN188" s="904">
        <v>0.23492323022352002</v>
      </c>
      <c r="AO188" s="906">
        <v>9.7432506655765994E-4</v>
      </c>
      <c r="AP188" s="904">
        <v>0.23492323022352002</v>
      </c>
      <c r="AQ188" s="906">
        <v>9.7432506655765994E-4</v>
      </c>
      <c r="AR188" s="904">
        <v>0.23492323022352002</v>
      </c>
      <c r="AS188" s="906">
        <v>9.7432506655765994E-4</v>
      </c>
      <c r="AT188" s="904">
        <v>0.23475476703766865</v>
      </c>
      <c r="AU188" s="906">
        <v>9.3128726732281302E-4</v>
      </c>
      <c r="AV188" s="904">
        <v>0.23475476703766865</v>
      </c>
      <c r="AW188" s="906">
        <v>9.3128726732281302E-4</v>
      </c>
      <c r="AX188" s="904">
        <v>0.23475476703766865</v>
      </c>
      <c r="AY188" s="906">
        <v>9.3128726732281302E-4</v>
      </c>
      <c r="AZ188" s="904">
        <v>0.23475476703766865</v>
      </c>
      <c r="BA188" s="906">
        <v>9.3128726732281302E-4</v>
      </c>
      <c r="BB188" s="904">
        <v>0.23475476703766865</v>
      </c>
      <c r="BC188" s="906">
        <v>9.3128726732281302E-4</v>
      </c>
      <c r="BD188" s="904">
        <v>0.12742106765689826</v>
      </c>
      <c r="BE188" s="906">
        <v>5.4268204585775125E-4</v>
      </c>
      <c r="BF188" s="904">
        <v>9.7460418647912161E-2</v>
      </c>
      <c r="BG188" s="906">
        <v>5.1095348155515521E-4</v>
      </c>
      <c r="BH188" s="904">
        <v>0.14470110932232311</v>
      </c>
      <c r="BI188" s="906">
        <v>1.1823940239547786E-2</v>
      </c>
      <c r="BJ188" s="904">
        <v>1.5966862884735442</v>
      </c>
      <c r="BK188" s="906">
        <v>1.3231893782841692E-2</v>
      </c>
      <c r="BL188" s="904">
        <v>7.406314515816466</v>
      </c>
      <c r="BM188" s="906">
        <v>0.12708107710716476</v>
      </c>
      <c r="BN188" s="904">
        <v>1.0172714911715883</v>
      </c>
      <c r="BO188" s="906">
        <v>1.1661861484720428E-2</v>
      </c>
      <c r="BP188" s="904">
        <v>2.8091654103821337</v>
      </c>
      <c r="BQ188" s="906">
        <v>0.12489082402001191</v>
      </c>
      <c r="BR188" s="904">
        <v>4.139355342088904</v>
      </c>
      <c r="BS188" s="906">
        <v>5.1975145115449733E-2</v>
      </c>
    </row>
    <row r="189" spans="1:71" s="905" customFormat="1" x14ac:dyDescent="0.45">
      <c r="A189" s="768" t="s">
        <v>1524</v>
      </c>
      <c r="B189" s="904">
        <v>2.4625037494263613</v>
      </c>
      <c r="C189" s="906">
        <v>1.9962518891093864E-2</v>
      </c>
      <c r="D189" s="904">
        <v>2.4625037494263613</v>
      </c>
      <c r="E189" s="906">
        <v>1.9962518891093864E-2</v>
      </c>
      <c r="F189" s="904">
        <v>1.5280699803862785</v>
      </c>
      <c r="G189" s="906">
        <v>5.5597741236771171E-3</v>
      </c>
      <c r="H189" s="904">
        <v>0.9956408416424497</v>
      </c>
      <c r="I189" s="906">
        <v>3.5769053357160132E-3</v>
      </c>
      <c r="J189" s="904">
        <v>1.7055463599675544</v>
      </c>
      <c r="K189" s="906">
        <v>6.220730386330817E-3</v>
      </c>
      <c r="L189" s="904">
        <v>1.6872206299767731</v>
      </c>
      <c r="M189" s="906">
        <v>6.3655236666529521E-3</v>
      </c>
      <c r="N189" s="904">
        <v>0.91041173276798393</v>
      </c>
      <c r="O189" s="906">
        <v>3.4041194094807151E-3</v>
      </c>
      <c r="P189" s="904">
        <v>8.648393995237134</v>
      </c>
      <c r="Q189" s="906">
        <v>9.8821111730409486E-2</v>
      </c>
      <c r="R189" s="904">
        <v>1.7055463599675547</v>
      </c>
      <c r="S189" s="906">
        <v>6.220730386330817E-3</v>
      </c>
      <c r="T189" s="904">
        <v>0.92714118636546605</v>
      </c>
      <c r="U189" s="906">
        <v>3.3217994097794966E-3</v>
      </c>
      <c r="V189" s="904">
        <v>0.92714118636546605</v>
      </c>
      <c r="W189" s="906">
        <v>3.3217994097794966E-3</v>
      </c>
      <c r="X189" s="904">
        <v>1.7055463599675547</v>
      </c>
      <c r="Y189" s="906">
        <v>6.220730386330817E-3</v>
      </c>
      <c r="Z189" s="904">
        <v>0.92714118636546605</v>
      </c>
      <c r="AA189" s="906">
        <v>3.3217994097794966E-3</v>
      </c>
      <c r="AB189" s="904">
        <v>0.92714118636546605</v>
      </c>
      <c r="AC189" s="906">
        <v>3.3217994097794966E-3</v>
      </c>
      <c r="AD189" s="904">
        <v>0.92714118636546605</v>
      </c>
      <c r="AE189" s="906">
        <v>3.3217994097794966E-3</v>
      </c>
      <c r="AF189" s="904">
        <v>1.7055463599675547</v>
      </c>
      <c r="AG189" s="906">
        <v>6.220730386330817E-3</v>
      </c>
      <c r="AH189" s="904">
        <v>1.7055463599675547</v>
      </c>
      <c r="AI189" s="906">
        <v>6.220730386330817E-3</v>
      </c>
      <c r="AJ189" s="904">
        <v>1.6870355215930277</v>
      </c>
      <c r="AK189" s="906">
        <v>6.3669862250400446E-3</v>
      </c>
      <c r="AL189" s="904">
        <v>1.6870355215930277</v>
      </c>
      <c r="AM189" s="906">
        <v>6.3669862250400446E-3</v>
      </c>
      <c r="AN189" s="904">
        <v>1.6870355215930277</v>
      </c>
      <c r="AO189" s="906">
        <v>6.3669862250400446E-3</v>
      </c>
      <c r="AP189" s="904">
        <v>1.6870355215930277</v>
      </c>
      <c r="AQ189" s="906">
        <v>6.3669862250400446E-3</v>
      </c>
      <c r="AR189" s="904">
        <v>1.6870355215930277</v>
      </c>
      <c r="AS189" s="906">
        <v>6.3669862250400446E-3</v>
      </c>
      <c r="AT189" s="904">
        <v>1.7055463599675547</v>
      </c>
      <c r="AU189" s="906">
        <v>6.220730386330817E-3</v>
      </c>
      <c r="AV189" s="904">
        <v>1.7055463599675547</v>
      </c>
      <c r="AW189" s="906">
        <v>6.220730386330817E-3</v>
      </c>
      <c r="AX189" s="904">
        <v>1.7055463599675547</v>
      </c>
      <c r="AY189" s="906">
        <v>6.220730386330817E-3</v>
      </c>
      <c r="AZ189" s="904">
        <v>1.7055463599675547</v>
      </c>
      <c r="BA189" s="906">
        <v>6.220730386330817E-3</v>
      </c>
      <c r="BB189" s="904">
        <v>1.7055463599675547</v>
      </c>
      <c r="BC189" s="906">
        <v>6.220730386330817E-3</v>
      </c>
      <c r="BD189" s="904">
        <v>0.91041173276798393</v>
      </c>
      <c r="BE189" s="906">
        <v>3.4041194094807151E-3</v>
      </c>
      <c r="BF189" s="904">
        <v>0.74106886004148886</v>
      </c>
      <c r="BG189" s="906">
        <v>2.8504654365601009E-3</v>
      </c>
      <c r="BH189" s="904">
        <v>1.3877146047133864</v>
      </c>
      <c r="BI189" s="906">
        <v>1.9716419040799734E-2</v>
      </c>
      <c r="BJ189" s="904">
        <v>10.736894244475824</v>
      </c>
      <c r="BK189" s="906">
        <v>7.2625077361448964E-2</v>
      </c>
      <c r="BL189" s="904">
        <v>47.86315121477643</v>
      </c>
      <c r="BM189" s="906">
        <v>0.80398236922605382</v>
      </c>
      <c r="BN189" s="904">
        <v>7.3801645418621975</v>
      </c>
      <c r="BO189" s="906">
        <v>3.1850032517551578E-2</v>
      </c>
      <c r="BP189" s="904">
        <v>19.080258298348117</v>
      </c>
      <c r="BQ189" s="906">
        <v>0.15449132989615952</v>
      </c>
      <c r="BR189" s="904">
        <v>29.859575682545721</v>
      </c>
      <c r="BS189" s="906">
        <v>0.1423027393355524</v>
      </c>
    </row>
    <row r="190" spans="1:71" s="905" customFormat="1" x14ac:dyDescent="0.45">
      <c r="A190" s="768" t="s">
        <v>1523</v>
      </c>
      <c r="B190" s="904">
        <v>0.84934236939682861</v>
      </c>
      <c r="C190" s="906">
        <v>5.0322687927015802E-2</v>
      </c>
      <c r="D190" s="904">
        <v>0.84934236939682861</v>
      </c>
      <c r="E190" s="906">
        <v>5.0322687927015802E-2</v>
      </c>
      <c r="F190" s="904">
        <v>0.30913818221504163</v>
      </c>
      <c r="G190" s="906">
        <v>1.4386424386875105E-2</v>
      </c>
      <c r="H190" s="904">
        <v>0.19177740587126474</v>
      </c>
      <c r="I190" s="906">
        <v>9.2555524760175034E-3</v>
      </c>
      <c r="J190" s="904">
        <v>0.34825844099630066</v>
      </c>
      <c r="K190" s="906">
        <v>1.6096715023827639E-2</v>
      </c>
      <c r="L190" s="904">
        <v>0.33669450585152133</v>
      </c>
      <c r="M190" s="906">
        <v>1.6490955478083831E-2</v>
      </c>
      <c r="N190" s="904">
        <v>0.23288296125222258</v>
      </c>
      <c r="O190" s="906">
        <v>8.7492021768276838E-3</v>
      </c>
      <c r="P190" s="904">
        <v>3.8510315851217127</v>
      </c>
      <c r="Q190" s="906">
        <v>0.24762066553249684</v>
      </c>
      <c r="R190" s="904">
        <v>0.34825844099630066</v>
      </c>
      <c r="S190" s="906">
        <v>1.6096715023827639E-2</v>
      </c>
      <c r="T190" s="904">
        <v>0.17667835862235778</v>
      </c>
      <c r="U190" s="906">
        <v>8.5954403003516127E-3</v>
      </c>
      <c r="V190" s="904">
        <v>0.17667835862235778</v>
      </c>
      <c r="W190" s="906">
        <v>8.5954403003516127E-3</v>
      </c>
      <c r="X190" s="904">
        <v>0.34825844099630066</v>
      </c>
      <c r="Y190" s="906">
        <v>1.6096715023827639E-2</v>
      </c>
      <c r="Z190" s="904">
        <v>0.17667835862235778</v>
      </c>
      <c r="AA190" s="906">
        <v>8.5954403003516127E-3</v>
      </c>
      <c r="AB190" s="904">
        <v>0.17667835862235778</v>
      </c>
      <c r="AC190" s="906">
        <v>8.5954403003516127E-3</v>
      </c>
      <c r="AD190" s="904">
        <v>0.17667835862235778</v>
      </c>
      <c r="AE190" s="906">
        <v>8.5954403003516127E-3</v>
      </c>
      <c r="AF190" s="904">
        <v>0.34825844099630066</v>
      </c>
      <c r="AG190" s="906">
        <v>1.6096715023827639E-2</v>
      </c>
      <c r="AH190" s="904">
        <v>0.34825844099630066</v>
      </c>
      <c r="AI190" s="906">
        <v>1.6096715023827639E-2</v>
      </c>
      <c r="AJ190" s="904">
        <v>0.33657769842581647</v>
      </c>
      <c r="AK190" s="906">
        <v>1.6494937704894498E-2</v>
      </c>
      <c r="AL190" s="904">
        <v>0.33657769842581647</v>
      </c>
      <c r="AM190" s="906">
        <v>1.6494937704894498E-2</v>
      </c>
      <c r="AN190" s="904">
        <v>0.33657769842581647</v>
      </c>
      <c r="AO190" s="906">
        <v>1.6494937704894498E-2</v>
      </c>
      <c r="AP190" s="904">
        <v>0.33657769842581647</v>
      </c>
      <c r="AQ190" s="906">
        <v>1.6494937704894498E-2</v>
      </c>
      <c r="AR190" s="904">
        <v>0.33657769842581647</v>
      </c>
      <c r="AS190" s="906">
        <v>1.6494937704894498E-2</v>
      </c>
      <c r="AT190" s="904">
        <v>0.34825844099630066</v>
      </c>
      <c r="AU190" s="906">
        <v>1.6096715023827639E-2</v>
      </c>
      <c r="AV190" s="904">
        <v>0.34825844099630066</v>
      </c>
      <c r="AW190" s="906">
        <v>1.6096715023827639E-2</v>
      </c>
      <c r="AX190" s="904">
        <v>0.34825844099630066</v>
      </c>
      <c r="AY190" s="906">
        <v>1.6096715023827639E-2</v>
      </c>
      <c r="AZ190" s="904">
        <v>0.34825844099630066</v>
      </c>
      <c r="BA190" s="906">
        <v>1.6096715023827639E-2</v>
      </c>
      <c r="BB190" s="904">
        <v>0.34825844099630066</v>
      </c>
      <c r="BC190" s="906">
        <v>1.6096715023827639E-2</v>
      </c>
      <c r="BD190" s="904">
        <v>0.23288296125222258</v>
      </c>
      <c r="BE190" s="906">
        <v>8.7492021768276838E-3</v>
      </c>
      <c r="BF190" s="904">
        <v>0.28558171387258324</v>
      </c>
      <c r="BG190" s="906">
        <v>7.311430069427363E-3</v>
      </c>
      <c r="BH190" s="904">
        <v>2.4125301250859419</v>
      </c>
      <c r="BI190" s="906">
        <v>4.4965146871377891E-2</v>
      </c>
      <c r="BJ190" s="904">
        <v>3.1089588702848423</v>
      </c>
      <c r="BK190" s="906">
        <v>0.17954952492920992</v>
      </c>
      <c r="BL190" s="904">
        <v>19.187505369566228</v>
      </c>
      <c r="BM190" s="906">
        <v>2.056211931772526</v>
      </c>
      <c r="BN190" s="904">
        <v>1.9518674225113424</v>
      </c>
      <c r="BO190" s="906">
        <v>7.7742152012338694E-2</v>
      </c>
      <c r="BP190" s="904">
        <v>6.2471846343954311</v>
      </c>
      <c r="BQ190" s="906">
        <v>0.33327655159277958</v>
      </c>
      <c r="BR190" s="904">
        <v>8.2815126144246154</v>
      </c>
      <c r="BS190" s="906">
        <v>0.34984639103791454</v>
      </c>
    </row>
    <row r="191" spans="1:71" s="905" customFormat="1" x14ac:dyDescent="0.45">
      <c r="A191" s="768" t="s">
        <v>1522</v>
      </c>
      <c r="B191" s="904">
        <v>0.26698191415125994</v>
      </c>
      <c r="C191" s="906">
        <v>5.7603488547684576E-3</v>
      </c>
      <c r="D191" s="904">
        <v>0.26698191415125994</v>
      </c>
      <c r="E191" s="906">
        <v>5.7603488547684576E-3</v>
      </c>
      <c r="F191" s="904">
        <v>0.13668905112974991</v>
      </c>
      <c r="G191" s="906">
        <v>1.630331202316421E-3</v>
      </c>
      <c r="H191" s="904">
        <v>8.7578674892772157E-2</v>
      </c>
      <c r="I191" s="906">
        <v>1.0478724961993601E-3</v>
      </c>
      <c r="J191" s="904">
        <v>0.15305917654207585</v>
      </c>
      <c r="K191" s="906">
        <v>1.8244841043554415E-3</v>
      </c>
      <c r="L191" s="904">
        <v>0.15568882977979889</v>
      </c>
      <c r="M191" s="906">
        <v>1.8725666933818691E-3</v>
      </c>
      <c r="N191" s="904">
        <v>8.8188186217066172E-2</v>
      </c>
      <c r="O191" s="906">
        <v>9.8665355846999929E-4</v>
      </c>
      <c r="P191" s="904">
        <v>1.0529506704511518</v>
      </c>
      <c r="Q191" s="906">
        <v>2.8421418113323646E-2</v>
      </c>
      <c r="R191" s="904">
        <v>0.15305917654207585</v>
      </c>
      <c r="S191" s="906">
        <v>1.8244841043554415E-3</v>
      </c>
      <c r="T191" s="904">
        <v>8.1260380873979687E-2</v>
      </c>
      <c r="U191" s="906">
        <v>9.729362883948258E-4</v>
      </c>
      <c r="V191" s="904">
        <v>8.1260380873979687E-2</v>
      </c>
      <c r="W191" s="906">
        <v>9.729362883948258E-4</v>
      </c>
      <c r="X191" s="904">
        <v>0.15305917654207585</v>
      </c>
      <c r="Y191" s="906">
        <v>1.8244841043554415E-3</v>
      </c>
      <c r="Z191" s="904">
        <v>8.1260380873979687E-2</v>
      </c>
      <c r="AA191" s="906">
        <v>9.729362883948258E-4</v>
      </c>
      <c r="AB191" s="904">
        <v>8.1260380873979687E-2</v>
      </c>
      <c r="AC191" s="906">
        <v>9.729362883948258E-4</v>
      </c>
      <c r="AD191" s="904">
        <v>8.1260380873979687E-2</v>
      </c>
      <c r="AE191" s="906">
        <v>9.729362883948258E-4</v>
      </c>
      <c r="AF191" s="904">
        <v>0.15305917654207585</v>
      </c>
      <c r="AG191" s="906">
        <v>1.8244841043554415E-3</v>
      </c>
      <c r="AH191" s="904">
        <v>0.15305917654207585</v>
      </c>
      <c r="AI191" s="906">
        <v>1.8244841043554415E-3</v>
      </c>
      <c r="AJ191" s="904">
        <v>0.15571539193371528</v>
      </c>
      <c r="AK191" s="906">
        <v>1.8730523760993078E-3</v>
      </c>
      <c r="AL191" s="904">
        <v>0.15571539193371528</v>
      </c>
      <c r="AM191" s="906">
        <v>1.8730523760993078E-3</v>
      </c>
      <c r="AN191" s="904">
        <v>0.15571539193371528</v>
      </c>
      <c r="AO191" s="906">
        <v>1.8730523760993078E-3</v>
      </c>
      <c r="AP191" s="904">
        <v>0.15571539193371528</v>
      </c>
      <c r="AQ191" s="906">
        <v>1.8730523760993078E-3</v>
      </c>
      <c r="AR191" s="904">
        <v>0.15571539193371528</v>
      </c>
      <c r="AS191" s="906">
        <v>1.8730523760993078E-3</v>
      </c>
      <c r="AT191" s="904">
        <v>0.15305917654207585</v>
      </c>
      <c r="AU191" s="906">
        <v>1.8244841043554415E-3</v>
      </c>
      <c r="AV191" s="904">
        <v>0.15305917654207585</v>
      </c>
      <c r="AW191" s="906">
        <v>1.8244841043554415E-3</v>
      </c>
      <c r="AX191" s="904">
        <v>0.15305917654207585</v>
      </c>
      <c r="AY191" s="906">
        <v>1.8244841043554415E-3</v>
      </c>
      <c r="AZ191" s="904">
        <v>0.15305917654207585</v>
      </c>
      <c r="BA191" s="906">
        <v>1.8244841043554415E-3</v>
      </c>
      <c r="BB191" s="904">
        <v>0.15305917654207585</v>
      </c>
      <c r="BC191" s="906">
        <v>1.8244841043554415E-3</v>
      </c>
      <c r="BD191" s="904">
        <v>8.8188186217066172E-2</v>
      </c>
      <c r="BE191" s="906">
        <v>9.8665355846999929E-4</v>
      </c>
      <c r="BF191" s="904">
        <v>7.8006099169532675E-2</v>
      </c>
      <c r="BG191" s="906">
        <v>8.2768435385874371E-4</v>
      </c>
      <c r="BH191" s="904">
        <v>0.32192822632512352</v>
      </c>
      <c r="BI191" s="906">
        <v>3.9690574876736495E-3</v>
      </c>
      <c r="BJ191" s="904">
        <v>1.0925736340277654</v>
      </c>
      <c r="BK191" s="906">
        <v>2.02449693573084E-2</v>
      </c>
      <c r="BL191" s="904">
        <v>6.0585780885517124</v>
      </c>
      <c r="BM191" s="906">
        <v>0.24538580443814734</v>
      </c>
      <c r="BN191" s="904">
        <v>0.69072869941554382</v>
      </c>
      <c r="BO191" s="906">
        <v>9.152222061670174E-3</v>
      </c>
      <c r="BP191" s="904">
        <v>2.0190443583075877</v>
      </c>
      <c r="BQ191" s="906">
        <v>4.3344052251534926E-2</v>
      </c>
      <c r="BR191" s="904">
        <v>3.0677700372748173</v>
      </c>
      <c r="BS191" s="906">
        <v>4.143350700855028E-2</v>
      </c>
    </row>
    <row r="192" spans="1:71" s="905" customFormat="1" x14ac:dyDescent="0.45">
      <c r="A192" s="768" t="s">
        <v>1521</v>
      </c>
      <c r="B192" s="904">
        <v>0.10857461687074203</v>
      </c>
      <c r="C192" s="906">
        <v>4.2057831221368408E-3</v>
      </c>
      <c r="D192" s="904">
        <v>0.10857461687074203</v>
      </c>
      <c r="E192" s="906">
        <v>4.2057831221368408E-3</v>
      </c>
      <c r="F192" s="904">
        <v>5.9123683714636277E-2</v>
      </c>
      <c r="G192" s="906">
        <v>1.2061718510744939E-3</v>
      </c>
      <c r="H192" s="904">
        <v>3.8265464062404789E-2</v>
      </c>
      <c r="I192" s="906">
        <v>7.7533941313185468E-4</v>
      </c>
      <c r="J192" s="904">
        <v>6.6076423598713449E-2</v>
      </c>
      <c r="K192" s="906">
        <v>1.3497826637220399E-3</v>
      </c>
      <c r="L192" s="904">
        <v>6.8249557059580024E-2</v>
      </c>
      <c r="M192" s="906">
        <v>1.3843899411102169E-3</v>
      </c>
      <c r="N192" s="904">
        <v>3.6024612501513356E-2</v>
      </c>
      <c r="O192" s="906">
        <v>7.305838702727931E-4</v>
      </c>
      <c r="P192" s="904">
        <v>0.41535417428421978</v>
      </c>
      <c r="Q192" s="906">
        <v>2.0683618061178719E-2</v>
      </c>
      <c r="R192" s="904">
        <v>6.6076423598713449E-2</v>
      </c>
      <c r="S192" s="906">
        <v>1.3497826637220399E-3</v>
      </c>
      <c r="T192" s="904">
        <v>3.5581950422936416E-2</v>
      </c>
      <c r="U192" s="906">
        <v>7.1991067842578412E-4</v>
      </c>
      <c r="V192" s="904">
        <v>3.5581950422936416E-2</v>
      </c>
      <c r="W192" s="906">
        <v>7.1991067842578412E-4</v>
      </c>
      <c r="X192" s="904">
        <v>6.6076423598713449E-2</v>
      </c>
      <c r="Y192" s="906">
        <v>1.3497826637220399E-3</v>
      </c>
      <c r="Z192" s="904">
        <v>3.5581950422936416E-2</v>
      </c>
      <c r="AA192" s="906">
        <v>7.1991067842578412E-4</v>
      </c>
      <c r="AB192" s="904">
        <v>3.5581950422936416E-2</v>
      </c>
      <c r="AC192" s="906">
        <v>7.1991067842578412E-4</v>
      </c>
      <c r="AD192" s="904">
        <v>3.5581950422936416E-2</v>
      </c>
      <c r="AE192" s="906">
        <v>7.1991067842578412E-4</v>
      </c>
      <c r="AF192" s="904">
        <v>6.6076423598713449E-2</v>
      </c>
      <c r="AG192" s="906">
        <v>1.3497826637220399E-3</v>
      </c>
      <c r="AH192" s="904">
        <v>6.6076423598713449E-2</v>
      </c>
      <c r="AI192" s="906">
        <v>1.3497826637220399E-3</v>
      </c>
      <c r="AJ192" s="904">
        <v>6.8271507902619086E-2</v>
      </c>
      <c r="AK192" s="906">
        <v>1.3847395095686831E-3</v>
      </c>
      <c r="AL192" s="904">
        <v>6.8271507902619086E-2</v>
      </c>
      <c r="AM192" s="906">
        <v>1.3847395095686831E-3</v>
      </c>
      <c r="AN192" s="904">
        <v>6.8271507902619086E-2</v>
      </c>
      <c r="AO192" s="906">
        <v>1.3847395095686831E-3</v>
      </c>
      <c r="AP192" s="904">
        <v>6.8271507902619086E-2</v>
      </c>
      <c r="AQ192" s="906">
        <v>1.3847395095686831E-3</v>
      </c>
      <c r="AR192" s="904">
        <v>6.8271507902619086E-2</v>
      </c>
      <c r="AS192" s="906">
        <v>1.3847395095686831E-3</v>
      </c>
      <c r="AT192" s="904">
        <v>6.6076423598713449E-2</v>
      </c>
      <c r="AU192" s="906">
        <v>1.3497826637220399E-3</v>
      </c>
      <c r="AV192" s="904">
        <v>6.6076423598713449E-2</v>
      </c>
      <c r="AW192" s="906">
        <v>1.3497826637220399E-3</v>
      </c>
      <c r="AX192" s="904">
        <v>6.6076423598713449E-2</v>
      </c>
      <c r="AY192" s="906">
        <v>1.3497826637220399E-3</v>
      </c>
      <c r="AZ192" s="904">
        <v>6.6076423598713449E-2</v>
      </c>
      <c r="BA192" s="906">
        <v>1.3497826637220399E-3</v>
      </c>
      <c r="BB192" s="904">
        <v>6.6076423598713449E-2</v>
      </c>
      <c r="BC192" s="906">
        <v>1.3497826637220399E-3</v>
      </c>
      <c r="BD192" s="904">
        <v>3.6024612501513356E-2</v>
      </c>
      <c r="BE192" s="906">
        <v>7.305838702727931E-4</v>
      </c>
      <c r="BF192" s="904">
        <v>2.6881025523325063E-2</v>
      </c>
      <c r="BG192" s="906">
        <v>6.1372585796783433E-4</v>
      </c>
      <c r="BH192" s="904">
        <v>4.7419311555364302E-2</v>
      </c>
      <c r="BI192" s="906">
        <v>2.8609427395065753E-3</v>
      </c>
      <c r="BJ192" s="904">
        <v>0.45466498952400847</v>
      </c>
      <c r="BK192" s="906">
        <v>1.472786417274923E-2</v>
      </c>
      <c r="BL192" s="904">
        <v>2.7638205691794431</v>
      </c>
      <c r="BM192" s="906">
        <v>0.1787171390080361</v>
      </c>
      <c r="BN192" s="904">
        <v>0.28999022769129229</v>
      </c>
      <c r="BO192" s="906">
        <v>6.8374057454424486E-3</v>
      </c>
      <c r="BP192" s="904">
        <v>1.0138362516319093</v>
      </c>
      <c r="BQ192" s="906">
        <v>3.2923440941730081E-2</v>
      </c>
      <c r="BR192" s="904">
        <v>1.3090813481399608</v>
      </c>
      <c r="BS192" s="906">
        <v>3.087535328021335E-2</v>
      </c>
    </row>
    <row r="193" spans="1:201" s="905" customFormat="1" x14ac:dyDescent="0.45">
      <c r="A193" s="768" t="s">
        <v>1520</v>
      </c>
      <c r="B193" s="904">
        <v>2.3952786683723746</v>
      </c>
      <c r="C193" s="906">
        <v>0.18345822458409072</v>
      </c>
      <c r="D193" s="904">
        <v>2.3952786683723746</v>
      </c>
      <c r="E193" s="906">
        <v>0.18345822458409072</v>
      </c>
      <c r="F193" s="904">
        <v>0.87159029778224828</v>
      </c>
      <c r="G193" s="906">
        <v>5.3628909759222139E-2</v>
      </c>
      <c r="H193" s="904">
        <v>0.54881717819083964</v>
      </c>
      <c r="I193" s="906">
        <v>3.4512810729601925E-2</v>
      </c>
      <c r="J193" s="904">
        <v>0.97918133764605109</v>
      </c>
      <c r="K193" s="906">
        <v>6.0000942769095539E-2</v>
      </c>
      <c r="L193" s="904">
        <v>0.96759517290911168</v>
      </c>
      <c r="M193" s="906">
        <v>6.1671423005193952E-2</v>
      </c>
      <c r="N193" s="904">
        <v>0.65844052862405911</v>
      </c>
      <c r="O193" s="906">
        <v>3.2091505379168467E-2</v>
      </c>
      <c r="P193" s="904">
        <v>10.849628000962138</v>
      </c>
      <c r="Q193" s="906">
        <v>0.89839574824267809</v>
      </c>
      <c r="R193" s="904">
        <v>0.97918133764605109</v>
      </c>
      <c r="S193" s="906">
        <v>6.0000942769095539E-2</v>
      </c>
      <c r="T193" s="904">
        <v>0.50729081192761738</v>
      </c>
      <c r="U193" s="906">
        <v>3.2053429567896405E-2</v>
      </c>
      <c r="V193" s="904">
        <v>0.50729081192761738</v>
      </c>
      <c r="W193" s="906">
        <v>3.2053429567896405E-2</v>
      </c>
      <c r="X193" s="904">
        <v>0.97918133764605109</v>
      </c>
      <c r="Y193" s="906">
        <v>6.0000942769095539E-2</v>
      </c>
      <c r="Z193" s="904">
        <v>0.50729081192761738</v>
      </c>
      <c r="AA193" s="906">
        <v>3.2053429567896405E-2</v>
      </c>
      <c r="AB193" s="904">
        <v>0.50729081192761738</v>
      </c>
      <c r="AC193" s="906">
        <v>3.2053429567896405E-2</v>
      </c>
      <c r="AD193" s="904">
        <v>0.50729081192761738</v>
      </c>
      <c r="AE193" s="906">
        <v>3.2053429567896405E-2</v>
      </c>
      <c r="AF193" s="904">
        <v>0.97918133764605109</v>
      </c>
      <c r="AG193" s="906">
        <v>6.0000942769095539E-2</v>
      </c>
      <c r="AH193" s="904">
        <v>0.97918133764605109</v>
      </c>
      <c r="AI193" s="906">
        <v>6.0000942769095539E-2</v>
      </c>
      <c r="AJ193" s="904">
        <v>0.96747814094207185</v>
      </c>
      <c r="AK193" s="906">
        <v>6.1688296542932321E-2</v>
      </c>
      <c r="AL193" s="904">
        <v>0.96747814094207185</v>
      </c>
      <c r="AM193" s="906">
        <v>6.1688296542932321E-2</v>
      </c>
      <c r="AN193" s="904">
        <v>0.96747814094207185</v>
      </c>
      <c r="AO193" s="906">
        <v>6.1688296542932321E-2</v>
      </c>
      <c r="AP193" s="904">
        <v>0.96747814094207185</v>
      </c>
      <c r="AQ193" s="906">
        <v>6.1688296542932321E-2</v>
      </c>
      <c r="AR193" s="904">
        <v>0.96747814094207185</v>
      </c>
      <c r="AS193" s="906">
        <v>6.1688296542932321E-2</v>
      </c>
      <c r="AT193" s="904">
        <v>0.97918133764605109</v>
      </c>
      <c r="AU193" s="906">
        <v>6.0000942769095539E-2</v>
      </c>
      <c r="AV193" s="904">
        <v>0.97918133764605109</v>
      </c>
      <c r="AW193" s="906">
        <v>6.0000942769095539E-2</v>
      </c>
      <c r="AX193" s="904">
        <v>0.97918133764605109</v>
      </c>
      <c r="AY193" s="906">
        <v>6.0000942769095539E-2</v>
      </c>
      <c r="AZ193" s="904">
        <v>0.97918133764605109</v>
      </c>
      <c r="BA193" s="906">
        <v>6.0000942769095539E-2</v>
      </c>
      <c r="BB193" s="904">
        <v>0.97918133764605109</v>
      </c>
      <c r="BC193" s="906">
        <v>6.0000942769095539E-2</v>
      </c>
      <c r="BD193" s="904">
        <v>0.65844052862405911</v>
      </c>
      <c r="BE193" s="906">
        <v>3.2091505379168467E-2</v>
      </c>
      <c r="BF193" s="904">
        <v>0.58466234642657589</v>
      </c>
      <c r="BG193" s="906">
        <v>2.6506371091389262E-2</v>
      </c>
      <c r="BH193" s="904">
        <v>1.9131655098078355</v>
      </c>
      <c r="BI193" s="906">
        <v>6.3552496966786221E-2</v>
      </c>
      <c r="BJ193" s="904">
        <v>9.2114609829187248</v>
      </c>
      <c r="BK193" s="906">
        <v>0.64857228620340013</v>
      </c>
      <c r="BL193" s="904">
        <v>83.113538284006992</v>
      </c>
      <c r="BM193" s="906">
        <v>8.114130565190866</v>
      </c>
      <c r="BN193" s="904">
        <v>4.2139342159486937</v>
      </c>
      <c r="BO193" s="906">
        <v>0.26096476821766085</v>
      </c>
      <c r="BP193" s="904">
        <v>10.873271462964173</v>
      </c>
      <c r="BQ193" s="906">
        <v>0.85365475130987778</v>
      </c>
      <c r="BR193" s="904">
        <v>18.699920224791768</v>
      </c>
      <c r="BS193" s="906">
        <v>1.1955690796377985</v>
      </c>
    </row>
    <row r="194" spans="1:201" s="905" customFormat="1" x14ac:dyDescent="0.45">
      <c r="A194" s="768" t="s">
        <v>1519</v>
      </c>
      <c r="B194" s="904">
        <v>3.2024783283329402E-3</v>
      </c>
      <c r="C194" s="906">
        <v>2.637715054025566E-4</v>
      </c>
      <c r="D194" s="904">
        <v>3.2024783283329402E-3</v>
      </c>
      <c r="E194" s="906">
        <v>2.637715054025566E-4</v>
      </c>
      <c r="F194" s="904">
        <v>1.0519491580669716E-3</v>
      </c>
      <c r="G194" s="906">
        <v>7.2247876739604935E-5</v>
      </c>
      <c r="H194" s="904">
        <v>6.6447391754619132E-4</v>
      </c>
      <c r="I194" s="906">
        <v>4.6325227780914161E-5</v>
      </c>
      <c r="J194" s="904">
        <v>1.1811075715738983E-3</v>
      </c>
      <c r="K194" s="906">
        <v>8.0888759725835182E-5</v>
      </c>
      <c r="L194" s="904">
        <v>1.195761807939581E-3</v>
      </c>
      <c r="M194" s="906">
        <v>8.2838372733733793E-5</v>
      </c>
      <c r="N194" s="904">
        <v>7.3123900474327756E-4</v>
      </c>
      <c r="O194" s="906">
        <v>4.4521526384945156E-5</v>
      </c>
      <c r="P194" s="904">
        <v>1.50812021432706E-2</v>
      </c>
      <c r="Q194" s="906">
        <v>1.3107111293078635E-3</v>
      </c>
      <c r="R194" s="904">
        <v>1.1811075715738983E-3</v>
      </c>
      <c r="S194" s="906">
        <v>8.0888759725835182E-5</v>
      </c>
      <c r="T194" s="904">
        <v>6.1462330180667559E-4</v>
      </c>
      <c r="U194" s="906">
        <v>4.2990150137105995E-5</v>
      </c>
      <c r="V194" s="904">
        <v>6.1462330180667559E-4</v>
      </c>
      <c r="W194" s="906">
        <v>4.2990150137105995E-5</v>
      </c>
      <c r="X194" s="904">
        <v>1.1811075715738983E-3</v>
      </c>
      <c r="Y194" s="906">
        <v>8.0888759725835182E-5</v>
      </c>
      <c r="Z194" s="904">
        <v>6.1462330180667559E-4</v>
      </c>
      <c r="AA194" s="906">
        <v>4.2990150137105995E-5</v>
      </c>
      <c r="AB194" s="904">
        <v>6.1462330180667559E-4</v>
      </c>
      <c r="AC194" s="906">
        <v>4.2990150137105995E-5</v>
      </c>
      <c r="AD194" s="904">
        <v>6.1462330180667559E-4</v>
      </c>
      <c r="AE194" s="906">
        <v>4.2990150137105995E-5</v>
      </c>
      <c r="AF194" s="904">
        <v>1.1811075715738983E-3</v>
      </c>
      <c r="AG194" s="906">
        <v>8.0888759725835182E-5</v>
      </c>
      <c r="AH194" s="904">
        <v>1.1811075715738983E-3</v>
      </c>
      <c r="AI194" s="906">
        <v>8.0888759725835182E-5</v>
      </c>
      <c r="AJ194" s="904">
        <v>1.1959098305291333E-3</v>
      </c>
      <c r="AK194" s="906">
        <v>8.2858065794419648E-5</v>
      </c>
      <c r="AL194" s="904">
        <v>1.1959098305291333E-3</v>
      </c>
      <c r="AM194" s="906">
        <v>8.2858065794419648E-5</v>
      </c>
      <c r="AN194" s="904">
        <v>1.1959098305291333E-3</v>
      </c>
      <c r="AO194" s="906">
        <v>8.2858065794419648E-5</v>
      </c>
      <c r="AP194" s="904">
        <v>1.1959098305291333E-3</v>
      </c>
      <c r="AQ194" s="906">
        <v>8.2858065794419648E-5</v>
      </c>
      <c r="AR194" s="904">
        <v>1.1959098305291333E-3</v>
      </c>
      <c r="AS194" s="906">
        <v>8.2858065794419648E-5</v>
      </c>
      <c r="AT194" s="904">
        <v>1.1811075715738983E-3</v>
      </c>
      <c r="AU194" s="906">
        <v>8.0888759725835182E-5</v>
      </c>
      <c r="AV194" s="904">
        <v>1.1811075715738983E-3</v>
      </c>
      <c r="AW194" s="906">
        <v>8.0888759725835182E-5</v>
      </c>
      <c r="AX194" s="904">
        <v>1.1811075715738983E-3</v>
      </c>
      <c r="AY194" s="906">
        <v>8.0888759725835182E-5</v>
      </c>
      <c r="AZ194" s="904">
        <v>1.1811075715738983E-3</v>
      </c>
      <c r="BA194" s="906">
        <v>8.0888759725835182E-5</v>
      </c>
      <c r="BB194" s="904">
        <v>1.1811075715738983E-3</v>
      </c>
      <c r="BC194" s="906">
        <v>8.0888759725835182E-5</v>
      </c>
      <c r="BD194" s="904">
        <v>7.3123900474327756E-4</v>
      </c>
      <c r="BE194" s="906">
        <v>4.4521526384945156E-5</v>
      </c>
      <c r="BF194" s="904">
        <v>6.7850981992807465E-4</v>
      </c>
      <c r="BG194" s="906">
        <v>3.8490822693342371E-5</v>
      </c>
      <c r="BH194" s="904">
        <v>4.6270404057205056E-3</v>
      </c>
      <c r="BI194" s="906">
        <v>2.7560285943139948E-4</v>
      </c>
      <c r="BJ194" s="904">
        <v>1.1390260777469378E-2</v>
      </c>
      <c r="BK194" s="906">
        <v>9.072785212159032E-4</v>
      </c>
      <c r="BL194" s="904">
        <v>0.10998794564406975</v>
      </c>
      <c r="BM194" s="906">
        <v>1.0843019538186323E-2</v>
      </c>
      <c r="BN194" s="904">
        <v>7.1734476549925319E-3</v>
      </c>
      <c r="BO194" s="906">
        <v>4.9026973887617324E-4</v>
      </c>
      <c r="BP194" s="904">
        <v>4.3688720611777511E-2</v>
      </c>
      <c r="BQ194" s="906">
        <v>3.1176226302415794E-3</v>
      </c>
      <c r="BR194" s="904">
        <v>3.2189470689534691E-2</v>
      </c>
      <c r="BS194" s="906">
        <v>2.191252164276773E-3</v>
      </c>
    </row>
    <row r="195" spans="1:201" s="905" customFormat="1" x14ac:dyDescent="0.45">
      <c r="A195" s="768" t="s">
        <v>1518</v>
      </c>
      <c r="B195" s="904">
        <v>5.9319611334990802E-3</v>
      </c>
      <c r="C195" s="906">
        <v>6.6730517203194564E-4</v>
      </c>
      <c r="D195" s="904">
        <v>5.9319611334990802E-3</v>
      </c>
      <c r="E195" s="906">
        <v>6.6730517203194564E-4</v>
      </c>
      <c r="F195" s="904">
        <v>2.1287563913552671E-3</v>
      </c>
      <c r="G195" s="906">
        <v>2.0016146336475065E-4</v>
      </c>
      <c r="H195" s="904">
        <v>1.3665770260288081E-3</v>
      </c>
      <c r="I195" s="906">
        <v>1.288668875818893E-4</v>
      </c>
      <c r="J195" s="904">
        <v>2.3828161797974203E-3</v>
      </c>
      <c r="K195" s="906">
        <v>2.2392632195903774E-4</v>
      </c>
      <c r="L195" s="904">
        <v>2.433176795621671E-3</v>
      </c>
      <c r="M195" s="906">
        <v>2.2757821441126783E-4</v>
      </c>
      <c r="N195" s="904">
        <v>1.3397561240443185E-3</v>
      </c>
      <c r="O195" s="906">
        <v>1.2288318307016925E-4</v>
      </c>
      <c r="P195" s="904">
        <v>2.7308198565820781E-2</v>
      </c>
      <c r="Q195" s="906">
        <v>3.2423946148329367E-3</v>
      </c>
      <c r="R195" s="904">
        <v>2.3828161797974203E-3</v>
      </c>
      <c r="S195" s="906">
        <v>2.2392632195903774E-4</v>
      </c>
      <c r="T195" s="904">
        <v>1.2685188620686788E-3</v>
      </c>
      <c r="U195" s="906">
        <v>1.19694486019182E-4</v>
      </c>
      <c r="V195" s="904">
        <v>1.2685188620686788E-3</v>
      </c>
      <c r="W195" s="906">
        <v>1.19694486019182E-4</v>
      </c>
      <c r="X195" s="904">
        <v>2.3828161797974203E-3</v>
      </c>
      <c r="Y195" s="906">
        <v>2.2392632195903774E-4</v>
      </c>
      <c r="Z195" s="904">
        <v>1.2685188620686788E-3</v>
      </c>
      <c r="AA195" s="906">
        <v>1.19694486019182E-4</v>
      </c>
      <c r="AB195" s="904">
        <v>1.2685188620686788E-3</v>
      </c>
      <c r="AC195" s="906">
        <v>1.19694486019182E-4</v>
      </c>
      <c r="AD195" s="904">
        <v>1.2685188620686788E-3</v>
      </c>
      <c r="AE195" s="906">
        <v>1.19694486019182E-4</v>
      </c>
      <c r="AF195" s="904">
        <v>2.3828161797974203E-3</v>
      </c>
      <c r="AG195" s="906">
        <v>2.2392632195903774E-4</v>
      </c>
      <c r="AH195" s="904">
        <v>2.3828161797974203E-3</v>
      </c>
      <c r="AI195" s="906">
        <v>2.2392632195903774E-4</v>
      </c>
      <c r="AJ195" s="904">
        <v>2.4336854887108054E-3</v>
      </c>
      <c r="AK195" s="906">
        <v>2.2761510221381561E-4</v>
      </c>
      <c r="AL195" s="904">
        <v>2.4336854887108054E-3</v>
      </c>
      <c r="AM195" s="906">
        <v>2.2761510221381561E-4</v>
      </c>
      <c r="AN195" s="904">
        <v>2.4336854887108054E-3</v>
      </c>
      <c r="AO195" s="906">
        <v>2.2761510221381561E-4</v>
      </c>
      <c r="AP195" s="904">
        <v>2.4336854887108054E-3</v>
      </c>
      <c r="AQ195" s="906">
        <v>2.2761510221381561E-4</v>
      </c>
      <c r="AR195" s="904">
        <v>2.4336854887108054E-3</v>
      </c>
      <c r="AS195" s="906">
        <v>2.2761510221381561E-4</v>
      </c>
      <c r="AT195" s="904">
        <v>2.3828161797974203E-3</v>
      </c>
      <c r="AU195" s="906">
        <v>2.2392632195903774E-4</v>
      </c>
      <c r="AV195" s="904">
        <v>2.3828161797974203E-3</v>
      </c>
      <c r="AW195" s="906">
        <v>2.2392632195903774E-4</v>
      </c>
      <c r="AX195" s="904">
        <v>2.3828161797974203E-3</v>
      </c>
      <c r="AY195" s="906">
        <v>2.2392632195903774E-4</v>
      </c>
      <c r="AZ195" s="904">
        <v>2.3828161797974203E-3</v>
      </c>
      <c r="BA195" s="906">
        <v>2.2392632195903774E-4</v>
      </c>
      <c r="BB195" s="904">
        <v>2.3828161797974203E-3</v>
      </c>
      <c r="BC195" s="906">
        <v>2.2392632195903774E-4</v>
      </c>
      <c r="BD195" s="904">
        <v>1.3397561240443185E-3</v>
      </c>
      <c r="BE195" s="906">
        <v>1.2288318307016925E-4</v>
      </c>
      <c r="BF195" s="904">
        <v>1.1385247470024297E-3</v>
      </c>
      <c r="BG195" s="906">
        <v>1.0400598821217393E-4</v>
      </c>
      <c r="BH195" s="904">
        <v>7.4919532153538658E-3</v>
      </c>
      <c r="BI195" s="906">
        <v>5.0617128008528887E-4</v>
      </c>
      <c r="BJ195" s="904">
        <v>2.1930545370883816E-2</v>
      </c>
      <c r="BK195" s="906">
        <v>2.3391633334610665E-3</v>
      </c>
      <c r="BL195" s="904">
        <v>0.19727804688316586</v>
      </c>
      <c r="BM195" s="906">
        <v>2.7460084375333985E-2</v>
      </c>
      <c r="BN195" s="904">
        <v>1.4792480716251449E-2</v>
      </c>
      <c r="BO195" s="906">
        <v>1.1564506303350136E-3</v>
      </c>
      <c r="BP195" s="904">
        <v>9.6175501008706782E-2</v>
      </c>
      <c r="BQ195" s="906">
        <v>5.5668462338093784E-3</v>
      </c>
      <c r="BR195" s="904">
        <v>6.5160301073498544E-2</v>
      </c>
      <c r="BS195" s="906">
        <v>5.0914690056460751E-3</v>
      </c>
    </row>
    <row r="196" spans="1:201" s="905" customFormat="1" x14ac:dyDescent="0.45">
      <c r="A196" s="768" t="s">
        <v>1531</v>
      </c>
      <c r="B196" s="904">
        <v>1.1015517326689148</v>
      </c>
      <c r="C196" s="906"/>
      <c r="D196" s="904">
        <v>1.1015517326689148</v>
      </c>
      <c r="E196" s="906"/>
      <c r="F196" s="904">
        <v>0.37805674520304</v>
      </c>
      <c r="G196" s="906"/>
      <c r="H196" s="904">
        <v>0.24301481546746581</v>
      </c>
      <c r="I196" s="906"/>
      <c r="J196" s="904">
        <v>0.42307072178156468</v>
      </c>
      <c r="K196" s="906"/>
      <c r="L196" s="904">
        <v>0.43159551704328336</v>
      </c>
      <c r="M196" s="906"/>
      <c r="N196" s="904">
        <v>0.24135648954975714</v>
      </c>
      <c r="O196" s="906"/>
      <c r="P196" s="904">
        <v>5.1396291483222738</v>
      </c>
      <c r="Q196" s="906"/>
      <c r="R196" s="904">
        <v>0.42307072178156468</v>
      </c>
      <c r="S196" s="906"/>
      <c r="T196" s="904">
        <v>0.22564099994592995</v>
      </c>
      <c r="U196" s="906"/>
      <c r="V196" s="904">
        <v>0.22564099994592995</v>
      </c>
      <c r="W196" s="906"/>
      <c r="X196" s="904">
        <v>0.42307072178156468</v>
      </c>
      <c r="Y196" s="906"/>
      <c r="Z196" s="904">
        <v>0.22564099994592995</v>
      </c>
      <c r="AA196" s="906"/>
      <c r="AB196" s="904">
        <v>0.22564099994592995</v>
      </c>
      <c r="AC196" s="906"/>
      <c r="AD196" s="904">
        <v>0.22564099994592995</v>
      </c>
      <c r="AE196" s="906"/>
      <c r="AF196" s="904">
        <v>0.42307072178156468</v>
      </c>
      <c r="AG196" s="906"/>
      <c r="AH196" s="904">
        <v>0.42307072178156468</v>
      </c>
      <c r="AI196" s="906"/>
      <c r="AJ196" s="904">
        <v>0.43168162608633104</v>
      </c>
      <c r="AK196" s="906"/>
      <c r="AL196" s="904">
        <v>0.43168162608633104</v>
      </c>
      <c r="AM196" s="906"/>
      <c r="AN196" s="904">
        <v>0.43168162608633104</v>
      </c>
      <c r="AO196" s="906"/>
      <c r="AP196" s="904">
        <v>0.43168162608633104</v>
      </c>
      <c r="AQ196" s="906"/>
      <c r="AR196" s="904">
        <v>0.43168162608633104</v>
      </c>
      <c r="AS196" s="906"/>
      <c r="AT196" s="904">
        <v>0.42307072178156468</v>
      </c>
      <c r="AU196" s="906"/>
      <c r="AV196" s="904">
        <v>0.42307072178156468</v>
      </c>
      <c r="AW196" s="906"/>
      <c r="AX196" s="904">
        <v>0.42307072178156468</v>
      </c>
      <c r="AY196" s="906"/>
      <c r="AZ196" s="904">
        <v>0.42307072178156468</v>
      </c>
      <c r="BA196" s="906"/>
      <c r="BB196" s="904">
        <v>0.42307072178156468</v>
      </c>
      <c r="BC196" s="906"/>
      <c r="BD196" s="904">
        <v>0.24135648954975714</v>
      </c>
      <c r="BE196" s="906"/>
      <c r="BF196" s="904">
        <v>0.20600150785840934</v>
      </c>
      <c r="BG196" s="906"/>
      <c r="BH196" s="904">
        <v>0.93160516752867939</v>
      </c>
      <c r="BI196" s="906"/>
      <c r="BJ196" s="904">
        <v>5.0210753840335567</v>
      </c>
      <c r="BK196" s="906"/>
      <c r="BL196" s="904">
        <v>35.72629649582742</v>
      </c>
      <c r="BM196" s="906"/>
      <c r="BN196" s="904">
        <v>2.1025451639872212</v>
      </c>
      <c r="BO196" s="906"/>
      <c r="BP196" s="904">
        <v>8.8535230758808243</v>
      </c>
      <c r="BQ196" s="906"/>
      <c r="BR196" s="904">
        <v>9.2555337369796824</v>
      </c>
      <c r="BS196" s="906"/>
    </row>
    <row r="197" spans="1:201" s="905" customFormat="1" x14ac:dyDescent="0.45">
      <c r="A197" s="768" t="s">
        <v>1530</v>
      </c>
      <c r="B197" s="904">
        <v>7.326837244929274E-3</v>
      </c>
      <c r="C197" s="906"/>
      <c r="D197" s="904">
        <v>7.326837244929274E-3</v>
      </c>
      <c r="E197" s="906"/>
      <c r="F197" s="904">
        <v>2.2578289153007657E-3</v>
      </c>
      <c r="G197" s="906"/>
      <c r="H197" s="904">
        <v>1.4416662698280799E-3</v>
      </c>
      <c r="I197" s="906"/>
      <c r="J197" s="904">
        <v>2.5298831304583279E-3</v>
      </c>
      <c r="K197" s="906"/>
      <c r="L197" s="904">
        <v>2.6054281668423883E-3</v>
      </c>
      <c r="M197" s="906"/>
      <c r="N197" s="904">
        <v>1.4169334607515723E-3</v>
      </c>
      <c r="O197" s="906"/>
      <c r="P197" s="904">
        <v>3.5321022991302568E-2</v>
      </c>
      <c r="Q197" s="906"/>
      <c r="R197" s="904">
        <v>2.5298831304583279E-3</v>
      </c>
      <c r="S197" s="906"/>
      <c r="T197" s="904">
        <v>1.3366628885391962E-3</v>
      </c>
      <c r="U197" s="906"/>
      <c r="V197" s="904">
        <v>1.3366628885391962E-3</v>
      </c>
      <c r="W197" s="906"/>
      <c r="X197" s="904">
        <v>2.5298831304583279E-3</v>
      </c>
      <c r="Y197" s="906"/>
      <c r="Z197" s="904">
        <v>1.3366628885391962E-3</v>
      </c>
      <c r="AA197" s="906"/>
      <c r="AB197" s="904">
        <v>1.3366628885391962E-3</v>
      </c>
      <c r="AC197" s="906"/>
      <c r="AD197" s="904">
        <v>1.3366628885391962E-3</v>
      </c>
      <c r="AE197" s="906"/>
      <c r="AF197" s="904">
        <v>2.5298831304583279E-3</v>
      </c>
      <c r="AG197" s="906"/>
      <c r="AH197" s="904">
        <v>2.5298831304583279E-3</v>
      </c>
      <c r="AI197" s="906"/>
      <c r="AJ197" s="904">
        <v>2.6061912480179849E-3</v>
      </c>
      <c r="AK197" s="906"/>
      <c r="AL197" s="904">
        <v>2.6061912480179849E-3</v>
      </c>
      <c r="AM197" s="906"/>
      <c r="AN197" s="904">
        <v>2.6061912480179849E-3</v>
      </c>
      <c r="AO197" s="906"/>
      <c r="AP197" s="904">
        <v>2.6061912480179849E-3</v>
      </c>
      <c r="AQ197" s="906"/>
      <c r="AR197" s="904">
        <v>2.6061912480179849E-3</v>
      </c>
      <c r="AS197" s="906"/>
      <c r="AT197" s="904">
        <v>2.5298831304583279E-3</v>
      </c>
      <c r="AU197" s="906"/>
      <c r="AV197" s="904">
        <v>2.5298831304583279E-3</v>
      </c>
      <c r="AW197" s="906"/>
      <c r="AX197" s="904">
        <v>2.5298831304583279E-3</v>
      </c>
      <c r="AY197" s="906"/>
      <c r="AZ197" s="904">
        <v>2.5298831304583279E-3</v>
      </c>
      <c r="BA197" s="906"/>
      <c r="BB197" s="904">
        <v>2.5298831304583279E-3</v>
      </c>
      <c r="BC197" s="906"/>
      <c r="BD197" s="904">
        <v>1.4169334607515723E-3</v>
      </c>
      <c r="BE197" s="906"/>
      <c r="BF197" s="904">
        <v>1.2668245335737893E-3</v>
      </c>
      <c r="BG197" s="906"/>
      <c r="BH197" s="904">
        <v>7.0219951041838747E-3</v>
      </c>
      <c r="BI197" s="906"/>
      <c r="BJ197" s="904">
        <v>2.8029658945263387E-2</v>
      </c>
      <c r="BK197" s="906"/>
      <c r="BL197" s="904">
        <v>0.27581716130228917</v>
      </c>
      <c r="BM197" s="906"/>
      <c r="BN197" s="904">
        <v>1.3701762631855189E-2</v>
      </c>
      <c r="BO197" s="906"/>
      <c r="BP197" s="904">
        <v>7.1831554750978521E-2</v>
      </c>
      <c r="BQ197" s="906"/>
      <c r="BR197" s="904">
        <v>6.2485839584379858E-2</v>
      </c>
      <c r="BS197" s="906"/>
    </row>
    <row r="198" spans="1:201" s="905" customFormat="1" x14ac:dyDescent="0.45">
      <c r="A198" s="755" t="s">
        <v>2808</v>
      </c>
      <c r="B198" s="983">
        <v>773.46198001816413</v>
      </c>
      <c r="C198" s="739"/>
      <c r="D198" s="983">
        <v>773.46198001816413</v>
      </c>
      <c r="E198" s="739"/>
      <c r="F198" s="983">
        <v>286.37089767572149</v>
      </c>
      <c r="G198" s="739"/>
      <c r="H198" s="983">
        <v>179.4463445414832</v>
      </c>
      <c r="I198" s="739"/>
      <c r="J198" s="983">
        <v>322.01241538713424</v>
      </c>
      <c r="K198" s="739"/>
      <c r="L198" s="983">
        <v>316.88179374451596</v>
      </c>
      <c r="M198" s="739"/>
      <c r="N198" s="983">
        <v>201.43734266136815</v>
      </c>
      <c r="O198" s="739"/>
      <c r="P198" s="983">
        <v>3501.6825327791621</v>
      </c>
      <c r="Q198" s="739"/>
      <c r="R198" s="983">
        <v>322.01241538713424</v>
      </c>
      <c r="S198" s="739"/>
      <c r="T198" s="983">
        <v>165.6899692844467</v>
      </c>
      <c r="U198" s="739"/>
      <c r="V198" s="983">
        <v>165.6899692844467</v>
      </c>
      <c r="W198" s="739"/>
      <c r="X198" s="983">
        <v>322.01241538713424</v>
      </c>
      <c r="Y198" s="739"/>
      <c r="Z198" s="983">
        <v>165.6899692844467</v>
      </c>
      <c r="AA198" s="739"/>
      <c r="AB198" s="983">
        <v>165.6899692844467</v>
      </c>
      <c r="AC198" s="739"/>
      <c r="AD198" s="983">
        <v>165.6899692844467</v>
      </c>
      <c r="AE198" s="739"/>
      <c r="AF198" s="983">
        <v>322.01241538713424</v>
      </c>
      <c r="AG198" s="739"/>
      <c r="AH198" s="983">
        <v>322.01241538713424</v>
      </c>
      <c r="AI198" s="739"/>
      <c r="AJ198" s="983">
        <v>316.82996928347939</v>
      </c>
      <c r="AK198" s="739"/>
      <c r="AL198" s="983">
        <v>316.82996928347939</v>
      </c>
      <c r="AM198" s="739"/>
      <c r="AN198" s="983">
        <v>316.82996928347939</v>
      </c>
      <c r="AO198" s="739"/>
      <c r="AP198" s="983">
        <v>316.82996928347939</v>
      </c>
      <c r="AQ198" s="739"/>
      <c r="AR198" s="983">
        <v>316.82996928347939</v>
      </c>
      <c r="AS198" s="739"/>
      <c r="AT198" s="983">
        <v>322.01241538713424</v>
      </c>
      <c r="AU198" s="739"/>
      <c r="AV198" s="983">
        <v>322.01241538713424</v>
      </c>
      <c r="AW198" s="739"/>
      <c r="AX198" s="983">
        <v>322.01241538713424</v>
      </c>
      <c r="AY198" s="739"/>
      <c r="AZ198" s="983">
        <v>322.01241538713424</v>
      </c>
      <c r="BA198" s="739"/>
      <c r="BB198" s="983">
        <v>322.01241538713424</v>
      </c>
      <c r="BC198" s="739"/>
      <c r="BD198" s="983">
        <v>201.43734266136815</v>
      </c>
      <c r="BE198" s="739"/>
      <c r="BF198" s="983">
        <v>231.93151305601839</v>
      </c>
      <c r="BG198" s="739"/>
      <c r="BH198" s="983">
        <v>1809.5447663700966</v>
      </c>
      <c r="BI198" s="739"/>
      <c r="BJ198" s="983">
        <v>2804.7089197877717</v>
      </c>
      <c r="BK198" s="739"/>
      <c r="BL198" s="983">
        <v>19998.189609676538</v>
      </c>
      <c r="BM198" s="739"/>
      <c r="BN198" s="983">
        <v>1775.7894953018547</v>
      </c>
      <c r="BO198" s="739"/>
      <c r="BP198" s="983">
        <v>6559.0027636493151</v>
      </c>
      <c r="BQ198" s="739"/>
      <c r="BR198" s="983">
        <v>7680.769469654655</v>
      </c>
      <c r="BS198" s="739"/>
    </row>
    <row r="199" spans="1:201" s="905" customFormat="1" x14ac:dyDescent="0.45"/>
    <row r="200" spans="1:201" x14ac:dyDescent="0.45">
      <c r="A200" s="726" t="s">
        <v>2821</v>
      </c>
      <c r="AH200" s="905"/>
    </row>
    <row r="201" spans="1:201" ht="25.5" customHeight="1" x14ac:dyDescent="0.45">
      <c r="A201" s="779"/>
      <c r="B201" s="2261" t="s">
        <v>2757</v>
      </c>
      <c r="C201" s="2262"/>
      <c r="D201" s="2262"/>
      <c r="E201" s="2263"/>
      <c r="F201" s="2261" t="s">
        <v>2758</v>
      </c>
      <c r="G201" s="2262"/>
      <c r="H201" s="2262"/>
      <c r="I201" s="2263"/>
      <c r="J201" s="2261" t="s">
        <v>2786</v>
      </c>
      <c r="K201" s="2262"/>
      <c r="L201" s="2262"/>
      <c r="M201" s="2263"/>
      <c r="N201" s="2261" t="s">
        <v>2760</v>
      </c>
      <c r="O201" s="2262"/>
      <c r="P201" s="2262"/>
      <c r="Q201" s="2263"/>
      <c r="R201" s="2261" t="s">
        <v>2761</v>
      </c>
      <c r="S201" s="2262"/>
      <c r="T201" s="2262"/>
      <c r="U201" s="2263"/>
      <c r="V201" s="2261" t="s">
        <v>2762</v>
      </c>
      <c r="W201" s="2262"/>
      <c r="X201" s="2262"/>
      <c r="Y201" s="2263"/>
      <c r="Z201" s="2261" t="s">
        <v>2822</v>
      </c>
      <c r="AA201" s="2262"/>
      <c r="AB201" s="2262"/>
      <c r="AC201" s="2263"/>
      <c r="AD201" s="2261" t="s">
        <v>2823</v>
      </c>
      <c r="AE201" s="2262"/>
      <c r="AF201" s="2262"/>
      <c r="AG201" s="2263"/>
      <c r="AH201" s="2261" t="s">
        <v>2824</v>
      </c>
      <c r="AI201" s="2262"/>
      <c r="AJ201" s="2262"/>
      <c r="AK201" s="2263"/>
      <c r="AL201" s="2261" t="s">
        <v>2764</v>
      </c>
      <c r="AM201" s="2262"/>
      <c r="AN201" s="2262"/>
      <c r="AO201" s="2263"/>
      <c r="AP201" s="2261" t="s">
        <v>2810</v>
      </c>
      <c r="AQ201" s="2262"/>
      <c r="AR201" s="2262"/>
      <c r="AS201" s="2263"/>
      <c r="AT201" s="2261" t="s">
        <v>2811</v>
      </c>
      <c r="AU201" s="2262"/>
      <c r="AV201" s="2262"/>
      <c r="AW201" s="2263"/>
      <c r="AX201" s="2261" t="s">
        <v>2812</v>
      </c>
      <c r="AY201" s="2262"/>
      <c r="AZ201" s="2262"/>
      <c r="BA201" s="2263"/>
      <c r="BB201" s="2261" t="s">
        <v>2768</v>
      </c>
      <c r="BC201" s="2262"/>
      <c r="BD201" s="2262"/>
      <c r="BE201" s="2263"/>
      <c r="BF201" s="2261" t="s">
        <v>2769</v>
      </c>
      <c r="BG201" s="2262"/>
      <c r="BH201" s="2262"/>
      <c r="BI201" s="2263"/>
      <c r="BJ201" s="2261" t="s">
        <v>2770</v>
      </c>
      <c r="BK201" s="2262"/>
      <c r="BL201" s="2262"/>
      <c r="BM201" s="2263"/>
      <c r="BN201" s="2261" t="s">
        <v>2771</v>
      </c>
      <c r="BO201" s="2262"/>
      <c r="BP201" s="2262"/>
      <c r="BQ201" s="2263"/>
      <c r="BR201" s="2261" t="s">
        <v>2772</v>
      </c>
      <c r="BS201" s="2262"/>
      <c r="BT201" s="2262"/>
      <c r="BU201" s="2263"/>
      <c r="BV201" s="2261" t="s">
        <v>2773</v>
      </c>
      <c r="BW201" s="2262"/>
      <c r="BX201" s="2262"/>
      <c r="BY201" s="2263"/>
      <c r="BZ201" s="2261" t="s">
        <v>2774</v>
      </c>
      <c r="CA201" s="2262"/>
      <c r="CB201" s="2262"/>
      <c r="CC201" s="2263"/>
      <c r="CD201" s="2261" t="s">
        <v>2775</v>
      </c>
      <c r="CE201" s="2262"/>
      <c r="CF201" s="2262"/>
      <c r="CG201" s="2263"/>
      <c r="CH201" s="2261" t="s">
        <v>2776</v>
      </c>
      <c r="CI201" s="2262"/>
      <c r="CJ201" s="2262"/>
      <c r="CK201" s="2263"/>
      <c r="CL201" s="2261" t="s">
        <v>2777</v>
      </c>
      <c r="CM201" s="2262"/>
      <c r="CN201" s="2262"/>
      <c r="CO201" s="2263"/>
      <c r="CP201" s="2261" t="s">
        <v>2778</v>
      </c>
      <c r="CQ201" s="2262"/>
      <c r="CR201" s="2262"/>
      <c r="CS201" s="2263"/>
      <c r="CT201" s="2261" t="s">
        <v>2779</v>
      </c>
      <c r="CU201" s="2262"/>
      <c r="CV201" s="2262"/>
      <c r="CW201" s="2263"/>
      <c r="CX201" s="2261" t="s">
        <v>2780</v>
      </c>
      <c r="CY201" s="2262"/>
      <c r="CZ201" s="2262"/>
      <c r="DA201" s="2263"/>
      <c r="DB201" s="2261" t="s">
        <v>2781</v>
      </c>
      <c r="DC201" s="2262"/>
      <c r="DD201" s="2262"/>
      <c r="DE201" s="2263"/>
      <c r="DF201" s="2261" t="s">
        <v>2782</v>
      </c>
      <c r="DG201" s="2262"/>
      <c r="DH201" s="2262"/>
      <c r="DI201" s="2263"/>
      <c r="DJ201" s="2261" t="s">
        <v>2783</v>
      </c>
      <c r="DK201" s="2262"/>
      <c r="DL201" s="2262"/>
      <c r="DM201" s="2263"/>
      <c r="DN201" s="2261" t="s">
        <v>2787</v>
      </c>
      <c r="DO201" s="2262"/>
      <c r="DP201" s="2262"/>
      <c r="DQ201" s="2263"/>
      <c r="DR201" s="2261" t="s">
        <v>2788</v>
      </c>
      <c r="DS201" s="2262"/>
      <c r="DT201" s="2262"/>
      <c r="DU201" s="2263"/>
      <c r="DV201" s="2261" t="s">
        <v>2789</v>
      </c>
      <c r="DW201" s="2262"/>
      <c r="DX201" s="2262"/>
      <c r="DY201" s="2263"/>
      <c r="DZ201" s="2261" t="s">
        <v>2790</v>
      </c>
      <c r="EA201" s="2262"/>
      <c r="EB201" s="2262"/>
      <c r="EC201" s="2263"/>
      <c r="ED201" s="2261" t="s">
        <v>2791</v>
      </c>
      <c r="EE201" s="2262"/>
      <c r="EF201" s="2262"/>
      <c r="EG201" s="2263"/>
      <c r="EH201" s="2261" t="s">
        <v>2784</v>
      </c>
      <c r="EI201" s="2262"/>
      <c r="EJ201" s="2262"/>
      <c r="EK201" s="2263"/>
      <c r="EL201" s="2261" t="s">
        <v>2792</v>
      </c>
      <c r="EM201" s="2262"/>
      <c r="EN201" s="2262"/>
      <c r="EO201" s="2263"/>
      <c r="EP201" s="2261" t="s">
        <v>2793</v>
      </c>
      <c r="EQ201" s="2262"/>
      <c r="ER201" s="2262"/>
      <c r="ES201" s="2263"/>
      <c r="ET201" s="2261" t="s">
        <v>2794</v>
      </c>
      <c r="EU201" s="2262"/>
      <c r="EV201" s="2262"/>
      <c r="EW201" s="2263"/>
      <c r="EX201" s="2261" t="s">
        <v>2795</v>
      </c>
      <c r="EY201" s="2262"/>
      <c r="EZ201" s="2262"/>
      <c r="FA201" s="2263"/>
      <c r="FB201" s="2261" t="s">
        <v>2796</v>
      </c>
      <c r="FC201" s="2262"/>
      <c r="FD201" s="2262"/>
      <c r="FE201" s="2263"/>
      <c r="FF201" s="2261" t="s">
        <v>2797</v>
      </c>
      <c r="FG201" s="2262"/>
      <c r="FH201" s="2262"/>
      <c r="FI201" s="2263"/>
      <c r="FJ201" s="2261" t="s">
        <v>2798</v>
      </c>
      <c r="FK201" s="2262"/>
      <c r="FL201" s="2262"/>
      <c r="FM201" s="2263"/>
      <c r="FN201" s="2261" t="s">
        <v>2799</v>
      </c>
      <c r="FO201" s="2262"/>
      <c r="FP201" s="2262"/>
      <c r="FQ201" s="2263"/>
      <c r="FR201" s="2261" t="s">
        <v>2825</v>
      </c>
      <c r="FS201" s="2262"/>
      <c r="FT201" s="2262"/>
      <c r="FU201" s="2263"/>
      <c r="FV201" s="2261" t="s">
        <v>2801</v>
      </c>
      <c r="FW201" s="2262"/>
      <c r="FX201" s="2262"/>
      <c r="FY201" s="2263"/>
      <c r="FZ201" s="2261" t="s">
        <v>2650</v>
      </c>
      <c r="GA201" s="2263"/>
      <c r="GB201" s="2261" t="s">
        <v>2651</v>
      </c>
      <c r="GC201" s="2263"/>
      <c r="GD201" s="2261" t="s">
        <v>2652</v>
      </c>
      <c r="GE201" s="2263"/>
      <c r="GF201" s="2261" t="s">
        <v>2653</v>
      </c>
      <c r="GG201" s="2263"/>
      <c r="GH201" s="2261" t="s">
        <v>2654</v>
      </c>
      <c r="GI201" s="2263"/>
      <c r="GJ201" s="2261" t="s">
        <v>2655</v>
      </c>
      <c r="GK201" s="2263"/>
      <c r="GL201" s="2261" t="s">
        <v>2656</v>
      </c>
      <c r="GM201" s="2263"/>
      <c r="GN201" s="2261" t="s">
        <v>2657</v>
      </c>
      <c r="GO201" s="2263"/>
      <c r="GP201" s="2261" t="s">
        <v>2658</v>
      </c>
      <c r="GQ201" s="2263"/>
      <c r="GR201" s="2261" t="s">
        <v>2659</v>
      </c>
      <c r="GS201" s="2263"/>
    </row>
    <row r="202" spans="1:201" ht="12.75" customHeight="1" x14ac:dyDescent="0.45">
      <c r="A202" s="768"/>
      <c r="B202" s="2261" t="s">
        <v>127</v>
      </c>
      <c r="C202" s="2263"/>
      <c r="D202" s="2261" t="s">
        <v>668</v>
      </c>
      <c r="E202" s="2263"/>
      <c r="F202" s="2261" t="s">
        <v>127</v>
      </c>
      <c r="G202" s="2263"/>
      <c r="H202" s="2261" t="s">
        <v>668</v>
      </c>
      <c r="I202" s="2263"/>
      <c r="J202" s="2261" t="s">
        <v>127</v>
      </c>
      <c r="K202" s="2263"/>
      <c r="L202" s="2261" t="s">
        <v>668</v>
      </c>
      <c r="M202" s="2263"/>
      <c r="N202" s="2261" t="s">
        <v>127</v>
      </c>
      <c r="O202" s="2263"/>
      <c r="P202" s="2261" t="s">
        <v>668</v>
      </c>
      <c r="Q202" s="2263"/>
      <c r="R202" s="2261" t="s">
        <v>127</v>
      </c>
      <c r="S202" s="2263"/>
      <c r="T202" s="2261" t="s">
        <v>668</v>
      </c>
      <c r="U202" s="2263"/>
      <c r="V202" s="2261" t="s">
        <v>127</v>
      </c>
      <c r="W202" s="2263"/>
      <c r="X202" s="2261" t="s">
        <v>668</v>
      </c>
      <c r="Y202" s="2263"/>
      <c r="Z202" s="2261" t="s">
        <v>127</v>
      </c>
      <c r="AA202" s="2263"/>
      <c r="AB202" s="2261" t="s">
        <v>668</v>
      </c>
      <c r="AC202" s="2263"/>
      <c r="AD202" s="2261" t="s">
        <v>127</v>
      </c>
      <c r="AE202" s="2263"/>
      <c r="AF202" s="2261" t="s">
        <v>668</v>
      </c>
      <c r="AG202" s="2263"/>
      <c r="AH202" s="2261" t="s">
        <v>127</v>
      </c>
      <c r="AI202" s="2263"/>
      <c r="AJ202" s="2261" t="s">
        <v>668</v>
      </c>
      <c r="AK202" s="2263"/>
      <c r="AL202" s="2261" t="s">
        <v>127</v>
      </c>
      <c r="AM202" s="2263"/>
      <c r="AN202" s="2261" t="s">
        <v>668</v>
      </c>
      <c r="AO202" s="2263"/>
      <c r="AP202" s="2261" t="s">
        <v>127</v>
      </c>
      <c r="AQ202" s="2263"/>
      <c r="AR202" s="2261" t="s">
        <v>668</v>
      </c>
      <c r="AS202" s="2263"/>
      <c r="AT202" s="2261" t="s">
        <v>127</v>
      </c>
      <c r="AU202" s="2263"/>
      <c r="AV202" s="2261" t="s">
        <v>668</v>
      </c>
      <c r="AW202" s="2263"/>
      <c r="AX202" s="2261" t="s">
        <v>127</v>
      </c>
      <c r="AY202" s="2263"/>
      <c r="AZ202" s="2261" t="s">
        <v>668</v>
      </c>
      <c r="BA202" s="2263"/>
      <c r="BB202" s="2261" t="s">
        <v>127</v>
      </c>
      <c r="BC202" s="2263"/>
      <c r="BD202" s="2261" t="s">
        <v>668</v>
      </c>
      <c r="BE202" s="2263"/>
      <c r="BF202" s="2261" t="s">
        <v>127</v>
      </c>
      <c r="BG202" s="2263"/>
      <c r="BH202" s="2261" t="s">
        <v>668</v>
      </c>
      <c r="BI202" s="2263"/>
      <c r="BJ202" s="2261" t="s">
        <v>127</v>
      </c>
      <c r="BK202" s="2263"/>
      <c r="BL202" s="2261" t="s">
        <v>668</v>
      </c>
      <c r="BM202" s="2263"/>
      <c r="BN202" s="2261" t="s">
        <v>127</v>
      </c>
      <c r="BO202" s="2263"/>
      <c r="BP202" s="2261" t="s">
        <v>668</v>
      </c>
      <c r="BQ202" s="2263"/>
      <c r="BR202" s="2261" t="s">
        <v>127</v>
      </c>
      <c r="BS202" s="2263"/>
      <c r="BT202" s="2261" t="s">
        <v>668</v>
      </c>
      <c r="BU202" s="2263"/>
      <c r="BV202" s="2261" t="s">
        <v>127</v>
      </c>
      <c r="BW202" s="2263"/>
      <c r="BX202" s="2261" t="s">
        <v>668</v>
      </c>
      <c r="BY202" s="2263"/>
      <c r="BZ202" s="2261" t="s">
        <v>127</v>
      </c>
      <c r="CA202" s="2263"/>
      <c r="CB202" s="2261" t="s">
        <v>668</v>
      </c>
      <c r="CC202" s="2263"/>
      <c r="CD202" s="2261" t="s">
        <v>127</v>
      </c>
      <c r="CE202" s="2263"/>
      <c r="CF202" s="2261" t="s">
        <v>668</v>
      </c>
      <c r="CG202" s="2263"/>
      <c r="CH202" s="2261" t="s">
        <v>127</v>
      </c>
      <c r="CI202" s="2263"/>
      <c r="CJ202" s="2261" t="s">
        <v>668</v>
      </c>
      <c r="CK202" s="2263"/>
      <c r="CL202" s="2261" t="s">
        <v>127</v>
      </c>
      <c r="CM202" s="2263"/>
      <c r="CN202" s="2261" t="s">
        <v>668</v>
      </c>
      <c r="CO202" s="2263"/>
      <c r="CP202" s="2261" t="s">
        <v>127</v>
      </c>
      <c r="CQ202" s="2263"/>
      <c r="CR202" s="2261" t="s">
        <v>668</v>
      </c>
      <c r="CS202" s="2263"/>
      <c r="CT202" s="2261" t="s">
        <v>127</v>
      </c>
      <c r="CU202" s="2263"/>
      <c r="CV202" s="2261" t="s">
        <v>668</v>
      </c>
      <c r="CW202" s="2263"/>
      <c r="CX202" s="2261" t="s">
        <v>127</v>
      </c>
      <c r="CY202" s="2263"/>
      <c r="CZ202" s="2261" t="s">
        <v>668</v>
      </c>
      <c r="DA202" s="2263"/>
      <c r="DB202" s="2261" t="s">
        <v>127</v>
      </c>
      <c r="DC202" s="2263"/>
      <c r="DD202" s="2261" t="s">
        <v>668</v>
      </c>
      <c r="DE202" s="2263"/>
      <c r="DF202" s="2261" t="s">
        <v>127</v>
      </c>
      <c r="DG202" s="2263"/>
      <c r="DH202" s="2261" t="s">
        <v>668</v>
      </c>
      <c r="DI202" s="2263"/>
      <c r="DJ202" s="2261" t="s">
        <v>127</v>
      </c>
      <c r="DK202" s="2263"/>
      <c r="DL202" s="2261" t="s">
        <v>668</v>
      </c>
      <c r="DM202" s="2263"/>
      <c r="DN202" s="2261" t="s">
        <v>127</v>
      </c>
      <c r="DO202" s="2263"/>
      <c r="DP202" s="2261" t="s">
        <v>668</v>
      </c>
      <c r="DQ202" s="2263"/>
      <c r="DR202" s="2261" t="s">
        <v>127</v>
      </c>
      <c r="DS202" s="2263"/>
      <c r="DT202" s="2261" t="s">
        <v>668</v>
      </c>
      <c r="DU202" s="2263"/>
      <c r="DV202" s="2261" t="s">
        <v>127</v>
      </c>
      <c r="DW202" s="2263"/>
      <c r="DX202" s="2261" t="s">
        <v>668</v>
      </c>
      <c r="DY202" s="2263"/>
      <c r="DZ202" s="2261" t="s">
        <v>127</v>
      </c>
      <c r="EA202" s="2263"/>
      <c r="EB202" s="2261" t="s">
        <v>668</v>
      </c>
      <c r="EC202" s="2263"/>
      <c r="ED202" s="2261" t="s">
        <v>127</v>
      </c>
      <c r="EE202" s="2263"/>
      <c r="EF202" s="2261" t="s">
        <v>668</v>
      </c>
      <c r="EG202" s="2263"/>
      <c r="EH202" s="2261" t="s">
        <v>127</v>
      </c>
      <c r="EI202" s="2263"/>
      <c r="EJ202" s="2261" t="s">
        <v>668</v>
      </c>
      <c r="EK202" s="2263"/>
      <c r="EL202" s="2261" t="s">
        <v>127</v>
      </c>
      <c r="EM202" s="2263"/>
      <c r="EN202" s="2261" t="s">
        <v>668</v>
      </c>
      <c r="EO202" s="2263"/>
      <c r="EP202" s="2261" t="s">
        <v>127</v>
      </c>
      <c r="EQ202" s="2262"/>
      <c r="ER202" s="2261" t="s">
        <v>668</v>
      </c>
      <c r="ES202" s="2263"/>
      <c r="ET202" s="2261" t="s">
        <v>127</v>
      </c>
      <c r="EU202" s="2263"/>
      <c r="EV202" s="2261" t="s">
        <v>668</v>
      </c>
      <c r="EW202" s="2263"/>
      <c r="EX202" s="2261" t="s">
        <v>127</v>
      </c>
      <c r="EY202" s="2263"/>
      <c r="EZ202" s="2261" t="s">
        <v>668</v>
      </c>
      <c r="FA202" s="2263"/>
      <c r="FB202" s="2261" t="s">
        <v>127</v>
      </c>
      <c r="FC202" s="2263"/>
      <c r="FD202" s="2261" t="s">
        <v>668</v>
      </c>
      <c r="FE202" s="2263"/>
      <c r="FF202" s="2261" t="s">
        <v>127</v>
      </c>
      <c r="FG202" s="2263"/>
      <c r="FH202" s="2261" t="s">
        <v>668</v>
      </c>
      <c r="FI202" s="2263"/>
      <c r="FJ202" s="2261" t="s">
        <v>127</v>
      </c>
      <c r="FK202" s="2263"/>
      <c r="FL202" s="2261" t="s">
        <v>668</v>
      </c>
      <c r="FM202" s="2263"/>
      <c r="FN202" s="2261" t="s">
        <v>127</v>
      </c>
      <c r="FO202" s="2263"/>
      <c r="FP202" s="2261" t="s">
        <v>668</v>
      </c>
      <c r="FQ202" s="2263"/>
      <c r="FR202" s="2261" t="s">
        <v>127</v>
      </c>
      <c r="FS202" s="2263"/>
      <c r="FT202" s="2261" t="s">
        <v>668</v>
      </c>
      <c r="FU202" s="2263"/>
      <c r="FV202" s="2261" t="s">
        <v>127</v>
      </c>
      <c r="FW202" s="2263"/>
      <c r="FX202" s="2261" t="s">
        <v>668</v>
      </c>
      <c r="FY202" s="2263"/>
      <c r="FZ202" s="2251" t="s">
        <v>2826</v>
      </c>
      <c r="GA202" s="2252"/>
      <c r="GB202" s="2252"/>
      <c r="GC202" s="2252"/>
      <c r="GD202" s="2252"/>
      <c r="GE202" s="2252"/>
      <c r="GF202" s="2252"/>
      <c r="GG202" s="2252"/>
      <c r="GH202" s="2252"/>
      <c r="GI202" s="2252"/>
      <c r="GJ202" s="2252"/>
      <c r="GK202" s="2252"/>
      <c r="GL202" s="2252"/>
      <c r="GM202" s="2252"/>
      <c r="GN202" s="2252"/>
      <c r="GO202" s="2252"/>
      <c r="GP202" s="2252"/>
      <c r="GQ202" s="2252"/>
      <c r="GR202" s="2252"/>
      <c r="GS202" s="2253"/>
    </row>
    <row r="203" spans="1:201" x14ac:dyDescent="0.45">
      <c r="A203" s="737"/>
      <c r="B203" s="1051" t="s">
        <v>128</v>
      </c>
      <c r="C203" s="1059" t="s">
        <v>154</v>
      </c>
      <c r="D203" s="1051" t="s">
        <v>128</v>
      </c>
      <c r="E203" s="1052" t="s">
        <v>154</v>
      </c>
      <c r="F203" s="1051" t="s">
        <v>128</v>
      </c>
      <c r="G203" s="1059" t="s">
        <v>154</v>
      </c>
      <c r="H203" s="1051" t="s">
        <v>128</v>
      </c>
      <c r="I203" s="1052" t="s">
        <v>154</v>
      </c>
      <c r="J203" s="1051" t="s">
        <v>128</v>
      </c>
      <c r="K203" s="1059" t="s">
        <v>154</v>
      </c>
      <c r="L203" s="1051" t="s">
        <v>128</v>
      </c>
      <c r="M203" s="1052" t="s">
        <v>154</v>
      </c>
      <c r="N203" s="1051" t="s">
        <v>128</v>
      </c>
      <c r="O203" s="1059" t="s">
        <v>154</v>
      </c>
      <c r="P203" s="1051" t="s">
        <v>128</v>
      </c>
      <c r="Q203" s="1052" t="s">
        <v>154</v>
      </c>
      <c r="R203" s="1051" t="s">
        <v>128</v>
      </c>
      <c r="S203" s="1059" t="s">
        <v>154</v>
      </c>
      <c r="T203" s="1051" t="s">
        <v>128</v>
      </c>
      <c r="U203" s="1052" t="s">
        <v>154</v>
      </c>
      <c r="V203" s="1051" t="s">
        <v>128</v>
      </c>
      <c r="W203" s="1059" t="s">
        <v>154</v>
      </c>
      <c r="X203" s="1051" t="s">
        <v>128</v>
      </c>
      <c r="Y203" s="1052" t="s">
        <v>154</v>
      </c>
      <c r="Z203" s="1051" t="s">
        <v>128</v>
      </c>
      <c r="AA203" s="1059" t="s">
        <v>154</v>
      </c>
      <c r="AB203" s="1051" t="s">
        <v>128</v>
      </c>
      <c r="AC203" s="1052" t="s">
        <v>154</v>
      </c>
      <c r="AD203" s="1051" t="s">
        <v>128</v>
      </c>
      <c r="AE203" s="1059" t="s">
        <v>154</v>
      </c>
      <c r="AF203" s="1051" t="s">
        <v>128</v>
      </c>
      <c r="AG203" s="1052" t="s">
        <v>154</v>
      </c>
      <c r="AH203" s="1051" t="s">
        <v>128</v>
      </c>
      <c r="AI203" s="1059" t="s">
        <v>154</v>
      </c>
      <c r="AJ203" s="1051" t="s">
        <v>128</v>
      </c>
      <c r="AK203" s="1052" t="s">
        <v>154</v>
      </c>
      <c r="AL203" s="1051" t="s">
        <v>128</v>
      </c>
      <c r="AM203" s="1059" t="s">
        <v>154</v>
      </c>
      <c r="AN203" s="1051" t="s">
        <v>128</v>
      </c>
      <c r="AO203" s="1052" t="s">
        <v>154</v>
      </c>
      <c r="AP203" s="1051" t="s">
        <v>128</v>
      </c>
      <c r="AQ203" s="1059" t="s">
        <v>154</v>
      </c>
      <c r="AR203" s="1051" t="s">
        <v>128</v>
      </c>
      <c r="AS203" s="1052" t="s">
        <v>154</v>
      </c>
      <c r="AT203" s="1051" t="s">
        <v>128</v>
      </c>
      <c r="AU203" s="1059" t="s">
        <v>154</v>
      </c>
      <c r="AV203" s="1051" t="s">
        <v>128</v>
      </c>
      <c r="AW203" s="1052" t="s">
        <v>154</v>
      </c>
      <c r="AX203" s="1051" t="s">
        <v>128</v>
      </c>
      <c r="AY203" s="1059" t="s">
        <v>154</v>
      </c>
      <c r="AZ203" s="1051" t="s">
        <v>128</v>
      </c>
      <c r="BA203" s="1052" t="s">
        <v>154</v>
      </c>
      <c r="BB203" s="1051" t="s">
        <v>128</v>
      </c>
      <c r="BC203" s="1059" t="s">
        <v>154</v>
      </c>
      <c r="BD203" s="1051" t="s">
        <v>128</v>
      </c>
      <c r="BE203" s="1052" t="s">
        <v>154</v>
      </c>
      <c r="BF203" s="1051" t="s">
        <v>128</v>
      </c>
      <c r="BG203" s="1059" t="s">
        <v>154</v>
      </c>
      <c r="BH203" s="1051" t="s">
        <v>128</v>
      </c>
      <c r="BI203" s="1052" t="s">
        <v>154</v>
      </c>
      <c r="BJ203" s="1051" t="s">
        <v>128</v>
      </c>
      <c r="BK203" s="1059" t="s">
        <v>154</v>
      </c>
      <c r="BL203" s="1051" t="s">
        <v>128</v>
      </c>
      <c r="BM203" s="1052" t="s">
        <v>154</v>
      </c>
      <c r="BN203" s="1051" t="s">
        <v>128</v>
      </c>
      <c r="BO203" s="1059" t="s">
        <v>154</v>
      </c>
      <c r="BP203" s="1051" t="s">
        <v>128</v>
      </c>
      <c r="BQ203" s="1052" t="s">
        <v>154</v>
      </c>
      <c r="BR203" s="1051" t="s">
        <v>128</v>
      </c>
      <c r="BS203" s="1059" t="s">
        <v>154</v>
      </c>
      <c r="BT203" s="1051" t="s">
        <v>128</v>
      </c>
      <c r="BU203" s="1052" t="s">
        <v>154</v>
      </c>
      <c r="BV203" s="1051" t="s">
        <v>128</v>
      </c>
      <c r="BW203" s="1059" t="s">
        <v>154</v>
      </c>
      <c r="BX203" s="1051" t="s">
        <v>128</v>
      </c>
      <c r="BY203" s="1052" t="s">
        <v>154</v>
      </c>
      <c r="BZ203" s="1051" t="s">
        <v>128</v>
      </c>
      <c r="CA203" s="1059" t="s">
        <v>154</v>
      </c>
      <c r="CB203" s="1051" t="s">
        <v>128</v>
      </c>
      <c r="CC203" s="1052" t="s">
        <v>154</v>
      </c>
      <c r="CD203" s="1051" t="s">
        <v>128</v>
      </c>
      <c r="CE203" s="1059" t="s">
        <v>154</v>
      </c>
      <c r="CF203" s="1051" t="s">
        <v>128</v>
      </c>
      <c r="CG203" s="1052" t="s">
        <v>154</v>
      </c>
      <c r="CH203" s="1051" t="s">
        <v>128</v>
      </c>
      <c r="CI203" s="1059" t="s">
        <v>154</v>
      </c>
      <c r="CJ203" s="1051" t="s">
        <v>128</v>
      </c>
      <c r="CK203" s="1052" t="s">
        <v>154</v>
      </c>
      <c r="CL203" s="1051" t="s">
        <v>128</v>
      </c>
      <c r="CM203" s="1059" t="s">
        <v>154</v>
      </c>
      <c r="CN203" s="1051" t="s">
        <v>128</v>
      </c>
      <c r="CO203" s="1052" t="s">
        <v>154</v>
      </c>
      <c r="CP203" s="1051" t="s">
        <v>128</v>
      </c>
      <c r="CQ203" s="1059" t="s">
        <v>154</v>
      </c>
      <c r="CR203" s="1051" t="s">
        <v>128</v>
      </c>
      <c r="CS203" s="1052" t="s">
        <v>154</v>
      </c>
      <c r="CT203" s="1051" t="s">
        <v>128</v>
      </c>
      <c r="CU203" s="1059" t="s">
        <v>154</v>
      </c>
      <c r="CV203" s="1051" t="s">
        <v>128</v>
      </c>
      <c r="CW203" s="1052" t="s">
        <v>154</v>
      </c>
      <c r="CX203" s="1051" t="s">
        <v>128</v>
      </c>
      <c r="CY203" s="1059" t="s">
        <v>154</v>
      </c>
      <c r="CZ203" s="1051" t="s">
        <v>128</v>
      </c>
      <c r="DA203" s="1052" t="s">
        <v>154</v>
      </c>
      <c r="DB203" s="1051" t="s">
        <v>128</v>
      </c>
      <c r="DC203" s="1059" t="s">
        <v>154</v>
      </c>
      <c r="DD203" s="1051" t="s">
        <v>128</v>
      </c>
      <c r="DE203" s="1052" t="s">
        <v>154</v>
      </c>
      <c r="DF203" s="1051" t="s">
        <v>128</v>
      </c>
      <c r="DG203" s="1059" t="s">
        <v>154</v>
      </c>
      <c r="DH203" s="1051" t="s">
        <v>128</v>
      </c>
      <c r="DI203" s="1052" t="s">
        <v>154</v>
      </c>
      <c r="DJ203" s="1051" t="s">
        <v>128</v>
      </c>
      <c r="DK203" s="1059" t="s">
        <v>154</v>
      </c>
      <c r="DL203" s="1051" t="s">
        <v>128</v>
      </c>
      <c r="DM203" s="1052" t="s">
        <v>154</v>
      </c>
      <c r="DN203" s="1051" t="s">
        <v>128</v>
      </c>
      <c r="DO203" s="1059" t="s">
        <v>154</v>
      </c>
      <c r="DP203" s="1051" t="s">
        <v>128</v>
      </c>
      <c r="DQ203" s="1052" t="s">
        <v>154</v>
      </c>
      <c r="DR203" s="1051" t="s">
        <v>128</v>
      </c>
      <c r="DS203" s="1059" t="s">
        <v>154</v>
      </c>
      <c r="DT203" s="1051" t="s">
        <v>128</v>
      </c>
      <c r="DU203" s="1052" t="s">
        <v>154</v>
      </c>
      <c r="DV203" s="1051" t="s">
        <v>128</v>
      </c>
      <c r="DW203" s="1059" t="s">
        <v>154</v>
      </c>
      <c r="DX203" s="1051" t="s">
        <v>128</v>
      </c>
      <c r="DY203" s="1052" t="s">
        <v>154</v>
      </c>
      <c r="DZ203" s="1051" t="s">
        <v>128</v>
      </c>
      <c r="EA203" s="1059" t="s">
        <v>154</v>
      </c>
      <c r="EB203" s="1051" t="s">
        <v>128</v>
      </c>
      <c r="EC203" s="1052" t="s">
        <v>154</v>
      </c>
      <c r="ED203" s="1051" t="s">
        <v>128</v>
      </c>
      <c r="EE203" s="1059" t="s">
        <v>154</v>
      </c>
      <c r="EF203" s="1051" t="s">
        <v>128</v>
      </c>
      <c r="EG203" s="1052" t="s">
        <v>154</v>
      </c>
      <c r="EH203" s="1051" t="s">
        <v>128</v>
      </c>
      <c r="EI203" s="1059" t="s">
        <v>154</v>
      </c>
      <c r="EJ203" s="1051" t="s">
        <v>128</v>
      </c>
      <c r="EK203" s="1052" t="s">
        <v>154</v>
      </c>
      <c r="EL203" s="1051" t="s">
        <v>128</v>
      </c>
      <c r="EM203" s="1059" t="s">
        <v>154</v>
      </c>
      <c r="EN203" s="1051" t="s">
        <v>128</v>
      </c>
      <c r="EO203" s="1052" t="s">
        <v>154</v>
      </c>
      <c r="EP203" s="1051" t="s">
        <v>128</v>
      </c>
      <c r="EQ203" s="1059" t="s">
        <v>154</v>
      </c>
      <c r="ER203" s="1051" t="s">
        <v>128</v>
      </c>
      <c r="ES203" s="1052" t="s">
        <v>154</v>
      </c>
      <c r="ET203" s="1051" t="s">
        <v>128</v>
      </c>
      <c r="EU203" s="1059" t="s">
        <v>154</v>
      </c>
      <c r="EV203" s="1051" t="s">
        <v>128</v>
      </c>
      <c r="EW203" s="1052" t="s">
        <v>154</v>
      </c>
      <c r="EX203" s="1051" t="s">
        <v>128</v>
      </c>
      <c r="EY203" s="1059" t="s">
        <v>154</v>
      </c>
      <c r="EZ203" s="1051" t="s">
        <v>128</v>
      </c>
      <c r="FA203" s="1052" t="s">
        <v>154</v>
      </c>
      <c r="FB203" s="1051" t="s">
        <v>128</v>
      </c>
      <c r="FC203" s="1059" t="s">
        <v>154</v>
      </c>
      <c r="FD203" s="1051" t="s">
        <v>128</v>
      </c>
      <c r="FE203" s="1052" t="s">
        <v>154</v>
      </c>
      <c r="FF203" s="1051" t="s">
        <v>128</v>
      </c>
      <c r="FG203" s="1059" t="s">
        <v>154</v>
      </c>
      <c r="FH203" s="1051" t="s">
        <v>128</v>
      </c>
      <c r="FI203" s="1052" t="s">
        <v>154</v>
      </c>
      <c r="FJ203" s="1051" t="s">
        <v>128</v>
      </c>
      <c r="FK203" s="1059" t="s">
        <v>154</v>
      </c>
      <c r="FL203" s="1051" t="s">
        <v>128</v>
      </c>
      <c r="FM203" s="1052" t="s">
        <v>154</v>
      </c>
      <c r="FN203" s="1051" t="s">
        <v>128</v>
      </c>
      <c r="FO203" s="1059" t="s">
        <v>154</v>
      </c>
      <c r="FP203" s="1051" t="s">
        <v>128</v>
      </c>
      <c r="FQ203" s="1052" t="s">
        <v>154</v>
      </c>
      <c r="FR203" s="1051" t="s">
        <v>128</v>
      </c>
      <c r="FS203" s="1059" t="s">
        <v>154</v>
      </c>
      <c r="FT203" s="1051" t="s">
        <v>128</v>
      </c>
      <c r="FU203" s="1052" t="s">
        <v>154</v>
      </c>
      <c r="FV203" s="1051" t="s">
        <v>128</v>
      </c>
      <c r="FW203" s="1059" t="s">
        <v>154</v>
      </c>
      <c r="FX203" s="1051" t="s">
        <v>128</v>
      </c>
      <c r="FY203" s="1052" t="s">
        <v>154</v>
      </c>
      <c r="FZ203" s="978" t="s">
        <v>127</v>
      </c>
      <c r="GA203" s="918" t="s">
        <v>668</v>
      </c>
      <c r="GB203" s="978" t="s">
        <v>127</v>
      </c>
      <c r="GC203" s="918" t="s">
        <v>668</v>
      </c>
      <c r="GD203" s="978" t="s">
        <v>127</v>
      </c>
      <c r="GE203" s="918" t="s">
        <v>668</v>
      </c>
      <c r="GF203" s="978" t="s">
        <v>127</v>
      </c>
      <c r="GG203" s="918" t="s">
        <v>668</v>
      </c>
      <c r="GH203" s="978" t="s">
        <v>127</v>
      </c>
      <c r="GI203" s="918" t="s">
        <v>668</v>
      </c>
      <c r="GJ203" s="978" t="s">
        <v>127</v>
      </c>
      <c r="GK203" s="918" t="s">
        <v>668</v>
      </c>
      <c r="GL203" s="978" t="s">
        <v>127</v>
      </c>
      <c r="GM203" s="918" t="s">
        <v>668</v>
      </c>
      <c r="GN203" s="978" t="s">
        <v>127</v>
      </c>
      <c r="GO203" s="918" t="s">
        <v>668</v>
      </c>
      <c r="GP203" s="978" t="s">
        <v>127</v>
      </c>
      <c r="GQ203" s="918" t="s">
        <v>668</v>
      </c>
      <c r="GR203" s="978" t="s">
        <v>127</v>
      </c>
      <c r="GS203" s="918" t="s">
        <v>668</v>
      </c>
    </row>
    <row r="204" spans="1:201" x14ac:dyDescent="0.45">
      <c r="A204" s="768" t="s">
        <v>1968</v>
      </c>
      <c r="B204" s="879">
        <v>84466.936010659658</v>
      </c>
      <c r="C204" s="7">
        <v>1988084.5985421469</v>
      </c>
      <c r="D204" s="879"/>
      <c r="E204" s="877"/>
      <c r="F204" s="879">
        <v>84466.936010659658</v>
      </c>
      <c r="G204" s="7">
        <v>1988084.5985421469</v>
      </c>
      <c r="H204" s="879"/>
      <c r="I204" s="877"/>
      <c r="J204" s="879">
        <v>449413.72536433139</v>
      </c>
      <c r="K204" s="7">
        <v>3044707.5891621807</v>
      </c>
      <c r="L204" s="879"/>
      <c r="M204" s="877"/>
      <c r="N204" s="879">
        <v>183057.03139417409</v>
      </c>
      <c r="O204" s="7">
        <v>2098438.4576887828</v>
      </c>
      <c r="P204" s="879"/>
      <c r="Q204" s="877"/>
      <c r="R204" s="879">
        <v>63487.259384001525</v>
      </c>
      <c r="S204" s="7">
        <v>2918655.1268570195</v>
      </c>
      <c r="T204" s="879"/>
      <c r="U204" s="877"/>
      <c r="V204" s="879">
        <v>120502.63799563368</v>
      </c>
      <c r="W204" s="7">
        <v>4758149.3165089386</v>
      </c>
      <c r="X204" s="879"/>
      <c r="Y204" s="877"/>
      <c r="Z204" s="879">
        <v>33833.700405299111</v>
      </c>
      <c r="AA204" s="7">
        <v>1051524.7108307045</v>
      </c>
      <c r="AB204" s="879"/>
      <c r="AC204" s="877"/>
      <c r="AD204" s="879">
        <v>33833.700405299111</v>
      </c>
      <c r="AE204" s="7">
        <v>1051524.7108307045</v>
      </c>
      <c r="AF204" s="879"/>
      <c r="AG204" s="877"/>
      <c r="AH204" s="879">
        <v>32124.386817217102</v>
      </c>
      <c r="AI204" s="7">
        <v>1000000</v>
      </c>
      <c r="AJ204" s="879"/>
      <c r="AK204" s="877"/>
      <c r="AL204" s="879">
        <v>0</v>
      </c>
      <c r="AM204" s="7">
        <v>1051524.7108307045</v>
      </c>
      <c r="AN204" s="879"/>
      <c r="AO204" s="877"/>
      <c r="AP204" s="879">
        <v>443457.68027043593</v>
      </c>
      <c r="AQ204" s="7">
        <v>3004356.3166591562</v>
      </c>
      <c r="AR204" s="879"/>
      <c r="AS204" s="877"/>
      <c r="AT204" s="879">
        <v>408447.86340698047</v>
      </c>
      <c r="AU204" s="7">
        <v>2767170.2916597491</v>
      </c>
      <c r="AV204" s="879"/>
      <c r="AW204" s="877"/>
      <c r="AX204" s="879">
        <v>485031.83779578924</v>
      </c>
      <c r="AY204" s="7">
        <v>3286014.7213459518</v>
      </c>
      <c r="AZ204" s="879"/>
      <c r="BA204" s="877"/>
      <c r="BB204" s="879">
        <v>269793.04160671995</v>
      </c>
      <c r="BC204" s="7">
        <v>3092719.7377373665</v>
      </c>
      <c r="BD204" s="879"/>
      <c r="BE204" s="877"/>
      <c r="BF204" s="879">
        <v>269793.04160671995</v>
      </c>
      <c r="BG204" s="7">
        <v>3092719.7377373665</v>
      </c>
      <c r="BH204" s="879"/>
      <c r="BI204" s="877"/>
      <c r="BJ204" s="879">
        <v>166781.15299324505</v>
      </c>
      <c r="BK204" s="7">
        <v>1911863.110601281</v>
      </c>
      <c r="BL204" s="879"/>
      <c r="BM204" s="877"/>
      <c r="BN204" s="879">
        <v>269793.04160671995</v>
      </c>
      <c r="BO204" s="7">
        <v>3092719.7377373665</v>
      </c>
      <c r="BP204" s="879"/>
      <c r="BQ204" s="877"/>
      <c r="BR204" s="879">
        <v>63536.133332719015</v>
      </c>
      <c r="BS204" s="7">
        <v>2920901.9745297353</v>
      </c>
      <c r="BT204" s="879"/>
      <c r="BU204" s="877"/>
      <c r="BV204" s="879">
        <v>58648.738460971392</v>
      </c>
      <c r="BW204" s="7">
        <v>2696217.2072582166</v>
      </c>
      <c r="BX204" s="879"/>
      <c r="BY204" s="877"/>
      <c r="BZ204" s="879">
        <v>151325.66149917094</v>
      </c>
      <c r="CA204" s="7">
        <v>4779657.7765032034</v>
      </c>
      <c r="CB204" s="879"/>
      <c r="CC204" s="877"/>
      <c r="CD204" s="879">
        <v>188814.52041553284</v>
      </c>
      <c r="CE204" s="7">
        <v>4779657.7765032034</v>
      </c>
      <c r="CF204" s="879"/>
      <c r="CG204" s="877"/>
      <c r="CH204" s="879">
        <v>1433431.9858697802</v>
      </c>
      <c r="CI204" s="7">
        <v>4779657.7765032034</v>
      </c>
      <c r="CJ204" s="879"/>
      <c r="CK204" s="877"/>
      <c r="CL204" s="879">
        <v>1389919.204156375</v>
      </c>
      <c r="CM204" s="7">
        <v>4779657.7765032034</v>
      </c>
      <c r="CN204" s="879"/>
      <c r="CO204" s="877"/>
      <c r="CP204" s="879">
        <v>121047.35107547331</v>
      </c>
      <c r="CQ204" s="7">
        <v>4779657.7765032034</v>
      </c>
      <c r="CR204" s="879"/>
      <c r="CS204" s="877"/>
      <c r="CT204" s="879">
        <v>83229.113824543994</v>
      </c>
      <c r="CU204" s="7">
        <v>2628811.7770767612</v>
      </c>
      <c r="CV204" s="879"/>
      <c r="CW204" s="877"/>
      <c r="CX204" s="879">
        <v>103847.98622854303</v>
      </c>
      <c r="CY204" s="7">
        <v>2628811.7770767612</v>
      </c>
      <c r="CZ204" s="879"/>
      <c r="DA204" s="877"/>
      <c r="DB204" s="879">
        <v>788387.59222837898</v>
      </c>
      <c r="DC204" s="7">
        <v>2628811.7770767612</v>
      </c>
      <c r="DD204" s="879"/>
      <c r="DE204" s="877"/>
      <c r="DF204" s="879">
        <v>764455.56228600617</v>
      </c>
      <c r="DG204" s="7">
        <v>2628811.7770767612</v>
      </c>
      <c r="DH204" s="879"/>
      <c r="DI204" s="877"/>
      <c r="DJ204" s="879">
        <v>66576.043091510306</v>
      </c>
      <c r="DK204" s="7">
        <v>2628811.7770767612</v>
      </c>
      <c r="DL204" s="879"/>
      <c r="DM204" s="877"/>
      <c r="DN204" s="879">
        <v>33833.700405299111</v>
      </c>
      <c r="DO204" s="7">
        <v>1051524.7108307045</v>
      </c>
      <c r="DP204" s="879"/>
      <c r="DQ204" s="877"/>
      <c r="DR204" s="879">
        <v>33833.700405299111</v>
      </c>
      <c r="DS204" s="7">
        <v>1051524.7108307045</v>
      </c>
      <c r="DT204" s="879"/>
      <c r="DU204" s="877"/>
      <c r="DV204" s="879">
        <v>0</v>
      </c>
      <c r="DW204" s="7">
        <v>1051524.7108307045</v>
      </c>
      <c r="DX204" s="879"/>
      <c r="DY204" s="877"/>
      <c r="DZ204" s="879">
        <v>0</v>
      </c>
      <c r="EA204" s="1060">
        <v>1051524.7108307045</v>
      </c>
      <c r="EB204" s="879"/>
      <c r="EC204" s="877"/>
      <c r="ED204" s="879">
        <v>0</v>
      </c>
      <c r="EE204" s="7">
        <v>1051524.7108307045</v>
      </c>
      <c r="EF204" s="879"/>
      <c r="EG204" s="877"/>
      <c r="EH204" s="879">
        <v>0</v>
      </c>
      <c r="EI204" s="7">
        <v>1051524.7108307045</v>
      </c>
      <c r="EJ204" s="879"/>
      <c r="EK204" s="877"/>
      <c r="EL204" s="879">
        <v>0</v>
      </c>
      <c r="EM204" s="7">
        <v>1051524.7108307045</v>
      </c>
      <c r="EN204" s="879"/>
      <c r="EO204" s="877"/>
      <c r="EP204" s="879">
        <v>0</v>
      </c>
      <c r="EQ204" s="7">
        <v>1051524.7108307045</v>
      </c>
      <c r="ER204" s="879"/>
      <c r="ES204" s="877"/>
      <c r="ET204" s="879">
        <v>184816.30343375285</v>
      </c>
      <c r="EU204" s="1061">
        <v>2118605.5284495843</v>
      </c>
      <c r="EV204" s="879"/>
      <c r="EW204" s="877"/>
      <c r="EX204" s="879">
        <v>185123.86580038219</v>
      </c>
      <c r="EY204" s="1061">
        <v>2122131.2094537904</v>
      </c>
      <c r="EZ204" s="879"/>
      <c r="FA204" s="877"/>
      <c r="FB204" s="879">
        <v>134698.43486972799</v>
      </c>
      <c r="FC204" s="1061">
        <v>1544089.1495311372</v>
      </c>
      <c r="FD204" s="879"/>
      <c r="FE204" s="877"/>
      <c r="FF204" s="879">
        <v>173730.36770129693</v>
      </c>
      <c r="FG204" s="1061">
        <v>1991524.073543001</v>
      </c>
      <c r="FH204" s="879"/>
      <c r="FI204" s="877"/>
      <c r="FJ204" s="879">
        <v>139406.73882414098</v>
      </c>
      <c r="FK204" s="1061">
        <v>1598061.8705633807</v>
      </c>
      <c r="FL204" s="879"/>
      <c r="FM204" s="877"/>
      <c r="FN204" s="879">
        <v>83667.854974974325</v>
      </c>
      <c r="FO204" s="1061">
        <v>3846403.4618558851</v>
      </c>
      <c r="FP204" s="879"/>
      <c r="FQ204" s="877"/>
      <c r="FR204" s="879">
        <v>93936.044184491577</v>
      </c>
      <c r="FS204" s="1061">
        <v>3633398.5940853194</v>
      </c>
      <c r="FT204" s="879"/>
      <c r="FU204" s="877"/>
      <c r="FV204" s="879">
        <v>48769.739871596677</v>
      </c>
      <c r="FW204" s="1061">
        <v>2242056.9527307134</v>
      </c>
      <c r="FX204" s="879"/>
      <c r="FY204" s="877"/>
      <c r="FZ204" s="879">
        <v>2693513.4818576998</v>
      </c>
      <c r="GA204" s="877"/>
      <c r="GB204" s="879">
        <v>2294818.3771935832</v>
      </c>
      <c r="GC204" s="877"/>
      <c r="GD204" s="879">
        <v>3369416.0450282861</v>
      </c>
      <c r="GE204" s="877"/>
      <c r="GF204" s="879">
        <v>2285415.6042694068</v>
      </c>
      <c r="GG204" s="877"/>
      <c r="GH204" s="879">
        <v>1763304.1740636399</v>
      </c>
      <c r="GI204" s="877"/>
      <c r="GJ204" s="879">
        <v>2272260.6129215457</v>
      </c>
      <c r="GK204" s="877"/>
      <c r="GL204" s="879">
        <v>2244484.1324131768</v>
      </c>
      <c r="GM204" s="877"/>
      <c r="GN204" s="879">
        <v>2296635.0991235753</v>
      </c>
      <c r="GO204" s="877"/>
      <c r="GP204" s="879">
        <v>2292799.5302661979</v>
      </c>
      <c r="GQ204" s="877"/>
      <c r="GR204" s="879">
        <v>1908207.5889122076</v>
      </c>
      <c r="GS204" s="877"/>
    </row>
    <row r="205" spans="1:201" x14ac:dyDescent="0.45">
      <c r="A205" s="768" t="s">
        <v>1967</v>
      </c>
      <c r="B205" s="879">
        <v>82284.333765327756</v>
      </c>
      <c r="C205" s="7">
        <v>1592748.036682494</v>
      </c>
      <c r="D205" s="879"/>
      <c r="E205" s="877"/>
      <c r="F205" s="879">
        <v>82284.333765327756</v>
      </c>
      <c r="G205" s="7">
        <v>1592748.036682494</v>
      </c>
      <c r="H205" s="879"/>
      <c r="I205" s="877"/>
      <c r="J205" s="879">
        <v>433734.43263215263</v>
      </c>
      <c r="K205" s="7">
        <v>3044707.5891621807</v>
      </c>
      <c r="L205" s="879"/>
      <c r="M205" s="877"/>
      <c r="N205" s="879">
        <v>181800.09833401089</v>
      </c>
      <c r="O205" s="7">
        <v>2098438.4576887828</v>
      </c>
      <c r="P205" s="879"/>
      <c r="Q205" s="877"/>
      <c r="R205" s="879">
        <v>61265.514983319394</v>
      </c>
      <c r="S205" s="7">
        <v>2918655.1268570195</v>
      </c>
      <c r="T205" s="879"/>
      <c r="U205" s="877"/>
      <c r="V205" s="879">
        <v>119894.70526998391</v>
      </c>
      <c r="W205" s="7">
        <v>0</v>
      </c>
      <c r="X205" s="879"/>
      <c r="Y205" s="877"/>
      <c r="Z205" s="879">
        <v>28938.366012069197</v>
      </c>
      <c r="AA205" s="7">
        <v>0</v>
      </c>
      <c r="AB205" s="879"/>
      <c r="AC205" s="877"/>
      <c r="AD205" s="879">
        <v>28938.366012069197</v>
      </c>
      <c r="AE205" s="7">
        <v>0</v>
      </c>
      <c r="AF205" s="879"/>
      <c r="AG205" s="877"/>
      <c r="AH205" s="879">
        <v>27306.925747145171</v>
      </c>
      <c r="AI205" s="7">
        <v>0</v>
      </c>
      <c r="AJ205" s="879"/>
      <c r="AK205" s="877"/>
      <c r="AL205" s="879">
        <v>0</v>
      </c>
      <c r="AM205" s="7">
        <v>0</v>
      </c>
      <c r="AN205" s="879"/>
      <c r="AO205" s="877"/>
      <c r="AP205" s="879">
        <v>427986.18398345378</v>
      </c>
      <c r="AQ205" s="7">
        <v>3004356.3166591562</v>
      </c>
      <c r="AR205" s="879"/>
      <c r="AS205" s="877"/>
      <c r="AT205" s="879">
        <v>394197.80103739165</v>
      </c>
      <c r="AU205" s="7">
        <v>2767170.2916597491</v>
      </c>
      <c r="AV205" s="879"/>
      <c r="AW205" s="877"/>
      <c r="AX205" s="879">
        <v>468109.88873190252</v>
      </c>
      <c r="AY205" s="7">
        <v>3286014.7213459518</v>
      </c>
      <c r="AZ205" s="879"/>
      <c r="BA205" s="877"/>
      <c r="BB205" s="879">
        <v>267940.54902113182</v>
      </c>
      <c r="BC205" s="7">
        <v>3092719.7377373665</v>
      </c>
      <c r="BD205" s="879"/>
      <c r="BE205" s="877"/>
      <c r="BF205" s="879">
        <v>267940.54902113182</v>
      </c>
      <c r="BG205" s="7">
        <v>3092719.7377373665</v>
      </c>
      <c r="BH205" s="879"/>
      <c r="BI205" s="877"/>
      <c r="BJ205" s="879">
        <v>165635.97575851786</v>
      </c>
      <c r="BK205" s="7">
        <v>1911863.110601281</v>
      </c>
      <c r="BL205" s="879"/>
      <c r="BM205" s="877"/>
      <c r="BN205" s="879">
        <v>267940.54902113182</v>
      </c>
      <c r="BO205" s="7">
        <v>3092719.7377373665</v>
      </c>
      <c r="BP205" s="879"/>
      <c r="BQ205" s="877"/>
      <c r="BR205" s="879">
        <v>61312.678582228822</v>
      </c>
      <c r="BS205" s="7">
        <v>2920901.9745297353</v>
      </c>
      <c r="BT205" s="879"/>
      <c r="BU205" s="877"/>
      <c r="BV205" s="879">
        <v>56596.318691288128</v>
      </c>
      <c r="BW205" s="7">
        <v>2696217.2072582166</v>
      </c>
      <c r="BX205" s="879"/>
      <c r="BY205" s="877"/>
      <c r="BZ205" s="879">
        <v>149896.32455835849</v>
      </c>
      <c r="CA205" s="7">
        <v>0</v>
      </c>
      <c r="CB205" s="879"/>
      <c r="CC205" s="877"/>
      <c r="CD205" s="879">
        <v>187090.81940221516</v>
      </c>
      <c r="CE205" s="7">
        <v>0</v>
      </c>
      <c r="CF205" s="879"/>
      <c r="CG205" s="877"/>
      <c r="CH205" s="879">
        <v>192758.44129624401</v>
      </c>
      <c r="CI205" s="7">
        <v>0</v>
      </c>
      <c r="CJ205" s="879"/>
      <c r="CK205" s="877"/>
      <c r="CL205" s="879">
        <v>150258.97866101051</v>
      </c>
      <c r="CM205" s="7">
        <v>0</v>
      </c>
      <c r="CN205" s="879"/>
      <c r="CO205" s="877"/>
      <c r="CP205" s="879">
        <v>120436.67028627216</v>
      </c>
      <c r="CQ205" s="7">
        <v>0</v>
      </c>
      <c r="CR205" s="879"/>
      <c r="CS205" s="877"/>
      <c r="CT205" s="879">
        <v>82442.978507097141</v>
      </c>
      <c r="CU205" s="7">
        <v>0</v>
      </c>
      <c r="CV205" s="879"/>
      <c r="CW205" s="877"/>
      <c r="CX205" s="879">
        <v>102899.95067121831</v>
      </c>
      <c r="CY205" s="7">
        <v>0</v>
      </c>
      <c r="CZ205" s="879"/>
      <c r="DA205" s="877"/>
      <c r="DB205" s="879">
        <v>106017.14271293419</v>
      </c>
      <c r="DC205" s="7">
        <v>0</v>
      </c>
      <c r="DD205" s="879"/>
      <c r="DE205" s="877"/>
      <c r="DF205" s="879">
        <v>82642.438263555756</v>
      </c>
      <c r="DG205" s="7">
        <v>0</v>
      </c>
      <c r="DH205" s="879"/>
      <c r="DI205" s="877"/>
      <c r="DJ205" s="879">
        <v>66240.168657449656</v>
      </c>
      <c r="DK205" s="7">
        <v>0</v>
      </c>
      <c r="DL205" s="879"/>
      <c r="DM205" s="877"/>
      <c r="DN205" s="879">
        <v>28938.3660120692</v>
      </c>
      <c r="DO205" s="7">
        <v>0</v>
      </c>
      <c r="DP205" s="879"/>
      <c r="DQ205" s="877"/>
      <c r="DR205" s="879">
        <v>28938.3660120692</v>
      </c>
      <c r="DS205" s="7">
        <v>0</v>
      </c>
      <c r="DT205" s="879"/>
      <c r="DU205" s="877"/>
      <c r="DV205" s="879">
        <v>0</v>
      </c>
      <c r="DW205" s="7">
        <v>0</v>
      </c>
      <c r="DX205" s="879"/>
      <c r="DY205" s="877"/>
      <c r="DZ205" s="879">
        <v>0</v>
      </c>
      <c r="EA205" s="7">
        <v>0</v>
      </c>
      <c r="EB205" s="879"/>
      <c r="EC205" s="877"/>
      <c r="ED205" s="879">
        <v>0</v>
      </c>
      <c r="EE205" s="7">
        <v>0</v>
      </c>
      <c r="EF205" s="879"/>
      <c r="EG205" s="877"/>
      <c r="EH205" s="879">
        <v>0</v>
      </c>
      <c r="EI205" s="7">
        <v>0</v>
      </c>
      <c r="EJ205" s="879"/>
      <c r="EK205" s="877"/>
      <c r="EL205" s="879">
        <v>0</v>
      </c>
      <c r="EM205" s="7">
        <v>0</v>
      </c>
      <c r="EN205" s="879"/>
      <c r="EO205" s="877"/>
      <c r="EP205" s="879">
        <v>0</v>
      </c>
      <c r="EQ205" s="7">
        <v>0</v>
      </c>
      <c r="ER205" s="879"/>
      <c r="ES205" s="877"/>
      <c r="ET205" s="879">
        <v>183547.29060166542</v>
      </c>
      <c r="EU205" s="1061">
        <v>2118605.5284495843</v>
      </c>
      <c r="EV205" s="879"/>
      <c r="EW205" s="877"/>
      <c r="EX205" s="879">
        <v>183852.74113842548</v>
      </c>
      <c r="EY205" s="1061">
        <v>2122131.2094537904</v>
      </c>
      <c r="EZ205" s="879"/>
      <c r="FA205" s="877"/>
      <c r="FB205" s="879">
        <v>133773.54870364876</v>
      </c>
      <c r="FC205" s="1061">
        <v>1544089.1495311372</v>
      </c>
      <c r="FD205" s="879"/>
      <c r="FE205" s="877"/>
      <c r="FF205" s="879">
        <v>172537.47474845609</v>
      </c>
      <c r="FG205" s="1061">
        <v>1991524.073543001</v>
      </c>
      <c r="FH205" s="879"/>
      <c r="FI205" s="877"/>
      <c r="FJ205" s="879">
        <v>138449.52381031128</v>
      </c>
      <c r="FK205" s="1061">
        <v>1598061.8705633807</v>
      </c>
      <c r="FL205" s="879"/>
      <c r="FM205" s="877"/>
      <c r="FN205" s="879">
        <v>80739.888165391472</v>
      </c>
      <c r="FO205" s="1061">
        <v>3846403.4618558851</v>
      </c>
      <c r="FP205" s="879"/>
      <c r="FQ205" s="877"/>
      <c r="FR205" s="879">
        <v>91207.140723415388</v>
      </c>
      <c r="FS205" s="1061">
        <v>3633398.5940853194</v>
      </c>
      <c r="FT205" s="879"/>
      <c r="FU205" s="877"/>
      <c r="FV205" s="879">
        <v>47063.036864823822</v>
      </c>
      <c r="FW205" s="1061">
        <v>2242056.9527307134</v>
      </c>
      <c r="FX205" s="879"/>
      <c r="FY205" s="877"/>
      <c r="FZ205" s="879">
        <v>2369511.3644573134</v>
      </c>
      <c r="GA205" s="877"/>
      <c r="GB205" s="879">
        <v>2135781.8036551657</v>
      </c>
      <c r="GC205" s="877"/>
      <c r="GD205" s="879">
        <v>3039074.8531406508</v>
      </c>
      <c r="GE205" s="877"/>
      <c r="GF205" s="879">
        <v>1844826.6645240909</v>
      </c>
      <c r="GG205" s="877"/>
      <c r="GH205" s="879">
        <v>1170209.803066547</v>
      </c>
      <c r="GI205" s="877"/>
      <c r="GJ205" s="879">
        <v>1897367.5401167986</v>
      </c>
      <c r="GK205" s="877"/>
      <c r="GL205" s="879">
        <v>1870946.4970531992</v>
      </c>
      <c r="GM205" s="877"/>
      <c r="GN205" s="879">
        <v>1927160.9180840219</v>
      </c>
      <c r="GO205" s="877"/>
      <c r="GP205" s="879">
        <v>2023081.0497414509</v>
      </c>
      <c r="GQ205" s="877"/>
      <c r="GR205" s="879">
        <v>1380504.3014801939</v>
      </c>
      <c r="GS205" s="877"/>
    </row>
    <row r="206" spans="1:201" x14ac:dyDescent="0.45">
      <c r="A206" s="768" t="s">
        <v>114</v>
      </c>
      <c r="B206" s="879">
        <v>5864.6888122976106</v>
      </c>
      <c r="C206" s="7">
        <v>954024.41703844513</v>
      </c>
      <c r="D206" s="879"/>
      <c r="E206" s="877"/>
      <c r="F206" s="879">
        <v>5864.6888122976106</v>
      </c>
      <c r="G206" s="7">
        <v>954024.41703844513</v>
      </c>
      <c r="H206" s="879"/>
      <c r="I206" s="877"/>
      <c r="J206" s="879">
        <v>36752.935383593118</v>
      </c>
      <c r="K206" s="7">
        <v>0</v>
      </c>
      <c r="L206" s="879"/>
      <c r="M206" s="877"/>
      <c r="N206" s="879">
        <v>3032.2308974135954</v>
      </c>
      <c r="O206" s="7">
        <v>0</v>
      </c>
      <c r="P206" s="879"/>
      <c r="Q206" s="877"/>
      <c r="R206" s="879">
        <v>7202.1573368400959</v>
      </c>
      <c r="S206" s="7">
        <v>2918655.1268570195</v>
      </c>
      <c r="T206" s="879"/>
      <c r="U206" s="877"/>
      <c r="V206" s="879">
        <v>1431.3325159821659</v>
      </c>
      <c r="W206" s="7">
        <v>0</v>
      </c>
      <c r="X206" s="879"/>
      <c r="Y206" s="877"/>
      <c r="Z206" s="879">
        <v>11819.788485629064</v>
      </c>
      <c r="AA206" s="7">
        <v>0</v>
      </c>
      <c r="AB206" s="879"/>
      <c r="AC206" s="877"/>
      <c r="AD206" s="879">
        <v>11819.788485629064</v>
      </c>
      <c r="AE206" s="7">
        <v>0</v>
      </c>
      <c r="AF206" s="879"/>
      <c r="AG206" s="877"/>
      <c r="AH206" s="879">
        <v>11631.949900717722</v>
      </c>
      <c r="AI206" s="7">
        <v>0</v>
      </c>
      <c r="AJ206" s="879"/>
      <c r="AK206" s="877"/>
      <c r="AL206" s="879">
        <v>0</v>
      </c>
      <c r="AM206" s="7">
        <v>0</v>
      </c>
      <c r="AN206" s="879"/>
      <c r="AO206" s="877"/>
      <c r="AP206" s="879">
        <v>36265.851593928601</v>
      </c>
      <c r="AQ206" s="7">
        <v>0</v>
      </c>
      <c r="AR206" s="879"/>
      <c r="AS206" s="877"/>
      <c r="AT206" s="879">
        <v>33402.758047039504</v>
      </c>
      <c r="AU206" s="7">
        <v>0</v>
      </c>
      <c r="AV206" s="879"/>
      <c r="AW206" s="877"/>
      <c r="AX206" s="879">
        <v>39665.775180859404</v>
      </c>
      <c r="AY206" s="7">
        <v>0</v>
      </c>
      <c r="AZ206" s="879"/>
      <c r="BA206" s="877"/>
      <c r="BB206" s="879">
        <v>4468.9613419193875</v>
      </c>
      <c r="BC206" s="7">
        <v>0</v>
      </c>
      <c r="BD206" s="879"/>
      <c r="BE206" s="877"/>
      <c r="BF206" s="879">
        <v>4468.9613419193875</v>
      </c>
      <c r="BG206" s="7">
        <v>0</v>
      </c>
      <c r="BH206" s="879"/>
      <c r="BI206" s="877"/>
      <c r="BJ206" s="879">
        <v>2762.6306477319849</v>
      </c>
      <c r="BK206" s="7">
        <v>0</v>
      </c>
      <c r="BL206" s="879"/>
      <c r="BM206" s="877"/>
      <c r="BN206" s="879">
        <v>4468.9613419193875</v>
      </c>
      <c r="BO206" s="7">
        <v>0</v>
      </c>
      <c r="BP206" s="879"/>
      <c r="BQ206" s="877"/>
      <c r="BR206" s="879">
        <v>7207.7017227806982</v>
      </c>
      <c r="BS206" s="7">
        <v>2920901.9745297353</v>
      </c>
      <c r="BT206" s="879"/>
      <c r="BU206" s="877"/>
      <c r="BV206" s="879">
        <v>6653.2631287206423</v>
      </c>
      <c r="BW206" s="7">
        <v>2696217.2072582166</v>
      </c>
      <c r="BX206" s="879"/>
      <c r="BY206" s="877"/>
      <c r="BZ206" s="879">
        <v>3414.2779094193115</v>
      </c>
      <c r="CA206" s="7">
        <v>0</v>
      </c>
      <c r="CB206" s="879"/>
      <c r="CC206" s="877"/>
      <c r="CD206" s="879">
        <v>4142.6986211953526</v>
      </c>
      <c r="CE206" s="7">
        <v>0</v>
      </c>
      <c r="CF206" s="879"/>
      <c r="CG206" s="877"/>
      <c r="CH206" s="879">
        <v>9774.2902398585047</v>
      </c>
      <c r="CI206" s="7">
        <v>0</v>
      </c>
      <c r="CJ206" s="879"/>
      <c r="CK206" s="877"/>
      <c r="CL206" s="879">
        <v>7333.7967231732318</v>
      </c>
      <c r="CM206" s="7">
        <v>0</v>
      </c>
      <c r="CN206" s="879"/>
      <c r="CO206" s="877"/>
      <c r="CP206" s="879">
        <v>1437.8026278072989</v>
      </c>
      <c r="CQ206" s="7">
        <v>0</v>
      </c>
      <c r="CR206" s="879"/>
      <c r="CS206" s="877"/>
      <c r="CT206" s="879">
        <v>1877.8528501806213</v>
      </c>
      <c r="CU206" s="7">
        <v>0</v>
      </c>
      <c r="CV206" s="879"/>
      <c r="CW206" s="877"/>
      <c r="CX206" s="879">
        <v>2278.4842416574434</v>
      </c>
      <c r="CY206" s="7">
        <v>0</v>
      </c>
      <c r="CZ206" s="879"/>
      <c r="DA206" s="877"/>
      <c r="DB206" s="879">
        <v>5375.859631922177</v>
      </c>
      <c r="DC206" s="7">
        <v>0</v>
      </c>
      <c r="DD206" s="879"/>
      <c r="DE206" s="877"/>
      <c r="DF206" s="879">
        <v>4033.5881977452764</v>
      </c>
      <c r="DG206" s="7">
        <v>0</v>
      </c>
      <c r="DH206" s="879"/>
      <c r="DI206" s="877"/>
      <c r="DJ206" s="879">
        <v>790.79144529401424</v>
      </c>
      <c r="DK206" s="7">
        <v>0</v>
      </c>
      <c r="DL206" s="879"/>
      <c r="DM206" s="877"/>
      <c r="DN206" s="879">
        <v>11819.788485629064</v>
      </c>
      <c r="DO206" s="7">
        <v>0</v>
      </c>
      <c r="DP206" s="879"/>
      <c r="DQ206" s="877"/>
      <c r="DR206" s="879">
        <v>11819.788485629064</v>
      </c>
      <c r="DS206" s="7">
        <v>0</v>
      </c>
      <c r="DT206" s="879"/>
      <c r="DU206" s="877"/>
      <c r="DV206" s="879">
        <v>0</v>
      </c>
      <c r="DW206" s="7">
        <v>0</v>
      </c>
      <c r="DX206" s="879"/>
      <c r="DY206" s="877"/>
      <c r="DZ206" s="879">
        <v>0</v>
      </c>
      <c r="EA206" s="7">
        <v>0</v>
      </c>
      <c r="EB206" s="879"/>
      <c r="EC206" s="877"/>
      <c r="ED206" s="879">
        <v>0</v>
      </c>
      <c r="EE206" s="7">
        <v>0</v>
      </c>
      <c r="EF206" s="879"/>
      <c r="EG206" s="877"/>
      <c r="EH206" s="879">
        <v>0</v>
      </c>
      <c r="EI206" s="7">
        <v>0</v>
      </c>
      <c r="EJ206" s="879"/>
      <c r="EK206" s="877"/>
      <c r="EL206" s="879">
        <v>0</v>
      </c>
      <c r="EM206" s="7">
        <v>0</v>
      </c>
      <c r="EN206" s="879"/>
      <c r="EO206" s="877"/>
      <c r="EP206" s="879">
        <v>0</v>
      </c>
      <c r="EQ206" s="7">
        <v>0</v>
      </c>
      <c r="ER206" s="879"/>
      <c r="ES206" s="877"/>
      <c r="ET206" s="879">
        <v>3061.3721928598193</v>
      </c>
      <c r="EU206" s="7">
        <v>0</v>
      </c>
      <c r="EV206" s="879"/>
      <c r="EW206" s="877"/>
      <c r="EX206" s="879">
        <v>3066.4667806168286</v>
      </c>
      <c r="EY206" s="7">
        <v>0</v>
      </c>
      <c r="EZ206" s="879"/>
      <c r="FA206" s="877"/>
      <c r="FB206" s="879">
        <v>2231.1994952314121</v>
      </c>
      <c r="FC206" s="7">
        <v>0</v>
      </c>
      <c r="FD206" s="879"/>
      <c r="FE206" s="877"/>
      <c r="FF206" s="879">
        <v>2877.7402580541511</v>
      </c>
      <c r="FG206" s="7">
        <v>0</v>
      </c>
      <c r="FH206" s="879"/>
      <c r="FI206" s="877"/>
      <c r="FJ206" s="879">
        <v>2309.1897511437564</v>
      </c>
      <c r="FK206" s="7">
        <v>0</v>
      </c>
      <c r="FL206" s="879"/>
      <c r="FM206" s="877"/>
      <c r="FN206" s="879">
        <v>9491.4957963602683</v>
      </c>
      <c r="FO206" s="7">
        <v>3846403.4555155956</v>
      </c>
      <c r="FP206" s="879"/>
      <c r="FQ206" s="877"/>
      <c r="FR206" s="879">
        <v>8733.1636022239873</v>
      </c>
      <c r="FS206" s="7">
        <v>3405834.1973714936</v>
      </c>
      <c r="FT206" s="879"/>
      <c r="FU206" s="877"/>
      <c r="FV206" s="879">
        <v>5532.5642221770813</v>
      </c>
      <c r="FW206" s="7">
        <v>2242056.9527307134</v>
      </c>
      <c r="FX206" s="879"/>
      <c r="FY206" s="877"/>
      <c r="FZ206" s="879">
        <v>386668.9404614846</v>
      </c>
      <c r="GA206" s="877"/>
      <c r="GB206" s="879">
        <v>430429.44230470224</v>
      </c>
      <c r="GC206" s="877"/>
      <c r="GD206" s="879">
        <v>729654.24669048609</v>
      </c>
      <c r="GE206" s="877"/>
      <c r="GF206" s="879">
        <v>1661096.1210547134</v>
      </c>
      <c r="GG206" s="877"/>
      <c r="GH206" s="879">
        <v>158240.53150467377</v>
      </c>
      <c r="GI206" s="877"/>
      <c r="GJ206" s="879">
        <v>1367645.191034175</v>
      </c>
      <c r="GK206" s="877"/>
      <c r="GL206" s="879">
        <v>1042456.3403946484</v>
      </c>
      <c r="GM206" s="877"/>
      <c r="GN206" s="879">
        <v>1001630.8709433038</v>
      </c>
      <c r="GO206" s="877"/>
      <c r="GP206" s="879">
        <v>880444.13491323555</v>
      </c>
      <c r="GQ206" s="877"/>
      <c r="GR206" s="879">
        <v>753426.69519872929</v>
      </c>
      <c r="GS206" s="877"/>
    </row>
    <row r="207" spans="1:201" x14ac:dyDescent="0.45">
      <c r="A207" s="768" t="s">
        <v>113</v>
      </c>
      <c r="B207" s="879">
        <v>57794.191778589724</v>
      </c>
      <c r="C207" s="7">
        <v>624730.92576236045</v>
      </c>
      <c r="D207" s="879"/>
      <c r="E207" s="877"/>
      <c r="F207" s="879">
        <v>57794.191778589724</v>
      </c>
      <c r="G207" s="7">
        <v>624730.92576236045</v>
      </c>
      <c r="H207" s="879"/>
      <c r="I207" s="877"/>
      <c r="J207" s="879">
        <v>259115.17878093367</v>
      </c>
      <c r="K207" s="7">
        <v>0</v>
      </c>
      <c r="L207" s="879"/>
      <c r="M207" s="877"/>
      <c r="N207" s="879">
        <v>170378.49137918418</v>
      </c>
      <c r="O207" s="7">
        <v>2098438.4576887828</v>
      </c>
      <c r="P207" s="879"/>
      <c r="Q207" s="877"/>
      <c r="R207" s="879">
        <v>9145.4299932473295</v>
      </c>
      <c r="S207" s="7">
        <v>0</v>
      </c>
      <c r="T207" s="879"/>
      <c r="U207" s="877"/>
      <c r="V207" s="879">
        <v>13191.251176328791</v>
      </c>
      <c r="W207" s="7">
        <v>0</v>
      </c>
      <c r="X207" s="879"/>
      <c r="Y207" s="877"/>
      <c r="Z207" s="879">
        <v>13925.81950004254</v>
      </c>
      <c r="AA207" s="7">
        <v>0</v>
      </c>
      <c r="AB207" s="879"/>
      <c r="AC207" s="877"/>
      <c r="AD207" s="879">
        <v>13925.81950004254</v>
      </c>
      <c r="AE207" s="7">
        <v>0</v>
      </c>
      <c r="AF207" s="879"/>
      <c r="AG207" s="877"/>
      <c r="AH207" s="879">
        <v>13069.815154769247</v>
      </c>
      <c r="AI207" s="7">
        <v>0</v>
      </c>
      <c r="AJ207" s="879"/>
      <c r="AK207" s="877"/>
      <c r="AL207" s="879">
        <v>0</v>
      </c>
      <c r="AM207" s="7">
        <v>0</v>
      </c>
      <c r="AN207" s="879"/>
      <c r="AO207" s="877"/>
      <c r="AP207" s="879">
        <v>255681.14550106251</v>
      </c>
      <c r="AQ207" s="7">
        <v>0</v>
      </c>
      <c r="AR207" s="879"/>
      <c r="AS207" s="877"/>
      <c r="AT207" s="879">
        <v>235495.79190887336</v>
      </c>
      <c r="AU207" s="7">
        <v>0</v>
      </c>
      <c r="AV207" s="879"/>
      <c r="AW207" s="877"/>
      <c r="AX207" s="879">
        <v>279651.25289178704</v>
      </c>
      <c r="AY207" s="7">
        <v>0</v>
      </c>
      <c r="AZ207" s="879"/>
      <c r="BA207" s="877"/>
      <c r="BB207" s="879">
        <v>251107.1607764384</v>
      </c>
      <c r="BC207" s="7">
        <v>3092719.7377373665</v>
      </c>
      <c r="BD207" s="879"/>
      <c r="BE207" s="877"/>
      <c r="BF207" s="879">
        <v>251107.1607764384</v>
      </c>
      <c r="BG207" s="7">
        <v>3092719.7377373665</v>
      </c>
      <c r="BH207" s="879"/>
      <c r="BI207" s="877"/>
      <c r="BJ207" s="879">
        <v>155229.88120725285</v>
      </c>
      <c r="BK207" s="7">
        <v>1911863.110601281</v>
      </c>
      <c r="BL207" s="879"/>
      <c r="BM207" s="877"/>
      <c r="BN207" s="879">
        <v>251107.1607764384</v>
      </c>
      <c r="BO207" s="7">
        <v>3092719.7377373665</v>
      </c>
      <c r="BP207" s="879"/>
      <c r="BQ207" s="877"/>
      <c r="BR207" s="879">
        <v>9152.4703550589256</v>
      </c>
      <c r="BS207" s="7">
        <v>0</v>
      </c>
      <c r="BT207" s="879"/>
      <c r="BU207" s="877"/>
      <c r="BV207" s="879">
        <v>8448.4341739005467</v>
      </c>
      <c r="BW207" s="7">
        <v>0</v>
      </c>
      <c r="BX207" s="879"/>
      <c r="BY207" s="877"/>
      <c r="BZ207" s="879">
        <v>39789.821963421855</v>
      </c>
      <c r="CA207" s="7">
        <v>0</v>
      </c>
      <c r="CB207" s="879"/>
      <c r="CC207" s="877"/>
      <c r="CD207" s="879">
        <v>50320.091407643136</v>
      </c>
      <c r="CE207" s="7">
        <v>0</v>
      </c>
      <c r="CF207" s="879"/>
      <c r="CG207" s="877"/>
      <c r="CH207" s="879">
        <v>110696.33416156653</v>
      </c>
      <c r="CI207" s="7">
        <v>0</v>
      </c>
      <c r="CJ207" s="879"/>
      <c r="CK207" s="877"/>
      <c r="CL207" s="879">
        <v>92387.200545424712</v>
      </c>
      <c r="CM207" s="7">
        <v>0</v>
      </c>
      <c r="CN207" s="879"/>
      <c r="CO207" s="877"/>
      <c r="CP207" s="879">
        <v>13250.880136945052</v>
      </c>
      <c r="CQ207" s="7">
        <v>0</v>
      </c>
      <c r="CR207" s="879"/>
      <c r="CS207" s="877"/>
      <c r="CT207" s="879">
        <v>21884.40207988202</v>
      </c>
      <c r="CU207" s="7">
        <v>0</v>
      </c>
      <c r="CV207" s="879"/>
      <c r="CW207" s="877"/>
      <c r="CX207" s="879">
        <v>27676.050274203721</v>
      </c>
      <c r="CY207" s="7">
        <v>0</v>
      </c>
      <c r="CZ207" s="879"/>
      <c r="DA207" s="877"/>
      <c r="DB207" s="879">
        <v>60882.983788861566</v>
      </c>
      <c r="DC207" s="7">
        <v>0</v>
      </c>
      <c r="DD207" s="879"/>
      <c r="DE207" s="877"/>
      <c r="DF207" s="879">
        <v>50812.960299983577</v>
      </c>
      <c r="DG207" s="7">
        <v>0</v>
      </c>
      <c r="DH207" s="879"/>
      <c r="DI207" s="877"/>
      <c r="DJ207" s="879">
        <v>7287.9840753197641</v>
      </c>
      <c r="DK207" s="7">
        <v>0</v>
      </c>
      <c r="DL207" s="879"/>
      <c r="DM207" s="877"/>
      <c r="DN207" s="879">
        <v>13925.819500042548</v>
      </c>
      <c r="DO207" s="7">
        <v>0</v>
      </c>
      <c r="DP207" s="879"/>
      <c r="DQ207" s="877"/>
      <c r="DR207" s="879">
        <v>13925.819500042548</v>
      </c>
      <c r="DS207" s="7">
        <v>0</v>
      </c>
      <c r="DT207" s="879"/>
      <c r="DU207" s="877"/>
      <c r="DV207" s="879">
        <v>0</v>
      </c>
      <c r="DW207" s="7">
        <v>0</v>
      </c>
      <c r="DX207" s="879"/>
      <c r="DY207" s="877"/>
      <c r="DZ207" s="879">
        <v>0</v>
      </c>
      <c r="EA207" s="7">
        <v>0</v>
      </c>
      <c r="EB207" s="879"/>
      <c r="EC207" s="877"/>
      <c r="ED207" s="879">
        <v>0</v>
      </c>
      <c r="EE207" s="7">
        <v>0</v>
      </c>
      <c r="EF207" s="879"/>
      <c r="EG207" s="877"/>
      <c r="EH207" s="879">
        <v>0</v>
      </c>
      <c r="EI207" s="7">
        <v>0</v>
      </c>
      <c r="EJ207" s="879"/>
      <c r="EK207" s="877"/>
      <c r="EL207" s="879">
        <v>0</v>
      </c>
      <c r="EM207" s="7">
        <v>0</v>
      </c>
      <c r="EN207" s="879"/>
      <c r="EO207" s="877"/>
      <c r="EP207" s="879">
        <v>0</v>
      </c>
      <c r="EQ207" s="7">
        <v>0</v>
      </c>
      <c r="ER207" s="879"/>
      <c r="ES207" s="877"/>
      <c r="ET207" s="879">
        <v>172015.91614099831</v>
      </c>
      <c r="EU207" s="7">
        <v>2118605.5284495843</v>
      </c>
      <c r="EV207" s="879"/>
      <c r="EW207" s="877"/>
      <c r="EX207" s="879">
        <v>172302.17672127881</v>
      </c>
      <c r="EY207" s="7">
        <v>2122131.2094537904</v>
      </c>
      <c r="EZ207" s="879"/>
      <c r="FA207" s="877"/>
      <c r="FB207" s="879">
        <v>125369.21389719388</v>
      </c>
      <c r="FC207" s="7">
        <v>1544089.1495311372</v>
      </c>
      <c r="FD207" s="879"/>
      <c r="FE207" s="877"/>
      <c r="FF207" s="879">
        <v>161697.79292422169</v>
      </c>
      <c r="FG207" s="7">
        <v>1991524.073543001</v>
      </c>
      <c r="FH207" s="879"/>
      <c r="FI207" s="877"/>
      <c r="FJ207" s="879">
        <v>129751.42046198946</v>
      </c>
      <c r="FK207" s="7">
        <v>1598061.8705633807</v>
      </c>
      <c r="FL207" s="879"/>
      <c r="FM207" s="877"/>
      <c r="FN207" s="879">
        <v>12052.473484965383</v>
      </c>
      <c r="FO207" s="7">
        <v>6.3402894884347916E-3</v>
      </c>
      <c r="FP207" s="879"/>
      <c r="FQ207" s="877"/>
      <c r="FR207" s="879">
        <v>29148.609900876239</v>
      </c>
      <c r="FS207" s="7">
        <v>227564.39671382587</v>
      </c>
      <c r="FT207" s="879"/>
      <c r="FU207" s="877"/>
      <c r="FV207" s="879">
        <v>7025.3503791496987</v>
      </c>
      <c r="FW207" s="7">
        <v>0</v>
      </c>
      <c r="FX207" s="879"/>
      <c r="FY207" s="877"/>
      <c r="FZ207" s="879">
        <v>1595374.1166921395</v>
      </c>
      <c r="GA207" s="877"/>
      <c r="GB207" s="879">
        <v>1684100.5404987475</v>
      </c>
      <c r="GC207" s="877"/>
      <c r="GD207" s="879">
        <v>175241.91603442188</v>
      </c>
      <c r="GE207" s="877"/>
      <c r="GF207" s="879">
        <v>147191.16425073479</v>
      </c>
      <c r="GG207" s="877"/>
      <c r="GH207" s="879">
        <v>993598.59349085682</v>
      </c>
      <c r="GI207" s="877"/>
      <c r="GJ207" s="879">
        <v>499244.98879776988</v>
      </c>
      <c r="GK207" s="877"/>
      <c r="GL207" s="879">
        <v>798670.81695398968</v>
      </c>
      <c r="GM207" s="877"/>
      <c r="GN207" s="879">
        <v>853224.95882544178</v>
      </c>
      <c r="GO207" s="877"/>
      <c r="GP207" s="879">
        <v>1120600.1957824763</v>
      </c>
      <c r="GQ207" s="877"/>
      <c r="GR207" s="879">
        <v>607447.05388342112</v>
      </c>
      <c r="GS207" s="877"/>
    </row>
    <row r="208" spans="1:201" x14ac:dyDescent="0.45">
      <c r="A208" s="768" t="s">
        <v>1966</v>
      </c>
      <c r="B208" s="879">
        <v>18625.453174440427</v>
      </c>
      <c r="C208" s="7">
        <v>13992.693881688363</v>
      </c>
      <c r="D208" s="879"/>
      <c r="E208" s="877"/>
      <c r="F208" s="879">
        <v>18625.453174440427</v>
      </c>
      <c r="G208" s="7">
        <v>13992.693881688363</v>
      </c>
      <c r="H208" s="879"/>
      <c r="I208" s="877"/>
      <c r="J208" s="879">
        <v>137866.31846762582</v>
      </c>
      <c r="K208" s="7">
        <v>3044707.5891621807</v>
      </c>
      <c r="L208" s="879"/>
      <c r="M208" s="877"/>
      <c r="N208" s="879">
        <v>8389.3760574131265</v>
      </c>
      <c r="O208" s="7">
        <v>0</v>
      </c>
      <c r="P208" s="879"/>
      <c r="Q208" s="877"/>
      <c r="R208" s="879">
        <v>44917.927653231971</v>
      </c>
      <c r="S208" s="7">
        <v>0</v>
      </c>
      <c r="T208" s="879"/>
      <c r="U208" s="877"/>
      <c r="V208" s="879">
        <v>105272.12157767295</v>
      </c>
      <c r="W208" s="7">
        <v>0</v>
      </c>
      <c r="X208" s="879"/>
      <c r="Y208" s="877"/>
      <c r="Z208" s="879">
        <v>3192.758026397591</v>
      </c>
      <c r="AA208" s="7">
        <v>0</v>
      </c>
      <c r="AB208" s="879"/>
      <c r="AC208" s="877"/>
      <c r="AD208" s="879">
        <v>3192.758026397591</v>
      </c>
      <c r="AE208" s="7">
        <v>0</v>
      </c>
      <c r="AF208" s="879"/>
      <c r="AG208" s="877"/>
      <c r="AH208" s="879">
        <v>2605.1606916582032</v>
      </c>
      <c r="AI208" s="7">
        <v>0</v>
      </c>
      <c r="AJ208" s="879"/>
      <c r="AK208" s="877"/>
      <c r="AL208" s="879">
        <v>0</v>
      </c>
      <c r="AM208" s="7">
        <v>0</v>
      </c>
      <c r="AN208" s="879"/>
      <c r="AO208" s="877"/>
      <c r="AP208" s="879">
        <v>136039.18688846269</v>
      </c>
      <c r="AQ208" s="7">
        <v>3004356.3166591562</v>
      </c>
      <c r="AR208" s="879"/>
      <c r="AS208" s="877"/>
      <c r="AT208" s="879">
        <v>125299.25108147878</v>
      </c>
      <c r="AU208" s="7">
        <v>2767170.2916597491</v>
      </c>
      <c r="AV208" s="879"/>
      <c r="AW208" s="877"/>
      <c r="AX208" s="879">
        <v>148792.86065925605</v>
      </c>
      <c r="AY208" s="7">
        <v>3286014.7213459518</v>
      </c>
      <c r="AZ208" s="879"/>
      <c r="BA208" s="877"/>
      <c r="BB208" s="879">
        <v>12364.426902774047</v>
      </c>
      <c r="BC208" s="7">
        <v>0</v>
      </c>
      <c r="BD208" s="879"/>
      <c r="BE208" s="877"/>
      <c r="BF208" s="879">
        <v>12364.426902774047</v>
      </c>
      <c r="BG208" s="7">
        <v>0</v>
      </c>
      <c r="BH208" s="879"/>
      <c r="BI208" s="877"/>
      <c r="BJ208" s="879">
        <v>7643.4639035330465</v>
      </c>
      <c r="BK208" s="7">
        <v>0</v>
      </c>
      <c r="BL208" s="879"/>
      <c r="BM208" s="877"/>
      <c r="BN208" s="879">
        <v>12364.426902774047</v>
      </c>
      <c r="BO208" s="7">
        <v>0</v>
      </c>
      <c r="BP208" s="879"/>
      <c r="BQ208" s="877"/>
      <c r="BR208" s="879">
        <v>44952.506504389195</v>
      </c>
      <c r="BS208" s="7">
        <v>0</v>
      </c>
      <c r="BT208" s="879"/>
      <c r="BU208" s="877"/>
      <c r="BV208" s="879">
        <v>41494.621388666943</v>
      </c>
      <c r="BW208" s="7">
        <v>0</v>
      </c>
      <c r="BX208" s="879"/>
      <c r="BY208" s="877"/>
      <c r="BZ208" s="879">
        <v>106692.22468551731</v>
      </c>
      <c r="CA208" s="7">
        <v>0</v>
      </c>
      <c r="CB208" s="879"/>
      <c r="CC208" s="877"/>
      <c r="CD208" s="879">
        <v>132628.02937337666</v>
      </c>
      <c r="CE208" s="7">
        <v>0</v>
      </c>
      <c r="CF208" s="879"/>
      <c r="CG208" s="877"/>
      <c r="CH208" s="879">
        <v>72287.816894818985</v>
      </c>
      <c r="CI208" s="7">
        <v>0</v>
      </c>
      <c r="CJ208" s="879"/>
      <c r="CK208" s="877"/>
      <c r="CL208" s="879">
        <v>50537.981392412563</v>
      </c>
      <c r="CM208" s="7">
        <v>0</v>
      </c>
      <c r="CN208" s="879"/>
      <c r="CO208" s="877"/>
      <c r="CP208" s="879">
        <v>105747.98752151981</v>
      </c>
      <c r="CQ208" s="7">
        <v>0</v>
      </c>
      <c r="CR208" s="879"/>
      <c r="CS208" s="877"/>
      <c r="CT208" s="879">
        <v>58680.723577034507</v>
      </c>
      <c r="CU208" s="7">
        <v>0</v>
      </c>
      <c r="CV208" s="879"/>
      <c r="CW208" s="877"/>
      <c r="CX208" s="879">
        <v>72945.416155357147</v>
      </c>
      <c r="CY208" s="7">
        <v>0</v>
      </c>
      <c r="CZ208" s="879"/>
      <c r="DA208" s="877"/>
      <c r="DB208" s="879">
        <v>39758.299292150441</v>
      </c>
      <c r="DC208" s="7">
        <v>0</v>
      </c>
      <c r="DD208" s="879"/>
      <c r="DE208" s="877"/>
      <c r="DF208" s="879">
        <v>27795.889765826902</v>
      </c>
      <c r="DG208" s="7">
        <v>0</v>
      </c>
      <c r="DH208" s="879"/>
      <c r="DI208" s="877"/>
      <c r="DJ208" s="879">
        <v>58161.393136835875</v>
      </c>
      <c r="DK208" s="7">
        <v>0</v>
      </c>
      <c r="DL208" s="879"/>
      <c r="DM208" s="877"/>
      <c r="DN208" s="879">
        <v>3192.758026397591</v>
      </c>
      <c r="DO208" s="7">
        <v>0</v>
      </c>
      <c r="DP208" s="879"/>
      <c r="DQ208" s="877"/>
      <c r="DR208" s="879">
        <v>3192.758026397591</v>
      </c>
      <c r="DS208" s="7">
        <v>0</v>
      </c>
      <c r="DT208" s="879"/>
      <c r="DU208" s="877"/>
      <c r="DV208" s="879">
        <v>0</v>
      </c>
      <c r="DW208" s="7">
        <v>0</v>
      </c>
      <c r="DX208" s="879"/>
      <c r="DY208" s="877"/>
      <c r="DZ208" s="879">
        <v>0</v>
      </c>
      <c r="EA208" s="7">
        <v>0</v>
      </c>
      <c r="EB208" s="879"/>
      <c r="EC208" s="877"/>
      <c r="ED208" s="879">
        <v>0</v>
      </c>
      <c r="EE208" s="7">
        <v>0</v>
      </c>
      <c r="EF208" s="879"/>
      <c r="EG208" s="877"/>
      <c r="EH208" s="879">
        <v>0</v>
      </c>
      <c r="EI208" s="7">
        <v>0</v>
      </c>
      <c r="EJ208" s="879"/>
      <c r="EK208" s="877"/>
      <c r="EL208" s="879">
        <v>0</v>
      </c>
      <c r="EM208" s="7">
        <v>0</v>
      </c>
      <c r="EN208" s="879"/>
      <c r="EO208" s="877"/>
      <c r="EP208" s="879">
        <v>0</v>
      </c>
      <c r="EQ208" s="7">
        <v>0</v>
      </c>
      <c r="ER208" s="879"/>
      <c r="ES208" s="877"/>
      <c r="ET208" s="879">
        <v>8470.002267807291</v>
      </c>
      <c r="EU208" s="7">
        <v>0</v>
      </c>
      <c r="EV208" s="879"/>
      <c r="EW208" s="877"/>
      <c r="EX208" s="879">
        <v>8484.0976365298702</v>
      </c>
      <c r="EY208" s="7">
        <v>0</v>
      </c>
      <c r="EZ208" s="879"/>
      <c r="FA208" s="877"/>
      <c r="FB208" s="879">
        <v>6173.1353112234583</v>
      </c>
      <c r="FC208" s="7">
        <v>0</v>
      </c>
      <c r="FD208" s="879"/>
      <c r="FE208" s="877"/>
      <c r="FF208" s="879">
        <v>7961.9415661802568</v>
      </c>
      <c r="FG208" s="7">
        <v>0</v>
      </c>
      <c r="FH208" s="879"/>
      <c r="FI208" s="877"/>
      <c r="FJ208" s="879">
        <v>6388.9135971780779</v>
      </c>
      <c r="FK208" s="7">
        <v>0</v>
      </c>
      <c r="FL208" s="879"/>
      <c r="FM208" s="877"/>
      <c r="FN208" s="879">
        <v>59195.918884065824</v>
      </c>
      <c r="FO208" s="7">
        <v>0</v>
      </c>
      <c r="FP208" s="879"/>
      <c r="FQ208" s="877"/>
      <c r="FR208" s="879">
        <v>53325.367220315165</v>
      </c>
      <c r="FS208" s="7">
        <v>0</v>
      </c>
      <c r="FT208" s="879"/>
      <c r="FU208" s="877"/>
      <c r="FV208" s="879">
        <v>34505.12226349704</v>
      </c>
      <c r="FW208" s="7">
        <v>0</v>
      </c>
      <c r="FX208" s="879"/>
      <c r="FY208" s="877"/>
      <c r="FZ208" s="879">
        <v>387468.30730368913</v>
      </c>
      <c r="GA208" s="877"/>
      <c r="GB208" s="879">
        <v>21251.820851716013</v>
      </c>
      <c r="GC208" s="877"/>
      <c r="GD208" s="879">
        <v>2134178.6904157428</v>
      </c>
      <c r="GE208" s="877"/>
      <c r="GF208" s="879">
        <v>36539.379218642782</v>
      </c>
      <c r="GG208" s="877"/>
      <c r="GH208" s="879">
        <v>18370.678071016493</v>
      </c>
      <c r="GI208" s="877"/>
      <c r="GJ208" s="879">
        <v>30477.360284853716</v>
      </c>
      <c r="GK208" s="877"/>
      <c r="GL208" s="879">
        <v>29819.339704561105</v>
      </c>
      <c r="GM208" s="877"/>
      <c r="GN208" s="879">
        <v>72305.088315276356</v>
      </c>
      <c r="GO208" s="877"/>
      <c r="GP208" s="879">
        <v>22036.719045738828</v>
      </c>
      <c r="GQ208" s="877"/>
      <c r="GR208" s="879">
        <v>19630.552398043499</v>
      </c>
      <c r="GS208" s="877"/>
    </row>
    <row r="209" spans="1:201" s="905" customFormat="1" x14ac:dyDescent="0.45">
      <c r="A209" s="768" t="s">
        <v>1532</v>
      </c>
      <c r="B209" s="904">
        <v>9.968802413359251</v>
      </c>
      <c r="C209" s="905">
        <v>189.40987601192853</v>
      </c>
      <c r="D209" s="904"/>
      <c r="E209" s="906"/>
      <c r="F209" s="904">
        <v>9.968802413359251</v>
      </c>
      <c r="G209" s="905">
        <v>189.20319163209814</v>
      </c>
      <c r="H209" s="904"/>
      <c r="I209" s="906"/>
      <c r="J209" s="904">
        <v>63.966017597514089</v>
      </c>
      <c r="K209" s="905">
        <v>95.685070985085801</v>
      </c>
      <c r="L209" s="904"/>
      <c r="M209" s="906"/>
      <c r="N209" s="904">
        <v>6.5398296186425258</v>
      </c>
      <c r="O209" s="905">
        <v>52.117352567475066</v>
      </c>
      <c r="P209" s="904"/>
      <c r="Q209" s="906"/>
      <c r="R209" s="904">
        <v>11.398810473381937</v>
      </c>
      <c r="S209" s="905">
        <v>123.82669269949393</v>
      </c>
      <c r="T209" s="904"/>
      <c r="U209" s="906"/>
      <c r="V209" s="904">
        <v>2.2892859494096123</v>
      </c>
      <c r="W209" s="905">
        <v>122.70494854305045</v>
      </c>
      <c r="X209" s="904"/>
      <c r="Y209" s="906"/>
      <c r="Z209" s="904">
        <v>19.395298906809316</v>
      </c>
      <c r="AA209" s="905">
        <v>123.94439246772772</v>
      </c>
      <c r="AB209" s="904"/>
      <c r="AC209" s="906"/>
      <c r="AD209" s="904">
        <v>19.395298906809316</v>
      </c>
      <c r="AE209" s="905">
        <v>123.94439246772772</v>
      </c>
      <c r="AF209" s="904"/>
      <c r="AG209" s="906"/>
      <c r="AH209" s="904">
        <v>15.238783454884537</v>
      </c>
      <c r="AI209" s="905">
        <v>117.87111723680906</v>
      </c>
      <c r="AJ209" s="904"/>
      <c r="AK209" s="906"/>
      <c r="AL209" s="904">
        <v>0</v>
      </c>
      <c r="AM209" s="905">
        <v>657.15141110098034</v>
      </c>
      <c r="AN209" s="904"/>
      <c r="AO209" s="906"/>
      <c r="AP209" s="904">
        <v>63.11828094910878</v>
      </c>
      <c r="AQ209" s="905">
        <v>123.94439246772772</v>
      </c>
      <c r="AR209" s="904"/>
      <c r="AS209" s="906"/>
      <c r="AT209" s="904">
        <v>58.135258768915982</v>
      </c>
      <c r="AU209" s="905">
        <v>0</v>
      </c>
      <c r="AV209" s="904"/>
      <c r="AW209" s="906"/>
      <c r="AX209" s="904">
        <v>69.035619788087729</v>
      </c>
      <c r="AY209" s="905">
        <v>0</v>
      </c>
      <c r="AZ209" s="904"/>
      <c r="BA209" s="906"/>
      <c r="BB209" s="904">
        <v>9.6385291019170065</v>
      </c>
      <c r="BC209" s="905">
        <v>123.94439246772775</v>
      </c>
      <c r="BD209" s="904"/>
      <c r="BE209" s="906"/>
      <c r="BF209" s="904">
        <v>9.6385291019170065</v>
      </c>
      <c r="BG209" s="905">
        <v>0</v>
      </c>
      <c r="BH209" s="904"/>
      <c r="BI209" s="906"/>
      <c r="BJ209" s="904">
        <v>5.9583634448214218</v>
      </c>
      <c r="BK209" s="905">
        <v>48.943285071633042</v>
      </c>
      <c r="BL209" s="904"/>
      <c r="BM209" s="906"/>
      <c r="BN209" s="904">
        <v>9.6385291019170065</v>
      </c>
      <c r="BO209" s="905">
        <v>0</v>
      </c>
      <c r="BP209" s="904"/>
      <c r="BQ209" s="906"/>
      <c r="BR209" s="904">
        <v>11.407585539181309</v>
      </c>
      <c r="BS209" s="905">
        <v>123.94439246772775</v>
      </c>
      <c r="BT209" s="904"/>
      <c r="BU209" s="906"/>
      <c r="BV209" s="904">
        <v>10.530078959244284</v>
      </c>
      <c r="BW209" s="905">
        <v>112.17441564435097</v>
      </c>
      <c r="BX209" s="904"/>
      <c r="BY209" s="906"/>
      <c r="BZ209" s="904">
        <v>5.9148437788418438</v>
      </c>
      <c r="CA209" s="905">
        <v>123.94439246772775</v>
      </c>
      <c r="CB209" s="904"/>
      <c r="CC209" s="906"/>
      <c r="CD209" s="904">
        <v>159.63765088507483</v>
      </c>
      <c r="CE209" s="905">
        <v>123.94439246772775</v>
      </c>
      <c r="CF209" s="904"/>
      <c r="CG209" s="906"/>
      <c r="CH209" s="904">
        <v>57.448662878953876</v>
      </c>
      <c r="CI209" s="905">
        <v>123.94439246772775</v>
      </c>
      <c r="CJ209" s="904"/>
      <c r="CK209" s="906"/>
      <c r="CL209" s="904">
        <v>45.751484713542879</v>
      </c>
      <c r="CM209" s="905">
        <v>123.94439246772775</v>
      </c>
      <c r="CN209" s="904"/>
      <c r="CO209" s="906"/>
      <c r="CP209" s="904">
        <v>2.2996343037766072</v>
      </c>
      <c r="CQ209" s="905">
        <v>123.94439246772775</v>
      </c>
      <c r="CR209" s="904"/>
      <c r="CS209" s="906"/>
      <c r="CT209" s="904">
        <v>3.2531640783630134</v>
      </c>
      <c r="CU209" s="905">
        <v>0</v>
      </c>
      <c r="CV209" s="904"/>
      <c r="CW209" s="906"/>
      <c r="CX209" s="904">
        <v>87.800707986791139</v>
      </c>
      <c r="CY209" s="905">
        <v>0</v>
      </c>
      <c r="CZ209" s="904"/>
      <c r="DA209" s="906"/>
      <c r="DB209" s="904">
        <v>31.596764583424623</v>
      </c>
      <c r="DC209" s="905">
        <v>0</v>
      </c>
      <c r="DD209" s="904"/>
      <c r="DE209" s="906"/>
      <c r="DF209" s="904">
        <v>25.163316592448577</v>
      </c>
      <c r="DG209" s="905">
        <v>0</v>
      </c>
      <c r="DH209" s="904"/>
      <c r="DI209" s="906"/>
      <c r="DJ209" s="904">
        <v>1.2647988670771337</v>
      </c>
      <c r="DK209" s="905">
        <v>0</v>
      </c>
      <c r="DL209" s="904"/>
      <c r="DM209" s="906"/>
      <c r="DN209" s="904">
        <v>19.39529890680932</v>
      </c>
      <c r="DO209" s="905">
        <v>123.94439246772772</v>
      </c>
      <c r="DP209" s="904"/>
      <c r="DQ209" s="906"/>
      <c r="DR209" s="904">
        <v>19.39529890680932</v>
      </c>
      <c r="DS209" s="905">
        <v>123.94439246772772</v>
      </c>
      <c r="DT209" s="904"/>
      <c r="DU209" s="906"/>
      <c r="DV209" s="904">
        <v>0</v>
      </c>
      <c r="DW209" s="905">
        <v>1358.66967697777</v>
      </c>
      <c r="DX209" s="904"/>
      <c r="DY209" s="906"/>
      <c r="DZ209" s="904">
        <v>0</v>
      </c>
      <c r="EA209" s="905">
        <v>0.3081714715504148</v>
      </c>
      <c r="EB209" s="904"/>
      <c r="EC209" s="906"/>
      <c r="ED209" s="904">
        <v>0</v>
      </c>
      <c r="EE209" s="905">
        <v>36.980576586049771</v>
      </c>
      <c r="EF209" s="904"/>
      <c r="EG209" s="906"/>
      <c r="EH209" s="904">
        <v>0</v>
      </c>
      <c r="EI209" s="905">
        <v>369.80576586049767</v>
      </c>
      <c r="EJ209" s="904"/>
      <c r="EK209" s="906"/>
      <c r="EL209" s="904">
        <v>0</v>
      </c>
      <c r="EM209" s="905">
        <v>523.89150163570514</v>
      </c>
      <c r="EN209" s="904"/>
      <c r="EO209" s="906"/>
      <c r="EP209" s="904">
        <v>0</v>
      </c>
      <c r="EQ209" s="905">
        <v>292.762897972894</v>
      </c>
      <c r="ER209" s="904"/>
      <c r="ES209" s="906"/>
      <c r="ET209" s="904">
        <v>6.6026807383403661</v>
      </c>
      <c r="EU209" s="905">
        <v>117.10515918915762</v>
      </c>
      <c r="EV209" s="904"/>
      <c r="EW209" s="906"/>
      <c r="EX209" s="904">
        <v>6.6136686007543002</v>
      </c>
      <c r="EY209" s="905">
        <v>117.10515918915762</v>
      </c>
      <c r="EZ209" s="904"/>
      <c r="FA209" s="906"/>
      <c r="FB209" s="904">
        <v>4.8121878041876389</v>
      </c>
      <c r="FC209" s="905">
        <v>48.943285071633028</v>
      </c>
      <c r="FD209" s="904"/>
      <c r="FE209" s="906"/>
      <c r="FF209" s="904">
        <v>6.2066285883556471</v>
      </c>
      <c r="FG209" s="905">
        <v>48.943285071633028</v>
      </c>
      <c r="FH209" s="904"/>
      <c r="FI209" s="906"/>
      <c r="FJ209" s="904">
        <v>4.9803949766744404</v>
      </c>
      <c r="FK209" s="905">
        <v>48.943285071633028</v>
      </c>
      <c r="FL209" s="904"/>
      <c r="FM209" s="906"/>
      <c r="FN209" s="904">
        <v>15.022132484970195</v>
      </c>
      <c r="FO209" s="905">
        <v>280.43603911087746</v>
      </c>
      <c r="FP209" s="904"/>
      <c r="FQ209" s="906"/>
      <c r="FR209" s="904">
        <v>14.010698261975168</v>
      </c>
      <c r="FS209" s="905">
        <v>280.43603911087746</v>
      </c>
      <c r="FT209" s="904"/>
      <c r="FU209" s="906"/>
      <c r="FV209" s="904">
        <v>8.7563556377511098</v>
      </c>
      <c r="FW209" s="905">
        <v>123.94439246772772</v>
      </c>
      <c r="FX209" s="904"/>
      <c r="FY209" s="906"/>
      <c r="FZ209" s="879">
        <v>396.68036059539378</v>
      </c>
      <c r="GA209" s="877"/>
      <c r="GB209" s="879">
        <v>181.59756305029089</v>
      </c>
      <c r="GC209" s="877"/>
      <c r="GD209" s="879">
        <v>157.08499555262372</v>
      </c>
      <c r="GE209" s="877"/>
      <c r="GF209" s="879">
        <v>198.16127591974296</v>
      </c>
      <c r="GG209" s="877"/>
      <c r="GH209" s="879">
        <v>38.356794979165322</v>
      </c>
      <c r="GI209" s="877"/>
      <c r="GJ209" s="879">
        <v>129.13232914759658</v>
      </c>
      <c r="GK209" s="877"/>
      <c r="GL209" s="879">
        <v>195.91500367950209</v>
      </c>
      <c r="GM209" s="877"/>
      <c r="GN209" s="879">
        <v>358.51127031358612</v>
      </c>
      <c r="GO209" s="877"/>
      <c r="GP209" s="879">
        <v>338.57927683506699</v>
      </c>
      <c r="GQ209" s="877"/>
      <c r="GR209" s="879">
        <v>352.01875685866253</v>
      </c>
      <c r="GS209" s="877"/>
    </row>
    <row r="210" spans="1:201" ht="12" customHeight="1" x14ac:dyDescent="0.45">
      <c r="A210" s="768" t="s">
        <v>2582</v>
      </c>
      <c r="B210" s="904">
        <v>12.792281884796207</v>
      </c>
      <c r="C210" s="905">
        <v>2.2628554747491556</v>
      </c>
      <c r="D210" s="904">
        <v>0.33136147837754526</v>
      </c>
      <c r="E210" s="906">
        <v>0.74056070364527182</v>
      </c>
      <c r="F210" s="904">
        <v>12.792281884796207</v>
      </c>
      <c r="G210" s="905">
        <v>2.2628554747491556</v>
      </c>
      <c r="H210" s="904">
        <v>0.33136147837754526</v>
      </c>
      <c r="I210" s="906">
        <v>0.74056070364527182</v>
      </c>
      <c r="J210" s="904">
        <v>17.501142010607243</v>
      </c>
      <c r="K210" s="905">
        <v>5.1719801727363013</v>
      </c>
      <c r="L210" s="904">
        <v>4.9199698950024917</v>
      </c>
      <c r="M210" s="906">
        <v>5.1719801727363006E-2</v>
      </c>
      <c r="N210" s="904">
        <v>17.991833351353844</v>
      </c>
      <c r="O210" s="905">
        <v>4.4352654528478821</v>
      </c>
      <c r="P210" s="904">
        <v>0.76849134877962244</v>
      </c>
      <c r="Q210" s="906">
        <v>1.3882380867413868</v>
      </c>
      <c r="R210" s="904">
        <v>21.88132683913993</v>
      </c>
      <c r="S210" s="905">
        <v>2.6265454520241853</v>
      </c>
      <c r="T210" s="904">
        <v>0.22276043923676628</v>
      </c>
      <c r="U210" s="906">
        <v>0.99808727176919043</v>
      </c>
      <c r="V210" s="904">
        <v>4.4795917705513606</v>
      </c>
      <c r="W210" s="905">
        <v>41.189274373013788</v>
      </c>
      <c r="X210" s="904">
        <v>0.38808083019611656</v>
      </c>
      <c r="Y210" s="906">
        <v>0.5354605668491792</v>
      </c>
      <c r="Z210" s="904">
        <v>0.95336676588411495</v>
      </c>
      <c r="AA210" s="905">
        <v>0</v>
      </c>
      <c r="AB210" s="904">
        <v>3.1921116093467101E-2</v>
      </c>
      <c r="AC210" s="906">
        <v>0</v>
      </c>
      <c r="AD210" s="904">
        <v>0.95336676588411495</v>
      </c>
      <c r="AE210" s="905">
        <v>0</v>
      </c>
      <c r="AF210" s="904">
        <v>3.1921116093467101E-2</v>
      </c>
      <c r="AG210" s="906">
        <v>0</v>
      </c>
      <c r="AH210" s="904">
        <v>0.81943044548803901</v>
      </c>
      <c r="AI210" s="905">
        <v>0</v>
      </c>
      <c r="AJ210" s="904">
        <v>2.9459390832580704E-2</v>
      </c>
      <c r="AK210" s="906">
        <v>0</v>
      </c>
      <c r="AL210" s="904">
        <v>0</v>
      </c>
      <c r="AM210" s="905">
        <v>0</v>
      </c>
      <c r="AN210" s="904">
        <v>0</v>
      </c>
      <c r="AO210" s="906">
        <v>0</v>
      </c>
      <c r="AP210" s="904">
        <v>17.269200738841811</v>
      </c>
      <c r="AQ210" s="905">
        <v>6.2866980196284619</v>
      </c>
      <c r="AR210" s="904">
        <v>4.8547659172390469</v>
      </c>
      <c r="AS210" s="906">
        <v>6.2866980196284616E-2</v>
      </c>
      <c r="AT210" s="904">
        <v>15.905842785775352</v>
      </c>
      <c r="AU210" s="905">
        <v>3.5131547756747281</v>
      </c>
      <c r="AV210" s="904">
        <v>4.4714949237728066</v>
      </c>
      <c r="AW210" s="906">
        <v>3.5131547756747282E-2</v>
      </c>
      <c r="AX210" s="904">
        <v>18.88818830810823</v>
      </c>
      <c r="AY210" s="905">
        <v>0.86288012034116124</v>
      </c>
      <c r="AZ210" s="904">
        <v>5.3099002219802065</v>
      </c>
      <c r="BA210" s="906">
        <v>8.6288012034116141E-3</v>
      </c>
      <c r="BB210" s="904">
        <v>26.516716713769792</v>
      </c>
      <c r="BC210" s="905">
        <v>9.3684127351326083</v>
      </c>
      <c r="BD210" s="904">
        <v>1.1326176157050012</v>
      </c>
      <c r="BE210" s="906">
        <v>2.9323131860965068</v>
      </c>
      <c r="BF210" s="904">
        <v>26.516716713769792</v>
      </c>
      <c r="BG210" s="905">
        <v>3.2666175984343964</v>
      </c>
      <c r="BH210" s="904">
        <v>1.1326176157050012</v>
      </c>
      <c r="BI210" s="906">
        <v>1.0224513083099662</v>
      </c>
      <c r="BJ210" s="904">
        <v>16.392152150330418</v>
      </c>
      <c r="BK210" s="905">
        <v>0.52389150163570519</v>
      </c>
      <c r="BL210" s="904">
        <v>0.70016361698127338</v>
      </c>
      <c r="BM210" s="906">
        <v>0.16397804001197569</v>
      </c>
      <c r="BN210" s="904">
        <v>26.516716713769792</v>
      </c>
      <c r="BO210" s="905">
        <v>330.05164603049423</v>
      </c>
      <c r="BP210" s="904">
        <v>1.1326176157050012</v>
      </c>
      <c r="BQ210" s="906">
        <v>103.30616520754469</v>
      </c>
      <c r="BR210" s="904">
        <v>21.898171586514174</v>
      </c>
      <c r="BS210" s="905">
        <v>2.650274655333567</v>
      </c>
      <c r="BT210" s="904">
        <v>0.22293192533317646</v>
      </c>
      <c r="BU210" s="906">
        <v>1.0071043690267554</v>
      </c>
      <c r="BV210" s="904">
        <v>20.213696849090006</v>
      </c>
      <c r="BW210" s="905">
        <v>0.27735432439537328</v>
      </c>
      <c r="BX210" s="904">
        <v>0.20578331569216285</v>
      </c>
      <c r="BY210" s="906">
        <v>0.10539464327024185</v>
      </c>
      <c r="BZ210" s="904">
        <v>7.5207230307148363</v>
      </c>
      <c r="CA210" s="905">
        <v>41.387428629220707</v>
      </c>
      <c r="CB210" s="904">
        <v>0.37930798853576092</v>
      </c>
      <c r="CC210" s="906">
        <v>0.53803657217986911</v>
      </c>
      <c r="CD210" s="904">
        <v>9.5594008476969048</v>
      </c>
      <c r="CE210" s="905">
        <v>41.387428629220707</v>
      </c>
      <c r="CF210" s="904">
        <v>0.45598687847217856</v>
      </c>
      <c r="CG210" s="906">
        <v>0.53803657217986911</v>
      </c>
      <c r="CH210" s="904">
        <v>13.608299518073357</v>
      </c>
      <c r="CI210" s="905">
        <v>41.387428629220707</v>
      </c>
      <c r="CJ210" s="904">
        <v>0.3205082133431158</v>
      </c>
      <c r="CK210" s="906">
        <v>0.53803657217986911</v>
      </c>
      <c r="CL210" s="904">
        <v>11.379511214705794</v>
      </c>
      <c r="CM210" s="905">
        <v>41.387428629220707</v>
      </c>
      <c r="CN210" s="904">
        <v>0.23107990178072146</v>
      </c>
      <c r="CO210" s="906">
        <v>0.53803657217986911</v>
      </c>
      <c r="CP210" s="904">
        <v>4.4998410553002115</v>
      </c>
      <c r="CQ210" s="905">
        <v>41.387428629220707</v>
      </c>
      <c r="CR210" s="904">
        <v>0.38983508809253303</v>
      </c>
      <c r="CS210" s="906">
        <v>0.53803657217986911</v>
      </c>
      <c r="CT210" s="904">
        <v>4.136397666893159</v>
      </c>
      <c r="CU210" s="905">
        <v>21.572003008529038</v>
      </c>
      <c r="CV210" s="904">
        <v>0.20861939369466845</v>
      </c>
      <c r="CW210" s="906">
        <v>0.28043603911087744</v>
      </c>
      <c r="CX210" s="904">
        <v>5.2576704662332956</v>
      </c>
      <c r="CY210" s="905">
        <v>21.572003008529038</v>
      </c>
      <c r="CZ210" s="904">
        <v>0.25079278315969816</v>
      </c>
      <c r="DA210" s="906">
        <v>0.28043603911087744</v>
      </c>
      <c r="DB210" s="904">
        <v>7.4845647349403439</v>
      </c>
      <c r="DC210" s="905">
        <v>21.572003008529038</v>
      </c>
      <c r="DD210" s="904">
        <v>0.17627951733871361</v>
      </c>
      <c r="DE210" s="906">
        <v>0.28043603911087744</v>
      </c>
      <c r="DF210" s="904">
        <v>6.2587311680881861</v>
      </c>
      <c r="DG210" s="905">
        <v>21.572003008529038</v>
      </c>
      <c r="DH210" s="904">
        <v>0.12709394597939677</v>
      </c>
      <c r="DI210" s="906">
        <v>0.28043603911087744</v>
      </c>
      <c r="DJ210" s="904">
        <v>2.4749125804151162</v>
      </c>
      <c r="DK210" s="905">
        <v>21.572003008529038</v>
      </c>
      <c r="DL210" s="904">
        <v>0.2144092984508931</v>
      </c>
      <c r="DM210" s="906">
        <v>0.28043603911087744</v>
      </c>
      <c r="DN210" s="904">
        <v>0.95336676588411495</v>
      </c>
      <c r="DO210" s="905">
        <v>0</v>
      </c>
      <c r="DP210" s="904">
        <v>3.1921116093467101E-2</v>
      </c>
      <c r="DQ210" s="906">
        <v>0</v>
      </c>
      <c r="DR210" s="904">
        <v>0.95336676588411495</v>
      </c>
      <c r="DS210" s="905">
        <v>0</v>
      </c>
      <c r="DT210" s="904">
        <v>3.1921116093467101E-2</v>
      </c>
      <c r="DU210" s="906">
        <v>0</v>
      </c>
      <c r="DV210" s="904">
        <v>0</v>
      </c>
      <c r="DW210" s="905">
        <v>0</v>
      </c>
      <c r="DX210" s="904">
        <v>0</v>
      </c>
      <c r="DY210" s="906">
        <v>0</v>
      </c>
      <c r="DZ210" s="904">
        <v>0</v>
      </c>
      <c r="EA210" s="905">
        <v>0</v>
      </c>
      <c r="EB210" s="904">
        <v>0</v>
      </c>
      <c r="EC210" s="906">
        <v>0</v>
      </c>
      <c r="ED210" s="904">
        <v>0</v>
      </c>
      <c r="EE210" s="905">
        <v>0</v>
      </c>
      <c r="EF210" s="904">
        <v>0</v>
      </c>
      <c r="EG210" s="906">
        <v>0</v>
      </c>
      <c r="EH210" s="904">
        <v>0</v>
      </c>
      <c r="EI210" s="905">
        <v>0</v>
      </c>
      <c r="EJ210" s="904">
        <v>0</v>
      </c>
      <c r="EK210" s="906">
        <v>0</v>
      </c>
      <c r="EL210" s="904">
        <v>0</v>
      </c>
      <c r="EM210" s="905">
        <v>0</v>
      </c>
      <c r="EN210" s="904">
        <v>0</v>
      </c>
      <c r="EO210" s="906">
        <v>0</v>
      </c>
      <c r="EP210" s="904">
        <v>0</v>
      </c>
      <c r="EQ210" s="905">
        <v>0</v>
      </c>
      <c r="ER210" s="904">
        <v>0</v>
      </c>
      <c r="ES210" s="906">
        <v>0</v>
      </c>
      <c r="ET210" s="904">
        <v>18.164744105530993</v>
      </c>
      <c r="EU210" s="905">
        <v>0.58054335873664609</v>
      </c>
      <c r="EV210" s="904">
        <v>0.77587694512776229</v>
      </c>
      <c r="EW210" s="906">
        <v>0.18171007128457023</v>
      </c>
      <c r="EX210" s="904">
        <v>18.194972995420652</v>
      </c>
      <c r="EY210" s="905">
        <v>0.58150947095741123</v>
      </c>
      <c r="EZ210" s="904">
        <v>0.77716812206953123</v>
      </c>
      <c r="FA210" s="906">
        <v>0.18201246440966973</v>
      </c>
      <c r="FB210" s="904">
        <v>13.238889401882126</v>
      </c>
      <c r="FC210" s="905">
        <v>0.42311354757656067</v>
      </c>
      <c r="FD210" s="904">
        <v>0.56547722370000042</v>
      </c>
      <c r="FE210" s="906">
        <v>0</v>
      </c>
      <c r="FF210" s="904">
        <v>17.075158489927521</v>
      </c>
      <c r="FG210" s="905">
        <v>6.0326900188353925</v>
      </c>
      <c r="FH210" s="904">
        <v>0.72933710102215965</v>
      </c>
      <c r="FI210" s="906">
        <v>0</v>
      </c>
      <c r="FJ210" s="904">
        <v>13.701646934166762</v>
      </c>
      <c r="FK210" s="905">
        <v>1.6879179080056155</v>
      </c>
      <c r="FL210" s="904">
        <v>0.58524314489316165</v>
      </c>
      <c r="FM210" s="906">
        <v>0</v>
      </c>
      <c r="FN210" s="904">
        <v>28.836709891095353</v>
      </c>
      <c r="FO210" s="905">
        <v>3.4900266017936712</v>
      </c>
      <c r="FP210" s="904">
        <v>0.29356895076368655</v>
      </c>
      <c r="FQ210" s="906">
        <v>1.3262101086815952</v>
      </c>
      <c r="FR210" s="904">
        <v>27.484854434959978</v>
      </c>
      <c r="FS210" s="905">
        <v>3.3306368710665821</v>
      </c>
      <c r="FT210" s="904">
        <v>0.34328216006856627</v>
      </c>
      <c r="FU210" s="906">
        <v>1.2656420110053013</v>
      </c>
      <c r="FV210" s="904">
        <v>16.808831068539664</v>
      </c>
      <c r="FW210" s="905">
        <v>2.0343259614500728</v>
      </c>
      <c r="FX210" s="904">
        <v>0.17112045441352561</v>
      </c>
      <c r="FY210" s="906">
        <v>0</v>
      </c>
      <c r="FZ210" s="863">
        <v>21.300378903010209</v>
      </c>
      <c r="GA210" s="773">
        <v>1.8026119987650526</v>
      </c>
      <c r="GB210" s="863">
        <v>18.632148741293523</v>
      </c>
      <c r="GC210" s="773">
        <v>1.2448573173313182</v>
      </c>
      <c r="GD210" s="863">
        <v>24.206225651368122</v>
      </c>
      <c r="GE210" s="773">
        <v>3.8320425490194339</v>
      </c>
      <c r="GF210" s="863">
        <v>18.194549856041238</v>
      </c>
      <c r="GG210" s="773">
        <v>1.7771893709353286</v>
      </c>
      <c r="GH210" s="863">
        <v>12.142852637332453</v>
      </c>
      <c r="GI210" s="773">
        <v>1.2097550950653932</v>
      </c>
      <c r="GJ210" s="863">
        <v>18.327753099291545</v>
      </c>
      <c r="GK210" s="773">
        <v>1.625248450588519</v>
      </c>
      <c r="GL210" s="863">
        <v>17.281388310243589</v>
      </c>
      <c r="GM210" s="773">
        <v>1.3484524811502947</v>
      </c>
      <c r="GN210" s="863">
        <v>17.637891691722853</v>
      </c>
      <c r="GO210" s="773">
        <v>1.5354500970741873</v>
      </c>
      <c r="GP210" s="863">
        <v>18.986467204115939</v>
      </c>
      <c r="GQ210" s="773">
        <v>1.6498332822698849</v>
      </c>
      <c r="GR210" s="863">
        <v>12.907408850022669</v>
      </c>
      <c r="GS210" s="773">
        <v>1.0772898678775549</v>
      </c>
    </row>
    <row r="211" spans="1:201" x14ac:dyDescent="0.45">
      <c r="A211" s="768" t="s">
        <v>2583</v>
      </c>
      <c r="B211" s="904">
        <v>18.127729014955349</v>
      </c>
      <c r="C211" s="905">
        <v>23.912716903488416</v>
      </c>
      <c r="D211" s="904">
        <v>1.2158014654894247</v>
      </c>
      <c r="E211" s="906">
        <v>7.1733349078584547</v>
      </c>
      <c r="F211" s="904">
        <v>18.127729014955349</v>
      </c>
      <c r="G211" s="905">
        <v>23.912716903488416</v>
      </c>
      <c r="H211" s="904">
        <v>1.2158014654894247</v>
      </c>
      <c r="I211" s="906">
        <v>7.1733349078584547</v>
      </c>
      <c r="J211" s="904">
        <v>35.874170839675152</v>
      </c>
      <c r="K211" s="905">
        <v>38.947265283190205</v>
      </c>
      <c r="L211" s="904">
        <v>4.5599511300736921</v>
      </c>
      <c r="M211" s="906">
        <v>0.38947265283190208</v>
      </c>
      <c r="N211" s="904">
        <v>48.342772784565732</v>
      </c>
      <c r="O211" s="905">
        <v>53.831331016132147</v>
      </c>
      <c r="P211" s="904">
        <v>3.4691204531956079</v>
      </c>
      <c r="Q211" s="906">
        <v>16.849206608049364</v>
      </c>
      <c r="R211" s="904">
        <v>8.4383249913158345</v>
      </c>
      <c r="S211" s="905">
        <v>17.13156027495911</v>
      </c>
      <c r="T211" s="904">
        <v>0.41572602500587358</v>
      </c>
      <c r="U211" s="906">
        <v>6.5099929044844611</v>
      </c>
      <c r="V211" s="904">
        <v>18.339700655934028</v>
      </c>
      <c r="W211" s="905">
        <v>1444.2086208444327</v>
      </c>
      <c r="X211" s="904">
        <v>0.51615799195009704</v>
      </c>
      <c r="Y211" s="906">
        <v>18.774712070977625</v>
      </c>
      <c r="Z211" s="904">
        <v>3.8106689982594819</v>
      </c>
      <c r="AA211" s="905">
        <v>0</v>
      </c>
      <c r="AB211" s="904">
        <v>0.12321975742168262</v>
      </c>
      <c r="AC211" s="906">
        <v>0</v>
      </c>
      <c r="AD211" s="904">
        <v>3.8106689982594819</v>
      </c>
      <c r="AE211" s="905">
        <v>0</v>
      </c>
      <c r="AF211" s="904">
        <v>0.12321975742168262</v>
      </c>
      <c r="AG211" s="906">
        <v>0</v>
      </c>
      <c r="AH211" s="904">
        <v>3.2659917024865313</v>
      </c>
      <c r="AI211" s="905">
        <v>0</v>
      </c>
      <c r="AJ211" s="904">
        <v>0.12470396400577945</v>
      </c>
      <c r="AK211" s="906">
        <v>0</v>
      </c>
      <c r="AL211" s="904">
        <v>0</v>
      </c>
      <c r="AM211" s="905">
        <v>0</v>
      </c>
      <c r="AN211" s="904">
        <v>0</v>
      </c>
      <c r="AO211" s="906">
        <v>0</v>
      </c>
      <c r="AP211" s="904">
        <v>35.398733248057319</v>
      </c>
      <c r="AQ211" s="905">
        <v>48.691092504965539</v>
      </c>
      <c r="AR211" s="904">
        <v>4.4995184529571643</v>
      </c>
      <c r="AS211" s="906">
        <v>0.48691092504965533</v>
      </c>
      <c r="AT211" s="904">
        <v>32.604096412684378</v>
      </c>
      <c r="AU211" s="905">
        <v>9.2759612936674838</v>
      </c>
      <c r="AV211" s="904">
        <v>4.1442933119342307</v>
      </c>
      <c r="AW211" s="906">
        <v>9.275961293667484E-2</v>
      </c>
      <c r="AX211" s="904">
        <v>38.717364490062693</v>
      </c>
      <c r="AY211" s="905">
        <v>5.1156464277368849</v>
      </c>
      <c r="AZ211" s="904">
        <v>4.9213483079218987</v>
      </c>
      <c r="BA211" s="906">
        <v>5.1156464277368863E-2</v>
      </c>
      <c r="BB211" s="904">
        <v>71.248526264835064</v>
      </c>
      <c r="BC211" s="905">
        <v>141.14253397008997</v>
      </c>
      <c r="BD211" s="904">
        <v>5.1128577342236561</v>
      </c>
      <c r="BE211" s="906">
        <v>44.177613132638164</v>
      </c>
      <c r="BF211" s="904">
        <v>71.248526264835064</v>
      </c>
      <c r="BG211" s="905">
        <v>127.67544066333684</v>
      </c>
      <c r="BH211" s="904">
        <v>5.1128577342236561</v>
      </c>
      <c r="BI211" s="906">
        <v>39.962412927624428</v>
      </c>
      <c r="BJ211" s="904">
        <v>44.044543509170772</v>
      </c>
      <c r="BK211" s="905">
        <v>27.797066733847416</v>
      </c>
      <c r="BL211" s="904">
        <v>3.1606756902473507</v>
      </c>
      <c r="BM211" s="906">
        <v>8.7004818876942416</v>
      </c>
      <c r="BN211" s="904">
        <v>71.248526264835064</v>
      </c>
      <c r="BO211" s="905">
        <v>1135.2728840445729</v>
      </c>
      <c r="BP211" s="904">
        <v>5.1128577342236561</v>
      </c>
      <c r="BQ211" s="906">
        <v>355.34041270595134</v>
      </c>
      <c r="BR211" s="904">
        <v>8.4448210074754329</v>
      </c>
      <c r="BS211" s="905">
        <v>17.257602406823228</v>
      </c>
      <c r="BT211" s="904">
        <v>0.41604606043697906</v>
      </c>
      <c r="BU211" s="906">
        <v>6.5578889145928265</v>
      </c>
      <c r="BV211" s="904">
        <v>7.7952193915157819</v>
      </c>
      <c r="BW211" s="905">
        <v>4.6533892204112632</v>
      </c>
      <c r="BX211" s="904">
        <v>0.38404251732644212</v>
      </c>
      <c r="BY211" s="906">
        <v>1.76828790375628</v>
      </c>
      <c r="BZ211" s="904">
        <v>30.429913048573113</v>
      </c>
      <c r="CA211" s="905">
        <v>1458.5755748481133</v>
      </c>
      <c r="CB211" s="904">
        <v>0.50326395210912922</v>
      </c>
      <c r="CC211" s="906">
        <v>18.96148247302547</v>
      </c>
      <c r="CD211" s="904">
        <v>40.550674953403373</v>
      </c>
      <c r="CE211" s="905">
        <v>1458.5755748481133</v>
      </c>
      <c r="CF211" s="904">
        <v>0.574369068927571</v>
      </c>
      <c r="CG211" s="906">
        <v>18.96148247302547</v>
      </c>
      <c r="CH211" s="904">
        <v>25.654947629090849</v>
      </c>
      <c r="CI211" s="905">
        <v>1458.5755748481133</v>
      </c>
      <c r="CJ211" s="904">
        <v>0.65953766777121137</v>
      </c>
      <c r="CK211" s="906">
        <v>18.96148247302547</v>
      </c>
      <c r="CL211" s="904">
        <v>18.908260616783252</v>
      </c>
      <c r="CM211" s="905">
        <v>1458.5755748481133</v>
      </c>
      <c r="CN211" s="904">
        <v>0.49809243139215242</v>
      </c>
      <c r="CO211" s="906">
        <v>18.96148247302547</v>
      </c>
      <c r="CP211" s="904">
        <v>18.422602366583654</v>
      </c>
      <c r="CQ211" s="905">
        <v>1458.5755748481133</v>
      </c>
      <c r="CR211" s="904">
        <v>0.51849120236072033</v>
      </c>
      <c r="CS211" s="906">
        <v>18.96148247302547</v>
      </c>
      <c r="CT211" s="904">
        <v>16.736452176715208</v>
      </c>
      <c r="CU211" s="905">
        <v>21.880174480079447</v>
      </c>
      <c r="CV211" s="904">
        <v>0.27679517366002099</v>
      </c>
      <c r="CW211" s="906">
        <v>0.2844422682410328</v>
      </c>
      <c r="CX211" s="904">
        <v>22.302871224371849</v>
      </c>
      <c r="CY211" s="905">
        <v>21.880174480079447</v>
      </c>
      <c r="CZ211" s="904">
        <v>0.31590298791016397</v>
      </c>
      <c r="DA211" s="906">
        <v>0.2844422682410328</v>
      </c>
      <c r="DB211" s="904">
        <v>14.110221195999962</v>
      </c>
      <c r="DC211" s="905">
        <v>21.880174480079447</v>
      </c>
      <c r="DD211" s="904">
        <v>0.36274571727416621</v>
      </c>
      <c r="DE211" s="906">
        <v>0.2844422682410328</v>
      </c>
      <c r="DF211" s="904">
        <v>10.399543339230785</v>
      </c>
      <c r="DG211" s="905">
        <v>21.880174480079447</v>
      </c>
      <c r="DH211" s="904">
        <v>0.27395083726568376</v>
      </c>
      <c r="DI211" s="906">
        <v>0.2844422682410328</v>
      </c>
      <c r="DJ211" s="904">
        <v>10.132431301621008</v>
      </c>
      <c r="DK211" s="905">
        <v>21.880174480079447</v>
      </c>
      <c r="DL211" s="904">
        <v>0.28517016129839612</v>
      </c>
      <c r="DM211" s="906">
        <v>0.2844422682410328</v>
      </c>
      <c r="DN211" s="904">
        <v>3.8106689982594819</v>
      </c>
      <c r="DO211" s="905">
        <v>0</v>
      </c>
      <c r="DP211" s="904">
        <v>0.12321975742168262</v>
      </c>
      <c r="DQ211" s="906">
        <v>0</v>
      </c>
      <c r="DR211" s="904">
        <v>3.8106689982594819</v>
      </c>
      <c r="DS211" s="905">
        <v>0</v>
      </c>
      <c r="DT211" s="904">
        <v>0.12321975742168262</v>
      </c>
      <c r="DU211" s="906">
        <v>0</v>
      </c>
      <c r="DV211" s="904">
        <v>0</v>
      </c>
      <c r="DW211" s="905">
        <v>0</v>
      </c>
      <c r="DX211" s="904">
        <v>0</v>
      </c>
      <c r="DY211" s="906">
        <v>0</v>
      </c>
      <c r="DZ211" s="904">
        <v>0</v>
      </c>
      <c r="EA211" s="905">
        <v>0</v>
      </c>
      <c r="EB211" s="904">
        <v>0</v>
      </c>
      <c r="EC211" s="906">
        <v>0</v>
      </c>
      <c r="ED211" s="904">
        <v>0</v>
      </c>
      <c r="EE211" s="905">
        <v>0</v>
      </c>
      <c r="EF211" s="904">
        <v>0</v>
      </c>
      <c r="EG211" s="906">
        <v>0</v>
      </c>
      <c r="EH211" s="904">
        <v>0</v>
      </c>
      <c r="EI211" s="905">
        <v>0</v>
      </c>
      <c r="EJ211" s="904">
        <v>0</v>
      </c>
      <c r="EK211" s="906">
        <v>0</v>
      </c>
      <c r="EL211" s="904">
        <v>0</v>
      </c>
      <c r="EM211" s="905">
        <v>0</v>
      </c>
      <c r="EN211" s="904">
        <v>0</v>
      </c>
      <c r="EO211" s="906">
        <v>0</v>
      </c>
      <c r="EP211" s="904">
        <v>0</v>
      </c>
      <c r="EQ211" s="905">
        <v>0</v>
      </c>
      <c r="ER211" s="904">
        <v>0</v>
      </c>
      <c r="ES211" s="906">
        <v>0</v>
      </c>
      <c r="ET211" s="904">
        <v>48.807371646613596</v>
      </c>
      <c r="EU211" s="905">
        <v>30.802947622379698</v>
      </c>
      <c r="EV211" s="904">
        <v>3.502460481539539</v>
      </c>
      <c r="EW211" s="906">
        <v>9.6413226058048451</v>
      </c>
      <c r="EX211" s="904">
        <v>48.888594517397678</v>
      </c>
      <c r="EY211" s="905">
        <v>30.854208400210883</v>
      </c>
      <c r="EZ211" s="904">
        <v>3.5082891071245874</v>
      </c>
      <c r="FA211" s="906">
        <v>9.657367229266006</v>
      </c>
      <c r="FB211" s="904">
        <v>35.571951439124696</v>
      </c>
      <c r="FC211" s="905">
        <v>22.449907053768104</v>
      </c>
      <c r="FD211" s="904">
        <v>2.5526749333862595</v>
      </c>
      <c r="FE211" s="906">
        <v>0</v>
      </c>
      <c r="FF211" s="904">
        <v>45.87973282205288</v>
      </c>
      <c r="FG211" s="905">
        <v>90.887237783770075</v>
      </c>
      <c r="FH211" s="904">
        <v>3.2923705106743237</v>
      </c>
      <c r="FI211" s="906">
        <v>0</v>
      </c>
      <c r="FJ211" s="904">
        <v>36.81534791799988</v>
      </c>
      <c r="FK211" s="905">
        <v>65.972112196860991</v>
      </c>
      <c r="FL211" s="904">
        <v>2.6419021726991536</v>
      </c>
      <c r="FM211" s="906">
        <v>0</v>
      </c>
      <c r="FN211" s="904">
        <v>11.120602124826126</v>
      </c>
      <c r="FO211" s="905">
        <v>22.725754616330885</v>
      </c>
      <c r="FP211" s="904">
        <v>0.54787220470693521</v>
      </c>
      <c r="FQ211" s="906">
        <v>8.6357867542057356</v>
      </c>
      <c r="FR211" s="904">
        <v>15.089356422479252</v>
      </c>
      <c r="FS211" s="905">
        <v>29.517178372949353</v>
      </c>
      <c r="FT211" s="904">
        <v>0.86132611620844457</v>
      </c>
      <c r="FU211" s="906">
        <v>11.216527781720755</v>
      </c>
      <c r="FV211" s="904">
        <v>6.4821653788724003</v>
      </c>
      <c r="FW211" s="905">
        <v>13.246773702465592</v>
      </c>
      <c r="FX211" s="904">
        <v>0.31935305278744658</v>
      </c>
      <c r="FY211" s="906">
        <v>0</v>
      </c>
      <c r="FZ211" s="863">
        <v>130.26233586657628</v>
      </c>
      <c r="GA211" s="773">
        <v>17.084991286889451</v>
      </c>
      <c r="GB211" s="863">
        <v>73.188442535181423</v>
      </c>
      <c r="GC211" s="773">
        <v>13.588370566873095</v>
      </c>
      <c r="GD211" s="863">
        <v>118.7585939627586</v>
      </c>
      <c r="GE211" s="773">
        <v>7.7448154742910109</v>
      </c>
      <c r="GF211" s="863">
        <v>45.670853836309661</v>
      </c>
      <c r="GG211" s="773">
        <v>12.540147153259756</v>
      </c>
      <c r="GH211" s="863">
        <v>55.308344567224481</v>
      </c>
      <c r="GI211" s="773">
        <v>10.290043285642808</v>
      </c>
      <c r="GJ211" s="863">
        <v>47.034723255021547</v>
      </c>
      <c r="GK211" s="773">
        <v>11.447163609218871</v>
      </c>
      <c r="GL211" s="863">
        <v>57.351015765899497</v>
      </c>
      <c r="GM211" s="773">
        <v>12.481955260447556</v>
      </c>
      <c r="GN211" s="863">
        <v>60.329143151710852</v>
      </c>
      <c r="GO211" s="773">
        <v>14.345103741950917</v>
      </c>
      <c r="GP211" s="863">
        <v>65.58614436743288</v>
      </c>
      <c r="GQ211" s="773">
        <v>14.973961012388113</v>
      </c>
      <c r="GR211" s="863">
        <v>40.323035148920269</v>
      </c>
      <c r="GS211" s="773">
        <v>8.8360445638966425</v>
      </c>
    </row>
    <row r="212" spans="1:201" x14ac:dyDescent="0.45">
      <c r="A212" s="768" t="s">
        <v>2584</v>
      </c>
      <c r="B212" s="904">
        <v>32.821513860413972</v>
      </c>
      <c r="C212" s="905">
        <v>61.597799470953674</v>
      </c>
      <c r="D212" s="904">
        <v>2.0836006614878775</v>
      </c>
      <c r="E212" s="906">
        <v>19.88754446090983</v>
      </c>
      <c r="F212" s="904">
        <v>32.821513860413972</v>
      </c>
      <c r="G212" s="905">
        <v>61.597799470953674</v>
      </c>
      <c r="H212" s="904">
        <v>2.0836006614878775</v>
      </c>
      <c r="I212" s="906">
        <v>19.88754446090983</v>
      </c>
      <c r="J212" s="904">
        <v>89.533514947435293</v>
      </c>
      <c r="K212" s="905">
        <v>1223.0891184061074</v>
      </c>
      <c r="L212" s="904">
        <v>9.0208446561064228</v>
      </c>
      <c r="M212" s="906">
        <v>12.230891184061079</v>
      </c>
      <c r="N212" s="904">
        <v>61.724061777064776</v>
      </c>
      <c r="O212" s="905">
        <v>64.621061395202432</v>
      </c>
      <c r="P212" s="904">
        <v>4.185422531188788</v>
      </c>
      <c r="Q212" s="906">
        <v>20.226392216698361</v>
      </c>
      <c r="R212" s="904">
        <v>39.506186012126612</v>
      </c>
      <c r="S212" s="905">
        <v>111.13618595669763</v>
      </c>
      <c r="T212" s="904">
        <v>2.2427652584797433</v>
      </c>
      <c r="U212" s="906">
        <v>42.231750663545107</v>
      </c>
      <c r="V212" s="904">
        <v>39.920492608004892</v>
      </c>
      <c r="W212" s="905">
        <v>281.68567442801435</v>
      </c>
      <c r="X212" s="904">
        <v>1.1169670347138934</v>
      </c>
      <c r="Y212" s="906">
        <v>3.6619137675641866</v>
      </c>
      <c r="Z212" s="904">
        <v>5.1529244525675253</v>
      </c>
      <c r="AA212" s="905">
        <v>0</v>
      </c>
      <c r="AB212" s="904">
        <v>0.29765966339079886</v>
      </c>
      <c r="AC212" s="906">
        <v>0</v>
      </c>
      <c r="AD212" s="904">
        <v>5.1529244525675253</v>
      </c>
      <c r="AE212" s="905">
        <v>0</v>
      </c>
      <c r="AF212" s="904">
        <v>0.29765966339079886</v>
      </c>
      <c r="AG212" s="906">
        <v>0</v>
      </c>
      <c r="AH212" s="904">
        <v>4.4837845025085574</v>
      </c>
      <c r="AI212" s="905">
        <v>0</v>
      </c>
      <c r="AJ212" s="904">
        <v>0.30405291775092691</v>
      </c>
      <c r="AK212" s="906">
        <v>0</v>
      </c>
      <c r="AL212" s="904">
        <v>0</v>
      </c>
      <c r="AM212" s="905">
        <v>0</v>
      </c>
      <c r="AN212" s="904">
        <v>0</v>
      </c>
      <c r="AO212" s="906">
        <v>0</v>
      </c>
      <c r="AP212" s="904">
        <v>88.346934248304265</v>
      </c>
      <c r="AQ212" s="905">
        <v>1302.4559073606729</v>
      </c>
      <c r="AR212" s="904">
        <v>8.9012921045833515</v>
      </c>
      <c r="AS212" s="906">
        <v>13.02455907360673</v>
      </c>
      <c r="AT212" s="904">
        <v>81.372176281332884</v>
      </c>
      <c r="AU212" s="905">
        <v>1396.6331090664798</v>
      </c>
      <c r="AV212" s="904">
        <v>8.1985585173794018</v>
      </c>
      <c r="AW212" s="906">
        <v>13.9663310906648</v>
      </c>
      <c r="AX212" s="904">
        <v>96.629459334082782</v>
      </c>
      <c r="AY212" s="905">
        <v>842.57162036598902</v>
      </c>
      <c r="AZ212" s="904">
        <v>9.7357882393880395</v>
      </c>
      <c r="BA212" s="906">
        <v>8.4257162036598903</v>
      </c>
      <c r="BB212" s="904">
        <v>90.9701323151981</v>
      </c>
      <c r="BC212" s="905">
        <v>253.31694961444094</v>
      </c>
      <c r="BD212" s="904">
        <v>6.1685577795000617</v>
      </c>
      <c r="BE212" s="906">
        <v>79.288205229319999</v>
      </c>
      <c r="BF212" s="904">
        <v>90.9701323151981</v>
      </c>
      <c r="BG212" s="905">
        <v>98.861408073373056</v>
      </c>
      <c r="BH212" s="904">
        <v>6.1685577795000617</v>
      </c>
      <c r="BI212" s="906">
        <v>30.943620726965765</v>
      </c>
      <c r="BJ212" s="904">
        <v>56.236081794849724</v>
      </c>
      <c r="BK212" s="905">
        <v>33.313336074599839</v>
      </c>
      <c r="BL212" s="904">
        <v>3.8132902636909471</v>
      </c>
      <c r="BM212" s="906">
        <v>10.427074191349748</v>
      </c>
      <c r="BN212" s="904">
        <v>90.9701323151981</v>
      </c>
      <c r="BO212" s="905">
        <v>916.53277353808846</v>
      </c>
      <c r="BP212" s="904">
        <v>6.1685577795000617</v>
      </c>
      <c r="BQ212" s="906">
        <v>286.87475811742166</v>
      </c>
      <c r="BR212" s="904">
        <v>39.536598780419247</v>
      </c>
      <c r="BS212" s="905">
        <v>111.52725555409511</v>
      </c>
      <c r="BT212" s="904">
        <v>2.2444917906263795</v>
      </c>
      <c r="BU212" s="906">
        <v>42.380357110556147</v>
      </c>
      <c r="BV212" s="904">
        <v>36.495321951156221</v>
      </c>
      <c r="BW212" s="905">
        <v>72.420295814347469</v>
      </c>
      <c r="BX212" s="904">
        <v>2.0718385759628113</v>
      </c>
      <c r="BY212" s="906">
        <v>27.519712409452037</v>
      </c>
      <c r="BZ212" s="904">
        <v>75.77961250936977</v>
      </c>
      <c r="CA212" s="905">
        <v>284.28818250525762</v>
      </c>
      <c r="CB212" s="904">
        <v>1.1109677650086096</v>
      </c>
      <c r="CC212" s="906">
        <v>3.6957463725683488</v>
      </c>
      <c r="CD212" s="904">
        <v>100.87862395524719</v>
      </c>
      <c r="CE212" s="905">
        <v>284.28818250525762</v>
      </c>
      <c r="CF212" s="904">
        <v>1.2420104238313932</v>
      </c>
      <c r="CG212" s="906">
        <v>3.6957463725683488</v>
      </c>
      <c r="CH212" s="904">
        <v>71.264344981131103</v>
      </c>
      <c r="CI212" s="905">
        <v>284.28818250525762</v>
      </c>
      <c r="CJ212" s="904">
        <v>1.5993019484366613</v>
      </c>
      <c r="CK212" s="906">
        <v>3.6957463725683488</v>
      </c>
      <c r="CL212" s="904">
        <v>52.578074336441546</v>
      </c>
      <c r="CM212" s="905">
        <v>284.28818250525762</v>
      </c>
      <c r="CN212" s="904">
        <v>1.1913849297418513</v>
      </c>
      <c r="CO212" s="906">
        <v>3.6957463725683488</v>
      </c>
      <c r="CP212" s="904">
        <v>40.10094686891501</v>
      </c>
      <c r="CQ212" s="905">
        <v>284.28818250525762</v>
      </c>
      <c r="CR212" s="904">
        <v>1.1220161071962766</v>
      </c>
      <c r="CS212" s="906">
        <v>3.6957463725683488</v>
      </c>
      <c r="CT212" s="904">
        <v>41.678786880153368</v>
      </c>
      <c r="CU212" s="905">
        <v>24.037374780932353</v>
      </c>
      <c r="CV212" s="904">
        <v>0.61103227075473532</v>
      </c>
      <c r="CW212" s="906">
        <v>0.31248587215212054</v>
      </c>
      <c r="CX212" s="904">
        <v>55.483243175385944</v>
      </c>
      <c r="CY212" s="905">
        <v>24.037374780932353</v>
      </c>
      <c r="CZ212" s="904">
        <v>0.68310573310726597</v>
      </c>
      <c r="DA212" s="906">
        <v>0.31248587215212054</v>
      </c>
      <c r="DB212" s="904">
        <v>39.195389739622094</v>
      </c>
      <c r="DC212" s="905">
        <v>24.037374780932353</v>
      </c>
      <c r="DD212" s="904">
        <v>0.87961607164016342</v>
      </c>
      <c r="DE212" s="906">
        <v>0.31248587215212054</v>
      </c>
      <c r="DF212" s="904">
        <v>28.917940885042839</v>
      </c>
      <c r="DG212" s="905">
        <v>24.037374780932353</v>
      </c>
      <c r="DH212" s="904">
        <v>0.65526171135801803</v>
      </c>
      <c r="DI212" s="906">
        <v>0.31248587215212054</v>
      </c>
      <c r="DJ212" s="904">
        <v>22.055520777903251</v>
      </c>
      <c r="DK212" s="905">
        <v>24.037374780932353</v>
      </c>
      <c r="DL212" s="904">
        <v>0.61710885895795209</v>
      </c>
      <c r="DM212" s="906">
        <v>0.31248587215212054</v>
      </c>
      <c r="DN212" s="904">
        <v>5.1529244525675244</v>
      </c>
      <c r="DO212" s="905">
        <v>0</v>
      </c>
      <c r="DP212" s="904">
        <v>0.29765966339079886</v>
      </c>
      <c r="DQ212" s="906">
        <v>0</v>
      </c>
      <c r="DR212" s="904">
        <v>5.1529244525675244</v>
      </c>
      <c r="DS212" s="905">
        <v>0</v>
      </c>
      <c r="DT212" s="904">
        <v>0.29765966339079886</v>
      </c>
      <c r="DU212" s="906">
        <v>0</v>
      </c>
      <c r="DV212" s="904">
        <v>0</v>
      </c>
      <c r="DW212" s="905">
        <v>0</v>
      </c>
      <c r="DX212" s="904">
        <v>0</v>
      </c>
      <c r="DY212" s="906">
        <v>0</v>
      </c>
      <c r="DZ212" s="904">
        <v>0</v>
      </c>
      <c r="EA212" s="905">
        <v>0</v>
      </c>
      <c r="EB212" s="904">
        <v>0</v>
      </c>
      <c r="EC212" s="906">
        <v>0</v>
      </c>
      <c r="ED212" s="904">
        <v>0</v>
      </c>
      <c r="EE212" s="905">
        <v>0</v>
      </c>
      <c r="EF212" s="904">
        <v>0</v>
      </c>
      <c r="EG212" s="906">
        <v>0</v>
      </c>
      <c r="EH212" s="904">
        <v>0</v>
      </c>
      <c r="EI212" s="905">
        <v>0</v>
      </c>
      <c r="EJ212" s="904">
        <v>0</v>
      </c>
      <c r="EK212" s="906">
        <v>0</v>
      </c>
      <c r="EL212" s="904">
        <v>0</v>
      </c>
      <c r="EM212" s="905">
        <v>0</v>
      </c>
      <c r="EN212" s="904">
        <v>0</v>
      </c>
      <c r="EO212" s="906">
        <v>0</v>
      </c>
      <c r="EP212" s="904">
        <v>0</v>
      </c>
      <c r="EQ212" s="905">
        <v>0</v>
      </c>
      <c r="ER212" s="904">
        <v>0</v>
      </c>
      <c r="ES212" s="906">
        <v>0</v>
      </c>
      <c r="ET212" s="904">
        <v>62.317261695290235</v>
      </c>
      <c r="EU212" s="905">
        <v>36.915727693783204</v>
      </c>
      <c r="EV212" s="904">
        <v>4.2256465901985063</v>
      </c>
      <c r="EW212" s="906">
        <v>11.554622768154143</v>
      </c>
      <c r="EX212" s="904">
        <v>62.42096707264475</v>
      </c>
      <c r="EY212" s="905">
        <v>36.97716106499773</v>
      </c>
      <c r="EZ212" s="904">
        <v>4.2326787071799323</v>
      </c>
      <c r="FA212" s="906">
        <v>11.57385141334429</v>
      </c>
      <c r="FB212" s="904">
        <v>45.418274577338245</v>
      </c>
      <c r="FC212" s="905">
        <v>26.905043819427185</v>
      </c>
      <c r="FD212" s="904">
        <v>3.0797498458590611</v>
      </c>
      <c r="FE212" s="906">
        <v>0</v>
      </c>
      <c r="FF212" s="904">
        <v>58.579251869635129</v>
      </c>
      <c r="FG212" s="905">
        <v>163.12076300929908</v>
      </c>
      <c r="FH212" s="904">
        <v>3.972177358011403</v>
      </c>
      <c r="FI212" s="906">
        <v>0</v>
      </c>
      <c r="FJ212" s="904">
        <v>47.005843445543078</v>
      </c>
      <c r="FK212" s="905">
        <v>51.083402347943526</v>
      </c>
      <c r="FL212" s="904">
        <v>3.1874006763374174</v>
      </c>
      <c r="FM212" s="906">
        <v>0</v>
      </c>
      <c r="FN212" s="904">
        <v>52.063955413232279</v>
      </c>
      <c r="FO212" s="905">
        <v>146.86518920803834</v>
      </c>
      <c r="FP212" s="904">
        <v>2.9556695344874218</v>
      </c>
      <c r="FQ212" s="906">
        <v>55.80877189905457</v>
      </c>
      <c r="FR212" s="904">
        <v>52.794163566331598</v>
      </c>
      <c r="FS212" s="905">
        <v>137.31745503649103</v>
      </c>
      <c r="FT212" s="904">
        <v>3.0710120774877514</v>
      </c>
      <c r="FU212" s="906">
        <v>52.180632913866589</v>
      </c>
      <c r="FV212" s="904">
        <v>30.347922304799418</v>
      </c>
      <c r="FW212" s="905">
        <v>85.607275052183866</v>
      </c>
      <c r="FX212" s="904">
        <v>1.7228508414189692</v>
      </c>
      <c r="FY212" s="906">
        <v>0</v>
      </c>
      <c r="FZ212" s="863">
        <v>389.43376688740216</v>
      </c>
      <c r="GA212" s="773">
        <v>79.08875846636731</v>
      </c>
      <c r="GB212" s="863">
        <v>141.95443581899991</v>
      </c>
      <c r="GC212" s="773">
        <v>31.844592841115805</v>
      </c>
      <c r="GD212" s="863">
        <v>564.14818791796756</v>
      </c>
      <c r="GE212" s="773">
        <v>60.619102278602966</v>
      </c>
      <c r="GF212" s="863">
        <v>277.52693363616731</v>
      </c>
      <c r="GG212" s="773">
        <v>92.824544173919477</v>
      </c>
      <c r="GH212" s="863">
        <v>66.165406513028444</v>
      </c>
      <c r="GI212" s="773">
        <v>12.781705070545085</v>
      </c>
      <c r="GJ212" s="863">
        <v>219.07858784163528</v>
      </c>
      <c r="GK212" s="773">
        <v>70.297572656807986</v>
      </c>
      <c r="GL212" s="863">
        <v>164.29233428466603</v>
      </c>
      <c r="GM212" s="773">
        <v>45.319593063187284</v>
      </c>
      <c r="GN212" s="863">
        <v>276.90692645028906</v>
      </c>
      <c r="GO212" s="773">
        <v>75.437470744970312</v>
      </c>
      <c r="GP212" s="863">
        <v>170.35897060932814</v>
      </c>
      <c r="GQ212" s="773">
        <v>47.737895670257615</v>
      </c>
      <c r="GR212" s="863">
        <v>157.3071335380647</v>
      </c>
      <c r="GS212" s="773">
        <v>48.710918464835004</v>
      </c>
    </row>
    <row r="213" spans="1:201" x14ac:dyDescent="0.45">
      <c r="A213" s="768" t="s">
        <v>2585</v>
      </c>
      <c r="B213" s="904">
        <v>8.7739437538670089</v>
      </c>
      <c r="C213" s="905">
        <v>8.2791360626350965</v>
      </c>
      <c r="D213" s="904">
        <v>5.3415409332497533E-2</v>
      </c>
      <c r="E213" s="906">
        <v>2.6542692555826326</v>
      </c>
      <c r="F213" s="904">
        <v>8.7739437538670089</v>
      </c>
      <c r="G213" s="905">
        <v>8.2791360626350965</v>
      </c>
      <c r="H213" s="904">
        <v>5.3415409332497533E-2</v>
      </c>
      <c r="I213" s="906">
        <v>2.6542692555826326</v>
      </c>
      <c r="J213" s="904">
        <v>6.2067921371573664</v>
      </c>
      <c r="K213" s="905">
        <v>49.951328920723803</v>
      </c>
      <c r="L213" s="904">
        <v>1.3852750744942788</v>
      </c>
      <c r="M213" s="906">
        <v>0.49951328920723803</v>
      </c>
      <c r="N213" s="904">
        <v>0.94231473714936764</v>
      </c>
      <c r="O213" s="905">
        <v>3.2430116637136357</v>
      </c>
      <c r="P213" s="904">
        <v>2.6910745350710606E-2</v>
      </c>
      <c r="Q213" s="906">
        <v>1.0150626507423679</v>
      </c>
      <c r="R213" s="904">
        <v>25.675420587299371</v>
      </c>
      <c r="S213" s="905">
        <v>18.820031767583828</v>
      </c>
      <c r="T213" s="904">
        <v>9.6900049114136896E-2</v>
      </c>
      <c r="U213" s="906">
        <v>7.1516120716818552</v>
      </c>
      <c r="V213" s="904">
        <v>2.4370856698805281</v>
      </c>
      <c r="W213" s="905">
        <v>638.87089401410788</v>
      </c>
      <c r="X213" s="904">
        <v>8.4774173107594664E-2</v>
      </c>
      <c r="Y213" s="906">
        <v>8.305321622183401</v>
      </c>
      <c r="Z213" s="904">
        <v>0.33355957652919416</v>
      </c>
      <c r="AA213" s="905">
        <v>0</v>
      </c>
      <c r="AB213" s="904">
        <v>3.51172862297226E-2</v>
      </c>
      <c r="AC213" s="906">
        <v>0</v>
      </c>
      <c r="AD213" s="904">
        <v>0.33355957652919416</v>
      </c>
      <c r="AE213" s="905">
        <v>0</v>
      </c>
      <c r="AF213" s="904">
        <v>3.51172862297226E-2</v>
      </c>
      <c r="AG213" s="906">
        <v>0</v>
      </c>
      <c r="AH213" s="904">
        <v>0.30637043678758175</v>
      </c>
      <c r="AI213" s="905">
        <v>0</v>
      </c>
      <c r="AJ213" s="904">
        <v>3.598727493909272E-2</v>
      </c>
      <c r="AK213" s="906">
        <v>0</v>
      </c>
      <c r="AL213" s="904">
        <v>0</v>
      </c>
      <c r="AM213" s="905">
        <v>0</v>
      </c>
      <c r="AN213" s="904">
        <v>0</v>
      </c>
      <c r="AO213" s="906">
        <v>0</v>
      </c>
      <c r="AP213" s="904">
        <v>6.1245340044593153</v>
      </c>
      <c r="AQ213" s="905">
        <v>52.20424728064026</v>
      </c>
      <c r="AR213" s="904">
        <v>1.3669161318419409</v>
      </c>
      <c r="AS213" s="906">
        <v>0.52204247280640259</v>
      </c>
      <c r="AT213" s="904">
        <v>5.641018162002001</v>
      </c>
      <c r="AU213" s="905">
        <v>2.4961889195583593</v>
      </c>
      <c r="AV213" s="904">
        <v>1.259001700380735</v>
      </c>
      <c r="AW213" s="906">
        <v>2.4961889195583595E-2</v>
      </c>
      <c r="AX213" s="904">
        <v>6.6987090673773757</v>
      </c>
      <c r="AY213" s="905">
        <v>52.38915016357052</v>
      </c>
      <c r="AZ213" s="904">
        <v>1.4950645192021228</v>
      </c>
      <c r="BA213" s="906">
        <v>0.52389150163570519</v>
      </c>
      <c r="BB213" s="904">
        <v>1.388801933201544</v>
      </c>
      <c r="BC213" s="905">
        <v>12.480944597791801</v>
      </c>
      <c r="BD213" s="904">
        <v>3.9661584069057378E-2</v>
      </c>
      <c r="BE213" s="906">
        <v>3.9065356591088336</v>
      </c>
      <c r="BF213" s="904">
        <v>1.388801933201544</v>
      </c>
      <c r="BG213" s="905">
        <v>11.063355828659891</v>
      </c>
      <c r="BH213" s="904">
        <v>3.9661584069057378E-2</v>
      </c>
      <c r="BI213" s="906">
        <v>3.4628303743705464</v>
      </c>
      <c r="BJ213" s="904">
        <v>0.85853210416095438</v>
      </c>
      <c r="BK213" s="905">
        <v>0.24653717724033183</v>
      </c>
      <c r="BL213" s="904">
        <v>2.4518070151780924E-2</v>
      </c>
      <c r="BM213" s="906">
        <v>7.7166136476223862E-2</v>
      </c>
      <c r="BN213" s="904">
        <v>1.388801933201544</v>
      </c>
      <c r="BO213" s="905">
        <v>140.24883670259376</v>
      </c>
      <c r="BP213" s="904">
        <v>3.9661584069057378E-2</v>
      </c>
      <c r="BQ213" s="906">
        <v>43.897885887911848</v>
      </c>
      <c r="BR213" s="904">
        <v>25.695186115080205</v>
      </c>
      <c r="BS213" s="905">
        <v>18.921728353195469</v>
      </c>
      <c r="BT213" s="904">
        <v>9.6974644994902229E-2</v>
      </c>
      <c r="BU213" s="906">
        <v>7.1902567742142782</v>
      </c>
      <c r="BV213" s="904">
        <v>23.718633336997108</v>
      </c>
      <c r="BW213" s="905">
        <v>8.7520697920317811</v>
      </c>
      <c r="BX213" s="904">
        <v>8.9515056918371264E-2</v>
      </c>
      <c r="BY213" s="906">
        <v>3.3257865209720769</v>
      </c>
      <c r="BZ213" s="904">
        <v>4.260264390926471</v>
      </c>
      <c r="CA213" s="905">
        <v>645.24942713225846</v>
      </c>
      <c r="CB213" s="904">
        <v>9.1658861412391782E-2</v>
      </c>
      <c r="CC213" s="906">
        <v>8.38824255271936</v>
      </c>
      <c r="CD213" s="904">
        <v>5.6630924160110254</v>
      </c>
      <c r="CE213" s="905">
        <v>645.24942713225846</v>
      </c>
      <c r="CF213" s="904">
        <v>0.1083459969461197</v>
      </c>
      <c r="CG213" s="906">
        <v>8.38824255271936</v>
      </c>
      <c r="CH213" s="904">
        <v>4.751795455710937</v>
      </c>
      <c r="CI213" s="905">
        <v>645.24942713225846</v>
      </c>
      <c r="CJ213" s="904">
        <v>0.11200595961423944</v>
      </c>
      <c r="CK213" s="906">
        <v>8.38824255271936</v>
      </c>
      <c r="CL213" s="904">
        <v>3.4793083536395213</v>
      </c>
      <c r="CM213" s="905">
        <v>645.24942713225846</v>
      </c>
      <c r="CN213" s="904">
        <v>8.1784184428125156E-2</v>
      </c>
      <c r="CO213" s="906">
        <v>8.38824255271936</v>
      </c>
      <c r="CP213" s="904">
        <v>2.4481021294631122</v>
      </c>
      <c r="CQ213" s="905">
        <v>645.24942713225846</v>
      </c>
      <c r="CR213" s="904">
        <v>8.5157381323550649E-2</v>
      </c>
      <c r="CS213" s="906">
        <v>8.38824255271936</v>
      </c>
      <c r="CT213" s="904">
        <v>2.3431454150095585</v>
      </c>
      <c r="CU213" s="905">
        <v>7.3961153172099543</v>
      </c>
      <c r="CV213" s="904">
        <v>5.0412373776815463E-2</v>
      </c>
      <c r="CW213" s="906">
        <v>9.6149499123729401E-2</v>
      </c>
      <c r="CX213" s="904">
        <v>3.1147008288060634</v>
      </c>
      <c r="CY213" s="905">
        <v>7.3961153172099543</v>
      </c>
      <c r="CZ213" s="904">
        <v>5.9590298320365817E-2</v>
      </c>
      <c r="DA213" s="906">
        <v>9.6149499123729401E-2</v>
      </c>
      <c r="DB213" s="904">
        <v>2.6134875006410145</v>
      </c>
      <c r="DC213" s="905">
        <v>7.3961153172099543</v>
      </c>
      <c r="DD213" s="904">
        <v>6.1603277787831673E-2</v>
      </c>
      <c r="DE213" s="906">
        <v>9.6149499123729401E-2</v>
      </c>
      <c r="DF213" s="904">
        <v>1.9136195945017362</v>
      </c>
      <c r="DG213" s="905">
        <v>7.3961153172099543</v>
      </c>
      <c r="DH213" s="904">
        <v>4.4981301435468829E-2</v>
      </c>
      <c r="DI213" s="906">
        <v>9.6149499123729401E-2</v>
      </c>
      <c r="DJ213" s="904">
        <v>1.3464561712047114</v>
      </c>
      <c r="DK213" s="905">
        <v>7.3961153172099543</v>
      </c>
      <c r="DL213" s="904">
        <v>4.6836559727952851E-2</v>
      </c>
      <c r="DM213" s="906">
        <v>9.6149499123729401E-2</v>
      </c>
      <c r="DN213" s="904">
        <v>0.33355957652919416</v>
      </c>
      <c r="DO213" s="905">
        <v>0</v>
      </c>
      <c r="DP213" s="904">
        <v>3.51172862297226E-2</v>
      </c>
      <c r="DQ213" s="906">
        <v>0</v>
      </c>
      <c r="DR213" s="904">
        <v>0.33355957652919416</v>
      </c>
      <c r="DS213" s="905">
        <v>0</v>
      </c>
      <c r="DT213" s="904">
        <v>3.51172862297226E-2</v>
      </c>
      <c r="DU213" s="906">
        <v>0</v>
      </c>
      <c r="DV213" s="904">
        <v>0</v>
      </c>
      <c r="DW213" s="905">
        <v>0</v>
      </c>
      <c r="DX213" s="904">
        <v>0</v>
      </c>
      <c r="DY213" s="906">
        <v>0</v>
      </c>
      <c r="DZ213" s="904">
        <v>0</v>
      </c>
      <c r="EA213" s="905">
        <v>0</v>
      </c>
      <c r="EB213" s="904">
        <v>0</v>
      </c>
      <c r="EC213" s="906">
        <v>0</v>
      </c>
      <c r="ED213" s="904">
        <v>0</v>
      </c>
      <c r="EE213" s="905">
        <v>0</v>
      </c>
      <c r="EF213" s="904">
        <v>0</v>
      </c>
      <c r="EG213" s="906">
        <v>0</v>
      </c>
      <c r="EH213" s="904">
        <v>0</v>
      </c>
      <c r="EI213" s="905">
        <v>0</v>
      </c>
      <c r="EJ213" s="904">
        <v>0</v>
      </c>
      <c r="EK213" s="906">
        <v>0</v>
      </c>
      <c r="EL213" s="904">
        <v>0</v>
      </c>
      <c r="EM213" s="905">
        <v>0</v>
      </c>
      <c r="EN213" s="904">
        <v>0</v>
      </c>
      <c r="EO213" s="906">
        <v>0</v>
      </c>
      <c r="EP213" s="904">
        <v>0</v>
      </c>
      <c r="EQ213" s="905">
        <v>0</v>
      </c>
      <c r="ER213" s="904">
        <v>0</v>
      </c>
      <c r="ES213" s="906">
        <v>0</v>
      </c>
      <c r="ET213" s="904">
        <v>0.95137086548775507</v>
      </c>
      <c r="EU213" s="905">
        <v>0.27319687469959819</v>
      </c>
      <c r="EV213" s="904">
        <v>2.7169371427508412E-2</v>
      </c>
      <c r="EW213" s="906">
        <v>8.5510621780974239E-2</v>
      </c>
      <c r="EX213" s="904">
        <v>0.95295409093645855</v>
      </c>
      <c r="EY213" s="905">
        <v>0.27365151574466412</v>
      </c>
      <c r="EZ213" s="904">
        <v>2.7214585383316548E-2</v>
      </c>
      <c r="FA213" s="906">
        <v>8.5652924428079869E-2</v>
      </c>
      <c r="FB213" s="904">
        <v>0.69338128823571932</v>
      </c>
      <c r="FC213" s="905">
        <v>0.19911225768308738</v>
      </c>
      <c r="FD213" s="904">
        <v>1.9801671928751111E-2</v>
      </c>
      <c r="FE213" s="906">
        <v>0</v>
      </c>
      <c r="FF213" s="904">
        <v>0.89430427516766076</v>
      </c>
      <c r="FG213" s="905">
        <v>8.0369719000932047</v>
      </c>
      <c r="FH213" s="904">
        <v>2.553965640810513E-2</v>
      </c>
      <c r="FI213" s="906">
        <v>0</v>
      </c>
      <c r="FJ213" s="904">
        <v>0.7176180201953265</v>
      </c>
      <c r="FK213" s="905">
        <v>5.7166276318303391</v>
      </c>
      <c r="FL213" s="904">
        <v>2.0493827634467335E-2</v>
      </c>
      <c r="FM213" s="906">
        <v>0</v>
      </c>
      <c r="FN213" s="904">
        <v>33.836826269759747</v>
      </c>
      <c r="FO213" s="905">
        <v>24.917166668619931</v>
      </c>
      <c r="FP213" s="904">
        <v>0.12770151578463829</v>
      </c>
      <c r="FQ213" s="906">
        <v>9.4685233340755737</v>
      </c>
      <c r="FR213" s="904">
        <v>30.063325759123945</v>
      </c>
      <c r="FS213" s="905">
        <v>22.877189262388416</v>
      </c>
      <c r="FT213" s="904">
        <v>0.11599283692505155</v>
      </c>
      <c r="FU213" s="906">
        <v>8.6933319197075978</v>
      </c>
      <c r="FV213" s="904">
        <v>19.723383798355808</v>
      </c>
      <c r="FW213" s="905">
        <v>14.524141166631914</v>
      </c>
      <c r="FX213" s="904">
        <v>7.4436827714637097E-2</v>
      </c>
      <c r="FY213" s="906">
        <v>0</v>
      </c>
      <c r="FZ213" s="863">
        <v>355.46353914251057</v>
      </c>
      <c r="GA213" s="773">
        <v>131.45094076080858</v>
      </c>
      <c r="GB213" s="863">
        <v>17.053988853964832</v>
      </c>
      <c r="GC213" s="773">
        <v>4.3301403707128703</v>
      </c>
      <c r="GD213" s="863">
        <v>86.838679652477012</v>
      </c>
      <c r="GE213" s="773">
        <v>3.8336116878687831</v>
      </c>
      <c r="GF213" s="863">
        <v>40.863314813096558</v>
      </c>
      <c r="GG213" s="773">
        <v>9.1080580693716904</v>
      </c>
      <c r="GH213" s="863">
        <v>10.482137288165084</v>
      </c>
      <c r="GI213" s="773">
        <v>2.038892083220003</v>
      </c>
      <c r="GJ213" s="863">
        <v>68.962962144570767</v>
      </c>
      <c r="GK213" s="773">
        <v>21.225213793109358</v>
      </c>
      <c r="GL213" s="863">
        <v>37.040797642927473</v>
      </c>
      <c r="GM213" s="773">
        <v>9.6834238283641891</v>
      </c>
      <c r="GN213" s="863">
        <v>29.94414218649559</v>
      </c>
      <c r="GO213" s="773">
        <v>7.6352064769684942</v>
      </c>
      <c r="GP213" s="863">
        <v>20.559436653289563</v>
      </c>
      <c r="GQ213" s="773">
        <v>4.6430709308992482</v>
      </c>
      <c r="GR213" s="863">
        <v>39.435373302864214</v>
      </c>
      <c r="GS213" s="773">
        <v>11.850424086138799</v>
      </c>
    </row>
    <row r="214" spans="1:201" x14ac:dyDescent="0.45">
      <c r="A214" s="768" t="s">
        <v>2586</v>
      </c>
      <c r="B214" s="904">
        <v>1.705396608231416</v>
      </c>
      <c r="C214" s="905">
        <v>5.716379220131051</v>
      </c>
      <c r="D214" s="904">
        <v>4.545542708877387E-2</v>
      </c>
      <c r="E214" s="906">
        <v>1.9476087153978707</v>
      </c>
      <c r="F214" s="904">
        <v>1.705396608231416</v>
      </c>
      <c r="G214" s="905">
        <v>5.716379220131051</v>
      </c>
      <c r="H214" s="904">
        <v>4.545542708877387E-2</v>
      </c>
      <c r="I214" s="906">
        <v>1.9476087153978707</v>
      </c>
      <c r="J214" s="904">
        <v>5.2389198948968252</v>
      </c>
      <c r="K214" s="905">
        <v>35.392445724561867</v>
      </c>
      <c r="L214" s="904">
        <v>1.1223839824451922</v>
      </c>
      <c r="M214" s="906">
        <v>0.35392445724561866</v>
      </c>
      <c r="N214" s="904">
        <v>0.83968878735455543</v>
      </c>
      <c r="O214" s="905">
        <v>3.2430116637136357</v>
      </c>
      <c r="P214" s="904">
        <v>2.2963314859834744E-2</v>
      </c>
      <c r="Q214" s="906">
        <v>1.0150626507423679</v>
      </c>
      <c r="R214" s="904">
        <v>4.2434064776434877</v>
      </c>
      <c r="S214" s="905">
        <v>13.205363275965357</v>
      </c>
      <c r="T214" s="904">
        <v>8.5735813722107659E-2</v>
      </c>
      <c r="U214" s="906">
        <v>5.0180380448668354</v>
      </c>
      <c r="V214" s="904">
        <v>2.1024717344668638</v>
      </c>
      <c r="W214" s="905">
        <v>186.23325917293201</v>
      </c>
      <c r="X214" s="904">
        <v>5.9080621642578539E-2</v>
      </c>
      <c r="Y214" s="906">
        <v>2.4210323692481159</v>
      </c>
      <c r="Z214" s="904">
        <v>0.19993256438569726</v>
      </c>
      <c r="AA214" s="905">
        <v>0</v>
      </c>
      <c r="AB214" s="904">
        <v>2.5950484084834028E-2</v>
      </c>
      <c r="AC214" s="906">
        <v>0</v>
      </c>
      <c r="AD214" s="904">
        <v>0.19993256438569726</v>
      </c>
      <c r="AE214" s="905">
        <v>0</v>
      </c>
      <c r="AF214" s="904">
        <v>2.5950484084834028E-2</v>
      </c>
      <c r="AG214" s="906">
        <v>0</v>
      </c>
      <c r="AH214" s="904">
        <v>0.1777759881765415</v>
      </c>
      <c r="AI214" s="905">
        <v>0</v>
      </c>
      <c r="AJ214" s="904">
        <v>2.6573529149632964E-2</v>
      </c>
      <c r="AK214" s="906">
        <v>0</v>
      </c>
      <c r="AL214" s="904">
        <v>0</v>
      </c>
      <c r="AM214" s="905">
        <v>0</v>
      </c>
      <c r="AN214" s="904">
        <v>0</v>
      </c>
      <c r="AO214" s="906">
        <v>0</v>
      </c>
      <c r="AP214" s="904">
        <v>5.1694888976302966</v>
      </c>
      <c r="AQ214" s="905">
        <v>40.524548508879541</v>
      </c>
      <c r="AR214" s="904">
        <v>1.107509114957133</v>
      </c>
      <c r="AS214" s="906">
        <v>0.40524548508879543</v>
      </c>
      <c r="AT214" s="904">
        <v>4.7613713530805359</v>
      </c>
      <c r="AU214" s="905">
        <v>3.821326247225143</v>
      </c>
      <c r="AV214" s="904">
        <v>1.0200741848289383</v>
      </c>
      <c r="AW214" s="906">
        <v>3.8213262472251423E-2</v>
      </c>
      <c r="AX214" s="904">
        <v>5.654128481783137</v>
      </c>
      <c r="AY214" s="905">
        <v>21.602820155684075</v>
      </c>
      <c r="AZ214" s="904">
        <v>1.2113380944843641</v>
      </c>
      <c r="BA214" s="906">
        <v>0.21602820155684074</v>
      </c>
      <c r="BB214" s="904">
        <v>1.2375497964655273</v>
      </c>
      <c r="BC214" s="905">
        <v>12.480944597791801</v>
      </c>
      <c r="BD214" s="904">
        <v>3.3843783624280796E-2</v>
      </c>
      <c r="BE214" s="906">
        <v>3.9065356591088336</v>
      </c>
      <c r="BF214" s="904">
        <v>1.2375497964655273</v>
      </c>
      <c r="BG214" s="905">
        <v>11.063355828659891</v>
      </c>
      <c r="BH214" s="904">
        <v>3.3843783624280796E-2</v>
      </c>
      <c r="BI214" s="906">
        <v>3.4628303743705464</v>
      </c>
      <c r="BJ214" s="904">
        <v>0.76503078326959861</v>
      </c>
      <c r="BK214" s="905">
        <v>0.24653717724033183</v>
      </c>
      <c r="BL214" s="904">
        <v>2.0921611695009945E-2</v>
      </c>
      <c r="BM214" s="906">
        <v>7.7166136476223862E-2</v>
      </c>
      <c r="BN214" s="904">
        <v>1.2375497964655273</v>
      </c>
      <c r="BO214" s="905">
        <v>140.24883670259376</v>
      </c>
      <c r="BP214" s="904">
        <v>3.3843783624280796E-2</v>
      </c>
      <c r="BQ214" s="906">
        <v>43.897885887911848</v>
      </c>
      <c r="BR214" s="904">
        <v>4.246673149296794</v>
      </c>
      <c r="BS214" s="905">
        <v>13.31300757097792</v>
      </c>
      <c r="BT214" s="904">
        <v>8.5801815118352581E-2</v>
      </c>
      <c r="BU214" s="906">
        <v>5.0589428769716092</v>
      </c>
      <c r="BV214" s="904">
        <v>3.9200059839662704</v>
      </c>
      <c r="BW214" s="905">
        <v>2.54857806972193</v>
      </c>
      <c r="BX214" s="904">
        <v>7.9201675493863893E-2</v>
      </c>
      <c r="BY214" s="906">
        <v>0.96845966649433335</v>
      </c>
      <c r="BZ214" s="904">
        <v>3.812361727682545</v>
      </c>
      <c r="CA214" s="905">
        <v>188.07704908721814</v>
      </c>
      <c r="CB214" s="904">
        <v>6.8050296901006668E-2</v>
      </c>
      <c r="CC214" s="906">
        <v>2.445001638133836</v>
      </c>
      <c r="CD214" s="904">
        <v>5.1190650404591054</v>
      </c>
      <c r="CE214" s="905">
        <v>188.07704908721814</v>
      </c>
      <c r="CF214" s="904">
        <v>8.132478029134757E-2</v>
      </c>
      <c r="CG214" s="906">
        <v>2.445001638133836</v>
      </c>
      <c r="CH214" s="904">
        <v>3.8743001133743005</v>
      </c>
      <c r="CI214" s="905">
        <v>188.07704908721814</v>
      </c>
      <c r="CJ214" s="904">
        <v>8.7221417560695652E-2</v>
      </c>
      <c r="CK214" s="906">
        <v>2.445001638133836</v>
      </c>
      <c r="CL214" s="904">
        <v>2.8455445844016607</v>
      </c>
      <c r="CM214" s="905">
        <v>188.07704908721814</v>
      </c>
      <c r="CN214" s="904">
        <v>6.4083135464965149E-2</v>
      </c>
      <c r="CO214" s="906">
        <v>2.445001638133836</v>
      </c>
      <c r="CP214" s="904">
        <v>2.1119756247783665</v>
      </c>
      <c r="CQ214" s="905">
        <v>188.07704908721814</v>
      </c>
      <c r="CR214" s="904">
        <v>5.9347686230616314E-2</v>
      </c>
      <c r="CS214" s="906">
        <v>2.445001638133836</v>
      </c>
      <c r="CT214" s="904">
        <v>2.0967989502253994</v>
      </c>
      <c r="CU214" s="905">
        <v>3.6980576586049771</v>
      </c>
      <c r="CV214" s="904">
        <v>3.7427663295553665E-2</v>
      </c>
      <c r="CW214" s="906">
        <v>4.8074749561864701E-2</v>
      </c>
      <c r="CX214" s="904">
        <v>2.8154857722525075</v>
      </c>
      <c r="CY214" s="905">
        <v>3.6980576586049771</v>
      </c>
      <c r="CZ214" s="904">
        <v>4.4728629160241153E-2</v>
      </c>
      <c r="DA214" s="906">
        <v>4.8074749561864701E-2</v>
      </c>
      <c r="DB214" s="904">
        <v>2.1308650623558645</v>
      </c>
      <c r="DC214" s="905">
        <v>3.6980576586049771</v>
      </c>
      <c r="DD214" s="904">
        <v>4.7971779658382598E-2</v>
      </c>
      <c r="DE214" s="906">
        <v>4.8074749561864701E-2</v>
      </c>
      <c r="DF214" s="904">
        <v>1.565049521420913</v>
      </c>
      <c r="DG214" s="905">
        <v>3.6980576586049771</v>
      </c>
      <c r="DH214" s="904">
        <v>3.5245724505730824E-2</v>
      </c>
      <c r="DI214" s="906">
        <v>4.8074749561864701E-2</v>
      </c>
      <c r="DJ214" s="904">
        <v>1.1615865936281011</v>
      </c>
      <c r="DK214" s="905">
        <v>3.6980576586049771</v>
      </c>
      <c r="DL214" s="904">
        <v>3.2641227426838962E-2</v>
      </c>
      <c r="DM214" s="906">
        <v>4.8074749561864701E-2</v>
      </c>
      <c r="DN214" s="904">
        <v>0.19993256438569723</v>
      </c>
      <c r="DO214" s="905">
        <v>0</v>
      </c>
      <c r="DP214" s="904">
        <v>2.5950484084834032E-2</v>
      </c>
      <c r="DQ214" s="906">
        <v>0</v>
      </c>
      <c r="DR214" s="904">
        <v>0.19993256438569723</v>
      </c>
      <c r="DS214" s="905">
        <v>0</v>
      </c>
      <c r="DT214" s="904">
        <v>2.5950484084834032E-2</v>
      </c>
      <c r="DU214" s="906">
        <v>0</v>
      </c>
      <c r="DV214" s="904">
        <v>0</v>
      </c>
      <c r="DW214" s="905">
        <v>0</v>
      </c>
      <c r="DX214" s="904">
        <v>0</v>
      </c>
      <c r="DY214" s="906">
        <v>0</v>
      </c>
      <c r="DZ214" s="904">
        <v>0</v>
      </c>
      <c r="EA214" s="905">
        <v>0</v>
      </c>
      <c r="EB214" s="904">
        <v>0</v>
      </c>
      <c r="EC214" s="906">
        <v>0</v>
      </c>
      <c r="ED214" s="904">
        <v>0</v>
      </c>
      <c r="EE214" s="905">
        <v>0</v>
      </c>
      <c r="EF214" s="904">
        <v>0</v>
      </c>
      <c r="EG214" s="906">
        <v>0</v>
      </c>
      <c r="EH214" s="904">
        <v>0</v>
      </c>
      <c r="EI214" s="905">
        <v>0</v>
      </c>
      <c r="EJ214" s="904">
        <v>0</v>
      </c>
      <c r="EK214" s="906">
        <v>0</v>
      </c>
      <c r="EL214" s="904">
        <v>0</v>
      </c>
      <c r="EM214" s="905">
        <v>0</v>
      </c>
      <c r="EN214" s="904">
        <v>0</v>
      </c>
      <c r="EO214" s="906">
        <v>0</v>
      </c>
      <c r="EP214" s="904">
        <v>0</v>
      </c>
      <c r="EQ214" s="905">
        <v>0</v>
      </c>
      <c r="ER214" s="904">
        <v>0</v>
      </c>
      <c r="ES214" s="906">
        <v>0</v>
      </c>
      <c r="ET214" s="904">
        <v>0.84775862763487619</v>
      </c>
      <c r="EU214" s="905">
        <v>0.27319687469959819</v>
      </c>
      <c r="EV214" s="904">
        <v>2.3184004103297674E-2</v>
      </c>
      <c r="EW214" s="906">
        <v>8.5510621780974239E-2</v>
      </c>
      <c r="EX214" s="904">
        <v>0.8491694266012092</v>
      </c>
      <c r="EY214" s="905">
        <v>0.27365151574466412</v>
      </c>
      <c r="EZ214" s="904">
        <v>2.3222585803274756E-2</v>
      </c>
      <c r="FA214" s="906">
        <v>8.5652924428079869E-2</v>
      </c>
      <c r="FB214" s="904">
        <v>0.6178662713631119</v>
      </c>
      <c r="FC214" s="905">
        <v>0.19911225768308738</v>
      </c>
      <c r="FD214" s="904">
        <v>1.6897043219171029E-2</v>
      </c>
      <c r="FE214" s="906">
        <v>0</v>
      </c>
      <c r="FF214" s="904">
        <v>0.79690706590583182</v>
      </c>
      <c r="FG214" s="905">
        <v>8.0369719000932047</v>
      </c>
      <c r="FH214" s="904">
        <v>2.1793345515635359E-2</v>
      </c>
      <c r="FI214" s="906">
        <v>0</v>
      </c>
      <c r="FJ214" s="904">
        <v>0.63946342066607786</v>
      </c>
      <c r="FK214" s="905">
        <v>5.7166276318303391</v>
      </c>
      <c r="FL214" s="904">
        <v>1.7487669349932327E-2</v>
      </c>
      <c r="FM214" s="906">
        <v>0</v>
      </c>
      <c r="FN214" s="904">
        <v>5.5922514409372894</v>
      </c>
      <c r="FO214" s="905">
        <v>17.531296418312397</v>
      </c>
      <c r="FP214" s="904">
        <v>0.11298852239431147</v>
      </c>
      <c r="FQ214" s="906">
        <v>6.6618926389587108</v>
      </c>
      <c r="FR214" s="904">
        <v>5.0427714987996239</v>
      </c>
      <c r="FS214" s="905">
        <v>16.337300827186752</v>
      </c>
      <c r="FT214" s="904">
        <v>0.10253700057074278</v>
      </c>
      <c r="FU214" s="906">
        <v>6.2081743143309662</v>
      </c>
      <c r="FV214" s="904">
        <v>3.259706468543381</v>
      </c>
      <c r="FW214" s="905">
        <v>10.218939713330599</v>
      </c>
      <c r="FX214" s="904">
        <v>6.58606683211235E-2</v>
      </c>
      <c r="FY214" s="906">
        <v>0</v>
      </c>
      <c r="FZ214" s="863">
        <v>108.79112352061208</v>
      </c>
      <c r="GA214" s="773">
        <v>39.329085058583303</v>
      </c>
      <c r="GB214" s="863">
        <v>9.3389690754668511</v>
      </c>
      <c r="GC214" s="773">
        <v>2.739843861630491</v>
      </c>
      <c r="GD214" s="863">
        <v>61.90307784449935</v>
      </c>
      <c r="GE214" s="773">
        <v>3.435997985487492</v>
      </c>
      <c r="GF214" s="863">
        <v>23.14148333802493</v>
      </c>
      <c r="GG214" s="773">
        <v>7.2515128672148279</v>
      </c>
      <c r="GH214" s="863">
        <v>7.2364726052063499</v>
      </c>
      <c r="GI214" s="773">
        <v>1.6080607997350091</v>
      </c>
      <c r="GJ214" s="863">
        <v>39.71481866414625</v>
      </c>
      <c r="GK214" s="773">
        <v>14.023471637426754</v>
      </c>
      <c r="GL214" s="863">
        <v>23.687605249166317</v>
      </c>
      <c r="GM214" s="773">
        <v>7.7356467551082293</v>
      </c>
      <c r="GN214" s="863">
        <v>19.828582292068862</v>
      </c>
      <c r="GO214" s="773">
        <v>6.6707503876272582</v>
      </c>
      <c r="GP214" s="863">
        <v>12.806981010211523</v>
      </c>
      <c r="GQ214" s="773">
        <v>4.1626762742934371</v>
      </c>
      <c r="GR214" s="863">
        <v>21.890991515767311</v>
      </c>
      <c r="GS214" s="773">
        <v>7.4361808878807452</v>
      </c>
    </row>
    <row r="215" spans="1:201" x14ac:dyDescent="0.45">
      <c r="A215" s="768" t="s">
        <v>2587</v>
      </c>
      <c r="B215" s="904">
        <v>14.571932912222866</v>
      </c>
      <c r="C215" s="905">
        <v>241.84205569342677</v>
      </c>
      <c r="D215" s="904">
        <v>0.65579747127695565</v>
      </c>
      <c r="E215" s="906">
        <v>90.175491625633569</v>
      </c>
      <c r="F215" s="904">
        <v>14.571932912222866</v>
      </c>
      <c r="G215" s="905">
        <v>241.84205569342677</v>
      </c>
      <c r="H215" s="904">
        <v>0.65579747127695565</v>
      </c>
      <c r="I215" s="906">
        <v>90.175491625633569</v>
      </c>
      <c r="J215" s="904">
        <v>43.947081447965992</v>
      </c>
      <c r="K215" s="905">
        <v>883.20932943922185</v>
      </c>
      <c r="L215" s="904">
        <v>10.232922130685781</v>
      </c>
      <c r="M215" s="906">
        <v>8.8320932943922177</v>
      </c>
      <c r="N215" s="904">
        <v>23.920345262545421</v>
      </c>
      <c r="O215" s="905">
        <v>5.7995097402544102</v>
      </c>
      <c r="P215" s="904">
        <v>0.54524993894277851</v>
      </c>
      <c r="Q215" s="906">
        <v>1.8152465486996303</v>
      </c>
      <c r="R215" s="904">
        <v>20.123045852046459</v>
      </c>
      <c r="S215" s="905">
        <v>721.27782535266533</v>
      </c>
      <c r="T215" s="904">
        <v>0.6516827852885303</v>
      </c>
      <c r="U215" s="906">
        <v>274.0855736340128</v>
      </c>
      <c r="V215" s="904">
        <v>1.5472640391953438</v>
      </c>
      <c r="W215" s="905">
        <v>199.73488116505703</v>
      </c>
      <c r="X215" s="904">
        <v>0.47883268966245091</v>
      </c>
      <c r="Y215" s="906">
        <v>2.5965534551457412</v>
      </c>
      <c r="Z215" s="904">
        <v>3.2434784804401859</v>
      </c>
      <c r="AA215" s="905">
        <v>0</v>
      </c>
      <c r="AB215" s="904">
        <v>1.128858192745416</v>
      </c>
      <c r="AC215" s="906">
        <v>0</v>
      </c>
      <c r="AD215" s="904">
        <v>3.2434784804401859</v>
      </c>
      <c r="AE215" s="905">
        <v>0</v>
      </c>
      <c r="AF215" s="904">
        <v>1.128858192745416</v>
      </c>
      <c r="AG215" s="906">
        <v>0</v>
      </c>
      <c r="AH215" s="904">
        <v>3.1798202478127111</v>
      </c>
      <c r="AI215" s="905">
        <v>0</v>
      </c>
      <c r="AJ215" s="904">
        <v>1.1660993084748776</v>
      </c>
      <c r="AK215" s="906">
        <v>0</v>
      </c>
      <c r="AL215" s="904">
        <v>0</v>
      </c>
      <c r="AM215" s="905">
        <v>0</v>
      </c>
      <c r="AN215" s="904">
        <v>0</v>
      </c>
      <c r="AO215" s="906">
        <v>0</v>
      </c>
      <c r="AP215" s="904">
        <v>43.364654200918785</v>
      </c>
      <c r="AQ215" s="905">
        <v>1110.5575320262296</v>
      </c>
      <c r="AR215" s="904">
        <v>10.097306010810323</v>
      </c>
      <c r="AS215" s="906">
        <v>11.105575320262298</v>
      </c>
      <c r="AT215" s="904">
        <v>39.941128869267303</v>
      </c>
      <c r="AU215" s="905">
        <v>33.467421810375043</v>
      </c>
      <c r="AV215" s="904">
        <v>9.300150273114772</v>
      </c>
      <c r="AW215" s="906">
        <v>0.33467421810375042</v>
      </c>
      <c r="AX215" s="904">
        <v>47.430090532254923</v>
      </c>
      <c r="AY215" s="905">
        <v>133.62315006425985</v>
      </c>
      <c r="AZ215" s="904">
        <v>11.04392844932379</v>
      </c>
      <c r="BA215" s="906">
        <v>1.3362315006425984</v>
      </c>
      <c r="BB215" s="904">
        <v>35.254273793879577</v>
      </c>
      <c r="BC215" s="905">
        <v>51.094829983058773</v>
      </c>
      <c r="BD215" s="904">
        <v>0.80360004935561424</v>
      </c>
      <c r="BE215" s="906">
        <v>15.992681784697394</v>
      </c>
      <c r="BF215" s="904">
        <v>35.254273793879577</v>
      </c>
      <c r="BG215" s="905">
        <v>4.9307435448066359</v>
      </c>
      <c r="BH215" s="904">
        <v>0.80360004935561424</v>
      </c>
      <c r="BI215" s="906">
        <v>1.5433227295244771</v>
      </c>
      <c r="BJ215" s="904">
        <v>21.793551072580097</v>
      </c>
      <c r="BK215" s="905">
        <v>1.171051591891576</v>
      </c>
      <c r="BL215" s="904">
        <v>0.49677093960165242</v>
      </c>
      <c r="BM215" s="906">
        <v>0.36653914826206335</v>
      </c>
      <c r="BN215" s="904">
        <v>35.254273793879577</v>
      </c>
      <c r="BO215" s="905">
        <v>1.8182116821474472</v>
      </c>
      <c r="BP215" s="904">
        <v>0.80360004935561424</v>
      </c>
      <c r="BQ215" s="906">
        <v>0.5691002565121509</v>
      </c>
      <c r="BR215" s="904">
        <v>20.138537034380604</v>
      </c>
      <c r="BS215" s="905">
        <v>728.54817589233562</v>
      </c>
      <c r="BT215" s="904">
        <v>0.65218446564672017</v>
      </c>
      <c r="BU215" s="906">
        <v>276.84830683908757</v>
      </c>
      <c r="BV215" s="904">
        <v>18.589418800966705</v>
      </c>
      <c r="BW215" s="905">
        <v>1.5131219253125368</v>
      </c>
      <c r="BX215" s="904">
        <v>0.60201642982774162</v>
      </c>
      <c r="BY215" s="906">
        <v>0.57498633161876389</v>
      </c>
      <c r="BZ215" s="904">
        <v>22.393746515370403</v>
      </c>
      <c r="CA215" s="905">
        <v>281.63370987698335</v>
      </c>
      <c r="CB215" s="904">
        <v>0.73326025093254998</v>
      </c>
      <c r="CC215" s="906">
        <v>3.6612382284007832</v>
      </c>
      <c r="CD215" s="904">
        <v>24.241044089117924</v>
      </c>
      <c r="CE215" s="905">
        <v>108.88398762674457</v>
      </c>
      <c r="CF215" s="904">
        <v>0.89173086145877267</v>
      </c>
      <c r="CG215" s="906">
        <v>1.4154918391476794</v>
      </c>
      <c r="CH215" s="904">
        <v>81.073571295545477</v>
      </c>
      <c r="CI215" s="905">
        <v>660.2942973617553</v>
      </c>
      <c r="CJ215" s="904">
        <v>1.3833012447545885</v>
      </c>
      <c r="CK215" s="906">
        <v>8.5838258657028188</v>
      </c>
      <c r="CL215" s="904">
        <v>50.278847903201189</v>
      </c>
      <c r="CM215" s="905">
        <v>452.199984071546</v>
      </c>
      <c r="CN215" s="904">
        <v>1.0321554122175149</v>
      </c>
      <c r="CO215" s="906">
        <v>5.8785997929300979</v>
      </c>
      <c r="CP215" s="904">
        <v>1.554258201100295</v>
      </c>
      <c r="CQ215" s="905">
        <v>200.63775104475843</v>
      </c>
      <c r="CR215" s="904">
        <v>0.48099717695876537</v>
      </c>
      <c r="CS215" s="906">
        <v>2.6082907635818597</v>
      </c>
      <c r="CT215" s="904">
        <v>12.31656058345372</v>
      </c>
      <c r="CU215" s="905">
        <v>154.89854043234084</v>
      </c>
      <c r="CV215" s="904">
        <v>0.40329313801290234</v>
      </c>
      <c r="CW215" s="906">
        <v>2.0136810256204303</v>
      </c>
      <c r="CX215" s="904">
        <v>13.332574249014854</v>
      </c>
      <c r="CY215" s="905">
        <v>59.886193194709513</v>
      </c>
      <c r="CZ215" s="904">
        <v>0.49045197380232486</v>
      </c>
      <c r="DA215" s="906">
        <v>0.77852051153122359</v>
      </c>
      <c r="DB215" s="904">
        <v>44.590464212550003</v>
      </c>
      <c r="DC215" s="905">
        <v>363.16186354896541</v>
      </c>
      <c r="DD215" s="904">
        <v>0.76081568461502347</v>
      </c>
      <c r="DE215" s="906">
        <v>4.7211042261365499</v>
      </c>
      <c r="DF215" s="904">
        <v>27.653366346760645</v>
      </c>
      <c r="DG215" s="905">
        <v>248.7099912393503</v>
      </c>
      <c r="DH215" s="904">
        <v>0.5676854767196331</v>
      </c>
      <c r="DI215" s="906">
        <v>3.2332298861115532</v>
      </c>
      <c r="DJ215" s="904">
        <v>0.85484201060516207</v>
      </c>
      <c r="DK215" s="905">
        <v>110.35076307461712</v>
      </c>
      <c r="DL215" s="904">
        <v>0.26454844732732091</v>
      </c>
      <c r="DM215" s="906">
        <v>1.4345599199700227</v>
      </c>
      <c r="DN215" s="904">
        <v>3.2434784804401859</v>
      </c>
      <c r="DO215" s="905">
        <v>0</v>
      </c>
      <c r="DP215" s="904">
        <v>1.128858192745416</v>
      </c>
      <c r="DQ215" s="906">
        <v>0</v>
      </c>
      <c r="DR215" s="904">
        <v>3.2434784804401859</v>
      </c>
      <c r="DS215" s="905">
        <v>0</v>
      </c>
      <c r="DT215" s="904">
        <v>1.128858192745416</v>
      </c>
      <c r="DU215" s="906">
        <v>0</v>
      </c>
      <c r="DV215" s="904">
        <v>0</v>
      </c>
      <c r="DW215" s="905">
        <v>0</v>
      </c>
      <c r="DX215" s="904">
        <v>0</v>
      </c>
      <c r="DY215" s="906">
        <v>0</v>
      </c>
      <c r="DZ215" s="904">
        <v>0</v>
      </c>
      <c r="EA215" s="905">
        <v>0</v>
      </c>
      <c r="EB215" s="904">
        <v>0</v>
      </c>
      <c r="EC215" s="906">
        <v>0</v>
      </c>
      <c r="ED215" s="904">
        <v>0</v>
      </c>
      <c r="EE215" s="905">
        <v>0</v>
      </c>
      <c r="EF215" s="904">
        <v>0</v>
      </c>
      <c r="EG215" s="906">
        <v>0</v>
      </c>
      <c r="EH215" s="904">
        <v>0</v>
      </c>
      <c r="EI215" s="905">
        <v>0</v>
      </c>
      <c r="EJ215" s="904">
        <v>0</v>
      </c>
      <c r="EK215" s="906">
        <v>0</v>
      </c>
      <c r="EL215" s="904">
        <v>0</v>
      </c>
      <c r="EM215" s="905">
        <v>0</v>
      </c>
      <c r="EN215" s="904">
        <v>0</v>
      </c>
      <c r="EO215" s="906">
        <v>0</v>
      </c>
      <c r="EP215" s="904">
        <v>0</v>
      </c>
      <c r="EQ215" s="905">
        <v>0</v>
      </c>
      <c r="ER215" s="904">
        <v>0</v>
      </c>
      <c r="ES215" s="906">
        <v>0</v>
      </c>
      <c r="ET215" s="904">
        <v>24.150232059446708</v>
      </c>
      <c r="EU215" s="905">
        <v>1.2976851548230912</v>
      </c>
      <c r="EV215" s="904">
        <v>0.55049007074683087</v>
      </c>
      <c r="EW215" s="906">
        <v>0.40617545345962758</v>
      </c>
      <c r="EX215" s="904">
        <v>24.190421709325264</v>
      </c>
      <c r="EY215" s="905">
        <v>1.2998446997871542</v>
      </c>
      <c r="EZ215" s="904">
        <v>0.5514061697371212</v>
      </c>
      <c r="FA215" s="906">
        <v>0.40685139103337925</v>
      </c>
      <c r="FB215" s="904">
        <v>17.601252701790095</v>
      </c>
      <c r="FC215" s="905">
        <v>0.94578322399466519</v>
      </c>
      <c r="FD215" s="904">
        <v>0.40121000995728162</v>
      </c>
      <c r="FE215" s="906">
        <v>0</v>
      </c>
      <c r="FF215" s="904">
        <v>22.701615700604272</v>
      </c>
      <c r="FG215" s="905">
        <v>32.901973852727245</v>
      </c>
      <c r="FH215" s="904">
        <v>0.51746972875172126</v>
      </c>
      <c r="FI215" s="906">
        <v>0</v>
      </c>
      <c r="FJ215" s="904">
        <v>18.216494057627742</v>
      </c>
      <c r="FK215" s="905">
        <v>2.547800615857533</v>
      </c>
      <c r="FL215" s="904">
        <v>0.41523406805609242</v>
      </c>
      <c r="FM215" s="906">
        <v>0</v>
      </c>
      <c r="FN215" s="904">
        <v>26.519526883657761</v>
      </c>
      <c r="FO215" s="905">
        <v>959.39208015121153</v>
      </c>
      <c r="FP215" s="904">
        <v>0.85883217039524762</v>
      </c>
      <c r="FQ215" s="906">
        <v>364.56899045746036</v>
      </c>
      <c r="FR215" s="904">
        <v>26.075998220247079</v>
      </c>
      <c r="FS215" s="905">
        <v>849.8655683939952</v>
      </c>
      <c r="FT215" s="904">
        <v>0.81959047263805851</v>
      </c>
      <c r="FU215" s="906">
        <v>322.94891598971816</v>
      </c>
      <c r="FV215" s="904">
        <v>15.458152094620504</v>
      </c>
      <c r="FW215" s="905">
        <v>559.22674482140906</v>
      </c>
      <c r="FX215" s="904">
        <v>0.50061067725547814</v>
      </c>
      <c r="FY215" s="906">
        <v>0</v>
      </c>
      <c r="FZ215" s="863">
        <v>166.16988244107191</v>
      </c>
      <c r="GA215" s="773">
        <v>49.200124654408626</v>
      </c>
      <c r="GB215" s="863">
        <v>140.77079852482552</v>
      </c>
      <c r="GC215" s="773">
        <v>40.905815607342952</v>
      </c>
      <c r="GD215" s="863">
        <v>571.79211331882425</v>
      </c>
      <c r="GE215" s="773">
        <v>166.20413860971769</v>
      </c>
      <c r="GF215" s="863">
        <v>576.24279015378124</v>
      </c>
      <c r="GG215" s="773">
        <v>212.18019487604511</v>
      </c>
      <c r="GH215" s="863">
        <v>80.516979766069397</v>
      </c>
      <c r="GI215" s="773">
        <v>24.984221888124701</v>
      </c>
      <c r="GJ215" s="863">
        <v>607.83350756790492</v>
      </c>
      <c r="GK215" s="773">
        <v>224.19013079403351</v>
      </c>
      <c r="GL215" s="863">
        <v>322.08087453311344</v>
      </c>
      <c r="GM215" s="773">
        <v>114.32848726688982</v>
      </c>
      <c r="GN215" s="863">
        <v>357.33372969634394</v>
      </c>
      <c r="GO215" s="773">
        <v>116.99631930683232</v>
      </c>
      <c r="GP215" s="863">
        <v>426.00588957818485</v>
      </c>
      <c r="GQ215" s="773">
        <v>154.4663658831864</v>
      </c>
      <c r="GR215" s="863">
        <v>93.90902364307729</v>
      </c>
      <c r="GS215" s="773">
        <v>30.433094672575358</v>
      </c>
    </row>
    <row r="216" spans="1:201" x14ac:dyDescent="0.45">
      <c r="A216" s="768" t="s">
        <v>2588</v>
      </c>
      <c r="B216" s="904">
        <v>0.17956234563989187</v>
      </c>
      <c r="C216" s="905">
        <v>0.37016290916979228</v>
      </c>
      <c r="D216" s="904">
        <v>4.8219366769820847E-3</v>
      </c>
      <c r="E216" s="906">
        <v>0.11391751196701499</v>
      </c>
      <c r="F216" s="904">
        <v>0.17956234563989187</v>
      </c>
      <c r="G216" s="905">
        <v>0.37016290916979228</v>
      </c>
      <c r="H216" s="904">
        <v>4.8219366769820847E-3</v>
      </c>
      <c r="I216" s="906">
        <v>0.11391751196701499</v>
      </c>
      <c r="J216" s="904">
        <v>0.86404136436225276</v>
      </c>
      <c r="K216" s="905">
        <v>2.2457358690633309</v>
      </c>
      <c r="L216" s="904">
        <v>0.12952615225024799</v>
      </c>
      <c r="M216" s="906">
        <v>2.2457358690633311E-2</v>
      </c>
      <c r="N216" s="904">
        <v>0.26642208307327492</v>
      </c>
      <c r="O216" s="905">
        <v>0.45926224287935968</v>
      </c>
      <c r="P216" s="904">
        <v>4.4621330999459162E-3</v>
      </c>
      <c r="Q216" s="906">
        <v>0.14374908202123959</v>
      </c>
      <c r="R216" s="904">
        <v>0.25943374635773719</v>
      </c>
      <c r="S216" s="905">
        <v>0.56783062086651048</v>
      </c>
      <c r="T216" s="904">
        <v>7.7991770743041696E-3</v>
      </c>
      <c r="U216" s="906">
        <v>0.21577563592927398</v>
      </c>
      <c r="V216" s="904">
        <v>1.3614622807125001</v>
      </c>
      <c r="W216" s="905">
        <v>25.700189765864618</v>
      </c>
      <c r="X216" s="904">
        <v>6.8271578870136738E-3</v>
      </c>
      <c r="Y216" s="906">
        <v>0.33410246695624007</v>
      </c>
      <c r="Z216" s="904">
        <v>4.60123867012876E-2</v>
      </c>
      <c r="AA216" s="905">
        <v>0</v>
      </c>
      <c r="AB216" s="904">
        <v>1.6440806690192222E-3</v>
      </c>
      <c r="AC216" s="906">
        <v>0</v>
      </c>
      <c r="AD216" s="904">
        <v>4.60123867012876E-2</v>
      </c>
      <c r="AE216" s="905">
        <v>0</v>
      </c>
      <c r="AF216" s="904">
        <v>1.6440806690192222E-3</v>
      </c>
      <c r="AG216" s="906">
        <v>0</v>
      </c>
      <c r="AH216" s="904">
        <v>3.8014149681206866E-2</v>
      </c>
      <c r="AI216" s="905">
        <v>0</v>
      </c>
      <c r="AJ216" s="904">
        <v>1.6654614559174713E-3</v>
      </c>
      <c r="AK216" s="906">
        <v>0</v>
      </c>
      <c r="AL216" s="904">
        <v>0</v>
      </c>
      <c r="AM216" s="905">
        <v>0</v>
      </c>
      <c r="AN216" s="904">
        <v>0</v>
      </c>
      <c r="AO216" s="906">
        <v>0</v>
      </c>
      <c r="AP216" s="904">
        <v>0.85259029146731491</v>
      </c>
      <c r="AQ216" s="905">
        <v>2.5692563754629631</v>
      </c>
      <c r="AR216" s="904">
        <v>0.12780955224428284</v>
      </c>
      <c r="AS216" s="906">
        <v>2.5692563754629635E-2</v>
      </c>
      <c r="AT216" s="904">
        <v>0.78528053161463218</v>
      </c>
      <c r="AU216" s="905">
        <v>0.57319893708377145</v>
      </c>
      <c r="AV216" s="904">
        <v>0.11771932443552367</v>
      </c>
      <c r="AW216" s="906">
        <v>5.7319893708377154E-3</v>
      </c>
      <c r="AX216" s="904">
        <v>0.93252063129237561</v>
      </c>
      <c r="AY216" s="905">
        <v>1.2961692093410444</v>
      </c>
      <c r="AZ216" s="904">
        <v>0.13979169776718434</v>
      </c>
      <c r="BA216" s="906">
        <v>1.2961692093410443E-2</v>
      </c>
      <c r="BB216" s="904">
        <v>0.39265808909990135</v>
      </c>
      <c r="BC216" s="905">
        <v>2.0593558586356471</v>
      </c>
      <c r="BD216" s="904">
        <v>6.5763792405012416E-3</v>
      </c>
      <c r="BE216" s="906">
        <v>0.6445783837529574</v>
      </c>
      <c r="BF216" s="904">
        <v>0.39265808909990135</v>
      </c>
      <c r="BG216" s="905">
        <v>0.32083731903113683</v>
      </c>
      <c r="BH216" s="904">
        <v>6.5763792405012416E-3</v>
      </c>
      <c r="BI216" s="906">
        <v>0.10042208085674581</v>
      </c>
      <c r="BJ216" s="904">
        <v>0.24273409144357538</v>
      </c>
      <c r="BK216" s="905">
        <v>7.1495781399696229E-3</v>
      </c>
      <c r="BL216" s="904">
        <v>4.0653980759462229E-3</v>
      </c>
      <c r="BM216" s="906">
        <v>2.2378179578104924E-3</v>
      </c>
      <c r="BN216" s="904">
        <v>0.39265808909990135</v>
      </c>
      <c r="BO216" s="905">
        <v>28.049767340518756</v>
      </c>
      <c r="BP216" s="904">
        <v>6.5763792405012416E-3</v>
      </c>
      <c r="BQ216" s="906">
        <v>8.7795771775823699</v>
      </c>
      <c r="BR216" s="904">
        <v>0.2596334644072813</v>
      </c>
      <c r="BS216" s="905">
        <v>0.57245932555205048</v>
      </c>
      <c r="BT216" s="904">
        <v>7.8051810597347367E-3</v>
      </c>
      <c r="BU216" s="906">
        <v>0.21753454370977918</v>
      </c>
      <c r="BV216" s="904">
        <v>0.23966165945287499</v>
      </c>
      <c r="BW216" s="905">
        <v>0.10958885699804299</v>
      </c>
      <c r="BX216" s="904">
        <v>7.2047825166782166E-3</v>
      </c>
      <c r="BY216" s="906">
        <v>4.1643765659256336E-2</v>
      </c>
      <c r="BZ216" s="904">
        <v>2.2478801910698509</v>
      </c>
      <c r="CA216" s="905">
        <v>25.954632774036103</v>
      </c>
      <c r="CB216" s="904">
        <v>8.0210838333949347E-3</v>
      </c>
      <c r="CC216" s="906">
        <v>0.33741022606246929</v>
      </c>
      <c r="CD216" s="904">
        <v>3.1435188897527628</v>
      </c>
      <c r="CE216" s="905">
        <v>25.954632774036103</v>
      </c>
      <c r="CF216" s="904">
        <v>9.6573881936356139E-3</v>
      </c>
      <c r="CG216" s="906">
        <v>0.33741022606246929</v>
      </c>
      <c r="CH216" s="904">
        <v>0.96388921149578344</v>
      </c>
      <c r="CI216" s="905">
        <v>25.954632774036103</v>
      </c>
      <c r="CJ216" s="904">
        <v>9.9398195776906496E-3</v>
      </c>
      <c r="CK216" s="906">
        <v>0.33741022606246929</v>
      </c>
      <c r="CL216" s="904">
        <v>0.6764763629388687</v>
      </c>
      <c r="CM216" s="905">
        <v>25.954632774036103</v>
      </c>
      <c r="CN216" s="904">
        <v>7.3295324199514128E-3</v>
      </c>
      <c r="CO216" s="906">
        <v>0.33741022606246929</v>
      </c>
      <c r="CP216" s="904">
        <v>1.3676165552109494</v>
      </c>
      <c r="CQ216" s="905">
        <v>25.954632774036103</v>
      </c>
      <c r="CR216" s="904">
        <v>6.8580189723894264E-3</v>
      </c>
      <c r="CS216" s="906">
        <v>0.33741022606246929</v>
      </c>
      <c r="CT216" s="904">
        <v>1.2363341050884176</v>
      </c>
      <c r="CU216" s="905">
        <v>0.510331956887487</v>
      </c>
      <c r="CV216" s="904">
        <v>4.411596108367213E-3</v>
      </c>
      <c r="CW216" s="906">
        <v>6.6343154395373301E-3</v>
      </c>
      <c r="CX216" s="904">
        <v>1.7289353893640191</v>
      </c>
      <c r="CY216" s="905">
        <v>0.510331956887487</v>
      </c>
      <c r="CZ216" s="904">
        <v>5.3115635064995862E-3</v>
      </c>
      <c r="DA216" s="906">
        <v>6.6343154395373301E-3</v>
      </c>
      <c r="DB216" s="904">
        <v>0.53013906632268082</v>
      </c>
      <c r="DC216" s="905">
        <v>0.510331956887487</v>
      </c>
      <c r="DD216" s="904">
        <v>5.4669007677298573E-3</v>
      </c>
      <c r="DE216" s="906">
        <v>6.6343154395373301E-3</v>
      </c>
      <c r="DF216" s="904">
        <v>0.3720619996163777</v>
      </c>
      <c r="DG216" s="905">
        <v>0.510331956887487</v>
      </c>
      <c r="DH216" s="904">
        <v>4.0312428309732763E-3</v>
      </c>
      <c r="DI216" s="906">
        <v>6.6343154395373301E-3</v>
      </c>
      <c r="DJ216" s="904">
        <v>0.75218910536602201</v>
      </c>
      <c r="DK216" s="905">
        <v>0.510331956887487</v>
      </c>
      <c r="DL216" s="904">
        <v>3.7719104348141841E-3</v>
      </c>
      <c r="DM216" s="906">
        <v>6.6343154395373301E-3</v>
      </c>
      <c r="DN216" s="904">
        <v>4.60123867012876E-2</v>
      </c>
      <c r="DO216" s="905">
        <v>0</v>
      </c>
      <c r="DP216" s="904">
        <v>1.644080669019222E-3</v>
      </c>
      <c r="DQ216" s="906">
        <v>0</v>
      </c>
      <c r="DR216" s="904">
        <v>4.60123867012876E-2</v>
      </c>
      <c r="DS216" s="905">
        <v>0</v>
      </c>
      <c r="DT216" s="904">
        <v>1.644080669019222E-3</v>
      </c>
      <c r="DU216" s="906">
        <v>0</v>
      </c>
      <c r="DV216" s="904">
        <v>0</v>
      </c>
      <c r="DW216" s="905">
        <v>0</v>
      </c>
      <c r="DX216" s="904">
        <v>0</v>
      </c>
      <c r="DY216" s="906">
        <v>0</v>
      </c>
      <c r="DZ216" s="904">
        <v>0</v>
      </c>
      <c r="EA216" s="905">
        <v>0</v>
      </c>
      <c r="EB216" s="904">
        <v>0</v>
      </c>
      <c r="EC216" s="906">
        <v>0</v>
      </c>
      <c r="ED216" s="904">
        <v>0</v>
      </c>
      <c r="EE216" s="905">
        <v>0</v>
      </c>
      <c r="EF216" s="904">
        <v>0</v>
      </c>
      <c r="EG216" s="906">
        <v>0</v>
      </c>
      <c r="EH216" s="904">
        <v>0</v>
      </c>
      <c r="EI216" s="905">
        <v>0</v>
      </c>
      <c r="EJ216" s="904">
        <v>0</v>
      </c>
      <c r="EK216" s="906">
        <v>0</v>
      </c>
      <c r="EL216" s="904">
        <v>0</v>
      </c>
      <c r="EM216" s="905">
        <v>0</v>
      </c>
      <c r="EN216" s="904">
        <v>0</v>
      </c>
      <c r="EO216" s="906">
        <v>0</v>
      </c>
      <c r="EP216" s="904">
        <v>0</v>
      </c>
      <c r="EQ216" s="905">
        <v>0</v>
      </c>
      <c r="ER216" s="904">
        <v>0</v>
      </c>
      <c r="ES216" s="906">
        <v>0</v>
      </c>
      <c r="ET216" s="904">
        <v>0.26898253605291417</v>
      </c>
      <c r="EU216" s="905">
        <v>7.9227093662883469E-3</v>
      </c>
      <c r="EV216" s="904">
        <v>4.5050164895640401E-3</v>
      </c>
      <c r="EW216" s="906">
        <v>2.4798080316482526E-3</v>
      </c>
      <c r="EX216" s="904">
        <v>0.26943016379913221</v>
      </c>
      <c r="EY216" s="905">
        <v>7.935893956595259E-3</v>
      </c>
      <c r="EZ216" s="904">
        <v>4.5125135204400592E-3</v>
      </c>
      <c r="FA216" s="906">
        <v>2.4839348084143161E-3</v>
      </c>
      <c r="FB216" s="904">
        <v>0.19604074933034721</v>
      </c>
      <c r="FC216" s="905">
        <v>5.7742554728095344E-3</v>
      </c>
      <c r="FD216" s="904">
        <v>3.2833611479741879E-3</v>
      </c>
      <c r="FE216" s="906">
        <v>0</v>
      </c>
      <c r="FF216" s="904">
        <v>0.25284801192039102</v>
      </c>
      <c r="FG216" s="905">
        <v>1.3261003635153787</v>
      </c>
      <c r="FH216" s="904">
        <v>4.2347896624439817E-3</v>
      </c>
      <c r="FI216" s="906">
        <v>0</v>
      </c>
      <c r="FJ216" s="904">
        <v>0.2028932375288244</v>
      </c>
      <c r="FK216" s="905">
        <v>0.16578220132307983</v>
      </c>
      <c r="FL216" s="904">
        <v>3.3981290908365078E-3</v>
      </c>
      <c r="FM216" s="906">
        <v>0</v>
      </c>
      <c r="FN216" s="904">
        <v>0.34189954451464794</v>
      </c>
      <c r="FO216" s="905">
        <v>0.75384574598743304</v>
      </c>
      <c r="FP216" s="904">
        <v>1.027828926163196E-2</v>
      </c>
      <c r="FQ216" s="906">
        <v>0.28646138347522454</v>
      </c>
      <c r="FR216" s="904">
        <v>0.33163022064305092</v>
      </c>
      <c r="FS216" s="905">
        <v>0.69110724737357887</v>
      </c>
      <c r="FT216" s="904">
        <v>9.5849025179009992E-3</v>
      </c>
      <c r="FU216" s="906">
        <v>0.26262075400196</v>
      </c>
      <c r="FV216" s="904">
        <v>0.19929221148533319</v>
      </c>
      <c r="FW216" s="905">
        <v>0.43941440767321571</v>
      </c>
      <c r="FX216" s="904">
        <v>5.9911837558731451E-3</v>
      </c>
      <c r="FY216" s="906">
        <v>0</v>
      </c>
      <c r="FZ216" s="863">
        <v>5.1768204877823276</v>
      </c>
      <c r="GA216" s="773">
        <v>1.698235745038708</v>
      </c>
      <c r="GB216" s="863">
        <v>0.72500600890351341</v>
      </c>
      <c r="GC216" s="773">
        <v>0.14337769347422641</v>
      </c>
      <c r="GD216" s="863">
        <v>5.9143289178608063</v>
      </c>
      <c r="GE216" s="773">
        <v>0.23706765992138293</v>
      </c>
      <c r="GF216" s="863">
        <v>1.2925461546917918</v>
      </c>
      <c r="GG216" s="773">
        <v>0.34077789735695757</v>
      </c>
      <c r="GH216" s="863">
        <v>0.82234107947683766</v>
      </c>
      <c r="GI216" s="773">
        <v>0.13251541004614772</v>
      </c>
      <c r="GJ216" s="863">
        <v>1.9865986983289348</v>
      </c>
      <c r="GK216" s="773">
        <v>0.64816521172410035</v>
      </c>
      <c r="GL216" s="863">
        <v>1.3885762255574547</v>
      </c>
      <c r="GM216" s="773">
        <v>0.37473548915142058</v>
      </c>
      <c r="GN216" s="863">
        <v>1.148015296174091</v>
      </c>
      <c r="GO216" s="773">
        <v>0.34232498292982061</v>
      </c>
      <c r="GP216" s="863">
        <v>0.82781952164608841</v>
      </c>
      <c r="GQ216" s="773">
        <v>0.22438596877783074</v>
      </c>
      <c r="GR216" s="863">
        <v>1.1995304299586542</v>
      </c>
      <c r="GS216" s="773">
        <v>0.34863027824652076</v>
      </c>
    </row>
    <row r="217" spans="1:201" x14ac:dyDescent="0.45">
      <c r="A217" s="768" t="s">
        <v>2589</v>
      </c>
      <c r="B217" s="904">
        <v>0.36551220336234558</v>
      </c>
      <c r="C217" s="905">
        <v>0.92503099770221575</v>
      </c>
      <c r="D217" s="904">
        <v>2.1361531034081723E-2</v>
      </c>
      <c r="E217" s="906">
        <v>0.28414804815177919</v>
      </c>
      <c r="F217" s="904">
        <v>0.36551220336234558</v>
      </c>
      <c r="G217" s="905">
        <v>0.92503099770221575</v>
      </c>
      <c r="H217" s="904">
        <v>2.1361531034081723E-2</v>
      </c>
      <c r="I217" s="906">
        <v>0.28414804815177919</v>
      </c>
      <c r="J217" s="904">
        <v>1.6885635616489953</v>
      </c>
      <c r="K217" s="905">
        <v>1.6023609873582194</v>
      </c>
      <c r="L217" s="904">
        <v>0.19511776974108247</v>
      </c>
      <c r="M217" s="906">
        <v>1.6023609873582194E-2</v>
      </c>
      <c r="N217" s="904">
        <v>0.29942361391289779</v>
      </c>
      <c r="O217" s="905">
        <v>1.6103861422831585</v>
      </c>
      <c r="P217" s="904">
        <v>6.6523337400768079E-3</v>
      </c>
      <c r="Q217" s="906">
        <v>0.50405086253462861</v>
      </c>
      <c r="R217" s="904">
        <v>0.78968361860294789</v>
      </c>
      <c r="S217" s="905">
        <v>1.069634425353194</v>
      </c>
      <c r="T217" s="904">
        <v>5.397607054583542E-2</v>
      </c>
      <c r="U217" s="906">
        <v>0.40646108163421368</v>
      </c>
      <c r="V217" s="904">
        <v>0.44215282840915704</v>
      </c>
      <c r="W217" s="905">
        <v>60.712042490375829</v>
      </c>
      <c r="X217" s="904">
        <v>9.9742475341611531E-3</v>
      </c>
      <c r="Y217" s="906">
        <v>0.7892565523748859</v>
      </c>
      <c r="Z217" s="904">
        <v>4.7728525943106753E-2</v>
      </c>
      <c r="AA217" s="905">
        <v>0</v>
      </c>
      <c r="AB217" s="904">
        <v>4.0092742869600401E-3</v>
      </c>
      <c r="AC217" s="906">
        <v>0</v>
      </c>
      <c r="AD217" s="904">
        <v>4.7728525943106753E-2</v>
      </c>
      <c r="AE217" s="905">
        <v>0</v>
      </c>
      <c r="AF217" s="904">
        <v>4.0092742869600401E-3</v>
      </c>
      <c r="AG217" s="906">
        <v>0</v>
      </c>
      <c r="AH217" s="904">
        <v>4.1708504258281681E-2</v>
      </c>
      <c r="AI217" s="905">
        <v>0</v>
      </c>
      <c r="AJ217" s="904">
        <v>4.1003652139789352E-3</v>
      </c>
      <c r="AK217" s="906">
        <v>0</v>
      </c>
      <c r="AL217" s="904">
        <v>0</v>
      </c>
      <c r="AM217" s="905">
        <v>0</v>
      </c>
      <c r="AN217" s="904">
        <v>0</v>
      </c>
      <c r="AO217" s="906">
        <v>0</v>
      </c>
      <c r="AP217" s="904">
        <v>1.666185160301914</v>
      </c>
      <c r="AQ217" s="905">
        <v>1.7830801343907001</v>
      </c>
      <c r="AR217" s="904">
        <v>0.19253188913795655</v>
      </c>
      <c r="AS217" s="906">
        <v>1.7830801343907004E-2</v>
      </c>
      <c r="AT217" s="904">
        <v>1.534644226593868</v>
      </c>
      <c r="AU217" s="905">
        <v>1.4903172364178059</v>
      </c>
      <c r="AV217" s="904">
        <v>0.17733200315338102</v>
      </c>
      <c r="AW217" s="906">
        <v>1.490317236417806E-2</v>
      </c>
      <c r="AX217" s="904">
        <v>1.8223900190802182</v>
      </c>
      <c r="AY217" s="905">
        <v>0.86411280622736286</v>
      </c>
      <c r="AZ217" s="904">
        <v>0.21058175374463994</v>
      </c>
      <c r="BA217" s="906">
        <v>8.6411280622736286E-3</v>
      </c>
      <c r="BB217" s="904">
        <v>0.44129639222920236</v>
      </c>
      <c r="BC217" s="905">
        <v>5.3418442878548893</v>
      </c>
      <c r="BD217" s="904">
        <v>9.8043398816716962E-3</v>
      </c>
      <c r="BE217" s="906">
        <v>1.6719972620985806</v>
      </c>
      <c r="BF217" s="904">
        <v>0.44129639222920236</v>
      </c>
      <c r="BG217" s="905">
        <v>7.5230819634887265</v>
      </c>
      <c r="BH217" s="904">
        <v>9.8043398816716962E-3</v>
      </c>
      <c r="BI217" s="906">
        <v>2.3547246545719713</v>
      </c>
      <c r="BJ217" s="904">
        <v>0.27280140610532511</v>
      </c>
      <c r="BK217" s="905">
        <v>0.16764528052342562</v>
      </c>
      <c r="BL217" s="904">
        <v>6.0608646541243216E-3</v>
      </c>
      <c r="BM217" s="906">
        <v>5.2472972803832223E-2</v>
      </c>
      <c r="BN217" s="904">
        <v>0.44129639222920236</v>
      </c>
      <c r="BO217" s="905">
        <v>60.026502108710126</v>
      </c>
      <c r="BP217" s="904">
        <v>9.8043398816716962E-3</v>
      </c>
      <c r="BQ217" s="906">
        <v>18.788295160026269</v>
      </c>
      <c r="BR217" s="904">
        <v>0.79029153516846229</v>
      </c>
      <c r="BS217" s="905">
        <v>1.0783536132492115</v>
      </c>
      <c r="BT217" s="904">
        <v>5.4017622563191731E-2</v>
      </c>
      <c r="BU217" s="906">
        <v>0.40977437303470038</v>
      </c>
      <c r="BV217" s="904">
        <v>0.72949987861704202</v>
      </c>
      <c r="BW217" s="905">
        <v>0.20643482364747634</v>
      </c>
      <c r="BX217" s="904">
        <v>4.9862420827561586E-2</v>
      </c>
      <c r="BY217" s="906">
        <v>7.8445232986041002E-2</v>
      </c>
      <c r="BZ217" s="904">
        <v>0.73662250857613354</v>
      </c>
      <c r="CA217" s="905">
        <v>61.313118002433107</v>
      </c>
      <c r="CB217" s="904">
        <v>1.3963151439506169E-2</v>
      </c>
      <c r="CC217" s="906">
        <v>0.79707053403163031</v>
      </c>
      <c r="CD217" s="904">
        <v>0.9966236203728005</v>
      </c>
      <c r="CE217" s="905">
        <v>61.313118002433107</v>
      </c>
      <c r="CF217" s="904">
        <v>1.6588233253722114E-2</v>
      </c>
      <c r="CG217" s="906">
        <v>0.79707053403163031</v>
      </c>
      <c r="CH217" s="904">
        <v>0.61730473403935138</v>
      </c>
      <c r="CI217" s="905">
        <v>61.313118002433107</v>
      </c>
      <c r="CJ217" s="904">
        <v>2.3245830430308465E-2</v>
      </c>
      <c r="CK217" s="906">
        <v>0.79707053403163031</v>
      </c>
      <c r="CL217" s="904">
        <v>0.46385284322152204</v>
      </c>
      <c r="CM217" s="905">
        <v>61.313118002433107</v>
      </c>
      <c r="CN217" s="904">
        <v>1.7379023508742274E-2</v>
      </c>
      <c r="CO217" s="906">
        <v>0.79707053403163031</v>
      </c>
      <c r="CP217" s="904">
        <v>0.44415151020507987</v>
      </c>
      <c r="CQ217" s="905">
        <v>61.313118002433107</v>
      </c>
      <c r="CR217" s="904">
        <v>1.0019334539589307E-2</v>
      </c>
      <c r="CS217" s="906">
        <v>0.79707053403163031</v>
      </c>
      <c r="CT217" s="904">
        <v>0.40514237971687334</v>
      </c>
      <c r="CU217" s="905">
        <v>1.2055667967052228</v>
      </c>
      <c r="CV217" s="904">
        <v>7.6797332917283899E-3</v>
      </c>
      <c r="CW217" s="906">
        <v>1.5672368357167895E-2</v>
      </c>
      <c r="CX217" s="904">
        <v>0.54814299120504006</v>
      </c>
      <c r="CY217" s="905">
        <v>1.2055667967052228</v>
      </c>
      <c r="CZ217" s="904">
        <v>9.1235282895471611E-3</v>
      </c>
      <c r="DA217" s="906">
        <v>1.5672368357167895E-2</v>
      </c>
      <c r="DB217" s="904">
        <v>0.33951760372164314</v>
      </c>
      <c r="DC217" s="905">
        <v>1.2055667967052228</v>
      </c>
      <c r="DD217" s="904">
        <v>1.2785206736669651E-2</v>
      </c>
      <c r="DE217" s="906">
        <v>1.5672368357167895E-2</v>
      </c>
      <c r="DF217" s="904">
        <v>0.25511906377183707</v>
      </c>
      <c r="DG217" s="905">
        <v>1.2055667967052228</v>
      </c>
      <c r="DH217" s="904">
        <v>9.5584629298082497E-3</v>
      </c>
      <c r="DI217" s="906">
        <v>1.5672368357167895E-2</v>
      </c>
      <c r="DJ217" s="904">
        <v>0.24428333061279389</v>
      </c>
      <c r="DK217" s="905">
        <v>1.2055667967052228</v>
      </c>
      <c r="DL217" s="904">
        <v>5.5106339967741164E-3</v>
      </c>
      <c r="DM217" s="906">
        <v>1.5672368357167895E-2</v>
      </c>
      <c r="DN217" s="904">
        <v>4.7728525943106753E-2</v>
      </c>
      <c r="DO217" s="905">
        <v>0</v>
      </c>
      <c r="DP217" s="904">
        <v>4.0092742869600401E-3</v>
      </c>
      <c r="DQ217" s="906">
        <v>0</v>
      </c>
      <c r="DR217" s="904">
        <v>4.7728525943106753E-2</v>
      </c>
      <c r="DS217" s="905">
        <v>0</v>
      </c>
      <c r="DT217" s="904">
        <v>4.0092742869600401E-3</v>
      </c>
      <c r="DU217" s="906">
        <v>0</v>
      </c>
      <c r="DV217" s="904">
        <v>0</v>
      </c>
      <c r="DW217" s="905">
        <v>0</v>
      </c>
      <c r="DX217" s="904">
        <v>0</v>
      </c>
      <c r="DY217" s="906">
        <v>0</v>
      </c>
      <c r="DZ217" s="904">
        <v>0</v>
      </c>
      <c r="EA217" s="905">
        <v>0</v>
      </c>
      <c r="EB217" s="904">
        <v>0</v>
      </c>
      <c r="EC217" s="906">
        <v>0</v>
      </c>
      <c r="ED217" s="904">
        <v>0</v>
      </c>
      <c r="EE217" s="905">
        <v>0</v>
      </c>
      <c r="EF217" s="904">
        <v>0</v>
      </c>
      <c r="EG217" s="906">
        <v>0</v>
      </c>
      <c r="EH217" s="904">
        <v>0</v>
      </c>
      <c r="EI217" s="905">
        <v>0</v>
      </c>
      <c r="EJ217" s="904">
        <v>0</v>
      </c>
      <c r="EK217" s="906">
        <v>0</v>
      </c>
      <c r="EL217" s="904">
        <v>0</v>
      </c>
      <c r="EM217" s="905">
        <v>0</v>
      </c>
      <c r="EN217" s="904">
        <v>0</v>
      </c>
      <c r="EO217" s="906">
        <v>0</v>
      </c>
      <c r="EP217" s="904">
        <v>0</v>
      </c>
      <c r="EQ217" s="905">
        <v>0</v>
      </c>
      <c r="ER217" s="904">
        <v>0</v>
      </c>
      <c r="ES217" s="906">
        <v>0</v>
      </c>
      <c r="ET217" s="904">
        <v>0.30230122854444008</v>
      </c>
      <c r="EU217" s="905">
        <v>0.18577387479572674</v>
      </c>
      <c r="EV217" s="904">
        <v>6.7162660821328893E-3</v>
      </c>
      <c r="EW217" s="906">
        <v>5.8147222811062473E-2</v>
      </c>
      <c r="EX217" s="904">
        <v>0.30280430364960481</v>
      </c>
      <c r="EY217" s="905">
        <v>0.18608303070637155</v>
      </c>
      <c r="EZ217" s="904">
        <v>6.7274429677904564E-3</v>
      </c>
      <c r="FA217" s="906">
        <v>5.8243988611094297E-2</v>
      </c>
      <c r="FB217" s="904">
        <v>0.2203241899529057</v>
      </c>
      <c r="FC217" s="905">
        <v>0.13539633522449943</v>
      </c>
      <c r="FD217" s="904">
        <v>4.8949714534043702E-3</v>
      </c>
      <c r="FE217" s="906">
        <v>0</v>
      </c>
      <c r="FF217" s="904">
        <v>0.28416813135971364</v>
      </c>
      <c r="FG217" s="905">
        <v>3.4398239732398914</v>
      </c>
      <c r="FH217" s="904">
        <v>6.3134006813795017E-3</v>
      </c>
      <c r="FI217" s="906">
        <v>0</v>
      </c>
      <c r="FJ217" s="904">
        <v>0.22802549142542372</v>
      </c>
      <c r="FK217" s="905">
        <v>3.8873067896446312</v>
      </c>
      <c r="FL217" s="904">
        <v>5.0660722792832463E-3</v>
      </c>
      <c r="FM217" s="906">
        <v>0</v>
      </c>
      <c r="FN217" s="904">
        <v>1.0406991122069758</v>
      </c>
      <c r="FO217" s="905">
        <v>1.4200350098833041</v>
      </c>
      <c r="FP217" s="904">
        <v>7.1133359454573761E-2</v>
      </c>
      <c r="FQ217" s="906">
        <v>0.53961330375565553</v>
      </c>
      <c r="FR217" s="904">
        <v>0.95396772404178209</v>
      </c>
      <c r="FS217" s="905">
        <v>1.8109368119360874</v>
      </c>
      <c r="FT217" s="904">
        <v>6.3707113576921992E-2</v>
      </c>
      <c r="FU217" s="906">
        <v>0.68815598853571325</v>
      </c>
      <c r="FV217" s="904">
        <v>0.60662036814636755</v>
      </c>
      <c r="FW217" s="905">
        <v>0.82773411677977859</v>
      </c>
      <c r="FX217" s="904">
        <v>4.146342030436892E-2</v>
      </c>
      <c r="FY217" s="906">
        <v>0</v>
      </c>
      <c r="FZ217" s="863">
        <v>11.046503884151679</v>
      </c>
      <c r="GA217" s="773">
        <v>3.599452789196008</v>
      </c>
      <c r="GB217" s="863">
        <v>1.6293120521522122</v>
      </c>
      <c r="GC217" s="773">
        <v>0.38177044771617263</v>
      </c>
      <c r="GD217" s="863">
        <v>10.517330795619021</v>
      </c>
      <c r="GE217" s="773">
        <v>0.42121655130573937</v>
      </c>
      <c r="GF217" s="863">
        <v>2.7887661594220519</v>
      </c>
      <c r="GG217" s="773">
        <v>0.6980966805927632</v>
      </c>
      <c r="GH217" s="863">
        <v>1.8921239224992537</v>
      </c>
      <c r="GI217" s="773">
        <v>0.34745785658186312</v>
      </c>
      <c r="GJ217" s="863">
        <v>4.0974783322192803</v>
      </c>
      <c r="GK217" s="773">
        <v>1.3156989317171726</v>
      </c>
      <c r="GL217" s="863">
        <v>3.0660307810319471</v>
      </c>
      <c r="GM217" s="773">
        <v>0.82932419337559271</v>
      </c>
      <c r="GN217" s="863">
        <v>2.4361471998237216</v>
      </c>
      <c r="GO217" s="773">
        <v>0.74045383581327906</v>
      </c>
      <c r="GP217" s="863">
        <v>1.7966542837893804</v>
      </c>
      <c r="GQ217" s="773">
        <v>0.51270836834529421</v>
      </c>
      <c r="GR217" s="863">
        <v>2.4854850115915093</v>
      </c>
      <c r="GS217" s="773">
        <v>0.71373896033762019</v>
      </c>
    </row>
    <row r="218" spans="1:201" x14ac:dyDescent="0.45">
      <c r="A218" s="768" t="s">
        <v>1957</v>
      </c>
      <c r="B218" s="904">
        <v>263.97385988603514</v>
      </c>
      <c r="C218" s="905">
        <v>1.9702184943850272</v>
      </c>
      <c r="D218" s="904"/>
      <c r="E218" s="906"/>
      <c r="F218" s="904">
        <v>263.97385988603514</v>
      </c>
      <c r="G218" s="905">
        <v>1.9702184943850272</v>
      </c>
      <c r="H218" s="904"/>
      <c r="I218" s="906"/>
      <c r="J218" s="904">
        <v>317.09459254213897</v>
      </c>
      <c r="K218" s="905">
        <v>9.5837629594520397</v>
      </c>
      <c r="L218" s="904"/>
      <c r="M218" s="906"/>
      <c r="N218" s="904">
        <v>404.04144739136393</v>
      </c>
      <c r="O218" s="905">
        <v>2.3557243628256805</v>
      </c>
      <c r="P218" s="904"/>
      <c r="Q218" s="906"/>
      <c r="R218" s="904">
        <v>431.5604691352089</v>
      </c>
      <c r="S218" s="905">
        <v>3.0786330007886438</v>
      </c>
      <c r="T218" s="904"/>
      <c r="U218" s="906"/>
      <c r="V218" s="904">
        <v>12.848876827836415</v>
      </c>
      <c r="W218" s="905">
        <v>149.74028260653705</v>
      </c>
      <c r="X218" s="904"/>
      <c r="Y218" s="906"/>
      <c r="Z218" s="904">
        <v>5.5539631423633686</v>
      </c>
      <c r="AA218" s="905">
        <v>0</v>
      </c>
      <c r="AB218" s="904"/>
      <c r="AC218" s="906"/>
      <c r="AD218" s="904">
        <v>5.5539631423633686</v>
      </c>
      <c r="AE218" s="905">
        <v>0</v>
      </c>
      <c r="AF218" s="904"/>
      <c r="AG218" s="906"/>
      <c r="AH218" s="904">
        <v>5.1903425366008848</v>
      </c>
      <c r="AI218" s="905">
        <v>0</v>
      </c>
      <c r="AJ218" s="904"/>
      <c r="AK218" s="906"/>
      <c r="AL218" s="904">
        <v>0</v>
      </c>
      <c r="AM218" s="905">
        <v>0</v>
      </c>
      <c r="AN218" s="904"/>
      <c r="AO218" s="906"/>
      <c r="AP218" s="904">
        <v>312.89216260816158</v>
      </c>
      <c r="AQ218" s="905">
        <v>9.5533156180628573</v>
      </c>
      <c r="AR218" s="904"/>
      <c r="AS218" s="906"/>
      <c r="AT218" s="904">
        <v>288.19014977067513</v>
      </c>
      <c r="AU218" s="905">
        <v>8.7520697920317811</v>
      </c>
      <c r="AV218" s="904"/>
      <c r="AW218" s="906"/>
      <c r="AX218" s="904">
        <v>342.22580285267668</v>
      </c>
      <c r="AY218" s="905">
        <v>9.9231213839233572</v>
      </c>
      <c r="AZ218" s="904"/>
      <c r="BA218" s="906"/>
      <c r="BB218" s="904">
        <v>595.48420618803289</v>
      </c>
      <c r="BC218" s="905">
        <v>3.235800451279355</v>
      </c>
      <c r="BD218" s="904"/>
      <c r="BE218" s="906"/>
      <c r="BF218" s="904">
        <v>595.48420618803289</v>
      </c>
      <c r="BG218" s="905">
        <v>3.2666175984343964</v>
      </c>
      <c r="BH218" s="904"/>
      <c r="BI218" s="906"/>
      <c r="BJ218" s="904">
        <v>368.11750927987487</v>
      </c>
      <c r="BK218" s="905">
        <v>2.1880174480079453</v>
      </c>
      <c r="BL218" s="904"/>
      <c r="BM218" s="906"/>
      <c r="BN218" s="904">
        <v>595.48420618803289</v>
      </c>
      <c r="BO218" s="905">
        <v>3.2666175984343964</v>
      </c>
      <c r="BP218" s="904"/>
      <c r="BQ218" s="906"/>
      <c r="BR218" s="904">
        <v>431.89269428465872</v>
      </c>
      <c r="BS218" s="905">
        <v>3.0817147155041473</v>
      </c>
      <c r="BT218" s="904"/>
      <c r="BU218" s="906"/>
      <c r="BV218" s="904">
        <v>398.67017933968486</v>
      </c>
      <c r="BW218" s="905">
        <v>2.7735432439537329</v>
      </c>
      <c r="BX218" s="904"/>
      <c r="BY218" s="906"/>
      <c r="BZ218" s="904">
        <v>17.984585117893605</v>
      </c>
      <c r="CA218" s="905">
        <v>151.15810679547843</v>
      </c>
      <c r="CB218" s="904"/>
      <c r="CC218" s="906"/>
      <c r="CD218" s="904">
        <v>22.300650412833729</v>
      </c>
      <c r="CE218" s="905">
        <v>151.15810679547843</v>
      </c>
      <c r="CF218" s="904"/>
      <c r="CG218" s="906"/>
      <c r="CH218" s="904">
        <v>31.279851599853366</v>
      </c>
      <c r="CI218" s="905">
        <v>151.15810679547843</v>
      </c>
      <c r="CJ218" s="904"/>
      <c r="CK218" s="906"/>
      <c r="CL218" s="904">
        <v>25.214743738900978</v>
      </c>
      <c r="CM218" s="905">
        <v>151.15810679547843</v>
      </c>
      <c r="CN218" s="904"/>
      <c r="CO218" s="906"/>
      <c r="CP218" s="904">
        <v>12.906958139464004</v>
      </c>
      <c r="CQ218" s="905">
        <v>151.15810679547843</v>
      </c>
      <c r="CR218" s="904"/>
      <c r="CS218" s="906"/>
      <c r="CT218" s="904">
        <v>9.8915218148414823</v>
      </c>
      <c r="CU218" s="905">
        <v>9.3756879013404966</v>
      </c>
      <c r="CV218" s="904"/>
      <c r="CW218" s="906"/>
      <c r="CX218" s="904">
        <v>12.26535772705855</v>
      </c>
      <c r="CY218" s="905">
        <v>9.3756879013404966</v>
      </c>
      <c r="CZ218" s="904"/>
      <c r="DA218" s="906"/>
      <c r="DB218" s="904">
        <v>17.203918379919347</v>
      </c>
      <c r="DC218" s="905">
        <v>9.3756879013404966</v>
      </c>
      <c r="DD218" s="904"/>
      <c r="DE218" s="906"/>
      <c r="DF218" s="904">
        <v>13.868109056395534</v>
      </c>
      <c r="DG218" s="905">
        <v>9.3756879013404966</v>
      </c>
      <c r="DH218" s="904"/>
      <c r="DI218" s="906"/>
      <c r="DJ218" s="904">
        <v>7.098826976705201</v>
      </c>
      <c r="DK218" s="905">
        <v>9.3756879013404966</v>
      </c>
      <c r="DL218" s="904"/>
      <c r="DM218" s="906"/>
      <c r="DN218" s="904">
        <v>5.5539631423633686</v>
      </c>
      <c r="DO218" s="905">
        <v>0</v>
      </c>
      <c r="DP218" s="904"/>
      <c r="DQ218" s="906"/>
      <c r="DR218" s="904">
        <v>5.5539631423633686</v>
      </c>
      <c r="DS218" s="905">
        <v>0</v>
      </c>
      <c r="DT218" s="904"/>
      <c r="DU218" s="906"/>
      <c r="DV218" s="904">
        <v>0</v>
      </c>
      <c r="DW218" s="905">
        <v>0</v>
      </c>
      <c r="DX218" s="904"/>
      <c r="DY218" s="906"/>
      <c r="DZ218" s="904">
        <v>0</v>
      </c>
      <c r="EA218" s="905">
        <v>0</v>
      </c>
      <c r="EB218" s="904"/>
      <c r="EC218" s="906"/>
      <c r="ED218" s="904">
        <v>0</v>
      </c>
      <c r="EE218" s="905">
        <v>0</v>
      </c>
      <c r="EF218" s="904"/>
      <c r="EG218" s="906"/>
      <c r="EH218" s="904">
        <v>0</v>
      </c>
      <c r="EI218" s="905">
        <v>0</v>
      </c>
      <c r="EJ218" s="904"/>
      <c r="EK218" s="906"/>
      <c r="EL218" s="904">
        <v>0</v>
      </c>
      <c r="EM218" s="905">
        <v>0</v>
      </c>
      <c r="EN218" s="904"/>
      <c r="EO218" s="906"/>
      <c r="EP218" s="904">
        <v>0</v>
      </c>
      <c r="EQ218" s="905">
        <v>0</v>
      </c>
      <c r="ER218" s="904"/>
      <c r="ES218" s="906"/>
      <c r="ET218" s="904">
        <v>407.92449310565792</v>
      </c>
      <c r="EU218" s="905">
        <v>2.4246222629589336</v>
      </c>
      <c r="EV218" s="904"/>
      <c r="EW218" s="906"/>
      <c r="EX218" s="904">
        <v>408.60334134672036</v>
      </c>
      <c r="EY218" s="905">
        <v>2.4286572022338935</v>
      </c>
      <c r="EZ218" s="904"/>
      <c r="FA218" s="906"/>
      <c r="FB218" s="904">
        <v>297.30489002045692</v>
      </c>
      <c r="FC218" s="905">
        <v>1.7671212869374007</v>
      </c>
      <c r="FD218" s="904"/>
      <c r="FE218" s="906"/>
      <c r="FF218" s="904">
        <v>383.45573883320299</v>
      </c>
      <c r="FG218" s="905">
        <v>2.0836593815056457</v>
      </c>
      <c r="FH218" s="904"/>
      <c r="FI218" s="906"/>
      <c r="FJ218" s="904">
        <v>307.69700623697747</v>
      </c>
      <c r="FK218" s="905">
        <v>1.6879179080056155</v>
      </c>
      <c r="FL218" s="904"/>
      <c r="FM218" s="906"/>
      <c r="FN218" s="904">
        <v>568.73991876290552</v>
      </c>
      <c r="FO218" s="905">
        <v>4.0581704672019434</v>
      </c>
      <c r="FP218" s="904"/>
      <c r="FQ218" s="906"/>
      <c r="FR218" s="904">
        <v>547.41225030746818</v>
      </c>
      <c r="FS218" s="905">
        <v>3.8337052122359414</v>
      </c>
      <c r="FT218" s="904"/>
      <c r="FU218" s="906"/>
      <c r="FV218" s="904">
        <v>331.51678026114524</v>
      </c>
      <c r="FW218" s="905">
        <v>2.3654953040117128</v>
      </c>
      <c r="FX218" s="904"/>
      <c r="FY218" s="906"/>
      <c r="FZ218" s="863">
        <v>375.87326149430555</v>
      </c>
      <c r="GA218" s="773"/>
      <c r="GB218" s="863">
        <v>365.91326485355467</v>
      </c>
      <c r="GC218" s="773"/>
      <c r="GD218" s="863">
        <v>328.1516929729089</v>
      </c>
      <c r="GE218" s="773"/>
      <c r="GF218" s="863">
        <v>273.57238931615746</v>
      </c>
      <c r="GG218" s="773"/>
      <c r="GH218" s="863">
        <v>203.16376700608438</v>
      </c>
      <c r="GI218" s="773"/>
      <c r="GJ218" s="863">
        <v>292.79749431400631</v>
      </c>
      <c r="GK218" s="773"/>
      <c r="GL218" s="863">
        <v>298.76749124416239</v>
      </c>
      <c r="GM218" s="773"/>
      <c r="GN218" s="863">
        <v>305.5412612987837</v>
      </c>
      <c r="GO218" s="773"/>
      <c r="GP218" s="863">
        <v>331.2984757497702</v>
      </c>
      <c r="GQ218" s="773"/>
      <c r="GR218" s="863">
        <v>220.93026103610197</v>
      </c>
      <c r="GS218" s="773"/>
    </row>
    <row r="219" spans="1:201" x14ac:dyDescent="0.45">
      <c r="A219" s="768" t="s">
        <v>1956</v>
      </c>
      <c r="B219" s="904">
        <v>0.53702519678834548</v>
      </c>
      <c r="C219" s="905">
        <v>1.6164336758022269</v>
      </c>
      <c r="D219" s="904"/>
      <c r="E219" s="906"/>
      <c r="F219" s="904">
        <v>0.53702519678834548</v>
      </c>
      <c r="G219" s="905">
        <v>1.6164336758022269</v>
      </c>
      <c r="H219" s="904"/>
      <c r="I219" s="906"/>
      <c r="J219" s="904">
        <v>0.56635324389163155</v>
      </c>
      <c r="K219" s="905">
        <v>1.9133750325622154</v>
      </c>
      <c r="L219" s="904"/>
      <c r="M219" s="906"/>
      <c r="N219" s="904">
        <v>1.6659055442511272</v>
      </c>
      <c r="O219" s="905">
        <v>0.23060471216117534</v>
      </c>
      <c r="P219" s="904"/>
      <c r="Q219" s="906"/>
      <c r="R219" s="904">
        <v>9.4051577050544177E-2</v>
      </c>
      <c r="S219" s="905">
        <v>4.6179495011829648</v>
      </c>
      <c r="T219" s="904"/>
      <c r="U219" s="906"/>
      <c r="V219" s="904">
        <v>0.10639061263334181</v>
      </c>
      <c r="W219" s="905">
        <v>20.22186478646314</v>
      </c>
      <c r="X219" s="904"/>
      <c r="Y219" s="906"/>
      <c r="Z219" s="904">
        <v>3.6688765739775732E-2</v>
      </c>
      <c r="AA219" s="905">
        <v>0</v>
      </c>
      <c r="AB219" s="904"/>
      <c r="AC219" s="906"/>
      <c r="AD219" s="904">
        <v>3.6688765739775732E-2</v>
      </c>
      <c r="AE219" s="905">
        <v>0</v>
      </c>
      <c r="AF219" s="904"/>
      <c r="AG219" s="906"/>
      <c r="AH219" s="904">
        <v>3.4783110508365842E-2</v>
      </c>
      <c r="AI219" s="905">
        <v>0</v>
      </c>
      <c r="AJ219" s="904"/>
      <c r="AK219" s="906"/>
      <c r="AL219" s="904">
        <v>0</v>
      </c>
      <c r="AM219" s="905">
        <v>0</v>
      </c>
      <c r="AN219" s="904"/>
      <c r="AO219" s="906"/>
      <c r="AP219" s="904">
        <v>0.55884740846802972</v>
      </c>
      <c r="AQ219" s="905">
        <v>1.9106631236125715</v>
      </c>
      <c r="AR219" s="904"/>
      <c r="AS219" s="906"/>
      <c r="AT219" s="904">
        <v>0.51472787622055372</v>
      </c>
      <c r="AU219" s="905">
        <v>1.7257602406823225</v>
      </c>
      <c r="AV219" s="904"/>
      <c r="AW219" s="906"/>
      <c r="AX219" s="904">
        <v>0.61123935301190746</v>
      </c>
      <c r="AY219" s="905">
        <v>1.9722974179226547</v>
      </c>
      <c r="AZ219" s="904"/>
      <c r="BA219" s="906"/>
      <c r="BB219" s="904">
        <v>2.4552442503299208</v>
      </c>
      <c r="BC219" s="905">
        <v>0.30817147155041474</v>
      </c>
      <c r="BD219" s="904"/>
      <c r="BE219" s="906"/>
      <c r="BF219" s="904">
        <v>2.4552442503299208</v>
      </c>
      <c r="BG219" s="905">
        <v>0.30817147155041474</v>
      </c>
      <c r="BH219" s="904"/>
      <c r="BI219" s="906"/>
      <c r="BJ219" s="904">
        <v>1.5177873547494056</v>
      </c>
      <c r="BK219" s="905">
        <v>0.21572003008529031</v>
      </c>
      <c r="BL219" s="904"/>
      <c r="BM219" s="906"/>
      <c r="BN219" s="904">
        <v>2.4552442503299208</v>
      </c>
      <c r="BO219" s="905">
        <v>0.33898861870545627</v>
      </c>
      <c r="BP219" s="904"/>
      <c r="BQ219" s="906"/>
      <c r="BR219" s="904">
        <v>9.4123980112168937E-2</v>
      </c>
      <c r="BS219" s="905">
        <v>4.6225720732562214</v>
      </c>
      <c r="BT219" s="904"/>
      <c r="BU219" s="906"/>
      <c r="BV219" s="904">
        <v>8.6883673949694387E-2</v>
      </c>
      <c r="BW219" s="905">
        <v>4.1603148659305997</v>
      </c>
      <c r="BX219" s="904"/>
      <c r="BY219" s="906"/>
      <c r="BZ219" s="904">
        <v>11.922897745634961</v>
      </c>
      <c r="CA219" s="905">
        <v>20.154414239397124</v>
      </c>
      <c r="CB219" s="904"/>
      <c r="CC219" s="906"/>
      <c r="CD219" s="904">
        <v>15.534053561864479</v>
      </c>
      <c r="CE219" s="905">
        <v>20.154414239397124</v>
      </c>
      <c r="CF219" s="904"/>
      <c r="CG219" s="906"/>
      <c r="CH219" s="904">
        <v>47.735471047517962</v>
      </c>
      <c r="CI219" s="905">
        <v>20.154414239397124</v>
      </c>
      <c r="CJ219" s="904"/>
      <c r="CK219" s="906"/>
      <c r="CL219" s="904">
        <v>44.090410679920424</v>
      </c>
      <c r="CM219" s="905">
        <v>20.154414239397124</v>
      </c>
      <c r="CN219" s="904"/>
      <c r="CO219" s="906"/>
      <c r="CP219" s="904">
        <v>0.10687153453876627</v>
      </c>
      <c r="CQ219" s="905">
        <v>20.154414239397124</v>
      </c>
      <c r="CR219" s="904"/>
      <c r="CS219" s="906"/>
      <c r="CT219" s="904">
        <v>6.5575937600992269</v>
      </c>
      <c r="CU219" s="905">
        <v>26.89946894599867</v>
      </c>
      <c r="CV219" s="904"/>
      <c r="CW219" s="906"/>
      <c r="CX219" s="904">
        <v>8.5437294590254602</v>
      </c>
      <c r="CY219" s="905">
        <v>26.89946894599867</v>
      </c>
      <c r="CZ219" s="904"/>
      <c r="DA219" s="906"/>
      <c r="DB219" s="904">
        <v>26.254509076134877</v>
      </c>
      <c r="DC219" s="905">
        <v>26.89946894599867</v>
      </c>
      <c r="DD219" s="904"/>
      <c r="DE219" s="906"/>
      <c r="DF219" s="904">
        <v>24.249725873956226</v>
      </c>
      <c r="DG219" s="905">
        <v>26.89946894599867</v>
      </c>
      <c r="DH219" s="904"/>
      <c r="DI219" s="906"/>
      <c r="DJ219" s="904">
        <v>5.8779343996321433E-2</v>
      </c>
      <c r="DK219" s="905">
        <v>26.89946894599867</v>
      </c>
      <c r="DL219" s="904"/>
      <c r="DM219" s="906"/>
      <c r="DN219" s="904">
        <v>3.6688765739775732E-2</v>
      </c>
      <c r="DO219" s="905">
        <v>0</v>
      </c>
      <c r="DP219" s="904"/>
      <c r="DQ219" s="906"/>
      <c r="DR219" s="904">
        <v>3.6688765739775732E-2</v>
      </c>
      <c r="DS219" s="905">
        <v>0</v>
      </c>
      <c r="DT219" s="904"/>
      <c r="DU219" s="906"/>
      <c r="DV219" s="904">
        <v>0</v>
      </c>
      <c r="DW219" s="905">
        <v>0</v>
      </c>
      <c r="DX219" s="904"/>
      <c r="DY219" s="906"/>
      <c r="DZ219" s="904">
        <v>0</v>
      </c>
      <c r="EA219" s="905">
        <v>0</v>
      </c>
      <c r="EB219" s="904"/>
      <c r="EC219" s="906"/>
      <c r="ED219" s="904">
        <v>0</v>
      </c>
      <c r="EE219" s="905">
        <v>0</v>
      </c>
      <c r="EF219" s="904"/>
      <c r="EG219" s="906"/>
      <c r="EH219" s="904">
        <v>0</v>
      </c>
      <c r="EI219" s="905">
        <v>0</v>
      </c>
      <c r="EJ219" s="904"/>
      <c r="EK219" s="906"/>
      <c r="EL219" s="904">
        <v>0</v>
      </c>
      <c r="EM219" s="905">
        <v>0</v>
      </c>
      <c r="EN219" s="904"/>
      <c r="EO219" s="906"/>
      <c r="EP219" s="904">
        <v>0</v>
      </c>
      <c r="EQ219" s="905">
        <v>0</v>
      </c>
      <c r="ER219" s="904"/>
      <c r="ES219" s="906"/>
      <c r="ET219" s="904">
        <v>1.6819157516835277</v>
      </c>
      <c r="EU219" s="905">
        <v>0.23904726536214838</v>
      </c>
      <c r="EV219" s="904"/>
      <c r="EW219" s="906"/>
      <c r="EX219" s="904">
        <v>1.6847147146507984</v>
      </c>
      <c r="EY219" s="905">
        <v>0.23944507627658107</v>
      </c>
      <c r="EZ219" s="904"/>
      <c r="FA219" s="906"/>
      <c r="FB219" s="904">
        <v>1.225819449503925</v>
      </c>
      <c r="FC219" s="905">
        <v>0.17422322547270147</v>
      </c>
      <c r="FD219" s="904"/>
      <c r="FE219" s="906"/>
      <c r="FF219" s="904">
        <v>1.5810284945306305</v>
      </c>
      <c r="FG219" s="905">
        <v>0.1984437506195853</v>
      </c>
      <c r="FH219" s="904"/>
      <c r="FI219" s="906"/>
      <c r="FJ219" s="904">
        <v>1.2686672418118128</v>
      </c>
      <c r="FK219" s="905">
        <v>0.15923753849109581</v>
      </c>
      <c r="FL219" s="904"/>
      <c r="FM219" s="906"/>
      <c r="FN219" s="904">
        <v>0.12394760437265821</v>
      </c>
      <c r="FO219" s="905">
        <v>6.0872557008029151</v>
      </c>
      <c r="FP219" s="904"/>
      <c r="FQ219" s="906"/>
      <c r="FR219" s="904">
        <v>0.29040909661531789</v>
      </c>
      <c r="FS219" s="905">
        <v>5.4126934050784881</v>
      </c>
      <c r="FT219" s="904"/>
      <c r="FU219" s="906"/>
      <c r="FV219" s="904">
        <v>7.2248684094628604E-2</v>
      </c>
      <c r="FW219" s="905">
        <v>3.5482429560175688</v>
      </c>
      <c r="FX219" s="904"/>
      <c r="FY219" s="906"/>
      <c r="FZ219" s="863">
        <v>2.2753015625964679</v>
      </c>
      <c r="GA219" s="773"/>
      <c r="GB219" s="863">
        <v>2.1932955561186271</v>
      </c>
      <c r="GC219" s="773"/>
      <c r="GD219" s="863">
        <v>3.4593613210129632</v>
      </c>
      <c r="GE219" s="773"/>
      <c r="GF219" s="863">
        <v>2.9151904871872243</v>
      </c>
      <c r="GG219" s="773"/>
      <c r="GH219" s="863">
        <v>1.1785916383824275</v>
      </c>
      <c r="GI219" s="773"/>
      <c r="GJ219" s="863">
        <v>2.5836699682414892</v>
      </c>
      <c r="GK219" s="773"/>
      <c r="GL219" s="863">
        <v>2.3638129178140055</v>
      </c>
      <c r="GM219" s="773"/>
      <c r="GN219" s="863">
        <v>2.3953673344566768</v>
      </c>
      <c r="GO219" s="773"/>
      <c r="GP219" s="863">
        <v>2.4233272203491336</v>
      </c>
      <c r="GQ219" s="773"/>
      <c r="GR219" s="863">
        <v>1.8024217151374047</v>
      </c>
      <c r="GS219" s="773"/>
    </row>
    <row r="220" spans="1:201" x14ac:dyDescent="0.45">
      <c r="A220" s="768" t="s">
        <v>1955</v>
      </c>
      <c r="B220" s="879">
        <v>5510.933401776223</v>
      </c>
      <c r="C220" s="7">
        <v>133826.61784499546</v>
      </c>
      <c r="D220" s="879"/>
      <c r="E220" s="877"/>
      <c r="F220" s="879">
        <v>5510.933401776223</v>
      </c>
      <c r="G220" s="7">
        <v>133826.61784499546</v>
      </c>
      <c r="H220" s="879"/>
      <c r="I220" s="877"/>
      <c r="J220" s="879">
        <v>33293.970186118262</v>
      </c>
      <c r="K220" s="1062">
        <v>258943.79154924044</v>
      </c>
      <c r="L220" s="879"/>
      <c r="M220" s="877"/>
      <c r="N220" s="879">
        <v>11109.692917149758</v>
      </c>
      <c r="O220" s="7">
        <v>124568.96376209748</v>
      </c>
      <c r="P220" s="879"/>
      <c r="Q220" s="877"/>
      <c r="R220" s="879">
        <v>4810.1008544927918</v>
      </c>
      <c r="S220" s="7">
        <v>291950.78598085116</v>
      </c>
      <c r="T220" s="879"/>
      <c r="U220" s="877"/>
      <c r="V220" s="879">
        <v>9212.789813558089</v>
      </c>
      <c r="W220" s="7">
        <v>-2809.6297055289269</v>
      </c>
      <c r="X220" s="879"/>
      <c r="Y220" s="877"/>
      <c r="Z220" s="879">
        <v>2254.0707322785188</v>
      </c>
      <c r="AA220" s="7">
        <v>0</v>
      </c>
      <c r="AB220" s="879"/>
      <c r="AC220" s="877"/>
      <c r="AD220" s="879">
        <v>2254.0707322785188</v>
      </c>
      <c r="AE220" s="7">
        <v>0</v>
      </c>
      <c r="AF220" s="879"/>
      <c r="AG220" s="877"/>
      <c r="AH220" s="879">
        <v>2139.561523566817</v>
      </c>
      <c r="AI220" s="7">
        <v>0</v>
      </c>
      <c r="AJ220" s="879"/>
      <c r="AK220" s="877"/>
      <c r="AL220" s="879">
        <v>0</v>
      </c>
      <c r="AM220" s="7">
        <v>763.79903873521562</v>
      </c>
      <c r="AN220" s="879"/>
      <c r="AO220" s="877"/>
      <c r="AP220" s="879">
        <v>32852.727792769969</v>
      </c>
      <c r="AQ220" s="7">
        <v>255491.95341848893</v>
      </c>
      <c r="AR220" s="879"/>
      <c r="AS220" s="877"/>
      <c r="AT220" s="879">
        <v>30259.091388077602</v>
      </c>
      <c r="AU220" s="7">
        <v>235384.66018452458</v>
      </c>
      <c r="AV220" s="879"/>
      <c r="AW220" s="877"/>
      <c r="AX220" s="879">
        <v>35932.671023342147</v>
      </c>
      <c r="AY220" s="7">
        <v>279540.16011911444</v>
      </c>
      <c r="AZ220" s="879"/>
      <c r="BA220" s="877"/>
      <c r="BB220" s="879">
        <v>16373.683221052483</v>
      </c>
      <c r="BC220" s="7">
        <v>183486.88303196768</v>
      </c>
      <c r="BD220" s="879"/>
      <c r="BE220" s="877"/>
      <c r="BF220" s="879">
        <v>16373.683221052483</v>
      </c>
      <c r="BG220" s="7">
        <v>183526.97812151877</v>
      </c>
      <c r="BH220" s="879"/>
      <c r="BI220" s="877"/>
      <c r="BJ220" s="879">
        <v>10121.913263923354</v>
      </c>
      <c r="BK220" s="7">
        <v>113537.58457663274</v>
      </c>
      <c r="BL220" s="879"/>
      <c r="BM220" s="877"/>
      <c r="BN220" s="879">
        <v>16373.683221052483</v>
      </c>
      <c r="BO220" s="7">
        <v>180925.1307052112</v>
      </c>
      <c r="BP220" s="879"/>
      <c r="BQ220" s="877"/>
      <c r="BR220" s="879">
        <v>4813.8037804777759</v>
      </c>
      <c r="BS220" s="7">
        <v>292175.28944027139</v>
      </c>
      <c r="BT220" s="879"/>
      <c r="BU220" s="877"/>
      <c r="BV220" s="879">
        <v>4443.5111819794847</v>
      </c>
      <c r="BW220" s="7">
        <v>269724.94349824463</v>
      </c>
      <c r="BX220" s="879"/>
      <c r="BY220" s="877"/>
      <c r="BZ220" s="879">
        <v>11218.479524374274</v>
      </c>
      <c r="CA220" s="7">
        <v>-2836.7229448194812</v>
      </c>
      <c r="CB220" s="879"/>
      <c r="CC220" s="877"/>
      <c r="CD220" s="879">
        <v>15503.646150694403</v>
      </c>
      <c r="CE220" s="7">
        <v>-2836.7229448194812</v>
      </c>
      <c r="CF220" s="879"/>
      <c r="CG220" s="877"/>
      <c r="CH220" s="879">
        <v>13807.977405895033</v>
      </c>
      <c r="CI220" s="7">
        <v>-2836.7229448194812</v>
      </c>
      <c r="CJ220" s="879"/>
      <c r="CK220" s="877"/>
      <c r="CL220" s="879">
        <v>10663.065840068475</v>
      </c>
      <c r="CM220" s="7">
        <v>-2836.7229448194812</v>
      </c>
      <c r="CN220" s="879"/>
      <c r="CO220" s="877"/>
      <c r="CP220" s="879">
        <v>9254.4347700231938</v>
      </c>
      <c r="CQ220" s="7">
        <v>-2836.7229448194812</v>
      </c>
      <c r="CR220" s="879"/>
      <c r="CS220" s="877"/>
      <c r="CT220" s="879">
        <v>6170.1637384058495</v>
      </c>
      <c r="CU220" s="7">
        <v>-127.39901576444103</v>
      </c>
      <c r="CV220" s="879"/>
      <c r="CW220" s="877"/>
      <c r="CX220" s="879">
        <v>8527.00538288192</v>
      </c>
      <c r="CY220" s="7">
        <v>-127.39901576444103</v>
      </c>
      <c r="CZ220" s="879"/>
      <c r="DA220" s="877"/>
      <c r="DB220" s="879">
        <v>7594.3875732422666</v>
      </c>
      <c r="DC220" s="7">
        <v>-127.39901576444103</v>
      </c>
      <c r="DD220" s="879"/>
      <c r="DE220" s="877"/>
      <c r="DF220" s="879">
        <v>5864.6862120376591</v>
      </c>
      <c r="DG220" s="7">
        <v>-127.39901576444103</v>
      </c>
      <c r="DH220" s="879"/>
      <c r="DI220" s="877"/>
      <c r="DJ220" s="879">
        <v>5089.9391235127559</v>
      </c>
      <c r="DK220" s="7">
        <v>-127.39901576444103</v>
      </c>
      <c r="DL220" s="879"/>
      <c r="DM220" s="877"/>
      <c r="DN220" s="879">
        <v>2254.0707322785188</v>
      </c>
      <c r="DO220" s="7">
        <v>0</v>
      </c>
      <c r="DP220" s="879"/>
      <c r="DQ220" s="877"/>
      <c r="DR220" s="879">
        <v>2254.0707322785188</v>
      </c>
      <c r="DS220" s="7">
        <v>0</v>
      </c>
      <c r="DT220" s="879"/>
      <c r="DU220" s="877"/>
      <c r="DV220" s="879">
        <v>0</v>
      </c>
      <c r="DW220" s="7">
        <v>0</v>
      </c>
      <c r="DX220" s="879"/>
      <c r="DY220" s="877"/>
      <c r="DZ220" s="879">
        <v>0</v>
      </c>
      <c r="EA220" s="1063">
        <v>0</v>
      </c>
      <c r="EB220" s="879"/>
      <c r="EC220" s="877"/>
      <c r="ED220" s="879">
        <v>0</v>
      </c>
      <c r="EE220" s="7">
        <v>0</v>
      </c>
      <c r="EF220" s="879"/>
      <c r="EG220" s="877"/>
      <c r="EH220" s="879">
        <v>0</v>
      </c>
      <c r="EI220" s="7">
        <v>28043.603911087746</v>
      </c>
      <c r="EJ220" s="879"/>
      <c r="EK220" s="877"/>
      <c r="EL220" s="879">
        <v>0</v>
      </c>
      <c r="EM220" s="7">
        <v>0</v>
      </c>
      <c r="EN220" s="879"/>
      <c r="EO220" s="877"/>
      <c r="EP220" s="879">
        <v>0</v>
      </c>
      <c r="EQ220" s="7">
        <v>0</v>
      </c>
      <c r="ER220" s="879"/>
      <c r="ES220" s="877"/>
      <c r="ET220" s="879">
        <v>11216.462768974578</v>
      </c>
      <c r="EU220" s="7">
        <v>12581.515540368166</v>
      </c>
      <c r="EV220" s="879"/>
      <c r="EW220" s="877"/>
      <c r="EX220" s="879">
        <v>11235.128664625241</v>
      </c>
      <c r="EY220" s="7">
        <v>13123.17670115982</v>
      </c>
      <c r="EZ220" s="879"/>
      <c r="FA220" s="877"/>
      <c r="FB220" s="879">
        <v>8174.8198166781849</v>
      </c>
      <c r="FC220" s="7">
        <v>91697.021317397972</v>
      </c>
      <c r="FD220" s="879"/>
      <c r="FE220" s="877"/>
      <c r="FF220" s="879">
        <v>10543.659649920159</v>
      </c>
      <c r="FG220" s="7">
        <v>118154.43225543376</v>
      </c>
      <c r="FH220" s="879"/>
      <c r="FI220" s="877"/>
      <c r="FJ220" s="879">
        <v>8460.565798112224</v>
      </c>
      <c r="FK220" s="7">
        <v>94831.569242122161</v>
      </c>
      <c r="FL220" s="879"/>
      <c r="FM220" s="877"/>
      <c r="FN220" s="879">
        <v>6339.0800707664284</v>
      </c>
      <c r="FO220" s="7">
        <v>38475.239933386147</v>
      </c>
      <c r="FP220" s="879"/>
      <c r="FQ220" s="877"/>
      <c r="FR220" s="879">
        <v>6817.784818346121</v>
      </c>
      <c r="FS220" s="7">
        <v>47572.302267944426</v>
      </c>
      <c r="FT220" s="879"/>
      <c r="FU220" s="877"/>
      <c r="FV220" s="879">
        <v>3695.0306204093795</v>
      </c>
      <c r="FW220" s="7">
        <v>224271.01108421685</v>
      </c>
      <c r="FX220" s="879"/>
      <c r="FY220" s="877"/>
      <c r="FZ220" s="879">
        <v>166503.75052810978</v>
      </c>
      <c r="GA220" s="877"/>
      <c r="GB220" s="879">
        <v>144798.56407747039</v>
      </c>
      <c r="GC220" s="877"/>
      <c r="GD220" s="879">
        <v>267089.78726043704</v>
      </c>
      <c r="GE220" s="877"/>
      <c r="GF220" s="879">
        <v>177802.4095171403</v>
      </c>
      <c r="GG220" s="877"/>
      <c r="GH220" s="879">
        <v>76331.777097376544</v>
      </c>
      <c r="GI220" s="877"/>
      <c r="GJ220" s="879">
        <v>168873.78029921011</v>
      </c>
      <c r="GK220" s="877"/>
      <c r="GL220" s="879">
        <v>154097.44001927986</v>
      </c>
      <c r="GM220" s="877"/>
      <c r="GN220" s="879">
        <v>156911.02058066105</v>
      </c>
      <c r="GO220" s="877"/>
      <c r="GP220" s="879">
        <v>156361.19316426668</v>
      </c>
      <c r="GQ220" s="877"/>
      <c r="GR220" s="879">
        <v>113657.40474373379</v>
      </c>
      <c r="GS220" s="877"/>
    </row>
    <row r="221" spans="1:201" x14ac:dyDescent="0.45">
      <c r="A221" s="768" t="s">
        <v>2590</v>
      </c>
      <c r="B221" s="879">
        <v>5579.2891116263872</v>
      </c>
      <c r="C221" s="7">
        <v>133871.24753778771</v>
      </c>
      <c r="D221" s="879"/>
      <c r="E221" s="877"/>
      <c r="F221" s="879">
        <v>5579.2891116263872</v>
      </c>
      <c r="G221" s="7">
        <v>133871.24753778771</v>
      </c>
      <c r="H221" s="879"/>
      <c r="I221" s="877"/>
      <c r="J221" s="879">
        <v>33404.889109085096</v>
      </c>
      <c r="K221" s="7">
        <v>259021.11373289049</v>
      </c>
      <c r="L221" s="879"/>
      <c r="M221" s="877"/>
      <c r="N221" s="879">
        <v>11241.734678803889</v>
      </c>
      <c r="O221" s="7">
        <v>124667.37909768896</v>
      </c>
      <c r="P221" s="879"/>
      <c r="Q221" s="877"/>
      <c r="R221" s="879">
        <v>4891.5578814611308</v>
      </c>
      <c r="S221" s="7">
        <v>291985.89307079918</v>
      </c>
      <c r="T221" s="879"/>
      <c r="U221" s="877"/>
      <c r="V221" s="879">
        <v>9255.5707375118236</v>
      </c>
      <c r="W221" s="7">
        <v>-411.78577716797281</v>
      </c>
      <c r="X221" s="879"/>
      <c r="Y221" s="877"/>
      <c r="Z221" s="879">
        <v>2263.0302528389798</v>
      </c>
      <c r="AA221" s="7">
        <v>0</v>
      </c>
      <c r="AB221" s="879"/>
      <c r="AC221" s="877"/>
      <c r="AD221" s="879">
        <v>2263.0302528389798</v>
      </c>
      <c r="AE221" s="7">
        <v>0</v>
      </c>
      <c r="AF221" s="879"/>
      <c r="AG221" s="877"/>
      <c r="AH221" s="879">
        <v>2147.2476877972572</v>
      </c>
      <c r="AI221" s="7">
        <v>0</v>
      </c>
      <c r="AJ221" s="879"/>
      <c r="AK221" s="877"/>
      <c r="AL221" s="879">
        <v>0</v>
      </c>
      <c r="AM221" s="7">
        <v>763.79903873521562</v>
      </c>
      <c r="AN221" s="879"/>
      <c r="AO221" s="877"/>
      <c r="AP221" s="879">
        <v>32962.176715891066</v>
      </c>
      <c r="AQ221" s="7">
        <v>255588.06153458648</v>
      </c>
      <c r="AR221" s="879"/>
      <c r="AS221" s="877"/>
      <c r="AT221" s="879">
        <v>30359.899606741776</v>
      </c>
      <c r="AU221" s="7">
        <v>235410.18602751309</v>
      </c>
      <c r="AV221" s="879"/>
      <c r="AW221" s="877"/>
      <c r="AX221" s="879">
        <v>36052.38078300585</v>
      </c>
      <c r="AY221" s="7">
        <v>279550.88830178074</v>
      </c>
      <c r="AZ221" s="879"/>
      <c r="BA221" s="877"/>
      <c r="BB221" s="879">
        <v>16568.288957988476</v>
      </c>
      <c r="BC221" s="7">
        <v>183737.87666218326</v>
      </c>
      <c r="BD221" s="879"/>
      <c r="BE221" s="877"/>
      <c r="BF221" s="879">
        <v>16568.288957988476</v>
      </c>
      <c r="BG221" s="7">
        <v>183737.79191502868</v>
      </c>
      <c r="BH221" s="879"/>
      <c r="BI221" s="877"/>
      <c r="BJ221" s="879">
        <v>10242.214992211057</v>
      </c>
      <c r="BK221" s="7">
        <v>113582.8984766803</v>
      </c>
      <c r="BL221" s="879"/>
      <c r="BM221" s="877"/>
      <c r="BN221" s="879">
        <v>16568.288957988476</v>
      </c>
      <c r="BO221" s="7">
        <v>183737.79191502865</v>
      </c>
      <c r="BP221" s="879"/>
      <c r="BQ221" s="877"/>
      <c r="BR221" s="879">
        <v>4895.3235149341581</v>
      </c>
      <c r="BS221" s="7">
        <v>292210.66855244362</v>
      </c>
      <c r="BT221" s="879"/>
      <c r="BU221" s="877"/>
      <c r="BV221" s="879">
        <v>4518.7601676315307</v>
      </c>
      <c r="BW221" s="7">
        <v>269733.12038799725</v>
      </c>
      <c r="BX221" s="879"/>
      <c r="BY221" s="877"/>
      <c r="BZ221" s="879">
        <v>11289.73754594395</v>
      </c>
      <c r="CA221" s="7">
        <v>-415.68479368756516</v>
      </c>
      <c r="CB221" s="879"/>
      <c r="CC221" s="877"/>
      <c r="CD221" s="879">
        <v>15597.162105882217</v>
      </c>
      <c r="CE221" s="7">
        <v>-415.68479368756516</v>
      </c>
      <c r="CF221" s="879"/>
      <c r="CG221" s="877"/>
      <c r="CH221" s="879">
        <v>13890.704857095885</v>
      </c>
      <c r="CI221" s="7">
        <v>-415.68479368756516</v>
      </c>
      <c r="CJ221" s="879"/>
      <c r="CK221" s="877"/>
      <c r="CL221" s="879">
        <v>10728.24496432354</v>
      </c>
      <c r="CM221" s="7">
        <v>-415.68479368756516</v>
      </c>
      <c r="CN221" s="879"/>
      <c r="CO221" s="877"/>
      <c r="CP221" s="879">
        <v>9297.4090783644624</v>
      </c>
      <c r="CQ221" s="7">
        <v>-415.68479368756516</v>
      </c>
      <c r="CR221" s="879"/>
      <c r="CS221" s="877"/>
      <c r="CT221" s="879">
        <v>6209.3556502691708</v>
      </c>
      <c r="CU221" s="7">
        <v>-25.783141728686402</v>
      </c>
      <c r="CV221" s="879"/>
      <c r="CW221" s="877"/>
      <c r="CX221" s="879">
        <v>8578.4391582352164</v>
      </c>
      <c r="CY221" s="7">
        <v>-25.783141728686402</v>
      </c>
      <c r="CZ221" s="879"/>
      <c r="DA221" s="877"/>
      <c r="DB221" s="879">
        <v>7639.8876714027356</v>
      </c>
      <c r="DC221" s="7">
        <v>-25.783141728686402</v>
      </c>
      <c r="DD221" s="879"/>
      <c r="DE221" s="877"/>
      <c r="DF221" s="879">
        <v>5900.5347303779445</v>
      </c>
      <c r="DG221" s="7">
        <v>-25.783141728686402</v>
      </c>
      <c r="DH221" s="879"/>
      <c r="DI221" s="877"/>
      <c r="DJ221" s="879">
        <v>5113.5749931004539</v>
      </c>
      <c r="DK221" s="7">
        <v>-25.783141728686402</v>
      </c>
      <c r="DL221" s="879"/>
      <c r="DM221" s="877"/>
      <c r="DN221" s="879">
        <v>2263.0302528389798</v>
      </c>
      <c r="DO221" s="7">
        <v>0</v>
      </c>
      <c r="DP221" s="879"/>
      <c r="DQ221" s="877"/>
      <c r="DR221" s="879">
        <v>2263.0302528389798</v>
      </c>
      <c r="DS221" s="7">
        <v>0</v>
      </c>
      <c r="DT221" s="879"/>
      <c r="DU221" s="877"/>
      <c r="DV221" s="879">
        <v>0</v>
      </c>
      <c r="DW221" s="7">
        <v>0</v>
      </c>
      <c r="DX221" s="879"/>
      <c r="DY221" s="877"/>
      <c r="DZ221" s="879">
        <v>0</v>
      </c>
      <c r="EA221" s="7">
        <v>0</v>
      </c>
      <c r="EB221" s="879"/>
      <c r="EC221" s="877"/>
      <c r="ED221" s="879">
        <v>0</v>
      </c>
      <c r="EE221" s="7">
        <v>0</v>
      </c>
      <c r="EF221" s="879"/>
      <c r="EG221" s="877"/>
      <c r="EH221" s="879">
        <v>0</v>
      </c>
      <c r="EI221" s="7">
        <v>28043.603911087746</v>
      </c>
      <c r="EJ221" s="879"/>
      <c r="EK221" s="877"/>
      <c r="EL221" s="879">
        <v>0</v>
      </c>
      <c r="EM221" s="7">
        <v>0</v>
      </c>
      <c r="EN221" s="879"/>
      <c r="EO221" s="877"/>
      <c r="EP221" s="879">
        <v>0</v>
      </c>
      <c r="EQ221" s="7">
        <v>0</v>
      </c>
      <c r="ER221" s="879"/>
      <c r="ES221" s="877"/>
      <c r="ET221" s="879">
        <v>11349.773519738637</v>
      </c>
      <c r="EU221" s="7">
        <v>12631.72953248092</v>
      </c>
      <c r="EV221" s="879"/>
      <c r="EW221" s="877"/>
      <c r="EX221" s="879">
        <v>11368.661264702594</v>
      </c>
      <c r="EY221" s="7">
        <v>13173.474256973206</v>
      </c>
      <c r="EZ221" s="879"/>
      <c r="FA221" s="877"/>
      <c r="FB221" s="879">
        <v>8271.9798028136283</v>
      </c>
      <c r="FC221" s="7">
        <v>91733.618446658133</v>
      </c>
      <c r="FD221" s="879"/>
      <c r="FE221" s="877"/>
      <c r="FF221" s="879">
        <v>10668.97395021985</v>
      </c>
      <c r="FG221" s="7">
        <v>118316.05694155743</v>
      </c>
      <c r="FH221" s="879"/>
      <c r="FI221" s="877"/>
      <c r="FJ221" s="879">
        <v>8561.1219539758058</v>
      </c>
      <c r="FK221" s="7">
        <v>94940.500381625752</v>
      </c>
      <c r="FL221" s="879"/>
      <c r="FM221" s="877"/>
      <c r="FN221" s="879">
        <v>6446.4297151707833</v>
      </c>
      <c r="FO221" s="7">
        <v>38521.829083073113</v>
      </c>
      <c r="FP221" s="879"/>
      <c r="FQ221" s="877"/>
      <c r="FR221" s="879">
        <v>6927.1577938085002</v>
      </c>
      <c r="FS221" s="7">
        <v>47629.066890302456</v>
      </c>
      <c r="FT221" s="879"/>
      <c r="FU221" s="877"/>
      <c r="FV221" s="879">
        <v>3757.6044037874135</v>
      </c>
      <c r="FW221" s="7">
        <v>224298.16775880536</v>
      </c>
      <c r="FX221" s="879"/>
      <c r="FY221" s="877"/>
      <c r="FZ221" s="879">
        <v>166774.83466538592</v>
      </c>
      <c r="GA221" s="769"/>
      <c r="GB221" s="879">
        <v>144971.6446840789</v>
      </c>
      <c r="GC221" s="769"/>
      <c r="GD221" s="879">
        <v>267351.85064470622</v>
      </c>
      <c r="GE221" s="769"/>
      <c r="GF221" s="879">
        <v>177930.88434879156</v>
      </c>
      <c r="GG221" s="769"/>
      <c r="GH221" s="879">
        <v>76456.535434320918</v>
      </c>
      <c r="GI221" s="769"/>
      <c r="GJ221" s="879">
        <v>169004.81350434173</v>
      </c>
      <c r="GK221" s="769"/>
      <c r="GL221" s="879">
        <v>154241.4233709551</v>
      </c>
      <c r="GM221" s="769"/>
      <c r="GN221" s="879">
        <v>157060.79494900533</v>
      </c>
      <c r="GO221" s="769"/>
      <c r="GP221" s="879">
        <v>156523.43159486834</v>
      </c>
      <c r="GQ221" s="769"/>
      <c r="GR221" s="879">
        <v>113760.99760416942</v>
      </c>
      <c r="GS221" s="769"/>
    </row>
    <row r="222" spans="1:201" x14ac:dyDescent="0.45">
      <c r="A222" s="755" t="s">
        <v>2591</v>
      </c>
      <c r="B222" s="983">
        <v>13640.816585356353</v>
      </c>
      <c r="C222" s="739">
        <v>134358.70901670685</v>
      </c>
      <c r="D222" s="738"/>
      <c r="E222" s="739"/>
      <c r="F222" s="983">
        <v>13640.816585356353</v>
      </c>
      <c r="G222" s="739">
        <v>134358.70901670685</v>
      </c>
      <c r="H222" s="983"/>
      <c r="I222" s="739"/>
      <c r="J222" s="983">
        <v>43067.810494980549</v>
      </c>
      <c r="K222" s="739">
        <v>259815.67100530304</v>
      </c>
      <c r="L222" s="983"/>
      <c r="M222" s="739"/>
      <c r="N222" s="983">
        <v>23804.443069771354</v>
      </c>
      <c r="O222" s="739">
        <v>124799.16107729643</v>
      </c>
      <c r="P222" s="983"/>
      <c r="Q222" s="739"/>
      <c r="R222" s="983">
        <v>17863.295623435792</v>
      </c>
      <c r="S222" s="739">
        <v>293302.00867863634</v>
      </c>
      <c r="T222" s="983"/>
      <c r="U222" s="739"/>
      <c r="V222" s="983">
        <v>9669.2305546947518</v>
      </c>
      <c r="W222" s="739">
        <v>9439.2168694408683</v>
      </c>
      <c r="X222" s="983"/>
      <c r="Y222" s="739"/>
      <c r="Z222" s="983">
        <v>2439.3716700309215</v>
      </c>
      <c r="AA222" s="739">
        <v>0</v>
      </c>
      <c r="AB222" s="983"/>
      <c r="AC222" s="739"/>
      <c r="AD222" s="983">
        <v>2439.3716700309215</v>
      </c>
      <c r="AE222" s="739">
        <v>0</v>
      </c>
      <c r="AF222" s="983"/>
      <c r="AG222" s="739"/>
      <c r="AH222" s="983">
        <v>2312.1754881800007</v>
      </c>
      <c r="AI222" s="739">
        <v>0</v>
      </c>
      <c r="AJ222" s="983"/>
      <c r="AK222" s="739"/>
      <c r="AL222" s="983">
        <v>0</v>
      </c>
      <c r="AM222" s="739">
        <v>763.79903873521562</v>
      </c>
      <c r="AN222" s="983"/>
      <c r="AO222" s="739"/>
      <c r="AP222" s="983">
        <v>42497.036157379938</v>
      </c>
      <c r="AQ222" s="739">
        <v>256380.98673088569</v>
      </c>
      <c r="AR222" s="983"/>
      <c r="AS222" s="739"/>
      <c r="AT222" s="983">
        <v>39142.006987060478</v>
      </c>
      <c r="AU222" s="739">
        <v>236130.07458505486</v>
      </c>
      <c r="AV222" s="983"/>
      <c r="AW222" s="739"/>
      <c r="AX222" s="983">
        <v>46481.133297134307</v>
      </c>
      <c r="AY222" s="739">
        <v>280371.24075904797</v>
      </c>
      <c r="AZ222" s="983"/>
      <c r="BA222" s="739"/>
      <c r="BB222" s="983">
        <v>35083.454869966889</v>
      </c>
      <c r="BC222" s="739">
        <v>183916.6161156825</v>
      </c>
      <c r="BD222" s="983"/>
      <c r="BE222" s="739"/>
      <c r="BF222" s="983">
        <v>35083.454869966889</v>
      </c>
      <c r="BG222" s="739">
        <v>183917.45588294257</v>
      </c>
      <c r="BH222" s="983"/>
      <c r="BI222" s="739"/>
      <c r="BJ222" s="983">
        <v>21687.953919615895</v>
      </c>
      <c r="BK222" s="739">
        <v>113705.70480809314</v>
      </c>
      <c r="BL222" s="983"/>
      <c r="BM222" s="739"/>
      <c r="BN222" s="983">
        <v>35083.454869966889</v>
      </c>
      <c r="BO222" s="739">
        <v>183925.62242693861</v>
      </c>
      <c r="BP222" s="983"/>
      <c r="BQ222" s="739"/>
      <c r="BR222" s="983">
        <v>17877.047198203647</v>
      </c>
      <c r="BS222" s="739">
        <v>293528.10159332165</v>
      </c>
      <c r="BT222" s="983"/>
      <c r="BU222" s="739"/>
      <c r="BV222" s="983">
        <v>16501.889721418745</v>
      </c>
      <c r="BW222" s="739">
        <v>270918.81012478744</v>
      </c>
      <c r="BX222" s="983"/>
      <c r="BY222" s="739"/>
      <c r="BZ222" s="983">
        <v>14988.843002074023</v>
      </c>
      <c r="CA222" s="739">
        <v>9459.9781836170241</v>
      </c>
      <c r="CB222" s="983"/>
      <c r="CC222" s="739"/>
      <c r="CD222" s="983">
        <v>20382.705812161315</v>
      </c>
      <c r="CE222" s="739">
        <v>9459.9781836170241</v>
      </c>
      <c r="CF222" s="983"/>
      <c r="CG222" s="739"/>
      <c r="CH222" s="983">
        <v>27479.000232683746</v>
      </c>
      <c r="CI222" s="739">
        <v>9459.9781836170241</v>
      </c>
      <c r="CJ222" s="983"/>
      <c r="CK222" s="739"/>
      <c r="CL222" s="983">
        <v>23168.646106669483</v>
      </c>
      <c r="CM222" s="739">
        <v>9459.9781836170241</v>
      </c>
      <c r="CN222" s="983"/>
      <c r="CO222" s="739"/>
      <c r="CP222" s="983">
        <v>9712.9387792011548</v>
      </c>
      <c r="CQ222" s="739">
        <v>9459.9781836170241</v>
      </c>
      <c r="CR222" s="983"/>
      <c r="CS222" s="739"/>
      <c r="CT222" s="983">
        <v>8243.8636511407094</v>
      </c>
      <c r="CU222" s="739">
        <v>7383.8467660011765</v>
      </c>
      <c r="CV222" s="983"/>
      <c r="CW222" s="739"/>
      <c r="CX222" s="983">
        <v>11210.488196688719</v>
      </c>
      <c r="CY222" s="739">
        <v>7383.8467660011765</v>
      </c>
      <c r="CZ222" s="983"/>
      <c r="DA222" s="739"/>
      <c r="DB222" s="983">
        <v>15113.450127976059</v>
      </c>
      <c r="DC222" s="739">
        <v>7383.8467660011765</v>
      </c>
      <c r="DD222" s="983"/>
      <c r="DE222" s="739"/>
      <c r="DF222" s="983">
        <v>12742.755358668212</v>
      </c>
      <c r="DG222" s="739">
        <v>7383.8467660011765</v>
      </c>
      <c r="DH222" s="983"/>
      <c r="DI222" s="739"/>
      <c r="DJ222" s="983">
        <v>5342.1163285606353</v>
      </c>
      <c r="DK222" s="739">
        <v>7383.8467660011765</v>
      </c>
      <c r="DL222" s="983"/>
      <c r="DM222" s="739"/>
      <c r="DN222" s="983">
        <v>2439.3716700309215</v>
      </c>
      <c r="DO222" s="739">
        <v>0</v>
      </c>
      <c r="DP222" s="983"/>
      <c r="DQ222" s="739"/>
      <c r="DR222" s="983">
        <v>2439.3716700309215</v>
      </c>
      <c r="DS222" s="739">
        <v>0</v>
      </c>
      <c r="DT222" s="983"/>
      <c r="DU222" s="739"/>
      <c r="DV222" s="983">
        <v>0</v>
      </c>
      <c r="DW222" s="739">
        <v>0</v>
      </c>
      <c r="DX222" s="983"/>
      <c r="DY222" s="739"/>
      <c r="DZ222" s="983">
        <v>0</v>
      </c>
      <c r="EA222" s="739">
        <v>0</v>
      </c>
      <c r="EB222" s="983"/>
      <c r="EC222" s="739"/>
      <c r="ED222" s="983">
        <v>0</v>
      </c>
      <c r="EE222" s="739">
        <v>0</v>
      </c>
      <c r="EF222" s="983"/>
      <c r="EG222" s="739"/>
      <c r="EH222" s="983">
        <v>0</v>
      </c>
      <c r="EI222" s="739">
        <v>28043.603911087746</v>
      </c>
      <c r="EJ222" s="983"/>
      <c r="EK222" s="739"/>
      <c r="EL222" s="983">
        <v>0</v>
      </c>
      <c r="EM222" s="739">
        <v>0</v>
      </c>
      <c r="EN222" s="983"/>
      <c r="EO222" s="739"/>
      <c r="EP222" s="983">
        <v>0</v>
      </c>
      <c r="EQ222" s="738">
        <v>0</v>
      </c>
      <c r="ER222" s="983"/>
      <c r="ES222" s="739"/>
      <c r="ET222" s="983">
        <v>24033.215987104508</v>
      </c>
      <c r="EU222" s="738">
        <v>12767.815725690658</v>
      </c>
      <c r="EV222" s="983"/>
      <c r="EW222" s="739"/>
      <c r="EX222" s="983">
        <v>24073.210904486667</v>
      </c>
      <c r="EY222" s="738">
        <v>13309.786918253518</v>
      </c>
      <c r="EZ222" s="983"/>
      <c r="FA222" s="739"/>
      <c r="FB222" s="983">
        <v>17515.968657545876</v>
      </c>
      <c r="FC222" s="738">
        <v>91832.801240016517</v>
      </c>
      <c r="FD222" s="983"/>
      <c r="FE222" s="739"/>
      <c r="FF222" s="983">
        <v>22591.618666266557</v>
      </c>
      <c r="FG222" s="738">
        <v>118431.15431691679</v>
      </c>
      <c r="FH222" s="983"/>
      <c r="FI222" s="739"/>
      <c r="FJ222" s="983">
        <v>18128.228960165259</v>
      </c>
      <c r="FK222" s="738">
        <v>95033.335866566063</v>
      </c>
      <c r="FL222" s="983"/>
      <c r="FM222" s="739"/>
      <c r="FN222" s="983">
        <v>23541.473393216704</v>
      </c>
      <c r="FO222" s="738">
        <v>40256.696957801942</v>
      </c>
      <c r="FP222" s="983"/>
      <c r="FQ222" s="739"/>
      <c r="FR222" s="983">
        <v>23426.483713635604</v>
      </c>
      <c r="FS222" s="738">
        <v>49178.441799015331</v>
      </c>
      <c r="FT222" s="983"/>
      <c r="FU222" s="739"/>
      <c r="FV222" s="983">
        <v>13722.253712906848</v>
      </c>
      <c r="FW222" s="738">
        <v>225309.41700127037</v>
      </c>
      <c r="FX222" s="983"/>
      <c r="FY222" s="739"/>
      <c r="FZ222" s="983">
        <v>178653.98742430314</v>
      </c>
      <c r="GA222" s="776"/>
      <c r="GB222" s="983">
        <v>156530.26595205697</v>
      </c>
      <c r="GC222" s="776"/>
      <c r="GD222" s="983">
        <v>278113.13218396192</v>
      </c>
      <c r="GE222" s="776"/>
      <c r="GF222" s="983">
        <v>186910.58150738091</v>
      </c>
      <c r="GG222" s="776"/>
      <c r="GH222" s="983">
        <v>82863.775228674785</v>
      </c>
      <c r="GI222" s="776"/>
      <c r="GJ222" s="983">
        <v>178473.4108753459</v>
      </c>
      <c r="GK222" s="776"/>
      <c r="GL222" s="983">
        <v>163830.85853150068</v>
      </c>
      <c r="GM222" s="776"/>
      <c r="GN222" s="983">
        <v>166861.80513159986</v>
      </c>
      <c r="GO222" s="776"/>
      <c r="GP222" s="983">
        <v>167104.56758075397</v>
      </c>
      <c r="GQ222" s="776"/>
      <c r="GR222" s="983">
        <v>120866.54718976389</v>
      </c>
      <c r="GS222" s="776"/>
    </row>
    <row r="223" spans="1:201" x14ac:dyDescent="0.45">
      <c r="B223" s="7"/>
      <c r="GA223" s="13"/>
      <c r="GC223" s="13"/>
      <c r="GE223" s="13"/>
      <c r="GG223" s="13"/>
      <c r="GI223" s="13"/>
      <c r="GK223" s="13"/>
      <c r="GM223" s="13"/>
      <c r="GO223" s="13"/>
      <c r="GQ223" s="13"/>
    </row>
    <row r="224" spans="1:201" x14ac:dyDescent="0.45">
      <c r="A224" s="726" t="s">
        <v>2827</v>
      </c>
      <c r="H224" s="725"/>
      <c r="L224" s="725"/>
      <c r="P224" s="725"/>
      <c r="GA224" s="13"/>
      <c r="GC224" s="13"/>
      <c r="GE224" s="13"/>
      <c r="GG224" s="13"/>
      <c r="GI224" s="13"/>
      <c r="GK224" s="13"/>
      <c r="GM224" s="13"/>
      <c r="GO224" s="13"/>
      <c r="GQ224" s="13"/>
    </row>
    <row r="225" spans="1:199" ht="57" x14ac:dyDescent="0.45">
      <c r="A225" s="779"/>
      <c r="B225" s="2264" t="s">
        <v>2828</v>
      </c>
      <c r="C225" s="2265"/>
      <c r="D225" s="2265"/>
      <c r="E225" s="2266"/>
      <c r="F225" s="1064" t="s">
        <v>2829</v>
      </c>
      <c r="G225" s="1065" t="s">
        <v>2830</v>
      </c>
      <c r="H225" s="1065" t="s">
        <v>2831</v>
      </c>
      <c r="I225" s="1065" t="s">
        <v>2832</v>
      </c>
      <c r="J225" s="1065" t="s">
        <v>262</v>
      </c>
      <c r="K225" s="1065" t="s">
        <v>351</v>
      </c>
      <c r="L225" s="1065" t="s">
        <v>263</v>
      </c>
      <c r="M225" s="1065" t="s">
        <v>2833</v>
      </c>
      <c r="N225" s="1065" t="s">
        <v>268</v>
      </c>
      <c r="O225" s="1065" t="s">
        <v>2834</v>
      </c>
      <c r="P225" s="1065" t="s">
        <v>2835</v>
      </c>
      <c r="Q225" s="1065" t="s">
        <v>2836</v>
      </c>
      <c r="R225" s="1065" t="s">
        <v>2837</v>
      </c>
      <c r="S225" s="1065" t="s">
        <v>2838</v>
      </c>
      <c r="GA225" s="13"/>
      <c r="GC225" s="13"/>
      <c r="GE225" s="13"/>
      <c r="GG225" s="13"/>
      <c r="GI225" s="13"/>
      <c r="GK225" s="13"/>
      <c r="GM225" s="13"/>
      <c r="GO225" s="13"/>
      <c r="GQ225" s="13"/>
    </row>
    <row r="226" spans="1:199" x14ac:dyDescent="0.45">
      <c r="A226" s="754" t="s">
        <v>749</v>
      </c>
      <c r="B226" s="1066" t="s">
        <v>173</v>
      </c>
      <c r="C226" s="1067" t="s">
        <v>2839</v>
      </c>
      <c r="D226" s="1067" t="s">
        <v>173</v>
      </c>
      <c r="E226" s="1068" t="s">
        <v>2839</v>
      </c>
      <c r="F226" s="1069" t="s">
        <v>173</v>
      </c>
      <c r="G226" s="1070" t="s">
        <v>173</v>
      </c>
      <c r="H226" s="1070" t="s">
        <v>173</v>
      </c>
      <c r="I226" s="1070" t="s">
        <v>173</v>
      </c>
      <c r="J226" s="1070" t="s">
        <v>173</v>
      </c>
      <c r="K226" s="1070" t="s">
        <v>173</v>
      </c>
      <c r="L226" s="1070" t="s">
        <v>173</v>
      </c>
      <c r="M226" s="1070" t="s">
        <v>173</v>
      </c>
      <c r="N226" s="1070" t="s">
        <v>173</v>
      </c>
      <c r="O226" s="1070" t="s">
        <v>173</v>
      </c>
      <c r="P226" s="1070" t="s">
        <v>173</v>
      </c>
      <c r="Q226" s="1070" t="s">
        <v>173</v>
      </c>
      <c r="R226" s="1070" t="s">
        <v>173</v>
      </c>
      <c r="S226" s="1070" t="s">
        <v>173</v>
      </c>
      <c r="GA226" s="13"/>
      <c r="GC226" s="13"/>
      <c r="GE226" s="13"/>
      <c r="GG226" s="13"/>
      <c r="GI226" s="13"/>
      <c r="GK226" s="13"/>
      <c r="GM226" s="13"/>
      <c r="GO226" s="13"/>
      <c r="GQ226" s="13"/>
    </row>
    <row r="227" spans="1:199" x14ac:dyDescent="0.45">
      <c r="A227" s="768" t="s">
        <v>415</v>
      </c>
      <c r="B227" s="1071">
        <v>2004</v>
      </c>
      <c r="C227" s="1072">
        <v>2004</v>
      </c>
      <c r="D227" s="2267" t="s">
        <v>2840</v>
      </c>
      <c r="E227" s="2268"/>
      <c r="F227" s="20">
        <v>2009</v>
      </c>
      <c r="G227" s="1073">
        <v>2007</v>
      </c>
      <c r="H227" s="1074">
        <v>2012</v>
      </c>
      <c r="I227" s="1073">
        <v>2012</v>
      </c>
      <c r="J227" s="1073">
        <v>2012</v>
      </c>
      <c r="K227" s="1073">
        <v>2012</v>
      </c>
      <c r="L227" s="1073">
        <v>2015</v>
      </c>
      <c r="M227" s="1073">
        <v>2012</v>
      </c>
      <c r="N227" s="1073">
        <v>2012</v>
      </c>
      <c r="O227" s="1073">
        <v>2012</v>
      </c>
      <c r="P227" s="1073">
        <v>2012</v>
      </c>
      <c r="Q227" s="1073">
        <v>2012</v>
      </c>
      <c r="R227" s="1073">
        <v>2011</v>
      </c>
      <c r="S227" s="1074">
        <v>2015</v>
      </c>
      <c r="GA227" s="13"/>
      <c r="GC227" s="13"/>
      <c r="GE227" s="13"/>
      <c r="GG227" s="13"/>
      <c r="GI227" s="13"/>
      <c r="GK227" s="13"/>
      <c r="GM227" s="13"/>
      <c r="GO227" s="13"/>
      <c r="GQ227" s="13"/>
    </row>
    <row r="228" spans="1:199" x14ac:dyDescent="0.45">
      <c r="A228" s="779" t="s">
        <v>1966</v>
      </c>
      <c r="B228" s="1075">
        <v>1.171834625323E-2</v>
      </c>
      <c r="C228" s="1076">
        <v>1.171834625323E-2</v>
      </c>
      <c r="D228" s="1076">
        <v>1.171834625323E-2</v>
      </c>
      <c r="E228" s="1077">
        <v>1.171834625323E-2</v>
      </c>
      <c r="F228" s="1078">
        <v>0.20007575508053094</v>
      </c>
      <c r="G228" s="1079">
        <v>5.4227405247813409E-5</v>
      </c>
      <c r="H228" s="1079">
        <v>7.5000000000000002E-4</v>
      </c>
      <c r="I228" s="1080">
        <v>1.63452384299894E-2</v>
      </c>
      <c r="J228" s="1080">
        <v>3.5462623242209099E-2</v>
      </c>
      <c r="K228" s="1080">
        <v>1.1007977000515401E-2</v>
      </c>
      <c r="L228" s="1080">
        <v>1.6517183228958296E-3</v>
      </c>
      <c r="M228" s="1080">
        <v>4.4321959257891301E-3</v>
      </c>
      <c r="N228" s="1080">
        <v>0.13364918583864999</v>
      </c>
      <c r="O228" s="1080">
        <v>0.72413793103448298</v>
      </c>
      <c r="P228" s="1080">
        <v>2.84081301362914E-4</v>
      </c>
      <c r="Q228" s="1080">
        <v>2.6208189895903199E-2</v>
      </c>
      <c r="R228" s="1080">
        <v>0</v>
      </c>
      <c r="S228" s="1081">
        <v>0</v>
      </c>
      <c r="GA228" s="13"/>
      <c r="GC228" s="13"/>
      <c r="GE228" s="13"/>
      <c r="GG228" s="13"/>
      <c r="GI228" s="13"/>
      <c r="GK228" s="13"/>
      <c r="GM228" s="13"/>
      <c r="GO228" s="13"/>
      <c r="GQ228" s="13"/>
    </row>
    <row r="229" spans="1:199" x14ac:dyDescent="0.45">
      <c r="A229" s="768" t="s">
        <v>205</v>
      </c>
      <c r="B229" s="1082">
        <v>4.9826873385012897E-2</v>
      </c>
      <c r="C229" s="1083">
        <v>4.9826873385012897E-2</v>
      </c>
      <c r="D229" s="1083">
        <v>4.9826873385012897E-2</v>
      </c>
      <c r="E229" s="1084">
        <v>4.9826873385012897E-2</v>
      </c>
      <c r="F229" s="1085">
        <v>6.4721188366654595E-2</v>
      </c>
      <c r="G229" s="1086">
        <v>0.3574539358600583</v>
      </c>
      <c r="H229" s="1086">
        <v>0</v>
      </c>
      <c r="I229" s="1087">
        <v>0.19925203160588301</v>
      </c>
      <c r="J229" s="1087">
        <v>8.46382330954316E-2</v>
      </c>
      <c r="K229" s="1087">
        <v>0.106448272437974</v>
      </c>
      <c r="L229" s="1087">
        <v>2.4803249443084745E-2</v>
      </c>
      <c r="M229" s="1087">
        <v>9.5547916015569501E-2</v>
      </c>
      <c r="N229" s="1087">
        <v>0.33667393693598902</v>
      </c>
      <c r="O229" s="1087">
        <v>0</v>
      </c>
      <c r="P229" s="1087">
        <v>1.7788900537725302E-2</v>
      </c>
      <c r="Q229" s="1087">
        <v>0.49066995164065003</v>
      </c>
      <c r="R229" s="1087">
        <v>0.19</v>
      </c>
      <c r="S229" s="1088">
        <v>0</v>
      </c>
      <c r="T229" s="7"/>
      <c r="GA229" s="13"/>
      <c r="GC229" s="13"/>
      <c r="GE229" s="13"/>
      <c r="GG229" s="13"/>
      <c r="GI229" s="13"/>
      <c r="GK229" s="13"/>
      <c r="GM229" s="13"/>
      <c r="GO229" s="13"/>
      <c r="GQ229" s="13"/>
    </row>
    <row r="230" spans="1:199" x14ac:dyDescent="0.45">
      <c r="A230" s="768" t="s">
        <v>114</v>
      </c>
      <c r="B230" s="1082">
        <v>1.6888888888888901E-2</v>
      </c>
      <c r="C230" s="1083">
        <v>1.6888888888888901E-2</v>
      </c>
      <c r="D230" s="1083">
        <v>1.6888888888888901E-2</v>
      </c>
      <c r="E230" s="1084">
        <v>1.6888888888888901E-2</v>
      </c>
      <c r="F230" s="1085">
        <v>0.24533118144988636</v>
      </c>
      <c r="G230" s="1086">
        <v>0.50498099125364426</v>
      </c>
      <c r="H230" s="1086">
        <v>0.92700000000000005</v>
      </c>
      <c r="I230" s="1087">
        <v>0.68786981654287604</v>
      </c>
      <c r="J230" s="1087">
        <v>2.5643067755837901E-2</v>
      </c>
      <c r="K230" s="1087">
        <v>0.10036740541793</v>
      </c>
      <c r="L230" s="1087">
        <v>0.70119854101343393</v>
      </c>
      <c r="M230" s="1087">
        <v>0.160113077819132</v>
      </c>
      <c r="N230" s="1087">
        <v>0.27637762405845401</v>
      </c>
      <c r="O230" s="1087">
        <v>0.13793103448275901</v>
      </c>
      <c r="P230" s="1087">
        <v>1.1295613649430099E-3</v>
      </c>
      <c r="Q230" s="1087">
        <v>0.15776747539538299</v>
      </c>
      <c r="R230" s="1087">
        <v>0.67</v>
      </c>
      <c r="S230" s="1088">
        <v>0</v>
      </c>
      <c r="T230" s="7"/>
    </row>
    <row r="231" spans="1:199" x14ac:dyDescent="0.45">
      <c r="A231" s="768" t="s">
        <v>116</v>
      </c>
      <c r="B231" s="1082">
        <v>4.2235142118863103E-2</v>
      </c>
      <c r="C231" s="1083">
        <v>4.2235142118863103E-2</v>
      </c>
      <c r="D231" s="1083">
        <v>4.2235142118863103E-2</v>
      </c>
      <c r="E231" s="1084">
        <v>4.2235142118863103E-2</v>
      </c>
      <c r="F231" s="1085">
        <v>7.0386350910707815E-2</v>
      </c>
      <c r="G231" s="1086">
        <v>2.1658309037900876E-3</v>
      </c>
      <c r="H231" s="1086">
        <v>1.14E-3</v>
      </c>
      <c r="I231" s="1087">
        <v>9.4118686757103092E-3</v>
      </c>
      <c r="J231" s="1087">
        <v>6.3780954225486006E-2</v>
      </c>
      <c r="K231" s="1087">
        <v>1.4027920289889299E-2</v>
      </c>
      <c r="L231" s="1087">
        <v>8.993238518091768E-3</v>
      </c>
      <c r="M231" s="1087">
        <v>0.154075631445862</v>
      </c>
      <c r="N231" s="1087">
        <v>2.7670391781587599E-2</v>
      </c>
      <c r="O231" s="1087">
        <v>0</v>
      </c>
      <c r="P231" s="1087">
        <v>1.82623693733302E-3</v>
      </c>
      <c r="Q231" s="1087">
        <v>4.2027244861935797E-5</v>
      </c>
      <c r="R231" s="1087">
        <v>0</v>
      </c>
      <c r="S231" s="1088">
        <v>0</v>
      </c>
      <c r="T231" s="7"/>
    </row>
    <row r="232" spans="1:199" x14ac:dyDescent="0.45">
      <c r="A232" s="768" t="s">
        <v>115</v>
      </c>
      <c r="B232" s="1082">
        <v>2.9974160206718298E-2</v>
      </c>
      <c r="C232" s="1083">
        <v>2.9974160206718298E-2</v>
      </c>
      <c r="D232" s="1083">
        <v>2.9974160206718298E-2</v>
      </c>
      <c r="E232" s="1084">
        <v>2.9974160206718298E-2</v>
      </c>
      <c r="F232" s="1085">
        <v>0</v>
      </c>
      <c r="G232" s="1086">
        <v>0.10035615160349856</v>
      </c>
      <c r="H232" s="1086">
        <v>5.0689999999999999E-2</v>
      </c>
      <c r="I232" s="1087">
        <v>0</v>
      </c>
      <c r="J232" s="1087">
        <v>2.9029683113441701E-2</v>
      </c>
      <c r="K232" s="1087">
        <v>0.14951871624039101</v>
      </c>
      <c r="L232" s="1087">
        <v>2.914508943579459E-2</v>
      </c>
      <c r="M232" s="1087">
        <v>0.32654771713498298</v>
      </c>
      <c r="N232" s="1087">
        <v>0.12340677170773801</v>
      </c>
      <c r="O232" s="1087">
        <v>0</v>
      </c>
      <c r="P232" s="1087">
        <v>0</v>
      </c>
      <c r="Q232" s="1087">
        <v>0.16580588642930899</v>
      </c>
      <c r="R232" s="1087">
        <v>0</v>
      </c>
      <c r="S232" s="1088">
        <v>0</v>
      </c>
      <c r="T232" s="7"/>
    </row>
    <row r="233" spans="1:199" x14ac:dyDescent="0.45">
      <c r="A233" s="768" t="s">
        <v>279</v>
      </c>
      <c r="B233" s="1082">
        <v>0.82897416020671799</v>
      </c>
      <c r="C233" s="1083">
        <v>0.82897416020671799</v>
      </c>
      <c r="D233" s="1083">
        <v>0.82897416020671799</v>
      </c>
      <c r="E233" s="1084">
        <v>0.82897416020671799</v>
      </c>
      <c r="F233" s="1085">
        <v>0.41658706893712327</v>
      </c>
      <c r="G233" s="1086">
        <v>2.6545327380000003E-3</v>
      </c>
      <c r="H233" s="1086">
        <v>1.9E-2</v>
      </c>
      <c r="I233" s="1087">
        <v>5.6571637456264701E-2</v>
      </c>
      <c r="J233" s="1087">
        <v>0.75179240826182103</v>
      </c>
      <c r="K233" s="1087">
        <v>0.59992528950317503</v>
      </c>
      <c r="L233" s="1087">
        <v>0.19288022200841712</v>
      </c>
      <c r="M233" s="1087">
        <v>0.23949484331050899</v>
      </c>
      <c r="N233" s="1087">
        <v>8.3094151795975693E-2</v>
      </c>
      <c r="O233" s="1087">
        <v>0.13793103448275901</v>
      </c>
      <c r="P233" s="1087">
        <v>0.96698569447732396</v>
      </c>
      <c r="Q233" s="1087">
        <v>0.15626570184565</v>
      </c>
      <c r="R233" s="1087">
        <v>0.14000000000000001</v>
      </c>
      <c r="S233" s="1088">
        <v>1</v>
      </c>
      <c r="T233" s="7"/>
    </row>
    <row r="234" spans="1:199" x14ac:dyDescent="0.45">
      <c r="A234" s="755" t="s">
        <v>292</v>
      </c>
      <c r="B234" s="1089">
        <v>2.0382428940568742E-2</v>
      </c>
      <c r="C234" s="1090">
        <v>2.0382428940568742E-2</v>
      </c>
      <c r="D234" s="1090">
        <v>2.0382428940568742E-2</v>
      </c>
      <c r="E234" s="1091">
        <v>2.0382428940568742E-2</v>
      </c>
      <c r="F234" s="1023">
        <v>2.8984552550970211E-3</v>
      </c>
      <c r="G234" s="1043">
        <v>3.2334330235761044E-2</v>
      </c>
      <c r="H234" s="1043">
        <v>1.4199999999998658E-3</v>
      </c>
      <c r="I234" s="1092">
        <v>3.0549407289276576E-2</v>
      </c>
      <c r="J234" s="1092">
        <v>9.6530303057726918E-3</v>
      </c>
      <c r="K234" s="1092">
        <v>1.8704419110125214E-2</v>
      </c>
      <c r="L234" s="1092">
        <v>4.1327941258281986E-2</v>
      </c>
      <c r="M234" s="1092">
        <v>1.9788618348155373E-2</v>
      </c>
      <c r="N234" s="1092">
        <v>1.9127937881605717E-2</v>
      </c>
      <c r="O234" s="1092">
        <v>0</v>
      </c>
      <c r="P234" s="1092">
        <v>1.1985525381311812E-2</v>
      </c>
      <c r="Q234" s="1092">
        <v>3.2407675482429843E-3</v>
      </c>
      <c r="R234" s="1092">
        <v>0</v>
      </c>
      <c r="S234" s="1043">
        <v>0</v>
      </c>
      <c r="T234" s="7"/>
    </row>
    <row r="235" spans="1:199" x14ac:dyDescent="0.45">
      <c r="A235" s="768" t="s">
        <v>2841</v>
      </c>
      <c r="B235" s="1093">
        <v>4.9000000000000002E-2</v>
      </c>
      <c r="C235" s="1094">
        <v>4.9000000000000002E-2</v>
      </c>
      <c r="D235" s="1083">
        <v>4.9000000000000002E-2</v>
      </c>
      <c r="E235" s="1084">
        <v>4.9000000000000002E-2</v>
      </c>
      <c r="F235" s="1085">
        <v>0.10610905837323745</v>
      </c>
      <c r="G235" s="1095">
        <v>4.9000000000000002E-2</v>
      </c>
      <c r="H235" s="1086">
        <v>0.08</v>
      </c>
      <c r="I235" s="1087">
        <v>0.05</v>
      </c>
      <c r="J235" s="1087">
        <v>0.16</v>
      </c>
      <c r="K235" s="1087">
        <v>0.05</v>
      </c>
      <c r="L235" s="1087">
        <v>0.05</v>
      </c>
      <c r="M235" s="1087">
        <v>0.03</v>
      </c>
      <c r="N235" s="1087">
        <v>0.06</v>
      </c>
      <c r="O235" s="1087">
        <v>7.0000000000000007E-2</v>
      </c>
      <c r="P235" s="1087">
        <v>0.08</v>
      </c>
      <c r="Q235" s="1087">
        <v>0.1</v>
      </c>
      <c r="R235" s="1087">
        <v>0.08</v>
      </c>
      <c r="S235" s="1088">
        <v>0.21</v>
      </c>
      <c r="T235" s="7"/>
    </row>
    <row r="236" spans="1:199" x14ac:dyDescent="0.45">
      <c r="A236" s="900" t="s">
        <v>2842</v>
      </c>
      <c r="B236" s="1096"/>
      <c r="C236" s="1097"/>
      <c r="D236" s="1097"/>
      <c r="E236" s="1098"/>
      <c r="F236" s="785"/>
      <c r="G236" s="740"/>
      <c r="H236" s="740"/>
      <c r="I236" s="740"/>
      <c r="J236" s="740"/>
      <c r="K236" s="740"/>
      <c r="L236" s="740"/>
      <c r="M236" s="740"/>
      <c r="N236" s="740"/>
      <c r="O236" s="740"/>
      <c r="P236" s="740"/>
      <c r="Q236" s="740"/>
      <c r="R236" s="740"/>
      <c r="S236" s="740"/>
      <c r="T236" s="7"/>
    </row>
    <row r="237" spans="1:199" x14ac:dyDescent="0.45">
      <c r="A237" s="768" t="s">
        <v>1968</v>
      </c>
      <c r="B237" s="1099"/>
      <c r="C237" s="1100"/>
      <c r="D237" s="1101">
        <v>1336692.8890318193</v>
      </c>
      <c r="E237" s="1102">
        <v>1336692.8890318193</v>
      </c>
      <c r="F237" s="7">
        <v>2513810.8033631206</v>
      </c>
      <c r="G237" s="954">
        <v>2477924.6200704919</v>
      </c>
      <c r="H237" s="954">
        <v>2945120.0608509611</v>
      </c>
      <c r="I237" s="954">
        <v>2703400.4486857089</v>
      </c>
      <c r="J237" s="954">
        <v>1739916.8995897891</v>
      </c>
      <c r="K237" s="954">
        <v>1463396.3142447467</v>
      </c>
      <c r="L237" s="954">
        <v>2477822.6077364213</v>
      </c>
      <c r="M237" s="954">
        <v>2048772.0698837496</v>
      </c>
      <c r="N237" s="954">
        <v>2464231.0042810193</v>
      </c>
      <c r="O237" s="954">
        <v>3156290.9310222431</v>
      </c>
      <c r="P237" s="954">
        <v>1119769.86309008</v>
      </c>
      <c r="Q237" s="954">
        <v>2144409.6840677978</v>
      </c>
      <c r="R237" s="954">
        <v>2677753.1085397247</v>
      </c>
      <c r="S237" s="954">
        <v>1265822.7848101265</v>
      </c>
      <c r="T237" s="7"/>
    </row>
    <row r="238" spans="1:199" x14ac:dyDescent="0.45">
      <c r="A238" s="768" t="s">
        <v>1967</v>
      </c>
      <c r="B238" s="1099"/>
      <c r="C238" s="1100"/>
      <c r="D238" s="1101">
        <v>210637.46760483517</v>
      </c>
      <c r="E238" s="1102">
        <v>210637.46760483517</v>
      </c>
      <c r="F238" s="7">
        <v>1684175.4740820979</v>
      </c>
      <c r="G238" s="954">
        <v>2323235.96771362</v>
      </c>
      <c r="H238" s="954">
        <v>2859821.184195396</v>
      </c>
      <c r="I238" s="954">
        <v>2564821.0001411932</v>
      </c>
      <c r="J238" s="954">
        <v>454273.92741419107</v>
      </c>
      <c r="K238" s="954">
        <v>586730.63044291083</v>
      </c>
      <c r="L238" s="954">
        <v>2156007.4866075632</v>
      </c>
      <c r="M238" s="954">
        <v>723873.80140135274</v>
      </c>
      <c r="N238" s="954">
        <v>2087202.1375445644</v>
      </c>
      <c r="O238" s="954">
        <v>2996054.2728518853</v>
      </c>
      <c r="P238" s="954">
        <v>46656.945441591452</v>
      </c>
      <c r="Q238" s="954">
        <v>1780426.2288225684</v>
      </c>
      <c r="R238" s="954">
        <v>2524034.6996883112</v>
      </c>
      <c r="S238" s="954">
        <v>0</v>
      </c>
      <c r="T238" s="7"/>
    </row>
    <row r="239" spans="1:199" x14ac:dyDescent="0.45">
      <c r="A239" s="768" t="s">
        <v>114</v>
      </c>
      <c r="B239" s="1099"/>
      <c r="C239" s="1100"/>
      <c r="D239" s="1101">
        <v>50410.989551053048</v>
      </c>
      <c r="E239" s="1102">
        <v>50410.989551053048</v>
      </c>
      <c r="F239" s="7">
        <v>771802.34649978951</v>
      </c>
      <c r="G239" s="954">
        <v>1479777.4760333307</v>
      </c>
      <c r="H239" s="954">
        <v>2804310.9128187662</v>
      </c>
      <c r="I239" s="954">
        <v>2015947.1166901218</v>
      </c>
      <c r="J239" s="954">
        <v>87200.327412889237</v>
      </c>
      <c r="K239" s="954">
        <v>296487.1772581336</v>
      </c>
      <c r="L239" s="954">
        <v>2054260.2400785338</v>
      </c>
      <c r="M239" s="954">
        <v>463735.92704837333</v>
      </c>
      <c r="N239" s="954">
        <v>825622.39081888855</v>
      </c>
      <c r="O239" s="954">
        <v>439894.47466144647</v>
      </c>
      <c r="P239" s="954">
        <v>3485.5495617728502</v>
      </c>
      <c r="Q239" s="954">
        <v>492423.59473532194</v>
      </c>
      <c r="R239" s="954">
        <v>2026392.3710088551</v>
      </c>
      <c r="S239" s="954">
        <v>0</v>
      </c>
      <c r="T239" s="7"/>
    </row>
    <row r="240" spans="1:199" x14ac:dyDescent="0.45">
      <c r="A240" s="768" t="s">
        <v>113</v>
      </c>
      <c r="B240" s="1099"/>
      <c r="C240" s="1100"/>
      <c r="D240" s="1101">
        <v>117213.46150326249</v>
      </c>
      <c r="E240" s="1102">
        <v>117213.46150326249</v>
      </c>
      <c r="F240" s="7">
        <v>214751.5059018624</v>
      </c>
      <c r="G240" s="954">
        <v>817055.97930999729</v>
      </c>
      <c r="H240" s="954">
        <v>9709.5940241276476</v>
      </c>
      <c r="I240" s="954">
        <v>463203.77561326546</v>
      </c>
      <c r="J240" s="954">
        <v>229482.74341347793</v>
      </c>
      <c r="K240" s="954">
        <v>247809.67618699925</v>
      </c>
      <c r="L240" s="954">
        <v>63706.270225522981</v>
      </c>
      <c r="M240" s="954">
        <v>221547.0957397942</v>
      </c>
      <c r="N240" s="954">
        <v>812491.10606985842</v>
      </c>
      <c r="O240" s="954">
        <v>193161.97445785487</v>
      </c>
      <c r="P240" s="954">
        <v>41831.37805613847</v>
      </c>
      <c r="Q240" s="954">
        <v>1187464.7035616618</v>
      </c>
      <c r="R240" s="954">
        <v>465534.30318138027</v>
      </c>
      <c r="S240" s="954">
        <v>0</v>
      </c>
      <c r="T240" s="7"/>
    </row>
    <row r="241" spans="1:20" x14ac:dyDescent="0.45">
      <c r="A241" s="755" t="s">
        <v>1966</v>
      </c>
      <c r="B241" s="1103"/>
      <c r="C241" s="1104"/>
      <c r="D241" s="1105">
        <v>43013.016550519656</v>
      </c>
      <c r="E241" s="1106">
        <v>43013.016550519656</v>
      </c>
      <c r="F241" s="738">
        <v>697621.62168044597</v>
      </c>
      <c r="G241" s="958">
        <v>26402.512370292097</v>
      </c>
      <c r="H241" s="958">
        <v>45800.677352502178</v>
      </c>
      <c r="I241" s="958">
        <v>85670.107837805874</v>
      </c>
      <c r="J241" s="958">
        <v>137590.85658782392</v>
      </c>
      <c r="K241" s="958">
        <v>42433.776997777997</v>
      </c>
      <c r="L241" s="958">
        <v>38040.976303506468</v>
      </c>
      <c r="M241" s="958">
        <v>38590.778613185204</v>
      </c>
      <c r="N241" s="958">
        <v>449088.64065581752</v>
      </c>
      <c r="O241" s="958">
        <v>2362997.8237325838</v>
      </c>
      <c r="P241" s="958">
        <v>1340.0178236801312</v>
      </c>
      <c r="Q241" s="958">
        <v>100537.93052558454</v>
      </c>
      <c r="R241" s="958">
        <v>32108.025498075887</v>
      </c>
      <c r="S241" s="958">
        <v>0</v>
      </c>
      <c r="T241" s="7"/>
    </row>
    <row r="242" spans="1:20" x14ac:dyDescent="0.45">
      <c r="A242" s="768" t="s">
        <v>1532</v>
      </c>
      <c r="B242" s="1099"/>
      <c r="C242" s="1100"/>
      <c r="D242" s="1100">
        <v>1142.9550498257054</v>
      </c>
      <c r="E242" s="1100">
        <v>1142.9550498257054</v>
      </c>
      <c r="F242" s="7">
        <v>684.8416402456055</v>
      </c>
      <c r="G242" s="954">
        <v>114.39412467648341</v>
      </c>
      <c r="H242" s="954">
        <v>164.04428107521977</v>
      </c>
      <c r="I242" s="954">
        <v>185.54834626701876</v>
      </c>
      <c r="J242" s="954">
        <v>1186.1062078380746</v>
      </c>
      <c r="K242" s="954">
        <v>860.76441427146676</v>
      </c>
      <c r="L242" s="954">
        <v>364.28382634802563</v>
      </c>
      <c r="M242" s="954">
        <v>411.20822729875067</v>
      </c>
      <c r="N242" s="954">
        <v>214.99086844941263</v>
      </c>
      <c r="O242" s="954">
        <v>328.92729534209036</v>
      </c>
      <c r="P242" s="954">
        <v>1359.603307123693</v>
      </c>
      <c r="Q242" s="954">
        <v>306.8401050276816</v>
      </c>
      <c r="R242" s="954">
        <v>301.36458305374424</v>
      </c>
      <c r="S242" s="954">
        <v>1635.5631174757712</v>
      </c>
      <c r="T242" s="7"/>
    </row>
    <row r="243" spans="1:20" x14ac:dyDescent="0.45">
      <c r="A243" s="779" t="s">
        <v>2582</v>
      </c>
      <c r="B243" s="1096"/>
      <c r="C243" s="1097"/>
      <c r="D243" s="1107">
        <v>3.7544818610820738</v>
      </c>
      <c r="E243" s="1108">
        <v>3.7544818610820738</v>
      </c>
      <c r="F243" s="986">
        <v>16.186910264486194</v>
      </c>
      <c r="G243" s="1056">
        <v>20.588481146504549</v>
      </c>
      <c r="H243" s="1056">
        <v>23.605671477414823</v>
      </c>
      <c r="I243" s="1056">
        <v>22.150589467477737</v>
      </c>
      <c r="J243" s="1056">
        <v>7.0998662445821852</v>
      </c>
      <c r="K243" s="1056">
        <v>5.8860774300055869</v>
      </c>
      <c r="L243" s="1056">
        <v>18.236271687229891</v>
      </c>
      <c r="M243" s="1056">
        <v>13.250434243900088</v>
      </c>
      <c r="N243" s="1056">
        <v>18.954865419663307</v>
      </c>
      <c r="O243" s="1056">
        <v>20.245935087843627</v>
      </c>
      <c r="P243" s="1056">
        <v>0.533882878159332</v>
      </c>
      <c r="Q243" s="1056">
        <v>16.510483526648638</v>
      </c>
      <c r="R243" s="1056">
        <v>20.865631236725555</v>
      </c>
      <c r="S243" s="1056">
        <v>0</v>
      </c>
      <c r="T243" s="7"/>
    </row>
    <row r="244" spans="1:20" x14ac:dyDescent="0.45">
      <c r="A244" s="768" t="s">
        <v>2583</v>
      </c>
      <c r="B244" s="1099"/>
      <c r="C244" s="1100"/>
      <c r="D244" s="1109">
        <v>68.284804397441235</v>
      </c>
      <c r="E244" s="1110">
        <v>68.284804397441235</v>
      </c>
      <c r="F244" s="905">
        <v>139.15584339976448</v>
      </c>
      <c r="G244" s="947">
        <v>52.988955355568834</v>
      </c>
      <c r="H244" s="947">
        <v>26.483145764924032</v>
      </c>
      <c r="I244" s="947">
        <v>52.991158506503943</v>
      </c>
      <c r="J244" s="947">
        <v>119.27152213714621</v>
      </c>
      <c r="K244" s="947">
        <v>35.389763347904854</v>
      </c>
      <c r="L244" s="947">
        <v>33.887141317501559</v>
      </c>
      <c r="M244" s="947">
        <v>236.05941651599323</v>
      </c>
      <c r="N244" s="947">
        <v>93.487016338507161</v>
      </c>
      <c r="O244" s="947">
        <v>59.011002757236</v>
      </c>
      <c r="P244" s="947">
        <v>4.6915960680077866</v>
      </c>
      <c r="Q244" s="947">
        <v>60.042009964646667</v>
      </c>
      <c r="R244" s="947">
        <v>44.929067022161973</v>
      </c>
      <c r="S244" s="947">
        <v>0</v>
      </c>
      <c r="T244" s="7"/>
    </row>
    <row r="245" spans="1:20" x14ac:dyDescent="0.45">
      <c r="A245" s="768" t="s">
        <v>2584</v>
      </c>
      <c r="B245" s="1099"/>
      <c r="C245" s="1100"/>
      <c r="D245" s="1109">
        <v>37.958868008865423</v>
      </c>
      <c r="E245" s="1110">
        <v>37.958868008865423</v>
      </c>
      <c r="F245" s="905">
        <v>351.50346737205047</v>
      </c>
      <c r="G245" s="947">
        <v>122.51894823872348</v>
      </c>
      <c r="H245" s="947">
        <v>146.01755153428925</v>
      </c>
      <c r="I245" s="947">
        <v>153.44025438467602</v>
      </c>
      <c r="J245" s="947">
        <v>92.572534573971453</v>
      </c>
      <c r="K245" s="947">
        <v>48.350890352422198</v>
      </c>
      <c r="L245" s="947">
        <v>114.09450049957474</v>
      </c>
      <c r="M245" s="947">
        <v>91.417548301103508</v>
      </c>
      <c r="N245" s="947">
        <v>272.28658838954885</v>
      </c>
      <c r="O245" s="947">
        <v>993.23063380322662</v>
      </c>
      <c r="P245" s="947">
        <v>3.4917424994160378</v>
      </c>
      <c r="Q245" s="947">
        <v>127.88793010942399</v>
      </c>
      <c r="R245" s="947">
        <v>137.27625504259862</v>
      </c>
      <c r="S245" s="947">
        <v>0</v>
      </c>
      <c r="T245" s="7"/>
    </row>
    <row r="246" spans="1:20" x14ac:dyDescent="0.45">
      <c r="A246" s="768" t="s">
        <v>2585</v>
      </c>
      <c r="B246" s="1099"/>
      <c r="C246" s="1100"/>
      <c r="D246" s="1109">
        <v>28.713832619119881</v>
      </c>
      <c r="E246" s="1110">
        <v>28.713832619119881</v>
      </c>
      <c r="F246" s="905">
        <v>71.878634155303885</v>
      </c>
      <c r="G246" s="947">
        <v>25.390903737161999</v>
      </c>
      <c r="H246" s="947">
        <v>43.453879836872261</v>
      </c>
      <c r="I246" s="947">
        <v>38.435253419331012</v>
      </c>
      <c r="J246" s="947">
        <v>50.266770207334467</v>
      </c>
      <c r="K246" s="947">
        <v>14.591034629133365</v>
      </c>
      <c r="L246" s="947">
        <v>37.213001003892423</v>
      </c>
      <c r="M246" s="947">
        <v>104.60211932341682</v>
      </c>
      <c r="N246" s="947">
        <v>39.454897232060425</v>
      </c>
      <c r="O246" s="947">
        <v>47.860383255651513</v>
      </c>
      <c r="P246" s="947">
        <v>1.3560500148685954</v>
      </c>
      <c r="Q246" s="947">
        <v>11.22984158938438</v>
      </c>
      <c r="R246" s="947">
        <v>31.646612067059792</v>
      </c>
      <c r="S246" s="947">
        <v>0</v>
      </c>
      <c r="T246" s="7"/>
    </row>
    <row r="247" spans="1:20" x14ac:dyDescent="0.45">
      <c r="A247" s="768" t="s">
        <v>2586</v>
      </c>
      <c r="B247" s="1099"/>
      <c r="C247" s="1100"/>
      <c r="D247" s="1109">
        <v>8.9346301147806031</v>
      </c>
      <c r="E247" s="1110">
        <v>8.9346301147806031</v>
      </c>
      <c r="F247" s="905">
        <v>27.587237917194777</v>
      </c>
      <c r="G247" s="947">
        <v>10.700845534064285</v>
      </c>
      <c r="H247" s="947">
        <v>16.983950762062189</v>
      </c>
      <c r="I247" s="947">
        <v>15.268744395693304</v>
      </c>
      <c r="J247" s="947">
        <v>16.13521391104187</v>
      </c>
      <c r="K247" s="947">
        <v>5.3105897937068525</v>
      </c>
      <c r="L247" s="947">
        <v>14.11784817069181</v>
      </c>
      <c r="M247" s="947">
        <v>31.811626590653386</v>
      </c>
      <c r="N247" s="947">
        <v>17.060670673764424</v>
      </c>
      <c r="O247" s="947">
        <v>32.548169185351803</v>
      </c>
      <c r="P247" s="947">
        <v>0.4629142262372633</v>
      </c>
      <c r="Q247" s="947">
        <v>6.1942291978704764</v>
      </c>
      <c r="R247" s="947">
        <v>12.908089177959182</v>
      </c>
      <c r="S247" s="947">
        <v>0</v>
      </c>
      <c r="T247" s="7"/>
    </row>
    <row r="248" spans="1:20" x14ac:dyDescent="0.45">
      <c r="A248" s="768" t="s">
        <v>2587</v>
      </c>
      <c r="B248" s="1099"/>
      <c r="C248" s="1100"/>
      <c r="D248" s="1109">
        <v>33.465424794116309</v>
      </c>
      <c r="E248" s="1110">
        <v>33.465424794116309</v>
      </c>
      <c r="F248" s="905">
        <v>407.98120940532112</v>
      </c>
      <c r="G248" s="947">
        <v>385.82854939620347</v>
      </c>
      <c r="H248" s="947">
        <v>711.56285207488293</v>
      </c>
      <c r="I248" s="947">
        <v>533.51906494441403</v>
      </c>
      <c r="J248" s="947">
        <v>76.237086766305922</v>
      </c>
      <c r="K248" s="947">
        <v>91.186641120178976</v>
      </c>
      <c r="L248" s="947">
        <v>524.59409286738867</v>
      </c>
      <c r="M248" s="947">
        <v>154.63927521367475</v>
      </c>
      <c r="N248" s="947">
        <v>348.83088154262998</v>
      </c>
      <c r="O248" s="947">
        <v>791.12086006269078</v>
      </c>
      <c r="P248" s="947">
        <v>2.064412206769302</v>
      </c>
      <c r="Q248" s="947">
        <v>165.25941420566573</v>
      </c>
      <c r="R248" s="947">
        <v>514.64263203673011</v>
      </c>
      <c r="S248" s="947">
        <v>0</v>
      </c>
      <c r="T248" s="7"/>
    </row>
    <row r="249" spans="1:20" x14ac:dyDescent="0.45">
      <c r="A249" s="768" t="s">
        <v>2588</v>
      </c>
      <c r="B249" s="1099"/>
      <c r="C249" s="1100"/>
      <c r="D249" s="1111">
        <v>1.2309035062070954</v>
      </c>
      <c r="E249" s="1112">
        <v>1.2309035062070954</v>
      </c>
      <c r="F249" s="13">
        <v>2.9542928321723303</v>
      </c>
      <c r="G249" s="1113">
        <v>0.74054872220923373</v>
      </c>
      <c r="H249" s="1113">
        <v>0.82942607498004706</v>
      </c>
      <c r="I249" s="1113">
        <v>1.0202478461416447</v>
      </c>
      <c r="J249" s="1113">
        <v>2.1740186161351729</v>
      </c>
      <c r="K249" s="1113">
        <v>0.58162057644955301</v>
      </c>
      <c r="L249" s="1113">
        <v>0.84881785234092577</v>
      </c>
      <c r="M249" s="1113">
        <v>4.313954610293826</v>
      </c>
      <c r="N249" s="1113">
        <v>1.6622876106369517</v>
      </c>
      <c r="O249" s="1113">
        <v>2.4194391835989397</v>
      </c>
      <c r="P249" s="1113">
        <v>6.6309498648235182E-2</v>
      </c>
      <c r="Q249" s="1113">
        <v>0.60954343661343324</v>
      </c>
      <c r="R249" s="1113">
        <v>0.70512131728731786</v>
      </c>
      <c r="S249" s="1113">
        <v>0</v>
      </c>
      <c r="T249" s="7"/>
    </row>
    <row r="250" spans="1:20" x14ac:dyDescent="0.45">
      <c r="A250" s="768" t="s">
        <v>2589</v>
      </c>
      <c r="B250" s="1099"/>
      <c r="C250" s="1100"/>
      <c r="D250" s="1111">
        <v>2.7494126110600923</v>
      </c>
      <c r="E250" s="1112">
        <v>2.7494126110600923</v>
      </c>
      <c r="F250" s="13">
        <v>5.8967158546177956</v>
      </c>
      <c r="G250" s="1113">
        <v>1.7590072385913351</v>
      </c>
      <c r="H250" s="1113">
        <v>1.8587823857328738</v>
      </c>
      <c r="I250" s="1113">
        <v>2.2912777726088169</v>
      </c>
      <c r="J250" s="1113">
        <v>4.7865696174483956</v>
      </c>
      <c r="K250" s="1113">
        <v>1.2924988786577063</v>
      </c>
      <c r="L250" s="1113">
        <v>1.9099299234020966</v>
      </c>
      <c r="M250" s="1113">
        <v>9.738163919731079</v>
      </c>
      <c r="N250" s="1113">
        <v>3.3332924595557922</v>
      </c>
      <c r="O250" s="1113">
        <v>2.6991434930453209</v>
      </c>
      <c r="P250" s="1113">
        <v>0.15370079585143154</v>
      </c>
      <c r="Q250" s="1113">
        <v>1.4023648487702265</v>
      </c>
      <c r="R250" s="1113">
        <v>1.6850860617237373</v>
      </c>
      <c r="S250" s="1113">
        <v>0</v>
      </c>
      <c r="T250" s="7"/>
    </row>
    <row r="251" spans="1:20" x14ac:dyDescent="0.45">
      <c r="A251" s="768" t="s">
        <v>1957</v>
      </c>
      <c r="B251" s="1099"/>
      <c r="C251" s="1100"/>
      <c r="D251" s="1109">
        <v>38.451653643676714</v>
      </c>
      <c r="E251" s="1110">
        <v>38.451653643676714</v>
      </c>
      <c r="F251" s="905">
        <v>223.13725467093704</v>
      </c>
      <c r="G251" s="947">
        <v>365.67998311297015</v>
      </c>
      <c r="H251" s="947">
        <v>417.22265640718564</v>
      </c>
      <c r="I251" s="947">
        <v>387.22766444471785</v>
      </c>
      <c r="J251" s="947">
        <v>76.598987266516858</v>
      </c>
      <c r="K251" s="947">
        <v>93.689669866060413</v>
      </c>
      <c r="L251" s="947">
        <v>317.34562594592194</v>
      </c>
      <c r="M251" s="947">
        <v>134.05606897279156</v>
      </c>
      <c r="N251" s="947">
        <v>309.37087915856176</v>
      </c>
      <c r="O251" s="947">
        <v>303.20580579338582</v>
      </c>
      <c r="P251" s="947">
        <v>8.3833130306629577</v>
      </c>
      <c r="Q251" s="947">
        <v>293.1913512910383</v>
      </c>
      <c r="R251" s="947">
        <v>335.17479883441075</v>
      </c>
      <c r="S251" s="947">
        <v>0</v>
      </c>
      <c r="T251" s="7"/>
    </row>
    <row r="252" spans="1:20" x14ac:dyDescent="0.45">
      <c r="A252" s="768" t="s">
        <v>1956</v>
      </c>
      <c r="B252" s="1099"/>
      <c r="C252" s="1100"/>
      <c r="D252" s="1109">
        <v>1.0628024243831129</v>
      </c>
      <c r="E252" s="1110">
        <v>1.0628024243831129</v>
      </c>
      <c r="F252" s="905">
        <v>3.4105173931416575</v>
      </c>
      <c r="G252" s="947">
        <v>3.1052300071585228</v>
      </c>
      <c r="H252" s="947">
        <v>4.5430084143038441</v>
      </c>
      <c r="I252" s="947">
        <v>3.8550391278328187</v>
      </c>
      <c r="J252" s="947">
        <v>1.8871753818001717</v>
      </c>
      <c r="K252" s="947">
        <v>0.99380216589951964</v>
      </c>
      <c r="L252" s="947">
        <v>3.5427951944141234</v>
      </c>
      <c r="M252" s="947">
        <v>4.0105931410299736</v>
      </c>
      <c r="N252" s="947">
        <v>2.872454359684415</v>
      </c>
      <c r="O252" s="947">
        <v>2.5008196333207313</v>
      </c>
      <c r="P252" s="947">
        <v>7.9478772704863004E-2</v>
      </c>
      <c r="Q252" s="947">
        <v>1.8448214984527778</v>
      </c>
      <c r="R252" s="947">
        <v>4.0097272274183808</v>
      </c>
      <c r="S252" s="947">
        <v>0</v>
      </c>
      <c r="T252" s="7"/>
    </row>
    <row r="253" spans="1:20" x14ac:dyDescent="0.45">
      <c r="A253" s="755" t="s">
        <v>1955</v>
      </c>
      <c r="B253" s="1103"/>
      <c r="C253" s="1104"/>
      <c r="D253" s="1105">
        <v>15534.950426438641</v>
      </c>
      <c r="E253" s="1106">
        <v>15534.950426438641</v>
      </c>
      <c r="F253" s="738">
        <v>149483.06386733576</v>
      </c>
      <c r="G253" s="958">
        <v>198613.40196333683</v>
      </c>
      <c r="H253" s="958">
        <v>284719.14456651412</v>
      </c>
      <c r="I253" s="958">
        <v>236252.49170230379</v>
      </c>
      <c r="J253" s="958">
        <v>33885.956781429297</v>
      </c>
      <c r="K253" s="958">
        <v>47922.065429060036</v>
      </c>
      <c r="L253" s="958">
        <v>212282.76772536896</v>
      </c>
      <c r="M253" s="958">
        <v>62253.243807083301</v>
      </c>
      <c r="N253" s="958">
        <v>169166.9361374056</v>
      </c>
      <c r="O253" s="958">
        <v>258255.79359060066</v>
      </c>
      <c r="P253" s="958">
        <v>2939.3102091707838</v>
      </c>
      <c r="Q253" s="958">
        <v>128306.47474749837</v>
      </c>
      <c r="R253" s="958">
        <v>233252.41535772305</v>
      </c>
      <c r="S253" s="958">
        <v>0</v>
      </c>
      <c r="T253" s="7"/>
    </row>
    <row r="254" spans="1:20" x14ac:dyDescent="0.45">
      <c r="A254" s="855" t="s">
        <v>2843</v>
      </c>
      <c r="B254" s="1099"/>
      <c r="C254" s="1100"/>
      <c r="D254" s="1100"/>
      <c r="E254" s="1114"/>
      <c r="G254" s="744"/>
      <c r="H254" s="744"/>
      <c r="I254" s="744"/>
      <c r="J254" s="744"/>
      <c r="K254" s="744"/>
      <c r="L254" s="744"/>
      <c r="M254" s="744"/>
      <c r="N254" s="744"/>
      <c r="O254" s="744"/>
      <c r="P254" s="744"/>
      <c r="Q254" s="744"/>
      <c r="R254" s="744"/>
      <c r="S254" s="744"/>
      <c r="T254" s="7"/>
    </row>
    <row r="255" spans="1:20" x14ac:dyDescent="0.45">
      <c r="A255" s="768" t="s">
        <v>2582</v>
      </c>
      <c r="B255" s="1099"/>
      <c r="C255" s="1100"/>
      <c r="D255" s="1109">
        <v>0.22630453798539041</v>
      </c>
      <c r="E255" s="1110">
        <v>0.22630453798539041</v>
      </c>
      <c r="F255" s="905">
        <v>1.594574085277765</v>
      </c>
      <c r="G255" s="947">
        <v>1.3929096292823875</v>
      </c>
      <c r="H255" s="947">
        <v>1.1764753953905407</v>
      </c>
      <c r="I255" s="947">
        <v>1.3609037403988629</v>
      </c>
      <c r="J255" s="947">
        <v>0.50945094828764947</v>
      </c>
      <c r="K255" s="947">
        <v>0.42501677056491316</v>
      </c>
      <c r="L255" s="947">
        <v>0.92797412246445676</v>
      </c>
      <c r="M255" s="947">
        <v>0.56501084736415241</v>
      </c>
      <c r="N255" s="947">
        <v>1.7780522183391714</v>
      </c>
      <c r="O255" s="947">
        <v>3.8536788886191555</v>
      </c>
      <c r="P255" s="947">
        <v>4.4287488353472376E-2</v>
      </c>
      <c r="Q255" s="947">
        <v>1.4650502638707534</v>
      </c>
      <c r="R255" s="947">
        <v>1.1328136346254754</v>
      </c>
      <c r="S255" s="947">
        <v>0</v>
      </c>
      <c r="T255" s="7"/>
    </row>
    <row r="256" spans="1:20" x14ac:dyDescent="0.45">
      <c r="A256" s="768" t="s">
        <v>2583</v>
      </c>
      <c r="B256" s="1099"/>
      <c r="C256" s="1100"/>
      <c r="D256" s="1109">
        <v>2.0058115164476948</v>
      </c>
      <c r="E256" s="1110">
        <v>2.0058115164476948</v>
      </c>
      <c r="F256" s="905">
        <v>5.704775550705512</v>
      </c>
      <c r="G256" s="947">
        <v>10.814637405900967</v>
      </c>
      <c r="H256" s="947">
        <v>6.6694985349179392</v>
      </c>
      <c r="I256" s="947">
        <v>9.0844761538977856</v>
      </c>
      <c r="J256" s="947">
        <v>3.7437594297816639</v>
      </c>
      <c r="K256" s="947">
        <v>3.2048548288317273</v>
      </c>
      <c r="L256" s="947">
        <v>5.5513556313166585</v>
      </c>
      <c r="M256" s="947">
        <v>5.9655140899494468</v>
      </c>
      <c r="N256" s="947">
        <v>10.081858001182932</v>
      </c>
      <c r="O256" s="947">
        <v>4.6418382341931395</v>
      </c>
      <c r="P256" s="947">
        <v>0.41957650901069427</v>
      </c>
      <c r="Q256" s="947">
        <v>11.848617296674089</v>
      </c>
      <c r="R256" s="947">
        <v>8.1769362142015485</v>
      </c>
      <c r="S256" s="947">
        <v>0</v>
      </c>
      <c r="T256" s="7"/>
    </row>
    <row r="257" spans="1:20" x14ac:dyDescent="0.45">
      <c r="A257" s="768" t="s">
        <v>2584</v>
      </c>
      <c r="B257" s="1099"/>
      <c r="C257" s="1100"/>
      <c r="D257" s="1109">
        <v>2.4272835676836966</v>
      </c>
      <c r="E257" s="1110">
        <v>2.4272835676836966</v>
      </c>
      <c r="F257" s="905">
        <v>18.170435759681933</v>
      </c>
      <c r="G257" s="947">
        <v>31.226259051473193</v>
      </c>
      <c r="H257" s="947">
        <v>42.654780584457207</v>
      </c>
      <c r="I257" s="947">
        <v>35.886859599368876</v>
      </c>
      <c r="J257" s="947">
        <v>4.8384624056555028</v>
      </c>
      <c r="K257" s="947">
        <v>7.4156671035727655</v>
      </c>
      <c r="L257" s="947">
        <v>31.911268308428969</v>
      </c>
      <c r="M257" s="947">
        <v>10.177808545332919</v>
      </c>
      <c r="N257" s="947">
        <v>23.795058750491894</v>
      </c>
      <c r="O257" s="947">
        <v>22.009620876209425</v>
      </c>
      <c r="P257" s="947">
        <v>0.51608354131236167</v>
      </c>
      <c r="Q257" s="947">
        <v>20.712040496386514</v>
      </c>
      <c r="R257" s="947">
        <v>34.865757549151567</v>
      </c>
      <c r="S257" s="947">
        <v>0</v>
      </c>
      <c r="T257" s="7"/>
    </row>
    <row r="258" spans="1:20" x14ac:dyDescent="0.45">
      <c r="A258" s="768" t="s">
        <v>2585</v>
      </c>
      <c r="B258" s="1099"/>
      <c r="C258" s="1100"/>
      <c r="D258" s="1109">
        <v>0.5518336944239487</v>
      </c>
      <c r="E258" s="1110">
        <v>0.5518336944239487</v>
      </c>
      <c r="F258" s="905">
        <v>2.9931137060477404</v>
      </c>
      <c r="G258" s="947">
        <v>4.054616299010938</v>
      </c>
      <c r="H258" s="947">
        <v>6.9589726133077825</v>
      </c>
      <c r="I258" s="947">
        <v>5.3090043630659309</v>
      </c>
      <c r="J258" s="947">
        <v>0.99294835392235681</v>
      </c>
      <c r="K258" s="947">
        <v>0.98315843158487837</v>
      </c>
      <c r="L258" s="947">
        <v>5.1935423564009033</v>
      </c>
      <c r="M258" s="947">
        <v>2.5222779853632051</v>
      </c>
      <c r="N258" s="947">
        <v>2.8757867919247739</v>
      </c>
      <c r="O258" s="947">
        <v>2.4180366525395272</v>
      </c>
      <c r="P258" s="947">
        <v>4.4015728751163954E-2</v>
      </c>
      <c r="Q258" s="947">
        <v>1.8073402604570856</v>
      </c>
      <c r="R258" s="947">
        <v>5.2218328600405925</v>
      </c>
      <c r="S258" s="947">
        <v>0</v>
      </c>
      <c r="T258" s="7"/>
    </row>
    <row r="259" spans="1:20" x14ac:dyDescent="0.45">
      <c r="A259" s="768" t="s">
        <v>2586</v>
      </c>
      <c r="B259" s="1099"/>
      <c r="C259" s="1100"/>
      <c r="D259" s="1109">
        <v>0.2607443200515116</v>
      </c>
      <c r="E259" s="1110">
        <v>0.2607443200515116</v>
      </c>
      <c r="F259" s="905">
        <v>1.9035478407461237</v>
      </c>
      <c r="G259" s="947">
        <v>2.9564111016257208</v>
      </c>
      <c r="H259" s="947">
        <v>4.8960460734697868</v>
      </c>
      <c r="I259" s="947">
        <v>3.7689970750634174</v>
      </c>
      <c r="J259" s="947">
        <v>0.48684880374464551</v>
      </c>
      <c r="K259" s="947">
        <v>0.67838402814166565</v>
      </c>
      <c r="L259" s="947">
        <v>3.6338252798934874</v>
      </c>
      <c r="M259" s="947">
        <v>1.287776054959161</v>
      </c>
      <c r="N259" s="947">
        <v>2.0529264982129436</v>
      </c>
      <c r="O259" s="947">
        <v>1.8130556769424395</v>
      </c>
      <c r="P259" s="947">
        <v>3.0162238512243922E-2</v>
      </c>
      <c r="Q259" s="947">
        <v>1.4345687217427139</v>
      </c>
      <c r="R259" s="947">
        <v>3.7362473353425139</v>
      </c>
      <c r="S259" s="947">
        <v>0</v>
      </c>
    </row>
    <row r="260" spans="1:20" x14ac:dyDescent="0.45">
      <c r="A260" s="768" t="s">
        <v>2587</v>
      </c>
      <c r="B260" s="1099"/>
      <c r="C260" s="1100"/>
      <c r="D260" s="1109">
        <v>5.1447595562098947</v>
      </c>
      <c r="E260" s="1110">
        <v>5.1447595562098947</v>
      </c>
      <c r="F260" s="905">
        <v>76.158756533226295</v>
      </c>
      <c r="G260" s="947">
        <v>139.70184331761811</v>
      </c>
      <c r="H260" s="947">
        <v>263.34064839811731</v>
      </c>
      <c r="I260" s="947">
        <v>189.99415078918366</v>
      </c>
      <c r="J260" s="947">
        <v>9.2268638091958728</v>
      </c>
      <c r="K260" s="947">
        <v>28.27746477543274</v>
      </c>
      <c r="L260" s="947">
        <v>192.99890285137906</v>
      </c>
      <c r="M260" s="947">
        <v>44.257320590257748</v>
      </c>
      <c r="N260" s="947">
        <v>80.428677651585787</v>
      </c>
      <c r="O260" s="947">
        <v>52.867925341982129</v>
      </c>
      <c r="P260" s="947">
        <v>0.37559913054794392</v>
      </c>
      <c r="Q260" s="947">
        <v>47.750542830539551</v>
      </c>
      <c r="R260" s="947">
        <v>190.63759150742342</v>
      </c>
      <c r="S260" s="947">
        <v>0</v>
      </c>
    </row>
    <row r="261" spans="1:20" x14ac:dyDescent="0.45">
      <c r="A261" s="768" t="s">
        <v>2588</v>
      </c>
      <c r="B261" s="1099"/>
      <c r="C261" s="1100"/>
      <c r="D261" s="1111">
        <v>2.7390318126392033E-2</v>
      </c>
      <c r="E261" s="1112">
        <v>2.7390318126392033E-2</v>
      </c>
      <c r="F261" s="13">
        <v>0.12644022283703019</v>
      </c>
      <c r="G261" s="1113">
        <v>0.16679134407137494</v>
      </c>
      <c r="H261" s="1113">
        <v>0.21484313638154084</v>
      </c>
      <c r="I261" s="1113">
        <v>0.18921370579175931</v>
      </c>
      <c r="J261" s="1113">
        <v>5.1466939600382844E-2</v>
      </c>
      <c r="K261" s="1113">
        <v>4.4965119063056627E-2</v>
      </c>
      <c r="L261" s="1113">
        <v>0.16398389780713254</v>
      </c>
      <c r="M261" s="1113">
        <v>0.10166676567028453</v>
      </c>
      <c r="N261" s="1113">
        <v>0.14329642544103455</v>
      </c>
      <c r="O261" s="1113">
        <v>0.14407642883448113</v>
      </c>
      <c r="P261" s="1113">
        <v>3.6746329713539766E-3</v>
      </c>
      <c r="Q261" s="1113">
        <v>0.1186274894294423</v>
      </c>
      <c r="R261" s="1113">
        <v>0.18351532458178271</v>
      </c>
      <c r="S261" s="1113">
        <v>0</v>
      </c>
    </row>
    <row r="262" spans="1:20" x14ac:dyDescent="0.45">
      <c r="A262" s="755" t="s">
        <v>2589</v>
      </c>
      <c r="B262" s="1103"/>
      <c r="C262" s="1104"/>
      <c r="D262" s="1115">
        <v>6.9573044246016985E-2</v>
      </c>
      <c r="E262" s="1116">
        <v>6.9573044246016985E-2</v>
      </c>
      <c r="F262" s="775">
        <v>0.26013355113055808</v>
      </c>
      <c r="G262" s="1117">
        <v>0.4172096808356146</v>
      </c>
      <c r="H262" s="1117">
        <v>0.44252298892814568</v>
      </c>
      <c r="I262" s="1117">
        <v>0.42990493599103591</v>
      </c>
      <c r="J262" s="1117">
        <v>0.12862473745676536</v>
      </c>
      <c r="K262" s="1117">
        <v>0.11483235129876529</v>
      </c>
      <c r="L262" s="1117">
        <v>0.34353946830336413</v>
      </c>
      <c r="M262" s="1117">
        <v>0.24304978101628666</v>
      </c>
      <c r="N262" s="1117">
        <v>0.35411967778940651</v>
      </c>
      <c r="O262" s="1117">
        <v>0.22129059767064818</v>
      </c>
      <c r="P262" s="1117">
        <v>1.1499354008924934E-2</v>
      </c>
      <c r="Q262" s="1117">
        <v>0.34813014369675321</v>
      </c>
      <c r="R262" s="1117">
        <v>0.41869856321863047</v>
      </c>
      <c r="S262" s="1117">
        <v>0</v>
      </c>
    </row>
    <row r="264" spans="1:20" ht="15" customHeight="1" x14ac:dyDescent="0.45">
      <c r="A264" s="726" t="s">
        <v>2844</v>
      </c>
    </row>
    <row r="265" spans="1:20" ht="12.75" customHeight="1" x14ac:dyDescent="0.45"/>
    <row r="266" spans="1:20" ht="12.75" customHeight="1" x14ac:dyDescent="0.45">
      <c r="B266" s="725" t="s">
        <v>2736</v>
      </c>
      <c r="L266" s="20"/>
    </row>
    <row r="267" spans="1:20" x14ac:dyDescent="0.45">
      <c r="C267" s="1118">
        <v>2.1600000000000001E-2</v>
      </c>
      <c r="D267" s="1118">
        <v>0.14699999999999999</v>
      </c>
      <c r="E267" s="1118">
        <v>4.5279999999999996</v>
      </c>
      <c r="F267" s="1118">
        <v>0.18</v>
      </c>
      <c r="G267" s="1118">
        <v>0.14000000000000001</v>
      </c>
      <c r="H267" s="1118">
        <v>7.6230000000000002</v>
      </c>
      <c r="I267" s="1118"/>
      <c r="J267" s="1118"/>
      <c r="K267" s="1118">
        <v>3.2899999999999999E-2</v>
      </c>
      <c r="L267" s="1118">
        <v>6.5799999999999999E-3</v>
      </c>
    </row>
    <row r="268" spans="1:20" x14ac:dyDescent="0.45">
      <c r="C268" s="1119">
        <v>2.1600000000000001E-2</v>
      </c>
      <c r="D268" s="1119">
        <v>0.14699999999999999</v>
      </c>
      <c r="E268" s="1119">
        <v>4.5279999999999996</v>
      </c>
      <c r="F268" s="1119">
        <v>0.18</v>
      </c>
      <c r="G268" s="1119">
        <v>0.14000000000000001</v>
      </c>
      <c r="H268" s="1120">
        <v>7.6230000000000002</v>
      </c>
      <c r="I268" s="1118"/>
      <c r="J268" s="1118"/>
      <c r="K268" s="1120">
        <v>3.2899999999999999E-2</v>
      </c>
      <c r="L268" s="1120">
        <v>6.5799999999999999E-3</v>
      </c>
      <c r="M268" t="s">
        <v>2845</v>
      </c>
    </row>
    <row r="269" spans="1:20" x14ac:dyDescent="0.45">
      <c r="C269" s="1121">
        <v>2.0400000000000001E-2</v>
      </c>
      <c r="D269" s="1121">
        <v>0.158</v>
      </c>
      <c r="E269" s="1121">
        <v>4.2263999999999999</v>
      </c>
      <c r="F269" s="1121">
        <v>0.1694</v>
      </c>
      <c r="G269" s="1121">
        <v>0.13150000000000001</v>
      </c>
      <c r="H269" s="1121">
        <v>3.6036999999999999</v>
      </c>
      <c r="I269" s="1118"/>
      <c r="J269" s="1118"/>
      <c r="K269" s="1121">
        <v>3.1E-2</v>
      </c>
      <c r="L269" s="1121">
        <v>6.1999999999999998E-3</v>
      </c>
      <c r="M269" t="s">
        <v>2846</v>
      </c>
    </row>
    <row r="270" spans="1:20" x14ac:dyDescent="0.45">
      <c r="C270" s="1118">
        <v>2.0400000000000001E-2</v>
      </c>
      <c r="D270" s="1118">
        <v>0.158</v>
      </c>
      <c r="E270" s="1118">
        <v>4.2263999999999999</v>
      </c>
      <c r="F270" s="1118">
        <v>0.1694</v>
      </c>
      <c r="G270" s="1118">
        <v>0.13150000000000001</v>
      </c>
      <c r="H270" s="1118">
        <v>3.6036999999999999</v>
      </c>
      <c r="I270" s="1118"/>
      <c r="J270" s="1118"/>
      <c r="K270" s="1118">
        <v>3.1E-2</v>
      </c>
      <c r="L270" s="1118">
        <v>6.1999999999999998E-3</v>
      </c>
    </row>
    <row r="271" spans="1:20" x14ac:dyDescent="0.45">
      <c r="B271" s="1122" t="s">
        <v>2847</v>
      </c>
      <c r="C271" s="1123" t="s">
        <v>2582</v>
      </c>
      <c r="D271" s="1123" t="s">
        <v>2583</v>
      </c>
      <c r="E271" s="1123" t="s">
        <v>2584</v>
      </c>
      <c r="F271" s="1123" t="s">
        <v>2585</v>
      </c>
      <c r="G271" s="1123" t="s">
        <v>2586</v>
      </c>
      <c r="H271" s="1123" t="s">
        <v>2587</v>
      </c>
      <c r="I271" s="1123" t="s">
        <v>2588</v>
      </c>
      <c r="J271" s="1123" t="s">
        <v>2589</v>
      </c>
      <c r="K271" s="1123" t="s">
        <v>1957</v>
      </c>
      <c r="L271" s="1123" t="s">
        <v>1956</v>
      </c>
    </row>
    <row r="272" spans="1:20" x14ac:dyDescent="0.45">
      <c r="B272" s="1124">
        <v>1990</v>
      </c>
      <c r="C272" s="1125">
        <v>2.7099999999999999E-2</v>
      </c>
      <c r="D272" s="1125">
        <v>0.17269999999999999</v>
      </c>
      <c r="E272" s="1125">
        <v>1.9260999999999999</v>
      </c>
      <c r="F272" s="1125">
        <v>3.2000000000000001E-2</v>
      </c>
      <c r="G272" s="1125">
        <v>2.4E-2</v>
      </c>
      <c r="H272" s="1125">
        <v>5.6601999999999997</v>
      </c>
      <c r="I272" s="1125"/>
      <c r="J272" s="1125"/>
      <c r="K272" s="1125">
        <v>1.0016286754377858E-2</v>
      </c>
      <c r="L272" s="1125">
        <v>3.9624870676659646E-3</v>
      </c>
    </row>
    <row r="273" spans="2:13" x14ac:dyDescent="0.45">
      <c r="B273" s="1124">
        <v>1995</v>
      </c>
      <c r="C273" s="1125">
        <v>2.6200000000000001E-2</v>
      </c>
      <c r="D273" s="1125">
        <v>0.17269999999999999</v>
      </c>
      <c r="E273" s="1125">
        <v>1.8658999999999999</v>
      </c>
      <c r="F273" s="1125">
        <v>3.1E-2</v>
      </c>
      <c r="G273" s="1125">
        <v>2.325E-2</v>
      </c>
      <c r="H273" s="1125">
        <v>5.6601999999999997</v>
      </c>
      <c r="I273" s="1125"/>
      <c r="J273" s="1125"/>
      <c r="K273" s="1125">
        <v>9.7032777933035493E-3</v>
      </c>
      <c r="L273" s="1125">
        <v>3.8386593468014039E-3</v>
      </c>
    </row>
    <row r="274" spans="2:13" x14ac:dyDescent="0.45">
      <c r="B274" s="1124">
        <v>2000</v>
      </c>
      <c r="C274" s="1125">
        <v>2.58E-2</v>
      </c>
      <c r="D274" s="1125">
        <v>0.17269999999999999</v>
      </c>
      <c r="E274" s="1125">
        <v>1.8093999999999999</v>
      </c>
      <c r="F274" s="1125">
        <v>0.03</v>
      </c>
      <c r="G274" s="1125">
        <v>2.2499999999999999E-2</v>
      </c>
      <c r="H274" s="1125">
        <v>5.6601999999999997</v>
      </c>
      <c r="I274" s="1125"/>
      <c r="J274" s="1125"/>
      <c r="K274" s="1125">
        <v>9.4955623665355839E-3</v>
      </c>
      <c r="L274" s="1125">
        <v>3.756486210937153E-3</v>
      </c>
    </row>
    <row r="275" spans="2:13" x14ac:dyDescent="0.45">
      <c r="B275" s="1124">
        <v>2005</v>
      </c>
      <c r="C275" s="1125">
        <v>2.58E-2</v>
      </c>
      <c r="D275" s="1125">
        <v>0.1996</v>
      </c>
      <c r="E275" s="1125">
        <v>1.7158</v>
      </c>
      <c r="F275" s="1125">
        <v>2.75E-2</v>
      </c>
      <c r="G275" s="1125">
        <v>2.0625000000000001E-2</v>
      </c>
      <c r="H275" s="1125">
        <v>5.6601999999999997</v>
      </c>
      <c r="I275" s="1125"/>
      <c r="J275" s="1125"/>
      <c r="K275" s="1125">
        <v>9.4955623665355839E-3</v>
      </c>
      <c r="L275" s="1125">
        <v>3.756486210937153E-3</v>
      </c>
    </row>
    <row r="276" spans="2:13" x14ac:dyDescent="0.45">
      <c r="B276" s="1126">
        <v>2010</v>
      </c>
      <c r="C276" s="1127">
        <v>2.1600000000000001E-2</v>
      </c>
      <c r="D276" s="1127">
        <v>0.1676</v>
      </c>
      <c r="E276" s="1127">
        <v>4.4824999999999999</v>
      </c>
      <c r="F276" s="1127">
        <v>0.1797</v>
      </c>
      <c r="G276" s="1127">
        <v>0.13950000000000001</v>
      </c>
      <c r="H276" s="1127">
        <v>7.6441999999999997</v>
      </c>
      <c r="I276" s="1127"/>
      <c r="J276" s="1127"/>
      <c r="K276" s="1127">
        <v>3.2899999999999999E-2</v>
      </c>
      <c r="L276" s="1127">
        <v>6.6E-3</v>
      </c>
    </row>
    <row r="277" spans="2:13" x14ac:dyDescent="0.45">
      <c r="B277" s="1124">
        <v>2015</v>
      </c>
      <c r="C277" s="1125">
        <v>2.0400000000000001E-2</v>
      </c>
      <c r="D277" s="1125">
        <v>0.158</v>
      </c>
      <c r="E277" s="1125">
        <v>4.2263999999999999</v>
      </c>
      <c r="F277" s="1125">
        <v>0.1694</v>
      </c>
      <c r="G277" s="1125">
        <v>0.13150000000000001</v>
      </c>
      <c r="H277" s="1125">
        <v>3.6036999999999999</v>
      </c>
      <c r="I277" s="1125"/>
      <c r="J277" s="1125"/>
      <c r="K277" s="1125">
        <v>3.1E-2</v>
      </c>
      <c r="L277" s="1125">
        <v>6.1999999999999998E-3</v>
      </c>
    </row>
    <row r="278" spans="2:13" x14ac:dyDescent="0.45">
      <c r="B278" s="1128">
        <v>2020</v>
      </c>
      <c r="C278" s="1129">
        <v>1.9300000000000001E-2</v>
      </c>
      <c r="D278" s="1129">
        <v>0.14949999999999999</v>
      </c>
      <c r="E278" s="1129">
        <v>3.9979</v>
      </c>
      <c r="F278" s="1129">
        <v>9.8500000000000004E-2</v>
      </c>
      <c r="G278" s="1129">
        <v>0.1244</v>
      </c>
      <c r="H278" s="1129">
        <v>0.68179999999999996</v>
      </c>
      <c r="I278" s="1129"/>
      <c r="J278" s="1129"/>
      <c r="K278" s="1129">
        <v>2.93E-2</v>
      </c>
      <c r="L278" s="1129">
        <v>5.8999999999999999E-3</v>
      </c>
    </row>
    <row r="279" spans="2:13" x14ac:dyDescent="0.45">
      <c r="C279" s="905"/>
      <c r="D279" s="905"/>
      <c r="E279" s="905"/>
      <c r="F279" s="905"/>
      <c r="G279" s="905"/>
      <c r="H279" s="905"/>
      <c r="I279" s="905"/>
      <c r="J279" s="905"/>
      <c r="K279" s="905"/>
      <c r="L279" s="1118"/>
    </row>
    <row r="280" spans="2:13" x14ac:dyDescent="0.45">
      <c r="B280" s="725" t="s">
        <v>2737</v>
      </c>
      <c r="C280" s="905"/>
      <c r="D280" s="905"/>
      <c r="E280" s="905"/>
      <c r="F280" s="905"/>
      <c r="G280" s="905"/>
      <c r="H280" s="905"/>
      <c r="I280" s="905"/>
      <c r="J280" s="905"/>
      <c r="K280" s="905"/>
      <c r="L280" s="1118"/>
    </row>
    <row r="281" spans="2:13" x14ac:dyDescent="0.45">
      <c r="C281" s="1118">
        <v>1.1599999999999999E-2</v>
      </c>
      <c r="D281" s="1118">
        <v>3.0599999999999999E-2</v>
      </c>
      <c r="E281" s="1118"/>
      <c r="F281" s="1118">
        <v>1.4E-2</v>
      </c>
      <c r="G281" s="1118">
        <v>1.32E-2</v>
      </c>
      <c r="H281" s="1118"/>
      <c r="I281" s="1118"/>
      <c r="J281" s="1118"/>
      <c r="K281" s="1118">
        <v>2.9700000000000001E-2</v>
      </c>
      <c r="L281" s="1118">
        <v>5.77E-3</v>
      </c>
    </row>
    <row r="282" spans="2:13" x14ac:dyDescent="0.45">
      <c r="C282" s="1119">
        <v>1.1599999999999999E-2</v>
      </c>
      <c r="D282" s="1119">
        <v>3.0599999999999999E-2</v>
      </c>
      <c r="E282" s="1118"/>
      <c r="F282" s="1119">
        <v>1.4E-2</v>
      </c>
      <c r="G282" s="1119">
        <v>1.32E-2</v>
      </c>
      <c r="H282" s="1118"/>
      <c r="I282" s="1118"/>
      <c r="J282" s="1118"/>
      <c r="K282" s="1119">
        <v>2.9700000000000001E-2</v>
      </c>
      <c r="L282" s="1120">
        <v>5.77E-3</v>
      </c>
      <c r="M282" t="s">
        <v>2845</v>
      </c>
    </row>
    <row r="283" spans="2:13" x14ac:dyDescent="0.45">
      <c r="C283" s="1121">
        <v>1.14E-2</v>
      </c>
      <c r="D283" s="1121">
        <v>3.0099999999999998E-2</v>
      </c>
      <c r="E283" s="1121">
        <v>4.532</v>
      </c>
      <c r="F283" s="1121">
        <v>8.0999999999999996E-3</v>
      </c>
      <c r="G283" s="1121">
        <v>1.24E-2</v>
      </c>
      <c r="H283" s="1121">
        <v>0.1086</v>
      </c>
      <c r="I283" s="1118"/>
      <c r="J283" s="1118"/>
      <c r="K283" s="1121">
        <v>2.8400000000000002E-2</v>
      </c>
      <c r="L283" s="1121">
        <v>5.5999999999999999E-3</v>
      </c>
      <c r="M283" t="s">
        <v>2846</v>
      </c>
    </row>
    <row r="284" spans="2:13" x14ac:dyDescent="0.45">
      <c r="C284" s="1118">
        <v>1.14E-2</v>
      </c>
      <c r="D284" s="1118">
        <v>3.0099999999999998E-2</v>
      </c>
      <c r="E284" s="1118">
        <v>4.532</v>
      </c>
      <c r="F284" s="1118">
        <v>8.0999999999999996E-3</v>
      </c>
      <c r="G284" s="1118">
        <v>1.24E-2</v>
      </c>
      <c r="H284" s="1118">
        <v>0.1086</v>
      </c>
      <c r="I284" s="1118"/>
      <c r="J284" s="1118"/>
      <c r="K284" s="1118">
        <v>2.8400000000000002E-2</v>
      </c>
      <c r="L284" s="1118">
        <v>5.5999999999999999E-3</v>
      </c>
    </row>
    <row r="285" spans="2:13" x14ac:dyDescent="0.45">
      <c r="B285" s="1122" t="s">
        <v>2847</v>
      </c>
      <c r="C285" s="1123" t="s">
        <v>2582</v>
      </c>
      <c r="D285" s="1123" t="s">
        <v>2583</v>
      </c>
      <c r="E285" s="1123" t="s">
        <v>2584</v>
      </c>
      <c r="F285" s="1123" t="s">
        <v>2585</v>
      </c>
      <c r="G285" s="1123" t="s">
        <v>2586</v>
      </c>
      <c r="H285" s="1123" t="s">
        <v>2587</v>
      </c>
      <c r="I285" s="1123" t="s">
        <v>2588</v>
      </c>
      <c r="J285" s="1123" t="s">
        <v>2589</v>
      </c>
      <c r="K285" s="1123" t="s">
        <v>1957</v>
      </c>
      <c r="L285" s="1123" t="s">
        <v>1956</v>
      </c>
    </row>
    <row r="286" spans="2:13" x14ac:dyDescent="0.45">
      <c r="B286" s="1124">
        <v>1990</v>
      </c>
      <c r="C286" s="1125">
        <v>1.1900000000000001E-2</v>
      </c>
      <c r="D286" s="1125">
        <v>3.15E-2</v>
      </c>
      <c r="E286" s="1125">
        <v>4.7442000000000002</v>
      </c>
      <c r="F286" s="1125">
        <v>1.38E-2</v>
      </c>
      <c r="G286" s="1125">
        <v>1.2999999999999999E-2</v>
      </c>
      <c r="H286" s="1125">
        <v>0.22739999999999999</v>
      </c>
      <c r="I286" s="1125"/>
      <c r="J286" s="1125"/>
      <c r="K286" s="1125">
        <v>2.9700000000000001E-2</v>
      </c>
      <c r="L286" s="1125">
        <v>5.8999999999999999E-3</v>
      </c>
    </row>
    <row r="287" spans="2:13" x14ac:dyDescent="0.45">
      <c r="B287" s="1124">
        <v>1995</v>
      </c>
      <c r="C287" s="1125">
        <v>1.1900000000000001E-2</v>
      </c>
      <c r="D287" s="1125">
        <v>3.15E-2</v>
      </c>
      <c r="E287" s="1125">
        <v>4.7442000000000002</v>
      </c>
      <c r="F287" s="1125">
        <v>1.38E-2</v>
      </c>
      <c r="G287" s="1125">
        <v>1.2999999999999999E-2</v>
      </c>
      <c r="H287" s="1125">
        <v>0.22739999999999999</v>
      </c>
      <c r="I287" s="1125"/>
      <c r="J287" s="1125"/>
      <c r="K287" s="1125">
        <v>2.9700000000000001E-2</v>
      </c>
      <c r="L287" s="1125">
        <v>5.8999999999999999E-3</v>
      </c>
    </row>
    <row r="288" spans="2:13" x14ac:dyDescent="0.45">
      <c r="B288" s="1124">
        <v>2000</v>
      </c>
      <c r="C288" s="1125">
        <v>1.1900000000000001E-2</v>
      </c>
      <c r="D288" s="1125">
        <v>3.15E-2</v>
      </c>
      <c r="E288" s="1125">
        <v>4.7442000000000002</v>
      </c>
      <c r="F288" s="1125">
        <v>1.38E-2</v>
      </c>
      <c r="G288" s="1125">
        <v>1.2999999999999999E-2</v>
      </c>
      <c r="H288" s="1125">
        <v>0.22739999999999999</v>
      </c>
      <c r="I288" s="1125"/>
      <c r="J288" s="1125"/>
      <c r="K288" s="1125">
        <v>2.9700000000000001E-2</v>
      </c>
      <c r="L288" s="1125">
        <v>5.8999999999999999E-3</v>
      </c>
    </row>
    <row r="289" spans="2:13" x14ac:dyDescent="0.45">
      <c r="B289" s="1124">
        <v>2005</v>
      </c>
      <c r="C289" s="1125">
        <v>1.1900000000000001E-2</v>
      </c>
      <c r="D289" s="1125">
        <v>3.15E-2</v>
      </c>
      <c r="E289" s="1125">
        <v>4.7442000000000002</v>
      </c>
      <c r="F289" s="1125">
        <v>1.38E-2</v>
      </c>
      <c r="G289" s="1125">
        <v>1.2999999999999999E-2</v>
      </c>
      <c r="H289" s="1125">
        <v>0.22739999999999999</v>
      </c>
      <c r="I289" s="1125"/>
      <c r="J289" s="1125"/>
      <c r="K289" s="1125">
        <v>2.9700000000000001E-2</v>
      </c>
      <c r="L289" s="1125">
        <v>5.8999999999999999E-3</v>
      </c>
    </row>
    <row r="290" spans="2:13" x14ac:dyDescent="0.45">
      <c r="B290" s="1126">
        <v>2010</v>
      </c>
      <c r="C290" s="1127">
        <v>1.1900000000000001E-2</v>
      </c>
      <c r="D290" s="1127">
        <v>3.15E-2</v>
      </c>
      <c r="E290" s="1127">
        <v>4.7442000000000002</v>
      </c>
      <c r="F290" s="1127">
        <v>1.38E-2</v>
      </c>
      <c r="G290" s="1127">
        <v>1.2999999999999999E-2</v>
      </c>
      <c r="H290" s="1127">
        <v>0.22739999999999999</v>
      </c>
      <c r="I290" s="1127"/>
      <c r="J290" s="1127"/>
      <c r="K290" s="1127">
        <v>2.9700000000000001E-2</v>
      </c>
      <c r="L290" s="1127">
        <v>5.8999999999999999E-3</v>
      </c>
    </row>
    <row r="291" spans="2:13" x14ac:dyDescent="0.45">
      <c r="B291" s="1124">
        <v>2015</v>
      </c>
      <c r="C291" s="1125">
        <v>1.14E-2</v>
      </c>
      <c r="D291" s="1125">
        <v>3.0099999999999998E-2</v>
      </c>
      <c r="E291" s="1125">
        <v>4.532</v>
      </c>
      <c r="F291" s="1125">
        <v>8.0999999999999996E-3</v>
      </c>
      <c r="G291" s="1125">
        <v>1.24E-2</v>
      </c>
      <c r="H291" s="1125">
        <v>0.1086</v>
      </c>
      <c r="I291" s="1125"/>
      <c r="J291" s="1125"/>
      <c r="K291" s="1125">
        <v>2.8400000000000002E-2</v>
      </c>
      <c r="L291" s="1125">
        <v>5.5999999999999999E-3</v>
      </c>
    </row>
    <row r="292" spans="2:13" x14ac:dyDescent="0.45">
      <c r="B292" s="1128">
        <v>2020</v>
      </c>
      <c r="C292" s="1129">
        <v>1.0800000000000001E-2</v>
      </c>
      <c r="D292" s="1129">
        <v>2.86E-2</v>
      </c>
      <c r="E292" s="1129">
        <v>4.3053999999999997</v>
      </c>
      <c r="F292" s="1129">
        <v>7.7000000000000002E-3</v>
      </c>
      <c r="G292" s="1129">
        <v>1.18E-2</v>
      </c>
      <c r="H292" s="1129">
        <v>2.06E-2</v>
      </c>
      <c r="I292" s="1129"/>
      <c r="J292" s="1129"/>
      <c r="K292" s="1129">
        <v>2.7E-2</v>
      </c>
      <c r="L292" s="1129">
        <v>5.4000000000000003E-3</v>
      </c>
    </row>
    <row r="293" spans="2:13" x14ac:dyDescent="0.45">
      <c r="C293" s="1118"/>
      <c r="D293" s="1118"/>
      <c r="E293" s="1118"/>
      <c r="F293" s="1118"/>
      <c r="G293" s="1118"/>
      <c r="H293" s="1118"/>
      <c r="I293" s="1118"/>
      <c r="J293" s="1118"/>
      <c r="K293" s="1118"/>
      <c r="L293" s="1118"/>
    </row>
    <row r="294" spans="2:13" x14ac:dyDescent="0.45">
      <c r="B294" s="725" t="s">
        <v>2738</v>
      </c>
      <c r="C294" s="1118"/>
      <c r="D294" s="1118"/>
      <c r="E294" s="1118"/>
      <c r="F294" s="1118"/>
      <c r="G294" s="1118"/>
      <c r="H294" s="1118"/>
      <c r="I294" s="1118"/>
      <c r="J294" s="1118"/>
      <c r="K294" s="1118"/>
      <c r="L294" s="1118"/>
    </row>
    <row r="295" spans="2:13" x14ac:dyDescent="0.45">
      <c r="C295" s="1118">
        <v>3.0300000000000001E-3</v>
      </c>
      <c r="D295" s="1118">
        <v>1.8200000000000001E-2</v>
      </c>
      <c r="E295" s="1118">
        <v>3.5190000000000001</v>
      </c>
      <c r="F295" s="1118">
        <v>0.30099999999999999</v>
      </c>
      <c r="G295" s="1118">
        <v>8.4400000000000003E-2</v>
      </c>
      <c r="H295" s="1118">
        <v>0.94499999999999995</v>
      </c>
      <c r="I295" s="1118"/>
      <c r="J295" s="1118"/>
      <c r="K295" s="1118">
        <v>3.5200000000000002E-2</v>
      </c>
      <c r="L295" s="1118">
        <v>7.0600000000000003E-3</v>
      </c>
    </row>
    <row r="296" spans="2:13" x14ac:dyDescent="0.45">
      <c r="C296" s="1119">
        <v>3.0300000000000001E-3</v>
      </c>
      <c r="D296" s="1119">
        <v>1.8200000000000001E-2</v>
      </c>
      <c r="E296" s="1119">
        <v>3.5190000000000001</v>
      </c>
      <c r="F296" s="1119">
        <v>0.30099999999999999</v>
      </c>
      <c r="G296" s="1119">
        <v>8.4400000000000003E-2</v>
      </c>
      <c r="H296" s="1120">
        <v>0.94499999999999995</v>
      </c>
      <c r="I296" s="1118"/>
      <c r="J296" s="1118"/>
      <c r="K296" s="1120">
        <v>3.5200000000000002E-2</v>
      </c>
      <c r="L296" s="1120">
        <v>7.0600000000000003E-3</v>
      </c>
      <c r="M296" t="s">
        <v>2845</v>
      </c>
    </row>
    <row r="297" spans="2:13" x14ac:dyDescent="0.45">
      <c r="C297" s="1121">
        <v>2.8E-3</v>
      </c>
      <c r="D297" s="1121">
        <v>1.66E-2</v>
      </c>
      <c r="E297" s="1121">
        <v>2.7341000000000002</v>
      </c>
      <c r="F297" s="1121">
        <v>0.17</v>
      </c>
      <c r="G297" s="1121">
        <v>7.0099999999999996E-2</v>
      </c>
      <c r="H297" s="1121">
        <v>0.43359999999999999</v>
      </c>
      <c r="I297" s="1118"/>
      <c r="J297" s="1118"/>
      <c r="K297" s="1121">
        <v>3.2199999999999999E-2</v>
      </c>
      <c r="L297" s="1121">
        <v>6.4000000000000003E-3</v>
      </c>
      <c r="M297" t="s">
        <v>2846</v>
      </c>
    </row>
    <row r="298" spans="2:13" x14ac:dyDescent="0.45">
      <c r="C298" s="1118">
        <v>2.8E-3</v>
      </c>
      <c r="D298" s="1118">
        <v>1.66E-2</v>
      </c>
      <c r="E298" s="1118">
        <v>2.7341000000000002</v>
      </c>
      <c r="F298" s="1118">
        <v>0.17</v>
      </c>
      <c r="G298" s="1118">
        <v>7.0099999999999996E-2</v>
      </c>
      <c r="H298" s="1118">
        <v>0.43359999999999999</v>
      </c>
      <c r="I298" s="1118"/>
      <c r="J298" s="1118"/>
      <c r="K298" s="1118">
        <v>3.2199999999999999E-2</v>
      </c>
      <c r="L298" s="1118">
        <v>6.4000000000000003E-3</v>
      </c>
    </row>
    <row r="299" spans="2:13" x14ac:dyDescent="0.45">
      <c r="B299" s="1122" t="s">
        <v>2847</v>
      </c>
      <c r="C299" s="1123" t="s">
        <v>2582</v>
      </c>
      <c r="D299" s="1123" t="s">
        <v>2583</v>
      </c>
      <c r="E299" s="1123" t="s">
        <v>2584</v>
      </c>
      <c r="F299" s="1123" t="s">
        <v>2585</v>
      </c>
      <c r="G299" s="1123" t="s">
        <v>2586</v>
      </c>
      <c r="H299" s="1123" t="s">
        <v>2587</v>
      </c>
      <c r="I299" s="1123" t="s">
        <v>2588</v>
      </c>
      <c r="J299" s="1123" t="s">
        <v>2589</v>
      </c>
      <c r="K299" s="1123" t="s">
        <v>1957</v>
      </c>
      <c r="L299" s="1123" t="s">
        <v>1956</v>
      </c>
    </row>
    <row r="300" spans="2:13" x14ac:dyDescent="0.45">
      <c r="B300" s="1124">
        <v>1990</v>
      </c>
      <c r="C300" s="1125">
        <v>3.0000000000000001E-3</v>
      </c>
      <c r="D300" s="1125">
        <v>1.8100000000000002E-2</v>
      </c>
      <c r="E300" s="1125">
        <v>2.9759000000000002</v>
      </c>
      <c r="F300" s="1125">
        <v>0.30109999999999998</v>
      </c>
      <c r="G300" s="1125">
        <v>7.6300000000000007E-2</v>
      </c>
      <c r="H300" s="1125">
        <v>0.94379999999999997</v>
      </c>
      <c r="I300" s="1125"/>
      <c r="J300" s="1125"/>
      <c r="K300" s="1125">
        <v>3.5099999999999999E-2</v>
      </c>
      <c r="L300" s="1125">
        <v>7.0000000000000001E-3</v>
      </c>
    </row>
    <row r="301" spans="2:13" x14ac:dyDescent="0.45">
      <c r="B301" s="1124">
        <v>1995</v>
      </c>
      <c r="C301" s="1125">
        <v>3.0000000000000001E-3</v>
      </c>
      <c r="D301" s="1125">
        <v>1.8100000000000002E-2</v>
      </c>
      <c r="E301" s="1125">
        <v>2.9759000000000002</v>
      </c>
      <c r="F301" s="1125">
        <v>0.30109999999999998</v>
      </c>
      <c r="G301" s="1125">
        <v>7.6300000000000007E-2</v>
      </c>
      <c r="H301" s="1125">
        <v>0.94379999999999997</v>
      </c>
      <c r="I301" s="1125"/>
      <c r="J301" s="1125"/>
      <c r="K301" s="1125">
        <v>3.5099999999999999E-2</v>
      </c>
      <c r="L301" s="1125">
        <v>7.0000000000000001E-3</v>
      </c>
    </row>
    <row r="302" spans="2:13" x14ac:dyDescent="0.45">
      <c r="B302" s="1124">
        <v>2000</v>
      </c>
      <c r="C302" s="1125">
        <v>3.0000000000000001E-3</v>
      </c>
      <c r="D302" s="1125">
        <v>1.8100000000000002E-2</v>
      </c>
      <c r="E302" s="1125">
        <v>2.9759000000000002</v>
      </c>
      <c r="F302" s="1125">
        <v>0.30109999999999998</v>
      </c>
      <c r="G302" s="1125">
        <v>7.6300000000000007E-2</v>
      </c>
      <c r="H302" s="1125">
        <v>0.94379999999999997</v>
      </c>
      <c r="I302" s="1125"/>
      <c r="J302" s="1125"/>
      <c r="K302" s="1125">
        <v>3.5099999999999999E-2</v>
      </c>
      <c r="L302" s="1125">
        <v>7.0000000000000001E-3</v>
      </c>
    </row>
    <row r="303" spans="2:13" x14ac:dyDescent="0.45">
      <c r="B303" s="1124">
        <v>2005</v>
      </c>
      <c r="C303" s="1125">
        <v>3.0000000000000001E-3</v>
      </c>
      <c r="D303" s="1125">
        <v>1.8100000000000002E-2</v>
      </c>
      <c r="E303" s="1125">
        <v>2.9759000000000002</v>
      </c>
      <c r="F303" s="1125">
        <v>0.30109999999999998</v>
      </c>
      <c r="G303" s="1125">
        <v>7.6300000000000007E-2</v>
      </c>
      <c r="H303" s="1125">
        <v>0.94379999999999997</v>
      </c>
      <c r="I303" s="1125"/>
      <c r="J303" s="1125"/>
      <c r="K303" s="1125">
        <v>3.5099999999999999E-2</v>
      </c>
      <c r="L303" s="1125">
        <v>7.0000000000000001E-3</v>
      </c>
    </row>
    <row r="304" spans="2:13" x14ac:dyDescent="0.45">
      <c r="B304" s="1126">
        <v>2010</v>
      </c>
      <c r="C304" s="1127">
        <v>3.0000000000000001E-3</v>
      </c>
      <c r="D304" s="1127">
        <v>1.8100000000000002E-2</v>
      </c>
      <c r="E304" s="1127">
        <v>2.9759000000000002</v>
      </c>
      <c r="F304" s="1127">
        <v>0.30109999999999998</v>
      </c>
      <c r="G304" s="1127">
        <v>7.6300000000000007E-2</v>
      </c>
      <c r="H304" s="1127">
        <v>0.94379999999999997</v>
      </c>
      <c r="I304" s="1127"/>
      <c r="J304" s="1127"/>
      <c r="K304" s="1127">
        <v>3.5099999999999999E-2</v>
      </c>
      <c r="L304" s="1127">
        <v>7.0000000000000001E-3</v>
      </c>
    </row>
    <row r="305" spans="2:13" x14ac:dyDescent="0.45">
      <c r="B305" s="1124">
        <v>2015</v>
      </c>
      <c r="C305" s="1125">
        <v>2.8E-3</v>
      </c>
      <c r="D305" s="1125">
        <v>1.66E-2</v>
      </c>
      <c r="E305" s="1125">
        <v>2.7341000000000002</v>
      </c>
      <c r="F305" s="1125">
        <v>0.17</v>
      </c>
      <c r="G305" s="1125">
        <v>7.0099999999999996E-2</v>
      </c>
      <c r="H305" s="1125">
        <v>0.43359999999999999</v>
      </c>
      <c r="I305" s="1125"/>
      <c r="J305" s="1125"/>
      <c r="K305" s="1125">
        <v>3.2199999999999999E-2</v>
      </c>
      <c r="L305" s="1125">
        <v>6.4000000000000003E-3</v>
      </c>
    </row>
    <row r="306" spans="2:13" x14ac:dyDescent="0.45">
      <c r="B306" s="1128">
        <v>2020</v>
      </c>
      <c r="C306" s="1129">
        <v>2.5999999999999999E-3</v>
      </c>
      <c r="D306" s="1129">
        <v>1.5699999999999999E-2</v>
      </c>
      <c r="E306" s="1129">
        <v>2.5733000000000001</v>
      </c>
      <c r="F306" s="1129">
        <v>0.16</v>
      </c>
      <c r="G306" s="1129">
        <v>6.6000000000000003E-2</v>
      </c>
      <c r="H306" s="1129">
        <v>8.1600000000000006E-2</v>
      </c>
      <c r="I306" s="1129"/>
      <c r="J306" s="1129"/>
      <c r="K306" s="1129">
        <v>3.04E-2</v>
      </c>
      <c r="L306" s="1129">
        <v>6.1000000000000004E-3</v>
      </c>
    </row>
    <row r="307" spans="2:13" x14ac:dyDescent="0.45">
      <c r="C307" s="1118"/>
      <c r="D307" s="1118"/>
      <c r="E307" s="1118"/>
      <c r="F307" s="1118"/>
      <c r="G307" s="1118"/>
      <c r="H307" s="1118"/>
      <c r="I307" s="1118"/>
      <c r="J307" s="1118"/>
      <c r="K307" s="1118"/>
      <c r="L307" s="1118"/>
    </row>
    <row r="308" spans="2:13" x14ac:dyDescent="0.45">
      <c r="B308" s="725" t="s">
        <v>2739</v>
      </c>
      <c r="C308" s="1118"/>
      <c r="D308" s="1118"/>
      <c r="E308" s="1118"/>
      <c r="F308" s="1118"/>
      <c r="G308" s="1118"/>
      <c r="H308" s="1118"/>
      <c r="I308" s="1118"/>
      <c r="J308" s="1118"/>
      <c r="K308" s="1118"/>
      <c r="L308" s="1118"/>
    </row>
    <row r="309" spans="2:13" x14ac:dyDescent="0.45">
      <c r="C309" s="1118">
        <v>2.93E-2</v>
      </c>
      <c r="D309" s="1118">
        <v>0.44</v>
      </c>
      <c r="E309" s="1118">
        <v>0.83899999999999997</v>
      </c>
      <c r="F309" s="1118">
        <v>3.8699999999999998E-2</v>
      </c>
      <c r="G309" s="1118">
        <v>3.8699999999999998E-2</v>
      </c>
      <c r="H309" s="1118">
        <v>5.6300000000000002E-4</v>
      </c>
      <c r="I309" s="1118"/>
      <c r="J309" s="1118"/>
      <c r="K309" s="1118">
        <v>1.11E-2</v>
      </c>
      <c r="L309" s="1118">
        <v>1.1000000000000001E-3</v>
      </c>
    </row>
    <row r="310" spans="2:13" x14ac:dyDescent="0.45">
      <c r="C310" s="1119">
        <v>2.93E-2</v>
      </c>
      <c r="D310" s="1119">
        <v>0.44</v>
      </c>
      <c r="E310" s="1119">
        <v>0.83899999999999997</v>
      </c>
      <c r="F310" s="1119">
        <v>3.8699999999999998E-2</v>
      </c>
      <c r="G310" s="1119">
        <v>3.8699999999999998E-2</v>
      </c>
      <c r="H310" s="1120">
        <v>5.6300000000000002E-4</v>
      </c>
      <c r="I310" s="1118"/>
      <c r="J310" s="1118"/>
      <c r="K310" s="1120">
        <v>1.11E-2</v>
      </c>
      <c r="L310" s="1120">
        <v>1.1000000000000001E-3</v>
      </c>
      <c r="M310" t="s">
        <v>2845</v>
      </c>
    </row>
    <row r="311" spans="2:13" x14ac:dyDescent="0.45">
      <c r="C311" s="1121">
        <v>3.04E-2</v>
      </c>
      <c r="D311" s="1121">
        <v>0.45800000000000002</v>
      </c>
      <c r="E311" s="1121">
        <v>0.82199999999999995</v>
      </c>
      <c r="F311" s="1121">
        <v>4.0500000000000001E-2</v>
      </c>
      <c r="G311" s="1121">
        <v>4.0500000000000001E-2</v>
      </c>
      <c r="H311" s="1121">
        <v>0.1658</v>
      </c>
      <c r="I311" s="1118"/>
      <c r="J311" s="1118"/>
      <c r="K311" s="1121">
        <v>1.0500000000000001E-2</v>
      </c>
      <c r="L311" s="1121">
        <v>1E-3</v>
      </c>
      <c r="M311" t="s">
        <v>2846</v>
      </c>
    </row>
    <row r="312" spans="2:13" x14ac:dyDescent="0.45">
      <c r="C312" s="1118">
        <v>3.04E-2</v>
      </c>
      <c r="D312" s="1118">
        <v>0.45800000000000002</v>
      </c>
      <c r="E312" s="1118">
        <v>0.82199999999999995</v>
      </c>
      <c r="F312" s="1118">
        <v>4.0500000000000001E-2</v>
      </c>
      <c r="G312" s="1118">
        <v>4.0500000000000001E-2</v>
      </c>
      <c r="H312" s="1118">
        <v>0.1658</v>
      </c>
      <c r="I312" s="1118"/>
      <c r="J312" s="1118"/>
      <c r="K312" s="1118">
        <v>1.0500000000000001E-2</v>
      </c>
      <c r="L312" s="1118">
        <v>1E-3</v>
      </c>
    </row>
    <row r="313" spans="2:13" x14ac:dyDescent="0.45">
      <c r="B313" s="1122" t="s">
        <v>2847</v>
      </c>
      <c r="C313" s="1123" t="s">
        <v>2582</v>
      </c>
      <c r="D313" s="1123" t="s">
        <v>2583</v>
      </c>
      <c r="E313" s="1123" t="s">
        <v>2584</v>
      </c>
      <c r="F313" s="1123" t="s">
        <v>2585</v>
      </c>
      <c r="G313" s="1123" t="s">
        <v>2586</v>
      </c>
      <c r="H313" s="1123" t="s">
        <v>2587</v>
      </c>
      <c r="I313" s="1123" t="s">
        <v>2588</v>
      </c>
      <c r="J313" s="1123" t="s">
        <v>2589</v>
      </c>
      <c r="K313" s="1123" t="s">
        <v>1957</v>
      </c>
      <c r="L313" s="1123" t="s">
        <v>1956</v>
      </c>
    </row>
    <row r="314" spans="2:13" x14ac:dyDescent="0.45">
      <c r="B314" s="1124">
        <v>1990</v>
      </c>
      <c r="C314" s="1125">
        <v>2.9700000000000001E-2</v>
      </c>
      <c r="D314" s="1125">
        <v>0.18260000000000001</v>
      </c>
      <c r="E314" s="1125">
        <v>0.67979999999999996</v>
      </c>
      <c r="F314" s="1125">
        <v>1.7999999999999999E-2</v>
      </c>
      <c r="G314" s="1125">
        <v>1.7999999999999999E-2</v>
      </c>
      <c r="H314" s="1125">
        <v>4.7999999999999996E-3</v>
      </c>
      <c r="I314" s="1125"/>
      <c r="J314" s="1125"/>
      <c r="K314" s="1125">
        <v>1.2107599373423785E-2</v>
      </c>
      <c r="L314" s="1125">
        <v>1.2107599373423785E-2</v>
      </c>
    </row>
    <row r="315" spans="2:13" x14ac:dyDescent="0.45">
      <c r="B315" s="1124">
        <v>1995</v>
      </c>
      <c r="C315" s="1125">
        <v>2.8799999999999999E-2</v>
      </c>
      <c r="D315" s="1125">
        <v>0.18260000000000001</v>
      </c>
      <c r="E315" s="1125">
        <v>0.65849999999999997</v>
      </c>
      <c r="F315" s="1125">
        <v>1.7399999999999999E-2</v>
      </c>
      <c r="G315" s="1125">
        <v>1.7399999999999999E-2</v>
      </c>
      <c r="H315" s="1125">
        <v>4.7999999999999996E-3</v>
      </c>
      <c r="I315" s="1125"/>
      <c r="J315" s="1125"/>
      <c r="K315" s="1125">
        <v>1.1803005678494884E-2</v>
      </c>
      <c r="L315" s="1125">
        <v>1.1803005678494884E-2</v>
      </c>
    </row>
    <row r="316" spans="2:13" x14ac:dyDescent="0.45">
      <c r="B316" s="1124">
        <v>2000</v>
      </c>
      <c r="C316" s="1125">
        <v>2.7900000000000001E-2</v>
      </c>
      <c r="D316" s="1125">
        <v>0.18260000000000001</v>
      </c>
      <c r="E316" s="1125">
        <v>0.63859999999999995</v>
      </c>
      <c r="F316" s="1125">
        <v>1.6899999999999998E-2</v>
      </c>
      <c r="G316" s="1125">
        <v>1.6899999999999998E-2</v>
      </c>
      <c r="H316" s="1125">
        <v>4.7999999999999996E-3</v>
      </c>
      <c r="I316" s="1125"/>
      <c r="J316" s="1125"/>
      <c r="K316" s="1125">
        <v>1.1803005678494884E-2</v>
      </c>
      <c r="L316" s="1125">
        <v>1.1803005678494884E-2</v>
      </c>
    </row>
    <row r="317" spans="2:13" x14ac:dyDescent="0.45">
      <c r="B317" s="1124">
        <v>2005</v>
      </c>
      <c r="C317" s="1125">
        <v>2.1399999999999999E-2</v>
      </c>
      <c r="D317" s="1125">
        <v>0.18260000000000001</v>
      </c>
      <c r="E317" s="1125">
        <v>0.51790000000000003</v>
      </c>
      <c r="F317" s="1125">
        <v>1.5299999999999999E-2</v>
      </c>
      <c r="G317" s="1125">
        <v>1.5299999999999999E-2</v>
      </c>
      <c r="H317" s="1125">
        <v>4.7999999999999996E-3</v>
      </c>
      <c r="I317" s="1125"/>
      <c r="J317" s="1125"/>
      <c r="K317" s="1125">
        <v>1.1803005678494884E-2</v>
      </c>
      <c r="L317" s="1125">
        <v>1.1803005678494884E-2</v>
      </c>
    </row>
    <row r="318" spans="2:13" x14ac:dyDescent="0.45">
      <c r="B318" s="1126">
        <v>2010</v>
      </c>
      <c r="C318" s="1127">
        <v>3.2000000000000001E-2</v>
      </c>
      <c r="D318" s="1127">
        <v>0.48209999999999997</v>
      </c>
      <c r="E318" s="1127">
        <v>0.86529999999999996</v>
      </c>
      <c r="F318" s="1127">
        <v>4.2599999999999999E-2</v>
      </c>
      <c r="G318" s="1127">
        <v>4.2599999999999999E-2</v>
      </c>
      <c r="H318" s="1127">
        <v>0.17449999999999999</v>
      </c>
      <c r="I318" s="1127"/>
      <c r="J318" s="1127"/>
      <c r="K318" s="1127">
        <v>1.11E-2</v>
      </c>
      <c r="L318" s="1127">
        <v>1.1000000000000001E-3</v>
      </c>
    </row>
    <row r="319" spans="2:13" x14ac:dyDescent="0.45">
      <c r="B319" s="1124">
        <v>2015</v>
      </c>
      <c r="C319" s="1125">
        <v>3.04E-2</v>
      </c>
      <c r="D319" s="1125">
        <v>0.45800000000000002</v>
      </c>
      <c r="E319" s="1125">
        <v>0.82199999999999995</v>
      </c>
      <c r="F319" s="1125">
        <v>4.0500000000000001E-2</v>
      </c>
      <c r="G319" s="1125">
        <v>4.0500000000000001E-2</v>
      </c>
      <c r="H319" s="1125">
        <v>0.1658</v>
      </c>
      <c r="I319" s="1125"/>
      <c r="J319" s="1125"/>
      <c r="K319" s="1125">
        <v>1.0500000000000001E-2</v>
      </c>
      <c r="L319" s="1125">
        <v>1E-3</v>
      </c>
    </row>
    <row r="320" spans="2:13" x14ac:dyDescent="0.45">
      <c r="B320" s="1128">
        <v>2020</v>
      </c>
      <c r="C320" s="1129">
        <v>2.87E-2</v>
      </c>
      <c r="D320" s="1129">
        <v>0.43259999999999998</v>
      </c>
      <c r="E320" s="1129">
        <v>0.77639999999999998</v>
      </c>
      <c r="F320" s="1129">
        <v>3.8199999999999998E-2</v>
      </c>
      <c r="G320" s="1129">
        <v>3.8199999999999998E-2</v>
      </c>
      <c r="H320" s="1129">
        <v>0.15659999999999999</v>
      </c>
      <c r="I320" s="1129"/>
      <c r="J320" s="1129"/>
      <c r="K320" s="1129">
        <v>0.01</v>
      </c>
      <c r="L320" s="1129">
        <v>1E-3</v>
      </c>
    </row>
    <row r="321" spans="2:13" x14ac:dyDescent="0.45">
      <c r="C321" s="1118"/>
      <c r="D321" s="1118"/>
      <c r="E321" s="1118"/>
      <c r="F321" s="1118"/>
      <c r="G321" s="1118"/>
      <c r="H321" s="1118"/>
      <c r="I321" s="1118"/>
      <c r="J321" s="1118"/>
      <c r="K321" s="1118"/>
      <c r="L321" s="1118"/>
    </row>
    <row r="322" spans="2:13" x14ac:dyDescent="0.45">
      <c r="B322" s="725" t="s">
        <v>2740</v>
      </c>
      <c r="C322" s="1118"/>
      <c r="D322" s="1118"/>
      <c r="E322" s="1118"/>
      <c r="F322" s="1118"/>
      <c r="G322" s="1118"/>
      <c r="H322" s="1118"/>
      <c r="I322" s="1118"/>
      <c r="J322" s="1118"/>
      <c r="K322" s="1118"/>
      <c r="L322" s="1118"/>
    </row>
    <row r="323" spans="2:13" x14ac:dyDescent="0.45">
      <c r="C323" s="1118">
        <v>1.0999999999999999E-2</v>
      </c>
      <c r="D323" s="1118">
        <v>0.43</v>
      </c>
      <c r="E323" s="1118">
        <v>0.34300000000000003</v>
      </c>
      <c r="F323" s="1118">
        <v>3.85E-2</v>
      </c>
      <c r="G323" s="1118">
        <v>3.85E-2</v>
      </c>
      <c r="H323" s="1118">
        <v>1.4500000000000001E-2</v>
      </c>
      <c r="I323" s="1118"/>
      <c r="J323" s="1118"/>
      <c r="K323" s="1118">
        <v>1.0999999999999999E-2</v>
      </c>
      <c r="L323" s="1118">
        <v>1.1000000000000001E-3</v>
      </c>
    </row>
    <row r="324" spans="2:13" x14ac:dyDescent="0.45">
      <c r="C324" s="1119">
        <v>1.0999999999999999E-2</v>
      </c>
      <c r="D324" s="1119">
        <v>0.43</v>
      </c>
      <c r="E324" s="1119">
        <v>0.34300000000000003</v>
      </c>
      <c r="F324" s="1119">
        <v>3.85E-2</v>
      </c>
      <c r="G324" s="1120">
        <v>3.85E-2</v>
      </c>
      <c r="H324" s="1120">
        <v>1.4500000000000001E-2</v>
      </c>
      <c r="I324" s="1118"/>
      <c r="J324" s="1118"/>
      <c r="K324" s="1120">
        <v>1.0999999999999999E-2</v>
      </c>
      <c r="L324" s="1120">
        <v>1.1000000000000001E-3</v>
      </c>
      <c r="M324" t="s">
        <v>2845</v>
      </c>
    </row>
    <row r="325" spans="2:13" x14ac:dyDescent="0.45">
      <c r="C325" s="1121">
        <v>1.06E-2</v>
      </c>
      <c r="D325" s="1121">
        <v>0.4143</v>
      </c>
      <c r="E325" s="1121">
        <v>0.32079999999999997</v>
      </c>
      <c r="F325" s="1121">
        <v>3.5900000000000001E-2</v>
      </c>
      <c r="G325" s="1121">
        <v>3.5900000000000001E-2</v>
      </c>
      <c r="H325" s="1121">
        <v>1.6E-2</v>
      </c>
      <c r="I325" s="1118"/>
      <c r="J325" s="1118"/>
      <c r="K325" s="1121">
        <v>1.06E-2</v>
      </c>
      <c r="L325" s="1121">
        <v>1E-3</v>
      </c>
      <c r="M325" t="s">
        <v>2846</v>
      </c>
    </row>
    <row r="326" spans="2:13" x14ac:dyDescent="0.45">
      <c r="C326" s="1118">
        <v>1.06E-2</v>
      </c>
      <c r="D326" s="1118">
        <v>0.4143</v>
      </c>
      <c r="E326" s="1118">
        <v>0.32079999999999997</v>
      </c>
      <c r="F326" s="1118">
        <v>3.5900000000000001E-2</v>
      </c>
      <c r="G326" s="1118">
        <v>3.5900000000000001E-2</v>
      </c>
      <c r="H326" s="1118">
        <v>1.6E-2</v>
      </c>
      <c r="I326" s="1118"/>
      <c r="J326" s="1118"/>
      <c r="K326" s="1118">
        <v>1.06E-2</v>
      </c>
      <c r="L326" s="1118">
        <v>1E-3</v>
      </c>
    </row>
    <row r="327" spans="2:13" x14ac:dyDescent="0.45">
      <c r="B327" s="1122" t="s">
        <v>2847</v>
      </c>
      <c r="C327" s="1123" t="s">
        <v>2582</v>
      </c>
      <c r="D327" s="1123" t="s">
        <v>2583</v>
      </c>
      <c r="E327" s="1123" t="s">
        <v>2584</v>
      </c>
      <c r="F327" s="1123" t="s">
        <v>2585</v>
      </c>
      <c r="G327" s="1123" t="s">
        <v>2586</v>
      </c>
      <c r="H327" s="1123" t="s">
        <v>2587</v>
      </c>
      <c r="I327" s="1123" t="s">
        <v>2588</v>
      </c>
      <c r="J327" s="1123" t="s">
        <v>2589</v>
      </c>
      <c r="K327" s="1123" t="s">
        <v>1957</v>
      </c>
      <c r="L327" s="1123" t="s">
        <v>1956</v>
      </c>
    </row>
    <row r="328" spans="2:13" x14ac:dyDescent="0.45">
      <c r="B328" s="1124">
        <v>1990</v>
      </c>
      <c r="C328" s="1125">
        <v>5.5E-2</v>
      </c>
      <c r="D328" s="1125">
        <v>0.21290000000000001</v>
      </c>
      <c r="E328" s="1125">
        <v>0.56820000000000004</v>
      </c>
      <c r="F328" s="1125">
        <v>1.7600000000000001E-2</v>
      </c>
      <c r="G328" s="1125">
        <v>1.7600000000000001E-2</v>
      </c>
      <c r="H328" s="1125">
        <v>6.1999999999999998E-3</v>
      </c>
      <c r="I328" s="1125"/>
      <c r="J328" s="1125"/>
      <c r="K328" s="1125">
        <v>4.6889430300713929E-2</v>
      </c>
      <c r="L328" s="1125">
        <v>1.6510362781941523E-2</v>
      </c>
    </row>
    <row r="329" spans="2:13" x14ac:dyDescent="0.45">
      <c r="B329" s="1124">
        <v>1995</v>
      </c>
      <c r="C329" s="1125">
        <v>5.33E-2</v>
      </c>
      <c r="D329" s="1125">
        <v>0.21290000000000001</v>
      </c>
      <c r="E329" s="1125">
        <v>0.55049999999999999</v>
      </c>
      <c r="F329" s="1125">
        <v>1.7100000000000001E-2</v>
      </c>
      <c r="G329" s="1125">
        <v>1.7100000000000001E-2</v>
      </c>
      <c r="H329" s="1125">
        <v>6.1999999999999998E-3</v>
      </c>
      <c r="I329" s="1125"/>
      <c r="J329" s="1125"/>
      <c r="K329" s="1125">
        <v>4.5424135603816605E-2</v>
      </c>
      <c r="L329" s="1125">
        <v>1.599441394500585E-2</v>
      </c>
    </row>
    <row r="330" spans="2:13" x14ac:dyDescent="0.45">
      <c r="B330" s="1124">
        <v>2000</v>
      </c>
      <c r="C330" s="1125">
        <v>5.1700000000000003E-2</v>
      </c>
      <c r="D330" s="1125">
        <v>0.21290000000000001</v>
      </c>
      <c r="E330" s="1125">
        <v>0.53380000000000005</v>
      </c>
      <c r="F330" s="1125">
        <v>1.6500000000000001E-2</v>
      </c>
      <c r="G330" s="1125">
        <v>1.6500000000000001E-2</v>
      </c>
      <c r="H330" s="1125">
        <v>6.1999999999999998E-3</v>
      </c>
      <c r="I330" s="1125"/>
      <c r="J330" s="1125"/>
      <c r="K330" s="1125">
        <v>4.4588108568163545E-2</v>
      </c>
      <c r="L330" s="1125">
        <v>1.57000382282266E-2</v>
      </c>
    </row>
    <row r="331" spans="2:13" x14ac:dyDescent="0.45">
      <c r="B331" s="1124">
        <v>2005</v>
      </c>
      <c r="C331" s="1125">
        <v>4.36E-2</v>
      </c>
      <c r="D331" s="1125">
        <v>0.21290000000000001</v>
      </c>
      <c r="E331" s="1125">
        <v>0.47610000000000002</v>
      </c>
      <c r="F331" s="1125">
        <v>1.5699999999999999E-2</v>
      </c>
      <c r="G331" s="1125">
        <v>1.5699999999999999E-2</v>
      </c>
      <c r="H331" s="1125">
        <v>6.1999999999999998E-3</v>
      </c>
      <c r="I331" s="1125"/>
      <c r="J331" s="1125"/>
      <c r="K331" s="1125">
        <v>4.4588108568163545E-2</v>
      </c>
      <c r="L331" s="1125">
        <v>1.57000382282266E-2</v>
      </c>
    </row>
    <row r="332" spans="2:13" x14ac:dyDescent="0.45">
      <c r="B332" s="1126">
        <v>2010</v>
      </c>
      <c r="C332" s="1127">
        <v>1.14E-2</v>
      </c>
      <c r="D332" s="1127">
        <v>0.44579999999999997</v>
      </c>
      <c r="E332" s="1127">
        <v>0.34520000000000001</v>
      </c>
      <c r="F332" s="1127">
        <v>3.8600000000000002E-2</v>
      </c>
      <c r="G332" s="1127">
        <v>3.8600000000000002E-2</v>
      </c>
      <c r="H332" s="1127">
        <v>1.72E-2</v>
      </c>
      <c r="I332" s="1127"/>
      <c r="J332" s="1127"/>
      <c r="K332" s="1127">
        <v>1.14E-2</v>
      </c>
      <c r="L332" s="1127">
        <v>1.1000000000000001E-3</v>
      </c>
    </row>
    <row r="333" spans="2:13" x14ac:dyDescent="0.45">
      <c r="B333" s="1124">
        <v>2015</v>
      </c>
      <c r="C333" s="1125">
        <v>1.06E-2</v>
      </c>
      <c r="D333" s="1125">
        <v>0.4143</v>
      </c>
      <c r="E333" s="1125">
        <v>0.32079999999999997</v>
      </c>
      <c r="F333" s="1125">
        <v>3.5900000000000001E-2</v>
      </c>
      <c r="G333" s="1125">
        <v>3.5900000000000001E-2</v>
      </c>
      <c r="H333" s="1125">
        <v>1.6E-2</v>
      </c>
      <c r="I333" s="1125"/>
      <c r="J333" s="1125"/>
      <c r="K333" s="1125">
        <v>1.06E-2</v>
      </c>
      <c r="L333" s="1125">
        <v>1E-3</v>
      </c>
    </row>
    <row r="334" spans="2:13" x14ac:dyDescent="0.45">
      <c r="B334" s="1128">
        <v>2020</v>
      </c>
      <c r="C334" s="1129">
        <v>0.01</v>
      </c>
      <c r="D334" s="1129">
        <v>0.39129999999999998</v>
      </c>
      <c r="E334" s="1129">
        <v>0.30299999999999999</v>
      </c>
      <c r="F334" s="1129">
        <v>3.39E-2</v>
      </c>
      <c r="G334" s="1129">
        <v>3.39E-2</v>
      </c>
      <c r="H334" s="1129">
        <v>1.5100000000000001E-2</v>
      </c>
      <c r="I334" s="1129"/>
      <c r="J334" s="1129"/>
      <c r="K334" s="1129">
        <v>0.01</v>
      </c>
      <c r="L334" s="1129">
        <v>1E-3</v>
      </c>
    </row>
    <row r="335" spans="2:13" x14ac:dyDescent="0.45">
      <c r="C335" s="1118"/>
      <c r="D335" s="1118"/>
      <c r="E335" s="1118"/>
      <c r="F335" s="1118"/>
      <c r="G335" s="1118"/>
      <c r="H335" s="1118"/>
      <c r="I335" s="1118"/>
      <c r="J335" s="1118"/>
      <c r="K335" s="1118"/>
      <c r="L335" s="1118"/>
    </row>
    <row r="336" spans="2:13" x14ac:dyDescent="0.45">
      <c r="B336" s="725" t="s">
        <v>2741</v>
      </c>
      <c r="C336" s="1118"/>
      <c r="D336" s="1118"/>
      <c r="E336" s="1118"/>
      <c r="F336" s="1118"/>
      <c r="G336" s="1118"/>
      <c r="H336" s="1118"/>
      <c r="I336" s="1118"/>
      <c r="J336" s="1118"/>
      <c r="K336" s="1118"/>
      <c r="L336" s="1118"/>
    </row>
    <row r="337" spans="2:13" x14ac:dyDescent="0.45">
      <c r="C337" s="1118">
        <v>1.82E-3</v>
      </c>
      <c r="D337" s="1118">
        <v>9.8000000000000004E-2</v>
      </c>
      <c r="E337" s="1118">
        <v>3.9899999999999996E-3</v>
      </c>
      <c r="F337" s="1118">
        <v>8.9999999999999998E-4</v>
      </c>
      <c r="G337" s="1118">
        <v>8.9999999999999998E-4</v>
      </c>
      <c r="H337" s="1118">
        <v>4.0600000000000002E-3</v>
      </c>
      <c r="I337" s="1118"/>
      <c r="J337" s="1118"/>
      <c r="K337" s="1118">
        <v>7.7000000000000002E-3</v>
      </c>
      <c r="L337" s="1118">
        <v>8.0000000000000004E-4</v>
      </c>
    </row>
    <row r="338" spans="2:13" x14ac:dyDescent="0.45">
      <c r="C338" s="1119">
        <v>1.82E-3</v>
      </c>
      <c r="D338" s="1119">
        <v>9.8000000000000004E-2</v>
      </c>
      <c r="E338" s="1119">
        <v>3.9899999999999996E-3</v>
      </c>
      <c r="F338" s="1119">
        <v>8.9999999999999998E-4</v>
      </c>
      <c r="G338" s="1120">
        <v>8.9999999999999998E-4</v>
      </c>
      <c r="H338" s="1119">
        <v>4.0600000000000002E-3</v>
      </c>
      <c r="I338" s="1118"/>
      <c r="J338" s="1118"/>
      <c r="K338" s="1120">
        <v>7.7000000000000002E-3</v>
      </c>
      <c r="L338" s="1120">
        <v>8.0000000000000004E-4</v>
      </c>
      <c r="M338" t="s">
        <v>2845</v>
      </c>
    </row>
    <row r="339" spans="2:13" x14ac:dyDescent="0.45">
      <c r="C339" s="1121">
        <v>1.6999999999999999E-3</v>
      </c>
      <c r="D339" s="1121">
        <v>9.0200000000000002E-2</v>
      </c>
      <c r="E339" s="1121">
        <v>0.1081</v>
      </c>
      <c r="F339" s="1121">
        <v>8.0000000000000004E-4</v>
      </c>
      <c r="G339" s="1121">
        <v>8.0000000000000004E-4</v>
      </c>
      <c r="H339" s="1121">
        <v>3.8E-3</v>
      </c>
      <c r="I339" s="1118"/>
      <c r="J339" s="1118"/>
      <c r="K339" s="1121">
        <v>7.1000000000000004E-3</v>
      </c>
      <c r="L339" s="1121">
        <v>6.9999999999999999E-4</v>
      </c>
      <c r="M339" t="s">
        <v>2846</v>
      </c>
    </row>
    <row r="340" spans="2:13" x14ac:dyDescent="0.45">
      <c r="C340" s="1118">
        <v>1.6999999999999999E-3</v>
      </c>
      <c r="D340" s="1118">
        <v>9.0200000000000002E-2</v>
      </c>
      <c r="E340" s="1118">
        <v>0.1081</v>
      </c>
      <c r="F340" s="1118">
        <v>8.0000000000000004E-4</v>
      </c>
      <c r="G340" s="1118">
        <v>8.0000000000000004E-4</v>
      </c>
      <c r="H340" s="1118">
        <v>3.8E-3</v>
      </c>
      <c r="I340" s="1118"/>
      <c r="J340" s="1118"/>
      <c r="K340" s="1118">
        <v>7.1000000000000004E-3</v>
      </c>
      <c r="L340" s="1118">
        <v>6.9999999999999999E-4</v>
      </c>
    </row>
    <row r="341" spans="2:13" x14ac:dyDescent="0.45">
      <c r="B341" s="1122" t="s">
        <v>2847</v>
      </c>
      <c r="C341" s="1123" t="s">
        <v>2582</v>
      </c>
      <c r="D341" s="1123" t="s">
        <v>2583</v>
      </c>
      <c r="E341" s="1123" t="s">
        <v>2584</v>
      </c>
      <c r="F341" s="1123" t="s">
        <v>2585</v>
      </c>
      <c r="G341" s="1123" t="s">
        <v>2586</v>
      </c>
      <c r="H341" s="1123" t="s">
        <v>2587</v>
      </c>
      <c r="I341" s="1123" t="s">
        <v>2588</v>
      </c>
      <c r="J341" s="1123" t="s">
        <v>2589</v>
      </c>
      <c r="K341" s="1123" t="s">
        <v>1957</v>
      </c>
      <c r="L341" s="1123" t="s">
        <v>1956</v>
      </c>
    </row>
    <row r="342" spans="2:13" x14ac:dyDescent="0.45">
      <c r="B342" s="1124">
        <v>1990</v>
      </c>
      <c r="C342" s="1125">
        <v>3.7900000000000003E-2</v>
      </c>
      <c r="D342" s="1125">
        <v>0.21290000000000001</v>
      </c>
      <c r="E342" s="1125">
        <v>0.1328</v>
      </c>
      <c r="F342" s="1125">
        <v>1.5699999999999999E-2</v>
      </c>
      <c r="G342" s="1125">
        <v>1.5699999999999999E-2</v>
      </c>
      <c r="H342" s="1125">
        <v>2E-3</v>
      </c>
      <c r="I342" s="1125"/>
      <c r="J342" s="1125"/>
      <c r="K342" s="1125">
        <v>3.2301607540491814E-2</v>
      </c>
      <c r="L342" s="1125">
        <v>1.1373805472004159E-2</v>
      </c>
    </row>
    <row r="343" spans="2:13" x14ac:dyDescent="0.45">
      <c r="B343" s="1124">
        <v>1995</v>
      </c>
      <c r="C343" s="1125">
        <v>3.7900000000000003E-2</v>
      </c>
      <c r="D343" s="1125">
        <v>0.21290000000000001</v>
      </c>
      <c r="E343" s="1125">
        <v>0.1328</v>
      </c>
      <c r="F343" s="1125">
        <v>1.5699999999999999E-2</v>
      </c>
      <c r="G343" s="1125">
        <v>1.5699999999999999E-2</v>
      </c>
      <c r="H343" s="1125">
        <v>2E-3</v>
      </c>
      <c r="I343" s="1125"/>
      <c r="J343" s="1125"/>
      <c r="K343" s="1125">
        <v>3.2301607540491814E-2</v>
      </c>
      <c r="L343" s="1125">
        <v>1.1373805472004159E-2</v>
      </c>
    </row>
    <row r="344" spans="2:13" x14ac:dyDescent="0.45">
      <c r="B344" s="1124">
        <v>2000</v>
      </c>
      <c r="C344" s="1125">
        <v>3.7900000000000003E-2</v>
      </c>
      <c r="D344" s="1125">
        <v>0.21290000000000001</v>
      </c>
      <c r="E344" s="1125">
        <v>0.1328</v>
      </c>
      <c r="F344" s="1125">
        <v>1.5699999999999999E-2</v>
      </c>
      <c r="G344" s="1125">
        <v>1.5699999999999999E-2</v>
      </c>
      <c r="H344" s="1125">
        <v>2E-3</v>
      </c>
      <c r="I344" s="1125"/>
      <c r="J344" s="1125"/>
      <c r="K344" s="1125">
        <v>3.0927071049407059E-2</v>
      </c>
      <c r="L344" s="1125">
        <v>1.0889813749791219E-2</v>
      </c>
    </row>
    <row r="345" spans="2:13" x14ac:dyDescent="0.45">
      <c r="B345" s="1124">
        <v>2005</v>
      </c>
      <c r="C345" s="1125">
        <v>3.0599999999999999E-2</v>
      </c>
      <c r="D345" s="1125">
        <v>0.21290000000000001</v>
      </c>
      <c r="E345" s="1125">
        <v>0.1134</v>
      </c>
      <c r="F345" s="1125">
        <v>1.5699999999999999E-2</v>
      </c>
      <c r="G345" s="1125">
        <v>1.5699999999999999E-2</v>
      </c>
      <c r="H345" s="1125">
        <v>2E-3</v>
      </c>
      <c r="I345" s="1125"/>
      <c r="J345" s="1125"/>
      <c r="K345" s="1125">
        <v>2.9188199584781759E-2</v>
      </c>
      <c r="L345" s="1125">
        <v>1.0277535065064E-2</v>
      </c>
    </row>
    <row r="346" spans="2:13" x14ac:dyDescent="0.45">
      <c r="B346" s="1126">
        <v>2010</v>
      </c>
      <c r="C346" s="1127">
        <v>1.8E-3</v>
      </c>
      <c r="D346" s="1127">
        <v>9.8000000000000004E-2</v>
      </c>
      <c r="E346" s="1127">
        <v>0.11749999999999999</v>
      </c>
      <c r="F346" s="1127">
        <v>8.9999999999999998E-4</v>
      </c>
      <c r="G346" s="1127">
        <v>8.9999999999999998E-4</v>
      </c>
      <c r="H346" s="1127">
        <v>4.1000000000000003E-3</v>
      </c>
      <c r="I346" s="1127"/>
      <c r="J346" s="1127"/>
      <c r="K346" s="1127">
        <v>7.7000000000000002E-3</v>
      </c>
      <c r="L346" s="1127">
        <v>8.0000000000000004E-4</v>
      </c>
    </row>
    <row r="347" spans="2:13" x14ac:dyDescent="0.45">
      <c r="B347" s="1124">
        <v>2015</v>
      </c>
      <c r="C347" s="1125">
        <v>1.6999999999999999E-3</v>
      </c>
      <c r="D347" s="1125">
        <v>9.0200000000000002E-2</v>
      </c>
      <c r="E347" s="1125">
        <v>0.1081</v>
      </c>
      <c r="F347" s="1125">
        <v>8.0000000000000004E-4</v>
      </c>
      <c r="G347" s="1125">
        <v>8.0000000000000004E-4</v>
      </c>
      <c r="H347" s="1125">
        <v>3.8E-3</v>
      </c>
      <c r="I347" s="1125"/>
      <c r="J347" s="1125"/>
      <c r="K347" s="1125">
        <v>7.1000000000000004E-3</v>
      </c>
      <c r="L347" s="1125">
        <v>6.9999999999999999E-4</v>
      </c>
    </row>
    <row r="348" spans="2:13" x14ac:dyDescent="0.45">
      <c r="B348" s="1128">
        <v>2020</v>
      </c>
      <c r="C348" s="1129">
        <v>1.5E-3</v>
      </c>
      <c r="D348" s="1129">
        <v>8.2600000000000007E-2</v>
      </c>
      <c r="E348" s="1129">
        <v>9.9099999999999994E-2</v>
      </c>
      <c r="F348" s="1129">
        <v>8.0000000000000004E-4</v>
      </c>
      <c r="G348" s="1129">
        <v>8.0000000000000004E-4</v>
      </c>
      <c r="H348" s="1129">
        <v>3.5000000000000001E-3</v>
      </c>
      <c r="I348" s="1129"/>
      <c r="J348" s="1129"/>
      <c r="K348" s="1129">
        <v>6.4999999999999997E-3</v>
      </c>
      <c r="L348" s="1129">
        <v>6.9999999999999999E-4</v>
      </c>
    </row>
    <row r="349" spans="2:13" x14ac:dyDescent="0.45">
      <c r="C349" s="1118"/>
      <c r="D349" s="1118"/>
      <c r="E349" s="1118"/>
      <c r="F349" s="1118"/>
      <c r="G349" s="1118"/>
      <c r="H349" s="1118"/>
      <c r="I349" s="1118"/>
      <c r="J349" s="1118"/>
      <c r="K349" s="1118"/>
      <c r="L349" s="1118"/>
    </row>
    <row r="350" spans="2:13" x14ac:dyDescent="0.45">
      <c r="B350" s="725" t="s">
        <v>2742</v>
      </c>
      <c r="C350" s="1118"/>
      <c r="D350" s="1118"/>
      <c r="E350" s="1118"/>
      <c r="F350" s="1118"/>
      <c r="G350" s="1118"/>
      <c r="H350" s="1118"/>
      <c r="I350" s="1118"/>
      <c r="J350" s="1118"/>
      <c r="K350" s="1118"/>
      <c r="L350" s="1118"/>
    </row>
    <row r="351" spans="2:13" x14ac:dyDescent="0.45">
      <c r="C351" s="1118">
        <v>1.1102000000000001</v>
      </c>
      <c r="D351" s="1118">
        <v>3.8187000000000002</v>
      </c>
      <c r="E351" s="1118"/>
      <c r="F351" s="1118">
        <v>0.4718</v>
      </c>
      <c r="G351" s="1118">
        <v>0.4718</v>
      </c>
      <c r="H351" s="1118"/>
      <c r="I351" s="1118"/>
      <c r="J351" s="1118"/>
      <c r="K351" s="1118">
        <v>1.0999999999999999E-2</v>
      </c>
      <c r="L351" s="1118">
        <v>1.1000000000000001E-3</v>
      </c>
    </row>
    <row r="352" spans="2:13" x14ac:dyDescent="0.45">
      <c r="C352" s="1119">
        <v>1.1102000000000001</v>
      </c>
      <c r="D352" s="1119">
        <v>3.8187000000000002</v>
      </c>
      <c r="E352" s="1118"/>
      <c r="F352" s="1119">
        <v>0.4718</v>
      </c>
      <c r="G352" s="1120">
        <v>0.4718</v>
      </c>
      <c r="H352" s="1118"/>
      <c r="I352" s="1118"/>
      <c r="J352" s="1118"/>
      <c r="K352" s="1120">
        <v>1.0999999999999999E-2</v>
      </c>
      <c r="L352" s="1120">
        <v>1.1000000000000001E-3</v>
      </c>
      <c r="M352" t="s">
        <v>2845</v>
      </c>
    </row>
    <row r="353" spans="2:13" x14ac:dyDescent="0.45">
      <c r="C353" s="1121">
        <v>1.071</v>
      </c>
      <c r="D353" s="1121">
        <v>3.6839</v>
      </c>
      <c r="E353" s="1121">
        <v>2.9741</v>
      </c>
      <c r="F353" s="1121">
        <v>0.4551</v>
      </c>
      <c r="G353" s="1121">
        <v>0.4551</v>
      </c>
      <c r="H353" s="1121">
        <v>5.8999999999999999E-3</v>
      </c>
      <c r="I353" s="1118"/>
      <c r="J353" s="1118"/>
      <c r="K353" s="1121">
        <v>1.06E-2</v>
      </c>
      <c r="L353" s="1121">
        <v>1.1000000000000001E-3</v>
      </c>
      <c r="M353" t="s">
        <v>2846</v>
      </c>
    </row>
    <row r="354" spans="2:13" x14ac:dyDescent="0.45">
      <c r="C354" s="1118">
        <v>1.071</v>
      </c>
      <c r="D354" s="1118">
        <v>3.6839</v>
      </c>
      <c r="E354" s="1118">
        <v>2.9741</v>
      </c>
      <c r="F354" s="1118">
        <v>0.4551</v>
      </c>
      <c r="G354" s="1118">
        <v>0.4551</v>
      </c>
      <c r="H354" s="1118">
        <v>5.8999999999999999E-3</v>
      </c>
      <c r="I354" s="1118"/>
      <c r="J354" s="1118"/>
      <c r="K354" s="1118">
        <v>1.06E-2</v>
      </c>
      <c r="L354" s="1118">
        <v>1.1000000000000001E-3</v>
      </c>
    </row>
    <row r="355" spans="2:13" x14ac:dyDescent="0.45">
      <c r="B355" s="1122" t="s">
        <v>2847</v>
      </c>
      <c r="C355" s="1123" t="s">
        <v>2582</v>
      </c>
      <c r="D355" s="1123" t="s">
        <v>2583</v>
      </c>
      <c r="E355" s="1123" t="s">
        <v>2584</v>
      </c>
      <c r="F355" s="1123" t="s">
        <v>2585</v>
      </c>
      <c r="G355" s="1123" t="s">
        <v>2586</v>
      </c>
      <c r="H355" s="1123" t="s">
        <v>2587</v>
      </c>
      <c r="I355" s="1123" t="s">
        <v>2588</v>
      </c>
      <c r="J355" s="1123" t="s">
        <v>2589</v>
      </c>
      <c r="K355" s="1123" t="s">
        <v>1957</v>
      </c>
      <c r="L355" s="1123" t="s">
        <v>1956</v>
      </c>
    </row>
    <row r="356" spans="2:13" x14ac:dyDescent="0.45">
      <c r="B356" s="1124">
        <v>1990</v>
      </c>
      <c r="C356" s="1125">
        <v>1.1102000000000001</v>
      </c>
      <c r="D356" s="1125">
        <v>3.8187000000000002</v>
      </c>
      <c r="E356" s="1125">
        <v>3.0829</v>
      </c>
      <c r="F356" s="1125">
        <v>0.4718</v>
      </c>
      <c r="G356" s="1125">
        <v>0.4718</v>
      </c>
      <c r="H356" s="1125">
        <v>6.1000000000000004E-3</v>
      </c>
      <c r="I356" s="1125"/>
      <c r="J356" s="1125"/>
      <c r="K356" s="1125">
        <v>1.0999999999999999E-2</v>
      </c>
      <c r="L356" s="1125">
        <v>1.1000000000000001E-3</v>
      </c>
    </row>
    <row r="357" spans="2:13" x14ac:dyDescent="0.45">
      <c r="B357" s="1124">
        <v>1995</v>
      </c>
      <c r="C357" s="1125">
        <v>1.1102000000000001</v>
      </c>
      <c r="D357" s="1125">
        <v>3.8187000000000002</v>
      </c>
      <c r="E357" s="1125">
        <v>3.0829</v>
      </c>
      <c r="F357" s="1125">
        <v>0.4718</v>
      </c>
      <c r="G357" s="1125">
        <v>0.4718</v>
      </c>
      <c r="H357" s="1125">
        <v>6.1000000000000004E-3</v>
      </c>
      <c r="I357" s="1125"/>
      <c r="J357" s="1125"/>
      <c r="K357" s="1125">
        <v>1.0999999999999999E-2</v>
      </c>
      <c r="L357" s="1125">
        <v>1.1000000000000001E-3</v>
      </c>
    </row>
    <row r="358" spans="2:13" x14ac:dyDescent="0.45">
      <c r="B358" s="1124">
        <v>2000</v>
      </c>
      <c r="C358" s="1125">
        <v>1.1102000000000001</v>
      </c>
      <c r="D358" s="1125">
        <v>3.8187000000000002</v>
      </c>
      <c r="E358" s="1125">
        <v>3.0829</v>
      </c>
      <c r="F358" s="1125">
        <v>0.4718</v>
      </c>
      <c r="G358" s="1125">
        <v>0.4718</v>
      </c>
      <c r="H358" s="1125">
        <v>6.1000000000000004E-3</v>
      </c>
      <c r="I358" s="1125"/>
      <c r="J358" s="1125"/>
      <c r="K358" s="1125">
        <v>1.0999999999999999E-2</v>
      </c>
      <c r="L358" s="1125">
        <v>1.1000000000000001E-3</v>
      </c>
    </row>
    <row r="359" spans="2:13" x14ac:dyDescent="0.45">
      <c r="B359" s="1124">
        <v>2005</v>
      </c>
      <c r="C359" s="1125">
        <v>1.1102000000000001</v>
      </c>
      <c r="D359" s="1125">
        <v>3.8187000000000002</v>
      </c>
      <c r="E359" s="1125">
        <v>3.0829</v>
      </c>
      <c r="F359" s="1125">
        <v>0.4718</v>
      </c>
      <c r="G359" s="1125">
        <v>0.4718</v>
      </c>
      <c r="H359" s="1125">
        <v>6.1000000000000004E-3</v>
      </c>
      <c r="I359" s="1125"/>
      <c r="J359" s="1125"/>
      <c r="K359" s="1125">
        <v>1.0999999999999999E-2</v>
      </c>
      <c r="L359" s="1125">
        <v>1.1000000000000001E-3</v>
      </c>
    </row>
    <row r="360" spans="2:13" x14ac:dyDescent="0.45">
      <c r="B360" s="1126">
        <v>2010</v>
      </c>
      <c r="C360" s="1127">
        <v>1.1102000000000001</v>
      </c>
      <c r="D360" s="1127">
        <v>3.8187000000000002</v>
      </c>
      <c r="E360" s="1127">
        <v>3.0829</v>
      </c>
      <c r="F360" s="1127">
        <v>0.4718</v>
      </c>
      <c r="G360" s="1127">
        <v>0.4718</v>
      </c>
      <c r="H360" s="1127">
        <v>6.1000000000000004E-3</v>
      </c>
      <c r="I360" s="1127"/>
      <c r="J360" s="1127"/>
      <c r="K360" s="1127">
        <v>1.0999999999999999E-2</v>
      </c>
      <c r="L360" s="1127">
        <v>1.1000000000000001E-3</v>
      </c>
    </row>
    <row r="361" spans="2:13" x14ac:dyDescent="0.45">
      <c r="B361" s="1124">
        <v>2015</v>
      </c>
      <c r="C361" s="1125">
        <v>1.071</v>
      </c>
      <c r="D361" s="1125">
        <v>3.6839</v>
      </c>
      <c r="E361" s="1125">
        <v>2.9741</v>
      </c>
      <c r="F361" s="1125">
        <v>0.4551</v>
      </c>
      <c r="G361" s="1125">
        <v>0.4551</v>
      </c>
      <c r="H361" s="1125">
        <v>5.8999999999999999E-3</v>
      </c>
      <c r="I361" s="1125"/>
      <c r="J361" s="1125"/>
      <c r="K361" s="1125">
        <v>1.06E-2</v>
      </c>
      <c r="L361" s="1125">
        <v>1.1000000000000001E-3</v>
      </c>
    </row>
    <row r="362" spans="2:13" x14ac:dyDescent="0.45">
      <c r="B362" s="1128">
        <v>2020</v>
      </c>
      <c r="C362" s="1129">
        <v>1.0115000000000001</v>
      </c>
      <c r="D362" s="1129">
        <v>3.4792999999999998</v>
      </c>
      <c r="E362" s="1129">
        <v>2.8089</v>
      </c>
      <c r="F362" s="1129">
        <v>0.4299</v>
      </c>
      <c r="G362" s="1129">
        <v>0.4299</v>
      </c>
      <c r="H362" s="1129">
        <v>5.5999999999999999E-3</v>
      </c>
      <c r="I362" s="1129"/>
      <c r="J362" s="1129"/>
      <c r="K362" s="1129">
        <v>0.01</v>
      </c>
      <c r="L362" s="1129">
        <v>1E-3</v>
      </c>
    </row>
    <row r="363" spans="2:13" x14ac:dyDescent="0.45">
      <c r="C363" s="1118"/>
      <c r="D363" s="1118"/>
      <c r="E363" s="1118"/>
      <c r="F363" s="1118"/>
      <c r="G363" s="1118"/>
      <c r="H363" s="1118"/>
      <c r="I363" s="1118"/>
      <c r="J363" s="1118"/>
      <c r="K363" s="1118"/>
      <c r="L363" s="1118"/>
    </row>
    <row r="364" spans="2:13" x14ac:dyDescent="0.45">
      <c r="B364" s="725" t="s">
        <v>2709</v>
      </c>
      <c r="C364" s="1118"/>
      <c r="D364" s="1118"/>
      <c r="E364" s="1118"/>
      <c r="F364" s="1118"/>
      <c r="G364" s="1118"/>
      <c r="H364" s="1118"/>
      <c r="I364" s="1118"/>
      <c r="J364" s="1118"/>
      <c r="K364" s="1118"/>
      <c r="L364" s="1118"/>
    </row>
    <row r="365" spans="2:13" x14ac:dyDescent="0.45">
      <c r="C365" s="1118">
        <v>1.47E-2</v>
      </c>
      <c r="D365" s="1118">
        <v>0.1221</v>
      </c>
      <c r="E365" s="1118">
        <v>1.1359999999999999</v>
      </c>
      <c r="F365" s="1118">
        <v>0.28799999999999998</v>
      </c>
      <c r="G365" s="1118">
        <v>0.19939999999999999</v>
      </c>
      <c r="H365" s="1118">
        <v>3.1909999999999998</v>
      </c>
      <c r="I365" s="1118"/>
      <c r="J365" s="1118"/>
      <c r="K365" s="1118">
        <v>1.03E-2</v>
      </c>
      <c r="L365" s="1118">
        <v>1.54E-2</v>
      </c>
    </row>
    <row r="366" spans="2:13" x14ac:dyDescent="0.45">
      <c r="C366" s="1119">
        <v>1.47E-2</v>
      </c>
      <c r="D366" s="1119">
        <v>0.1221</v>
      </c>
      <c r="E366" s="1119">
        <v>1.1359999999999999</v>
      </c>
      <c r="F366" s="1119">
        <v>0.28799999999999998</v>
      </c>
      <c r="G366" s="1120">
        <v>0.19939999999999999</v>
      </c>
      <c r="H366" s="1119">
        <v>3.1909999999999998</v>
      </c>
      <c r="I366" s="1118"/>
      <c r="J366" s="1118"/>
      <c r="K366" s="1120">
        <v>1.03E-2</v>
      </c>
      <c r="L366" s="1120">
        <v>1.54E-2</v>
      </c>
      <c r="M366" t="s">
        <v>2845</v>
      </c>
    </row>
    <row r="367" spans="2:13" x14ac:dyDescent="0.45">
      <c r="C367" s="1121">
        <v>8.6E-3</v>
      </c>
      <c r="D367" s="1121">
        <v>5.6000000000000001E-2</v>
      </c>
      <c r="E367" s="1121">
        <v>0.3619</v>
      </c>
      <c r="F367" s="1121">
        <v>6.1400000000000003E-2</v>
      </c>
      <c r="G367" s="1121">
        <v>4.3200000000000002E-2</v>
      </c>
      <c r="H367" s="1121">
        <v>2.3641000000000001</v>
      </c>
      <c r="I367" s="1118"/>
      <c r="J367" s="1118"/>
      <c r="K367" s="1121">
        <v>0.01</v>
      </c>
      <c r="L367" s="1121">
        <v>1.4999999999999999E-2</v>
      </c>
      <c r="M367" t="s">
        <v>2846</v>
      </c>
    </row>
    <row r="368" spans="2:13" x14ac:dyDescent="0.45">
      <c r="C368" s="1118">
        <v>8.6E-3</v>
      </c>
      <c r="D368" s="1118">
        <v>5.6000000000000001E-2</v>
      </c>
      <c r="E368" s="1118">
        <v>0.3619</v>
      </c>
      <c r="F368" s="1118">
        <v>6.1400000000000003E-2</v>
      </c>
      <c r="G368" s="1118">
        <v>4.3200000000000002E-2</v>
      </c>
      <c r="H368" s="1118">
        <v>2.3641000000000001</v>
      </c>
      <c r="I368" s="1118"/>
      <c r="J368" s="1118"/>
      <c r="K368" s="1118">
        <v>0.01</v>
      </c>
      <c r="L368" s="1118">
        <v>1.4999999999999999E-2</v>
      </c>
    </row>
    <row r="369" spans="2:13" x14ac:dyDescent="0.45">
      <c r="B369" s="1122" t="s">
        <v>2847</v>
      </c>
      <c r="C369" s="1123" t="s">
        <v>2582</v>
      </c>
      <c r="D369" s="1123" t="s">
        <v>2583</v>
      </c>
      <c r="E369" s="1123" t="s">
        <v>2584</v>
      </c>
      <c r="F369" s="1123" t="s">
        <v>2585</v>
      </c>
      <c r="G369" s="1123" t="s">
        <v>2586</v>
      </c>
      <c r="H369" s="1123" t="s">
        <v>2587</v>
      </c>
      <c r="I369" s="1123" t="s">
        <v>2588</v>
      </c>
      <c r="J369" s="1123" t="s">
        <v>2589</v>
      </c>
      <c r="K369" s="1123" t="s">
        <v>1957</v>
      </c>
      <c r="L369" s="1123" t="s">
        <v>1956</v>
      </c>
    </row>
    <row r="370" spans="2:13" x14ac:dyDescent="0.45">
      <c r="B370" s="1124">
        <v>1990</v>
      </c>
      <c r="C370" s="1125">
        <v>1.2200000000000001E-2</v>
      </c>
      <c r="D370" s="1125">
        <v>0.15</v>
      </c>
      <c r="E370" s="1125">
        <v>2.2541000000000002</v>
      </c>
      <c r="F370" s="1125">
        <v>9.5200000000000007E-2</v>
      </c>
      <c r="G370" s="1125">
        <v>4.7600000000000003E-2</v>
      </c>
      <c r="H370" s="1125">
        <v>6.4</v>
      </c>
      <c r="I370" s="1125"/>
      <c r="J370" s="1125"/>
      <c r="K370" s="1125">
        <v>1.279553115600468E-2</v>
      </c>
      <c r="L370" s="1125">
        <v>1.1302719187804134E-2</v>
      </c>
    </row>
    <row r="371" spans="2:13" x14ac:dyDescent="0.45">
      <c r="B371" s="1124">
        <v>1995</v>
      </c>
      <c r="C371" s="1125">
        <v>1.18E-2</v>
      </c>
      <c r="D371" s="1125">
        <v>0.15</v>
      </c>
      <c r="E371" s="1125">
        <v>2.1857000000000002</v>
      </c>
      <c r="F371" s="1125">
        <v>9.5200000000000007E-2</v>
      </c>
      <c r="G371" s="1125">
        <v>4.7600000000000003E-2</v>
      </c>
      <c r="H371" s="1125">
        <v>6.2060000000000004</v>
      </c>
      <c r="I371" s="1125"/>
      <c r="J371" s="1125"/>
      <c r="K371" s="1125">
        <v>1.24077877876409E-2</v>
      </c>
      <c r="L371" s="1125">
        <v>1.0960212545749463E-2</v>
      </c>
    </row>
    <row r="372" spans="2:13" x14ac:dyDescent="0.45">
      <c r="B372" s="1124">
        <v>2000</v>
      </c>
      <c r="C372" s="1125">
        <v>1.1599999999999999E-2</v>
      </c>
      <c r="D372" s="1125">
        <v>0.15</v>
      </c>
      <c r="E372" s="1125">
        <v>2.1530999999999998</v>
      </c>
      <c r="F372" s="1125">
        <v>9.5200000000000007E-2</v>
      </c>
      <c r="G372" s="1125">
        <v>4.7600000000000003E-2</v>
      </c>
      <c r="H372" s="1125">
        <v>6.1134000000000004</v>
      </c>
      <c r="I372" s="1125"/>
      <c r="J372" s="1125"/>
      <c r="K372" s="1125">
        <v>1.2222596925138798E-2</v>
      </c>
      <c r="L372" s="1125">
        <v>1.0796627283872606E-2</v>
      </c>
    </row>
    <row r="373" spans="2:13" x14ac:dyDescent="0.45">
      <c r="B373" s="1124">
        <v>2005</v>
      </c>
      <c r="C373" s="1125">
        <v>1.14E-2</v>
      </c>
      <c r="D373" s="1125">
        <v>0.15</v>
      </c>
      <c r="E373" s="1125">
        <v>1.5826</v>
      </c>
      <c r="F373" s="1125">
        <v>9.5200000000000007E-2</v>
      </c>
      <c r="G373" s="1125">
        <v>4.7600000000000003E-2</v>
      </c>
      <c r="H373" s="1125">
        <v>4.1589999999999998</v>
      </c>
      <c r="I373" s="1125"/>
      <c r="J373" s="1125"/>
      <c r="K373" s="1125">
        <v>1.2042852852710284E-2</v>
      </c>
      <c r="L373" s="1125">
        <v>1.063785335322742E-2</v>
      </c>
    </row>
    <row r="374" spans="2:13" x14ac:dyDescent="0.45">
      <c r="B374" s="1126">
        <v>2010</v>
      </c>
      <c r="C374" s="1127">
        <v>1.47E-2</v>
      </c>
      <c r="D374" s="1127">
        <v>0.1221</v>
      </c>
      <c r="E374" s="1127">
        <v>1.141</v>
      </c>
      <c r="F374" s="1127">
        <v>0.28360000000000002</v>
      </c>
      <c r="G374" s="1127">
        <v>0.19939999999999999</v>
      </c>
      <c r="H374" s="1127">
        <v>3.1998000000000002</v>
      </c>
      <c r="I374" s="1127"/>
      <c r="J374" s="1127"/>
      <c r="K374" s="1127">
        <v>1.04E-2</v>
      </c>
      <c r="L374" s="1127">
        <v>1.5599999999999999E-2</v>
      </c>
    </row>
    <row r="375" spans="2:13" x14ac:dyDescent="0.45">
      <c r="B375" s="1124">
        <v>2015</v>
      </c>
      <c r="C375" s="1125">
        <v>8.6E-3</v>
      </c>
      <c r="D375" s="1125">
        <v>5.6000000000000001E-2</v>
      </c>
      <c r="E375" s="1125">
        <v>0.3619</v>
      </c>
      <c r="F375" s="1125">
        <v>6.1400000000000003E-2</v>
      </c>
      <c r="G375" s="1125">
        <v>4.3200000000000002E-2</v>
      </c>
      <c r="H375" s="1125">
        <v>2.3641000000000001</v>
      </c>
      <c r="I375" s="1125"/>
      <c r="J375" s="1125"/>
      <c r="K375" s="1125">
        <v>0.01</v>
      </c>
      <c r="L375" s="1125">
        <v>1.4999999999999999E-2</v>
      </c>
    </row>
    <row r="376" spans="2:13" x14ac:dyDescent="0.45">
      <c r="B376" s="1128">
        <v>2020</v>
      </c>
      <c r="C376" s="1129">
        <v>2.9999999999999997E-4</v>
      </c>
      <c r="D376" s="1129">
        <v>2.53E-2</v>
      </c>
      <c r="E376" s="1129">
        <v>0.12839999999999999</v>
      </c>
      <c r="F376" s="1129">
        <v>1.3100000000000001E-2</v>
      </c>
      <c r="G376" s="1129">
        <v>9.1999999999999998E-3</v>
      </c>
      <c r="H376" s="1129">
        <v>1.5572999999999999</v>
      </c>
      <c r="I376" s="1129"/>
      <c r="J376" s="1129"/>
      <c r="K376" s="1129">
        <v>9.4999999999999998E-3</v>
      </c>
      <c r="L376" s="1129">
        <v>1.4200000000000001E-2</v>
      </c>
    </row>
    <row r="377" spans="2:13" x14ac:dyDescent="0.45">
      <c r="C377" s="1118"/>
      <c r="D377" s="1118"/>
      <c r="E377" s="1118"/>
      <c r="F377" s="1118"/>
      <c r="G377" s="1118"/>
      <c r="H377" s="1118"/>
      <c r="I377" s="1118"/>
      <c r="J377" s="1118"/>
      <c r="K377" s="1118"/>
      <c r="L377" s="1118"/>
    </row>
    <row r="378" spans="2:13" x14ac:dyDescent="0.45">
      <c r="B378" s="725" t="s">
        <v>2743</v>
      </c>
      <c r="C378" s="1118"/>
      <c r="D378" s="1118"/>
      <c r="E378" s="1118"/>
      <c r="F378" s="1118"/>
      <c r="G378" s="1118"/>
      <c r="H378" s="1118"/>
      <c r="I378" s="1118"/>
      <c r="J378" s="1118"/>
      <c r="K378" s="1118"/>
      <c r="L378" s="1118"/>
    </row>
    <row r="379" spans="2:13" x14ac:dyDescent="0.45">
      <c r="C379" s="1118"/>
      <c r="D379" s="1118"/>
      <c r="E379" s="1118"/>
      <c r="F379" s="1118"/>
      <c r="G379" s="1118"/>
      <c r="H379" s="1118"/>
      <c r="I379" s="1118"/>
      <c r="J379" s="1118"/>
      <c r="K379" s="1118"/>
      <c r="L379" s="1118"/>
    </row>
    <row r="380" spans="2:13" x14ac:dyDescent="0.45">
      <c r="C380" s="1118"/>
      <c r="D380" s="1118"/>
      <c r="E380" s="1118"/>
      <c r="F380" s="1118"/>
      <c r="G380" s="1118"/>
      <c r="H380" s="1118"/>
      <c r="I380" s="1118"/>
      <c r="J380" s="1118"/>
      <c r="K380" s="1118"/>
      <c r="L380" s="1118"/>
      <c r="M380" t="s">
        <v>2845</v>
      </c>
    </row>
    <row r="381" spans="2:13" x14ac:dyDescent="0.45">
      <c r="C381" s="1121">
        <v>8.9999999999999998E-4</v>
      </c>
      <c r="D381" s="1121">
        <v>1.5100000000000001E-2</v>
      </c>
      <c r="E381" s="1121">
        <v>0.23499999999999999</v>
      </c>
      <c r="F381" s="1121">
        <v>2.8400000000000002E-2</v>
      </c>
      <c r="G381" s="1121">
        <v>8.2699999999999996E-3</v>
      </c>
      <c r="H381" s="1121">
        <v>4.9100000000000003E-3</v>
      </c>
      <c r="I381" s="1118"/>
      <c r="J381" s="1118"/>
      <c r="K381" s="1121">
        <v>8.9999999999999993E-3</v>
      </c>
      <c r="L381" s="1121">
        <v>1.35E-2</v>
      </c>
      <c r="M381" t="s">
        <v>2846</v>
      </c>
    </row>
    <row r="382" spans="2:13" x14ac:dyDescent="0.45">
      <c r="C382" s="1118">
        <v>8.9999999999999998E-4</v>
      </c>
      <c r="D382" s="1118">
        <v>1.5100000000000001E-2</v>
      </c>
      <c r="E382" s="1118">
        <v>0.23499999999999999</v>
      </c>
      <c r="F382" s="1118">
        <v>2.8400000000000002E-2</v>
      </c>
      <c r="G382" s="1118">
        <v>8.2699999999999996E-3</v>
      </c>
      <c r="H382" s="1118">
        <v>4.9100000000000003E-3</v>
      </c>
      <c r="I382" s="1118"/>
      <c r="J382" s="1118"/>
      <c r="K382" s="1118">
        <v>8.9999999999999993E-3</v>
      </c>
      <c r="L382" s="1118">
        <v>1.35E-2</v>
      </c>
    </row>
    <row r="383" spans="2:13" x14ac:dyDescent="0.45">
      <c r="B383" s="1122" t="s">
        <v>2847</v>
      </c>
      <c r="C383" s="1123" t="s">
        <v>2582</v>
      </c>
      <c r="D383" s="1123" t="s">
        <v>2583</v>
      </c>
      <c r="E383" s="1123" t="s">
        <v>2584</v>
      </c>
      <c r="F383" s="1123" t="s">
        <v>2585</v>
      </c>
      <c r="G383" s="1123" t="s">
        <v>2586</v>
      </c>
      <c r="H383" s="1123" t="s">
        <v>2587</v>
      </c>
      <c r="I383" s="1123" t="s">
        <v>2588</v>
      </c>
      <c r="J383" s="1123" t="s">
        <v>2589</v>
      </c>
      <c r="K383" s="1123" t="s">
        <v>1957</v>
      </c>
      <c r="L383" s="1123" t="s">
        <v>1956</v>
      </c>
    </row>
    <row r="384" spans="2:13" x14ac:dyDescent="0.45">
      <c r="B384" s="1124">
        <v>1990</v>
      </c>
      <c r="C384" s="1125">
        <v>1.26E-2</v>
      </c>
      <c r="D384" s="1125">
        <v>0.105</v>
      </c>
      <c r="E384" s="1125">
        <v>0.37590000000000001</v>
      </c>
      <c r="F384" s="1125">
        <v>5.5599999999999997E-2</v>
      </c>
      <c r="G384" s="1125">
        <v>2.7799999999999998E-2</v>
      </c>
      <c r="H384" s="1125">
        <v>0.37590000000000001</v>
      </c>
      <c r="I384" s="1125"/>
      <c r="J384" s="1125"/>
      <c r="K384" s="1125">
        <v>4.9985914534755468E-2</v>
      </c>
      <c r="L384" s="1125">
        <v>4.9985914534755468E-2</v>
      </c>
    </row>
    <row r="385" spans="2:15" x14ac:dyDescent="0.45">
      <c r="B385" s="1124">
        <v>1995</v>
      </c>
      <c r="C385" s="1125">
        <v>1.26E-2</v>
      </c>
      <c r="D385" s="1125">
        <v>0.105</v>
      </c>
      <c r="E385" s="1125">
        <v>0.37590000000000001</v>
      </c>
      <c r="F385" s="1125">
        <v>5.5599999999999997E-2</v>
      </c>
      <c r="G385" s="1125">
        <v>2.7799999999999998E-2</v>
      </c>
      <c r="H385" s="1125">
        <v>0.37590000000000001</v>
      </c>
      <c r="I385" s="1125"/>
      <c r="J385" s="1125"/>
      <c r="K385" s="1125">
        <v>4.9985914534755468E-2</v>
      </c>
      <c r="L385" s="1125">
        <v>4.9985914534755468E-2</v>
      </c>
    </row>
    <row r="386" spans="2:15" x14ac:dyDescent="0.45">
      <c r="B386" s="1124">
        <v>2000</v>
      </c>
      <c r="C386" s="1125">
        <v>1.17E-2</v>
      </c>
      <c r="D386" s="1125">
        <v>9.7699999999999995E-2</v>
      </c>
      <c r="E386" s="1125">
        <v>0.34970000000000001</v>
      </c>
      <c r="F386" s="1125">
        <v>5.1799999999999999E-2</v>
      </c>
      <c r="G386" s="1125">
        <v>2.5899999999999999E-2</v>
      </c>
      <c r="H386" s="1125">
        <v>0.34970000000000001</v>
      </c>
      <c r="I386" s="1125"/>
      <c r="J386" s="1125"/>
      <c r="K386" s="1125">
        <v>4.9985914534755468E-2</v>
      </c>
      <c r="L386" s="1125">
        <v>4.9985914534755468E-2</v>
      </c>
    </row>
    <row r="387" spans="2:15" x14ac:dyDescent="0.45">
      <c r="B387" s="1124">
        <v>2005</v>
      </c>
      <c r="C387" s="1125">
        <v>1.12E-2</v>
      </c>
      <c r="D387" s="1125">
        <v>9.3299999999999994E-2</v>
      </c>
      <c r="E387" s="1125">
        <v>0.33410000000000001</v>
      </c>
      <c r="F387" s="1125">
        <v>4.9500000000000002E-2</v>
      </c>
      <c r="G387" s="1125">
        <v>2.4750000000000001E-2</v>
      </c>
      <c r="H387" s="1125">
        <v>0.33410000000000001</v>
      </c>
      <c r="I387" s="1125"/>
      <c r="J387" s="1125"/>
      <c r="K387" s="1125">
        <v>4.9985914534755468E-2</v>
      </c>
      <c r="L387" s="1125">
        <v>4.9985914534755468E-2</v>
      </c>
    </row>
    <row r="388" spans="2:15" x14ac:dyDescent="0.45">
      <c r="B388" s="1126">
        <v>2010</v>
      </c>
      <c r="C388" s="1127">
        <v>1.1999999999999999E-3</v>
      </c>
      <c r="D388" s="1127">
        <v>2.1909999999999999E-2</v>
      </c>
      <c r="E388" s="1127">
        <v>0.23499999999999999</v>
      </c>
      <c r="F388" s="1127">
        <v>2.8400000000000002E-2</v>
      </c>
      <c r="G388" s="1127">
        <v>8.2699999999999996E-3</v>
      </c>
      <c r="H388" s="1127">
        <v>4.9100000000000003E-3</v>
      </c>
      <c r="I388" s="1127"/>
      <c r="J388" s="1127"/>
      <c r="K388" s="1127">
        <v>1.03E-2</v>
      </c>
      <c r="L388" s="1127">
        <v>1.55E-2</v>
      </c>
    </row>
    <row r="389" spans="2:15" x14ac:dyDescent="0.45">
      <c r="B389" s="1124">
        <v>2015</v>
      </c>
      <c r="C389" s="1125">
        <v>8.9999999999999998E-4</v>
      </c>
      <c r="D389" s="1125">
        <v>1.5100000000000001E-2</v>
      </c>
      <c r="E389" s="1125">
        <v>0.23499999999999999</v>
      </c>
      <c r="F389" s="1125">
        <v>2.8400000000000002E-2</v>
      </c>
      <c r="G389" s="1125">
        <v>8.2699999999999996E-3</v>
      </c>
      <c r="H389" s="1125">
        <v>4.9100000000000003E-3</v>
      </c>
      <c r="I389" s="1125"/>
      <c r="J389" s="1125"/>
      <c r="K389" s="1125">
        <v>8.9999999999999993E-3</v>
      </c>
      <c r="L389" s="1125">
        <v>1.35E-2</v>
      </c>
    </row>
    <row r="390" spans="2:15" x14ac:dyDescent="0.45">
      <c r="B390" s="1128">
        <v>2020</v>
      </c>
      <c r="C390" s="1129">
        <v>8.0000000000000004E-4</v>
      </c>
      <c r="D390" s="1129">
        <v>1.34E-2</v>
      </c>
      <c r="E390" s="1129">
        <v>0.23499999999999999</v>
      </c>
      <c r="F390" s="1129">
        <v>2.8400000000000002E-2</v>
      </c>
      <c r="G390" s="1129">
        <v>8.2699999999999996E-3</v>
      </c>
      <c r="H390" s="1129">
        <v>4.9100000000000003E-3</v>
      </c>
      <c r="I390" s="1129"/>
      <c r="J390" s="1129"/>
      <c r="K390" s="1129">
        <v>8.0000000000000002E-3</v>
      </c>
      <c r="L390" s="1129">
        <v>1.2E-2</v>
      </c>
    </row>
    <row r="391" spans="2:15" x14ac:dyDescent="0.45">
      <c r="C391" s="1118"/>
      <c r="D391" s="1118"/>
      <c r="E391" s="1118"/>
      <c r="F391" s="1118"/>
      <c r="G391" s="1118"/>
      <c r="H391" s="1118"/>
      <c r="I391" s="1118"/>
      <c r="J391" s="1118"/>
      <c r="K391" s="1118"/>
      <c r="L391" s="1118"/>
    </row>
    <row r="392" spans="2:15" x14ac:dyDescent="0.45">
      <c r="B392" s="725" t="s">
        <v>2744</v>
      </c>
      <c r="C392" s="1118"/>
      <c r="D392" s="1118"/>
      <c r="E392" s="1118"/>
      <c r="F392" s="1118"/>
      <c r="G392" s="1118"/>
      <c r="H392" s="1118"/>
      <c r="I392" s="1118"/>
      <c r="J392" s="1118"/>
      <c r="K392" s="1118"/>
      <c r="L392" s="1118"/>
    </row>
    <row r="393" spans="2:15" x14ac:dyDescent="0.45">
      <c r="C393" s="1118">
        <v>0.13200000000000001</v>
      </c>
      <c r="D393" s="1118">
        <v>4.6470000000000002</v>
      </c>
      <c r="E393" s="1118">
        <v>0.20100000000000001</v>
      </c>
      <c r="F393" s="1118">
        <v>2.8140000000000001</v>
      </c>
      <c r="G393" s="1118">
        <v>1.976</v>
      </c>
      <c r="H393" s="1118"/>
      <c r="I393" s="1118"/>
      <c r="J393" s="1118"/>
      <c r="K393" s="1118">
        <v>0.48199999999999998</v>
      </c>
      <c r="L393" s="1118">
        <v>6.4299999999999996E-2</v>
      </c>
    </row>
    <row r="394" spans="2:15" x14ac:dyDescent="0.45">
      <c r="C394" s="1120">
        <v>0.13200000000000001</v>
      </c>
      <c r="D394" s="1120">
        <v>4.6470000000000002</v>
      </c>
      <c r="E394" s="1120">
        <v>0.20100000000000001</v>
      </c>
      <c r="F394" s="1120">
        <v>2.8140000000000001</v>
      </c>
      <c r="G394" s="1120">
        <v>1.976</v>
      </c>
      <c r="H394" s="1118"/>
      <c r="I394" s="1118"/>
      <c r="J394" s="1118"/>
      <c r="K394" s="1120">
        <v>0.48199999999999998</v>
      </c>
      <c r="L394" s="1120">
        <v>6.4299999999999996E-2</v>
      </c>
      <c r="M394" t="s">
        <v>2845</v>
      </c>
    </row>
    <row r="395" spans="2:15" x14ac:dyDescent="0.45">
      <c r="C395" s="1121">
        <v>0.1343</v>
      </c>
      <c r="D395" s="1121">
        <v>4.7329999999999997</v>
      </c>
      <c r="E395" s="1121">
        <v>0.92249999999999999</v>
      </c>
      <c r="F395" s="1121">
        <v>2.0937999999999999</v>
      </c>
      <c r="G395" s="1121">
        <v>0.61029999999999995</v>
      </c>
      <c r="H395" s="1118"/>
      <c r="I395" s="1118"/>
      <c r="J395" s="1118"/>
      <c r="K395" s="1121">
        <v>0.49049999999999999</v>
      </c>
      <c r="L395" s="1121">
        <v>6.54E-2</v>
      </c>
      <c r="M395" t="s">
        <v>2846</v>
      </c>
    </row>
    <row r="396" spans="2:15" x14ac:dyDescent="0.45">
      <c r="C396" s="1118">
        <v>0.1343</v>
      </c>
      <c r="D396" s="1118">
        <v>4.7329999999999997</v>
      </c>
      <c r="E396" s="1118">
        <v>0.92249999999999999</v>
      </c>
      <c r="F396" s="1118">
        <v>2.0937999999999999</v>
      </c>
      <c r="G396" s="1118">
        <v>0.61029999999999995</v>
      </c>
      <c r="H396" s="1118"/>
      <c r="I396" s="1118"/>
      <c r="J396" s="1118"/>
      <c r="K396" s="1118">
        <v>0.49049999999999999</v>
      </c>
      <c r="L396" s="1118">
        <v>6.54E-2</v>
      </c>
    </row>
    <row r="397" spans="2:15" x14ac:dyDescent="0.45">
      <c r="B397" s="1122" t="s">
        <v>2847</v>
      </c>
      <c r="C397" s="1123" t="s">
        <v>2582</v>
      </c>
      <c r="D397" s="1123" t="s">
        <v>2583</v>
      </c>
      <c r="E397" s="1123" t="s">
        <v>2584</v>
      </c>
      <c r="F397" s="1123" t="s">
        <v>2585</v>
      </c>
      <c r="G397" s="1123" t="s">
        <v>2586</v>
      </c>
      <c r="H397" s="1123" t="s">
        <v>2587</v>
      </c>
      <c r="I397" s="1123" t="s">
        <v>2588</v>
      </c>
      <c r="J397" s="1123" t="s">
        <v>2589</v>
      </c>
      <c r="K397" s="1123" t="s">
        <v>1957</v>
      </c>
      <c r="L397" s="1123" t="s">
        <v>1956</v>
      </c>
    </row>
    <row r="398" spans="2:15" x14ac:dyDescent="0.45">
      <c r="B398" s="1124">
        <v>1990</v>
      </c>
      <c r="C398" s="1125">
        <v>6.0744973333333341E-2</v>
      </c>
      <c r="D398" s="1125">
        <v>0.87347199999999992</v>
      </c>
      <c r="E398" s="1125">
        <v>1.2510666666666668</v>
      </c>
      <c r="F398" s="1125">
        <v>0.14399777333333336</v>
      </c>
      <c r="G398" s="1125">
        <v>7.1998886666666678E-2</v>
      </c>
      <c r="H398" s="1125"/>
      <c r="I398" s="1125"/>
      <c r="J398" s="1125"/>
      <c r="K398" s="1125">
        <v>6.2894956989899928E-2</v>
      </c>
      <c r="L398" s="1125">
        <v>0.18044979835391217</v>
      </c>
      <c r="O398" s="13"/>
    </row>
    <row r="399" spans="2:15" x14ac:dyDescent="0.45">
      <c r="B399" s="1124">
        <v>1995</v>
      </c>
      <c r="C399" s="1125">
        <v>5.8785458064516127E-2</v>
      </c>
      <c r="D399" s="1125">
        <v>0.84529548387096753</v>
      </c>
      <c r="E399" s="1125">
        <v>1.2107096774193546</v>
      </c>
      <c r="F399" s="1125">
        <v>0.13935268387096775</v>
      </c>
      <c r="G399" s="1125">
        <v>6.9676341935483874E-2</v>
      </c>
      <c r="H399" s="1125"/>
      <c r="I399" s="1125"/>
      <c r="J399" s="1125"/>
      <c r="K399" s="1125">
        <v>6.2894956989899928E-2</v>
      </c>
      <c r="L399" s="1125">
        <v>0.18044979835391217</v>
      </c>
      <c r="O399" s="13"/>
    </row>
    <row r="400" spans="2:15" x14ac:dyDescent="0.45">
      <c r="B400" s="1124">
        <v>2000</v>
      </c>
      <c r="C400" s="1125">
        <v>5.7852355555555554E-2</v>
      </c>
      <c r="D400" s="1125">
        <v>0.83187809523809519</v>
      </c>
      <c r="E400" s="1125">
        <v>1.1914920634920636</v>
      </c>
      <c r="F400" s="1125">
        <v>0.13714073650793648</v>
      </c>
      <c r="G400" s="1125">
        <v>6.8570368253968242E-2</v>
      </c>
      <c r="H400" s="1125"/>
      <c r="I400" s="1125"/>
      <c r="J400" s="1125"/>
      <c r="K400" s="1125">
        <v>6.2894956989899928E-2</v>
      </c>
      <c r="L400" s="1125">
        <v>0.18044979835391217</v>
      </c>
      <c r="O400" s="13"/>
    </row>
    <row r="401" spans="2:15" x14ac:dyDescent="0.45">
      <c r="B401" s="1124">
        <v>2005</v>
      </c>
      <c r="C401" s="1125">
        <v>5.6948412500000004E-2</v>
      </c>
      <c r="D401" s="1125">
        <v>0.81888000000000005</v>
      </c>
      <c r="E401" s="1125">
        <v>1.1728749999999999</v>
      </c>
      <c r="F401" s="1125">
        <v>0.13499791249999998</v>
      </c>
      <c r="G401" s="1125">
        <v>6.7498956249999992E-2</v>
      </c>
      <c r="H401" s="1125"/>
      <c r="I401" s="1125"/>
      <c r="J401" s="1125"/>
      <c r="K401" s="1125">
        <v>6.2894956989899928E-2</v>
      </c>
      <c r="L401" s="1125">
        <v>0.18044979835391217</v>
      </c>
      <c r="O401" s="13"/>
    </row>
    <row r="402" spans="2:15" x14ac:dyDescent="0.45">
      <c r="B402" s="1126">
        <v>2010</v>
      </c>
      <c r="C402" s="1127">
        <v>0.13489999999999999</v>
      </c>
      <c r="D402" s="1127">
        <v>4.7545999999999999</v>
      </c>
      <c r="E402" s="1127">
        <v>0.92669999999999997</v>
      </c>
      <c r="F402" s="1127">
        <v>2.8140000000000001</v>
      </c>
      <c r="G402" s="1127">
        <v>1.9762999999999999</v>
      </c>
      <c r="H402" s="1127"/>
      <c r="I402" s="1127"/>
      <c r="J402" s="1127"/>
      <c r="K402" s="1127">
        <v>0.49270000000000003</v>
      </c>
      <c r="L402" s="1127">
        <v>6.5699999999999995E-2</v>
      </c>
      <c r="O402" s="13"/>
    </row>
    <row r="403" spans="2:15" x14ac:dyDescent="0.45">
      <c r="B403" s="1124">
        <v>2015</v>
      </c>
      <c r="C403" s="1125">
        <v>0.1343</v>
      </c>
      <c r="D403" s="1125">
        <v>4.7329999999999997</v>
      </c>
      <c r="E403" s="1125">
        <v>0.92249999999999999</v>
      </c>
      <c r="F403" s="1125">
        <v>2.0937999999999999</v>
      </c>
      <c r="G403" s="1125">
        <v>0.61029999999999995</v>
      </c>
      <c r="H403" s="1125"/>
      <c r="I403" s="1125"/>
      <c r="J403" s="1125"/>
      <c r="K403" s="1125">
        <v>0.49049999999999999</v>
      </c>
      <c r="L403" s="1125">
        <v>6.54E-2</v>
      </c>
      <c r="O403" s="13"/>
    </row>
    <row r="404" spans="2:15" x14ac:dyDescent="0.45">
      <c r="B404" s="1128">
        <v>2020</v>
      </c>
      <c r="C404" s="1129">
        <v>0.1182</v>
      </c>
      <c r="D404" s="1129">
        <v>4.165</v>
      </c>
      <c r="E404" s="1129">
        <v>0.81179999999999997</v>
      </c>
      <c r="F404" s="1129">
        <v>1.3772</v>
      </c>
      <c r="G404" s="1129">
        <v>0.40139999999999998</v>
      </c>
      <c r="H404" s="1129"/>
      <c r="I404" s="1129"/>
      <c r="J404" s="1129"/>
      <c r="K404" s="1129">
        <v>8.9999999999999993E-3</v>
      </c>
      <c r="L404" s="1129">
        <v>1.3599999999999999E-2</v>
      </c>
      <c r="O404" s="13"/>
    </row>
    <row r="405" spans="2:15" x14ac:dyDescent="0.45">
      <c r="C405" s="1118"/>
      <c r="D405" s="1118"/>
      <c r="E405" s="1118"/>
      <c r="F405" s="1118"/>
      <c r="G405" s="1118"/>
      <c r="H405" s="1118"/>
      <c r="I405" s="1118"/>
      <c r="J405" s="1118"/>
      <c r="K405" s="1118"/>
      <c r="L405" s="1118"/>
    </row>
    <row r="406" spans="2:15" x14ac:dyDescent="0.45">
      <c r="B406" s="725" t="s">
        <v>2749</v>
      </c>
      <c r="C406" s="1118"/>
      <c r="D406" s="1118"/>
      <c r="E406" s="1118"/>
      <c r="F406" s="1118"/>
      <c r="G406" s="1118"/>
      <c r="H406" s="1118"/>
      <c r="I406" s="1118"/>
      <c r="J406" s="1118"/>
      <c r="K406" s="1118"/>
      <c r="L406" s="1118"/>
    </row>
    <row r="407" spans="2:15" x14ac:dyDescent="0.45">
      <c r="C407" s="1118"/>
      <c r="D407" s="1118"/>
      <c r="E407" s="1118">
        <v>7.8200000000000006E-2</v>
      </c>
      <c r="F407" s="1118"/>
      <c r="G407" s="1118"/>
      <c r="H407" s="1118"/>
      <c r="I407" s="1118"/>
      <c r="J407" s="1118"/>
      <c r="K407" s="1118"/>
      <c r="L407" s="1118"/>
    </row>
    <row r="408" spans="2:15" x14ac:dyDescent="0.45">
      <c r="C408" s="1118"/>
      <c r="D408" s="1118"/>
      <c r="E408" s="1119">
        <v>7.8200000000000006E-2</v>
      </c>
      <c r="F408" s="1118"/>
      <c r="G408" s="1118"/>
      <c r="H408" s="1118"/>
      <c r="I408" s="1118"/>
      <c r="J408" s="1118"/>
      <c r="K408" s="1118"/>
      <c r="L408" s="1118"/>
      <c r="M408" t="s">
        <v>2845</v>
      </c>
    </row>
    <row r="409" spans="2:15" x14ac:dyDescent="0.45">
      <c r="C409" s="1121">
        <v>7.0000000000000007E-2</v>
      </c>
      <c r="D409" s="1121">
        <v>7.0999999999999994E-2</v>
      </c>
      <c r="E409" s="1121">
        <v>7.8E-2</v>
      </c>
      <c r="F409" s="1121">
        <v>2.4E-2</v>
      </c>
      <c r="G409" s="1121">
        <v>1.2E-2</v>
      </c>
      <c r="H409" s="1118"/>
      <c r="I409" s="1118"/>
      <c r="J409" s="1118"/>
      <c r="K409" s="1121">
        <v>3.04236075265867E-2</v>
      </c>
      <c r="L409" s="1121">
        <v>8.7287343019349206E-2</v>
      </c>
      <c r="M409" t="s">
        <v>2846</v>
      </c>
    </row>
    <row r="410" spans="2:15" x14ac:dyDescent="0.45">
      <c r="C410" s="1118">
        <v>7.0000000000000007E-2</v>
      </c>
      <c r="D410" s="1118">
        <v>7.0999999999999994E-2</v>
      </c>
      <c r="E410" s="1118">
        <v>7.8E-2</v>
      </c>
      <c r="F410" s="1118">
        <v>2.4E-2</v>
      </c>
      <c r="G410" s="1118">
        <v>1.2E-2</v>
      </c>
      <c r="H410" s="1118"/>
      <c r="I410" s="1118"/>
      <c r="J410" s="1118"/>
      <c r="K410" s="1118">
        <v>3.04236075265867E-2</v>
      </c>
      <c r="L410" s="1118">
        <v>8.7287343019349206E-2</v>
      </c>
    </row>
    <row r="411" spans="2:15" x14ac:dyDescent="0.45">
      <c r="B411" s="1122" t="s">
        <v>2847</v>
      </c>
      <c r="C411" s="1123" t="s">
        <v>2582</v>
      </c>
      <c r="D411" s="1123" t="s">
        <v>2583</v>
      </c>
      <c r="E411" s="1123" t="s">
        <v>2584</v>
      </c>
      <c r="F411" s="1123" t="s">
        <v>2585</v>
      </c>
      <c r="G411" s="1123" t="s">
        <v>2586</v>
      </c>
      <c r="H411" s="1123" t="s">
        <v>2587</v>
      </c>
      <c r="I411" s="1123" t="s">
        <v>2588</v>
      </c>
      <c r="J411" s="1123" t="s">
        <v>2589</v>
      </c>
      <c r="K411" s="1123" t="s">
        <v>1957</v>
      </c>
      <c r="L411" s="1123" t="s">
        <v>1956</v>
      </c>
    </row>
    <row r="412" spans="2:15" x14ac:dyDescent="0.45">
      <c r="B412" s="1124">
        <v>1990</v>
      </c>
      <c r="C412" s="1125">
        <v>1.26E-2</v>
      </c>
      <c r="D412" s="1125">
        <v>0.105</v>
      </c>
      <c r="E412" s="1125">
        <v>7.8200000000000006E-2</v>
      </c>
      <c r="F412" s="1125">
        <v>5.5599999999999997E-2</v>
      </c>
      <c r="G412" s="1125">
        <v>2.7799999999999998E-2</v>
      </c>
      <c r="H412" s="1125"/>
      <c r="I412" s="1125"/>
      <c r="J412" s="1125"/>
      <c r="K412" s="1125">
        <v>3.7592389170607823E-2</v>
      </c>
      <c r="L412" s="1125">
        <v>0.10785505188969462</v>
      </c>
    </row>
    <row r="413" spans="2:15" x14ac:dyDescent="0.45">
      <c r="B413" s="1124">
        <v>1995</v>
      </c>
      <c r="C413" s="1125">
        <v>1.26E-2</v>
      </c>
      <c r="D413" s="1125">
        <v>0.105</v>
      </c>
      <c r="E413" s="1125">
        <v>7.8200000000000006E-2</v>
      </c>
      <c r="F413" s="1125">
        <v>5.5599999999999997E-2</v>
      </c>
      <c r="G413" s="1125">
        <v>2.7799999999999998E-2</v>
      </c>
      <c r="H413" s="1125"/>
      <c r="I413" s="1125"/>
      <c r="J413" s="1125"/>
      <c r="K413" s="1125">
        <v>3.7592389170607823E-2</v>
      </c>
      <c r="L413" s="1125">
        <v>0.10785505188969462</v>
      </c>
    </row>
    <row r="414" spans="2:15" x14ac:dyDescent="0.45">
      <c r="B414" s="1124">
        <v>2000</v>
      </c>
      <c r="C414" s="1125">
        <v>1.17E-2</v>
      </c>
      <c r="D414" s="1125">
        <v>9.7699999999999995E-2</v>
      </c>
      <c r="E414" s="1125">
        <v>7.8200000000000006E-2</v>
      </c>
      <c r="F414" s="1125">
        <v>5.1799999999999999E-2</v>
      </c>
      <c r="G414" s="1125">
        <v>2.5899999999999999E-2</v>
      </c>
      <c r="H414" s="1125"/>
      <c r="I414" s="1125"/>
      <c r="J414" s="1125"/>
      <c r="K414" s="1125">
        <v>3.7592389170607823E-2</v>
      </c>
      <c r="L414" s="1125">
        <v>0.10785505188969462</v>
      </c>
    </row>
    <row r="415" spans="2:15" x14ac:dyDescent="0.45">
      <c r="B415" s="1124">
        <v>2005</v>
      </c>
      <c r="C415" s="1125">
        <v>1.12E-2</v>
      </c>
      <c r="D415" s="1125">
        <v>9.3299999999999994E-2</v>
      </c>
      <c r="E415" s="1125">
        <v>7.8200000000000006E-2</v>
      </c>
      <c r="F415" s="1125">
        <v>4.9500000000000002E-2</v>
      </c>
      <c r="G415" s="1125">
        <v>2.4750000000000001E-2</v>
      </c>
      <c r="H415" s="1125"/>
      <c r="I415" s="1125"/>
      <c r="J415" s="1125"/>
      <c r="K415" s="1125">
        <v>3.7592389170607823E-2</v>
      </c>
      <c r="L415" s="1125">
        <v>0.10785505188969462</v>
      </c>
    </row>
    <row r="416" spans="2:15" x14ac:dyDescent="0.45">
      <c r="B416" s="1126">
        <v>2010</v>
      </c>
      <c r="C416" s="1127">
        <v>7.0000000000000007E-2</v>
      </c>
      <c r="D416" s="1127">
        <v>7.0999999999999994E-2</v>
      </c>
      <c r="E416" s="1127">
        <v>7.8E-2</v>
      </c>
      <c r="F416" s="1127">
        <v>2.4E-2</v>
      </c>
      <c r="G416" s="1127">
        <v>1.2E-2</v>
      </c>
      <c r="H416" s="1127"/>
      <c r="I416" s="1127"/>
      <c r="J416" s="1127"/>
      <c r="K416" s="1127">
        <v>3.2705378091080699E-2</v>
      </c>
      <c r="L416" s="1127">
        <v>9.3833893745800395E-2</v>
      </c>
    </row>
    <row r="417" spans="2:12" x14ac:dyDescent="0.45">
      <c r="B417" s="1124">
        <v>2015</v>
      </c>
      <c r="C417" s="1125">
        <v>7.0000000000000007E-2</v>
      </c>
      <c r="D417" s="1125">
        <v>7.0999999999999994E-2</v>
      </c>
      <c r="E417" s="1125">
        <v>7.8E-2</v>
      </c>
      <c r="F417" s="1125">
        <v>2.4E-2</v>
      </c>
      <c r="G417" s="1125">
        <v>1.2E-2</v>
      </c>
      <c r="H417" s="1125"/>
      <c r="I417" s="1125"/>
      <c r="J417" s="1125"/>
      <c r="K417" s="1125">
        <v>3.04236075265867E-2</v>
      </c>
      <c r="L417" s="1125">
        <v>8.7287343019349206E-2</v>
      </c>
    </row>
    <row r="418" spans="2:12" x14ac:dyDescent="0.45">
      <c r="B418" s="1128">
        <v>2020</v>
      </c>
      <c r="C418" s="1129">
        <v>6.6074766355140202E-2</v>
      </c>
      <c r="D418" s="1129">
        <v>6.6711409395973156E-2</v>
      </c>
      <c r="E418" s="1129">
        <v>7.8E-2</v>
      </c>
      <c r="F418" s="1129">
        <v>2.2531645569620253E-2</v>
      </c>
      <c r="G418" s="1129">
        <v>1.1265822784810127E-2</v>
      </c>
      <c r="H418" s="1129"/>
      <c r="I418" s="1129"/>
      <c r="J418" s="1129"/>
      <c r="K418" s="1129">
        <v>2.9071447192071734E-2</v>
      </c>
      <c r="L418" s="1129">
        <v>8.3407905551822578E-2</v>
      </c>
    </row>
    <row r="420" spans="2:12" x14ac:dyDescent="0.45">
      <c r="K420" s="1130"/>
      <c r="L420" s="1130"/>
    </row>
    <row r="421" spans="2:12" x14ac:dyDescent="0.45">
      <c r="K421" s="1130"/>
      <c r="L421" s="1130"/>
    </row>
    <row r="422" spans="2:12" x14ac:dyDescent="0.45">
      <c r="K422" s="1130"/>
      <c r="L422" s="1130"/>
    </row>
    <row r="429" spans="2:12" x14ac:dyDescent="0.45">
      <c r="B429" s="19"/>
    </row>
  </sheetData>
  <mergeCells count="305">
    <mergeCell ref="FZ202:GS202"/>
    <mergeCell ref="B225:E225"/>
    <mergeCell ref="D227:E227"/>
    <mergeCell ref="FN202:FO202"/>
    <mergeCell ref="FP202:FQ202"/>
    <mergeCell ref="FR202:FS202"/>
    <mergeCell ref="FT202:FU202"/>
    <mergeCell ref="FV202:FW202"/>
    <mergeCell ref="FX202:FY202"/>
    <mergeCell ref="FB202:FC202"/>
    <mergeCell ref="FD202:FE202"/>
    <mergeCell ref="FF202:FG202"/>
    <mergeCell ref="FH202:FI202"/>
    <mergeCell ref="FJ202:FK202"/>
    <mergeCell ref="FL202:FM202"/>
    <mergeCell ref="EP202:EQ202"/>
    <mergeCell ref="ER202:ES202"/>
    <mergeCell ref="ET202:EU202"/>
    <mergeCell ref="EV202:EW202"/>
    <mergeCell ref="EX202:EY202"/>
    <mergeCell ref="EZ202:FA202"/>
    <mergeCell ref="ED202:EE202"/>
    <mergeCell ref="EF202:EG202"/>
    <mergeCell ref="EH202:EI202"/>
    <mergeCell ref="EJ202:EK202"/>
    <mergeCell ref="EL202:EM202"/>
    <mergeCell ref="EN202:EO202"/>
    <mergeCell ref="DR202:DS202"/>
    <mergeCell ref="DT202:DU202"/>
    <mergeCell ref="DV202:DW202"/>
    <mergeCell ref="DX202:DY202"/>
    <mergeCell ref="DZ202:EA202"/>
    <mergeCell ref="EB202:EC202"/>
    <mergeCell ref="DF202:DG202"/>
    <mergeCell ref="DH202:DI202"/>
    <mergeCell ref="DJ202:DK202"/>
    <mergeCell ref="DL202:DM202"/>
    <mergeCell ref="DN202:DO202"/>
    <mergeCell ref="DP202:DQ202"/>
    <mergeCell ref="CT202:CU202"/>
    <mergeCell ref="CV202:CW202"/>
    <mergeCell ref="CX202:CY202"/>
    <mergeCell ref="CZ202:DA202"/>
    <mergeCell ref="DB202:DC202"/>
    <mergeCell ref="DD202:DE202"/>
    <mergeCell ref="CH202:CI202"/>
    <mergeCell ref="CJ202:CK202"/>
    <mergeCell ref="CL202:CM202"/>
    <mergeCell ref="CN202:CO202"/>
    <mergeCell ref="CP202:CQ202"/>
    <mergeCell ref="CR202:CS202"/>
    <mergeCell ref="BV202:BW202"/>
    <mergeCell ref="BX202:BY202"/>
    <mergeCell ref="BZ202:CA202"/>
    <mergeCell ref="CB202:CC202"/>
    <mergeCell ref="CD202:CE202"/>
    <mergeCell ref="CF202:CG202"/>
    <mergeCell ref="BJ202:BK202"/>
    <mergeCell ref="BL202:BM202"/>
    <mergeCell ref="BN202:BO202"/>
    <mergeCell ref="BP202:BQ202"/>
    <mergeCell ref="BR202:BS202"/>
    <mergeCell ref="BT202:BU202"/>
    <mergeCell ref="AX202:AY202"/>
    <mergeCell ref="AZ202:BA202"/>
    <mergeCell ref="BB202:BC202"/>
    <mergeCell ref="BD202:BE202"/>
    <mergeCell ref="BF202:BG202"/>
    <mergeCell ref="BH202:BI202"/>
    <mergeCell ref="AL202:AM202"/>
    <mergeCell ref="AN202:AO202"/>
    <mergeCell ref="AP202:AQ202"/>
    <mergeCell ref="AR202:AS202"/>
    <mergeCell ref="AT202:AU202"/>
    <mergeCell ref="AV202:AW202"/>
    <mergeCell ref="Z202:AA202"/>
    <mergeCell ref="AB202:AC202"/>
    <mergeCell ref="AD202:AE202"/>
    <mergeCell ref="AF202:AG202"/>
    <mergeCell ref="AH202:AI202"/>
    <mergeCell ref="AJ202:AK202"/>
    <mergeCell ref="N202:O202"/>
    <mergeCell ref="P202:Q202"/>
    <mergeCell ref="R202:S202"/>
    <mergeCell ref="T202:U202"/>
    <mergeCell ref="V202:W202"/>
    <mergeCell ref="X202:Y202"/>
    <mergeCell ref="B202:C202"/>
    <mergeCell ref="D202:E202"/>
    <mergeCell ref="F202:G202"/>
    <mergeCell ref="H202:I202"/>
    <mergeCell ref="J202:K202"/>
    <mergeCell ref="L202:M202"/>
    <mergeCell ref="GH201:GI201"/>
    <mergeCell ref="GJ201:GK201"/>
    <mergeCell ref="GL201:GM201"/>
    <mergeCell ref="GN201:GO201"/>
    <mergeCell ref="GP201:GQ201"/>
    <mergeCell ref="GR201:GS201"/>
    <mergeCell ref="FR201:FU201"/>
    <mergeCell ref="FV201:FY201"/>
    <mergeCell ref="FZ201:GA201"/>
    <mergeCell ref="GB201:GC201"/>
    <mergeCell ref="GD201:GE201"/>
    <mergeCell ref="GF201:GG201"/>
    <mergeCell ref="ET201:EW201"/>
    <mergeCell ref="EX201:FA201"/>
    <mergeCell ref="FB201:FE201"/>
    <mergeCell ref="FF201:FI201"/>
    <mergeCell ref="FJ201:FM201"/>
    <mergeCell ref="FN201:FQ201"/>
    <mergeCell ref="DV201:DY201"/>
    <mergeCell ref="DZ201:EC201"/>
    <mergeCell ref="ED201:EG201"/>
    <mergeCell ref="EH201:EK201"/>
    <mergeCell ref="EL201:EO201"/>
    <mergeCell ref="EP201:ES201"/>
    <mergeCell ref="CX201:DA201"/>
    <mergeCell ref="DB201:DE201"/>
    <mergeCell ref="DF201:DI201"/>
    <mergeCell ref="DJ201:DM201"/>
    <mergeCell ref="DN201:DQ201"/>
    <mergeCell ref="DR201:DU201"/>
    <mergeCell ref="BZ201:CC201"/>
    <mergeCell ref="CD201:CG201"/>
    <mergeCell ref="CH201:CK201"/>
    <mergeCell ref="CL201:CO201"/>
    <mergeCell ref="CP201:CS201"/>
    <mergeCell ref="CT201:CW201"/>
    <mergeCell ref="BF201:BI201"/>
    <mergeCell ref="BJ201:BM201"/>
    <mergeCell ref="BN201:BQ201"/>
    <mergeCell ref="BR201:BU201"/>
    <mergeCell ref="BV201:BY201"/>
    <mergeCell ref="AD201:AG201"/>
    <mergeCell ref="AH201:AK201"/>
    <mergeCell ref="AL201:AO201"/>
    <mergeCell ref="AP201:AS201"/>
    <mergeCell ref="AT201:AW201"/>
    <mergeCell ref="AX201:BA201"/>
    <mergeCell ref="BP179:BQ179"/>
    <mergeCell ref="BR179:BS179"/>
    <mergeCell ref="B201:E201"/>
    <mergeCell ref="F201:I201"/>
    <mergeCell ref="J201:M201"/>
    <mergeCell ref="N201:Q201"/>
    <mergeCell ref="R201:U201"/>
    <mergeCell ref="V201:Y201"/>
    <mergeCell ref="Z201:AC201"/>
    <mergeCell ref="BB179:BC179"/>
    <mergeCell ref="BD179:BE179"/>
    <mergeCell ref="BF179:BG179"/>
    <mergeCell ref="BH179:BI179"/>
    <mergeCell ref="BJ179:BK179"/>
    <mergeCell ref="BL179:BM179"/>
    <mergeCell ref="AP179:AQ179"/>
    <mergeCell ref="AR179:AS179"/>
    <mergeCell ref="AT179:AU179"/>
    <mergeCell ref="AV179:AW179"/>
    <mergeCell ref="AX179:AY179"/>
    <mergeCell ref="AZ179:BA179"/>
    <mergeCell ref="AD179:AE179"/>
    <mergeCell ref="AF179:AG179"/>
    <mergeCell ref="BB201:BE201"/>
    <mergeCell ref="AL179:AM179"/>
    <mergeCell ref="AN179:AO179"/>
    <mergeCell ref="R179:S179"/>
    <mergeCell ref="T179:U179"/>
    <mergeCell ref="V179:W179"/>
    <mergeCell ref="X179:Y179"/>
    <mergeCell ref="Z179:AA179"/>
    <mergeCell ref="AB179:AC179"/>
    <mergeCell ref="BN179:BO179"/>
    <mergeCell ref="AJ157:AK157"/>
    <mergeCell ref="AL157:AM157"/>
    <mergeCell ref="B179:C179"/>
    <mergeCell ref="D179:E179"/>
    <mergeCell ref="F179:G179"/>
    <mergeCell ref="H179:I179"/>
    <mergeCell ref="J179:K179"/>
    <mergeCell ref="L179:M179"/>
    <mergeCell ref="N179:O179"/>
    <mergeCell ref="P179:Q179"/>
    <mergeCell ref="X157:Y157"/>
    <mergeCell ref="Z157:AA157"/>
    <mergeCell ref="AB157:AC157"/>
    <mergeCell ref="AD157:AE157"/>
    <mergeCell ref="AF157:AG157"/>
    <mergeCell ref="AH157:AI157"/>
    <mergeCell ref="L157:M157"/>
    <mergeCell ref="N157:O157"/>
    <mergeCell ref="P157:Q157"/>
    <mergeCell ref="R157:S157"/>
    <mergeCell ref="T157:U157"/>
    <mergeCell ref="V157:W157"/>
    <mergeCell ref="AH179:AI179"/>
    <mergeCell ref="AJ179:AK179"/>
    <mergeCell ref="BZ135:CA135"/>
    <mergeCell ref="CB135:CC135"/>
    <mergeCell ref="CD135:CE135"/>
    <mergeCell ref="CF135:CG135"/>
    <mergeCell ref="CH135:CI135"/>
    <mergeCell ref="B157:C157"/>
    <mergeCell ref="D157:E157"/>
    <mergeCell ref="F157:G157"/>
    <mergeCell ref="H157:I157"/>
    <mergeCell ref="J157:K157"/>
    <mergeCell ref="BN135:BO135"/>
    <mergeCell ref="BP135:BQ135"/>
    <mergeCell ref="BR135:BS135"/>
    <mergeCell ref="BT135:BU135"/>
    <mergeCell ref="BV135:BW135"/>
    <mergeCell ref="BX135:BY135"/>
    <mergeCell ref="BB135:BC135"/>
    <mergeCell ref="BD135:BE135"/>
    <mergeCell ref="BF135:BG135"/>
    <mergeCell ref="BH135:BI135"/>
    <mergeCell ref="BJ135:BK135"/>
    <mergeCell ref="BL135:BM135"/>
    <mergeCell ref="AP135:AQ135"/>
    <mergeCell ref="AR135:AS135"/>
    <mergeCell ref="AT135:AU135"/>
    <mergeCell ref="AV135:AW135"/>
    <mergeCell ref="AX135:AY135"/>
    <mergeCell ref="AZ135:BA135"/>
    <mergeCell ref="AD135:AE135"/>
    <mergeCell ref="AF135:AG135"/>
    <mergeCell ref="AH135:AI135"/>
    <mergeCell ref="AJ135:AK135"/>
    <mergeCell ref="AL135:AM135"/>
    <mergeCell ref="AN135:AO135"/>
    <mergeCell ref="R135:S135"/>
    <mergeCell ref="T135:U135"/>
    <mergeCell ref="V135:W135"/>
    <mergeCell ref="X135:Y135"/>
    <mergeCell ref="Z135:AA135"/>
    <mergeCell ref="AB135:AC135"/>
    <mergeCell ref="BB120:BC120"/>
    <mergeCell ref="BD120:BE120"/>
    <mergeCell ref="B135:C135"/>
    <mergeCell ref="D135:E135"/>
    <mergeCell ref="F135:G135"/>
    <mergeCell ref="H135:I135"/>
    <mergeCell ref="J135:K135"/>
    <mergeCell ref="L135:M135"/>
    <mergeCell ref="N135:O135"/>
    <mergeCell ref="P135:Q135"/>
    <mergeCell ref="AP120:AQ120"/>
    <mergeCell ref="AR120:AS120"/>
    <mergeCell ref="AT120:AU120"/>
    <mergeCell ref="AV120:AW120"/>
    <mergeCell ref="AX120:AY120"/>
    <mergeCell ref="AZ120:BA120"/>
    <mergeCell ref="AD120:AE120"/>
    <mergeCell ref="AF120:AG120"/>
    <mergeCell ref="AJ120:AK120"/>
    <mergeCell ref="AL120:AM120"/>
    <mergeCell ref="AN120:AO120"/>
    <mergeCell ref="R120:S120"/>
    <mergeCell ref="T120:U120"/>
    <mergeCell ref="V120:W120"/>
    <mergeCell ref="X120:Y120"/>
    <mergeCell ref="Z120:AA120"/>
    <mergeCell ref="AB120:AC120"/>
    <mergeCell ref="B120:C120"/>
    <mergeCell ref="D120:E120"/>
    <mergeCell ref="F120:G120"/>
    <mergeCell ref="H120:I120"/>
    <mergeCell ref="J120:K120"/>
    <mergeCell ref="L120:M120"/>
    <mergeCell ref="N120:O120"/>
    <mergeCell ref="P120:Q120"/>
    <mergeCell ref="AH120:AI120"/>
    <mergeCell ref="BL104:BO104"/>
    <mergeCell ref="BP104:BS104"/>
    <mergeCell ref="B105:I105"/>
    <mergeCell ref="J105:Q105"/>
    <mergeCell ref="R105:AJ105"/>
    <mergeCell ref="AK105:BC105"/>
    <mergeCell ref="BD105:BG105"/>
    <mergeCell ref="BH105:BK105"/>
    <mergeCell ref="BL105:BM105"/>
    <mergeCell ref="BN105:BO105"/>
    <mergeCell ref="B104:I104"/>
    <mergeCell ref="J104:Q104"/>
    <mergeCell ref="R104:AJ104"/>
    <mergeCell ref="AK104:BC104"/>
    <mergeCell ref="BD104:BG104"/>
    <mergeCell ref="BH104:BK104"/>
    <mergeCell ref="BP105:BQ105"/>
    <mergeCell ref="BR105:BS105"/>
    <mergeCell ref="B42:AS42"/>
    <mergeCell ref="AT42:BD42"/>
    <mergeCell ref="B43:L43"/>
    <mergeCell ref="M43:W43"/>
    <mergeCell ref="X43:AH43"/>
    <mergeCell ref="AI43:AS43"/>
    <mergeCell ref="AT43:BD43"/>
    <mergeCell ref="B26:W26"/>
    <mergeCell ref="X26:BD26"/>
    <mergeCell ref="B27:L27"/>
    <mergeCell ref="M27:W27"/>
    <mergeCell ref="X27:AH27"/>
    <mergeCell ref="AI27:AS27"/>
    <mergeCell ref="AT27:BD2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F113"/>
  <sheetViews>
    <sheetView workbookViewId="0">
      <selection activeCell="C4" sqref="C4:D7"/>
    </sheetView>
  </sheetViews>
  <sheetFormatPr defaultColWidth="9.1328125" defaultRowHeight="14.25" x14ac:dyDescent="0.45"/>
  <cols>
    <col min="1" max="1" width="24.86328125" customWidth="1"/>
    <col min="2" max="2" width="11.1328125" customWidth="1"/>
    <col min="3" max="3" width="13.46484375" bestFit="1" customWidth="1"/>
    <col min="4" max="4" width="13.53125" bestFit="1" customWidth="1"/>
    <col min="5" max="7" width="12.46484375" bestFit="1" customWidth="1"/>
    <col min="8" max="8" width="12" bestFit="1" customWidth="1"/>
    <col min="9" max="9" width="12.46484375" customWidth="1"/>
    <col min="10" max="11" width="11.46484375" customWidth="1"/>
    <col min="12" max="12" width="10.86328125" bestFit="1" customWidth="1"/>
    <col min="13" max="13" width="10.46484375" bestFit="1" customWidth="1"/>
    <col min="14" max="14" width="11.53125" customWidth="1"/>
    <col min="15" max="15" width="11.796875" customWidth="1"/>
    <col min="16" max="16" width="10.86328125" bestFit="1" customWidth="1"/>
    <col min="17" max="17" width="9.86328125" bestFit="1" customWidth="1"/>
    <col min="18" max="18" width="10.86328125" bestFit="1" customWidth="1"/>
    <col min="19" max="19" width="8.46484375" bestFit="1" customWidth="1"/>
    <col min="20" max="20" width="10.86328125" bestFit="1" customWidth="1"/>
    <col min="21" max="21" width="9.86328125" bestFit="1" customWidth="1"/>
    <col min="22" max="22" width="10.86328125" bestFit="1" customWidth="1"/>
    <col min="23" max="23" width="8.46484375" bestFit="1" customWidth="1"/>
    <col min="24" max="24" width="10.86328125" bestFit="1" customWidth="1"/>
    <col min="25" max="25" width="12" customWidth="1"/>
    <col min="26" max="26" width="10.86328125" customWidth="1"/>
    <col min="27" max="27" width="11.53125" customWidth="1"/>
    <col min="28" max="28" width="10.86328125" customWidth="1"/>
    <col min="29" max="29" width="13.19921875" customWidth="1"/>
    <col min="30" max="30" width="13.46484375" bestFit="1" customWidth="1"/>
    <col min="31" max="31" width="13.53125" customWidth="1"/>
    <col min="32" max="32" width="10.86328125" bestFit="1" customWidth="1"/>
    <col min="33" max="33" width="11.796875" customWidth="1"/>
    <col min="34" max="34" width="10.86328125" bestFit="1" customWidth="1"/>
    <col min="35" max="35" width="11.46484375" customWidth="1"/>
    <col min="36" max="36" width="11.46484375" bestFit="1" customWidth="1"/>
    <col min="37" max="37" width="10.46484375" bestFit="1" customWidth="1"/>
    <col min="38" max="38" width="10.86328125" bestFit="1" customWidth="1"/>
    <col min="39" max="39" width="9.86328125" bestFit="1" customWidth="1"/>
    <col min="40" max="40" width="11.46484375" bestFit="1" customWidth="1"/>
    <col min="41" max="41" width="9.86328125" bestFit="1" customWidth="1"/>
    <col min="42" max="42" width="10.86328125" customWidth="1"/>
    <col min="43" max="43" width="9.86328125" bestFit="1" customWidth="1"/>
    <col min="44" max="44" width="10.86328125" bestFit="1" customWidth="1"/>
    <col min="45" max="45" width="10.53125" customWidth="1"/>
    <col min="46" max="46" width="10.86328125" bestFit="1" customWidth="1"/>
    <col min="47" max="47" width="9.19921875" bestFit="1" customWidth="1"/>
    <col min="48" max="48" width="9.86328125" customWidth="1"/>
    <col min="50" max="50" width="10.46484375" customWidth="1"/>
    <col min="52" max="52" width="10.1328125" customWidth="1"/>
    <col min="55" max="55" width="10.46484375" customWidth="1"/>
    <col min="58" max="58" width="9.86328125" bestFit="1" customWidth="1"/>
  </cols>
  <sheetData>
    <row r="1" spans="1:12" ht="15.4" x14ac:dyDescent="0.45">
      <c r="A1" s="724" t="s">
        <v>3445</v>
      </c>
      <c r="J1" s="230" t="s">
        <v>2848</v>
      </c>
    </row>
    <row r="2" spans="1:12" x14ac:dyDescent="0.45">
      <c r="A2" s="726" t="s">
        <v>3446</v>
      </c>
    </row>
    <row r="3" spans="1:12" ht="10.5" customHeight="1" x14ac:dyDescent="0.45">
      <c r="A3" s="1478"/>
      <c r="B3" s="1479" t="s">
        <v>2850</v>
      </c>
      <c r="C3" s="1480"/>
      <c r="D3" s="1480"/>
      <c r="E3" s="768"/>
      <c r="H3" s="1141"/>
    </row>
    <row r="4" spans="1:12" ht="10.5" customHeight="1" x14ac:dyDescent="0.45">
      <c r="A4" s="1481" t="s">
        <v>3447</v>
      </c>
      <c r="B4" s="1482" t="s">
        <v>3448</v>
      </c>
      <c r="C4" s="1482" t="s">
        <v>2422</v>
      </c>
      <c r="D4" s="1483" t="s">
        <v>3449</v>
      </c>
      <c r="G4" s="1138"/>
      <c r="H4" s="1138"/>
      <c r="L4" s="1141"/>
    </row>
    <row r="5" spans="1:12" ht="10.5" customHeight="1" x14ac:dyDescent="0.45">
      <c r="A5" s="737"/>
      <c r="B5" s="1023" t="e">
        <v>#NAME?</v>
      </c>
      <c r="C5" s="1023" t="e">
        <v>#NAME?</v>
      </c>
      <c r="D5" s="782" t="e">
        <v>#NAME?</v>
      </c>
      <c r="G5" s="1141"/>
      <c r="H5" s="1141"/>
      <c r="K5" s="1138"/>
      <c r="L5" s="1138"/>
    </row>
    <row r="6" spans="1:12" ht="10.5" customHeight="1" x14ac:dyDescent="0.45">
      <c r="A6" s="1481" t="s">
        <v>3450</v>
      </c>
      <c r="B6" s="1482" t="s">
        <v>3448</v>
      </c>
      <c r="C6" s="1482" t="s">
        <v>3451</v>
      </c>
      <c r="D6" s="1483" t="s">
        <v>3449</v>
      </c>
      <c r="K6" s="1141"/>
      <c r="L6" s="1141"/>
    </row>
    <row r="7" spans="1:12" ht="10.5" customHeight="1" x14ac:dyDescent="0.45">
      <c r="A7" s="737"/>
      <c r="B7" s="1023">
        <v>1</v>
      </c>
      <c r="C7" s="1023">
        <v>0</v>
      </c>
      <c r="D7" s="1024">
        <v>0</v>
      </c>
    </row>
    <row r="8" spans="1:12" ht="10.5" customHeight="1" x14ac:dyDescent="0.45"/>
    <row r="9" spans="1:12" x14ac:dyDescent="0.45">
      <c r="A9" s="726" t="s">
        <v>2393</v>
      </c>
    </row>
    <row r="10" spans="1:12" ht="72.75" customHeight="1" x14ac:dyDescent="0.45">
      <c r="A10" s="1478"/>
      <c r="B10" s="1484" t="s">
        <v>3452</v>
      </c>
      <c r="C10" s="1484" t="s">
        <v>3453</v>
      </c>
      <c r="D10" s="1484" t="s">
        <v>3454</v>
      </c>
      <c r="E10" s="1484" t="s">
        <v>3455</v>
      </c>
      <c r="F10" s="1485" t="s">
        <v>3447</v>
      </c>
      <c r="G10" s="1484" t="s">
        <v>3456</v>
      </c>
      <c r="H10" s="1486" t="s">
        <v>3457</v>
      </c>
    </row>
    <row r="11" spans="1:12" x14ac:dyDescent="0.45">
      <c r="A11" s="744" t="s">
        <v>3011</v>
      </c>
      <c r="B11" s="543">
        <v>1</v>
      </c>
      <c r="C11" s="543">
        <v>1</v>
      </c>
      <c r="D11" s="543">
        <v>1</v>
      </c>
      <c r="E11" s="543">
        <v>1</v>
      </c>
      <c r="F11" s="1040">
        <v>1</v>
      </c>
      <c r="G11" s="543">
        <v>1</v>
      </c>
      <c r="H11" s="1020">
        <v>1</v>
      </c>
    </row>
    <row r="12" spans="1:12" x14ac:dyDescent="0.45">
      <c r="A12" s="1481" t="s">
        <v>3458</v>
      </c>
      <c r="B12" s="1487">
        <v>0.25</v>
      </c>
      <c r="C12" s="1487">
        <v>0.33</v>
      </c>
      <c r="D12" s="1487"/>
      <c r="E12" s="1487">
        <v>0.33</v>
      </c>
      <c r="F12" s="1488">
        <v>0.33</v>
      </c>
      <c r="G12" s="1487">
        <v>0.25</v>
      </c>
      <c r="H12" s="1489">
        <v>0.33</v>
      </c>
    </row>
    <row r="13" spans="1:12" x14ac:dyDescent="0.45">
      <c r="A13" s="744" t="s">
        <v>2410</v>
      </c>
      <c r="B13" s="543">
        <v>0.5</v>
      </c>
      <c r="C13" s="543">
        <v>0.33</v>
      </c>
      <c r="D13" s="543">
        <v>0.5</v>
      </c>
      <c r="E13" s="543">
        <v>0.33</v>
      </c>
      <c r="F13" s="1040">
        <v>0.33</v>
      </c>
      <c r="G13" s="543">
        <v>0.5</v>
      </c>
      <c r="H13" s="1020">
        <v>0.33</v>
      </c>
    </row>
    <row r="14" spans="1:12" x14ac:dyDescent="0.45">
      <c r="A14" s="737" t="s">
        <v>2411</v>
      </c>
      <c r="B14" s="1023">
        <v>0.25</v>
      </c>
      <c r="C14" s="1023">
        <v>0.33999999999999991</v>
      </c>
      <c r="D14" s="1023">
        <v>0.5</v>
      </c>
      <c r="E14" s="1023">
        <v>0.33999999999999991</v>
      </c>
      <c r="F14" s="1043">
        <v>0.33999999999999991</v>
      </c>
      <c r="G14" s="1023">
        <v>0.25</v>
      </c>
      <c r="H14" s="1024">
        <v>0.33999999999999991</v>
      </c>
    </row>
    <row r="15" spans="1:12" x14ac:dyDescent="0.45">
      <c r="A15" s="744" t="s">
        <v>2414</v>
      </c>
      <c r="B15" s="543">
        <v>0.5</v>
      </c>
      <c r="C15" s="543">
        <v>0</v>
      </c>
      <c r="D15" s="543">
        <v>1</v>
      </c>
      <c r="E15" s="543"/>
      <c r="F15" s="1040">
        <v>0</v>
      </c>
      <c r="G15" s="543">
        <v>0.5</v>
      </c>
      <c r="H15" s="1020">
        <v>0</v>
      </c>
    </row>
    <row r="16" spans="1:12" x14ac:dyDescent="0.45">
      <c r="A16" s="744" t="s">
        <v>2415</v>
      </c>
      <c r="B16" s="543">
        <v>0</v>
      </c>
      <c r="C16" s="543">
        <v>0.5</v>
      </c>
      <c r="D16" s="543"/>
      <c r="E16" s="543">
        <v>1</v>
      </c>
      <c r="F16" s="1040">
        <v>0.5</v>
      </c>
      <c r="G16" s="543">
        <v>0</v>
      </c>
      <c r="H16" s="1020">
        <v>0.5</v>
      </c>
    </row>
    <row r="17" spans="1:58" x14ac:dyDescent="0.45">
      <c r="A17" s="744" t="s">
        <v>1909</v>
      </c>
      <c r="B17" s="543">
        <v>0</v>
      </c>
      <c r="C17" s="543">
        <v>0.5</v>
      </c>
      <c r="D17" s="543"/>
      <c r="E17" s="543"/>
      <c r="F17" s="1040">
        <v>0.5</v>
      </c>
      <c r="G17" s="543">
        <v>0</v>
      </c>
      <c r="H17" s="1020">
        <v>0.5</v>
      </c>
    </row>
    <row r="18" spans="1:58" x14ac:dyDescent="0.45">
      <c r="A18" s="737" t="s">
        <v>1709</v>
      </c>
      <c r="B18" s="1023">
        <v>0.5</v>
      </c>
      <c r="C18" s="1023">
        <v>0</v>
      </c>
      <c r="D18" s="1023"/>
      <c r="E18" s="1023"/>
      <c r="F18" s="1043">
        <v>0</v>
      </c>
      <c r="G18" s="1023">
        <v>0.5</v>
      </c>
      <c r="H18" s="1024">
        <v>0</v>
      </c>
    </row>
    <row r="20" spans="1:58" x14ac:dyDescent="0.45">
      <c r="A20" s="726" t="s">
        <v>3013</v>
      </c>
      <c r="H20" s="1490"/>
      <c r="I20" s="1490"/>
      <c r="T20" s="1490"/>
      <c r="U20" s="1490"/>
      <c r="V20" s="1490"/>
      <c r="W20" s="1490"/>
      <c r="X20" s="1490"/>
      <c r="Y20" s="1490"/>
      <c r="Z20" s="1490"/>
      <c r="AA20" s="1490"/>
      <c r="AB20" s="1490"/>
      <c r="AC20" s="1490"/>
      <c r="AD20" s="1490"/>
      <c r="AE20" s="1490"/>
      <c r="AF20" s="1490"/>
    </row>
    <row r="21" spans="1:58" ht="48.75" customHeight="1" x14ac:dyDescent="0.45">
      <c r="A21" s="1481"/>
      <c r="B21" s="2269" t="s">
        <v>3459</v>
      </c>
      <c r="C21" s="2270"/>
      <c r="D21" s="2270"/>
      <c r="E21" s="2270"/>
      <c r="F21" s="2270"/>
      <c r="G21" s="2270"/>
      <c r="H21" s="2270"/>
      <c r="I21" s="2270"/>
      <c r="J21" s="2271"/>
      <c r="K21" s="2269" t="s">
        <v>3460</v>
      </c>
      <c r="L21" s="2270"/>
      <c r="M21" s="2270"/>
      <c r="N21" s="2270"/>
      <c r="O21" s="2270"/>
      <c r="P21" s="2270"/>
      <c r="Q21" s="2270"/>
      <c r="R21" s="2270"/>
      <c r="S21" s="2270"/>
      <c r="T21" s="2270"/>
      <c r="U21" s="2270"/>
      <c r="V21" s="2270"/>
      <c r="W21" s="2270"/>
      <c r="X21" s="2270"/>
      <c r="Y21" s="2270"/>
      <c r="Z21" s="2270"/>
      <c r="AA21" s="2270"/>
      <c r="AB21" s="2270"/>
      <c r="AC21" s="2270"/>
      <c r="AD21" s="2270"/>
      <c r="AE21" s="2270"/>
      <c r="AF21" s="2270"/>
      <c r="AG21" s="2271"/>
      <c r="AH21" s="1491" t="s">
        <v>3461</v>
      </c>
      <c r="AI21" s="2269" t="s">
        <v>3462</v>
      </c>
      <c r="AJ21" s="2270"/>
      <c r="AK21" s="2270"/>
      <c r="AL21" s="2270"/>
      <c r="AM21" s="2270"/>
      <c r="AN21" s="2271"/>
      <c r="AO21" s="2269" t="s">
        <v>3463</v>
      </c>
      <c r="AP21" s="2270"/>
      <c r="AQ21" s="2270"/>
      <c r="AR21" s="2271"/>
      <c r="AS21" s="2269" t="s">
        <v>3464</v>
      </c>
      <c r="AT21" s="2270"/>
      <c r="AU21" s="2270"/>
      <c r="AV21" s="2271"/>
      <c r="AW21" s="2269" t="s">
        <v>3465</v>
      </c>
      <c r="AX21" s="2270"/>
      <c r="AY21" s="2270"/>
      <c r="AZ21" s="2271"/>
      <c r="BA21" s="2269" t="s">
        <v>3466</v>
      </c>
      <c r="BB21" s="2270"/>
      <c r="BC21" s="2270"/>
      <c r="BD21" s="2270"/>
      <c r="BE21" s="2270"/>
      <c r="BF21" s="2271"/>
    </row>
    <row r="22" spans="1:58" ht="120.75" customHeight="1" x14ac:dyDescent="0.45">
      <c r="A22" s="744"/>
      <c r="B22" s="1492" t="s">
        <v>3467</v>
      </c>
      <c r="C22" s="1493" t="s">
        <v>3468</v>
      </c>
      <c r="D22" s="1494" t="s">
        <v>3469</v>
      </c>
      <c r="E22" s="1493" t="s">
        <v>3470</v>
      </c>
      <c r="F22" s="1494" t="s">
        <v>3471</v>
      </c>
      <c r="G22" s="1494" t="s">
        <v>3472</v>
      </c>
      <c r="H22" s="1494" t="s">
        <v>3473</v>
      </c>
      <c r="I22" s="1495" t="s">
        <v>3474</v>
      </c>
      <c r="J22" s="1496" t="s">
        <v>3475</v>
      </c>
      <c r="K22" s="1494" t="s">
        <v>3476</v>
      </c>
      <c r="L22" s="1495" t="s">
        <v>3477</v>
      </c>
      <c r="M22" s="1494" t="s">
        <v>3478</v>
      </c>
      <c r="N22" s="1494" t="s">
        <v>3479</v>
      </c>
      <c r="O22" s="1494" t="s">
        <v>3480</v>
      </c>
      <c r="P22" s="1494" t="s">
        <v>3481</v>
      </c>
      <c r="Q22" s="1494" t="s">
        <v>3482</v>
      </c>
      <c r="R22" s="1494" t="s">
        <v>3483</v>
      </c>
      <c r="S22" s="1494" t="s">
        <v>3484</v>
      </c>
      <c r="T22" s="1494" t="s">
        <v>3485</v>
      </c>
      <c r="U22" s="1494" t="s">
        <v>3486</v>
      </c>
      <c r="V22" s="1494" t="s">
        <v>3487</v>
      </c>
      <c r="W22" s="1494" t="s">
        <v>3488</v>
      </c>
      <c r="X22" s="1494" t="s">
        <v>3489</v>
      </c>
      <c r="Y22" s="1494" t="s">
        <v>3490</v>
      </c>
      <c r="Z22" s="1494" t="s">
        <v>3491</v>
      </c>
      <c r="AA22" s="1494" t="s">
        <v>3492</v>
      </c>
      <c r="AB22" s="1494" t="s">
        <v>3493</v>
      </c>
      <c r="AC22" s="1494" t="s">
        <v>3494</v>
      </c>
      <c r="AD22" s="1494" t="s">
        <v>3495</v>
      </c>
      <c r="AE22" s="1494" t="s">
        <v>3496</v>
      </c>
      <c r="AF22" s="1494" t="s">
        <v>3497</v>
      </c>
      <c r="AG22" s="1494" t="s">
        <v>3498</v>
      </c>
      <c r="AH22" s="1497" t="s">
        <v>3499</v>
      </c>
      <c r="AI22" s="1494" t="s">
        <v>3500</v>
      </c>
      <c r="AJ22" s="1494" t="s">
        <v>3501</v>
      </c>
      <c r="AK22" s="1494" t="s">
        <v>3502</v>
      </c>
      <c r="AL22" s="1494" t="s">
        <v>3503</v>
      </c>
      <c r="AM22" s="1494" t="s">
        <v>3504</v>
      </c>
      <c r="AN22" s="1494" t="s">
        <v>3505</v>
      </c>
      <c r="AO22" s="1498" t="s">
        <v>3506</v>
      </c>
      <c r="AP22" s="1494" t="s">
        <v>3055</v>
      </c>
      <c r="AQ22" s="1494" t="s">
        <v>3507</v>
      </c>
      <c r="AR22" s="1499" t="s">
        <v>3508</v>
      </c>
      <c r="AS22" s="1494" t="s">
        <v>3506</v>
      </c>
      <c r="AT22" s="1494" t="s">
        <v>3055</v>
      </c>
      <c r="AU22" s="1494" t="s">
        <v>3504</v>
      </c>
      <c r="AV22" s="1494" t="s">
        <v>3505</v>
      </c>
      <c r="AW22" s="1498" t="s">
        <v>3447</v>
      </c>
      <c r="AX22" s="1494" t="s">
        <v>3509</v>
      </c>
      <c r="AY22" s="1494" t="s">
        <v>2468</v>
      </c>
      <c r="AZ22" s="1499" t="s">
        <v>2469</v>
      </c>
      <c r="BA22" s="1498" t="s">
        <v>3510</v>
      </c>
      <c r="BB22" s="1494" t="s">
        <v>3511</v>
      </c>
      <c r="BC22" s="1494" t="s">
        <v>3512</v>
      </c>
      <c r="BD22" s="1494" t="s">
        <v>3513</v>
      </c>
      <c r="BE22" s="1494" t="s">
        <v>3514</v>
      </c>
      <c r="BF22" s="1499" t="s">
        <v>3515</v>
      </c>
    </row>
    <row r="23" spans="1:58" ht="15.75" customHeight="1" x14ac:dyDescent="0.45">
      <c r="A23" s="1500" t="s">
        <v>2383</v>
      </c>
      <c r="B23" s="1501" t="e">
        <v>#NAME?</v>
      </c>
      <c r="C23" s="543" t="e">
        <v>#NAME?</v>
      </c>
      <c r="D23" s="1502"/>
      <c r="E23" s="543" t="e">
        <v>#NAME?</v>
      </c>
      <c r="F23" s="1487" t="e">
        <v>#NAME?</v>
      </c>
      <c r="G23" s="1487"/>
      <c r="H23" s="1487"/>
      <c r="I23" s="1502"/>
      <c r="J23" s="1503"/>
      <c r="K23" s="1487" t="e">
        <v>#NAME?</v>
      </c>
      <c r="L23" s="820" t="e">
        <v>#NAME?</v>
      </c>
      <c r="M23" s="1487" t="e">
        <v>#NAME?</v>
      </c>
      <c r="N23" s="1502"/>
      <c r="O23" s="1487" t="e">
        <v>#NAME?</v>
      </c>
      <c r="P23" s="1487" t="e">
        <v>#NAME?</v>
      </c>
      <c r="Q23" s="1502"/>
      <c r="R23" s="1487" t="e">
        <v>#NAME?</v>
      </c>
      <c r="S23" s="1487" t="e">
        <v>#NAME?</v>
      </c>
      <c r="T23" s="1502"/>
      <c r="U23" s="1502"/>
      <c r="V23" s="1502"/>
      <c r="W23" s="1502"/>
      <c r="X23" s="1502"/>
      <c r="Y23" s="1502"/>
      <c r="Z23" s="1502"/>
      <c r="AA23" s="1502"/>
      <c r="AB23" s="1502"/>
      <c r="AC23" s="1502"/>
      <c r="AD23" s="1502"/>
      <c r="AE23" s="1502"/>
      <c r="AF23" s="1487"/>
      <c r="AG23" s="1487"/>
      <c r="AH23" s="1488" t="e">
        <v>#NAME?</v>
      </c>
      <c r="AI23" s="1487" t="e">
        <v>#NAME?</v>
      </c>
      <c r="AJ23" s="1487" t="e">
        <v>#NAME?</v>
      </c>
      <c r="AK23" s="1487"/>
      <c r="AL23" s="1487"/>
      <c r="AM23" s="1487"/>
      <c r="AN23" s="1487"/>
      <c r="AO23" s="1501" t="e">
        <v>#NAME?</v>
      </c>
      <c r="AP23" s="1502"/>
      <c r="AQ23" s="1487"/>
      <c r="AR23" s="1489"/>
      <c r="AS23" s="1487" t="e">
        <v>#NAME?</v>
      </c>
      <c r="AT23" s="1502"/>
      <c r="AU23" s="1502"/>
      <c r="AV23" s="1502"/>
      <c r="AW23" s="1501" t="e">
        <v>#NAME?</v>
      </c>
      <c r="AX23" s="1502"/>
      <c r="AY23" s="1487"/>
      <c r="AZ23" s="1489"/>
      <c r="BA23" s="1504">
        <v>0.96399999999999997</v>
      </c>
      <c r="BB23" s="1505">
        <v>0.96599999999999997</v>
      </c>
      <c r="BC23" s="1487"/>
      <c r="BD23" s="1487"/>
      <c r="BE23" s="1487"/>
      <c r="BF23" s="1489"/>
    </row>
    <row r="24" spans="1:58" ht="14.25" customHeight="1" x14ac:dyDescent="0.45">
      <c r="A24" s="862" t="s">
        <v>1671</v>
      </c>
      <c r="B24" s="1019">
        <v>0.01</v>
      </c>
      <c r="C24" s="543">
        <v>0.01</v>
      </c>
      <c r="D24" s="4"/>
      <c r="E24" s="4">
        <v>0.01</v>
      </c>
      <c r="F24" s="543">
        <v>0.01</v>
      </c>
      <c r="G24" s="543"/>
      <c r="H24" s="543"/>
      <c r="I24" s="543"/>
      <c r="J24" s="1020"/>
      <c r="K24" s="543">
        <v>0.01</v>
      </c>
      <c r="L24" s="4">
        <v>0.01</v>
      </c>
      <c r="M24" s="543">
        <v>0.01</v>
      </c>
      <c r="N24" s="543"/>
      <c r="O24" s="543">
        <v>0</v>
      </c>
      <c r="P24" s="543">
        <v>0</v>
      </c>
      <c r="Q24" s="543"/>
      <c r="R24" s="543">
        <v>0</v>
      </c>
      <c r="S24" s="543">
        <v>0</v>
      </c>
      <c r="T24" s="4"/>
      <c r="U24" s="543">
        <v>0</v>
      </c>
      <c r="V24" s="543">
        <v>0.02</v>
      </c>
      <c r="W24" s="543">
        <v>2E-3</v>
      </c>
      <c r="X24" s="543">
        <v>0.02</v>
      </c>
      <c r="Y24" s="543">
        <v>0.02</v>
      </c>
      <c r="Z24" s="543">
        <v>0.05</v>
      </c>
      <c r="AA24" s="543">
        <v>0.02</v>
      </c>
      <c r="AB24" s="543">
        <v>0.02</v>
      </c>
      <c r="AC24" s="543">
        <v>6.2600000000000003E-2</v>
      </c>
      <c r="AD24" s="543">
        <v>0.02</v>
      </c>
      <c r="AE24" s="543">
        <v>0.13999999999999999</v>
      </c>
      <c r="AF24" s="543">
        <v>0.13999999999999999</v>
      </c>
      <c r="AG24" s="543">
        <v>0.13999999999999999</v>
      </c>
      <c r="AH24" s="1040">
        <v>0.7</v>
      </c>
      <c r="AI24" s="543">
        <v>0</v>
      </c>
      <c r="AJ24" s="543">
        <v>0.1</v>
      </c>
      <c r="AK24" s="543">
        <v>0.05</v>
      </c>
      <c r="AL24" s="543">
        <v>7.0000000000000007E-2</v>
      </c>
      <c r="AM24" s="543">
        <v>0.67</v>
      </c>
      <c r="AN24" s="543">
        <v>0.7</v>
      </c>
      <c r="AO24" s="1019">
        <v>0</v>
      </c>
      <c r="AP24" s="543">
        <v>0</v>
      </c>
      <c r="AQ24" s="543">
        <v>0.05</v>
      </c>
      <c r="AR24" s="1020">
        <v>7.0000000000000007E-2</v>
      </c>
      <c r="AS24" s="543">
        <v>0</v>
      </c>
      <c r="AT24" s="543">
        <v>0</v>
      </c>
      <c r="AU24" s="543">
        <v>0.67</v>
      </c>
      <c r="AV24" s="543">
        <v>0.7</v>
      </c>
      <c r="AW24" s="1019">
        <v>0.01</v>
      </c>
      <c r="AX24" s="4"/>
      <c r="AY24" s="543">
        <v>0.67</v>
      </c>
      <c r="AZ24" s="1020">
        <v>0.7</v>
      </c>
      <c r="BA24" s="1506">
        <v>0.01</v>
      </c>
      <c r="BB24" s="1044">
        <v>0.01</v>
      </c>
      <c r="BC24" s="543"/>
      <c r="BD24" s="543"/>
      <c r="BE24" s="543"/>
      <c r="BF24" s="1020"/>
    </row>
    <row r="25" spans="1:58" x14ac:dyDescent="0.45">
      <c r="A25" s="937" t="s">
        <v>2508</v>
      </c>
      <c r="B25" s="1009"/>
      <c r="C25" s="775" t="e">
        <v>#NAME?</v>
      </c>
      <c r="D25" s="775"/>
      <c r="E25" s="775"/>
      <c r="F25" s="775" t="e">
        <v>#NAME?</v>
      </c>
      <c r="G25" s="775"/>
      <c r="H25" s="775">
        <v>1.0021154932461778</v>
      </c>
      <c r="I25" s="775">
        <v>1</v>
      </c>
      <c r="J25" s="776">
        <v>1</v>
      </c>
      <c r="K25" s="775"/>
      <c r="L25" s="775"/>
      <c r="M25" s="775" t="e">
        <v>#NAME?</v>
      </c>
      <c r="N25" s="775"/>
      <c r="O25" s="775"/>
      <c r="P25" s="775" t="e">
        <v>#NAME?</v>
      </c>
      <c r="Q25" s="775"/>
      <c r="R25" s="775"/>
      <c r="S25" s="775" t="e">
        <v>#NAME?</v>
      </c>
      <c r="T25" s="775"/>
      <c r="U25" s="775">
        <v>1.0001555509739837</v>
      </c>
      <c r="V25" s="775">
        <v>1.0001555509739837</v>
      </c>
      <c r="W25" s="775">
        <v>1.0001555509739837</v>
      </c>
      <c r="X25" s="775">
        <v>1.0003111019479674</v>
      </c>
      <c r="Y25" s="775">
        <v>1.0003111019479674</v>
      </c>
      <c r="Z25" s="775">
        <v>1.0003111019479674</v>
      </c>
      <c r="AA25" s="775">
        <v>1.0003111019479674</v>
      </c>
      <c r="AB25" s="775">
        <v>1.0001555509739837</v>
      </c>
      <c r="AC25" s="775">
        <v>1.0011666323048776</v>
      </c>
      <c r="AD25" s="775">
        <v>1.001788836200812</v>
      </c>
      <c r="AE25" s="775">
        <v>1.0032739969904669</v>
      </c>
      <c r="AF25" s="775">
        <v>1.0032739969904669</v>
      </c>
      <c r="AG25" s="775">
        <v>1.0032739969904669</v>
      </c>
      <c r="AH25" s="1117" t="e">
        <v>#NAME?</v>
      </c>
      <c r="AI25" s="775" t="e">
        <v>#NAME?</v>
      </c>
      <c r="AJ25" s="775" t="e">
        <v>#NAME?</v>
      </c>
      <c r="AK25" s="775">
        <v>1.0105263157894737</v>
      </c>
      <c r="AL25" s="775">
        <v>1.0050251256281406</v>
      </c>
      <c r="AM25" s="775">
        <v>1.0026900342302589</v>
      </c>
      <c r="AN25" s="775">
        <v>1.010613629081994</v>
      </c>
      <c r="AO25" s="1009" t="e">
        <v>#NAME?</v>
      </c>
      <c r="AP25" s="775"/>
      <c r="AQ25" s="775">
        <v>1.0124446319341911</v>
      </c>
      <c r="AR25" s="776">
        <v>1.0050251256281406</v>
      </c>
      <c r="AS25" s="775" t="e">
        <v>#NAME?</v>
      </c>
      <c r="AT25" s="775"/>
      <c r="AU25" s="775">
        <v>1.0026900342302589</v>
      </c>
      <c r="AV25" s="775">
        <v>1.0080341527093843</v>
      </c>
      <c r="AW25" s="1009" t="e">
        <v>#NAME?</v>
      </c>
      <c r="AX25" s="775"/>
      <c r="AY25" s="1507">
        <v>1.0000577907384296</v>
      </c>
      <c r="AZ25" s="776">
        <v>1</v>
      </c>
      <c r="BA25" s="1009"/>
      <c r="BB25" s="775">
        <v>1.000028211278293</v>
      </c>
      <c r="BC25" s="775"/>
      <c r="BD25" s="775">
        <v>1.0019530884972083</v>
      </c>
      <c r="BE25" s="775">
        <v>1.0004774216326509</v>
      </c>
      <c r="BF25" s="776">
        <v>1</v>
      </c>
    </row>
    <row r="26" spans="1:58" x14ac:dyDescent="0.45">
      <c r="A26" s="862" t="s">
        <v>3082</v>
      </c>
      <c r="B26" s="866"/>
      <c r="C26" s="4"/>
      <c r="D26" s="4"/>
      <c r="F26" s="4"/>
      <c r="G26" s="4"/>
      <c r="H26" s="4"/>
      <c r="I26" s="4"/>
      <c r="J26" s="781"/>
      <c r="K26" s="4"/>
      <c r="M26" s="4"/>
      <c r="N26" s="4"/>
      <c r="O26" s="4"/>
      <c r="P26" s="4"/>
      <c r="Q26" s="4"/>
      <c r="R26" s="4"/>
      <c r="S26" s="4"/>
      <c r="T26" s="4"/>
      <c r="U26" s="4"/>
      <c r="V26" s="4"/>
      <c r="W26" s="4"/>
      <c r="X26" s="4"/>
      <c r="Y26" s="4"/>
      <c r="Z26" s="4"/>
      <c r="AA26" s="4"/>
      <c r="AB26" s="4"/>
      <c r="AC26" s="4"/>
      <c r="AD26" s="4"/>
      <c r="AE26" s="4"/>
      <c r="AF26" s="4"/>
      <c r="AG26" s="4"/>
      <c r="AH26" s="949"/>
      <c r="AI26" s="4"/>
      <c r="AJ26" s="4"/>
      <c r="AK26" s="4"/>
      <c r="AL26" s="4"/>
      <c r="AM26" s="4"/>
      <c r="AN26" s="4"/>
      <c r="AO26" s="866"/>
      <c r="AP26" s="4"/>
      <c r="AQ26" s="4"/>
      <c r="AR26" s="781"/>
      <c r="AS26" s="4"/>
      <c r="AT26" s="4"/>
      <c r="AU26" s="4"/>
      <c r="AV26" s="4"/>
      <c r="AW26" s="866"/>
      <c r="AX26" s="4"/>
      <c r="AY26" s="4"/>
      <c r="AZ26" s="781"/>
      <c r="BA26" s="866"/>
      <c r="BB26" s="4"/>
      <c r="BC26" s="4"/>
      <c r="BD26" s="4"/>
      <c r="BE26" s="4"/>
      <c r="BF26" s="781"/>
    </row>
    <row r="27" spans="1:58" x14ac:dyDescent="0.45">
      <c r="A27" s="862" t="s">
        <v>1670</v>
      </c>
      <c r="B27" s="768"/>
      <c r="J27" s="769"/>
      <c r="AH27" s="744"/>
      <c r="AO27" s="768"/>
      <c r="AR27" s="769"/>
      <c r="AW27" s="768"/>
      <c r="AZ27" s="769"/>
      <c r="BA27" s="768"/>
      <c r="BF27" s="769"/>
    </row>
    <row r="28" spans="1:58" x14ac:dyDescent="0.45">
      <c r="A28" s="744" t="s">
        <v>2385</v>
      </c>
      <c r="B28" s="543">
        <v>1.0000000000000004E-2</v>
      </c>
      <c r="C28" s="543">
        <v>0</v>
      </c>
      <c r="D28" s="543"/>
      <c r="E28" s="543">
        <v>1.0000000000000004E-2</v>
      </c>
      <c r="F28" s="543">
        <v>0</v>
      </c>
      <c r="G28" s="543"/>
      <c r="H28" s="543"/>
      <c r="I28" s="543"/>
      <c r="J28" s="1020"/>
      <c r="K28" s="543">
        <v>1.0000000000000004E-2</v>
      </c>
      <c r="L28" s="543">
        <v>1.0000000000000004E-2</v>
      </c>
      <c r="M28" s="543">
        <v>0</v>
      </c>
      <c r="N28" s="543"/>
      <c r="O28" s="543">
        <v>1.0000000000000004E-2</v>
      </c>
      <c r="P28" s="543">
        <v>0</v>
      </c>
      <c r="Q28" s="543"/>
      <c r="R28" s="543">
        <v>1.0000000000000004E-2</v>
      </c>
      <c r="S28" s="543">
        <v>0</v>
      </c>
      <c r="T28" s="543"/>
      <c r="U28" s="543"/>
      <c r="V28" s="543"/>
      <c r="W28" s="543"/>
      <c r="X28" s="543"/>
      <c r="Y28" s="543"/>
      <c r="Z28" s="543"/>
      <c r="AA28" s="543"/>
      <c r="AB28" s="543"/>
      <c r="AC28" s="543"/>
      <c r="AD28" s="543"/>
      <c r="AE28" s="4"/>
      <c r="AF28" s="543"/>
      <c r="AG28" s="543"/>
      <c r="AH28" s="1274">
        <v>0</v>
      </c>
      <c r="AI28" s="543">
        <v>0</v>
      </c>
      <c r="AJ28" s="543">
        <v>0</v>
      </c>
      <c r="AK28" s="543"/>
      <c r="AL28" s="543"/>
      <c r="AM28" s="543"/>
      <c r="AN28" s="543"/>
      <c r="AO28" s="1019">
        <v>0</v>
      </c>
      <c r="AP28" s="1273"/>
      <c r="AQ28" s="543"/>
      <c r="AR28" s="1020"/>
      <c r="AS28" s="543">
        <v>0</v>
      </c>
      <c r="AT28" s="1273"/>
      <c r="AU28" s="1273"/>
      <c r="AV28" s="1273"/>
      <c r="AW28" s="1272">
        <v>0</v>
      </c>
      <c r="AX28" s="1273"/>
      <c r="AY28" s="1273"/>
      <c r="AZ28" s="1029"/>
      <c r="BA28" s="1019"/>
      <c r="BB28" s="543"/>
      <c r="BC28" s="543"/>
      <c r="BD28" s="543"/>
      <c r="BE28" s="543"/>
      <c r="BF28" s="1020"/>
    </row>
    <row r="29" spans="1:58" x14ac:dyDescent="0.45">
      <c r="A29" s="744" t="s">
        <v>2511</v>
      </c>
      <c r="B29" s="543">
        <v>0.11000000000000006</v>
      </c>
      <c r="C29" s="543">
        <v>9.9999999999999985E-3</v>
      </c>
      <c r="D29" s="543"/>
      <c r="E29" s="543">
        <v>0.11000000000000006</v>
      </c>
      <c r="F29" s="543">
        <v>9.9999999999999985E-3</v>
      </c>
      <c r="G29" s="543"/>
      <c r="H29" s="543"/>
      <c r="I29" s="543"/>
      <c r="J29" s="1020"/>
      <c r="K29" s="543">
        <v>0.11000000000000006</v>
      </c>
      <c r="L29" s="543">
        <v>0.11000000000000006</v>
      </c>
      <c r="M29" s="543">
        <v>9.9999999999999985E-3</v>
      </c>
      <c r="N29" s="543"/>
      <c r="O29" s="543">
        <v>0.11000000000000006</v>
      </c>
      <c r="P29" s="543">
        <v>9.9999999999999985E-3</v>
      </c>
      <c r="Q29" s="543"/>
      <c r="R29" s="543">
        <v>0.11000000000000006</v>
      </c>
      <c r="S29" s="543">
        <v>9.9999999999999985E-3</v>
      </c>
      <c r="T29" s="543"/>
      <c r="U29" s="543"/>
      <c r="V29" s="543"/>
      <c r="W29" s="543"/>
      <c r="X29" s="543"/>
      <c r="Y29" s="543"/>
      <c r="Z29" s="543"/>
      <c r="AA29" s="543"/>
      <c r="AB29" s="543"/>
      <c r="AC29" s="543"/>
      <c r="AD29" s="543"/>
      <c r="AE29" s="4"/>
      <c r="AF29" s="543"/>
      <c r="AG29" s="543"/>
      <c r="AH29" s="1274">
        <v>0</v>
      </c>
      <c r="AI29" s="543">
        <v>0</v>
      </c>
      <c r="AJ29" s="543">
        <v>0</v>
      </c>
      <c r="AK29" s="543"/>
      <c r="AL29" s="543"/>
      <c r="AM29" s="543"/>
      <c r="AN29" s="543"/>
      <c r="AO29" s="1019">
        <v>0</v>
      </c>
      <c r="AP29" s="1273"/>
      <c r="AQ29" s="543"/>
      <c r="AR29" s="1020"/>
      <c r="AS29" s="543">
        <v>0</v>
      </c>
      <c r="AT29" s="1273"/>
      <c r="AU29" s="1273"/>
      <c r="AV29" s="1273"/>
      <c r="AW29" s="1272">
        <v>0.01</v>
      </c>
      <c r="AX29" s="1273"/>
      <c r="AY29" s="1273"/>
      <c r="AZ29" s="1029"/>
      <c r="BA29" s="1506">
        <v>1.4999999999999999E-2</v>
      </c>
      <c r="BB29" s="1044">
        <v>4.2999999999999997E-2</v>
      </c>
      <c r="BC29" s="543"/>
      <c r="BD29" s="543"/>
      <c r="BE29" s="543"/>
      <c r="BF29" s="1020"/>
    </row>
    <row r="30" spans="1:58" x14ac:dyDescent="0.45">
      <c r="A30" s="744" t="s">
        <v>1666</v>
      </c>
      <c r="B30" s="543">
        <v>1.0000000000000004E-2</v>
      </c>
      <c r="C30" s="543">
        <v>0</v>
      </c>
      <c r="D30" s="543"/>
      <c r="E30" s="543">
        <v>1.0000000000000004E-2</v>
      </c>
      <c r="F30" s="543">
        <v>0</v>
      </c>
      <c r="G30" s="543"/>
      <c r="H30" s="543"/>
      <c r="I30" s="543"/>
      <c r="J30" s="1020"/>
      <c r="K30" s="543">
        <v>1.0000000000000004E-2</v>
      </c>
      <c r="L30" s="543">
        <v>1.0000000000000004E-2</v>
      </c>
      <c r="M30" s="543">
        <v>0</v>
      </c>
      <c r="N30" s="543"/>
      <c r="O30" s="543">
        <v>1.0000000000000004E-2</v>
      </c>
      <c r="P30" s="543">
        <v>0</v>
      </c>
      <c r="Q30" s="543"/>
      <c r="R30" s="543">
        <v>1.0000000000000004E-2</v>
      </c>
      <c r="S30" s="543">
        <v>0</v>
      </c>
      <c r="T30" s="543"/>
      <c r="U30" s="543"/>
      <c r="V30" s="543"/>
      <c r="W30" s="543"/>
      <c r="X30" s="543"/>
      <c r="Y30" s="543"/>
      <c r="Z30" s="543"/>
      <c r="AA30" s="543"/>
      <c r="AB30" s="543"/>
      <c r="AC30" s="543"/>
      <c r="AD30" s="543"/>
      <c r="AE30" s="4"/>
      <c r="AF30" s="543"/>
      <c r="AG30" s="543"/>
      <c r="AH30" s="1274">
        <v>0</v>
      </c>
      <c r="AI30" s="543">
        <v>0</v>
      </c>
      <c r="AJ30" s="543">
        <v>0</v>
      </c>
      <c r="AK30" s="543"/>
      <c r="AL30" s="543"/>
      <c r="AM30" s="543"/>
      <c r="AN30" s="543"/>
      <c r="AO30" s="1019">
        <v>0</v>
      </c>
      <c r="AP30" s="1273"/>
      <c r="AQ30" s="543"/>
      <c r="AR30" s="1020"/>
      <c r="AS30" s="543">
        <v>0</v>
      </c>
      <c r="AT30" s="1273"/>
      <c r="AU30" s="1273"/>
      <c r="AV30" s="1273"/>
      <c r="AW30" s="1272">
        <v>0</v>
      </c>
      <c r="AX30" s="1273"/>
      <c r="AY30" s="1273"/>
      <c r="AZ30" s="1029"/>
      <c r="BA30" s="1019"/>
      <c r="BB30" s="543"/>
      <c r="BC30" s="543"/>
      <c r="BD30" s="543"/>
      <c r="BE30" s="543"/>
      <c r="BF30" s="1020"/>
    </row>
    <row r="31" spans="1:58" x14ac:dyDescent="0.45">
      <c r="A31" s="744" t="s">
        <v>1534</v>
      </c>
      <c r="B31" s="543">
        <v>0.86000000000000021</v>
      </c>
      <c r="C31" s="543">
        <v>0.95999999999999974</v>
      </c>
      <c r="D31" s="543"/>
      <c r="E31" s="543">
        <v>0.86000000000000021</v>
      </c>
      <c r="F31" s="543">
        <v>0.95999999999999974</v>
      </c>
      <c r="G31" s="543"/>
      <c r="H31" s="543"/>
      <c r="I31" s="543"/>
      <c r="J31" s="1020"/>
      <c r="K31" s="543">
        <v>0.86000000000000021</v>
      </c>
      <c r="L31" s="543">
        <v>0.86000000000000021</v>
      </c>
      <c r="M31" s="543">
        <v>0.95999999999999974</v>
      </c>
      <c r="N31" s="543"/>
      <c r="O31" s="543">
        <v>0.86000000000000021</v>
      </c>
      <c r="P31" s="543">
        <v>0.95999999999999974</v>
      </c>
      <c r="Q31" s="543"/>
      <c r="R31" s="543">
        <v>0.86000000000000021</v>
      </c>
      <c r="S31" s="543">
        <v>0.95999999999999974</v>
      </c>
      <c r="T31" s="543"/>
      <c r="U31" s="543"/>
      <c r="V31" s="543"/>
      <c r="W31" s="543"/>
      <c r="X31" s="543"/>
      <c r="Y31" s="543"/>
      <c r="Z31" s="543"/>
      <c r="AA31" s="543"/>
      <c r="AB31" s="543"/>
      <c r="AC31" s="543"/>
      <c r="AD31" s="543"/>
      <c r="AE31" s="4"/>
      <c r="AF31" s="543"/>
      <c r="AG31" s="543"/>
      <c r="AH31" s="1086">
        <v>0</v>
      </c>
      <c r="AI31" s="543">
        <v>0.98</v>
      </c>
      <c r="AJ31" s="543">
        <v>0.98</v>
      </c>
      <c r="AK31" s="543"/>
      <c r="AL31" s="543"/>
      <c r="AM31" s="543"/>
      <c r="AN31" s="543"/>
      <c r="AO31" s="1019">
        <v>0.98</v>
      </c>
      <c r="AP31" s="1273"/>
      <c r="AQ31" s="543"/>
      <c r="AR31" s="1020"/>
      <c r="AS31" s="543">
        <v>0.98</v>
      </c>
      <c r="AT31" s="1273"/>
      <c r="AU31" s="1273"/>
      <c r="AV31" s="1273"/>
      <c r="AW31" s="1272">
        <v>0.96</v>
      </c>
      <c r="AX31" s="1273"/>
      <c r="AY31" s="1273"/>
      <c r="AZ31" s="1029"/>
      <c r="BA31" s="1506">
        <v>0.98499999999999999</v>
      </c>
      <c r="BB31" s="1044">
        <v>0.95699999999999996</v>
      </c>
      <c r="BC31" s="543"/>
      <c r="BD31" s="543"/>
      <c r="BE31" s="543"/>
      <c r="BF31" s="1020"/>
    </row>
    <row r="32" spans="1:58" x14ac:dyDescent="0.45">
      <c r="A32" s="744" t="s">
        <v>1535</v>
      </c>
      <c r="B32" s="543">
        <v>0</v>
      </c>
      <c r="C32" s="543">
        <v>0</v>
      </c>
      <c r="D32" s="543"/>
      <c r="E32" s="543">
        <v>0</v>
      </c>
      <c r="F32" s="543">
        <v>0</v>
      </c>
      <c r="G32" s="543"/>
      <c r="H32" s="543"/>
      <c r="I32" s="543"/>
      <c r="J32" s="1020"/>
      <c r="K32" s="543">
        <v>0</v>
      </c>
      <c r="L32" s="543">
        <v>0</v>
      </c>
      <c r="M32" s="543">
        <v>0</v>
      </c>
      <c r="N32" s="543"/>
      <c r="O32" s="543">
        <v>0</v>
      </c>
      <c r="P32" s="543">
        <v>0</v>
      </c>
      <c r="Q32" s="543"/>
      <c r="R32" s="543">
        <v>0</v>
      </c>
      <c r="S32" s="543">
        <v>0</v>
      </c>
      <c r="T32" s="543"/>
      <c r="U32" s="543"/>
      <c r="V32" s="543"/>
      <c r="W32" s="543"/>
      <c r="X32" s="543"/>
      <c r="Y32" s="543"/>
      <c r="Z32" s="543"/>
      <c r="AA32" s="543"/>
      <c r="AB32" s="543"/>
      <c r="AC32" s="543"/>
      <c r="AD32" s="543"/>
      <c r="AE32" s="4"/>
      <c r="AF32" s="543"/>
      <c r="AG32" s="543"/>
      <c r="AH32" s="1274"/>
      <c r="AI32" s="543"/>
      <c r="AJ32" s="543"/>
      <c r="AK32" s="543"/>
      <c r="AL32" s="543"/>
      <c r="AM32" s="543"/>
      <c r="AN32" s="543"/>
      <c r="AO32" s="1019"/>
      <c r="AP32" s="1273"/>
      <c r="AQ32" s="543"/>
      <c r="AR32" s="1020"/>
      <c r="AS32" s="543"/>
      <c r="AT32" s="1273"/>
      <c r="AU32" s="1273"/>
      <c r="AV32" s="1273"/>
      <c r="AW32" s="1272"/>
      <c r="AX32" s="1273"/>
      <c r="AY32" s="1273"/>
      <c r="AZ32" s="1029"/>
      <c r="BA32" s="1019"/>
      <c r="BB32" s="543"/>
      <c r="BC32" s="543"/>
      <c r="BD32" s="543"/>
      <c r="BE32" s="543"/>
      <c r="BF32" s="1020"/>
    </row>
    <row r="33" spans="1:58" x14ac:dyDescent="0.45">
      <c r="A33" s="744" t="s">
        <v>3086</v>
      </c>
      <c r="B33" s="543">
        <v>0</v>
      </c>
      <c r="C33" s="543">
        <v>0</v>
      </c>
      <c r="D33" s="543"/>
      <c r="E33" s="543">
        <v>0</v>
      </c>
      <c r="F33" s="543">
        <v>0</v>
      </c>
      <c r="G33" s="543"/>
      <c r="H33" s="543"/>
      <c r="I33" s="543"/>
      <c r="J33" s="1020"/>
      <c r="K33" s="543">
        <v>0</v>
      </c>
      <c r="L33" s="543">
        <v>0</v>
      </c>
      <c r="M33" s="543">
        <v>0</v>
      </c>
      <c r="N33" s="543"/>
      <c r="O33" s="543">
        <v>0</v>
      </c>
      <c r="P33" s="543">
        <v>0</v>
      </c>
      <c r="Q33" s="543"/>
      <c r="R33" s="543">
        <v>0</v>
      </c>
      <c r="S33" s="543">
        <v>0</v>
      </c>
      <c r="T33" s="543"/>
      <c r="U33" s="543"/>
      <c r="V33" s="543"/>
      <c r="W33" s="543"/>
      <c r="X33" s="543"/>
      <c r="Y33" s="543"/>
      <c r="Z33" s="543"/>
      <c r="AA33" s="543"/>
      <c r="AB33" s="543"/>
      <c r="AC33" s="543"/>
      <c r="AD33" s="543"/>
      <c r="AE33" s="4"/>
      <c r="AF33" s="543"/>
      <c r="AG33" s="543"/>
      <c r="AH33" s="1274">
        <v>0</v>
      </c>
      <c r="AI33" s="543">
        <v>0</v>
      </c>
      <c r="AJ33" s="543">
        <v>0</v>
      </c>
      <c r="AK33" s="543"/>
      <c r="AL33" s="543"/>
      <c r="AM33" s="543"/>
      <c r="AN33" s="543"/>
      <c r="AO33" s="1019">
        <v>0</v>
      </c>
      <c r="AP33" s="1273"/>
      <c r="AQ33" s="543"/>
      <c r="AR33" s="1020"/>
      <c r="AS33" s="543">
        <v>0</v>
      </c>
      <c r="AT33" s="1273"/>
      <c r="AU33" s="1273"/>
      <c r="AV33" s="1273"/>
      <c r="AW33" s="1272">
        <v>0</v>
      </c>
      <c r="AX33" s="1273"/>
      <c r="AY33" s="1273"/>
      <c r="AZ33" s="1029"/>
      <c r="BA33" s="1019"/>
      <c r="BB33" s="543"/>
      <c r="BC33" s="543"/>
      <c r="BD33" s="543"/>
      <c r="BE33" s="543"/>
      <c r="BF33" s="1020"/>
    </row>
    <row r="34" spans="1:58" x14ac:dyDescent="0.45">
      <c r="A34" s="744" t="s">
        <v>2386</v>
      </c>
      <c r="B34" s="543"/>
      <c r="C34" s="543">
        <v>0</v>
      </c>
      <c r="D34" s="543"/>
      <c r="E34" s="543"/>
      <c r="F34" s="543">
        <v>0</v>
      </c>
      <c r="G34" s="543"/>
      <c r="H34" s="543"/>
      <c r="I34" s="543"/>
      <c r="J34" s="1020"/>
      <c r="K34" s="543"/>
      <c r="L34" s="543"/>
      <c r="M34" s="543">
        <v>0</v>
      </c>
      <c r="N34" s="543"/>
      <c r="O34" s="543"/>
      <c r="P34" s="543">
        <v>0</v>
      </c>
      <c r="Q34" s="543"/>
      <c r="R34" s="543"/>
      <c r="S34" s="543">
        <v>0</v>
      </c>
      <c r="T34" s="543"/>
      <c r="U34" s="543"/>
      <c r="V34" s="543"/>
      <c r="W34" s="543"/>
      <c r="X34" s="543"/>
      <c r="Y34" s="543"/>
      <c r="Z34" s="543"/>
      <c r="AA34" s="543"/>
      <c r="AB34" s="543"/>
      <c r="AC34" s="543"/>
      <c r="AD34" s="543"/>
      <c r="AE34" s="4"/>
      <c r="AF34" s="543"/>
      <c r="AG34" s="543"/>
      <c r="AH34" s="1274"/>
      <c r="AI34" s="543"/>
      <c r="AJ34" s="543"/>
      <c r="AK34" s="543"/>
      <c r="AL34" s="543"/>
      <c r="AM34" s="543"/>
      <c r="AN34" s="543"/>
      <c r="AO34" s="1019"/>
      <c r="AP34" s="1273"/>
      <c r="AQ34" s="543"/>
      <c r="AR34" s="1020"/>
      <c r="AS34" s="543"/>
      <c r="AT34" s="1273"/>
      <c r="AU34" s="1508"/>
      <c r="AV34" s="1273"/>
      <c r="AW34" s="1272"/>
      <c r="AX34" s="1273"/>
      <c r="AY34" s="1273"/>
      <c r="AZ34" s="1029"/>
      <c r="BA34" s="1019"/>
      <c r="BB34" s="543"/>
      <c r="BC34" s="543"/>
      <c r="BD34" s="543"/>
      <c r="BE34" s="543"/>
      <c r="BF34" s="1020"/>
    </row>
    <row r="35" spans="1:58" x14ac:dyDescent="0.45">
      <c r="A35" s="744" t="s">
        <v>1664</v>
      </c>
      <c r="B35" s="543">
        <v>9.9999999999997868E-3</v>
      </c>
      <c r="C35" s="543">
        <v>3.0000000000000256E-2</v>
      </c>
      <c r="D35" s="543"/>
      <c r="E35" s="543">
        <v>9.9999999999997868E-3</v>
      </c>
      <c r="F35" s="543">
        <v>3.0000000000000256E-2</v>
      </c>
      <c r="G35" s="543"/>
      <c r="H35" s="543"/>
      <c r="I35" s="543"/>
      <c r="J35" s="1020"/>
      <c r="K35" s="543">
        <v>9.9999999999997868E-3</v>
      </c>
      <c r="L35" s="543">
        <v>9.9999999999997868E-3</v>
      </c>
      <c r="M35" s="543">
        <v>3.0000000000000256E-2</v>
      </c>
      <c r="N35" s="543"/>
      <c r="O35" s="543">
        <v>9.9999999999997868E-3</v>
      </c>
      <c r="P35" s="543">
        <v>3.0000000000000256E-2</v>
      </c>
      <c r="Q35" s="543"/>
      <c r="R35" s="543">
        <v>9.9999999999997868E-3</v>
      </c>
      <c r="S35" s="543">
        <v>3.0000000000000256E-2</v>
      </c>
      <c r="T35" s="543"/>
      <c r="U35" s="543"/>
      <c r="V35" s="543"/>
      <c r="W35" s="543"/>
      <c r="X35" s="543"/>
      <c r="Y35" s="543"/>
      <c r="Z35" s="543"/>
      <c r="AA35" s="543"/>
      <c r="AB35" s="543"/>
      <c r="AC35" s="543"/>
      <c r="AD35" s="543"/>
      <c r="AE35" s="4"/>
      <c r="AF35" s="543"/>
      <c r="AG35" s="543"/>
      <c r="AH35" s="1274">
        <v>1</v>
      </c>
      <c r="AI35" s="543">
        <v>0.02</v>
      </c>
      <c r="AJ35" s="543">
        <v>0.02</v>
      </c>
      <c r="AK35" s="543"/>
      <c r="AL35" s="543"/>
      <c r="AM35" s="543"/>
      <c r="AN35" s="543"/>
      <c r="AO35" s="1019">
        <v>0.02</v>
      </c>
      <c r="AP35" s="1273"/>
      <c r="AQ35" s="543"/>
      <c r="AR35" s="1020"/>
      <c r="AS35" s="543">
        <v>0.02</v>
      </c>
      <c r="AT35" s="1273"/>
      <c r="AU35" s="1273"/>
      <c r="AV35" s="1273"/>
      <c r="AW35" s="1272">
        <v>0.03</v>
      </c>
      <c r="AX35" s="1273"/>
      <c r="AY35" s="1273"/>
      <c r="AZ35" s="1029"/>
      <c r="BA35" s="1019"/>
      <c r="BB35" s="543"/>
      <c r="BC35" s="543"/>
      <c r="BD35" s="543"/>
      <c r="BE35" s="543"/>
      <c r="BF35" s="1020"/>
    </row>
    <row r="36" spans="1:58" x14ac:dyDescent="0.45">
      <c r="A36" s="744" t="s">
        <v>2517</v>
      </c>
      <c r="B36" s="1022"/>
      <c r="C36" s="543"/>
      <c r="D36" s="543"/>
      <c r="E36" s="1023"/>
      <c r="F36" s="543"/>
      <c r="G36" s="543"/>
      <c r="H36" s="543"/>
      <c r="I36" s="543"/>
      <c r="J36" s="1020"/>
      <c r="K36" s="1022"/>
      <c r="L36" s="1023"/>
      <c r="M36" s="543"/>
      <c r="N36" s="543"/>
      <c r="O36" s="1023"/>
      <c r="P36" s="543"/>
      <c r="Q36" s="543"/>
      <c r="R36" s="1023"/>
      <c r="S36" s="543"/>
      <c r="T36" s="543"/>
      <c r="U36" s="543"/>
      <c r="V36" s="543"/>
      <c r="W36" s="543"/>
      <c r="X36" s="543"/>
      <c r="Y36" s="543"/>
      <c r="Z36" s="543"/>
      <c r="AA36" s="543"/>
      <c r="AB36" s="543"/>
      <c r="AC36" s="543"/>
      <c r="AD36" s="543"/>
      <c r="AE36" s="4"/>
      <c r="AF36" s="543"/>
      <c r="AG36" s="543"/>
      <c r="AH36" s="1040">
        <v>0</v>
      </c>
      <c r="AI36" s="543">
        <v>0</v>
      </c>
      <c r="AJ36" s="543">
        <v>0</v>
      </c>
      <c r="AK36" s="543"/>
      <c r="AL36" s="543"/>
      <c r="AM36" s="543"/>
      <c r="AN36" s="543"/>
      <c r="AO36" s="1019">
        <v>0</v>
      </c>
      <c r="AP36" s="543"/>
      <c r="AQ36" s="543"/>
      <c r="AR36" s="1020"/>
      <c r="AS36" s="543">
        <v>0</v>
      </c>
      <c r="AT36" s="543"/>
      <c r="AU36" s="543"/>
      <c r="AV36" s="543"/>
      <c r="AW36" s="1019">
        <v>0</v>
      </c>
      <c r="AX36" s="543"/>
      <c r="AY36" s="543"/>
      <c r="AZ36" s="1020"/>
      <c r="BA36" s="1019"/>
      <c r="BB36" s="543"/>
      <c r="BC36" s="543"/>
      <c r="BD36" s="543"/>
      <c r="BE36" s="543"/>
      <c r="BF36" s="1020"/>
    </row>
    <row r="37" spans="1:58" x14ac:dyDescent="0.45">
      <c r="A37" s="1500" t="s">
        <v>3091</v>
      </c>
      <c r="B37" s="1509"/>
      <c r="C37" s="1510"/>
      <c r="D37" s="1510"/>
      <c r="E37" s="1510"/>
      <c r="F37" s="1510"/>
      <c r="G37" s="1510"/>
      <c r="H37" s="1510"/>
      <c r="I37" s="1510"/>
      <c r="J37" s="1511"/>
      <c r="K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481"/>
      <c r="AI37" s="1510"/>
      <c r="AJ37" s="1510"/>
      <c r="AK37" s="1510"/>
      <c r="AL37" s="1510"/>
      <c r="AM37" s="1510"/>
      <c r="AN37" s="1510"/>
      <c r="AO37" s="1509"/>
      <c r="AP37" s="1510"/>
      <c r="AQ37" s="1510"/>
      <c r="AR37" s="1511"/>
      <c r="AS37" s="1510"/>
      <c r="AT37" s="1510"/>
      <c r="AU37" s="1510"/>
      <c r="AV37" s="1510"/>
      <c r="AW37" s="1509"/>
      <c r="AX37" s="1510"/>
      <c r="AY37" s="1510"/>
      <c r="AZ37" s="1511"/>
      <c r="BA37" s="1509"/>
      <c r="BB37" s="1510"/>
      <c r="BC37" s="1510"/>
      <c r="BD37" s="1510"/>
      <c r="BE37" s="1510"/>
      <c r="BF37" s="1511"/>
    </row>
    <row r="38" spans="1:58" x14ac:dyDescent="0.45">
      <c r="A38" s="744" t="s">
        <v>2385</v>
      </c>
      <c r="B38" s="1512" t="e">
        <v>#NAME?</v>
      </c>
      <c r="C38" s="1513" t="e">
        <v>#NAME?</v>
      </c>
      <c r="D38" s="1513"/>
      <c r="E38" s="1513" t="e">
        <v>#NAME?</v>
      </c>
      <c r="F38" s="1513" t="e">
        <v>#NAME?</v>
      </c>
      <c r="G38" s="1513"/>
      <c r="H38" s="1513"/>
      <c r="I38" s="1513"/>
      <c r="J38" s="1514"/>
      <c r="K38" s="1513" t="e">
        <v>#NAME?</v>
      </c>
      <c r="L38" s="1513" t="e">
        <v>#NAME?</v>
      </c>
      <c r="M38" s="1513" t="e">
        <v>#NAME?</v>
      </c>
      <c r="N38" s="1513"/>
      <c r="O38" s="1513" t="e">
        <v>#NAME?</v>
      </c>
      <c r="P38" s="1513" t="e">
        <v>#NAME?</v>
      </c>
      <c r="Q38" s="1513"/>
      <c r="R38" s="1513" t="e">
        <v>#NAME?</v>
      </c>
      <c r="S38" s="1513" t="e">
        <v>#NAME?</v>
      </c>
      <c r="T38" s="1513"/>
      <c r="U38" s="1513"/>
      <c r="V38" s="1513"/>
      <c r="W38" s="1513"/>
      <c r="X38" s="1513"/>
      <c r="Y38" s="1513"/>
      <c r="Z38" s="1513"/>
      <c r="AA38" s="1513"/>
      <c r="AB38" s="1513"/>
      <c r="AC38" s="1513"/>
      <c r="AD38" s="1513"/>
      <c r="AE38" s="7"/>
      <c r="AF38" s="1515"/>
      <c r="AG38" s="1515"/>
      <c r="AH38" s="1516" t="e">
        <v>#NAME?</v>
      </c>
      <c r="AI38" s="1513" t="e">
        <v>#NAME?</v>
      </c>
      <c r="AJ38" s="1513" t="e">
        <v>#NAME?</v>
      </c>
      <c r="AK38" s="1513"/>
      <c r="AL38" s="1513"/>
      <c r="AM38" s="1513"/>
      <c r="AN38" s="1514"/>
      <c r="AO38" s="1513" t="e">
        <v>#NAME?</v>
      </c>
      <c r="AP38" s="7"/>
      <c r="AQ38" s="1513"/>
      <c r="AR38" s="1514"/>
      <c r="AS38" s="1512" t="e">
        <v>#NAME?</v>
      </c>
      <c r="AT38" s="7"/>
      <c r="AU38" s="7"/>
      <c r="AV38" s="7"/>
      <c r="AW38" s="1517" t="e">
        <v>#NAME?</v>
      </c>
      <c r="AX38" s="1515"/>
      <c r="AY38" s="7"/>
      <c r="AZ38" s="1518"/>
      <c r="BA38" s="1512">
        <v>0</v>
      </c>
      <c r="BB38" s="1513">
        <v>0</v>
      </c>
      <c r="BC38" s="1513"/>
      <c r="BD38" s="1513"/>
      <c r="BE38" s="1513"/>
      <c r="BF38" s="1514"/>
    </row>
    <row r="39" spans="1:58" x14ac:dyDescent="0.45">
      <c r="A39" s="744" t="s">
        <v>2511</v>
      </c>
      <c r="B39" s="1512" t="e">
        <v>#NAME?</v>
      </c>
      <c r="C39" s="1513" t="e">
        <v>#NAME?</v>
      </c>
      <c r="D39" s="1513"/>
      <c r="E39" s="1513" t="e">
        <v>#NAME?</v>
      </c>
      <c r="F39" s="1513" t="e">
        <v>#NAME?</v>
      </c>
      <c r="G39" s="1513"/>
      <c r="H39" s="1513"/>
      <c r="I39" s="1513"/>
      <c r="J39" s="1514"/>
      <c r="K39" s="1513" t="e">
        <v>#NAME?</v>
      </c>
      <c r="L39" s="1513" t="e">
        <v>#NAME?</v>
      </c>
      <c r="M39" s="1513" t="e">
        <v>#NAME?</v>
      </c>
      <c r="N39" s="1513"/>
      <c r="O39" s="1513" t="e">
        <v>#NAME?</v>
      </c>
      <c r="P39" s="1513" t="e">
        <v>#NAME?</v>
      </c>
      <c r="Q39" s="1513"/>
      <c r="R39" s="1513" t="e">
        <v>#NAME?</v>
      </c>
      <c r="S39" s="1513" t="e">
        <v>#NAME?</v>
      </c>
      <c r="T39" s="1513"/>
      <c r="U39" s="1513"/>
      <c r="V39" s="1513"/>
      <c r="W39" s="1513"/>
      <c r="X39" s="1513"/>
      <c r="Y39" s="1513"/>
      <c r="Z39" s="1513"/>
      <c r="AA39" s="1513"/>
      <c r="AB39" s="1513"/>
      <c r="AC39" s="1513"/>
      <c r="AD39" s="1513"/>
      <c r="AE39" s="7"/>
      <c r="AF39" s="1515"/>
      <c r="AG39" s="1515"/>
      <c r="AH39" s="1516" t="e">
        <v>#NAME?</v>
      </c>
      <c r="AI39" s="1513" t="e">
        <v>#NAME?</v>
      </c>
      <c r="AJ39" s="1513" t="e">
        <v>#NAME?</v>
      </c>
      <c r="AK39" s="1513"/>
      <c r="AL39" s="1513"/>
      <c r="AM39" s="1513"/>
      <c r="AN39" s="1514"/>
      <c r="AO39" s="1513" t="e">
        <v>#NAME?</v>
      </c>
      <c r="AP39" s="7"/>
      <c r="AQ39" s="1519"/>
      <c r="AR39" s="1514"/>
      <c r="AS39" s="1512" t="e">
        <v>#NAME?</v>
      </c>
      <c r="AT39" s="7"/>
      <c r="AU39" s="7"/>
      <c r="AV39" s="7"/>
      <c r="AW39" s="1517" t="e">
        <v>#NAME?</v>
      </c>
      <c r="AX39" s="1515"/>
      <c r="AY39" s="7"/>
      <c r="AZ39" s="1518"/>
      <c r="BA39" s="1512">
        <v>560.16597510373572</v>
      </c>
      <c r="BB39" s="1513">
        <v>1513.4575569358187</v>
      </c>
      <c r="BC39" s="1513"/>
      <c r="BD39" s="1513"/>
      <c r="BE39" s="1513"/>
      <c r="BF39" s="1514"/>
    </row>
    <row r="40" spans="1:58" x14ac:dyDescent="0.45">
      <c r="A40" s="744" t="s">
        <v>1666</v>
      </c>
      <c r="B40" s="1512" t="e">
        <v>#NAME?</v>
      </c>
      <c r="C40" s="1513" t="e">
        <v>#NAME?</v>
      </c>
      <c r="D40" s="1513"/>
      <c r="E40" s="1513" t="e">
        <v>#NAME?</v>
      </c>
      <c r="F40" s="1513" t="e">
        <v>#NAME?</v>
      </c>
      <c r="G40" s="1513"/>
      <c r="H40" s="1513"/>
      <c r="I40" s="1513"/>
      <c r="J40" s="1514"/>
      <c r="K40" s="1513" t="e">
        <v>#NAME?</v>
      </c>
      <c r="L40" s="1513" t="e">
        <v>#NAME?</v>
      </c>
      <c r="M40" s="1513" t="e">
        <v>#NAME?</v>
      </c>
      <c r="N40" s="1513"/>
      <c r="O40" s="1513" t="e">
        <v>#NAME?</v>
      </c>
      <c r="P40" s="1513" t="e">
        <v>#NAME?</v>
      </c>
      <c r="Q40" s="1513"/>
      <c r="R40" s="1513" t="e">
        <v>#NAME?</v>
      </c>
      <c r="S40" s="1513" t="e">
        <v>#NAME?</v>
      </c>
      <c r="T40" s="1513"/>
      <c r="U40" s="1513"/>
      <c r="V40" s="1513"/>
      <c r="W40" s="1513"/>
      <c r="X40" s="1513"/>
      <c r="Y40" s="1513"/>
      <c r="Z40" s="1513"/>
      <c r="AA40" s="1513"/>
      <c r="AB40" s="1513"/>
      <c r="AC40" s="1513"/>
      <c r="AD40" s="1513"/>
      <c r="AE40" s="7"/>
      <c r="AF40" s="1515"/>
      <c r="AG40" s="1515"/>
      <c r="AH40" s="1516" t="e">
        <v>#NAME?</v>
      </c>
      <c r="AI40" s="1513" t="e">
        <v>#NAME?</v>
      </c>
      <c r="AJ40" s="1513" t="e">
        <v>#NAME?</v>
      </c>
      <c r="AK40" s="1513"/>
      <c r="AL40" s="1513"/>
      <c r="AM40" s="1513"/>
      <c r="AN40" s="1514"/>
      <c r="AO40" s="1513" t="e">
        <v>#NAME?</v>
      </c>
      <c r="AP40" s="7"/>
      <c r="AQ40" s="1519"/>
      <c r="AR40" s="1514"/>
      <c r="AS40" s="1512" t="e">
        <v>#NAME?</v>
      </c>
      <c r="AT40" s="7"/>
      <c r="AU40" s="7"/>
      <c r="AV40" s="7"/>
      <c r="AW40" s="1517" t="e">
        <v>#NAME?</v>
      </c>
      <c r="AX40" s="1515"/>
      <c r="AY40" s="7"/>
      <c r="AZ40" s="1518"/>
      <c r="BA40" s="1512">
        <v>0</v>
      </c>
      <c r="BB40" s="1513">
        <v>0</v>
      </c>
      <c r="BC40" s="1513"/>
      <c r="BD40" s="1513"/>
      <c r="BE40" s="1513"/>
      <c r="BF40" s="1514"/>
    </row>
    <row r="41" spans="1:58" x14ac:dyDescent="0.45">
      <c r="A41" s="744" t="s">
        <v>3093</v>
      </c>
      <c r="B41" s="1512" t="e">
        <v>#NAME?</v>
      </c>
      <c r="C41" s="1513" t="e">
        <v>#NAME?</v>
      </c>
      <c r="D41" s="1513"/>
      <c r="E41" s="1513" t="e">
        <v>#NAME?</v>
      </c>
      <c r="F41" s="1513" t="e">
        <v>#NAME?</v>
      </c>
      <c r="G41" s="1513"/>
      <c r="H41" s="1513"/>
      <c r="I41" s="1513"/>
      <c r="J41" s="1514"/>
      <c r="K41" s="1513" t="e">
        <v>#NAME?</v>
      </c>
      <c r="L41" s="1513" t="e">
        <v>#NAME?</v>
      </c>
      <c r="M41" s="1513" t="e">
        <v>#NAME?</v>
      </c>
      <c r="N41" s="1513"/>
      <c r="O41" s="1513" t="e">
        <v>#NAME?</v>
      </c>
      <c r="P41" s="1513" t="e">
        <v>#NAME?</v>
      </c>
      <c r="Q41" s="1513"/>
      <c r="R41" s="1513" t="e">
        <v>#NAME?</v>
      </c>
      <c r="S41" s="1513" t="e">
        <v>#NAME?</v>
      </c>
      <c r="T41" s="1513"/>
      <c r="U41" s="1513"/>
      <c r="V41" s="1513"/>
      <c r="W41" s="1513"/>
      <c r="X41" s="1513"/>
      <c r="Y41" s="1513"/>
      <c r="Z41" s="1513"/>
      <c r="AA41" s="1513"/>
      <c r="AB41" s="1513"/>
      <c r="AC41" s="1513"/>
      <c r="AD41" s="1513"/>
      <c r="AE41" s="7"/>
      <c r="AF41" s="1515"/>
      <c r="AG41" s="1515"/>
      <c r="AH41" s="1516" t="e">
        <v>#NAME?</v>
      </c>
      <c r="AI41" s="1513" t="e">
        <v>#NAME?</v>
      </c>
      <c r="AJ41" s="1513" t="e">
        <v>#NAME?</v>
      </c>
      <c r="AK41" s="1513"/>
      <c r="AL41" s="1513"/>
      <c r="AM41" s="1513"/>
      <c r="AN41" s="1514"/>
      <c r="AO41" s="1513" t="e">
        <v>#NAME?</v>
      </c>
      <c r="AP41" s="7"/>
      <c r="AQ41" s="1519"/>
      <c r="AR41" s="1514"/>
      <c r="AS41" s="1512" t="e">
        <v>#NAME?</v>
      </c>
      <c r="AT41" s="7"/>
      <c r="AU41" s="7"/>
      <c r="AV41" s="7"/>
      <c r="AW41" s="1517" t="e">
        <v>#NAME?</v>
      </c>
      <c r="AX41" s="1515"/>
      <c r="AY41" s="7"/>
      <c r="AZ41" s="1518"/>
      <c r="BA41" s="1512">
        <v>36784.232365145312</v>
      </c>
      <c r="BB41" s="1513">
        <v>33683.22981366462</v>
      </c>
      <c r="BC41" s="1513"/>
      <c r="BD41" s="1513"/>
      <c r="BE41" s="1513"/>
      <c r="BF41" s="1514"/>
    </row>
    <row r="42" spans="1:58" x14ac:dyDescent="0.45">
      <c r="A42" s="744" t="s">
        <v>1535</v>
      </c>
      <c r="B42" s="1512"/>
      <c r="C42" s="1513"/>
      <c r="D42" s="1513"/>
      <c r="E42" s="7"/>
      <c r="F42" s="1513"/>
      <c r="G42" s="1513"/>
      <c r="H42" s="1513"/>
      <c r="I42" s="1513"/>
      <c r="J42" s="1514"/>
      <c r="K42" s="1513"/>
      <c r="L42" s="1513"/>
      <c r="M42" s="1513"/>
      <c r="N42" s="1513"/>
      <c r="O42" s="1513"/>
      <c r="P42" s="1513"/>
      <c r="Q42" s="1513"/>
      <c r="R42" s="1513"/>
      <c r="S42" s="1513"/>
      <c r="T42" s="1513"/>
      <c r="U42" s="1513"/>
      <c r="V42" s="1513"/>
      <c r="W42" s="1513"/>
      <c r="X42" s="1513"/>
      <c r="Y42" s="1513"/>
      <c r="Z42" s="1513"/>
      <c r="AA42" s="1513"/>
      <c r="AB42" s="1513"/>
      <c r="AC42" s="1513"/>
      <c r="AD42" s="1513"/>
      <c r="AE42" s="7"/>
      <c r="AF42" s="1515"/>
      <c r="AG42" s="1515"/>
      <c r="AH42" s="1516"/>
      <c r="AI42" s="7"/>
      <c r="AJ42" s="7"/>
      <c r="AK42" s="1513"/>
      <c r="AL42" s="1513"/>
      <c r="AM42" s="1513"/>
      <c r="AN42" s="1514"/>
      <c r="AO42" s="7"/>
      <c r="AP42" s="7"/>
      <c r="AQ42" s="7"/>
      <c r="AR42" s="1514"/>
      <c r="AS42" s="1512"/>
      <c r="AT42" s="7"/>
      <c r="AU42" s="7"/>
      <c r="AV42" s="7"/>
      <c r="AW42" s="1517"/>
      <c r="AX42" s="1515"/>
      <c r="AY42" s="7"/>
      <c r="AZ42" s="1518"/>
      <c r="BA42" s="879"/>
      <c r="BB42" s="7"/>
      <c r="BC42" s="1513"/>
      <c r="BD42" s="1513"/>
      <c r="BE42" s="1513"/>
      <c r="BF42" s="1514"/>
    </row>
    <row r="43" spans="1:58" x14ac:dyDescent="0.45">
      <c r="A43" s="744" t="s">
        <v>3097</v>
      </c>
      <c r="B43" s="1512"/>
      <c r="C43" s="1513"/>
      <c r="D43" s="1513"/>
      <c r="E43" s="7"/>
      <c r="F43" s="1513"/>
      <c r="G43" s="1513"/>
      <c r="H43" s="1513"/>
      <c r="I43" s="1513"/>
      <c r="J43" s="1514"/>
      <c r="K43" s="1513"/>
      <c r="L43" s="1513"/>
      <c r="M43" s="1513"/>
      <c r="N43" s="1513"/>
      <c r="O43" s="1513"/>
      <c r="P43" s="1513"/>
      <c r="Q43" s="1513"/>
      <c r="R43" s="1513"/>
      <c r="S43" s="1513"/>
      <c r="T43" s="1513"/>
      <c r="U43" s="1513"/>
      <c r="V43" s="1513"/>
      <c r="W43" s="1513"/>
      <c r="X43" s="1513"/>
      <c r="Y43" s="1513"/>
      <c r="Z43" s="1513"/>
      <c r="AA43" s="1513"/>
      <c r="AB43" s="1513"/>
      <c r="AC43" s="1513"/>
      <c r="AD43" s="1513"/>
      <c r="AE43" s="7"/>
      <c r="AF43" s="1515"/>
      <c r="AG43" s="1515"/>
      <c r="AH43" s="1516"/>
      <c r="AI43" s="7"/>
      <c r="AJ43" s="7"/>
      <c r="AK43" s="1513"/>
      <c r="AL43" s="1513"/>
      <c r="AM43" s="1513"/>
      <c r="AN43" s="1514"/>
      <c r="AO43" s="7"/>
      <c r="AP43" s="7"/>
      <c r="AQ43" s="7"/>
      <c r="AR43" s="1514"/>
      <c r="AS43" s="1512"/>
      <c r="AT43" s="7"/>
      <c r="AU43" s="7"/>
      <c r="AV43" s="7"/>
      <c r="AW43" s="1517"/>
      <c r="AX43" s="1515"/>
      <c r="AY43" s="7"/>
      <c r="AZ43" s="1518"/>
      <c r="BA43" s="879"/>
      <c r="BB43" s="7"/>
      <c r="BC43" s="1513"/>
      <c r="BD43" s="1513"/>
      <c r="BE43" s="1513"/>
      <c r="BF43" s="1514"/>
    </row>
    <row r="44" spans="1:58" x14ac:dyDescent="0.45">
      <c r="A44" s="744" t="s">
        <v>2516</v>
      </c>
      <c r="B44" s="1512">
        <v>1748.7623436980043</v>
      </c>
      <c r="C44" s="1513">
        <v>3017.8482009971895</v>
      </c>
      <c r="D44" s="1513"/>
      <c r="E44" s="1513">
        <v>1484.453642123741</v>
      </c>
      <c r="F44" s="1513">
        <v>3017.8482009971895</v>
      </c>
      <c r="G44" s="1513"/>
      <c r="H44" s="1513"/>
      <c r="I44" s="1513"/>
      <c r="J44" s="1514"/>
      <c r="K44" s="1512">
        <v>1748.7623436980043</v>
      </c>
      <c r="L44" s="1513">
        <v>1484.453642123741</v>
      </c>
      <c r="M44" s="1513">
        <v>3017.8482009971895</v>
      </c>
      <c r="N44" s="1513"/>
      <c r="O44" s="1513">
        <v>1748.7623436980043</v>
      </c>
      <c r="P44" s="1513">
        <v>3017.8482009971895</v>
      </c>
      <c r="Q44" s="1513"/>
      <c r="R44" s="1513">
        <v>1748.7623436980043</v>
      </c>
      <c r="S44" s="1513">
        <v>3017.8482009971895</v>
      </c>
      <c r="T44" s="1513"/>
      <c r="U44" s="1513"/>
      <c r="V44" s="1513"/>
      <c r="W44" s="1513"/>
      <c r="X44" s="1513"/>
      <c r="Y44" s="1513"/>
      <c r="Z44" s="1513"/>
      <c r="AA44" s="1513"/>
      <c r="AB44" s="1513"/>
      <c r="AC44" s="1513"/>
      <c r="AD44" s="1513"/>
      <c r="AE44" s="7"/>
      <c r="AF44" s="1515"/>
      <c r="AG44" s="1515"/>
      <c r="AH44" s="1516"/>
      <c r="AI44" s="7"/>
      <c r="AJ44" s="7"/>
      <c r="AK44" s="1513"/>
      <c r="AL44" s="1513"/>
      <c r="AM44" s="1513"/>
      <c r="AN44" s="1514"/>
      <c r="AO44" s="7"/>
      <c r="AP44" s="1513" t="e">
        <v>#NAME?</v>
      </c>
      <c r="AQ44" s="7"/>
      <c r="AR44" s="1514"/>
      <c r="AS44" s="1512"/>
      <c r="AT44" s="1513" t="e">
        <v>#NAME?</v>
      </c>
      <c r="AU44" s="1513"/>
      <c r="AV44" s="1513"/>
      <c r="AW44" s="1517"/>
      <c r="AX44" s="1515"/>
      <c r="AY44" s="7"/>
      <c r="AZ44" s="1514"/>
      <c r="BA44" s="879"/>
      <c r="BB44" s="7"/>
      <c r="BC44" s="1513"/>
      <c r="BD44" s="1513"/>
      <c r="BE44" s="1513"/>
      <c r="BF44" s="1514"/>
    </row>
    <row r="45" spans="1:58" x14ac:dyDescent="0.45">
      <c r="A45" s="744" t="s">
        <v>3086</v>
      </c>
      <c r="B45" s="1512"/>
      <c r="C45" s="1513"/>
      <c r="D45" s="1513"/>
      <c r="E45" s="7"/>
      <c r="F45" s="1513"/>
      <c r="G45" s="1513"/>
      <c r="H45" s="1513"/>
      <c r="I45" s="1513"/>
      <c r="J45" s="1514"/>
      <c r="K45" s="1513"/>
      <c r="L45" s="1513"/>
      <c r="M45" s="1513"/>
      <c r="N45" s="1513"/>
      <c r="O45" s="1513"/>
      <c r="P45" s="1513"/>
      <c r="Q45" s="1513"/>
      <c r="R45" s="1513"/>
      <c r="S45" s="1513"/>
      <c r="T45" s="1513"/>
      <c r="U45" s="1513"/>
      <c r="V45" s="1513"/>
      <c r="W45" s="1513"/>
      <c r="X45" s="1513"/>
      <c r="Y45" s="1513"/>
      <c r="Z45" s="1513"/>
      <c r="AA45" s="1513"/>
      <c r="AB45" s="1513"/>
      <c r="AC45" s="1513"/>
      <c r="AD45" s="1513"/>
      <c r="AE45" s="7"/>
      <c r="AF45" s="1515"/>
      <c r="AG45" s="1515"/>
      <c r="AH45" s="1516"/>
      <c r="AI45" s="7"/>
      <c r="AJ45" s="7"/>
      <c r="AK45" s="1513"/>
      <c r="AL45" s="1513"/>
      <c r="AM45" s="1513"/>
      <c r="AN45" s="1514"/>
      <c r="AO45" s="7"/>
      <c r="AP45" s="7"/>
      <c r="AQ45" s="7"/>
      <c r="AR45" s="1514"/>
      <c r="AS45" s="1512"/>
      <c r="AT45" s="7"/>
      <c r="AU45" s="7"/>
      <c r="AV45" s="7"/>
      <c r="AW45" s="1517"/>
      <c r="AX45" s="1515"/>
      <c r="AY45" s="7"/>
      <c r="AZ45" s="1514"/>
      <c r="BA45" s="879"/>
      <c r="BB45" s="7"/>
      <c r="BC45" s="1513"/>
      <c r="BD45" s="1513"/>
      <c r="BE45" s="1513"/>
      <c r="BF45" s="1514"/>
    </row>
    <row r="46" spans="1:58" x14ac:dyDescent="0.45">
      <c r="A46" s="744" t="s">
        <v>2386</v>
      </c>
      <c r="B46" s="1512"/>
      <c r="C46" s="1513"/>
      <c r="D46" s="1513"/>
      <c r="E46" s="7"/>
      <c r="F46" s="1513"/>
      <c r="G46" s="1513"/>
      <c r="H46" s="1513"/>
      <c r="I46" s="1513"/>
      <c r="J46" s="1514"/>
      <c r="K46" s="1513"/>
      <c r="L46" s="1513"/>
      <c r="M46" s="1513"/>
      <c r="N46" s="1513"/>
      <c r="O46" s="1513"/>
      <c r="P46" s="1513"/>
      <c r="Q46" s="1513"/>
      <c r="R46" s="1513"/>
      <c r="S46" s="1513"/>
      <c r="T46" s="1513"/>
      <c r="U46" s="1513"/>
      <c r="V46" s="1513"/>
      <c r="W46" s="1513"/>
      <c r="X46" s="1513"/>
      <c r="Y46" s="1513"/>
      <c r="Z46" s="1513"/>
      <c r="AA46" s="1513"/>
      <c r="AB46" s="1513"/>
      <c r="AC46" s="1513"/>
      <c r="AD46" s="1513"/>
      <c r="AE46" s="7"/>
      <c r="AF46" s="1513"/>
      <c r="AG46" s="1513"/>
      <c r="AH46" s="1520"/>
      <c r="AI46" s="7"/>
      <c r="AJ46" s="7"/>
      <c r="AK46" s="1513"/>
      <c r="AL46" s="1294"/>
      <c r="AM46" s="1513"/>
      <c r="AN46" s="1514"/>
      <c r="AO46" s="7"/>
      <c r="AP46" s="7"/>
      <c r="AQ46" s="1513"/>
      <c r="AR46" s="1514"/>
      <c r="AS46" s="1512"/>
      <c r="AT46" s="7"/>
      <c r="AU46" s="7"/>
      <c r="AV46" s="7"/>
      <c r="AW46" s="1517"/>
      <c r="AX46" s="1515"/>
      <c r="AY46" s="7"/>
      <c r="AZ46" s="1514"/>
      <c r="BA46" s="879"/>
      <c r="BB46" s="7"/>
      <c r="BC46" s="1513"/>
      <c r="BD46" s="1294"/>
      <c r="BE46" s="1513"/>
      <c r="BF46" s="1514"/>
    </row>
    <row r="47" spans="1:58" x14ac:dyDescent="0.45">
      <c r="A47" s="744" t="s">
        <v>1664</v>
      </c>
      <c r="B47" s="1512" t="e">
        <v>#NAME?</v>
      </c>
      <c r="C47" s="1513" t="e">
        <v>#NAME?</v>
      </c>
      <c r="D47" s="1513"/>
      <c r="E47" s="1513" t="e">
        <v>#NAME?</v>
      </c>
      <c r="F47" s="1513" t="e">
        <v>#NAME?</v>
      </c>
      <c r="G47" s="1513"/>
      <c r="H47" s="1513"/>
      <c r="I47" s="1513"/>
      <c r="J47" s="1514"/>
      <c r="K47" s="1513" t="e">
        <v>#NAME?</v>
      </c>
      <c r="L47" s="1513" t="e">
        <v>#NAME?</v>
      </c>
      <c r="M47" s="1513" t="e">
        <v>#NAME?</v>
      </c>
      <c r="N47" s="1513"/>
      <c r="O47" s="1513" t="e">
        <v>#NAME?</v>
      </c>
      <c r="P47" s="1513" t="e">
        <v>#NAME?</v>
      </c>
      <c r="Q47" s="1513"/>
      <c r="R47" s="1513" t="e">
        <v>#NAME?</v>
      </c>
      <c r="S47" s="1513" t="e">
        <v>#NAME?</v>
      </c>
      <c r="T47" s="1513"/>
      <c r="U47" s="1513"/>
      <c r="V47" s="1513"/>
      <c r="W47" s="1513"/>
      <c r="X47" s="1513"/>
      <c r="Y47" s="1513"/>
      <c r="Z47" s="1513"/>
      <c r="AA47" s="1513"/>
      <c r="AB47" s="1513"/>
      <c r="AC47" s="1513"/>
      <c r="AD47" s="1513"/>
      <c r="AE47" s="7"/>
      <c r="AF47" s="1513"/>
      <c r="AG47" s="1513"/>
      <c r="AH47" s="1516" t="e">
        <v>#NAME?</v>
      </c>
      <c r="AI47" s="1513" t="e">
        <v>#NAME?</v>
      </c>
      <c r="AJ47" s="1513" t="e">
        <v>#NAME?</v>
      </c>
      <c r="AK47" s="1513"/>
      <c r="AL47" s="1513"/>
      <c r="AM47" s="1513"/>
      <c r="AN47" s="1514"/>
      <c r="AO47" s="1513" t="e">
        <v>#NAME?</v>
      </c>
      <c r="AP47" s="7"/>
      <c r="AQ47" s="1513"/>
      <c r="AR47" s="1514"/>
      <c r="AS47" s="1512" t="e">
        <v>#NAME?</v>
      </c>
      <c r="AT47" s="7"/>
      <c r="AU47" s="7"/>
      <c r="AV47" s="7"/>
      <c r="AW47" s="1517" t="e">
        <v>#NAME?</v>
      </c>
      <c r="AX47" s="1515"/>
      <c r="AY47" s="7"/>
      <c r="AZ47" s="1514"/>
      <c r="BA47" s="1512">
        <v>0</v>
      </c>
      <c r="BB47" s="1513">
        <v>0</v>
      </c>
      <c r="BC47" s="1513"/>
      <c r="BD47" s="1513"/>
      <c r="BE47" s="1513"/>
      <c r="BF47" s="1514"/>
    </row>
    <row r="48" spans="1:58" x14ac:dyDescent="0.45">
      <c r="A48" s="737" t="s">
        <v>3103</v>
      </c>
      <c r="B48" s="1521">
        <v>6646.6731740370033</v>
      </c>
      <c r="C48" s="1522">
        <v>287.97874430271173</v>
      </c>
      <c r="D48" s="1522"/>
      <c r="E48" s="1522">
        <v>6814.9741631706684</v>
      </c>
      <c r="F48" s="1522">
        <v>287.97874430271173</v>
      </c>
      <c r="G48" s="1522"/>
      <c r="H48" s="1522">
        <v>2115.4932461778435</v>
      </c>
      <c r="I48" s="1522"/>
      <c r="J48" s="1523"/>
      <c r="K48" s="1522">
        <v>6646.6731740370033</v>
      </c>
      <c r="L48" s="1522">
        <v>6814.9741631706684</v>
      </c>
      <c r="M48" s="1522">
        <v>287.97874430271173</v>
      </c>
      <c r="N48" s="1522"/>
      <c r="O48" s="1522">
        <v>6646.6731740370033</v>
      </c>
      <c r="P48" s="1522">
        <v>287.97874430271173</v>
      </c>
      <c r="Q48" s="1522"/>
      <c r="R48" s="1522">
        <v>6646.6731740370033</v>
      </c>
      <c r="S48" s="1522">
        <v>287.97874430271173</v>
      </c>
      <c r="T48" s="1522"/>
      <c r="U48" s="1522">
        <v>155.55097398367579</v>
      </c>
      <c r="V48" s="1522">
        <v>155.55097398367579</v>
      </c>
      <c r="W48" s="1522">
        <v>155.55097398367579</v>
      </c>
      <c r="X48" s="1522">
        <v>311.10194796735158</v>
      </c>
      <c r="Y48" s="1522">
        <v>311.10194796735158</v>
      </c>
      <c r="Z48" s="1522">
        <v>311.10194796735158</v>
      </c>
      <c r="AA48" s="1522">
        <v>311.10194796735158</v>
      </c>
      <c r="AB48" s="1522">
        <v>155.55097398367579</v>
      </c>
      <c r="AC48" s="1522">
        <v>1166.6323048775685</v>
      </c>
      <c r="AD48" s="1522">
        <v>1788.8362008120496</v>
      </c>
      <c r="AE48" s="1522">
        <v>3273.9969904669319</v>
      </c>
      <c r="AF48" s="1522">
        <v>3273.9969904669319</v>
      </c>
      <c r="AG48" s="1522">
        <v>3273.9969904669319</v>
      </c>
      <c r="AH48" s="1524" t="e">
        <v>#NAME?</v>
      </c>
      <c r="AI48" s="1522" t="e">
        <v>#NAME?</v>
      </c>
      <c r="AJ48" s="1522" t="e">
        <v>#NAME?</v>
      </c>
      <c r="AK48" s="1522">
        <v>2105.2631578947357</v>
      </c>
      <c r="AL48" s="1522">
        <v>1005.0251256281404</v>
      </c>
      <c r="AM48" s="1522">
        <v>538.00684605180356</v>
      </c>
      <c r="AN48" s="1523">
        <v>4186.3069144863866</v>
      </c>
      <c r="AO48" s="1522" t="e">
        <v>#NAME?</v>
      </c>
      <c r="AP48" s="738"/>
      <c r="AQ48" s="1522">
        <v>2488.9263868382191</v>
      </c>
      <c r="AR48" s="1523">
        <v>1005.0251256281404</v>
      </c>
      <c r="AS48" s="1522" t="e">
        <v>#NAME?</v>
      </c>
      <c r="AT48" s="738"/>
      <c r="AU48" s="738">
        <v>538.00684605180356</v>
      </c>
      <c r="AV48" s="738">
        <v>1606.8305418768869</v>
      </c>
      <c r="AW48" s="1525" t="e">
        <v>#NAME?</v>
      </c>
      <c r="AX48" s="1526"/>
      <c r="AY48" s="1522">
        <v>57.790738429597255</v>
      </c>
      <c r="AZ48" s="1523">
        <v>0</v>
      </c>
      <c r="BA48" s="1521">
        <v>1799.9999999999998</v>
      </c>
      <c r="BB48" s="1522">
        <v>25.999999999999996</v>
      </c>
      <c r="BC48" s="1522"/>
      <c r="BD48" s="1522">
        <v>1799.9999999999998</v>
      </c>
      <c r="BE48" s="1522">
        <v>439.99999999999994</v>
      </c>
      <c r="BF48" s="1523"/>
    </row>
    <row r="49" spans="1:58" x14ac:dyDescent="0.45">
      <c r="A49" s="744" t="s">
        <v>1537</v>
      </c>
      <c r="B49" s="1527">
        <v>36477.345700129175</v>
      </c>
      <c r="C49" s="1513">
        <v>33270.161462796154</v>
      </c>
      <c r="D49" s="1515"/>
      <c r="E49" s="1528">
        <v>34996.092916251968</v>
      </c>
      <c r="F49" s="1513">
        <v>33230.428607876464</v>
      </c>
      <c r="G49" s="1513"/>
      <c r="H49" s="1513">
        <v>32985.837587693735</v>
      </c>
      <c r="I49" s="1513">
        <v>10911.161964458937</v>
      </c>
      <c r="J49" s="1514">
        <v>1484.9613263872905</v>
      </c>
      <c r="K49" s="1513">
        <v>36476.884755003368</v>
      </c>
      <c r="L49" s="1513">
        <v>34996.505095346569</v>
      </c>
      <c r="M49" s="1513">
        <v>33249.685893930546</v>
      </c>
      <c r="N49" s="1515"/>
      <c r="O49" s="1513">
        <v>36477.345700129175</v>
      </c>
      <c r="P49" s="1513">
        <v>33270.161462796154</v>
      </c>
      <c r="Q49" s="1513"/>
      <c r="R49" s="1513">
        <v>36477.345700129175</v>
      </c>
      <c r="S49" s="1513">
        <v>33270.161462796154</v>
      </c>
      <c r="T49" s="1515"/>
      <c r="U49" s="1515">
        <v>2425.4292343892562</v>
      </c>
      <c r="V49" s="1515">
        <v>2425.4292343892562</v>
      </c>
      <c r="W49" s="1515">
        <v>2425.4292343892562</v>
      </c>
      <c r="X49" s="1515">
        <v>4850.8584687785124</v>
      </c>
      <c r="Y49" s="1515">
        <v>4850.8584687785124</v>
      </c>
      <c r="Z49" s="1515">
        <v>4850.8584687785124</v>
      </c>
      <c r="AA49" s="1515">
        <v>4850.8584687785124</v>
      </c>
      <c r="AB49" s="1515">
        <v>2425.4292343892562</v>
      </c>
      <c r="AC49" s="1515">
        <v>18190.719257919423</v>
      </c>
      <c r="AD49" s="1513">
        <v>27892.436195476224</v>
      </c>
      <c r="AE49" s="1513">
        <v>37322.17089655064</v>
      </c>
      <c r="AF49" s="1513">
        <v>37322.17089655064</v>
      </c>
      <c r="AG49" s="1513">
        <v>37322.17089655064</v>
      </c>
      <c r="AH49" s="1520">
        <v>45738.414361726915</v>
      </c>
      <c r="AI49" s="1513">
        <v>109023.92914766302</v>
      </c>
      <c r="AJ49" s="1513">
        <v>108947.94796294442</v>
      </c>
      <c r="AK49" s="1513">
        <v>16188.987227430869</v>
      </c>
      <c r="AL49" s="1513">
        <v>1005.0251256281404</v>
      </c>
      <c r="AM49" s="1513">
        <v>8728.4847900117893</v>
      </c>
      <c r="AN49" s="1513">
        <v>4186.3069144863866</v>
      </c>
      <c r="AO49" s="1512">
        <v>109023.92914766302</v>
      </c>
      <c r="AP49" s="7"/>
      <c r="AQ49" s="1513">
        <v>19133.066573067907</v>
      </c>
      <c r="AR49" s="1514">
        <v>1005.0251256281404</v>
      </c>
      <c r="AS49" s="1513">
        <v>109023.92914766302</v>
      </c>
      <c r="AT49" s="7"/>
      <c r="AU49" s="7">
        <v>8728.4847900117893</v>
      </c>
      <c r="AV49" s="7">
        <v>1606.8305418768869</v>
      </c>
      <c r="AW49" s="1512">
        <v>39996.050209821289</v>
      </c>
      <c r="AX49" s="1515"/>
      <c r="AY49" s="1513">
        <v>9370.1021280963832</v>
      </c>
      <c r="AZ49" s="1514">
        <v>0</v>
      </c>
      <c r="BA49" s="1512">
        <v>42217.594224374276</v>
      </c>
      <c r="BB49" s="1513">
        <v>38239.69327732901</v>
      </c>
      <c r="BC49" s="1513"/>
      <c r="BD49" s="1513">
        <v>36165.077835407981</v>
      </c>
      <c r="BE49" s="1513">
        <v>36165.077835407981</v>
      </c>
      <c r="BF49" s="1514">
        <v>12037.985761708849</v>
      </c>
    </row>
    <row r="50" spans="1:58" x14ac:dyDescent="0.45">
      <c r="A50" s="744" t="s">
        <v>1536</v>
      </c>
      <c r="B50" s="1512">
        <v>36345.108975963223</v>
      </c>
      <c r="C50" s="1513">
        <v>32931.700699552297</v>
      </c>
      <c r="D50" s="1513"/>
      <c r="E50" s="1513">
        <v>34870.369320385158</v>
      </c>
      <c r="F50" s="1513">
        <v>32892.14255159998</v>
      </c>
      <c r="G50" s="1513"/>
      <c r="H50" s="1513">
        <v>32747.94864774177</v>
      </c>
      <c r="I50" s="1513">
        <v>10856.11543150835</v>
      </c>
      <c r="J50" s="1514">
        <v>1484.0098901764816</v>
      </c>
      <c r="K50" s="1513">
        <v>36344.650057631748</v>
      </c>
      <c r="L50" s="1513">
        <v>34870.779687111637</v>
      </c>
      <c r="M50" s="1513">
        <v>32911.315162589737</v>
      </c>
      <c r="N50" s="1515"/>
      <c r="O50" s="1513">
        <v>36345.108975963223</v>
      </c>
      <c r="P50" s="1513">
        <v>32931.700699552297</v>
      </c>
      <c r="Q50" s="1513"/>
      <c r="R50" s="1513">
        <v>36345.108975963223</v>
      </c>
      <c r="S50" s="1513">
        <v>32931.700699552297</v>
      </c>
      <c r="T50" s="1515"/>
      <c r="U50" s="1515">
        <v>2407.9374005692584</v>
      </c>
      <c r="V50" s="1515">
        <v>2407.9374005692584</v>
      </c>
      <c r="W50" s="1515">
        <v>2407.9374005692584</v>
      </c>
      <c r="X50" s="1515">
        <v>4815.8748011385169</v>
      </c>
      <c r="Y50" s="1515">
        <v>4815.8748011385169</v>
      </c>
      <c r="Z50" s="1515">
        <v>4815.8748011385169</v>
      </c>
      <c r="AA50" s="1515">
        <v>4815.8748011385169</v>
      </c>
      <c r="AB50" s="1515">
        <v>2407.9374005692584</v>
      </c>
      <c r="AC50" s="1515">
        <v>18059.530504269438</v>
      </c>
      <c r="AD50" s="1513">
        <v>27691.280106546255</v>
      </c>
      <c r="AE50" s="1513">
        <v>37059.793389250677</v>
      </c>
      <c r="AF50" s="1513">
        <v>37059.793389250677</v>
      </c>
      <c r="AG50" s="1513">
        <v>37059.793389250677</v>
      </c>
      <c r="AH50" s="1520">
        <v>36548.831960336189</v>
      </c>
      <c r="AI50" s="1513">
        <v>108190.30359678307</v>
      </c>
      <c r="AJ50" s="1513">
        <v>108114.65650440156</v>
      </c>
      <c r="AK50" s="1513">
        <v>16151.82784325477</v>
      </c>
      <c r="AL50" s="1513">
        <v>1005.0251256281404</v>
      </c>
      <c r="AM50" s="1513">
        <v>8696.9468126543834</v>
      </c>
      <c r="AN50" s="1513">
        <v>4186.3069144863866</v>
      </c>
      <c r="AO50" s="1512">
        <v>10262.201548078136</v>
      </c>
      <c r="AP50" s="7"/>
      <c r="AQ50" s="1513">
        <v>18319.833164365627</v>
      </c>
      <c r="AR50" s="1514">
        <v>1005.0251256281404</v>
      </c>
      <c r="AS50" s="1513">
        <v>10262.201548078136</v>
      </c>
      <c r="AT50" s="7"/>
      <c r="AU50" s="7">
        <v>8696.9468126543834</v>
      </c>
      <c r="AV50" s="7">
        <v>1606.8305418768869</v>
      </c>
      <c r="AW50" s="1512">
        <v>39544.434946157373</v>
      </c>
      <c r="AX50" s="1515"/>
      <c r="AY50" s="1513">
        <v>8386.7834070184035</v>
      </c>
      <c r="AZ50" s="1514">
        <v>0</v>
      </c>
      <c r="BA50" s="1512">
        <v>42213.697189703336</v>
      </c>
      <c r="BB50" s="1513">
        <v>38230.053634687727</v>
      </c>
      <c r="BC50" s="1513"/>
      <c r="BD50" s="1513">
        <v>36164.623913488795</v>
      </c>
      <c r="BE50" s="1513">
        <v>36164.623913488795</v>
      </c>
      <c r="BF50" s="1514">
        <v>12037.834668280404</v>
      </c>
    </row>
    <row r="51" spans="1:58" x14ac:dyDescent="0.45">
      <c r="A51" s="744" t="s">
        <v>1535</v>
      </c>
      <c r="B51" s="1512">
        <v>318.0629418703503</v>
      </c>
      <c r="C51" s="1513">
        <v>817.14515380846342</v>
      </c>
      <c r="D51" s="1513"/>
      <c r="E51" s="1513">
        <v>302.39721239413387</v>
      </c>
      <c r="F51" s="1513">
        <v>816.72493913392259</v>
      </c>
      <c r="G51" s="1513"/>
      <c r="H51" s="1513">
        <v>574.39260891166771</v>
      </c>
      <c r="I51" s="1513">
        <v>129.60297937580256</v>
      </c>
      <c r="J51" s="1514">
        <v>2.2955557570480636</v>
      </c>
      <c r="K51" s="1513">
        <v>318.05806691468922</v>
      </c>
      <c r="L51" s="1513">
        <v>302.40157160024785</v>
      </c>
      <c r="M51" s="1513">
        <v>816.92860419167164</v>
      </c>
      <c r="N51" s="1513"/>
      <c r="O51" s="1513">
        <v>318.0629418703503</v>
      </c>
      <c r="P51" s="1513">
        <v>817.14515380846342</v>
      </c>
      <c r="Q51" s="1513"/>
      <c r="R51" s="1513">
        <v>318.0629418703503</v>
      </c>
      <c r="S51" s="1513">
        <v>817.14515380846342</v>
      </c>
      <c r="T51" s="1513"/>
      <c r="U51" s="1513">
        <v>42.234750655269686</v>
      </c>
      <c r="V51" s="1513">
        <v>42.234750655269686</v>
      </c>
      <c r="W51" s="1513">
        <v>42.234750655269686</v>
      </c>
      <c r="X51" s="1513">
        <v>84.469501310539371</v>
      </c>
      <c r="Y51" s="1513">
        <v>84.469501310539371</v>
      </c>
      <c r="Z51" s="1515">
        <v>84.469501310539371</v>
      </c>
      <c r="AA51" s="1513">
        <v>84.469501310539371</v>
      </c>
      <c r="AB51" s="1513">
        <v>42.234750655269686</v>
      </c>
      <c r="AC51" s="1513">
        <v>316.76062991452267</v>
      </c>
      <c r="AD51" s="1513">
        <v>485.69963253560144</v>
      </c>
      <c r="AE51" s="1513">
        <v>633.52125982904533</v>
      </c>
      <c r="AF51" s="1513">
        <v>633.52125982904533</v>
      </c>
      <c r="AG51" s="1513">
        <v>633.52125982904533</v>
      </c>
      <c r="AH51" s="1520">
        <v>20944.565758401866</v>
      </c>
      <c r="AI51" s="1513">
        <v>2012.8202463454306</v>
      </c>
      <c r="AJ51" s="1513">
        <v>2012.0166693341062</v>
      </c>
      <c r="AK51" s="1513">
        <v>87.713209030314985</v>
      </c>
      <c r="AL51" s="1513">
        <v>0</v>
      </c>
      <c r="AM51" s="1513">
        <v>74.330538342321617</v>
      </c>
      <c r="AN51" s="1513">
        <v>0</v>
      </c>
      <c r="AO51" s="1512">
        <v>2012.8202463454306</v>
      </c>
      <c r="AP51" s="7"/>
      <c r="AQ51" s="1513">
        <v>103.67160097028801</v>
      </c>
      <c r="AR51" s="1514">
        <v>0</v>
      </c>
      <c r="AS51" s="1513">
        <v>2012.8202463454306</v>
      </c>
      <c r="AT51" s="7"/>
      <c r="AU51" s="7">
        <v>74.330538342321617</v>
      </c>
      <c r="AV51" s="7">
        <v>0</v>
      </c>
      <c r="AW51" s="1512">
        <v>1090.3350681738509</v>
      </c>
      <c r="AX51" s="1513"/>
      <c r="AY51" s="1513">
        <v>2373.108677859299</v>
      </c>
      <c r="AZ51" s="1514">
        <v>0</v>
      </c>
      <c r="BA51" s="1512">
        <v>9.1752791141097347</v>
      </c>
      <c r="BB51" s="1513">
        <v>22.695823687046914</v>
      </c>
      <c r="BC51" s="1513"/>
      <c r="BD51" s="1513">
        <v>1.0687254941948141</v>
      </c>
      <c r="BE51" s="1513">
        <v>1.0687254941948141</v>
      </c>
      <c r="BF51" s="1514">
        <v>0.35573827162336291</v>
      </c>
    </row>
    <row r="52" spans="1:58" x14ac:dyDescent="0.45">
      <c r="A52" s="744" t="s">
        <v>1534</v>
      </c>
      <c r="B52" s="1512">
        <v>32427.671959088573</v>
      </c>
      <c r="C52" s="1513">
        <v>31697.066201291262</v>
      </c>
      <c r="D52" s="1513"/>
      <c r="E52" s="1513">
        <v>31145.879989228295</v>
      </c>
      <c r="F52" s="1513">
        <v>31662.683646922404</v>
      </c>
      <c r="G52" s="1513"/>
      <c r="H52" s="1513">
        <v>32046.111838374483</v>
      </c>
      <c r="I52" s="1513">
        <v>1194.4292713658124</v>
      </c>
      <c r="J52" s="1514">
        <v>1476.2455166581663</v>
      </c>
      <c r="K52" s="1513">
        <v>32427.273083375239</v>
      </c>
      <c r="L52" s="1513">
        <v>31146.236665589924</v>
      </c>
      <c r="M52" s="1513">
        <v>31679.347807755788</v>
      </c>
      <c r="N52" s="1513"/>
      <c r="O52" s="1513">
        <v>32427.671959088573</v>
      </c>
      <c r="P52" s="1513">
        <v>31697.066201291262</v>
      </c>
      <c r="Q52" s="1513"/>
      <c r="R52" s="1513">
        <v>32427.671959088573</v>
      </c>
      <c r="S52" s="1513">
        <v>31697.066201291262</v>
      </c>
      <c r="T52" s="1513"/>
      <c r="U52" s="1513">
        <v>2356.3317528216639</v>
      </c>
      <c r="V52" s="1513">
        <v>2356.3317528216639</v>
      </c>
      <c r="W52" s="1513">
        <v>2356.3317528216639</v>
      </c>
      <c r="X52" s="1513">
        <v>4712.6635056433279</v>
      </c>
      <c r="Y52" s="1513">
        <v>4712.6635056433279</v>
      </c>
      <c r="Z52" s="1513">
        <v>4712.6635056433279</v>
      </c>
      <c r="AA52" s="1513">
        <v>4712.6635056433279</v>
      </c>
      <c r="AB52" s="1513">
        <v>2356.3317528216639</v>
      </c>
      <c r="AC52" s="1513">
        <v>17672.488146162479</v>
      </c>
      <c r="AD52" s="1513">
        <v>27097.81515744892</v>
      </c>
      <c r="AE52" s="1513">
        <v>36285.708673036759</v>
      </c>
      <c r="AF52" s="1513">
        <v>36285.708673036759</v>
      </c>
      <c r="AG52" s="1513">
        <v>36285.708673036759</v>
      </c>
      <c r="AH52" s="1520">
        <v>14892.545523191104</v>
      </c>
      <c r="AI52" s="1513">
        <v>105722.66836014797</v>
      </c>
      <c r="AJ52" s="1513">
        <v>105656.91856140137</v>
      </c>
      <c r="AK52" s="1513">
        <v>10273.247172715677</v>
      </c>
      <c r="AL52" s="1513">
        <v>1005.0251256281404</v>
      </c>
      <c r="AM52" s="1513">
        <v>3381.6518276416191</v>
      </c>
      <c r="AN52" s="1513">
        <v>4186.3069144863866</v>
      </c>
      <c r="AO52" s="1512">
        <v>7794.5663114430427</v>
      </c>
      <c r="AP52" s="7"/>
      <c r="AQ52" s="1513">
        <v>11374.783191969003</v>
      </c>
      <c r="AR52" s="1514">
        <v>1005.0251256281404</v>
      </c>
      <c r="AS52" s="1513">
        <v>7794.5663114430427</v>
      </c>
      <c r="AT52" s="7"/>
      <c r="AU52" s="7">
        <v>3381.6518276416191</v>
      </c>
      <c r="AV52" s="7">
        <v>1606.8305418768869</v>
      </c>
      <c r="AW52" s="1512">
        <v>37900.560269219372</v>
      </c>
      <c r="AX52" s="1513"/>
      <c r="AY52" s="1513">
        <v>2171.1557846759288</v>
      </c>
      <c r="AZ52" s="1514">
        <v>0</v>
      </c>
      <c r="BA52" s="1512">
        <v>41529.695420151496</v>
      </c>
      <c r="BB52" s="1513">
        <v>36538.117795972612</v>
      </c>
      <c r="BC52" s="1513"/>
      <c r="BD52" s="1513">
        <v>36084.952208671639</v>
      </c>
      <c r="BE52" s="1513">
        <v>36084.952208671639</v>
      </c>
      <c r="BF52" s="1514">
        <v>12011.314972883511</v>
      </c>
    </row>
    <row r="53" spans="1:58" x14ac:dyDescent="0.45">
      <c r="A53" s="744" t="s">
        <v>1533</v>
      </c>
      <c r="B53" s="1512">
        <v>3599.3740750042975</v>
      </c>
      <c r="C53" s="1513">
        <v>417.4893444525739</v>
      </c>
      <c r="D53" s="7"/>
      <c r="E53" s="1513">
        <v>3422.0921187627287</v>
      </c>
      <c r="F53" s="1513">
        <v>412.73396554365632</v>
      </c>
      <c r="G53" s="1513"/>
      <c r="H53" s="1513">
        <v>127.44420045561714</v>
      </c>
      <c r="I53" s="1513">
        <v>9532.0831807667346</v>
      </c>
      <c r="J53" s="1514">
        <v>5.4688177612672701</v>
      </c>
      <c r="K53" s="1513">
        <v>3599.3189073418212</v>
      </c>
      <c r="L53" s="1513">
        <v>3422.141449921467</v>
      </c>
      <c r="M53" s="1513">
        <v>415.03875064227776</v>
      </c>
      <c r="N53" s="1515"/>
      <c r="O53" s="1513">
        <v>3599.3740750042975</v>
      </c>
      <c r="P53" s="1513">
        <v>417.4893444525739</v>
      </c>
      <c r="Q53" s="1513"/>
      <c r="R53" s="1513">
        <v>3599.3740750042975</v>
      </c>
      <c r="S53" s="1513">
        <v>417.4893444525739</v>
      </c>
      <c r="T53" s="7"/>
      <c r="U53" s="1515">
        <v>9.370897092324789</v>
      </c>
      <c r="V53" s="1515">
        <v>9.370897092324789</v>
      </c>
      <c r="W53" s="1515">
        <v>9.370897092324789</v>
      </c>
      <c r="X53" s="1515">
        <v>18.741794184649578</v>
      </c>
      <c r="Y53" s="1515">
        <v>18.741794184649578</v>
      </c>
      <c r="Z53" s="1515">
        <v>18.741794184649578</v>
      </c>
      <c r="AA53" s="1515">
        <v>18.741794184649578</v>
      </c>
      <c r="AB53" s="1515">
        <v>9.370897092324789</v>
      </c>
      <c r="AC53" s="1515">
        <v>70.281728192435921</v>
      </c>
      <c r="AD53" s="1513">
        <v>107.76531656173509</v>
      </c>
      <c r="AE53" s="1513">
        <v>140.56345638487184</v>
      </c>
      <c r="AF53" s="1513">
        <v>140.56345638487184</v>
      </c>
      <c r="AG53" s="1513">
        <v>140.56345638487184</v>
      </c>
      <c r="AH53" s="1520">
        <v>711.7206787432184</v>
      </c>
      <c r="AI53" s="1513">
        <v>454.81499028966192</v>
      </c>
      <c r="AJ53" s="1513">
        <v>445.72127366608322</v>
      </c>
      <c r="AK53" s="1513">
        <v>5790.8674615087775</v>
      </c>
      <c r="AL53" s="1513">
        <v>0</v>
      </c>
      <c r="AM53" s="1513">
        <v>5240.9644466704431</v>
      </c>
      <c r="AN53" s="1513">
        <v>0</v>
      </c>
      <c r="AO53" s="1512">
        <v>454.81499028966192</v>
      </c>
      <c r="AP53" s="7"/>
      <c r="AQ53" s="1513">
        <v>6841.3783714263382</v>
      </c>
      <c r="AR53" s="1514">
        <v>0</v>
      </c>
      <c r="AS53" s="1513">
        <v>454.81499028966192</v>
      </c>
      <c r="AT53" s="7"/>
      <c r="AU53" s="7">
        <v>5240.9644466704431</v>
      </c>
      <c r="AV53" s="7">
        <v>0</v>
      </c>
      <c r="AW53" s="1512">
        <v>553.53960876414635</v>
      </c>
      <c r="AX53" s="7"/>
      <c r="AY53" s="1513">
        <v>3842.5189444831758</v>
      </c>
      <c r="AZ53" s="1514">
        <v>0</v>
      </c>
      <c r="BA53" s="1512">
        <v>674.82649043772506</v>
      </c>
      <c r="BB53" s="1513">
        <v>1669.2400150280687</v>
      </c>
      <c r="BC53" s="1513"/>
      <c r="BD53" s="1513">
        <v>78.602979322963392</v>
      </c>
      <c r="BE53" s="1513">
        <v>78.602979322963392</v>
      </c>
      <c r="BF53" s="1514">
        <v>26.163957125271704</v>
      </c>
    </row>
    <row r="54" spans="1:58" x14ac:dyDescent="0.45">
      <c r="A54" s="1529" t="s">
        <v>1532</v>
      </c>
      <c r="B54" s="1530">
        <v>0.25635377868641523</v>
      </c>
      <c r="C54" s="1531">
        <v>1.9259896181839136</v>
      </c>
      <c r="D54" s="1532"/>
      <c r="E54" s="1531">
        <v>1.8106102447788095</v>
      </c>
      <c r="F54" s="1531">
        <v>1.9676807105804419</v>
      </c>
      <c r="G54" s="1531"/>
      <c r="H54" s="1531">
        <v>0.19628220446906677</v>
      </c>
      <c r="I54" s="1531">
        <v>0.20728815727564001</v>
      </c>
      <c r="J54" s="1533">
        <v>4.3216601792701106E-3</v>
      </c>
      <c r="K54" s="1531">
        <v>0.28678255669019365</v>
      </c>
      <c r="L54" s="1531">
        <v>1.8101860866355999</v>
      </c>
      <c r="M54" s="1531">
        <v>1.9478637552740152</v>
      </c>
      <c r="N54" s="1534"/>
      <c r="O54" s="1531">
        <v>0.28630821524191225</v>
      </c>
      <c r="P54" s="1531">
        <v>1.9267931105349931</v>
      </c>
      <c r="Q54" s="1531"/>
      <c r="R54" s="1531">
        <v>0.13444331216737623</v>
      </c>
      <c r="S54" s="1531">
        <v>0.17711902362314932</v>
      </c>
      <c r="T54" s="1532"/>
      <c r="U54" s="1534">
        <v>1.4432515034490204E-2</v>
      </c>
      <c r="V54" s="1534">
        <v>1.4432515034490204E-2</v>
      </c>
      <c r="W54" s="1534">
        <v>1.4432515034490204E-2</v>
      </c>
      <c r="X54" s="1534">
        <v>2.8865030068980408E-2</v>
      </c>
      <c r="Y54" s="1534">
        <v>2.8865030068980408E-2</v>
      </c>
      <c r="Z54" s="1534">
        <v>2.8865030068980408E-2</v>
      </c>
      <c r="AA54" s="1534">
        <v>2.8865030068980408E-2</v>
      </c>
      <c r="AB54" s="1534">
        <v>1.4432515034490204E-2</v>
      </c>
      <c r="AC54" s="1534">
        <v>0.10824386275867653</v>
      </c>
      <c r="AD54" s="1531">
        <v>0.16597392289663737</v>
      </c>
      <c r="AE54" s="1531">
        <v>0.21648772551735307</v>
      </c>
      <c r="AF54" s="1531">
        <v>0.21648772551735307</v>
      </c>
      <c r="AG54" s="1531">
        <v>0.21648772551735307</v>
      </c>
      <c r="AH54" s="1535">
        <v>4.3503982029263994</v>
      </c>
      <c r="AI54" s="1531">
        <v>0.61030820745161496</v>
      </c>
      <c r="AJ54" s="1531">
        <v>0.6884976126185246</v>
      </c>
      <c r="AK54" s="1531">
        <v>0.13464340475724232</v>
      </c>
      <c r="AL54" s="1531">
        <v>0</v>
      </c>
      <c r="AM54" s="1531">
        <v>0.11860899676493683</v>
      </c>
      <c r="AN54" s="1531">
        <v>0</v>
      </c>
      <c r="AO54" s="1530">
        <v>0.42597652914025302</v>
      </c>
      <c r="AP54" s="1532"/>
      <c r="AQ54" s="1531">
        <v>0.14270581217661302</v>
      </c>
      <c r="AR54" s="1533">
        <v>0</v>
      </c>
      <c r="AS54" s="1531">
        <v>0.42597652914025302</v>
      </c>
      <c r="AT54" s="1532"/>
      <c r="AU54" s="1532">
        <v>0.11860899676493683</v>
      </c>
      <c r="AV54" s="1532">
        <v>0</v>
      </c>
      <c r="AW54" s="1530">
        <v>0.33088866861127808</v>
      </c>
      <c r="AX54" s="1532"/>
      <c r="AY54" s="1531">
        <v>0.56386828681803269</v>
      </c>
      <c r="AZ54" s="1533">
        <v>0</v>
      </c>
      <c r="BA54" s="1530">
        <v>0.19630204661575995</v>
      </c>
      <c r="BB54" s="1531">
        <v>1.8018885890161587</v>
      </c>
      <c r="BC54" s="1531"/>
      <c r="BD54" s="1531">
        <v>6.7004454240402855E-2</v>
      </c>
      <c r="BE54" s="1531">
        <v>6.7004454240402855E-2</v>
      </c>
      <c r="BF54" s="1533">
        <v>2.2303247065801383E-2</v>
      </c>
    </row>
    <row r="55" spans="1:58" x14ac:dyDescent="0.45">
      <c r="A55" s="1500" t="s">
        <v>2520</v>
      </c>
      <c r="B55" s="1536"/>
      <c r="C55" s="1537"/>
      <c r="D55" s="1537"/>
      <c r="E55" s="1537"/>
      <c r="F55" s="1537"/>
      <c r="G55" s="1537"/>
      <c r="H55" s="1537"/>
      <c r="I55" s="1537"/>
      <c r="J55" s="1538"/>
      <c r="K55" s="1536"/>
      <c r="L55" s="1537"/>
      <c r="M55" s="1537"/>
      <c r="N55" s="1537"/>
      <c r="O55" s="1537"/>
      <c r="P55" s="1537"/>
      <c r="Q55" s="1537"/>
      <c r="R55" s="1537"/>
      <c r="S55" s="1537"/>
      <c r="T55" s="1537"/>
      <c r="U55" s="1537"/>
      <c r="V55" s="1537"/>
      <c r="W55" s="1537"/>
      <c r="X55" s="1537"/>
      <c r="Y55" s="1537"/>
      <c r="Z55" s="1537"/>
      <c r="AA55" s="1537"/>
      <c r="AB55" s="1537"/>
      <c r="AC55" s="1537"/>
      <c r="AD55" s="1537"/>
      <c r="AE55" s="1537"/>
      <c r="AF55" s="1537"/>
      <c r="AG55" s="1537"/>
      <c r="AH55" s="1539"/>
      <c r="AI55" s="1537"/>
      <c r="AJ55" s="1537"/>
      <c r="AK55" s="1528"/>
      <c r="AL55" s="1537"/>
      <c r="AM55" s="1537"/>
      <c r="AN55" s="1537"/>
      <c r="AO55" s="1536"/>
      <c r="AP55" s="1537"/>
      <c r="AQ55" s="1528"/>
      <c r="AR55" s="1538"/>
      <c r="AS55" s="1537"/>
      <c r="AT55" s="1537"/>
      <c r="AU55" s="1537"/>
      <c r="AV55" s="1537"/>
      <c r="AW55" s="1536"/>
      <c r="AX55" s="1537"/>
      <c r="AY55" s="1528"/>
      <c r="AZ55" s="1538"/>
      <c r="BA55" s="1540"/>
      <c r="BB55" s="1541"/>
      <c r="BC55" s="1528"/>
      <c r="BD55" s="1537"/>
      <c r="BE55" s="1537"/>
      <c r="BF55" s="1538"/>
    </row>
    <row r="56" spans="1:58" x14ac:dyDescent="0.45">
      <c r="A56" s="744" t="s">
        <v>1525</v>
      </c>
      <c r="B56" s="904">
        <v>1.834742106640425</v>
      </c>
      <c r="C56" s="905">
        <v>0.23840112318896226</v>
      </c>
      <c r="D56" s="907">
        <v>4.4000000000000004</v>
      </c>
      <c r="E56" s="905">
        <v>1.7439145712652355</v>
      </c>
      <c r="F56" s="905">
        <v>0.23596478192091125</v>
      </c>
      <c r="G56" s="905">
        <v>4.4000000000000004</v>
      </c>
      <c r="H56" s="905">
        <v>3.8829583238616112</v>
      </c>
      <c r="I56" s="905">
        <v>0.44523088692935275</v>
      </c>
      <c r="J56" s="906">
        <v>0.1935370770511213</v>
      </c>
      <c r="K56" s="904">
        <v>1.8347138423831855</v>
      </c>
      <c r="L56" s="905">
        <v>1.7439398452844326</v>
      </c>
      <c r="M56" s="905">
        <v>0.23714560119048206</v>
      </c>
      <c r="N56" s="905">
        <v>4.4000000000000004</v>
      </c>
      <c r="O56" s="905">
        <v>1.834742106640425</v>
      </c>
      <c r="P56" s="905">
        <v>0.23840112318896226</v>
      </c>
      <c r="Q56" s="905">
        <v>4.4000000000000004</v>
      </c>
      <c r="R56" s="905">
        <v>1.834742106640425</v>
      </c>
      <c r="S56" s="905">
        <v>0.23840112318896226</v>
      </c>
      <c r="T56" s="905">
        <v>4.4000000000000004</v>
      </c>
      <c r="U56" s="905">
        <v>0.28551164146041258</v>
      </c>
      <c r="V56" s="905">
        <v>0.28551164146041258</v>
      </c>
      <c r="W56" s="905">
        <v>0.28551164146041258</v>
      </c>
      <c r="X56" s="905">
        <v>0.57102328292082516</v>
      </c>
      <c r="Y56" s="905">
        <v>0.57102328292082516</v>
      </c>
      <c r="Z56" s="905">
        <v>0.57102328292082516</v>
      </c>
      <c r="AA56" s="905">
        <v>0.57102328292082516</v>
      </c>
      <c r="AB56" s="905">
        <v>0.28551164146041258</v>
      </c>
      <c r="AC56" s="905">
        <v>2.1413373109530944</v>
      </c>
      <c r="AD56" s="905">
        <v>3.283383876794745</v>
      </c>
      <c r="AE56" s="905">
        <v>4.2826746219061889</v>
      </c>
      <c r="AF56" s="905">
        <v>4.2826746219061889</v>
      </c>
      <c r="AG56" s="905">
        <v>4.2826746219061889</v>
      </c>
      <c r="AH56" s="947">
        <v>0.32849973242409258</v>
      </c>
      <c r="AI56" s="905">
        <v>0.78729738000471639</v>
      </c>
      <c r="AJ56" s="905">
        <v>0.78263836176151413</v>
      </c>
      <c r="AK56" s="1542">
        <v>1.0444374917345081</v>
      </c>
      <c r="AL56" s="905"/>
      <c r="AM56" s="905">
        <v>0.25652282881602445</v>
      </c>
      <c r="AN56" s="905"/>
      <c r="AO56" s="904">
        <v>0.78729738000471639</v>
      </c>
      <c r="AP56" s="905" t="e">
        <v>#NAME?</v>
      </c>
      <c r="AQ56" s="1542">
        <v>1.2124443794438253</v>
      </c>
      <c r="AR56" s="906"/>
      <c r="AS56" s="905">
        <v>0.78729738000471639</v>
      </c>
      <c r="AT56" s="905" t="e">
        <v>#NAME?</v>
      </c>
      <c r="AU56" s="905">
        <v>0.25652282881602445</v>
      </c>
      <c r="AV56" s="905"/>
      <c r="AW56" s="904">
        <v>0.31600384539096105</v>
      </c>
      <c r="AX56" s="905" t="e">
        <v>#NAME?</v>
      </c>
      <c r="AY56" s="1542">
        <v>0.1955252057652897</v>
      </c>
      <c r="AZ56" s="906"/>
      <c r="BA56" s="1543">
        <v>2.6059864347287198</v>
      </c>
      <c r="BB56" s="1544">
        <v>0.16789390638171486</v>
      </c>
      <c r="BC56" s="1542"/>
      <c r="BD56" s="905">
        <v>4.5547182665467254</v>
      </c>
      <c r="BE56" s="905">
        <v>4.5547182665467254</v>
      </c>
      <c r="BF56" s="906">
        <v>1.5160933398462897</v>
      </c>
    </row>
    <row r="57" spans="1:58" x14ac:dyDescent="0.45">
      <c r="A57" s="744" t="s">
        <v>1524</v>
      </c>
      <c r="B57" s="904">
        <v>9.7610640234996389</v>
      </c>
      <c r="C57" s="905">
        <v>1.3282835050322566</v>
      </c>
      <c r="D57" s="907">
        <v>1.2</v>
      </c>
      <c r="E57" s="905">
        <v>9.2755132600080881</v>
      </c>
      <c r="F57" s="905">
        <v>1.3152591797773487</v>
      </c>
      <c r="G57" s="905">
        <v>1.2</v>
      </c>
      <c r="H57" s="905">
        <v>19.930421016496467</v>
      </c>
      <c r="I57" s="905">
        <v>1.3733963702298133</v>
      </c>
      <c r="J57" s="906">
        <v>0.99435461430014205</v>
      </c>
      <c r="K57" s="904">
        <v>9.7609129269007351</v>
      </c>
      <c r="L57" s="905">
        <v>9.2756483712303286</v>
      </c>
      <c r="M57" s="905">
        <v>1.3215716674554214</v>
      </c>
      <c r="N57" s="905">
        <v>1.2</v>
      </c>
      <c r="O57" s="905">
        <v>9.7610640234996389</v>
      </c>
      <c r="P57" s="905">
        <v>1.3282835050322566</v>
      </c>
      <c r="Q57" s="905">
        <v>1.2</v>
      </c>
      <c r="R57" s="905">
        <v>9.7610640234996389</v>
      </c>
      <c r="S57" s="905">
        <v>1.3282835050322566</v>
      </c>
      <c r="T57" s="905">
        <v>1.2</v>
      </c>
      <c r="U57" s="905">
        <v>1.4654721335659169</v>
      </c>
      <c r="V57" s="905">
        <v>1.4654721335659169</v>
      </c>
      <c r="W57" s="905">
        <v>1.4654721335659169</v>
      </c>
      <c r="X57" s="905">
        <v>2.9309442671318338</v>
      </c>
      <c r="Y57" s="905">
        <v>2.9309442671318338</v>
      </c>
      <c r="Z57" s="905">
        <v>2.9309442671318338</v>
      </c>
      <c r="AA57" s="905">
        <v>2.9309442671318338</v>
      </c>
      <c r="AB57" s="905">
        <v>1.4654721335659169</v>
      </c>
      <c r="AC57" s="905">
        <v>10.991041001744376</v>
      </c>
      <c r="AD57" s="905">
        <v>16.852929536008045</v>
      </c>
      <c r="AE57" s="905">
        <v>21.982082003488753</v>
      </c>
      <c r="AF57" s="905">
        <v>21.982082003488753</v>
      </c>
      <c r="AG57" s="905">
        <v>21.982082003488753</v>
      </c>
      <c r="AH57" s="947">
        <v>0.91731313407394632</v>
      </c>
      <c r="AI57" s="905">
        <v>5.4180678041013746</v>
      </c>
      <c r="AJ57" s="905">
        <v>5.3931613717539237</v>
      </c>
      <c r="AK57" s="1542">
        <v>1.786541567463438</v>
      </c>
      <c r="AL57" s="905"/>
      <c r="AM57" s="905">
        <v>0.98300099253226703</v>
      </c>
      <c r="AN57" s="905"/>
      <c r="AO57" s="904">
        <v>5.4180678041013746</v>
      </c>
      <c r="AP57" s="905" t="e">
        <v>#NAME?</v>
      </c>
      <c r="AQ57" s="1542">
        <v>1.886644242184957</v>
      </c>
      <c r="AR57" s="906"/>
      <c r="AS57" s="905">
        <v>5.4180678041013746</v>
      </c>
      <c r="AT57" s="905" t="e">
        <v>#NAME?</v>
      </c>
      <c r="AU57" s="905">
        <v>0.98300099253226703</v>
      </c>
      <c r="AV57" s="905"/>
      <c r="AW57" s="904">
        <v>1.7079899216148096</v>
      </c>
      <c r="AX57" s="905" t="e">
        <v>#NAME?</v>
      </c>
      <c r="AY57" s="1542">
        <v>0.61925103609071575</v>
      </c>
      <c r="AZ57" s="906"/>
      <c r="BA57" s="1543">
        <v>14.235757999754346</v>
      </c>
      <c r="BB57" s="1544">
        <v>1.9776266531733171</v>
      </c>
      <c r="BC57" s="1542"/>
      <c r="BD57" s="905">
        <v>24.171231072215214</v>
      </c>
      <c r="BE57" s="905">
        <v>24.171231072215214</v>
      </c>
      <c r="BF57" s="906">
        <v>8.0456880755118867</v>
      </c>
    </row>
    <row r="58" spans="1:58" x14ac:dyDescent="0.45">
      <c r="A58" s="744" t="s">
        <v>1523</v>
      </c>
      <c r="B58" s="904">
        <v>13.40943926944338</v>
      </c>
      <c r="C58" s="905">
        <v>1.7789677022695074</v>
      </c>
      <c r="D58" s="907">
        <v>1.546</v>
      </c>
      <c r="E58" s="905">
        <v>12.739979737015696</v>
      </c>
      <c r="F58" s="905">
        <v>1.7610102416887896</v>
      </c>
      <c r="G58" s="905">
        <v>1.546</v>
      </c>
      <c r="H58" s="905">
        <v>23.600548038891951</v>
      </c>
      <c r="I58" s="905">
        <v>9.2360447549432845</v>
      </c>
      <c r="J58" s="906">
        <v>1.1762345911992398</v>
      </c>
      <c r="K58" s="904">
        <v>13.409230943010675</v>
      </c>
      <c r="L58" s="905">
        <v>12.740166023399055</v>
      </c>
      <c r="M58" s="905">
        <v>1.7697136675036929</v>
      </c>
      <c r="N58" s="905">
        <v>1.546</v>
      </c>
      <c r="O58" s="905">
        <v>13.40943926944338</v>
      </c>
      <c r="P58" s="905">
        <v>1.7789677022695074</v>
      </c>
      <c r="Q58" s="905">
        <v>1.546</v>
      </c>
      <c r="R58" s="905">
        <v>13.40943926944338</v>
      </c>
      <c r="S58" s="905">
        <v>1.7789677022695074</v>
      </c>
      <c r="T58" s="905">
        <v>1.546</v>
      </c>
      <c r="U58" s="905">
        <v>1.7353344146244083</v>
      </c>
      <c r="V58" s="905">
        <v>1.7353344146244083</v>
      </c>
      <c r="W58" s="905">
        <v>1.7353344146244083</v>
      </c>
      <c r="X58" s="905">
        <v>3.4706688292488166</v>
      </c>
      <c r="Y58" s="905">
        <v>3.4706688292488166</v>
      </c>
      <c r="Z58" s="905">
        <v>3.4706688292488166</v>
      </c>
      <c r="AA58" s="905">
        <v>3.4706688292488166</v>
      </c>
      <c r="AB58" s="905">
        <v>1.7353344146244083</v>
      </c>
      <c r="AC58" s="905">
        <v>13.015008109683063</v>
      </c>
      <c r="AD58" s="905">
        <v>19.956345768180697</v>
      </c>
      <c r="AE58" s="905">
        <v>26.030016219366125</v>
      </c>
      <c r="AF58" s="905">
        <v>26.030016219366125</v>
      </c>
      <c r="AG58" s="905">
        <v>26.030016219366125</v>
      </c>
      <c r="AH58" s="947">
        <v>2.0602083145628289</v>
      </c>
      <c r="AI58" s="905">
        <v>5.0756937841459049</v>
      </c>
      <c r="AJ58" s="905">
        <v>5.0413537113719133</v>
      </c>
      <c r="AK58" s="1542">
        <v>25.43861352566357</v>
      </c>
      <c r="AL58" s="905"/>
      <c r="AM58" s="905">
        <v>5.5982015738069153</v>
      </c>
      <c r="AN58" s="905"/>
      <c r="AO58" s="904">
        <v>5.075693784145904</v>
      </c>
      <c r="AP58" s="905" t="e">
        <v>#NAME?</v>
      </c>
      <c r="AQ58" s="1542">
        <v>29.631671234072478</v>
      </c>
      <c r="AR58" s="906"/>
      <c r="AS58" s="905">
        <v>5.075693784145904</v>
      </c>
      <c r="AT58" s="905" t="e">
        <v>#NAME?</v>
      </c>
      <c r="AU58" s="905">
        <v>5.5982015738069153</v>
      </c>
      <c r="AV58" s="905"/>
      <c r="AW58" s="904">
        <v>2.2226112206191648</v>
      </c>
      <c r="AX58" s="905" t="e">
        <v>#NAME?</v>
      </c>
      <c r="AY58" s="1542">
        <v>3.1664295137022074</v>
      </c>
      <c r="AZ58" s="906"/>
      <c r="BA58" s="1543">
        <v>17.474567201695198</v>
      </c>
      <c r="BB58" s="1544">
        <v>3.0908897157546797</v>
      </c>
      <c r="BC58" s="1542"/>
      <c r="BD58" s="905">
        <v>28.566120216910292</v>
      </c>
      <c r="BE58" s="905">
        <v>28.566120216910292</v>
      </c>
      <c r="BF58" s="906">
        <v>9.5085803493487795</v>
      </c>
    </row>
    <row r="59" spans="1:58" x14ac:dyDescent="0.45">
      <c r="A59" s="744" t="s">
        <v>1522</v>
      </c>
      <c r="B59" s="904">
        <v>0.26852172116543138</v>
      </c>
      <c r="C59" s="905">
        <v>0.1373252590498942</v>
      </c>
      <c r="D59" s="907">
        <v>0.02</v>
      </c>
      <c r="E59" s="905">
        <v>0.25461531625228195</v>
      </c>
      <c r="F59" s="905">
        <v>0.13695223617703767</v>
      </c>
      <c r="G59" s="905">
        <v>0.02</v>
      </c>
      <c r="H59" s="905">
        <v>5.4542418044057142E-2</v>
      </c>
      <c r="I59" s="905">
        <v>0.28151116677323573</v>
      </c>
      <c r="J59" s="906">
        <v>2.2554315272959465E-3</v>
      </c>
      <c r="K59" s="904">
        <v>0.26851739368694022</v>
      </c>
      <c r="L59" s="905">
        <v>0.25461918590197891</v>
      </c>
      <c r="M59" s="905">
        <v>0.1371330288279014</v>
      </c>
      <c r="N59" s="905">
        <v>0.02</v>
      </c>
      <c r="O59" s="905">
        <v>0.26852172116543138</v>
      </c>
      <c r="P59" s="905">
        <v>0.1373252590498942</v>
      </c>
      <c r="Q59" s="905">
        <v>0.02</v>
      </c>
      <c r="R59" s="905">
        <v>0.26852172116543138</v>
      </c>
      <c r="S59" s="905">
        <v>0.1373252590498942</v>
      </c>
      <c r="T59" s="905">
        <v>0.02</v>
      </c>
      <c r="U59" s="905">
        <v>4.0104719150042016E-3</v>
      </c>
      <c r="V59" s="905">
        <v>4.0104719150042016E-3</v>
      </c>
      <c r="W59" s="905">
        <v>4.0104719150042016E-3</v>
      </c>
      <c r="X59" s="905">
        <v>8.0209438300084031E-3</v>
      </c>
      <c r="Y59" s="905">
        <v>8.0209438300084031E-3</v>
      </c>
      <c r="Z59" s="905">
        <v>8.0209438300084031E-3</v>
      </c>
      <c r="AA59" s="905">
        <v>8.0209438300084031E-3</v>
      </c>
      <c r="AB59" s="905">
        <v>4.0104719150042016E-3</v>
      </c>
      <c r="AC59" s="905">
        <v>3.0078539362531513E-2</v>
      </c>
      <c r="AD59" s="905">
        <v>4.6120427022548323E-2</v>
      </c>
      <c r="AE59" s="905">
        <v>6.0157078725063026E-2</v>
      </c>
      <c r="AF59" s="905">
        <v>6.0157078725063026E-2</v>
      </c>
      <c r="AG59" s="905">
        <v>6.0157078725063026E-2</v>
      </c>
      <c r="AH59" s="947">
        <v>0.37209439030297919</v>
      </c>
      <c r="AI59" s="905">
        <v>0.42190089384185103</v>
      </c>
      <c r="AJ59" s="905">
        <v>0.42118756176782657</v>
      </c>
      <c r="AK59" s="1542">
        <v>1.1340835665247229</v>
      </c>
      <c r="AL59" s="905"/>
      <c r="AM59" s="905">
        <v>0.13011416724546784</v>
      </c>
      <c r="AN59" s="905"/>
      <c r="AO59" s="904">
        <v>0.42190089384185103</v>
      </c>
      <c r="AP59" s="905" t="e">
        <v>#NAME?</v>
      </c>
      <c r="AQ59" s="1542">
        <v>1.3079019422976212</v>
      </c>
      <c r="AR59" s="906"/>
      <c r="AS59" s="905">
        <v>0.42190089384185103</v>
      </c>
      <c r="AT59" s="905" t="e">
        <v>#NAME?</v>
      </c>
      <c r="AU59" s="905">
        <v>0.13011416724546784</v>
      </c>
      <c r="AV59" s="905"/>
      <c r="AW59" s="904">
        <v>0.16803933992140571</v>
      </c>
      <c r="AX59" s="905" t="e">
        <v>#NAME?</v>
      </c>
      <c r="AY59" s="1542">
        <v>0.15887038325794686</v>
      </c>
      <c r="AZ59" s="906"/>
      <c r="BA59" s="1543">
        <v>0.2333594138833828</v>
      </c>
      <c r="BB59" s="1544">
        <v>0.18113042281839034</v>
      </c>
      <c r="BC59" s="1542"/>
      <c r="BD59" s="905">
        <v>5.4059616511668365E-2</v>
      </c>
      <c r="BE59" s="905">
        <v>5.4059616511668365E-2</v>
      </c>
      <c r="BF59" s="906">
        <v>1.7994400476963969E-2</v>
      </c>
    </row>
    <row r="60" spans="1:58" x14ac:dyDescent="0.45">
      <c r="A60" s="744" t="s">
        <v>1521</v>
      </c>
      <c r="B60" s="904">
        <v>0.24380630230078282</v>
      </c>
      <c r="C60" s="905">
        <v>0.12624024966994263</v>
      </c>
      <c r="D60" s="905">
        <v>0.01</v>
      </c>
      <c r="E60" s="905">
        <v>0.23111721954263875</v>
      </c>
      <c r="F60" s="905">
        <v>0.12589988002488203</v>
      </c>
      <c r="G60" s="905">
        <v>0.01</v>
      </c>
      <c r="H60" s="905">
        <v>4.783870867490092E-2</v>
      </c>
      <c r="I60" s="905">
        <v>0.27015048349387966</v>
      </c>
      <c r="J60" s="906">
        <v>2.1854267519897715E-3</v>
      </c>
      <c r="K60" s="904">
        <v>0.2438023536359013</v>
      </c>
      <c r="L60" s="905">
        <v>0.23112075045559261</v>
      </c>
      <c r="M60" s="905">
        <v>0.12606484666602344</v>
      </c>
      <c r="N60" s="905">
        <v>0.01</v>
      </c>
      <c r="O60" s="905">
        <v>0.24380630230078282</v>
      </c>
      <c r="P60" s="905">
        <v>0.12624024966994263</v>
      </c>
      <c r="Q60" s="905">
        <v>0.01</v>
      </c>
      <c r="R60" s="905">
        <v>0.24380630230078282</v>
      </c>
      <c r="S60" s="905">
        <v>0.12624024966994263</v>
      </c>
      <c r="T60" s="905">
        <v>0.01</v>
      </c>
      <c r="U60" s="905">
        <v>3.5175521084485975E-3</v>
      </c>
      <c r="V60" s="905">
        <v>3.5175521084485975E-3</v>
      </c>
      <c r="W60" s="905">
        <v>3.5175521084485975E-3</v>
      </c>
      <c r="X60" s="905">
        <v>7.035104216897195E-3</v>
      </c>
      <c r="Y60" s="905">
        <v>7.035104216897195E-3</v>
      </c>
      <c r="Z60" s="905">
        <v>7.035104216897195E-3</v>
      </c>
      <c r="AA60" s="905">
        <v>7.035104216897195E-3</v>
      </c>
      <c r="AB60" s="905">
        <v>3.5175521084485975E-3</v>
      </c>
      <c r="AC60" s="905">
        <v>2.6381640813364481E-2</v>
      </c>
      <c r="AD60" s="905">
        <v>4.0451849247158875E-2</v>
      </c>
      <c r="AE60" s="905">
        <v>5.2763281626728963E-2</v>
      </c>
      <c r="AF60" s="905">
        <v>5.2763281626728963E-2</v>
      </c>
      <c r="AG60" s="905">
        <v>5.2763281626728963E-2</v>
      </c>
      <c r="AH60" s="947">
        <v>0.16194148983854195</v>
      </c>
      <c r="AI60" s="905">
        <v>0.39836237863291579</v>
      </c>
      <c r="AJ60" s="905">
        <v>0.3977114893644193</v>
      </c>
      <c r="AK60" s="1542">
        <v>1.0427150415374082</v>
      </c>
      <c r="AL60" s="905"/>
      <c r="AM60" s="905">
        <v>0.11918375647340469</v>
      </c>
      <c r="AN60" s="905"/>
      <c r="AO60" s="904">
        <v>0.39836237863291579</v>
      </c>
      <c r="AP60" s="905" t="e">
        <v>#NAME?</v>
      </c>
      <c r="AQ60" s="1542">
        <v>1.1999584298469124</v>
      </c>
      <c r="AR60" s="906"/>
      <c r="AS60" s="905">
        <v>0.39836237863291579</v>
      </c>
      <c r="AT60" s="905" t="e">
        <v>#NAME?</v>
      </c>
      <c r="AU60" s="905">
        <v>0.11918375647340469</v>
      </c>
      <c r="AV60" s="905"/>
      <c r="AW60" s="904">
        <v>0.15326950113387691</v>
      </c>
      <c r="AX60" s="905" t="e">
        <v>#NAME?</v>
      </c>
      <c r="AY60" s="1542">
        <v>0.12478076163891004</v>
      </c>
      <c r="AZ60" s="906"/>
      <c r="BA60" s="1543">
        <v>0.22957796653926343</v>
      </c>
      <c r="BB60" s="1544">
        <v>0.16933714240747894</v>
      </c>
      <c r="BC60" s="1542"/>
      <c r="BD60" s="905">
        <v>5.3537353835473367E-2</v>
      </c>
      <c r="BE60" s="905">
        <v>5.3537353835473367E-2</v>
      </c>
      <c r="BF60" s="906">
        <v>1.7820558996834428E-2</v>
      </c>
    </row>
    <row r="61" spans="1:58" x14ac:dyDescent="0.45">
      <c r="A61" s="744" t="s">
        <v>1520</v>
      </c>
      <c r="B61" s="904">
        <v>0.54416901641602045</v>
      </c>
      <c r="C61" s="905">
        <v>0.51251656700339043</v>
      </c>
      <c r="D61" s="907">
        <v>10.089</v>
      </c>
      <c r="E61" s="905">
        <v>0.51731734684565089</v>
      </c>
      <c r="F61" s="905">
        <v>0.51179630270886656</v>
      </c>
      <c r="G61" s="905">
        <v>10.089</v>
      </c>
      <c r="H61" s="905">
        <v>0.46177155241051754</v>
      </c>
      <c r="I61" s="905">
        <v>0.14027514043186526</v>
      </c>
      <c r="J61" s="906">
        <v>1.6014315625264119E-2</v>
      </c>
      <c r="K61" s="904">
        <v>0.54416066055242784</v>
      </c>
      <c r="L61" s="905">
        <v>0.5173248186944619</v>
      </c>
      <c r="M61" s="905">
        <v>0.51214539253848557</v>
      </c>
      <c r="N61" s="905">
        <v>10.089</v>
      </c>
      <c r="O61" s="905">
        <v>0.54416901641602045</v>
      </c>
      <c r="P61" s="905">
        <v>0.51251656700339043</v>
      </c>
      <c r="Q61" s="905">
        <v>10.089</v>
      </c>
      <c r="R61" s="905">
        <v>0.54416901641602045</v>
      </c>
      <c r="S61" s="905">
        <v>0.51251656700339043</v>
      </c>
      <c r="T61" s="905">
        <v>10.089</v>
      </c>
      <c r="U61" s="905">
        <v>3.395379061842041E-2</v>
      </c>
      <c r="V61" s="905">
        <v>3.395379061842041E-2</v>
      </c>
      <c r="W61" s="905">
        <v>3.395379061842041E-2</v>
      </c>
      <c r="X61" s="905">
        <v>6.7907581236840819E-2</v>
      </c>
      <c r="Y61" s="905">
        <v>6.7907581236840819E-2</v>
      </c>
      <c r="Z61" s="905">
        <v>6.7907581236840819E-2</v>
      </c>
      <c r="AA61" s="905">
        <v>6.7907581236840819E-2</v>
      </c>
      <c r="AB61" s="905">
        <v>3.395379061842041E-2</v>
      </c>
      <c r="AC61" s="905">
        <v>0.25465342963815307</v>
      </c>
      <c r="AD61" s="905">
        <v>0.39046859211183471</v>
      </c>
      <c r="AE61" s="905">
        <v>0.50930685927630615</v>
      </c>
      <c r="AF61" s="905">
        <v>0.50930685927630615</v>
      </c>
      <c r="AG61" s="905">
        <v>0.50930685927630615</v>
      </c>
      <c r="AH61" s="947">
        <v>5.5948959239049998</v>
      </c>
      <c r="AI61" s="905">
        <v>1.6169557954576064</v>
      </c>
      <c r="AJ61" s="905">
        <v>1.6155784332086802</v>
      </c>
      <c r="AK61" s="1542">
        <v>8.1225780965721661</v>
      </c>
      <c r="AL61" s="905"/>
      <c r="AM61" s="905">
        <v>0.47234215743159025</v>
      </c>
      <c r="AN61" s="905"/>
      <c r="AO61" s="904">
        <v>1.6169557954576064</v>
      </c>
      <c r="AP61" s="905" t="e">
        <v>#NAME?</v>
      </c>
      <c r="AQ61" s="1542">
        <v>9.5938610404028992</v>
      </c>
      <c r="AR61" s="906"/>
      <c r="AS61" s="905">
        <v>1.6169557954576064</v>
      </c>
      <c r="AT61" s="905" t="e">
        <v>#NAME?</v>
      </c>
      <c r="AU61" s="905">
        <v>0.47234215743159025</v>
      </c>
      <c r="AV61" s="905"/>
      <c r="AW61" s="904">
        <v>0.68278470105669209</v>
      </c>
      <c r="AX61" s="905" t="e">
        <v>#NAME?</v>
      </c>
      <c r="AY61" s="1542">
        <v>0.97632864337355496</v>
      </c>
      <c r="AZ61" s="906"/>
      <c r="BA61" s="1543">
        <v>2.0558730833702132E-2</v>
      </c>
      <c r="BB61" s="1544">
        <v>3.4296665450656946E-2</v>
      </c>
      <c r="BC61" s="1542"/>
      <c r="BD61" s="905">
        <v>1.0827570401412976E-2</v>
      </c>
      <c r="BE61" s="905">
        <v>1.0827570401412976E-2</v>
      </c>
      <c r="BF61" s="906">
        <v>3.6040884225194748E-3</v>
      </c>
    </row>
    <row r="62" spans="1:58" x14ac:dyDescent="0.45">
      <c r="A62" s="744" t="s">
        <v>1519</v>
      </c>
      <c r="B62" s="904">
        <v>9.6628430116742353E-2</v>
      </c>
      <c r="C62" s="905">
        <v>2.7356413503449514E-2</v>
      </c>
      <c r="D62" s="905">
        <v>0</v>
      </c>
      <c r="E62" s="905">
        <v>9.1222418085609089E-2</v>
      </c>
      <c r="F62" s="905">
        <v>2.721140362123017E-2</v>
      </c>
      <c r="G62" s="905">
        <v>0</v>
      </c>
      <c r="H62" s="905">
        <v>1.0329630558098981E-2</v>
      </c>
      <c r="I62" s="905">
        <v>2.3933419534654089E-2</v>
      </c>
      <c r="J62" s="906">
        <v>5.0084154549568099E-4</v>
      </c>
      <c r="K62" s="904">
        <v>9.6626747841493374E-2</v>
      </c>
      <c r="L62" s="905">
        <v>9.1223922383301306E-2</v>
      </c>
      <c r="M62" s="905">
        <v>2.7281685426758902E-2</v>
      </c>
      <c r="N62" s="905">
        <v>0</v>
      </c>
      <c r="O62" s="905">
        <v>9.6628430116742353E-2</v>
      </c>
      <c r="P62" s="905">
        <v>2.7356413503449514E-2</v>
      </c>
      <c r="Q62" s="905">
        <v>0</v>
      </c>
      <c r="R62" s="905">
        <v>9.6628430116742353E-2</v>
      </c>
      <c r="S62" s="905">
        <v>2.7356413503449514E-2</v>
      </c>
      <c r="T62" s="905">
        <v>0</v>
      </c>
      <c r="U62" s="905">
        <v>7.5953165868374874E-4</v>
      </c>
      <c r="V62" s="905">
        <v>7.5953165868374874E-4</v>
      </c>
      <c r="W62" s="905">
        <v>7.5953165868374874E-4</v>
      </c>
      <c r="X62" s="905">
        <v>1.5190633173674975E-3</v>
      </c>
      <c r="Y62" s="905">
        <v>1.5190633173674975E-3</v>
      </c>
      <c r="Z62" s="905">
        <v>1.5190633173674975E-3</v>
      </c>
      <c r="AA62" s="905">
        <v>1.5190633173674975E-3</v>
      </c>
      <c r="AB62" s="905">
        <v>7.5953165868374874E-4</v>
      </c>
      <c r="AC62" s="905">
        <v>5.6964874401281155E-3</v>
      </c>
      <c r="AD62" s="905">
        <v>8.7346140748631104E-3</v>
      </c>
      <c r="AE62" s="905">
        <v>1.1392974880256231E-2</v>
      </c>
      <c r="AF62" s="905">
        <v>1.1392974880256231E-2</v>
      </c>
      <c r="AG62" s="905">
        <v>1.1392974880256231E-2</v>
      </c>
      <c r="AH62" s="947">
        <v>1.1994882198617197E-2</v>
      </c>
      <c r="AI62" s="905">
        <v>2.3228346571656146E-2</v>
      </c>
      <c r="AJ62" s="905">
        <v>2.2951044005072353E-2</v>
      </c>
      <c r="AK62" s="1542">
        <v>0.15675298788881548</v>
      </c>
      <c r="AL62" s="905"/>
      <c r="AM62" s="905">
        <v>1.3712728281257833E-2</v>
      </c>
      <c r="AN62" s="905"/>
      <c r="AO62" s="904">
        <v>2.3228346571656146E-2</v>
      </c>
      <c r="AP62" s="905" t="e">
        <v>#NAME?</v>
      </c>
      <c r="AQ62" s="1542">
        <v>0.15487202421800417</v>
      </c>
      <c r="AR62" s="906"/>
      <c r="AS62" s="905">
        <v>2.3228346571656146E-2</v>
      </c>
      <c r="AT62" s="905" t="e">
        <v>#NAME?</v>
      </c>
      <c r="AU62" s="905">
        <v>1.3712728281257833E-2</v>
      </c>
      <c r="AV62" s="905"/>
      <c r="AW62" s="904">
        <v>2.225128318572929E-2</v>
      </c>
      <c r="AX62" s="905">
        <v>0</v>
      </c>
      <c r="AY62" s="1542">
        <v>1.3722771017137248E-2</v>
      </c>
      <c r="AZ62" s="906"/>
      <c r="BA62" s="1543">
        <v>5.311158419407503E-2</v>
      </c>
      <c r="BB62" s="1544">
        <v>3.7622433568205084E-2</v>
      </c>
      <c r="BC62" s="1542"/>
      <c r="BD62" s="905">
        <v>1.1074691523850284E-2</v>
      </c>
      <c r="BE62" s="905">
        <v>1.1074691523850284E-2</v>
      </c>
      <c r="BF62" s="906">
        <v>3.6863456920007325E-3</v>
      </c>
    </row>
    <row r="63" spans="1:58" x14ac:dyDescent="0.45">
      <c r="A63" s="744" t="s">
        <v>1518</v>
      </c>
      <c r="B63" s="904">
        <v>7.6453539513472377E-2</v>
      </c>
      <c r="C63" s="905">
        <v>5.7810441172414406E-2</v>
      </c>
      <c r="D63" s="905">
        <v>0</v>
      </c>
      <c r="E63" s="905">
        <v>7.2653893345411544E-2</v>
      </c>
      <c r="F63" s="905">
        <v>5.7708520155566392E-2</v>
      </c>
      <c r="G63" s="905">
        <v>0</v>
      </c>
      <c r="H63" s="905">
        <v>1.8643012222817317E-2</v>
      </c>
      <c r="I63" s="905">
        <v>0.23055859166280981</v>
      </c>
      <c r="J63" s="906">
        <v>8.957182122835075E-4</v>
      </c>
      <c r="K63" s="904">
        <v>7.6452357116787592E-2</v>
      </c>
      <c r="L63" s="905">
        <v>7.2654950649562747E-2</v>
      </c>
      <c r="M63" s="905">
        <v>5.7757918120558645E-2</v>
      </c>
      <c r="N63" s="905">
        <v>0</v>
      </c>
      <c r="O63" s="905">
        <v>7.6453539513472377E-2</v>
      </c>
      <c r="P63" s="905">
        <v>5.7810441172414406E-2</v>
      </c>
      <c r="Q63" s="905">
        <v>0</v>
      </c>
      <c r="R63" s="905">
        <v>7.6453539513472377E-2</v>
      </c>
      <c r="S63" s="905">
        <v>5.7810441172414406E-2</v>
      </c>
      <c r="T63" s="905">
        <v>0</v>
      </c>
      <c r="U63" s="905">
        <v>1.3708097222659794E-3</v>
      </c>
      <c r="V63" s="905">
        <v>1.3708097222659794E-3</v>
      </c>
      <c r="W63" s="905">
        <v>1.3708097222659794E-3</v>
      </c>
      <c r="X63" s="905">
        <v>2.7416194445319588E-3</v>
      </c>
      <c r="Y63" s="905">
        <v>2.7416194445319588E-3</v>
      </c>
      <c r="Z63" s="905">
        <v>2.7416194445319588E-3</v>
      </c>
      <c r="AA63" s="905">
        <v>2.7416194445319588E-3</v>
      </c>
      <c r="AB63" s="905">
        <v>1.3708097222659794E-3</v>
      </c>
      <c r="AC63" s="905">
        <v>1.0281072916994845E-2</v>
      </c>
      <c r="AD63" s="905">
        <v>1.5764311806058764E-2</v>
      </c>
      <c r="AE63" s="905">
        <v>2.056214583398969E-2</v>
      </c>
      <c r="AF63" s="905">
        <v>2.056214583398969E-2</v>
      </c>
      <c r="AG63" s="905">
        <v>2.056214583398969E-2</v>
      </c>
      <c r="AH63" s="947">
        <v>2.8159364216139085E-2</v>
      </c>
      <c r="AI63" s="905">
        <v>0.25132088826755455</v>
      </c>
      <c r="AJ63" s="905">
        <v>0.25112598458838298</v>
      </c>
      <c r="AK63" s="1542">
        <v>0.40656110331416301</v>
      </c>
      <c r="AL63" s="905"/>
      <c r="AM63" s="905">
        <v>7.4412298733749202E-2</v>
      </c>
      <c r="AN63" s="905"/>
      <c r="AO63" s="904">
        <v>0.25132088826755455</v>
      </c>
      <c r="AP63" s="905" t="e">
        <v>#NAME?</v>
      </c>
      <c r="AQ63" s="1542">
        <v>0.47872003513513967</v>
      </c>
      <c r="AR63" s="906"/>
      <c r="AS63" s="905">
        <v>0.25132088826755455</v>
      </c>
      <c r="AT63" s="905" t="e">
        <v>#NAME?</v>
      </c>
      <c r="AU63" s="905">
        <v>7.4412298733749202E-2</v>
      </c>
      <c r="AV63" s="905"/>
      <c r="AW63" s="904">
        <v>7.6288012983250608E-2</v>
      </c>
      <c r="AX63" s="905">
        <v>0</v>
      </c>
      <c r="AY63" s="1542">
        <v>6.895374951805873E-2</v>
      </c>
      <c r="AZ63" s="906"/>
      <c r="BA63" s="1543">
        <v>9.4156371687064339E-2</v>
      </c>
      <c r="BB63" s="1544">
        <v>7.9485428070651357E-2</v>
      </c>
      <c r="BC63" s="1542"/>
      <c r="BD63" s="905">
        <v>2.3011433383568421E-2</v>
      </c>
      <c r="BE63" s="905">
        <v>2.3011433383568421E-2</v>
      </c>
      <c r="BF63" s="906">
        <v>7.6596353169381569E-3</v>
      </c>
    </row>
    <row r="64" spans="1:58" x14ac:dyDescent="0.45">
      <c r="A64" s="744" t="s">
        <v>2521</v>
      </c>
      <c r="B64" s="904">
        <v>8.3027519787194581</v>
      </c>
      <c r="C64" s="905">
        <v>4.4951351263700516</v>
      </c>
      <c r="D64" s="905"/>
      <c r="E64" s="905">
        <v>7.9611348606259673</v>
      </c>
      <c r="F64" s="905">
        <v>4.5790882287372883</v>
      </c>
      <c r="G64" s="905"/>
      <c r="H64" s="905">
        <v>19.597080355016477</v>
      </c>
      <c r="I64" s="905">
        <v>1.0932585435605067</v>
      </c>
      <c r="J64" s="906">
        <v>0.97154759620196229</v>
      </c>
      <c r="K64" s="904">
        <v>8.3037259276947051</v>
      </c>
      <c r="L64" s="905">
        <v>7.9602639513043849</v>
      </c>
      <c r="M64" s="905">
        <v>4.5383987562420058</v>
      </c>
      <c r="N64" s="905"/>
      <c r="O64" s="905">
        <v>8.3027519787194581</v>
      </c>
      <c r="P64" s="905">
        <v>4.4951351263700516</v>
      </c>
      <c r="Q64" s="905"/>
      <c r="R64" s="905">
        <v>8.3027519787194581</v>
      </c>
      <c r="S64" s="905">
        <v>4.4951351263700516</v>
      </c>
      <c r="T64" s="905"/>
      <c r="U64" s="905">
        <v>1.4409617908100352</v>
      </c>
      <c r="V64" s="905">
        <v>1.4409617908100352</v>
      </c>
      <c r="W64" s="905">
        <v>1.4409617908100352</v>
      </c>
      <c r="X64" s="905">
        <v>2.8819235816200703</v>
      </c>
      <c r="Y64" s="905">
        <v>2.8819235816200703</v>
      </c>
      <c r="Z64" s="905">
        <v>2.8819235816200703</v>
      </c>
      <c r="AA64" s="905">
        <v>2.8819235816200703</v>
      </c>
      <c r="AB64" s="905">
        <v>1.4409617908100352</v>
      </c>
      <c r="AC64" s="905">
        <v>10.807213431075263</v>
      </c>
      <c r="AD64" s="905">
        <v>16.571060594315405</v>
      </c>
      <c r="AE64" s="905">
        <v>21.614426862150527</v>
      </c>
      <c r="AF64" s="905">
        <v>21.614426862150527</v>
      </c>
      <c r="AG64" s="905">
        <v>21.614426862150527</v>
      </c>
      <c r="AH64" s="947">
        <v>5.8028403528546839</v>
      </c>
      <c r="AI64" s="905">
        <v>16.185246411791265</v>
      </c>
      <c r="AJ64" s="905">
        <v>16.345790027183568</v>
      </c>
      <c r="AK64" s="1542">
        <v>2.9589606697395219</v>
      </c>
      <c r="AL64" s="905"/>
      <c r="AM64" s="905">
        <v>1.2864668219616231</v>
      </c>
      <c r="AN64" s="905"/>
      <c r="AO64" s="904">
        <v>16.185246411791265</v>
      </c>
      <c r="AP64" s="905" t="e">
        <v>#NAME?</v>
      </c>
      <c r="AQ64" s="1542">
        <v>3.1438841832341446</v>
      </c>
      <c r="AR64" s="906"/>
      <c r="AS64" s="905">
        <v>16.185246411791265</v>
      </c>
      <c r="AT64" s="905" t="e">
        <v>#NAME?</v>
      </c>
      <c r="AU64" s="905">
        <v>1.2864668219616231</v>
      </c>
      <c r="AV64" s="905"/>
      <c r="AW64" s="904">
        <v>6.0147299326372359</v>
      </c>
      <c r="AX64" s="905"/>
      <c r="AY64" s="1542">
        <v>1.0886060961764978</v>
      </c>
      <c r="AZ64" s="906"/>
      <c r="BA64" s="1543">
        <v>9.2156865741048559</v>
      </c>
      <c r="BB64" s="1544">
        <v>1.9649166363650241</v>
      </c>
      <c r="BC64" s="1542"/>
      <c r="BD64" s="905">
        <v>19.827092881487992</v>
      </c>
      <c r="BE64" s="905">
        <v>19.827092881487992</v>
      </c>
      <c r="BF64" s="906">
        <v>6.5996888736058423</v>
      </c>
    </row>
    <row r="65" spans="1:58" x14ac:dyDescent="0.45">
      <c r="A65" s="744" t="s">
        <v>1530</v>
      </c>
      <c r="B65" s="904">
        <v>1.1506486544631038E-2</v>
      </c>
      <c r="C65" s="905">
        <v>1.7215208473504648E-2</v>
      </c>
      <c r="D65" s="905"/>
      <c r="E65" s="905">
        <v>1.0737364147935909E-2</v>
      </c>
      <c r="F65" s="905">
        <v>1.7194577674402699E-2</v>
      </c>
      <c r="G65" s="905"/>
      <c r="H65" s="905">
        <v>1.3881627465355142</v>
      </c>
      <c r="I65" s="905">
        <v>2.1567639051215372E-2</v>
      </c>
      <c r="J65" s="906">
        <v>6.9278546060010479E-2</v>
      </c>
      <c r="K65" s="904">
        <v>1.1506247204510453E-2</v>
      </c>
      <c r="L65" s="905">
        <v>1.0737578166891051E-2</v>
      </c>
      <c r="M65" s="905">
        <v>1.7204576784726727E-2</v>
      </c>
      <c r="N65" s="905"/>
      <c r="O65" s="905">
        <v>1.1506486544631038E-2</v>
      </c>
      <c r="P65" s="905">
        <v>1.7215208473504648E-2</v>
      </c>
      <c r="Q65" s="905"/>
      <c r="R65" s="905">
        <v>1.1506486544631038E-2</v>
      </c>
      <c r="S65" s="905">
        <v>1.7215208473504648E-2</v>
      </c>
      <c r="T65" s="905"/>
      <c r="U65" s="905">
        <v>0.10207079018643488</v>
      </c>
      <c r="V65" s="905">
        <v>0.10207079018643488</v>
      </c>
      <c r="W65" s="905">
        <v>0.10207079018643488</v>
      </c>
      <c r="X65" s="905">
        <v>0.20414158037286975</v>
      </c>
      <c r="Y65" s="905">
        <v>0.20414158037286975</v>
      </c>
      <c r="Z65" s="905">
        <v>0.20414158037286975</v>
      </c>
      <c r="AA65" s="905">
        <v>0.20414158037286975</v>
      </c>
      <c r="AB65" s="905">
        <v>0.10207079018643488</v>
      </c>
      <c r="AC65" s="905">
        <v>0.76553092639826159</v>
      </c>
      <c r="AD65" s="905">
        <v>1.1738140871440013</v>
      </c>
      <c r="AE65" s="905">
        <v>1.5310618527965232</v>
      </c>
      <c r="AF65" s="905">
        <v>1.5310618527965232</v>
      </c>
      <c r="AG65" s="905">
        <v>1.5310618527965232</v>
      </c>
      <c r="AH65" s="947">
        <v>4.6987991310738442E-2</v>
      </c>
      <c r="AI65" s="905">
        <v>2.6822985951379656E-2</v>
      </c>
      <c r="AJ65" s="905">
        <v>2.6783533650239302E-2</v>
      </c>
      <c r="AK65" s="1542">
        <v>2.6165479304328325E-2</v>
      </c>
      <c r="AL65" s="905"/>
      <c r="AM65" s="905">
        <v>1.2758025061272091E-2</v>
      </c>
      <c r="AN65" s="905"/>
      <c r="AO65" s="904">
        <v>2.6822985951379656E-2</v>
      </c>
      <c r="AP65" s="905" t="e">
        <v>#NAME?</v>
      </c>
      <c r="AQ65" s="1542">
        <v>2.1426418981294632E-2</v>
      </c>
      <c r="AR65" s="906"/>
      <c r="AS65" s="905">
        <v>2.6822985951379656E-2</v>
      </c>
      <c r="AT65" s="905" t="e">
        <v>#NAME?</v>
      </c>
      <c r="AU65" s="905">
        <v>1.2758025061272091E-2</v>
      </c>
      <c r="AV65" s="905"/>
      <c r="AW65" s="904">
        <v>2.206092490822139E-2</v>
      </c>
      <c r="AX65" s="905"/>
      <c r="AY65" s="1542">
        <v>1.1278298822031801E-2</v>
      </c>
      <c r="AZ65" s="906"/>
      <c r="BA65" s="1543">
        <v>9.9781241437687327E-3</v>
      </c>
      <c r="BB65" s="1544">
        <v>1.6687006470414937E-2</v>
      </c>
      <c r="BC65" s="1542"/>
      <c r="BD65" s="905">
        <v>1.6742494710587199</v>
      </c>
      <c r="BE65" s="905">
        <v>1.6742494710587199</v>
      </c>
      <c r="BF65" s="906">
        <v>0.55729428776234446</v>
      </c>
    </row>
    <row r="66" spans="1:58" x14ac:dyDescent="0.45">
      <c r="A66" s="744" t="s">
        <v>1529</v>
      </c>
      <c r="B66" s="879">
        <v>1839.5896434715191</v>
      </c>
      <c r="C66" s="7">
        <v>1982.1788201315308</v>
      </c>
      <c r="D66" s="1513">
        <v>547.18996472206391</v>
      </c>
      <c r="E66" s="7">
        <v>1738.830887085529</v>
      </c>
      <c r="F66" s="7">
        <v>1979.4760855996881</v>
      </c>
      <c r="G66" s="1513">
        <v>547.18996472206391</v>
      </c>
      <c r="H66" s="1513">
        <v>1765.4426086010033</v>
      </c>
      <c r="I66" s="7">
        <v>834.71203726834892</v>
      </c>
      <c r="J66" s="877">
        <v>84.351134898274012</v>
      </c>
      <c r="K66" s="1512">
        <v>1839.5582887573585</v>
      </c>
      <c r="L66" s="7">
        <v>1738.8589246044671</v>
      </c>
      <c r="M66" s="7">
        <v>1980.7860174460948</v>
      </c>
      <c r="N66" s="1513">
        <v>547.18996472206391</v>
      </c>
      <c r="O66" s="7">
        <v>1839.5301391858811</v>
      </c>
      <c r="P66" s="905">
        <v>1982.1772239994095</v>
      </c>
      <c r="Q66" s="1513">
        <v>547.18996472206391</v>
      </c>
      <c r="R66" s="1513">
        <v>1839.5896434715191</v>
      </c>
      <c r="S66" s="7">
        <v>1982.1788201315308</v>
      </c>
      <c r="T66" s="1513">
        <v>547.18996472206391</v>
      </c>
      <c r="U66" s="1513">
        <v>129.81195651477967</v>
      </c>
      <c r="V66" s="7">
        <v>129.81195651477967</v>
      </c>
      <c r="W66" s="7">
        <v>129.81195651477967</v>
      </c>
      <c r="X66" s="7">
        <v>259.62391302955933</v>
      </c>
      <c r="Y66" s="7">
        <v>259.62391302955933</v>
      </c>
      <c r="Z66" s="7">
        <v>259.62391302955933</v>
      </c>
      <c r="AA66" s="7">
        <v>259.62391302955933</v>
      </c>
      <c r="AB66" s="7">
        <v>129.81195651477967</v>
      </c>
      <c r="AC66" s="7">
        <v>973.58967386084748</v>
      </c>
      <c r="AD66" s="7">
        <v>1492.8374999199661</v>
      </c>
      <c r="AE66" s="7">
        <v>1947.179347721695</v>
      </c>
      <c r="AF66" s="7">
        <v>1947.179347721695</v>
      </c>
      <c r="AG66" s="7">
        <v>1947.179347721695</v>
      </c>
      <c r="AH66" s="1520">
        <v>3040.3142268357906</v>
      </c>
      <c r="AI66" s="1513">
        <v>6463.2786925104474</v>
      </c>
      <c r="AJ66" s="1513">
        <v>6458.1161730804406</v>
      </c>
      <c r="AK66" s="1513">
        <v>983.03294417330278</v>
      </c>
      <c r="AL66" s="1513"/>
      <c r="AM66" s="1513">
        <v>597.93496784997501</v>
      </c>
      <c r="AN66" s="1513"/>
      <c r="AO66" s="879">
        <v>6463.2846154721174</v>
      </c>
      <c r="AP66" s="7" t="e">
        <v>#NAME?</v>
      </c>
      <c r="AQ66" s="1513">
        <v>650.65017319914216</v>
      </c>
      <c r="AR66" s="877"/>
      <c r="AS66" s="7">
        <v>6463.2846154721174</v>
      </c>
      <c r="AT66" s="7" t="e">
        <v>#NAME?</v>
      </c>
      <c r="AU66" s="7">
        <v>597.93496784997501</v>
      </c>
      <c r="AV66" s="7"/>
      <c r="AW66" s="879">
        <v>2406.4269866016821</v>
      </c>
      <c r="AX66" s="1513">
        <v>547.18996472206391</v>
      </c>
      <c r="AY66" s="1513">
        <v>667.59606369597748</v>
      </c>
      <c r="AZ66" s="1514"/>
      <c r="BA66" s="1545">
        <v>2401.9595101124969</v>
      </c>
      <c r="BB66" s="10">
        <v>2334.3462598870951</v>
      </c>
      <c r="BC66" s="1546">
        <v>1078</v>
      </c>
      <c r="BD66" s="1513">
        <v>2086.2889597097851</v>
      </c>
      <c r="BE66" s="1513">
        <v>2086.2889597097851</v>
      </c>
      <c r="BF66" s="1514">
        <v>694.44664010118095</v>
      </c>
    </row>
    <row r="67" spans="1:58" x14ac:dyDescent="0.45">
      <c r="A67" s="744" t="s">
        <v>3105</v>
      </c>
      <c r="B67" s="904">
        <v>137.09577479340888</v>
      </c>
      <c r="C67" s="905">
        <v>5.9399143060668651</v>
      </c>
      <c r="D67" s="905"/>
      <c r="E67" s="905">
        <v>140.56718882259648</v>
      </c>
      <c r="F67" s="905">
        <v>5.9399143060668651</v>
      </c>
      <c r="G67" s="905"/>
      <c r="H67" s="905">
        <v>43.634639173754046</v>
      </c>
      <c r="I67" s="905"/>
      <c r="J67" s="906"/>
      <c r="K67" s="904">
        <v>137.09577479340888</v>
      </c>
      <c r="L67" s="905">
        <v>140.56718882259648</v>
      </c>
      <c r="M67" s="905">
        <v>5.9399143060668651</v>
      </c>
      <c r="N67" s="905"/>
      <c r="O67" s="905">
        <v>137.09577479340888</v>
      </c>
      <c r="P67" s="905">
        <v>5.9399143060668651</v>
      </c>
      <c r="Q67" s="905"/>
      <c r="R67" s="905">
        <v>137.09577479340888</v>
      </c>
      <c r="S67" s="905">
        <v>5.9399143060668651</v>
      </c>
      <c r="T67" s="905"/>
      <c r="U67" s="905">
        <v>3.2084293510113273</v>
      </c>
      <c r="V67" s="905">
        <v>3.2084293510113273</v>
      </c>
      <c r="W67" s="905">
        <v>3.2084293510113273</v>
      </c>
      <c r="X67" s="905">
        <v>6.4168587020226546</v>
      </c>
      <c r="Y67" s="905">
        <v>6.4168587020226546</v>
      </c>
      <c r="Z67" s="905">
        <v>6.4168587020226546</v>
      </c>
      <c r="AA67" s="905">
        <v>6.4168587020226546</v>
      </c>
      <c r="AB67" s="905">
        <v>3.2084293510113273</v>
      </c>
      <c r="AC67" s="905">
        <v>24.063220132584952</v>
      </c>
      <c r="AD67" s="905">
        <v>36.896937536630261</v>
      </c>
      <c r="AE67" s="905">
        <v>67.530197788665888</v>
      </c>
      <c r="AF67" s="905">
        <v>67.530197788665888</v>
      </c>
      <c r="AG67" s="905">
        <v>67.530197788665888</v>
      </c>
      <c r="AH67" s="947">
        <v>11.19</v>
      </c>
      <c r="AI67" s="905">
        <v>21.803342192762525</v>
      </c>
      <c r="AJ67" s="905">
        <v>21.803342192762525</v>
      </c>
      <c r="AK67" s="905">
        <v>45.672264172207804</v>
      </c>
      <c r="AL67" s="905">
        <v>21.803342192762521</v>
      </c>
      <c r="AM67" s="905">
        <v>11.6716956296838</v>
      </c>
      <c r="AN67" s="905">
        <v>90.819104769572178</v>
      </c>
      <c r="AO67" s="904">
        <v>21.803342192762525</v>
      </c>
      <c r="AP67" s="905"/>
      <c r="AQ67" s="905">
        <v>53.995579136305579</v>
      </c>
      <c r="AR67" s="906">
        <v>21.803342192762521</v>
      </c>
      <c r="AS67" s="905">
        <v>21.803342192762525</v>
      </c>
      <c r="AT67" s="905"/>
      <c r="AU67" s="905">
        <v>11.6716956296838</v>
      </c>
      <c r="AV67" s="905">
        <v>34.859104769572184</v>
      </c>
      <c r="AW67" s="904">
        <v>5.9399143060668651</v>
      </c>
      <c r="AX67" s="905"/>
      <c r="AY67" s="905"/>
      <c r="AZ67" s="906"/>
      <c r="BA67" s="1547">
        <v>40.284842319430311</v>
      </c>
      <c r="BB67" s="1548">
        <v>0.58189216683621559</v>
      </c>
      <c r="BC67" s="905"/>
      <c r="BD67" s="1549">
        <v>40.284842319430311</v>
      </c>
      <c r="BE67" s="1549">
        <v>9.847405900305187</v>
      </c>
      <c r="BF67" s="906"/>
    </row>
    <row r="68" spans="1:58" x14ac:dyDescent="0.45">
      <c r="A68" s="744" t="s">
        <v>3107</v>
      </c>
      <c r="B68" s="904"/>
      <c r="C68" s="905"/>
      <c r="D68" s="905"/>
      <c r="E68" s="905"/>
      <c r="F68" s="905"/>
      <c r="G68" s="905"/>
      <c r="H68" s="905"/>
      <c r="I68" s="905"/>
      <c r="J68" s="906"/>
      <c r="K68" s="904"/>
      <c r="L68" s="905"/>
      <c r="M68" s="905"/>
      <c r="N68" s="905"/>
      <c r="O68" s="905"/>
      <c r="P68" s="905"/>
      <c r="Q68" s="905"/>
      <c r="R68" s="905"/>
      <c r="S68" s="905"/>
      <c r="T68" s="905"/>
      <c r="U68" s="905"/>
      <c r="V68" s="905"/>
      <c r="W68" s="905"/>
      <c r="X68" s="905"/>
      <c r="Y68" s="905"/>
      <c r="Z68" s="905"/>
      <c r="AA68" s="905"/>
      <c r="AB68" s="905"/>
      <c r="AC68" s="905"/>
      <c r="AD68" s="905"/>
      <c r="AE68" s="905"/>
      <c r="AF68" s="905"/>
      <c r="AG68" s="905"/>
      <c r="AH68" s="947"/>
      <c r="AI68" s="905"/>
      <c r="AJ68" s="905"/>
      <c r="AK68" s="905"/>
      <c r="AL68" s="905"/>
      <c r="AM68" s="905"/>
      <c r="AN68" s="906"/>
      <c r="AO68" s="904"/>
      <c r="AP68" s="905"/>
      <c r="AQ68" s="905"/>
      <c r="AR68" s="906"/>
      <c r="AS68" s="905"/>
      <c r="AT68" s="905"/>
      <c r="AU68" s="905"/>
      <c r="AV68" s="906"/>
      <c r="AW68" s="904"/>
      <c r="AX68" s="905"/>
      <c r="AY68" s="905">
        <v>1.3082000000000003</v>
      </c>
      <c r="AZ68" s="906"/>
      <c r="BA68" s="1543"/>
      <c r="BB68" s="1544"/>
      <c r="BC68" s="905"/>
      <c r="BD68" s="905"/>
      <c r="BE68" s="905"/>
      <c r="BF68" s="906"/>
    </row>
    <row r="69" spans="1:58" x14ac:dyDescent="0.45">
      <c r="A69" s="737" t="s">
        <v>3108</v>
      </c>
      <c r="B69" s="858"/>
      <c r="C69" s="859"/>
      <c r="D69" s="859"/>
      <c r="E69" s="859"/>
      <c r="F69" s="859"/>
      <c r="G69" s="859"/>
      <c r="H69" s="859"/>
      <c r="I69" s="859"/>
      <c r="J69" s="860"/>
      <c r="K69" s="858"/>
      <c r="L69" s="859"/>
      <c r="M69" s="859"/>
      <c r="N69" s="859"/>
      <c r="O69" s="859"/>
      <c r="P69" s="859"/>
      <c r="Q69" s="859"/>
      <c r="R69" s="859"/>
      <c r="S69" s="859"/>
      <c r="T69" s="859"/>
      <c r="U69" s="859"/>
      <c r="V69" s="859"/>
      <c r="W69" s="859"/>
      <c r="X69" s="859"/>
      <c r="Y69" s="859"/>
      <c r="Z69" s="859"/>
      <c r="AA69" s="859"/>
      <c r="AB69" s="859"/>
      <c r="AC69" s="859"/>
      <c r="AD69" s="859"/>
      <c r="AE69" s="859"/>
      <c r="AF69" s="859"/>
      <c r="AG69" s="859"/>
      <c r="AH69" s="938"/>
      <c r="AI69" s="859">
        <v>109.01671096381264</v>
      </c>
      <c r="AJ69" s="859">
        <v>109.01671096381264</v>
      </c>
      <c r="AK69" s="859">
        <v>228.36132086103908</v>
      </c>
      <c r="AL69" s="859">
        <v>109.01671096381263</v>
      </c>
      <c r="AM69" s="859">
        <v>58.35847814841901</v>
      </c>
      <c r="AN69" s="860">
        <v>230.25552384786096</v>
      </c>
      <c r="AO69" s="858">
        <v>109.01671096381264</v>
      </c>
      <c r="AP69" s="859"/>
      <c r="AQ69" s="859">
        <v>269.97789568152797</v>
      </c>
      <c r="AR69" s="860">
        <v>109.01671096381263</v>
      </c>
      <c r="AS69" s="859">
        <v>109.01671096381264</v>
      </c>
      <c r="AT69" s="859"/>
      <c r="AU69" s="859">
        <v>58.35847814841901</v>
      </c>
      <c r="AV69" s="860">
        <v>174.29552384786095</v>
      </c>
      <c r="AW69" s="858"/>
      <c r="AX69" s="859"/>
      <c r="AY69" s="859"/>
      <c r="AZ69" s="860"/>
      <c r="BA69" s="1550"/>
      <c r="BB69" s="1551"/>
      <c r="BC69" s="859"/>
      <c r="BD69" s="859"/>
      <c r="BE69" s="859"/>
      <c r="BF69" s="860"/>
    </row>
    <row r="70" spans="1:58" x14ac:dyDescent="0.45">
      <c r="A70" s="862" t="s">
        <v>2526</v>
      </c>
      <c r="B70" s="879"/>
      <c r="C70" s="7"/>
      <c r="D70" s="7"/>
      <c r="E70" s="7"/>
      <c r="F70" s="7"/>
      <c r="G70" s="7"/>
      <c r="H70" s="7"/>
      <c r="I70" s="7"/>
      <c r="J70" s="877"/>
      <c r="K70" s="7"/>
      <c r="L70" s="7"/>
      <c r="M70" s="7"/>
      <c r="N70" s="7"/>
      <c r="O70" s="7"/>
      <c r="P70" s="7"/>
      <c r="Q70" s="7"/>
      <c r="R70" s="7"/>
      <c r="S70" s="7"/>
      <c r="T70" s="7"/>
      <c r="U70" s="7"/>
      <c r="V70" s="7"/>
      <c r="W70" s="7"/>
      <c r="X70" s="7"/>
      <c r="Y70" s="7"/>
      <c r="Z70" s="7"/>
      <c r="AA70" s="7"/>
      <c r="AB70" s="7"/>
      <c r="AC70" s="7"/>
      <c r="AD70" s="7"/>
      <c r="AE70" s="7"/>
      <c r="AF70" s="7"/>
      <c r="AG70" s="7"/>
      <c r="AH70" s="954"/>
      <c r="AI70" s="7"/>
      <c r="AJ70" s="7"/>
      <c r="AK70" s="7"/>
      <c r="AL70" s="7"/>
      <c r="AM70" s="7"/>
      <c r="AN70" s="7"/>
      <c r="AO70" s="879"/>
      <c r="AP70" s="7"/>
      <c r="AQ70" s="7"/>
      <c r="AR70" s="877"/>
      <c r="AS70" s="7"/>
      <c r="AT70" s="7"/>
      <c r="AU70" s="7"/>
      <c r="AV70" s="7"/>
      <c r="AW70" s="879"/>
      <c r="AX70" s="7"/>
      <c r="AY70" s="7"/>
      <c r="AZ70" s="877"/>
      <c r="BA70" s="1545"/>
      <c r="BB70" s="10"/>
      <c r="BC70" s="7"/>
      <c r="BD70" s="7"/>
      <c r="BE70" s="7"/>
      <c r="BF70" s="877"/>
    </row>
    <row r="71" spans="1:58" x14ac:dyDescent="0.45">
      <c r="A71" s="744" t="s">
        <v>1525</v>
      </c>
      <c r="B71" s="904">
        <v>3.1719863043517878E-2</v>
      </c>
      <c r="C71" s="905">
        <v>4.340751159780303E-3</v>
      </c>
      <c r="D71" s="905">
        <v>4.4000000000000004E-2</v>
      </c>
      <c r="E71" s="905">
        <v>3.0152947430646268E-2</v>
      </c>
      <c r="F71" s="905">
        <v>4.2987205007359612E-3</v>
      </c>
      <c r="G71" s="905">
        <v>4.4000000000000004E-2</v>
      </c>
      <c r="H71" s="905">
        <v>0.52023927582975737</v>
      </c>
      <c r="I71" s="905">
        <v>2.7536016662262484E-2</v>
      </c>
      <c r="J71" s="906">
        <v>8.0795162362491625E-4</v>
      </c>
      <c r="K71" s="905">
        <v>3.1719375441319135E-2</v>
      </c>
      <c r="L71" s="905">
        <v>3.0153383446609016E-2</v>
      </c>
      <c r="M71" s="905">
        <v>4.3190914613904282E-3</v>
      </c>
      <c r="N71" s="905">
        <v>4.4000000000000004E-2</v>
      </c>
      <c r="O71" s="905">
        <v>1.3734269929486139E-2</v>
      </c>
      <c r="P71" s="905">
        <v>2.1150771520272787E-3</v>
      </c>
      <c r="Q71" s="905">
        <v>0</v>
      </c>
      <c r="R71" s="905">
        <v>1.3734269929486139E-2</v>
      </c>
      <c r="S71" s="905">
        <v>2.1150771520272787E-3</v>
      </c>
      <c r="T71" s="905">
        <v>0</v>
      </c>
      <c r="U71" s="905">
        <v>3.8252887928658635E-2</v>
      </c>
      <c r="V71" s="905">
        <v>3.8252887928658635E-2</v>
      </c>
      <c r="W71" s="905">
        <v>3.8252887928658635E-2</v>
      </c>
      <c r="X71" s="905">
        <v>7.6505775857317271E-2</v>
      </c>
      <c r="Y71" s="905">
        <v>7.6505775857317271E-2</v>
      </c>
      <c r="Z71" s="905">
        <v>7.6505775857317271E-2</v>
      </c>
      <c r="AA71" s="905">
        <v>7.6505775857317271E-2</v>
      </c>
      <c r="AB71" s="905">
        <v>3.8252887928658635E-2</v>
      </c>
      <c r="AC71" s="905">
        <v>0.28689665946493975</v>
      </c>
      <c r="AD71" s="905">
        <v>0.43990821117957429</v>
      </c>
      <c r="AE71" s="905">
        <v>0.5737933189298795</v>
      </c>
      <c r="AF71" s="905">
        <v>0.5737933189298795</v>
      </c>
      <c r="AG71" s="905">
        <v>0.5737933189298795</v>
      </c>
      <c r="AH71" s="947">
        <v>2.3389102441545476E-2</v>
      </c>
      <c r="AI71" s="905">
        <v>7.3642796727203946E-3</v>
      </c>
      <c r="AJ71" s="905">
        <v>2.3743502979970483E-2</v>
      </c>
      <c r="AK71" s="905">
        <v>5.7445569647282833E-2</v>
      </c>
      <c r="AL71" s="905"/>
      <c r="AM71" s="905">
        <v>3.4890782690253433E-2</v>
      </c>
      <c r="AN71" s="905"/>
      <c r="AO71" s="904">
        <v>7.3642796727203946E-3</v>
      </c>
      <c r="AP71" s="905" t="e">
        <v>#NAME?</v>
      </c>
      <c r="AQ71" s="905">
        <v>6.7866921115510528E-2</v>
      </c>
      <c r="AR71" s="906"/>
      <c r="AS71" s="905">
        <v>7.4622239658123516E-3</v>
      </c>
      <c r="AT71" s="905" t="e">
        <v>#NAME?</v>
      </c>
      <c r="AU71" s="905">
        <v>3.4890782690253433E-2</v>
      </c>
      <c r="AV71" s="905"/>
      <c r="AW71" s="904">
        <v>6.4737185733024947E-3</v>
      </c>
      <c r="AX71" s="905" t="e">
        <v>#NAME?</v>
      </c>
      <c r="AY71" s="905">
        <v>0.9210811688291124</v>
      </c>
      <c r="AZ71" s="906"/>
      <c r="BA71" s="1543">
        <v>2.7957723302744101E-2</v>
      </c>
      <c r="BB71" s="1544">
        <v>6.3734526257745745E-3</v>
      </c>
      <c r="BC71" s="905"/>
      <c r="BD71" s="905">
        <v>1.1512355918392259E-3</v>
      </c>
      <c r="BE71" s="905">
        <v>1.1512355918392259E-3</v>
      </c>
      <c r="BF71" s="906">
        <v>3.832027605748612E-4</v>
      </c>
    </row>
    <row r="72" spans="1:58" x14ac:dyDescent="0.45">
      <c r="A72" s="744" t="s">
        <v>1524</v>
      </c>
      <c r="B72" s="904">
        <v>0.10721294506346347</v>
      </c>
      <c r="C72" s="905">
        <v>2.0817458136929153E-2</v>
      </c>
      <c r="D72" s="905">
        <v>1.2E-2</v>
      </c>
      <c r="E72" s="905">
        <v>0.1018844898135056</v>
      </c>
      <c r="F72" s="905">
        <v>2.067452862368397E-2</v>
      </c>
      <c r="G72" s="905">
        <v>1.2E-2</v>
      </c>
      <c r="H72" s="905">
        <v>2.7486877948011381</v>
      </c>
      <c r="I72" s="905">
        <v>2.0629446921856261E-2</v>
      </c>
      <c r="J72" s="906">
        <v>3.8888455587708162E-3</v>
      </c>
      <c r="K72" s="905">
        <v>0.10721128692279881</v>
      </c>
      <c r="L72" s="905">
        <v>0.10188597252994973</v>
      </c>
      <c r="M72" s="905">
        <v>2.0743802138705657E-2</v>
      </c>
      <c r="N72" s="905">
        <v>1.2E-2</v>
      </c>
      <c r="O72" s="905">
        <v>1.0185642676258258E-2</v>
      </c>
      <c r="P72" s="905">
        <v>7.9407727983319271E-3</v>
      </c>
      <c r="Q72" s="905">
        <v>0</v>
      </c>
      <c r="R72" s="905">
        <v>1.0185642676258258E-2</v>
      </c>
      <c r="S72" s="905">
        <v>7.9407727983319271E-3</v>
      </c>
      <c r="T72" s="905">
        <v>0</v>
      </c>
      <c r="U72" s="905">
        <v>0.20210939667655428</v>
      </c>
      <c r="V72" s="905">
        <v>0.20210939667655428</v>
      </c>
      <c r="W72" s="905">
        <v>0.20210939667655428</v>
      </c>
      <c r="X72" s="905">
        <v>0.40421879335310856</v>
      </c>
      <c r="Y72" s="905">
        <v>0.40421879335310856</v>
      </c>
      <c r="Z72" s="905">
        <v>0.40421879335310856</v>
      </c>
      <c r="AA72" s="905">
        <v>0.40421879335310856</v>
      </c>
      <c r="AB72" s="905">
        <v>0.20210939667655428</v>
      </c>
      <c r="AC72" s="905">
        <v>1.5158204750741571</v>
      </c>
      <c r="AD72" s="905">
        <v>2.3242580617803745</v>
      </c>
      <c r="AE72" s="905">
        <v>3.0316409501483141</v>
      </c>
      <c r="AF72" s="905">
        <v>3.0316409501483141</v>
      </c>
      <c r="AG72" s="905">
        <v>3.0316409501483141</v>
      </c>
      <c r="AH72" s="947">
        <v>0.18304908072902643</v>
      </c>
      <c r="AI72" s="905">
        <v>3.7940101967969896E-2</v>
      </c>
      <c r="AJ72" s="905">
        <v>0.44964054054050295</v>
      </c>
      <c r="AK72" s="905">
        <v>8.9681734009896499E-2</v>
      </c>
      <c r="AL72" s="905"/>
      <c r="AM72" s="905">
        <v>0.10765160980407155</v>
      </c>
      <c r="AN72" s="905"/>
      <c r="AO72" s="904">
        <v>3.7940101967969896E-2</v>
      </c>
      <c r="AP72" s="905" t="e">
        <v>#NAME?</v>
      </c>
      <c r="AQ72" s="905">
        <v>0.105953549202372</v>
      </c>
      <c r="AR72" s="906"/>
      <c r="AS72" s="905">
        <v>3.8312030831492976E-2</v>
      </c>
      <c r="AT72" s="905" t="e">
        <v>#NAME?</v>
      </c>
      <c r="AU72" s="905">
        <v>0.10765160980407155</v>
      </c>
      <c r="AV72" s="905"/>
      <c r="AW72" s="904">
        <v>3.3359259662542329E-2</v>
      </c>
      <c r="AX72" s="905" t="e">
        <v>#NAME?</v>
      </c>
      <c r="AY72" s="905">
        <v>0.13903941611344051</v>
      </c>
      <c r="AZ72" s="906"/>
      <c r="BA72" s="1543">
        <v>0.14373047418015686</v>
      </c>
      <c r="BB72" s="1544">
        <v>2.3172235626738591E-2</v>
      </c>
      <c r="BC72" s="905"/>
      <c r="BD72" s="905">
        <v>5.596796160878971E-3</v>
      </c>
      <c r="BE72" s="905">
        <v>5.596796160878971E-3</v>
      </c>
      <c r="BF72" s="906">
        <v>1.8629616339407985E-3</v>
      </c>
    </row>
    <row r="73" spans="1:58" x14ac:dyDescent="0.45">
      <c r="A73" s="744" t="s">
        <v>1523</v>
      </c>
      <c r="B73" s="904">
        <v>0.15310927264594421</v>
      </c>
      <c r="C73" s="905">
        <v>3.6989752557889416E-2</v>
      </c>
      <c r="D73" s="905">
        <v>1.5460000000000002E-2</v>
      </c>
      <c r="E73" s="905">
        <v>0.14547812695339304</v>
      </c>
      <c r="F73" s="905">
        <v>3.6785056095561423E-2</v>
      </c>
      <c r="G73" s="905">
        <v>1.5460000000000002E-2</v>
      </c>
      <c r="H73" s="905">
        <v>3.2509174162571153</v>
      </c>
      <c r="I73" s="905">
        <v>3.7203775009511025E-2</v>
      </c>
      <c r="J73" s="906">
        <v>4.6523835108273851E-3</v>
      </c>
      <c r="K73" s="905">
        <v>0.15310689794025614</v>
      </c>
      <c r="L73" s="905">
        <v>0.1454802504253328</v>
      </c>
      <c r="M73" s="905">
        <v>3.6884266140680924E-2</v>
      </c>
      <c r="N73" s="905">
        <v>1.5460000000000002E-2</v>
      </c>
      <c r="O73" s="905">
        <v>2.0284807646589447E-2</v>
      </c>
      <c r="P73" s="905">
        <v>2.0107219629272251E-2</v>
      </c>
      <c r="Q73" s="905">
        <v>0</v>
      </c>
      <c r="R73" s="905">
        <v>2.0284807646589447E-2</v>
      </c>
      <c r="S73" s="905">
        <v>2.0107219629272251E-2</v>
      </c>
      <c r="T73" s="905">
        <v>0</v>
      </c>
      <c r="U73" s="905">
        <v>0.23903804531302317</v>
      </c>
      <c r="V73" s="905">
        <v>0.23903804531302317</v>
      </c>
      <c r="W73" s="905">
        <v>0.23903804531302317</v>
      </c>
      <c r="X73" s="905">
        <v>0.47807609062604633</v>
      </c>
      <c r="Y73" s="905">
        <v>0.47807609062604633</v>
      </c>
      <c r="Z73" s="905">
        <v>0.47807609062604633</v>
      </c>
      <c r="AA73" s="905">
        <v>0.47807609062604633</v>
      </c>
      <c r="AB73" s="905">
        <v>0.23903804531302317</v>
      </c>
      <c r="AC73" s="905">
        <v>1.7927853398476739</v>
      </c>
      <c r="AD73" s="905">
        <v>2.7489375210997666</v>
      </c>
      <c r="AE73" s="905">
        <v>3.5855706796953477</v>
      </c>
      <c r="AF73" s="905">
        <v>3.5855706796953477</v>
      </c>
      <c r="AG73" s="905">
        <v>3.5855706796953477</v>
      </c>
      <c r="AH73" s="947">
        <v>0.47940547611028306</v>
      </c>
      <c r="AI73" s="905">
        <v>7.0543239324118087E-2</v>
      </c>
      <c r="AJ73" s="905">
        <v>0.3960161664383966</v>
      </c>
      <c r="AK73" s="905">
        <v>1.2746605696508313</v>
      </c>
      <c r="AL73" s="905"/>
      <c r="AM73" s="905">
        <v>0.61027113977098635</v>
      </c>
      <c r="AN73" s="905"/>
      <c r="AO73" s="904">
        <v>7.0543239324118087E-2</v>
      </c>
      <c r="AP73" s="905" t="e">
        <v>#NAME?</v>
      </c>
      <c r="AQ73" s="905">
        <v>1.5058849806087395</v>
      </c>
      <c r="AR73" s="906"/>
      <c r="AS73" s="905">
        <v>7.1518298572458894E-2</v>
      </c>
      <c r="AT73" s="905" t="e">
        <v>#NAME?</v>
      </c>
      <c r="AU73" s="905">
        <v>0.61027113977098635</v>
      </c>
      <c r="AV73" s="905"/>
      <c r="AW73" s="904">
        <v>5.5106132146997541E-2</v>
      </c>
      <c r="AX73" s="905" t="e">
        <v>#NAME?</v>
      </c>
      <c r="AY73" s="905">
        <v>0.51010550312057557</v>
      </c>
      <c r="AZ73" s="906"/>
      <c r="BA73" s="1543">
        <v>0.17719193360288021</v>
      </c>
      <c r="BB73" s="1544">
        <v>3.695993069626987E-2</v>
      </c>
      <c r="BC73" s="905"/>
      <c r="BD73" s="905">
        <v>7.1812086943085661E-3</v>
      </c>
      <c r="BE73" s="905">
        <v>7.1812086943085661E-3</v>
      </c>
      <c r="BF73" s="906">
        <v>2.3903526050014124E-3</v>
      </c>
    </row>
    <row r="74" spans="1:58" x14ac:dyDescent="0.45">
      <c r="A74" s="744" t="s">
        <v>1522</v>
      </c>
      <c r="B74" s="904">
        <v>5.4651703545403772E-3</v>
      </c>
      <c r="C74" s="905">
        <v>3.7391043490454983E-3</v>
      </c>
      <c r="D74" s="905">
        <v>2.0000000000000001E-4</v>
      </c>
      <c r="E74" s="905">
        <v>5.1891837402181134E-3</v>
      </c>
      <c r="F74" s="905">
        <v>3.7317013343636019E-3</v>
      </c>
      <c r="G74" s="905">
        <v>2.0000000000000001E-4</v>
      </c>
      <c r="H74" s="905">
        <v>6.4466507202762986E-3</v>
      </c>
      <c r="I74" s="905">
        <v>5.525982225979221E-3</v>
      </c>
      <c r="J74" s="906">
        <v>2.1187126559800582E-5</v>
      </c>
      <c r="K74" s="905">
        <v>5.4650844713703709E-3</v>
      </c>
      <c r="L74" s="905">
        <v>5.1892605373144978E-3</v>
      </c>
      <c r="M74" s="905">
        <v>3.7352893466441194E-3</v>
      </c>
      <c r="N74" s="905">
        <v>2.0000000000000001E-4</v>
      </c>
      <c r="O74" s="905">
        <v>2.8986105804674404E-3</v>
      </c>
      <c r="P74" s="905">
        <v>2.5176592588967376E-3</v>
      </c>
      <c r="Q74" s="905">
        <v>0</v>
      </c>
      <c r="R74" s="905">
        <v>2.8986105804674404E-3</v>
      </c>
      <c r="S74" s="905">
        <v>2.5176592588967376E-3</v>
      </c>
      <c r="T74" s="905">
        <v>0</v>
      </c>
      <c r="U74" s="905">
        <v>4.7401843531443374E-4</v>
      </c>
      <c r="V74" s="905">
        <v>4.7401843531443374E-4</v>
      </c>
      <c r="W74" s="905">
        <v>4.7401843531443374E-4</v>
      </c>
      <c r="X74" s="905">
        <v>9.4803687062886748E-4</v>
      </c>
      <c r="Y74" s="905">
        <v>9.4803687062886748E-4</v>
      </c>
      <c r="Z74" s="905">
        <v>9.4803687062886748E-4</v>
      </c>
      <c r="AA74" s="905">
        <v>9.4803687062886748E-4</v>
      </c>
      <c r="AB74" s="905">
        <v>4.7401843531443374E-4</v>
      </c>
      <c r="AC74" s="905">
        <v>3.5551382648582532E-3</v>
      </c>
      <c r="AD74" s="905">
        <v>5.4512120061159883E-3</v>
      </c>
      <c r="AE74" s="905">
        <v>7.1102765297165063E-3</v>
      </c>
      <c r="AF74" s="905">
        <v>7.1102765297165063E-3</v>
      </c>
      <c r="AG74" s="905">
        <v>7.1102765297165063E-3</v>
      </c>
      <c r="AH74" s="947">
        <v>5.9081074232078583E-2</v>
      </c>
      <c r="AI74" s="905">
        <v>5.9268462985795503E-3</v>
      </c>
      <c r="AJ74" s="905">
        <v>4.0949279332281194E-2</v>
      </c>
      <c r="AK74" s="905">
        <v>5.8445678053902696E-2</v>
      </c>
      <c r="AL74" s="905"/>
      <c r="AM74" s="905">
        <v>1.5638380089820905E-2</v>
      </c>
      <c r="AN74" s="905"/>
      <c r="AO74" s="904">
        <v>5.9268462985795503E-3</v>
      </c>
      <c r="AP74" s="905" t="e">
        <v>#NAME?</v>
      </c>
      <c r="AQ74" s="905">
        <v>6.9047706098229369E-2</v>
      </c>
      <c r="AR74" s="906"/>
      <c r="AS74" s="905">
        <v>5.9547288698956194E-3</v>
      </c>
      <c r="AT74" s="905" t="e">
        <v>#NAME?</v>
      </c>
      <c r="AU74" s="905">
        <v>1.5638380089820905E-2</v>
      </c>
      <c r="AV74" s="905"/>
      <c r="AW74" s="904">
        <v>4.7904575573186727E-3</v>
      </c>
      <c r="AX74" s="905" t="e">
        <v>#NAME?</v>
      </c>
      <c r="AY74" s="905">
        <v>2.5082104728366188E-2</v>
      </c>
      <c r="AZ74" s="906"/>
      <c r="BA74" s="1543">
        <v>2.7117564711347181E-3</v>
      </c>
      <c r="BB74" s="1544">
        <v>2.7467205258510747E-3</v>
      </c>
      <c r="BC74" s="905"/>
      <c r="BD74" s="905">
        <v>1.8303878417358496E-4</v>
      </c>
      <c r="BE74" s="905">
        <v>1.8303878417358496E-4</v>
      </c>
      <c r="BF74" s="906">
        <v>6.0926684238042045E-5</v>
      </c>
    </row>
    <row r="75" spans="1:58" x14ac:dyDescent="0.45">
      <c r="A75" s="744" t="s">
        <v>1521</v>
      </c>
      <c r="B75" s="904">
        <v>4.5937398544768594E-3</v>
      </c>
      <c r="C75" s="905">
        <v>3.0565601119442736E-3</v>
      </c>
      <c r="D75" s="905">
        <v>1E-4</v>
      </c>
      <c r="E75" s="905">
        <v>4.3606742871368127E-3</v>
      </c>
      <c r="F75" s="905">
        <v>3.0503084036101582E-3</v>
      </c>
      <c r="G75" s="905">
        <v>1E-4</v>
      </c>
      <c r="H75" s="905">
        <v>5.9970142414368516E-3</v>
      </c>
      <c r="I75" s="905">
        <v>4.3012118467479236E-3</v>
      </c>
      <c r="J75" s="906">
        <v>1.8378676437405207E-5</v>
      </c>
      <c r="K75" s="905">
        <v>4.5936673277356919E-3</v>
      </c>
      <c r="L75" s="905">
        <v>4.3607391408576456E-3</v>
      </c>
      <c r="M75" s="905">
        <v>3.0533384133076772E-3</v>
      </c>
      <c r="N75" s="905">
        <v>1E-4</v>
      </c>
      <c r="O75" s="905">
        <v>2.2341671754585574E-3</v>
      </c>
      <c r="P75" s="905">
        <v>1.8630855190937762E-3</v>
      </c>
      <c r="Q75" s="905">
        <v>0</v>
      </c>
      <c r="R75" s="905">
        <v>2.2341671754585574E-3</v>
      </c>
      <c r="S75" s="905">
        <v>1.8630855190937762E-3</v>
      </c>
      <c r="T75" s="905">
        <v>0</v>
      </c>
      <c r="U75" s="905">
        <v>4.4095692951741556E-4</v>
      </c>
      <c r="V75" s="905">
        <v>4.4095692951741556E-4</v>
      </c>
      <c r="W75" s="905">
        <v>4.4095692951741556E-4</v>
      </c>
      <c r="X75" s="905">
        <v>8.8191385903483113E-4</v>
      </c>
      <c r="Y75" s="905">
        <v>8.8191385903483113E-4</v>
      </c>
      <c r="Z75" s="905">
        <v>8.8191385903483113E-4</v>
      </c>
      <c r="AA75" s="905">
        <v>8.8191385903483113E-4</v>
      </c>
      <c r="AB75" s="905">
        <v>4.4095692951741556E-4</v>
      </c>
      <c r="AC75" s="905">
        <v>3.3071769713806168E-3</v>
      </c>
      <c r="AD75" s="905">
        <v>5.0710046894502795E-3</v>
      </c>
      <c r="AE75" s="905">
        <v>6.6143539427612336E-3</v>
      </c>
      <c r="AF75" s="905">
        <v>6.6143539427612336E-3</v>
      </c>
      <c r="AG75" s="905">
        <v>6.6143539427612336E-3</v>
      </c>
      <c r="AH75" s="947">
        <v>4.3488214147432244E-2</v>
      </c>
      <c r="AI75" s="905">
        <v>4.3822436900771405E-3</v>
      </c>
      <c r="AJ75" s="905">
        <v>3.9374408197777259E-2</v>
      </c>
      <c r="AK75" s="905">
        <v>5.3492924358953566E-2</v>
      </c>
      <c r="AL75" s="905"/>
      <c r="AM75" s="905">
        <v>1.4104665060402454E-2</v>
      </c>
      <c r="AN75" s="905"/>
      <c r="AO75" s="904">
        <v>4.3822436900771405E-3</v>
      </c>
      <c r="AP75" s="905" t="e">
        <v>#NAME?</v>
      </c>
      <c r="AQ75" s="905">
        <v>6.3196496178708456E-2</v>
      </c>
      <c r="AR75" s="906"/>
      <c r="AS75" s="905">
        <v>4.4056237714638902E-3</v>
      </c>
      <c r="AT75" s="905" t="e">
        <v>#NAME?</v>
      </c>
      <c r="AU75" s="905">
        <v>1.4104665060402454E-2</v>
      </c>
      <c r="AV75" s="905"/>
      <c r="AW75" s="904">
        <v>3.8979982536568448E-3</v>
      </c>
      <c r="AX75" s="905" t="e">
        <v>#NAME?</v>
      </c>
      <c r="AY75" s="905">
        <v>1.929510118762489E-2</v>
      </c>
      <c r="AZ75" s="906"/>
      <c r="BA75" s="1543">
        <v>2.5896894993267952E-3</v>
      </c>
      <c r="BB75" s="1544">
        <v>2.4203820891346706E-3</v>
      </c>
      <c r="BC75" s="905"/>
      <c r="BD75" s="905">
        <v>1.6800252756623229E-4</v>
      </c>
      <c r="BE75" s="905">
        <v>1.6800252756623229E-4</v>
      </c>
      <c r="BF75" s="906">
        <v>5.5921683453238111E-5</v>
      </c>
    </row>
    <row r="76" spans="1:58" x14ac:dyDescent="0.45">
      <c r="A76" s="744" t="s">
        <v>1520</v>
      </c>
      <c r="B76" s="904">
        <v>4.5993061152501048E-2</v>
      </c>
      <c r="C76" s="905">
        <v>8.1491245573927826E-2</v>
      </c>
      <c r="D76" s="905">
        <v>0.10089000000000001</v>
      </c>
      <c r="E76" s="905">
        <v>4.372724541888557E-2</v>
      </c>
      <c r="F76" s="905">
        <v>8.1430467745323268E-2</v>
      </c>
      <c r="G76" s="905">
        <v>0.10089000000000001</v>
      </c>
      <c r="H76" s="905">
        <v>5.874411462671069E-2</v>
      </c>
      <c r="I76" s="905">
        <v>4.3199545592610696E-2</v>
      </c>
      <c r="J76" s="906">
        <v>3.8589490526950315E-4</v>
      </c>
      <c r="K76" s="905">
        <v>4.5992356062370746E-2</v>
      </c>
      <c r="L76" s="905">
        <v>4.3727875913482976E-2</v>
      </c>
      <c r="M76" s="905">
        <v>8.14599248793135E-2</v>
      </c>
      <c r="N76" s="905">
        <v>0.10089000000000001</v>
      </c>
      <c r="O76" s="905">
        <v>4.1785652222970697E-2</v>
      </c>
      <c r="P76" s="905">
        <v>7.8590254352877545E-2</v>
      </c>
      <c r="Q76" s="905">
        <v>0</v>
      </c>
      <c r="R76" s="905">
        <v>4.1785652222970697E-2</v>
      </c>
      <c r="S76" s="905">
        <v>7.8590254352877545E-2</v>
      </c>
      <c r="T76" s="905">
        <v>0</v>
      </c>
      <c r="U76" s="905">
        <v>4.3194201931404923E-3</v>
      </c>
      <c r="V76" s="905">
        <v>4.3194201931404923E-3</v>
      </c>
      <c r="W76" s="905">
        <v>4.3194201931404923E-3</v>
      </c>
      <c r="X76" s="905">
        <v>8.6388403862809847E-3</v>
      </c>
      <c r="Y76" s="905">
        <v>8.6388403862809847E-3</v>
      </c>
      <c r="Z76" s="905">
        <v>8.6388403862809847E-3</v>
      </c>
      <c r="AA76" s="905">
        <v>8.6388403862809847E-3</v>
      </c>
      <c r="AB76" s="905">
        <v>4.3194201931404923E-3</v>
      </c>
      <c r="AC76" s="905">
        <v>3.2395651448553692E-2</v>
      </c>
      <c r="AD76" s="905">
        <v>4.9673332221115661E-2</v>
      </c>
      <c r="AE76" s="905">
        <v>6.4791302897107383E-2</v>
      </c>
      <c r="AF76" s="905">
        <v>6.4791302897107383E-2</v>
      </c>
      <c r="AG76" s="905">
        <v>6.4791302897107383E-2</v>
      </c>
      <c r="AH76" s="947">
        <v>1.9819184276756119</v>
      </c>
      <c r="AI76" s="905">
        <v>0.19175395571896539</v>
      </c>
      <c r="AJ76" s="905">
        <v>0.20470991626818713</v>
      </c>
      <c r="AK76" s="905">
        <v>0.41852524136050828</v>
      </c>
      <c r="AL76" s="905"/>
      <c r="AM76" s="905">
        <v>6.701687568765835E-2</v>
      </c>
      <c r="AN76" s="905"/>
      <c r="AO76" s="904">
        <v>0.19175395571896539</v>
      </c>
      <c r="AP76" s="905" t="e">
        <v>#NAME?</v>
      </c>
      <c r="AQ76" s="905">
        <v>0.49444904371928389</v>
      </c>
      <c r="AR76" s="906"/>
      <c r="AS76" s="905">
        <v>0.19214384997003836</v>
      </c>
      <c r="AT76" s="905" t="e">
        <v>#NAME?</v>
      </c>
      <c r="AU76" s="905">
        <v>6.701687568765835E-2</v>
      </c>
      <c r="AV76" s="905"/>
      <c r="AW76" s="904">
        <v>0.10820799201493751</v>
      </c>
      <c r="AX76" s="905" t="e">
        <v>#NAME?</v>
      </c>
      <c r="AY76" s="905">
        <v>0.26716947793234619</v>
      </c>
      <c r="AZ76" s="906"/>
      <c r="BA76" s="1543">
        <v>3.1680865928292593E-3</v>
      </c>
      <c r="BB76" s="1544">
        <v>7.6709575088057553E-3</v>
      </c>
      <c r="BC76" s="905"/>
      <c r="BD76" s="905">
        <v>3.6346292356137597E-4</v>
      </c>
      <c r="BE76" s="905">
        <v>3.6346292356137597E-4</v>
      </c>
      <c r="BF76" s="906">
        <v>1.2098305217684754E-4</v>
      </c>
    </row>
    <row r="77" spans="1:58" x14ac:dyDescent="0.45">
      <c r="A77" s="744" t="s">
        <v>1519</v>
      </c>
      <c r="B77" s="904">
        <v>1.1943413874346022E-3</v>
      </c>
      <c r="C77" s="905">
        <v>3.9031545596760918E-4</v>
      </c>
      <c r="D77" s="905">
        <v>0</v>
      </c>
      <c r="E77" s="905">
        <v>1.1290486456880689E-3</v>
      </c>
      <c r="F77" s="905">
        <v>3.8856405535364153E-4</v>
      </c>
      <c r="G77" s="905">
        <v>0</v>
      </c>
      <c r="H77" s="905">
        <v>1.0417430211376356E-3</v>
      </c>
      <c r="I77" s="905">
        <v>5.3500521170051331E-4</v>
      </c>
      <c r="J77" s="906">
        <v>3.4966728721982406E-6</v>
      </c>
      <c r="K77" s="905">
        <v>1.1943210692476011E-3</v>
      </c>
      <c r="L77" s="905">
        <v>1.1290668142974179E-3</v>
      </c>
      <c r="M77" s="905">
        <v>3.894129050697429E-4</v>
      </c>
      <c r="N77" s="905">
        <v>0</v>
      </c>
      <c r="O77" s="905">
        <v>2.3914851417083122E-4</v>
      </c>
      <c r="P77" s="905">
        <v>1.2242627918148641E-4</v>
      </c>
      <c r="Q77" s="905">
        <v>0</v>
      </c>
      <c r="R77" s="905">
        <v>2.3914851417083122E-4</v>
      </c>
      <c r="S77" s="905">
        <v>1.2242627918148641E-4</v>
      </c>
      <c r="T77" s="905">
        <v>0</v>
      </c>
      <c r="U77" s="905">
        <v>7.6598751554237912E-5</v>
      </c>
      <c r="V77" s="905">
        <v>7.6598751554237912E-5</v>
      </c>
      <c r="W77" s="905">
        <v>7.6598751554237912E-5</v>
      </c>
      <c r="X77" s="905">
        <v>1.5319750310847582E-4</v>
      </c>
      <c r="Y77" s="905">
        <v>1.5319750310847582E-4</v>
      </c>
      <c r="Z77" s="905">
        <v>1.5319750310847582E-4</v>
      </c>
      <c r="AA77" s="905">
        <v>1.5319750310847582E-4</v>
      </c>
      <c r="AB77" s="905">
        <v>7.6598751554237912E-5</v>
      </c>
      <c r="AC77" s="905">
        <v>5.7449063665678435E-4</v>
      </c>
      <c r="AD77" s="905">
        <v>8.808856428737361E-4</v>
      </c>
      <c r="AE77" s="905">
        <v>1.1489812733135687E-3</v>
      </c>
      <c r="AF77" s="905">
        <v>1.1489812733135687E-3</v>
      </c>
      <c r="AG77" s="905">
        <v>1.1489812733135687E-3</v>
      </c>
      <c r="AH77" s="947">
        <v>2.5908682316343359E-3</v>
      </c>
      <c r="AI77" s="905">
        <v>2.7734381854945819E-4</v>
      </c>
      <c r="AJ77" s="905">
        <v>1.3974079285075276E-3</v>
      </c>
      <c r="AK77" s="905">
        <v>7.9495121756380446E-3</v>
      </c>
      <c r="AL77" s="905"/>
      <c r="AM77" s="905">
        <v>1.6099112126532788E-3</v>
      </c>
      <c r="AN77" s="905"/>
      <c r="AO77" s="904">
        <v>2.7734381854945819E-4</v>
      </c>
      <c r="AP77" s="905" t="e">
        <v>#NAME?</v>
      </c>
      <c r="AQ77" s="905">
        <v>9.3915379616384773E-3</v>
      </c>
      <c r="AR77" s="906"/>
      <c r="AS77" s="905">
        <v>2.7970456204541111E-4</v>
      </c>
      <c r="AT77" s="905" t="e">
        <v>#NAME?</v>
      </c>
      <c r="AU77" s="905">
        <v>1.6099112126532788E-3</v>
      </c>
      <c r="AV77" s="905"/>
      <c r="AW77" s="904">
        <v>3.7436378380313661E-4</v>
      </c>
      <c r="AX77" s="905">
        <v>0</v>
      </c>
      <c r="AY77" s="905">
        <v>1.8643622544701583E-3</v>
      </c>
      <c r="AZ77" s="906"/>
      <c r="BA77" s="1543">
        <v>5.6722323696908991E-4</v>
      </c>
      <c r="BB77" s="1544">
        <v>4.655390106003915E-4</v>
      </c>
      <c r="BC77" s="905"/>
      <c r="BD77" s="905">
        <v>3.4631606188371934E-5</v>
      </c>
      <c r="BE77" s="905">
        <v>3.4631606188371934E-5</v>
      </c>
      <c r="BF77" s="906">
        <v>1.1527551083895693E-5</v>
      </c>
    </row>
    <row r="78" spans="1:58" x14ac:dyDescent="0.45">
      <c r="A78" s="737" t="s">
        <v>1518</v>
      </c>
      <c r="B78" s="858">
        <v>1.1181384885442019E-3</v>
      </c>
      <c r="C78" s="859">
        <v>8.5464858240376959E-4</v>
      </c>
      <c r="D78" s="859">
        <v>0</v>
      </c>
      <c r="E78" s="859">
        <v>1.0627258187045048E-3</v>
      </c>
      <c r="F78" s="859">
        <v>8.5316220303934367E-4</v>
      </c>
      <c r="G78" s="859">
        <v>0</v>
      </c>
      <c r="H78" s="859">
        <v>2.2202494922729599E-3</v>
      </c>
      <c r="I78" s="859">
        <v>7.5195115927397579E-4</v>
      </c>
      <c r="J78" s="860">
        <v>5.6157216601187833E-6</v>
      </c>
      <c r="K78" s="859">
        <v>1.1181212448972372E-3</v>
      </c>
      <c r="L78" s="859">
        <v>1.0627412380470591E-3</v>
      </c>
      <c r="M78" s="905">
        <v>8.5388260515148722E-4</v>
      </c>
      <c r="N78" s="859">
        <v>0</v>
      </c>
      <c r="O78" s="859">
        <v>3.7434557668089737E-4</v>
      </c>
      <c r="P78" s="905">
        <v>2.8929394808684491E-4</v>
      </c>
      <c r="Q78" s="859">
        <v>0</v>
      </c>
      <c r="R78" s="859">
        <v>3.7434557668089737E-4</v>
      </c>
      <c r="S78" s="905">
        <v>2.8929394808684491E-4</v>
      </c>
      <c r="T78" s="859">
        <v>0</v>
      </c>
      <c r="U78" s="859">
        <v>1.6325363913771764E-4</v>
      </c>
      <c r="V78" s="859">
        <v>1.6325363913771764E-4</v>
      </c>
      <c r="W78" s="859">
        <v>1.6325363913771764E-4</v>
      </c>
      <c r="X78" s="859">
        <v>3.2650727827543527E-4</v>
      </c>
      <c r="Y78" s="859">
        <v>3.2650727827543527E-4</v>
      </c>
      <c r="Z78" s="859">
        <v>3.2650727827543527E-4</v>
      </c>
      <c r="AA78" s="859">
        <v>3.2650727827543527E-4</v>
      </c>
      <c r="AB78" s="859">
        <v>1.6325363913771764E-4</v>
      </c>
      <c r="AC78" s="859">
        <v>1.2244022935328823E-3</v>
      </c>
      <c r="AD78" s="859">
        <v>1.877416850083753E-3</v>
      </c>
      <c r="AE78" s="859">
        <v>2.4488045870657647E-3</v>
      </c>
      <c r="AF78" s="859">
        <v>2.4488045870657647E-3</v>
      </c>
      <c r="AG78" s="859">
        <v>2.4488045870657647E-3</v>
      </c>
      <c r="AH78" s="938">
        <v>6.6661507377029422E-3</v>
      </c>
      <c r="AI78" s="859">
        <v>6.844596972056231E-4</v>
      </c>
      <c r="AJ78" s="859">
        <v>2.4370523637874199E-2</v>
      </c>
      <c r="AK78" s="859">
        <v>2.0409997755353428E-2</v>
      </c>
      <c r="AL78" s="859"/>
      <c r="AM78" s="859">
        <v>7.888144561552006E-3</v>
      </c>
      <c r="AN78" s="859"/>
      <c r="AO78" s="858">
        <v>6.844596972056231E-4</v>
      </c>
      <c r="AP78" s="859" t="e">
        <v>#NAME?</v>
      </c>
      <c r="AQ78" s="859">
        <v>2.4112326127847118E-2</v>
      </c>
      <c r="AR78" s="860"/>
      <c r="AS78" s="859">
        <v>6.9399708109322612E-4</v>
      </c>
      <c r="AT78" s="859" t="e">
        <v>#NAME?</v>
      </c>
      <c r="AU78" s="859">
        <v>7.888144561552006E-3</v>
      </c>
      <c r="AV78" s="859"/>
      <c r="AW78" s="858">
        <v>1.1295455786090875E-3</v>
      </c>
      <c r="AX78" s="859">
        <v>0</v>
      </c>
      <c r="AY78" s="859">
        <v>7.876840225820872E-3</v>
      </c>
      <c r="AZ78" s="860"/>
      <c r="BA78" s="1550">
        <v>9.9163681300005395E-4</v>
      </c>
      <c r="BB78" s="1551">
        <v>9.1871429053117534E-4</v>
      </c>
      <c r="BC78" s="859"/>
      <c r="BD78" s="859">
        <v>6.4059730103430436E-5</v>
      </c>
      <c r="BE78" s="859">
        <v>6.4059730103430436E-5</v>
      </c>
      <c r="BF78" s="860">
        <v>2.1323059842249278E-5</v>
      </c>
    </row>
    <row r="80" spans="1:58" ht="15" customHeight="1" x14ac:dyDescent="0.45">
      <c r="A80" s="726" t="s">
        <v>3516</v>
      </c>
      <c r="AG80" s="1552"/>
    </row>
    <row r="81" spans="1:39" ht="15" customHeight="1" x14ac:dyDescent="0.45">
      <c r="A81" s="725" t="s">
        <v>3110</v>
      </c>
    </row>
    <row r="82" spans="1:39" ht="52.5" customHeight="1" x14ac:dyDescent="0.45">
      <c r="A82" s="1481"/>
      <c r="B82" s="2272" t="s">
        <v>3517</v>
      </c>
      <c r="C82" s="2272" t="s">
        <v>3518</v>
      </c>
      <c r="D82" s="2272" t="s">
        <v>3519</v>
      </c>
      <c r="E82" s="2272" t="s">
        <v>3520</v>
      </c>
      <c r="F82" s="2269" t="s">
        <v>3521</v>
      </c>
      <c r="G82" s="2271"/>
      <c r="H82" s="2269" t="s">
        <v>3522</v>
      </c>
      <c r="I82" s="2271"/>
      <c r="J82" s="2269" t="s">
        <v>3461</v>
      </c>
      <c r="K82" s="2271"/>
      <c r="L82" s="2269" t="s">
        <v>3523</v>
      </c>
      <c r="M82" s="2271"/>
      <c r="N82" s="2269" t="s">
        <v>3524</v>
      </c>
      <c r="O82" s="2271"/>
      <c r="P82" s="2269" t="s">
        <v>3525</v>
      </c>
      <c r="Q82" s="2271"/>
      <c r="R82" s="2269" t="s">
        <v>3526</v>
      </c>
      <c r="S82" s="2271"/>
      <c r="T82" s="2269" t="s">
        <v>3465</v>
      </c>
      <c r="U82" s="2271"/>
      <c r="V82" s="2269" t="s">
        <v>3527</v>
      </c>
      <c r="W82" s="2271"/>
      <c r="X82" s="2269" t="s">
        <v>3528</v>
      </c>
      <c r="Y82" s="2271"/>
      <c r="Z82" s="2272" t="s">
        <v>3529</v>
      </c>
      <c r="AA82" s="2269" t="s">
        <v>3530</v>
      </c>
      <c r="AB82" s="2271"/>
      <c r="AC82" s="2269" t="s">
        <v>3531</v>
      </c>
      <c r="AD82" s="2271"/>
      <c r="AE82" s="2269" t="s">
        <v>3532</v>
      </c>
      <c r="AF82" s="2271"/>
      <c r="AG82" s="2272" t="s">
        <v>3533</v>
      </c>
      <c r="AH82" s="2272" t="s">
        <v>3534</v>
      </c>
      <c r="AI82" s="2272" t="s">
        <v>3535</v>
      </c>
      <c r="AJ82" s="2272" t="s">
        <v>3536</v>
      </c>
      <c r="AK82" s="1553"/>
      <c r="AL82" s="1553"/>
      <c r="AM82" s="1553"/>
    </row>
    <row r="83" spans="1:39" ht="12.75" customHeight="1" x14ac:dyDescent="0.45">
      <c r="A83" s="737"/>
      <c r="B83" s="2260"/>
      <c r="C83" s="2260"/>
      <c r="D83" s="2260"/>
      <c r="E83" s="2260"/>
      <c r="F83" s="1554" t="s">
        <v>128</v>
      </c>
      <c r="G83" s="1555" t="s">
        <v>154</v>
      </c>
      <c r="H83" s="1554" t="s">
        <v>128</v>
      </c>
      <c r="I83" s="1555" t="s">
        <v>154</v>
      </c>
      <c r="J83" s="1554" t="s">
        <v>128</v>
      </c>
      <c r="K83" s="1555" t="s">
        <v>154</v>
      </c>
      <c r="L83" s="1554" t="s">
        <v>128</v>
      </c>
      <c r="M83" s="1555" t="s">
        <v>154</v>
      </c>
      <c r="N83" s="1554" t="s">
        <v>128</v>
      </c>
      <c r="O83" s="1555" t="s">
        <v>154</v>
      </c>
      <c r="P83" s="1554" t="s">
        <v>128</v>
      </c>
      <c r="Q83" s="1555" t="s">
        <v>154</v>
      </c>
      <c r="R83" s="1554" t="s">
        <v>128</v>
      </c>
      <c r="S83" s="1555" t="s">
        <v>154</v>
      </c>
      <c r="T83" s="1554" t="s">
        <v>128</v>
      </c>
      <c r="U83" s="1555" t="s">
        <v>154</v>
      </c>
      <c r="V83" s="1554" t="s">
        <v>128</v>
      </c>
      <c r="W83" s="1555" t="s">
        <v>154</v>
      </c>
      <c r="X83" s="1554" t="s">
        <v>128</v>
      </c>
      <c r="Y83" s="1555" t="s">
        <v>154</v>
      </c>
      <c r="Z83" s="2260"/>
      <c r="AA83" s="1554" t="s">
        <v>128</v>
      </c>
      <c r="AB83" s="1555" t="s">
        <v>154</v>
      </c>
      <c r="AC83" s="1554" t="s">
        <v>128</v>
      </c>
      <c r="AD83" s="1555" t="s">
        <v>154</v>
      </c>
      <c r="AE83" s="1554" t="s">
        <v>128</v>
      </c>
      <c r="AF83" s="1556" t="s">
        <v>154</v>
      </c>
      <c r="AG83" s="2260"/>
      <c r="AH83" s="2260"/>
      <c r="AI83" s="2260"/>
      <c r="AJ83" s="2260"/>
      <c r="AK83" s="9"/>
      <c r="AL83" s="9"/>
      <c r="AM83" s="9"/>
    </row>
    <row r="84" spans="1:39" x14ac:dyDescent="0.45">
      <c r="A84" s="744" t="s">
        <v>2508</v>
      </c>
      <c r="B84" s="744"/>
      <c r="C84" s="744"/>
      <c r="D84" s="768"/>
      <c r="E84" s="768"/>
      <c r="F84" s="1557"/>
      <c r="G84" s="1558" t="e">
        <v>#NAME?</v>
      </c>
      <c r="H84" s="1557"/>
      <c r="I84" s="1558" t="e">
        <v>#NAME?</v>
      </c>
      <c r="J84" s="1557"/>
      <c r="K84" s="1558" t="e">
        <v>#NAME?</v>
      </c>
      <c r="L84" s="1557"/>
      <c r="M84" s="1558" t="e">
        <v>#NAME?</v>
      </c>
      <c r="N84" s="1557"/>
      <c r="O84" s="1558" t="e">
        <v>#NAME?</v>
      </c>
      <c r="P84" s="1557"/>
      <c r="Q84" s="1558">
        <v>1</v>
      </c>
      <c r="R84" s="1557"/>
      <c r="S84" s="1558" t="e">
        <v>#NAME?</v>
      </c>
      <c r="T84" s="1557"/>
      <c r="U84" s="1558" t="e">
        <v>#NAME?</v>
      </c>
      <c r="V84" s="1557"/>
      <c r="W84" s="1558" t="e">
        <v>#NAME?</v>
      </c>
      <c r="X84" s="1557"/>
      <c r="Y84" s="1558">
        <v>1</v>
      </c>
      <c r="Z84" s="744">
        <v>1.0069999999999999</v>
      </c>
      <c r="AA84" s="1557"/>
      <c r="AB84" s="1558" t="e">
        <v>#NAME?</v>
      </c>
      <c r="AC84" s="1557"/>
      <c r="AD84" s="1558" t="e">
        <v>#NAME?</v>
      </c>
      <c r="AE84" s="1557"/>
      <c r="AF84" s="1559">
        <v>1</v>
      </c>
      <c r="AG84" s="744"/>
      <c r="AH84" s="744"/>
      <c r="AI84" s="744"/>
      <c r="AJ84" s="744"/>
      <c r="AK84" s="905"/>
      <c r="AL84" s="905"/>
      <c r="AM84" s="905"/>
    </row>
    <row r="85" spans="1:39" x14ac:dyDescent="0.45">
      <c r="A85" s="744" t="s">
        <v>1968</v>
      </c>
      <c r="B85" s="1516">
        <v>102095.43737132993</v>
      </c>
      <c r="C85" s="1516">
        <v>87234.882073116823</v>
      </c>
      <c r="D85" s="1517">
        <v>79137.683488587369</v>
      </c>
      <c r="E85" s="1512">
        <v>69711.48285051572</v>
      </c>
      <c r="F85" s="1512">
        <v>72183.785689986704</v>
      </c>
      <c r="G85" s="1514">
        <v>128000.53937880541</v>
      </c>
      <c r="H85" s="1512">
        <v>72183.785689986704</v>
      </c>
      <c r="I85" s="1514">
        <v>131169.60642310843</v>
      </c>
      <c r="J85" s="1512">
        <v>106511.65405772216</v>
      </c>
      <c r="K85" s="1514">
        <v>45738.414361726915</v>
      </c>
      <c r="L85" s="1512">
        <v>71399.852831778873</v>
      </c>
      <c r="M85" s="1514">
        <v>123407.89796135607</v>
      </c>
      <c r="N85" s="1512">
        <v>72183.785689986704</v>
      </c>
      <c r="O85" s="1514">
        <v>120600.91969740251</v>
      </c>
      <c r="P85" s="1512">
        <v>0</v>
      </c>
      <c r="Q85" s="1514">
        <v>14358.434712933769</v>
      </c>
      <c r="R85" s="1512">
        <v>71399.852831778873</v>
      </c>
      <c r="S85" s="1514">
        <v>123407.89796135607</v>
      </c>
      <c r="T85" s="1512">
        <v>71399.852831778888</v>
      </c>
      <c r="U85" s="1514">
        <v>49368.463739193568</v>
      </c>
      <c r="V85" s="1512">
        <v>78601.196693310587</v>
      </c>
      <c r="W85" s="1514">
        <v>144470.1186775676</v>
      </c>
      <c r="X85" s="1512">
        <v>70741.775000149122</v>
      </c>
      <c r="Y85" s="1514">
        <v>77898.960220705776</v>
      </c>
      <c r="Z85" s="1520">
        <v>117625.77466710116</v>
      </c>
      <c r="AA85" s="1512">
        <v>71399.852831778888</v>
      </c>
      <c r="AB85" s="1514">
        <v>46820.830412998868</v>
      </c>
      <c r="AC85" s="1512">
        <v>51082.28325844428</v>
      </c>
      <c r="AD85" s="1514">
        <v>141922.48535137289</v>
      </c>
      <c r="AE85" s="1512">
        <v>63473.8851586862</v>
      </c>
      <c r="AF85" s="1513">
        <v>75351.32689451109</v>
      </c>
      <c r="AG85" s="1520">
        <v>116780.69887829937</v>
      </c>
      <c r="AH85" s="1520">
        <v>116661.96896758355</v>
      </c>
      <c r="AI85" s="1520">
        <v>92496.464275711653</v>
      </c>
      <c r="AJ85" s="1520">
        <v>96979.508498174473</v>
      </c>
      <c r="AK85" s="1513"/>
      <c r="AL85" s="1513"/>
      <c r="AM85" s="1513"/>
    </row>
    <row r="86" spans="1:39" x14ac:dyDescent="0.45">
      <c r="A86" s="744" t="s">
        <v>1967</v>
      </c>
      <c r="B86" s="1516">
        <v>101389.30887609599</v>
      </c>
      <c r="C86" s="1516">
        <v>86635.897120492766</v>
      </c>
      <c r="D86" s="1517">
        <v>78618.627303493486</v>
      </c>
      <c r="E86" s="1512">
        <v>69246.521762161618</v>
      </c>
      <c r="F86" s="1512">
        <v>71695.523151304267</v>
      </c>
      <c r="G86" s="1514">
        <v>127116.55953875033</v>
      </c>
      <c r="H86" s="1512">
        <v>71695.523151304267</v>
      </c>
      <c r="I86" s="1514">
        <v>29859.039229692546</v>
      </c>
      <c r="J86" s="1512">
        <v>105780.49573284862</v>
      </c>
      <c r="K86" s="1514">
        <v>36548.831960336189</v>
      </c>
      <c r="L86" s="1512">
        <v>70915.037277526804</v>
      </c>
      <c r="M86" s="1514">
        <v>122531.62417273097</v>
      </c>
      <c r="N86" s="1512">
        <v>71695.523151304267</v>
      </c>
      <c r="O86" s="1514">
        <v>20746.127057417631</v>
      </c>
      <c r="P86" s="1512">
        <v>0</v>
      </c>
      <c r="Q86" s="1514">
        <v>8208.0409092300779</v>
      </c>
      <c r="R86" s="1512">
        <v>70915.037277526804</v>
      </c>
      <c r="S86" s="1514">
        <v>122531.62417273097</v>
      </c>
      <c r="T86" s="1512">
        <v>70915.03727752679</v>
      </c>
      <c r="U86" s="1514">
        <v>47933.503655272099</v>
      </c>
      <c r="V86" s="1512">
        <v>74375.039361977542</v>
      </c>
      <c r="W86" s="1514">
        <v>141415.30070703299</v>
      </c>
      <c r="X86" s="1512">
        <v>69286.234110618985</v>
      </c>
      <c r="Y86" s="1514">
        <v>75978.042770800384</v>
      </c>
      <c r="Z86" s="1520">
        <v>116525.549204162</v>
      </c>
      <c r="AA86" s="1512">
        <v>70915.03727752679</v>
      </c>
      <c r="AB86" s="1514">
        <v>46338.046183682389</v>
      </c>
      <c r="AC86" s="1512">
        <v>47073.198554768009</v>
      </c>
      <c r="AD86" s="1514">
        <v>139819.84323544329</v>
      </c>
      <c r="AE86" s="1512">
        <v>62075.674292346841</v>
      </c>
      <c r="AF86" s="1513">
        <v>74382.585299210667</v>
      </c>
      <c r="AG86" s="1520">
        <v>116766.68173058415</v>
      </c>
      <c r="AH86" s="1520">
        <v>116647.97179565675</v>
      </c>
      <c r="AI86" s="1520">
        <v>92482.776395030669</v>
      </c>
      <c r="AJ86" s="1520">
        <v>96310.265484822623</v>
      </c>
      <c r="AK86" s="1513"/>
      <c r="AL86" s="1513"/>
      <c r="AM86" s="1513"/>
    </row>
    <row r="87" spans="1:39" x14ac:dyDescent="0.45">
      <c r="A87" s="744" t="s">
        <v>114</v>
      </c>
      <c r="B87" s="1516">
        <v>1703.6952283660562</v>
      </c>
      <c r="C87" s="1516">
        <v>1444.9939602962147</v>
      </c>
      <c r="D87" s="1512">
        <v>1248.7251309038591</v>
      </c>
      <c r="E87" s="1512">
        <v>1121.4177072851046</v>
      </c>
      <c r="F87" s="1512">
        <v>1177.6194290590402</v>
      </c>
      <c r="G87" s="1514">
        <v>2132.3829516745968</v>
      </c>
      <c r="H87" s="1512">
        <v>1177.6194290590402</v>
      </c>
      <c r="I87" s="1514">
        <v>2152.3021652574625</v>
      </c>
      <c r="J87" s="1512">
        <v>1764.1292988486221</v>
      </c>
      <c r="K87" s="1514">
        <v>20944.565758401866</v>
      </c>
      <c r="L87" s="1512">
        <v>1169.3285551326767</v>
      </c>
      <c r="M87" s="1514">
        <v>2113.960761926628</v>
      </c>
      <c r="N87" s="1512">
        <v>1177.6194290590402</v>
      </c>
      <c r="O87" s="1514">
        <v>2109.3773295461042</v>
      </c>
      <c r="P87" s="1512">
        <v>0</v>
      </c>
      <c r="Q87" s="1514">
        <v>74.777863547992666</v>
      </c>
      <c r="R87" s="1512">
        <v>1169.3285551326767</v>
      </c>
      <c r="S87" s="1514">
        <v>2113.960761926628</v>
      </c>
      <c r="T87" s="1512">
        <v>1169.3285551326767</v>
      </c>
      <c r="U87" s="1514">
        <v>3463.506757301875</v>
      </c>
      <c r="V87" s="1512">
        <v>9851.7666268191697</v>
      </c>
      <c r="W87" s="1514">
        <v>7316.9296366418985</v>
      </c>
      <c r="X87" s="1512">
        <v>3420.4806977518992</v>
      </c>
      <c r="Y87" s="1514">
        <v>4619.533621103883</v>
      </c>
      <c r="Z87" s="1520">
        <v>1757.9878722667459</v>
      </c>
      <c r="AA87" s="1512">
        <v>1169.3285551326767</v>
      </c>
      <c r="AB87" s="1514">
        <v>1163.4479083097012</v>
      </c>
      <c r="AC87" s="1512">
        <v>9676.8375913754135</v>
      </c>
      <c r="AD87" s="1514">
        <v>5016.8707876497247</v>
      </c>
      <c r="AE87" s="1512">
        <v>3374.2810190222954</v>
      </c>
      <c r="AF87" s="1513">
        <v>2319.4747721117083</v>
      </c>
      <c r="AG87" s="1520">
        <v>33.002334731528087</v>
      </c>
      <c r="AH87" s="1520">
        <v>32.955303219216525</v>
      </c>
      <c r="AI87" s="1520">
        <v>32.22709991913252</v>
      </c>
      <c r="AJ87" s="1520">
        <v>1614.6341360797173</v>
      </c>
      <c r="AK87" s="1513"/>
      <c r="AL87" s="1513"/>
      <c r="AM87" s="1513"/>
    </row>
    <row r="88" spans="1:39" x14ac:dyDescent="0.45">
      <c r="A88" s="744" t="s">
        <v>113</v>
      </c>
      <c r="B88" s="1516">
        <v>95626.814946775747</v>
      </c>
      <c r="C88" s="1516">
        <v>81192.989365453599</v>
      </c>
      <c r="D88" s="1520">
        <v>64002.992907516513</v>
      </c>
      <c r="E88" s="1520">
        <v>64284.809152808863</v>
      </c>
      <c r="F88" s="1512">
        <v>66491.044578678775</v>
      </c>
      <c r="G88" s="1514">
        <v>118702.2972121893</v>
      </c>
      <c r="H88" s="1512">
        <v>66491.044578678775</v>
      </c>
      <c r="I88" s="1514">
        <v>20368.190967079998</v>
      </c>
      <c r="J88" s="1512">
        <v>99939.904959576408</v>
      </c>
      <c r="K88" s="1514">
        <v>14892.545523191104</v>
      </c>
      <c r="L88" s="1512">
        <v>65812.673639229688</v>
      </c>
      <c r="M88" s="1514">
        <v>114669.40958624351</v>
      </c>
      <c r="N88" s="1512">
        <v>66491.044578678775</v>
      </c>
      <c r="O88" s="1514">
        <v>12893.976231695717</v>
      </c>
      <c r="P88" s="1512">
        <v>0</v>
      </c>
      <c r="Q88" s="1514">
        <v>2860.7581911079083</v>
      </c>
      <c r="R88" s="1512">
        <v>65812.673639229688</v>
      </c>
      <c r="S88" s="1514">
        <v>114669.40958624351</v>
      </c>
      <c r="T88" s="1512">
        <v>65812.673639229673</v>
      </c>
      <c r="U88" s="1514">
        <v>40073.906355260158</v>
      </c>
      <c r="V88" s="1512">
        <v>50124.388845316455</v>
      </c>
      <c r="W88" s="1514">
        <v>76819.228777500161</v>
      </c>
      <c r="X88" s="1512">
        <v>59309.64874794842</v>
      </c>
      <c r="Y88" s="1514">
        <v>51097.503081932176</v>
      </c>
      <c r="Z88" s="1520">
        <v>110163.83038777782</v>
      </c>
      <c r="AA88" s="1512">
        <v>65812.673639229673</v>
      </c>
      <c r="AB88" s="1514">
        <v>38442.132186703006</v>
      </c>
      <c r="AC88" s="1512">
        <v>25584.856461032265</v>
      </c>
      <c r="AD88" s="1514">
        <v>75245.245347372605</v>
      </c>
      <c r="AE88" s="1512">
        <v>52828.629119316553</v>
      </c>
      <c r="AF88" s="1513">
        <v>49483.0661349039</v>
      </c>
      <c r="AG88" s="1520">
        <v>114306.41266683508</v>
      </c>
      <c r="AH88" s="1520">
        <v>114191.20885278375</v>
      </c>
      <c r="AI88" s="1520">
        <v>90080.299794802544</v>
      </c>
      <c r="AJ88" s="1520">
        <v>90657.793025336839</v>
      </c>
      <c r="AK88" s="1513"/>
      <c r="AL88" s="1513"/>
      <c r="AM88" s="1513"/>
    </row>
    <row r="89" spans="1:39" x14ac:dyDescent="0.45">
      <c r="A89" s="744" t="s">
        <v>1966</v>
      </c>
      <c r="B89" s="1516">
        <v>4058.7987009541926</v>
      </c>
      <c r="C89" s="1516">
        <v>3997.9137947429599</v>
      </c>
      <c r="D89" s="1512">
        <v>13366.90926507312</v>
      </c>
      <c r="E89" s="1512">
        <v>3840.2949020676524</v>
      </c>
      <c r="F89" s="1512">
        <v>4026.8591435664521</v>
      </c>
      <c r="G89" s="1514">
        <v>6281.8793748864464</v>
      </c>
      <c r="H89" s="1512">
        <v>4026.8591435664521</v>
      </c>
      <c r="I89" s="1514">
        <v>7338.5460973550826</v>
      </c>
      <c r="J89" s="1512">
        <v>4076.4614744235932</v>
      </c>
      <c r="K89" s="1514">
        <v>711.7206787432184</v>
      </c>
      <c r="L89" s="1512">
        <v>3933.03508316445</v>
      </c>
      <c r="M89" s="1514">
        <v>5748.2538245608339</v>
      </c>
      <c r="N89" s="1512">
        <v>4026.8591435664521</v>
      </c>
      <c r="O89" s="1514">
        <v>5742.7734961758097</v>
      </c>
      <c r="P89" s="1512">
        <v>0</v>
      </c>
      <c r="Q89" s="1514">
        <v>5272.5048545741765</v>
      </c>
      <c r="R89" s="1512">
        <v>3933.03508316445</v>
      </c>
      <c r="S89" s="1514">
        <v>5748.2538245608339</v>
      </c>
      <c r="T89" s="1512">
        <v>3933.03508316445</v>
      </c>
      <c r="U89" s="1514">
        <v>4396.0905427100624</v>
      </c>
      <c r="V89" s="1512">
        <v>14398.883889841916</v>
      </c>
      <c r="W89" s="1514">
        <v>57279.142292890931</v>
      </c>
      <c r="X89" s="1512">
        <v>6556.104664918661</v>
      </c>
      <c r="Y89" s="1514">
        <v>20261.006067764327</v>
      </c>
      <c r="Z89" s="1520">
        <v>4603.7309441174357</v>
      </c>
      <c r="AA89" s="1512">
        <v>3933.03508316445</v>
      </c>
      <c r="AB89" s="1514">
        <v>6732.4660886696802</v>
      </c>
      <c r="AC89" s="1512">
        <v>11811.504502360331</v>
      </c>
      <c r="AD89" s="1514">
        <v>59557.727100420947</v>
      </c>
      <c r="AE89" s="1512">
        <v>5872.7641540079931</v>
      </c>
      <c r="AF89" s="1513">
        <v>22580.044392195065</v>
      </c>
      <c r="AG89" s="1520">
        <v>2427.2667290175423</v>
      </c>
      <c r="AH89" s="1520">
        <v>2423.8076396537781</v>
      </c>
      <c r="AI89" s="1520">
        <v>2370.2495003089866</v>
      </c>
      <c r="AJ89" s="1520">
        <v>4037.8383234060634</v>
      </c>
      <c r="AK89" s="1513"/>
      <c r="AL89" s="1513"/>
      <c r="AM89" s="1513"/>
    </row>
    <row r="90" spans="1:39" x14ac:dyDescent="0.45">
      <c r="A90" s="744" t="s">
        <v>1532</v>
      </c>
      <c r="B90" s="1560">
        <v>3.207411452950359</v>
      </c>
      <c r="C90" s="1560">
        <v>3.1165219998138443</v>
      </c>
      <c r="D90" s="1561">
        <v>3.9855791126348916</v>
      </c>
      <c r="E90" s="1561">
        <v>3.7826126155385214</v>
      </c>
      <c r="F90" s="1561">
        <v>2.227878090878145</v>
      </c>
      <c r="G90" s="1562">
        <v>0.75515166746673423</v>
      </c>
      <c r="H90" s="1561">
        <v>0.32604331464980463</v>
      </c>
      <c r="I90" s="1562">
        <v>0.57686780144182981</v>
      </c>
      <c r="J90" s="1561">
        <v>3.2460661327329308</v>
      </c>
      <c r="K90" s="1562">
        <v>4.3503982029263994</v>
      </c>
      <c r="L90" s="1561">
        <v>3.0345941759335631</v>
      </c>
      <c r="M90" s="1562">
        <v>0.81754467902339933</v>
      </c>
      <c r="N90" s="1561">
        <v>0.32604331464980463</v>
      </c>
      <c r="O90" s="1562">
        <v>0.55011590689516165</v>
      </c>
      <c r="P90" s="1561">
        <v>0</v>
      </c>
      <c r="Q90" s="1562">
        <v>0.11932279213162653</v>
      </c>
      <c r="R90" s="1561">
        <v>3.0345941759335631</v>
      </c>
      <c r="S90" s="1562">
        <v>0.81754467902339933</v>
      </c>
      <c r="T90" s="1561">
        <v>3.0345941759335626</v>
      </c>
      <c r="U90" s="1562">
        <v>0.89477607772980783</v>
      </c>
      <c r="V90" s="1561">
        <v>18.264926052591754</v>
      </c>
      <c r="W90" s="1562">
        <v>9.2408605452961776</v>
      </c>
      <c r="X90" s="1561">
        <v>6.9482017628890347</v>
      </c>
      <c r="Y90" s="1562">
        <v>3.3986014179997195</v>
      </c>
      <c r="Z90" s="1563">
        <v>3.639311764935961</v>
      </c>
      <c r="AA90" s="1561">
        <v>3.0345941759335626</v>
      </c>
      <c r="AB90" s="1562">
        <v>0.45645957195722875</v>
      </c>
      <c r="AC90" s="1561">
        <v>21.798752891849354</v>
      </c>
      <c r="AD90" s="1562">
        <v>8.8025440395235979</v>
      </c>
      <c r="AE90" s="1561">
        <v>7.8815040259787015</v>
      </c>
      <c r="AF90" s="1542">
        <v>2.9602849122271397</v>
      </c>
      <c r="AG90" s="1563">
        <v>2.0691032817657407</v>
      </c>
      <c r="AH90" s="1563">
        <v>2.0661546098835273</v>
      </c>
      <c r="AI90" s="1563">
        <v>2.0204994206293865</v>
      </c>
      <c r="AJ90" s="1563">
        <v>3.1761216412148374</v>
      </c>
    </row>
    <row r="91" spans="1:39" x14ac:dyDescent="0.45">
      <c r="A91" s="744" t="s">
        <v>2582</v>
      </c>
      <c r="B91" s="1560">
        <v>10.321632704647827</v>
      </c>
      <c r="C91" s="1560">
        <v>8.5739151822303246</v>
      </c>
      <c r="D91" s="1561">
        <v>6.8251102401154995</v>
      </c>
      <c r="E91" s="1561">
        <v>6.573416430237268</v>
      </c>
      <c r="F91" s="1561">
        <v>6.7596617750239361</v>
      </c>
      <c r="G91" s="1562">
        <v>1.84926855535817</v>
      </c>
      <c r="H91" s="1561">
        <v>6.7596617750239361</v>
      </c>
      <c r="I91" s="1562">
        <v>-0.77330567573548881</v>
      </c>
      <c r="J91" s="1561">
        <v>10.728791789342978</v>
      </c>
      <c r="K91" s="1562">
        <v>0.32849973242409258</v>
      </c>
      <c r="L91" s="1561">
        <v>6.7115925391813729</v>
      </c>
      <c r="M91" s="1562">
        <v>1.0523181311216376</v>
      </c>
      <c r="N91" s="1561">
        <v>6.7596617750239361</v>
      </c>
      <c r="O91" s="1562">
        <v>-1.7199742502420357</v>
      </c>
      <c r="P91" s="1561">
        <v>0</v>
      </c>
      <c r="Q91" s="1562">
        <v>-30.809599673212855</v>
      </c>
      <c r="R91" s="1561">
        <v>6.7115925391813729</v>
      </c>
      <c r="S91" s="1562">
        <v>1.0523181311216376</v>
      </c>
      <c r="T91" s="1561">
        <v>6.7115925391813738</v>
      </c>
      <c r="U91" s="1562">
        <v>6.2588026897391522</v>
      </c>
      <c r="V91" s="1561">
        <v>3.969948696674785</v>
      </c>
      <c r="W91" s="1562">
        <v>5.0160622987297208</v>
      </c>
      <c r="X91" s="1561">
        <v>5.7468706254367943</v>
      </c>
      <c r="Y91" s="1562">
        <v>5.8859805724363223</v>
      </c>
      <c r="Z91" s="1563">
        <v>11.610091922238309</v>
      </c>
      <c r="AA91" s="1561">
        <v>6.7115925391813738</v>
      </c>
      <c r="AB91" s="1562">
        <v>6.5288541292054862</v>
      </c>
      <c r="AC91" s="1561">
        <v>4.126265119726078</v>
      </c>
      <c r="AD91" s="1562">
        <v>5.2861137381960557</v>
      </c>
      <c r="AE91" s="1561">
        <v>5.7881546152947987</v>
      </c>
      <c r="AF91" s="1542">
        <v>6.1560320119026564</v>
      </c>
      <c r="AG91" s="1563">
        <v>7.3340899032401206</v>
      </c>
      <c r="AH91" s="1563">
        <v>7.3299964714461119</v>
      </c>
      <c r="AI91" s="1563">
        <v>4.2900471991652624</v>
      </c>
      <c r="AJ91" s="1563">
        <v>9.7199594592254073</v>
      </c>
      <c r="AK91" s="1542"/>
      <c r="AL91" s="1542"/>
      <c r="AM91" s="1542"/>
    </row>
    <row r="92" spans="1:39" x14ac:dyDescent="0.45">
      <c r="A92" s="744" t="s">
        <v>2583</v>
      </c>
      <c r="B92" s="1560">
        <v>31.988295590658325</v>
      </c>
      <c r="C92" s="1560">
        <v>23.037498482471769</v>
      </c>
      <c r="D92" s="1561">
        <v>13.164168810015248</v>
      </c>
      <c r="E92" s="1561">
        <v>12.785127054085578</v>
      </c>
      <c r="F92" s="1561">
        <v>13.756731282075499</v>
      </c>
      <c r="G92" s="1562">
        <v>7.2981323258689077</v>
      </c>
      <c r="H92" s="1561">
        <v>13.756731282075499</v>
      </c>
      <c r="I92" s="1562">
        <v>-21.637425966320286</v>
      </c>
      <c r="J92" s="1561">
        <v>34.053892465492432</v>
      </c>
      <c r="K92" s="1562">
        <v>0.91731313407394632</v>
      </c>
      <c r="L92" s="1561">
        <v>13.499760154681162</v>
      </c>
      <c r="M92" s="1562">
        <v>6.4584983555746778</v>
      </c>
      <c r="N92" s="1561">
        <v>13.756731282075499</v>
      </c>
      <c r="O92" s="1562">
        <v>-22.385693793157813</v>
      </c>
      <c r="P92" s="1561">
        <v>0</v>
      </c>
      <c r="Q92" s="1562">
        <v>-41.623153860973211</v>
      </c>
      <c r="R92" s="1561">
        <v>13.499760154681162</v>
      </c>
      <c r="S92" s="1562">
        <v>6.4584983555746778</v>
      </c>
      <c r="T92" s="1561">
        <v>13.499760154681162</v>
      </c>
      <c r="U92" s="1562">
        <v>3.5379911300190514</v>
      </c>
      <c r="V92" s="1561">
        <v>8.6113507066946724</v>
      </c>
      <c r="W92" s="1562">
        <v>6.56863625806304</v>
      </c>
      <c r="X92" s="1561">
        <v>11.724681255239931</v>
      </c>
      <c r="Y92" s="1562">
        <v>4.4471846684322482</v>
      </c>
      <c r="Z92" s="1563">
        <v>38.565906114510234</v>
      </c>
      <c r="AA92" s="1561">
        <v>13.499760154681162</v>
      </c>
      <c r="AB92" s="1562">
        <v>3.9906705148871104</v>
      </c>
      <c r="AC92" s="1561">
        <v>8.5244832208722645</v>
      </c>
      <c r="AD92" s="1562">
        <v>7.021315642931099</v>
      </c>
      <c r="AE92" s="1561">
        <v>11.701739095141335</v>
      </c>
      <c r="AF92" s="1542">
        <v>4.8998640533003073</v>
      </c>
      <c r="AG92" s="1563">
        <v>40.416684293517747</v>
      </c>
      <c r="AH92" s="1563">
        <v>40.392758146382107</v>
      </c>
      <c r="AI92" s="1563">
        <v>24.259474337370193</v>
      </c>
      <c r="AJ92" s="1563">
        <v>28.90687363538099</v>
      </c>
      <c r="AK92" s="1542"/>
      <c r="AL92" s="1542"/>
      <c r="AM92" s="1542"/>
    </row>
    <row r="93" spans="1:39" x14ac:dyDescent="0.45">
      <c r="A93" s="744" t="s">
        <v>2584</v>
      </c>
      <c r="B93" s="1560">
        <v>40.015365010637225</v>
      </c>
      <c r="C93" s="1560">
        <v>29.414282582796147</v>
      </c>
      <c r="D93" s="1561">
        <v>25.283034733647767</v>
      </c>
      <c r="E93" s="1561">
        <v>17.223224569903724</v>
      </c>
      <c r="F93" s="1561">
        <v>18.472344439640786</v>
      </c>
      <c r="G93" s="1562">
        <v>30.721342377318656</v>
      </c>
      <c r="H93" s="1561">
        <v>18.472344439640782</v>
      </c>
      <c r="I93" s="1562">
        <v>-19.684715217025779</v>
      </c>
      <c r="J93" s="1561">
        <v>42.46380455011959</v>
      </c>
      <c r="K93" s="1562">
        <v>2.0602083145628289</v>
      </c>
      <c r="L93" s="1561">
        <v>18.118042101496439</v>
      </c>
      <c r="M93" s="1562">
        <v>10.766184928442078</v>
      </c>
      <c r="N93" s="1561">
        <v>18.472344439640782</v>
      </c>
      <c r="O93" s="1562">
        <v>-43.492199147040594</v>
      </c>
      <c r="P93" s="1561">
        <v>0</v>
      </c>
      <c r="Q93" s="1562">
        <v>-6.2694594089137068</v>
      </c>
      <c r="R93" s="1561">
        <v>18.118042101496439</v>
      </c>
      <c r="S93" s="1562">
        <v>10.766184928442078</v>
      </c>
      <c r="T93" s="1561">
        <v>18.118042101496439</v>
      </c>
      <c r="U93" s="1562">
        <v>6.9488918197671925</v>
      </c>
      <c r="V93" s="1561">
        <v>20.57253541238174</v>
      </c>
      <c r="W93" s="1562">
        <v>12.932737505058986</v>
      </c>
      <c r="X93" s="1561">
        <v>18.116677263758337</v>
      </c>
      <c r="Y93" s="1562">
        <v>8.7440455253547302</v>
      </c>
      <c r="Z93" s="1563">
        <v>47.918163382865444</v>
      </c>
      <c r="AA93" s="1561">
        <v>18.118042101496439</v>
      </c>
      <c r="AB93" s="1562">
        <v>14.805977300887813</v>
      </c>
      <c r="AC93" s="1561">
        <v>22.507964503353023</v>
      </c>
      <c r="AD93" s="1562">
        <v>20.789822986179608</v>
      </c>
      <c r="AE93" s="1561">
        <v>18.627834270826789</v>
      </c>
      <c r="AF93" s="1542">
        <v>16.601131006475352</v>
      </c>
      <c r="AG93" s="1563">
        <v>49.172237234417182</v>
      </c>
      <c r="AH93" s="1563">
        <v>49.141888743615546</v>
      </c>
      <c r="AI93" s="1563">
        <v>30.074530246677035</v>
      </c>
      <c r="AJ93" s="1563">
        <v>36.365812043675547</v>
      </c>
      <c r="AK93" s="1542"/>
      <c r="AL93" s="1542"/>
      <c r="AM93" s="1542"/>
    </row>
    <row r="94" spans="1:39" x14ac:dyDescent="0.45">
      <c r="A94" s="744" t="s">
        <v>2585</v>
      </c>
      <c r="B94" s="1560">
        <v>0.47391618311278572</v>
      </c>
      <c r="C94" s="1560">
        <v>0.44905521708138718</v>
      </c>
      <c r="D94" s="1561">
        <v>0.69307871920255537</v>
      </c>
      <c r="E94" s="1561">
        <v>0.4138229839566156</v>
      </c>
      <c r="F94" s="1561">
        <v>0.42992369304287031</v>
      </c>
      <c r="G94" s="1562">
        <v>1.5682668566904667</v>
      </c>
      <c r="H94" s="1561">
        <v>0.42992369304287026</v>
      </c>
      <c r="I94" s="1562">
        <v>-2.3897839640740903</v>
      </c>
      <c r="J94" s="1561">
        <v>0.48001555781242305</v>
      </c>
      <c r="K94" s="1562">
        <v>0.37209439030297919</v>
      </c>
      <c r="L94" s="1561">
        <v>0.4225639176759507</v>
      </c>
      <c r="M94" s="1562">
        <v>0.55829807537265053</v>
      </c>
      <c r="N94" s="1561">
        <v>0.42992369304287026</v>
      </c>
      <c r="O94" s="1562">
        <v>-3.5483929748213043</v>
      </c>
      <c r="P94" s="1561">
        <v>0</v>
      </c>
      <c r="Q94" s="1562">
        <v>-5.4820312371993793</v>
      </c>
      <c r="R94" s="1561">
        <v>0.4225639176759507</v>
      </c>
      <c r="S94" s="1562">
        <v>0.55829807537265053</v>
      </c>
      <c r="T94" s="1561">
        <v>0.42256391767595064</v>
      </c>
      <c r="U94" s="1562">
        <v>0.34709695873547064</v>
      </c>
      <c r="V94" s="1561">
        <v>1.1369628815216746</v>
      </c>
      <c r="W94" s="1562">
        <v>1.4376573494974227</v>
      </c>
      <c r="X94" s="1561">
        <v>0.59608971622840845</v>
      </c>
      <c r="Y94" s="1562">
        <v>0.67426507596405627</v>
      </c>
      <c r="Z94" s="1563">
        <v>0.53355363456287508</v>
      </c>
      <c r="AA94" s="1561">
        <v>0.42256391767595064</v>
      </c>
      <c r="AB94" s="1562">
        <v>1.1338751789873975</v>
      </c>
      <c r="AC94" s="1561">
        <v>1.307995485844347</v>
      </c>
      <c r="AD94" s="1562">
        <v>2.2244355697493496</v>
      </c>
      <c r="AE94" s="1561">
        <v>0.64126032699608393</v>
      </c>
      <c r="AF94" s="1542">
        <v>1.4610432962159834</v>
      </c>
      <c r="AG94" s="1563">
        <v>0.46936558477097995</v>
      </c>
      <c r="AH94" s="1563">
        <v>0.46875392613840622</v>
      </c>
      <c r="AI94" s="1563">
        <v>0.43249082054610449</v>
      </c>
      <c r="AJ94" s="1563">
        <v>0.46535748988886161</v>
      </c>
      <c r="AK94" s="1542"/>
      <c r="AL94" s="1542"/>
      <c r="AM94" s="1542"/>
    </row>
    <row r="95" spans="1:39" x14ac:dyDescent="0.45">
      <c r="A95" s="744" t="s">
        <v>2586</v>
      </c>
      <c r="B95" s="1560">
        <v>0.42196065936400162</v>
      </c>
      <c r="C95" s="1560">
        <v>0.40014935118916356</v>
      </c>
      <c r="D95" s="1561">
        <v>0.63716758306140053</v>
      </c>
      <c r="E95" s="1561">
        <v>0.36920252631951062</v>
      </c>
      <c r="F95" s="1561">
        <v>0.38362322069049226</v>
      </c>
      <c r="G95" s="1562">
        <v>1.4525333752426732</v>
      </c>
      <c r="H95" s="1561">
        <v>0.38362322069049226</v>
      </c>
      <c r="I95" s="1562">
        <v>-2.5222211055994137</v>
      </c>
      <c r="J95" s="1561">
        <v>0.42731764192342619</v>
      </c>
      <c r="K95" s="1562">
        <v>0.16194148983854195</v>
      </c>
      <c r="L95" s="1561">
        <v>0.37690769649171901</v>
      </c>
      <c r="M95" s="1562">
        <v>0.52346259284243979</v>
      </c>
      <c r="N95" s="1561">
        <v>0.38362322069049226</v>
      </c>
      <c r="O95" s="1562">
        <v>-3.5832026575468268</v>
      </c>
      <c r="P95" s="1561">
        <v>0</v>
      </c>
      <c r="Q95" s="1562">
        <v>-5.4930274277754876</v>
      </c>
      <c r="R95" s="1561">
        <v>0.37690769649171901</v>
      </c>
      <c r="S95" s="1562">
        <v>0.52346259284243979</v>
      </c>
      <c r="T95" s="1561">
        <v>0.37690769649171901</v>
      </c>
      <c r="U95" s="1562">
        <v>0.28814788254972562</v>
      </c>
      <c r="V95" s="1561">
        <v>0.96409780917108345</v>
      </c>
      <c r="W95" s="1562">
        <v>1.1454793863499779</v>
      </c>
      <c r="X95" s="1561">
        <v>0.51847393922851581</v>
      </c>
      <c r="Y95" s="1562">
        <v>0.54534733368980137</v>
      </c>
      <c r="Z95" s="1563">
        <v>0.45395449041411096</v>
      </c>
      <c r="AA95" s="1561">
        <v>0.37690769649171901</v>
      </c>
      <c r="AB95" s="1562">
        <v>1.0300489473659999</v>
      </c>
      <c r="AC95" s="1561">
        <v>1.1174526270662546</v>
      </c>
      <c r="AD95" s="1562">
        <v>1.8873804511662522</v>
      </c>
      <c r="AE95" s="1561">
        <v>0.55897575358095186</v>
      </c>
      <c r="AF95" s="1542">
        <v>1.2872483985060756</v>
      </c>
      <c r="AG95" s="1563">
        <v>0.45323806863031085</v>
      </c>
      <c r="AH95" s="1563">
        <v>0.45264939326483311</v>
      </c>
      <c r="AI95" s="1563">
        <v>0.41674214463148079</v>
      </c>
      <c r="AJ95" s="1563">
        <v>0.41445184835299176</v>
      </c>
      <c r="AK95" s="1542"/>
      <c r="AL95" s="1542"/>
      <c r="AM95" s="1542"/>
    </row>
    <row r="96" spans="1:39" x14ac:dyDescent="0.45">
      <c r="A96" s="744" t="s">
        <v>2587</v>
      </c>
      <c r="B96" s="1560">
        <v>11.616797235141696</v>
      </c>
      <c r="C96" s="1560">
        <v>11.399116888513021</v>
      </c>
      <c r="D96" s="1561">
        <v>11.258388789986384</v>
      </c>
      <c r="E96" s="1561">
        <v>11.134127965179783</v>
      </c>
      <c r="F96" s="1561">
        <v>11.181373096286048</v>
      </c>
      <c r="G96" s="1562">
        <v>9.8055823913069133</v>
      </c>
      <c r="H96" s="1561">
        <v>11.181373096286048</v>
      </c>
      <c r="I96" s="1562">
        <v>10.987340727203904</v>
      </c>
      <c r="J96" s="1561">
        <v>11.677228194435557</v>
      </c>
      <c r="K96" s="1562">
        <v>5.5948959239049998</v>
      </c>
      <c r="L96" s="1561">
        <v>11.167162215939985</v>
      </c>
      <c r="M96" s="1562">
        <v>2.1144730930500888</v>
      </c>
      <c r="N96" s="1561">
        <v>11.181373096286048</v>
      </c>
      <c r="O96" s="1562">
        <v>1.812433999599234</v>
      </c>
      <c r="P96" s="1561">
        <v>0</v>
      </c>
      <c r="Q96" s="1562">
        <v>0.19957168177204099</v>
      </c>
      <c r="R96" s="1561">
        <v>11.167162215939985</v>
      </c>
      <c r="S96" s="1562">
        <v>2.1144730930500888</v>
      </c>
      <c r="T96" s="1561">
        <v>11.167162215939985</v>
      </c>
      <c r="U96" s="1562">
        <v>11.83770500610337</v>
      </c>
      <c r="V96" s="1561">
        <v>8.5283896233849834</v>
      </c>
      <c r="W96" s="1562">
        <v>8.6043567548015183</v>
      </c>
      <c r="X96" s="1561">
        <v>10.069857877691302</v>
      </c>
      <c r="Y96" s="1562">
        <v>10.867700530712815</v>
      </c>
      <c r="Z96" s="1563">
        <v>11.931001343687619</v>
      </c>
      <c r="AA96" s="1561">
        <v>11.167162215939985</v>
      </c>
      <c r="AB96" s="1562">
        <v>18.337988557677974</v>
      </c>
      <c r="AC96" s="1561">
        <v>9.6737774208240772</v>
      </c>
      <c r="AD96" s="1562">
        <v>15.104640306376123</v>
      </c>
      <c r="AE96" s="1561">
        <v>10.372360821975288</v>
      </c>
      <c r="AF96" s="1542">
        <v>17.367984082287418</v>
      </c>
      <c r="AG96" s="1563">
        <v>6.5790685250109782E-2</v>
      </c>
      <c r="AH96" s="1563">
        <v>6.5709736103601604E-2</v>
      </c>
      <c r="AI96" s="1563">
        <v>5.8460064694955453E-2</v>
      </c>
      <c r="AJ96" s="1563">
        <v>11.54185809941707</v>
      </c>
      <c r="AK96" s="1542"/>
      <c r="AL96" s="1542"/>
      <c r="AM96" s="1542"/>
    </row>
    <row r="97" spans="1:39" x14ac:dyDescent="0.45">
      <c r="A97" s="744" t="s">
        <v>2588</v>
      </c>
      <c r="B97" s="1560">
        <v>0.13171013973789886</v>
      </c>
      <c r="C97" s="1560">
        <v>0.1269620665295621</v>
      </c>
      <c r="D97" s="1561">
        <v>0.14236724124149336</v>
      </c>
      <c r="E97" s="1561">
        <v>0.11893466325233494</v>
      </c>
      <c r="F97" s="1561">
        <v>0.12476366124205995</v>
      </c>
      <c r="G97" s="1562">
        <v>0.18113150087613286</v>
      </c>
      <c r="H97" s="1561">
        <v>0.12476366124205995</v>
      </c>
      <c r="I97" s="1562">
        <v>-3.7475923905830029</v>
      </c>
      <c r="J97" s="1561">
        <v>0.13291376561065468</v>
      </c>
      <c r="K97" s="1562">
        <v>1.1994882198617197E-2</v>
      </c>
      <c r="L97" s="1561">
        <v>0.12190260301540176</v>
      </c>
      <c r="M97" s="1562">
        <v>3.7115302335961317E-2</v>
      </c>
      <c r="N97" s="1561">
        <v>0.12476366124205995</v>
      </c>
      <c r="O97" s="1562">
        <v>-3.863386850323931</v>
      </c>
      <c r="P97" s="1561">
        <v>0</v>
      </c>
      <c r="Q97" s="1562">
        <v>-6.3059164394900566</v>
      </c>
      <c r="R97" s="1561">
        <v>0.12190260301540176</v>
      </c>
      <c r="S97" s="1562">
        <v>3.7115302335961317E-2</v>
      </c>
      <c r="T97" s="1561">
        <v>0.12190260301540176</v>
      </c>
      <c r="U97" s="1562">
        <v>3.5975340120952846E-2</v>
      </c>
      <c r="V97" s="1561">
        <v>0.18366852283243348</v>
      </c>
      <c r="W97" s="1562">
        <v>0.12638578849659549</v>
      </c>
      <c r="X97" s="1561">
        <v>0.13384457683554452</v>
      </c>
      <c r="Y97" s="1562">
        <v>6.3098474633645651E-2</v>
      </c>
      <c r="Z97" s="1563">
        <v>0.13739573922592399</v>
      </c>
      <c r="AA97" s="1561">
        <v>0.12190260301540176</v>
      </c>
      <c r="AB97" s="1562">
        <v>0.15220636828226247</v>
      </c>
      <c r="AC97" s="1561">
        <v>0.21773124017875048</v>
      </c>
      <c r="AD97" s="1562">
        <v>0.24261681665790513</v>
      </c>
      <c r="AE97" s="1561">
        <v>0.14284071972323056</v>
      </c>
      <c r="AF97" s="1542">
        <v>0.1793295027949553</v>
      </c>
      <c r="AG97" s="1563">
        <v>0.10198742212461141</v>
      </c>
      <c r="AH97" s="1563">
        <v>0.10185352673005237</v>
      </c>
      <c r="AI97" s="1563">
        <v>9.4421861799963133E-2</v>
      </c>
      <c r="AJ97" s="1563">
        <v>0.13007555715797964</v>
      </c>
      <c r="AK97" s="1513"/>
      <c r="AL97" s="1513"/>
      <c r="AM97" s="1513"/>
    </row>
    <row r="98" spans="1:39" x14ac:dyDescent="0.45">
      <c r="A98" s="744" t="s">
        <v>2589</v>
      </c>
      <c r="B98" s="1560">
        <v>0.15117620486568584</v>
      </c>
      <c r="C98" s="1560">
        <v>0.14268877546339029</v>
      </c>
      <c r="D98" s="1561">
        <v>0.36092100516378778</v>
      </c>
      <c r="E98" s="1561">
        <v>0.13125813171326145</v>
      </c>
      <c r="F98" s="1561">
        <v>0.13565567530111938</v>
      </c>
      <c r="G98" s="1562">
        <v>0.66384670815689739</v>
      </c>
      <c r="H98" s="1561">
        <v>0.13565567530111938</v>
      </c>
      <c r="I98" s="1562">
        <v>0.5301749801689144</v>
      </c>
      <c r="J98" s="1561">
        <v>0.15324852547096496</v>
      </c>
      <c r="K98" s="1562">
        <v>2.8159364216139085E-2</v>
      </c>
      <c r="L98" s="1561">
        <v>0.13364476432553984</v>
      </c>
      <c r="M98" s="1562">
        <v>0.32967613331235179</v>
      </c>
      <c r="N98" s="1561">
        <v>0.13565567530111938</v>
      </c>
      <c r="O98" s="1562">
        <v>0.12373231778222911</v>
      </c>
      <c r="P98" s="1561">
        <v>0</v>
      </c>
      <c r="Q98" s="1562">
        <v>0.46965418841139756</v>
      </c>
      <c r="R98" s="1561">
        <v>0.13364476432553984</v>
      </c>
      <c r="S98" s="1562">
        <v>0.32967613331235179</v>
      </c>
      <c r="T98" s="1561">
        <v>0.13364476432553987</v>
      </c>
      <c r="U98" s="1562">
        <v>0.14524617124191297</v>
      </c>
      <c r="V98" s="1561">
        <v>0.35746808375447098</v>
      </c>
      <c r="W98" s="1562">
        <v>0.22973771080711808</v>
      </c>
      <c r="X98" s="1561">
        <v>0.18796594332953415</v>
      </c>
      <c r="Y98" s="1562">
        <v>0.17059363311147452</v>
      </c>
      <c r="Z98" s="1563">
        <v>0.16120993252243632</v>
      </c>
      <c r="AA98" s="1561">
        <v>0.13364476432553987</v>
      </c>
      <c r="AB98" s="1562">
        <v>0.41288063581524104</v>
      </c>
      <c r="AC98" s="1561">
        <v>0.40140968540881289</v>
      </c>
      <c r="AD98" s="1562">
        <v>0.49737217538044609</v>
      </c>
      <c r="AE98" s="1561">
        <v>0.19957115154522523</v>
      </c>
      <c r="AF98" s="1542">
        <v>0.43822809768480253</v>
      </c>
      <c r="AG98" s="1563">
        <v>0.19699503240256372</v>
      </c>
      <c r="AH98" s="1563">
        <v>0.19673879103258715</v>
      </c>
      <c r="AI98" s="1563">
        <v>0.18130409134625861</v>
      </c>
      <c r="AJ98" s="1563">
        <v>0.14825430294030539</v>
      </c>
      <c r="AK98" s="1513"/>
      <c r="AL98" s="1513"/>
      <c r="AM98" s="1513"/>
    </row>
    <row r="99" spans="1:39" x14ac:dyDescent="0.45">
      <c r="A99" s="744" t="s">
        <v>1957</v>
      </c>
      <c r="B99" s="1560">
        <v>221.05458501618125</v>
      </c>
      <c r="C99" s="1560">
        <v>192.54386322883855</v>
      </c>
      <c r="D99" s="1561">
        <v>160.14058476158709</v>
      </c>
      <c r="E99" s="1561">
        <v>160.01887381422856</v>
      </c>
      <c r="F99" s="1561">
        <v>160.5072074109446</v>
      </c>
      <c r="G99" s="1562">
        <v>109.26032041039974</v>
      </c>
      <c r="H99" s="1561">
        <v>160.5072074109446</v>
      </c>
      <c r="I99" s="1562">
        <v>63.566813104402463</v>
      </c>
      <c r="J99" s="1561">
        <v>247.14996649396937</v>
      </c>
      <c r="K99" s="1562">
        <v>16.992840352854685</v>
      </c>
      <c r="L99" s="1561">
        <v>162.16360979197628</v>
      </c>
      <c r="M99" s="1562">
        <v>142.57254497856673</v>
      </c>
      <c r="N99" s="1561">
        <v>160.5072074109446</v>
      </c>
      <c r="O99" s="1562">
        <v>31.941596797089499</v>
      </c>
      <c r="P99" s="1561">
        <v>0</v>
      </c>
      <c r="Q99" s="1562">
        <v>410.87483227049103</v>
      </c>
      <c r="R99" s="1561">
        <v>162.16360979197628</v>
      </c>
      <c r="S99" s="1562">
        <v>142.57254497856673</v>
      </c>
      <c r="T99" s="1561">
        <v>162.16360979197628</v>
      </c>
      <c r="U99" s="1562">
        <v>13.043941202598818</v>
      </c>
      <c r="V99" s="1561">
        <v>94.334482271415681</v>
      </c>
      <c r="W99" s="1562">
        <v>30.280080277029317</v>
      </c>
      <c r="X99" s="1561">
        <v>138.43532009449922</v>
      </c>
      <c r="Y99" s="1562">
        <v>18.214782924927967</v>
      </c>
      <c r="Z99" s="1563">
        <v>328.88182041189555</v>
      </c>
      <c r="AA99" s="1561">
        <v>162.16360979197628</v>
      </c>
      <c r="AB99" s="1562">
        <v>12.618782079584873</v>
      </c>
      <c r="AC99" s="1561">
        <v>89.136430225483437</v>
      </c>
      <c r="AD99" s="1562">
        <v>29.854921154015372</v>
      </c>
      <c r="AE99" s="1561">
        <v>137.06248719724678</v>
      </c>
      <c r="AF99" s="1542">
        <v>17.789623801914026</v>
      </c>
      <c r="AG99" s="1563">
        <v>112.26232515485253</v>
      </c>
      <c r="AH99" s="1563">
        <v>81.748082143370667</v>
      </c>
      <c r="AI99" s="1563">
        <v>58.648423043538514</v>
      </c>
      <c r="AJ99" s="1563">
        <v>211.23941849922721</v>
      </c>
      <c r="AK99" s="1542"/>
      <c r="AL99" s="1542"/>
      <c r="AM99" s="1542"/>
    </row>
    <row r="100" spans="1:39" x14ac:dyDescent="0.45">
      <c r="A100" s="744" t="s">
        <v>1956</v>
      </c>
      <c r="B100" s="1563">
        <v>1.416537362767613</v>
      </c>
      <c r="C100" s="1563">
        <v>0.79387867590167649</v>
      </c>
      <c r="D100" s="1561">
        <v>4.9499580873553981E-2</v>
      </c>
      <c r="E100" s="1561">
        <v>9.7210487882349095E-2</v>
      </c>
      <c r="F100" s="1561">
        <v>0.13079695289220511</v>
      </c>
      <c r="G100" s="1562">
        <v>5.3538505001255086E-2</v>
      </c>
      <c r="H100" s="1561">
        <v>0.13079695289220511</v>
      </c>
      <c r="I100" s="1562">
        <v>-1.1800677124301364</v>
      </c>
      <c r="J100" s="1561">
        <v>1.5594692658478648</v>
      </c>
      <c r="K100" s="1562">
        <v>4.6987991310738442E-2</v>
      </c>
      <c r="L100" s="1561">
        <v>0.13038990534075701</v>
      </c>
      <c r="M100" s="1562">
        <v>4.0034051468678944E-2</v>
      </c>
      <c r="N100" s="1561">
        <v>0.13079695289220511</v>
      </c>
      <c r="O100" s="1562">
        <v>-1.1807271196337052</v>
      </c>
      <c r="P100" s="1561">
        <v>0</v>
      </c>
      <c r="Q100" s="1562">
        <v>-1.4153264273709414</v>
      </c>
      <c r="R100" s="1561">
        <v>0.13038990534075701</v>
      </c>
      <c r="S100" s="1562">
        <v>4.0034051468678944E-2</v>
      </c>
      <c r="T100" s="1561">
        <v>0.13038990534075701</v>
      </c>
      <c r="U100" s="1562">
        <v>3.3340498647394079E-2</v>
      </c>
      <c r="V100" s="1561">
        <v>0.10360397773314678</v>
      </c>
      <c r="W100" s="1562">
        <v>0.17140399848116283</v>
      </c>
      <c r="X100" s="1561">
        <v>0.11864056414767721</v>
      </c>
      <c r="Y100" s="1562">
        <v>7.4759548597524705E-2</v>
      </c>
      <c r="Z100" s="1563">
        <v>1.8667030671809715</v>
      </c>
      <c r="AA100" s="1561">
        <v>0.13038990534075701</v>
      </c>
      <c r="AB100" s="1562">
        <v>3.3549770343058338E-2</v>
      </c>
      <c r="AC100" s="1561">
        <v>6.1519101556029597E-2</v>
      </c>
      <c r="AD100" s="1562">
        <v>0.17161327017682709</v>
      </c>
      <c r="AE100" s="1561">
        <v>0.10752572690052914</v>
      </c>
      <c r="AF100" s="1542">
        <v>7.4968820293188965E-2</v>
      </c>
      <c r="AG100" s="1563">
        <v>1.7009669630782056</v>
      </c>
      <c r="AH100" s="1563">
        <v>1.7009276138131255</v>
      </c>
      <c r="AI100" s="1563">
        <v>0.58395969987216523</v>
      </c>
      <c r="AJ100" s="1563">
        <v>1.202179454174422</v>
      </c>
      <c r="AK100" s="1542"/>
      <c r="AL100" s="1542"/>
      <c r="AM100" s="1542"/>
    </row>
    <row r="101" spans="1:39" x14ac:dyDescent="0.45">
      <c r="A101" s="744" t="s">
        <v>1955</v>
      </c>
      <c r="B101" s="1520">
        <v>6090.2146118419341</v>
      </c>
      <c r="C101" s="1520">
        <v>5294.2667326951096</v>
      </c>
      <c r="D101" s="1512">
        <v>5100.2089746756301</v>
      </c>
      <c r="E101" s="1512">
        <v>4349.8480723055545</v>
      </c>
      <c r="F101" s="1512">
        <v>4499.388870656725</v>
      </c>
      <c r="G101" s="1514">
        <v>7552.1066826497399</v>
      </c>
      <c r="H101" s="1512">
        <v>4499.4499805787136</v>
      </c>
      <c r="I101" s="1514">
        <v>-58939.090362464194</v>
      </c>
      <c r="J101" s="1512">
        <v>6276.9502676209622</v>
      </c>
      <c r="K101" s="1514">
        <v>3040.3142268357906</v>
      </c>
      <c r="L101" s="1512">
        <v>4446.1247812995043</v>
      </c>
      <c r="M101" s="1514">
        <v>7148.4983899321915</v>
      </c>
      <c r="N101" s="1512">
        <v>4499.4499805787136</v>
      </c>
      <c r="O101" s="1514">
        <v>-58592.812013521558</v>
      </c>
      <c r="P101" s="1512">
        <v>0</v>
      </c>
      <c r="Q101" s="1514">
        <v>-60092.08704916753</v>
      </c>
      <c r="R101" s="1512">
        <v>4446.1247812995043</v>
      </c>
      <c r="S101" s="1514">
        <v>7148.4983899321915</v>
      </c>
      <c r="T101" s="1512">
        <v>4446.1247812995052</v>
      </c>
      <c r="U101" s="1514">
        <v>3621.383706724379</v>
      </c>
      <c r="V101" s="1512">
        <v>6424.1653652898813</v>
      </c>
      <c r="W101" s="1514">
        <v>10659.753725586341</v>
      </c>
      <c r="X101" s="1512">
        <v>4809.1230849429012</v>
      </c>
      <c r="Y101" s="1514">
        <v>5732.8947123829676</v>
      </c>
      <c r="Z101" s="1520">
        <v>6689.8592777821459</v>
      </c>
      <c r="AA101" s="1512">
        <v>4446.1247812995052</v>
      </c>
      <c r="AB101" s="1514">
        <v>3515.0752156577009</v>
      </c>
      <c r="AC101" s="1512">
        <v>4283.7472162844469</v>
      </c>
      <c r="AD101" s="1514">
        <v>10553.445234519664</v>
      </c>
      <c r="AE101" s="1512">
        <v>4243.8273890042055</v>
      </c>
      <c r="AF101" s="1513">
        <v>5626.5862213162909</v>
      </c>
      <c r="AG101" s="1520">
        <v>7912.0184781220669</v>
      </c>
      <c r="AH101" s="1520">
        <v>7903.4383997622208</v>
      </c>
      <c r="AI101" s="1520">
        <v>6508.8201724489609</v>
      </c>
      <c r="AJ101" s="1520">
        <v>5816.1997682012234</v>
      </c>
      <c r="AK101" s="1513"/>
      <c r="AL101" s="1513"/>
      <c r="AM101" s="1513"/>
    </row>
    <row r="102" spans="1:39" x14ac:dyDescent="0.45">
      <c r="A102" s="744" t="s">
        <v>2590</v>
      </c>
      <c r="B102" s="1520">
        <v>6172.6510220805494</v>
      </c>
      <c r="C102" s="1520">
        <v>5357.1905516759925</v>
      </c>
      <c r="D102" s="1520">
        <v>5142.1671192444901</v>
      </c>
      <c r="E102" s="1520">
        <v>4390.426134121929</v>
      </c>
      <c r="F102" s="1512">
        <v>4542.0742037750015</v>
      </c>
      <c r="G102" s="1514">
        <v>7569.3387299688757</v>
      </c>
      <c r="H102" s="1512">
        <v>4542.1353136969901</v>
      </c>
      <c r="I102" s="1514">
        <v>-58975.502167862549</v>
      </c>
      <c r="J102" s="1512">
        <v>6363.9015949530449</v>
      </c>
      <c r="K102" s="1514">
        <v>3042.779543069676</v>
      </c>
      <c r="L102" s="1512">
        <v>4488.256486861118</v>
      </c>
      <c r="M102" s="1514">
        <v>7161.9271836186617</v>
      </c>
      <c r="N102" s="1512">
        <v>4542.1353136969901</v>
      </c>
      <c r="O102" s="1514">
        <v>-58633.350118752634</v>
      </c>
      <c r="P102" s="1512">
        <v>0</v>
      </c>
      <c r="Q102" s="1514">
        <v>-60253.518114692473</v>
      </c>
      <c r="R102" s="1512">
        <v>4488.256486861118</v>
      </c>
      <c r="S102" s="1514">
        <v>7161.9271836186617</v>
      </c>
      <c r="T102" s="1512">
        <v>4488.2564868611189</v>
      </c>
      <c r="U102" s="1514">
        <v>3646.4500087879055</v>
      </c>
      <c r="V102" s="1512">
        <v>6450.0704946002761</v>
      </c>
      <c r="W102" s="1514">
        <v>10685.709262441958</v>
      </c>
      <c r="X102" s="1512">
        <v>4845.4586641742235</v>
      </c>
      <c r="Y102" s="1514">
        <v>5758.2277848841213</v>
      </c>
      <c r="Z102" s="1520">
        <v>6786.6476310244952</v>
      </c>
      <c r="AA102" s="1512">
        <v>4488.2564868611189</v>
      </c>
      <c r="AB102" s="1514">
        <v>3541.6945313599758</v>
      </c>
      <c r="AC102" s="1512">
        <v>4310.0030257308681</v>
      </c>
      <c r="AD102" s="1514">
        <v>10580.95378501403</v>
      </c>
      <c r="AE102" s="1512">
        <v>4280.2555847047151</v>
      </c>
      <c r="AF102" s="1513">
        <v>5653.4723074561934</v>
      </c>
      <c r="AG102" s="1520">
        <v>7998.3883241150743</v>
      </c>
      <c r="AH102" s="1520">
        <v>7989.7578896615905</v>
      </c>
      <c r="AI102" s="1520">
        <v>6560.3128506546072</v>
      </c>
      <c r="AJ102" s="1520">
        <v>5891.9187289904557</v>
      </c>
      <c r="AK102" s="1513"/>
      <c r="AL102" s="1513"/>
      <c r="AM102" s="1513"/>
    </row>
    <row r="103" spans="1:39" x14ac:dyDescent="0.45">
      <c r="A103" s="737" t="s">
        <v>2591</v>
      </c>
      <c r="B103" s="1564">
        <v>13179.670973699405</v>
      </c>
      <c r="C103" s="1564">
        <v>11343.884297655093</v>
      </c>
      <c r="D103" s="1521">
        <v>9959.5020510235954</v>
      </c>
      <c r="E103" s="1521">
        <v>9216.7531278376082</v>
      </c>
      <c r="F103" s="1521">
        <v>9391.9516186197725</v>
      </c>
      <c r="G103" s="1523">
        <v>10861.3360461062</v>
      </c>
      <c r="H103" s="1521">
        <v>9392.012728541762</v>
      </c>
      <c r="I103" s="1523">
        <v>-57381.215718524458</v>
      </c>
      <c r="J103" s="1521">
        <v>14191.659945221811</v>
      </c>
      <c r="K103" s="1523">
        <v>3565.0165713526621</v>
      </c>
      <c r="L103" s="1521">
        <v>9387.7181055357069</v>
      </c>
      <c r="M103" s="1523">
        <v>11449.712556614864</v>
      </c>
      <c r="N103" s="1521">
        <v>9392.012728541762</v>
      </c>
      <c r="O103" s="1523">
        <v>-57987.994901542879</v>
      </c>
      <c r="P103" s="1521">
        <v>0</v>
      </c>
      <c r="Q103" s="1523">
        <v>-48302.334649831042</v>
      </c>
      <c r="R103" s="1521">
        <v>9387.7181055357069</v>
      </c>
      <c r="S103" s="1523">
        <v>11449.712556614864</v>
      </c>
      <c r="T103" s="1521">
        <v>9387.7181055357069</v>
      </c>
      <c r="U103" s="1523">
        <v>4046.6034770074293</v>
      </c>
      <c r="V103" s="1521">
        <v>9307.5600168420315</v>
      </c>
      <c r="W103" s="1523">
        <v>11639.533730350346</v>
      </c>
      <c r="X103" s="1521">
        <v>9029.9580165083353</v>
      </c>
      <c r="Y103" s="1523">
        <v>6324.4825530103044</v>
      </c>
      <c r="Z103" s="1524">
        <v>17147.778556184319</v>
      </c>
      <c r="AA103" s="1521">
        <v>9387.7181055357069</v>
      </c>
      <c r="AB103" s="1523">
        <v>3929.1486828884326</v>
      </c>
      <c r="AC103" s="1521">
        <v>7000.3984944077183</v>
      </c>
      <c r="AD103" s="1523">
        <v>11522.07893623135</v>
      </c>
      <c r="AE103" s="1521">
        <v>8420.6245182507591</v>
      </c>
      <c r="AF103" s="1522">
        <v>6207.0277588913095</v>
      </c>
      <c r="AG103" s="1524">
        <v>11817.014323976375</v>
      </c>
      <c r="AH103" s="1524">
        <v>10892.946171623189</v>
      </c>
      <c r="AI103" s="1524">
        <v>8474.5148624268859</v>
      </c>
      <c r="AJ103" s="1524">
        <v>12547.678839323493</v>
      </c>
      <c r="AK103" s="1513"/>
      <c r="AL103" s="1513"/>
      <c r="AM103" s="1513"/>
    </row>
    <row r="104" spans="1:39" x14ac:dyDescent="0.45">
      <c r="A104" s="725" t="s">
        <v>3537</v>
      </c>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9" x14ac:dyDescent="0.45">
      <c r="A105" s="1481" t="s">
        <v>2508</v>
      </c>
      <c r="B105" s="1565"/>
      <c r="C105" s="1565"/>
      <c r="D105" s="1557"/>
      <c r="E105" s="1557"/>
      <c r="F105" s="1557"/>
      <c r="G105" s="1558" t="e">
        <v>#NAME?</v>
      </c>
      <c r="H105" s="1557"/>
      <c r="I105" s="1558" t="e">
        <v>#NAME?</v>
      </c>
      <c r="J105" s="1557"/>
      <c r="K105" s="1558" t="e">
        <v>#NAME?</v>
      </c>
      <c r="L105" s="1557"/>
      <c r="M105" s="1558"/>
      <c r="N105" s="1557"/>
      <c r="O105" s="1558" t="e">
        <v>#NAME?</v>
      </c>
      <c r="P105" s="1557"/>
      <c r="Q105" s="1558">
        <v>1</v>
      </c>
      <c r="R105" s="1557"/>
      <c r="S105" s="1558" t="e">
        <v>#NAME?</v>
      </c>
      <c r="T105" s="1557"/>
      <c r="U105" s="1558" t="e">
        <v>#NAME?</v>
      </c>
      <c r="V105" s="1557"/>
      <c r="W105" s="1558" t="e">
        <v>#NAME?</v>
      </c>
      <c r="X105" s="1557"/>
      <c r="Y105" s="1558">
        <v>1</v>
      </c>
      <c r="Z105" s="1565"/>
      <c r="AA105" s="1557"/>
      <c r="AB105" s="1558" t="e">
        <v>#NAME?</v>
      </c>
      <c r="AC105" s="1557"/>
      <c r="AD105" s="1558" t="e">
        <v>#NAME?</v>
      </c>
      <c r="AE105" s="1557"/>
      <c r="AF105" s="1559" t="e">
        <v>#NAME?</v>
      </c>
      <c r="AG105" s="1565"/>
      <c r="AH105" s="1565"/>
      <c r="AI105" s="1565"/>
      <c r="AJ105" s="1565"/>
      <c r="AK105" s="905"/>
      <c r="AL105" s="905"/>
      <c r="AM105" s="905"/>
    </row>
    <row r="106" spans="1:39" x14ac:dyDescent="0.45">
      <c r="A106" s="744" t="s">
        <v>2582</v>
      </c>
      <c r="B106" s="1563">
        <v>0.5996383758896251</v>
      </c>
      <c r="C106" s="1563">
        <v>0.36622057986205503</v>
      </c>
      <c r="D106" s="1561">
        <v>0.10598768459364472</v>
      </c>
      <c r="E106" s="1561">
        <v>7.9259619555007141E-2</v>
      </c>
      <c r="F106" s="1561">
        <v>5.4104700391547592E-2</v>
      </c>
      <c r="G106" s="1562">
        <v>6.521343522954802E-2</v>
      </c>
      <c r="H106" s="1561">
        <v>5.4104700391547592E-2</v>
      </c>
      <c r="I106" s="1562">
        <v>7.5701353304742078E-2</v>
      </c>
      <c r="J106" s="1561">
        <v>0.65328419697196904</v>
      </c>
      <c r="K106" s="1562">
        <v>2.3389102441545476E-2</v>
      </c>
      <c r="L106" s="1561">
        <v>0.11749668689492176</v>
      </c>
      <c r="M106" s="1562">
        <v>5.9321156966937669E-2</v>
      </c>
      <c r="N106" s="1561">
        <v>5.4104700391547592E-2</v>
      </c>
      <c r="O106" s="1562">
        <v>4.2713512091816418E-2</v>
      </c>
      <c r="P106" s="1561">
        <v>0</v>
      </c>
      <c r="Q106" s="1562">
        <v>-15.49873237784305</v>
      </c>
      <c r="R106" s="1561">
        <v>0.11749668689492176</v>
      </c>
      <c r="S106" s="1562">
        <v>5.9321156966937669E-2</v>
      </c>
      <c r="T106" s="1561">
        <v>0.11749668689492176</v>
      </c>
      <c r="U106" s="1562">
        <v>0.97194581528826496</v>
      </c>
      <c r="V106" s="1561">
        <v>0.68016271271756767</v>
      </c>
      <c r="W106" s="1562">
        <v>1.9839750121636377</v>
      </c>
      <c r="X106" s="1561">
        <v>0.26188698539570721</v>
      </c>
      <c r="Y106" s="1562">
        <v>1.2755545743508767</v>
      </c>
      <c r="Z106" s="1563">
        <v>0.10235661503366865</v>
      </c>
      <c r="AA106" s="1561">
        <v>0.11749668689492176</v>
      </c>
      <c r="AB106" s="1562">
        <v>6.1527782324127714E-2</v>
      </c>
      <c r="AC106" s="1561">
        <v>0.69281098784810347</v>
      </c>
      <c r="AD106" s="1562">
        <v>1.9500509791995007</v>
      </c>
      <c r="AE106" s="1561">
        <v>0.26522746141235032</v>
      </c>
      <c r="AF106" s="1542">
        <v>0.62808474138673964</v>
      </c>
      <c r="AG106" s="1563">
        <v>3.5550253608718094E-2</v>
      </c>
      <c r="AH106" s="1563">
        <v>3.5499591066086522E-2</v>
      </c>
      <c r="AI106" s="1563">
        <v>3.4715167412206066E-2</v>
      </c>
      <c r="AJ106" s="1563">
        <v>0.51928142971619939</v>
      </c>
      <c r="AK106" s="1542"/>
      <c r="AL106" s="1542"/>
      <c r="AM106" s="1542"/>
    </row>
    <row r="107" spans="1:39" x14ac:dyDescent="0.45">
      <c r="A107" s="744" t="s">
        <v>2583</v>
      </c>
      <c r="B107" s="1560">
        <v>2.8861889335461948</v>
      </c>
      <c r="C107" s="1560">
        <v>1.6531914197838768</v>
      </c>
      <c r="D107" s="1561">
        <v>0.15518846535904585</v>
      </c>
      <c r="E107" s="1561">
        <v>0.1384478639959604</v>
      </c>
      <c r="F107" s="1561">
        <v>0.22023863173272637</v>
      </c>
      <c r="G107" s="1562">
        <v>0.12866452811283022</v>
      </c>
      <c r="H107" s="1561">
        <v>0.22023863173272637</v>
      </c>
      <c r="I107" s="1562">
        <v>0.14509125806520495</v>
      </c>
      <c r="J107" s="1561">
        <v>3.1693010074220687</v>
      </c>
      <c r="K107" s="1562">
        <v>0.18304908072902643</v>
      </c>
      <c r="L107" s="1561">
        <v>0.33934156938585069</v>
      </c>
      <c r="M107" s="1562">
        <v>0.56442942866256052</v>
      </c>
      <c r="N107" s="1561">
        <v>0.22023863173272637</v>
      </c>
      <c r="O107" s="1562">
        <v>0.147240223494012</v>
      </c>
      <c r="P107" s="1561">
        <v>0</v>
      </c>
      <c r="Q107" s="1562">
        <v>-21.197735840337607</v>
      </c>
      <c r="R107" s="1561">
        <v>0.33934156938585069</v>
      </c>
      <c r="S107" s="1562">
        <v>0.56442942866256052</v>
      </c>
      <c r="T107" s="1561">
        <v>0.33934156938585069</v>
      </c>
      <c r="U107" s="1562">
        <v>0.18450711829537947</v>
      </c>
      <c r="V107" s="1561">
        <v>0.32280513069072631</v>
      </c>
      <c r="W107" s="1562">
        <v>2.3923851528592852</v>
      </c>
      <c r="X107" s="1561">
        <v>0.32280735973185892</v>
      </c>
      <c r="Y107" s="1562">
        <v>0.84687052866455126</v>
      </c>
      <c r="Z107" s="1563">
        <v>0.24537249817187345</v>
      </c>
      <c r="AA107" s="1561">
        <v>0.33934156938585069</v>
      </c>
      <c r="AB107" s="1562">
        <v>5.4925946584173838E-2</v>
      </c>
      <c r="AC107" s="1561">
        <v>0.33925842301643411</v>
      </c>
      <c r="AD107" s="1562">
        <v>2.2628039811480796</v>
      </c>
      <c r="AE107" s="1561">
        <v>0.32715276081158051</v>
      </c>
      <c r="AF107" s="1542">
        <v>0.71728935695334572</v>
      </c>
      <c r="AG107" s="1563">
        <v>0.17282954447028054</v>
      </c>
      <c r="AH107" s="1563">
        <v>0.17258324568824954</v>
      </c>
      <c r="AI107" s="1563">
        <v>0.16876972626124251</v>
      </c>
      <c r="AJ107" s="1563">
        <v>2.4617143796280203</v>
      </c>
      <c r="AK107" s="1542"/>
      <c r="AL107" s="1542"/>
      <c r="AM107" s="1542"/>
    </row>
    <row r="108" spans="1:39" x14ac:dyDescent="0.45">
      <c r="A108" s="744" t="s">
        <v>2584</v>
      </c>
      <c r="B108" s="1560">
        <v>3.4528647642687558</v>
      </c>
      <c r="C108" s="1560">
        <v>1.9945414724235497</v>
      </c>
      <c r="D108" s="1561">
        <v>0.2349269580584655</v>
      </c>
      <c r="E108" s="1561">
        <v>0.20237556655978187</v>
      </c>
      <c r="F108" s="1561">
        <v>0.27943635560806879</v>
      </c>
      <c r="G108" s="1562">
        <v>1.3527099189838065</v>
      </c>
      <c r="H108" s="1561">
        <v>0.27943635560806879</v>
      </c>
      <c r="I108" s="1562">
        <v>1.5852322659112479</v>
      </c>
      <c r="J108" s="1561">
        <v>3.7877514321764219</v>
      </c>
      <c r="K108" s="1562">
        <v>0.47940547611028306</v>
      </c>
      <c r="L108" s="1561">
        <v>0.44059036551729619</v>
      </c>
      <c r="M108" s="1562">
        <v>1.018044270138545</v>
      </c>
      <c r="N108" s="1561">
        <v>0.27943635560806879</v>
      </c>
      <c r="O108" s="1562">
        <v>0.68746097114188776</v>
      </c>
      <c r="P108" s="1561">
        <v>0</v>
      </c>
      <c r="Q108" s="1562">
        <v>-5.3367318469582266</v>
      </c>
      <c r="R108" s="1561">
        <v>0.44059036551729619</v>
      </c>
      <c r="S108" s="1562">
        <v>1.018044270138545</v>
      </c>
      <c r="T108" s="1561">
        <v>0.44059036551729619</v>
      </c>
      <c r="U108" s="1562">
        <v>0.58081204628266325</v>
      </c>
      <c r="V108" s="1561">
        <v>0.97466996660437211</v>
      </c>
      <c r="W108" s="1562">
        <v>3.8692067975051518</v>
      </c>
      <c r="X108" s="1561">
        <v>0.56584654614270757</v>
      </c>
      <c r="Y108" s="1562">
        <v>1.5673304716494099</v>
      </c>
      <c r="Z108" s="1563">
        <v>0.33944743413008427</v>
      </c>
      <c r="AA108" s="1561">
        <v>0.44059036551729619</v>
      </c>
      <c r="AB108" s="1562">
        <v>8.9104463653537497E-2</v>
      </c>
      <c r="AC108" s="1561">
        <v>1.1042801737670527</v>
      </c>
      <c r="AD108" s="1562">
        <v>3.3774992148760261</v>
      </c>
      <c r="AE108" s="1561">
        <v>0.60007728385759329</v>
      </c>
      <c r="AF108" s="1542">
        <v>1.0756228890202844</v>
      </c>
      <c r="AG108" s="1563">
        <v>0.22175633911034737</v>
      </c>
      <c r="AH108" s="1563">
        <v>0.22144031492363822</v>
      </c>
      <c r="AI108" s="1563">
        <v>0.21654721571510166</v>
      </c>
      <c r="AJ108" s="1563">
        <v>2.9508190408466355</v>
      </c>
      <c r="AK108" s="1542"/>
      <c r="AL108" s="1542"/>
      <c r="AM108" s="1542"/>
    </row>
    <row r="109" spans="1:39" x14ac:dyDescent="0.45">
      <c r="A109" s="744" t="s">
        <v>2585</v>
      </c>
      <c r="B109" s="1560">
        <v>1.5724473828132003E-2</v>
      </c>
      <c r="C109" s="1560">
        <v>1.2824176592889012E-2</v>
      </c>
      <c r="D109" s="1561">
        <v>1.4646867300560938E-2</v>
      </c>
      <c r="E109" s="1561">
        <v>9.142072201141516E-3</v>
      </c>
      <c r="F109" s="1561">
        <v>5.8911307807274832E-3</v>
      </c>
      <c r="G109" s="1562">
        <v>6.4758705736941466E-2</v>
      </c>
      <c r="H109" s="1561">
        <v>5.8911307807274832E-3</v>
      </c>
      <c r="I109" s="1562">
        <v>7.542543700253794E-2</v>
      </c>
      <c r="J109" s="1561">
        <v>1.6398823228136801E-2</v>
      </c>
      <c r="K109" s="1562">
        <v>5.9081074232078583E-2</v>
      </c>
      <c r="L109" s="1561">
        <v>9.7336938268559534E-3</v>
      </c>
      <c r="M109" s="1562">
        <v>5.7299583956854735E-2</v>
      </c>
      <c r="N109" s="1561">
        <v>5.8911307807274832E-3</v>
      </c>
      <c r="O109" s="1562">
        <v>2.1782738413529724E-2</v>
      </c>
      <c r="P109" s="1561">
        <v>0</v>
      </c>
      <c r="Q109" s="1562">
        <v>-2.7907317265671039</v>
      </c>
      <c r="R109" s="1561">
        <v>9.7336938268559534E-3</v>
      </c>
      <c r="S109" s="1562">
        <v>5.7299583956854735E-2</v>
      </c>
      <c r="T109" s="1561">
        <v>9.7336938268559534E-3</v>
      </c>
      <c r="U109" s="1562">
        <v>3.0074614374150301E-2</v>
      </c>
      <c r="V109" s="1561">
        <v>7.2927823169159189E-2</v>
      </c>
      <c r="W109" s="1562">
        <v>0.80873963616177935</v>
      </c>
      <c r="X109" s="1561">
        <v>2.6074601282926695E-2</v>
      </c>
      <c r="Y109" s="1562">
        <v>0.26367412091043907</v>
      </c>
      <c r="Z109" s="1563">
        <v>1.2065307209409338E-2</v>
      </c>
      <c r="AA109" s="1561">
        <v>9.7336938268559534E-3</v>
      </c>
      <c r="AB109" s="1562">
        <v>7.8015167045167692E-3</v>
      </c>
      <c r="AC109" s="1561">
        <v>8.3373349906607983E-2</v>
      </c>
      <c r="AD109" s="1562">
        <v>0.78646653849214587</v>
      </c>
      <c r="AE109" s="1561">
        <v>2.8833319858190178E-2</v>
      </c>
      <c r="AF109" s="1542">
        <v>0.24140102324080553</v>
      </c>
      <c r="AG109" s="1563">
        <v>5.65225332132634E-3</v>
      </c>
      <c r="AH109" s="1563">
        <v>5.6441983147993008E-3</v>
      </c>
      <c r="AI109" s="1563">
        <v>5.519480183340305E-3</v>
      </c>
      <c r="AJ109" s="1563">
        <v>1.4726010845507367E-2</v>
      </c>
      <c r="AK109" s="1542"/>
      <c r="AL109" s="1542"/>
      <c r="AM109" s="1542"/>
    </row>
    <row r="110" spans="1:39" x14ac:dyDescent="0.45">
      <c r="A110" s="744" t="s">
        <v>2586</v>
      </c>
      <c r="B110" s="1560">
        <v>1.3640123205003626E-2</v>
      </c>
      <c r="C110" s="1560">
        <v>1.0943048997074952E-2</v>
      </c>
      <c r="D110" s="1561">
        <v>1.1812194537494894E-2</v>
      </c>
      <c r="E110" s="1561">
        <v>7.5293613671843767E-3</v>
      </c>
      <c r="F110" s="1561">
        <v>4.5388469557170437E-3</v>
      </c>
      <c r="G110" s="1562">
        <v>5.8212358723596862E-2</v>
      </c>
      <c r="H110" s="1561">
        <v>4.5388469557170437E-3</v>
      </c>
      <c r="I110" s="1562">
        <v>6.7973140983471889E-2</v>
      </c>
      <c r="J110" s="1561">
        <v>1.4266297000816396E-2</v>
      </c>
      <c r="K110" s="1562">
        <v>4.3488214147432244E-2</v>
      </c>
      <c r="L110" s="1561">
        <v>8.069115685956741E-3</v>
      </c>
      <c r="M110" s="1562">
        <v>5.4153722990973013E-2</v>
      </c>
      <c r="N110" s="1561">
        <v>4.5388469557170437E-3</v>
      </c>
      <c r="O110" s="1562">
        <v>1.8670949812770534E-2</v>
      </c>
      <c r="P110" s="1561">
        <v>0</v>
      </c>
      <c r="Q110" s="1562">
        <v>-2.7922746715766391</v>
      </c>
      <c r="R110" s="1561">
        <v>8.069115685956741E-3</v>
      </c>
      <c r="S110" s="1562">
        <v>5.4153722990973013E-2</v>
      </c>
      <c r="T110" s="1561">
        <v>8.069115685956741E-3</v>
      </c>
      <c r="U110" s="1562">
        <v>2.3294212331672105E-2</v>
      </c>
      <c r="V110" s="1561">
        <v>6.1180678988955906E-2</v>
      </c>
      <c r="W110" s="1562">
        <v>0.65026922107183704</v>
      </c>
      <c r="X110" s="1561">
        <v>2.1806846655308486E-2</v>
      </c>
      <c r="Y110" s="1562">
        <v>0.21138671495372161</v>
      </c>
      <c r="Z110" s="1563">
        <v>9.5543235227976073E-3</v>
      </c>
      <c r="AA110" s="1561">
        <v>8.069115685956741E-3</v>
      </c>
      <c r="AB110" s="1562">
        <v>6.2597536739836881E-3</v>
      </c>
      <c r="AC110" s="1561">
        <v>7.1140078763482537E-2</v>
      </c>
      <c r="AD110" s="1562">
        <v>0.63323476241414867</v>
      </c>
      <c r="AE110" s="1561">
        <v>2.4437176541685486E-2</v>
      </c>
      <c r="AF110" s="1542">
        <v>0.19435225629603323</v>
      </c>
      <c r="AG110" s="1563">
        <v>5.1879324303580904E-3</v>
      </c>
      <c r="AH110" s="1563">
        <v>5.1805391259160021E-3</v>
      </c>
      <c r="AI110" s="1563">
        <v>5.0660663303658615E-3</v>
      </c>
      <c r="AJ110" s="1563">
        <v>1.2711622248175722E-2</v>
      </c>
      <c r="AK110" s="1542"/>
      <c r="AL110" s="1542"/>
      <c r="AM110" s="1542"/>
    </row>
    <row r="111" spans="1:39" x14ac:dyDescent="0.45">
      <c r="A111" s="744" t="s">
        <v>2587</v>
      </c>
      <c r="B111" s="1560">
        <v>0.28640006096121112</v>
      </c>
      <c r="C111" s="1560">
        <v>0.25983603995864424</v>
      </c>
      <c r="D111" s="1561">
        <v>0.26924725875681954</v>
      </c>
      <c r="E111" s="1561">
        <v>0.22643360806947835</v>
      </c>
      <c r="F111" s="1561">
        <v>0.12471405135850078</v>
      </c>
      <c r="G111" s="1562">
        <v>0.61537453243341933</v>
      </c>
      <c r="H111" s="1561">
        <v>0.12471405135850078</v>
      </c>
      <c r="I111" s="1562">
        <v>0.69204955461215767</v>
      </c>
      <c r="J111" s="1561">
        <v>0.29271041539490023</v>
      </c>
      <c r="K111" s="1562">
        <v>1.9819184276756119</v>
      </c>
      <c r="L111" s="1561">
        <v>0.23153009865339105</v>
      </c>
      <c r="M111" s="1562">
        <v>0.27516732069738709</v>
      </c>
      <c r="N111" s="1561">
        <v>0.12471405135850078</v>
      </c>
      <c r="O111" s="1562">
        <v>0.2617638886783587</v>
      </c>
      <c r="P111" s="1561">
        <v>0</v>
      </c>
      <c r="Q111" s="1562">
        <v>-7.0386341297752009E-2</v>
      </c>
      <c r="R111" s="1561">
        <v>0.23153009865339105</v>
      </c>
      <c r="S111" s="1562">
        <v>0.27516732069738709</v>
      </c>
      <c r="T111" s="1561">
        <v>0.23153009865339108</v>
      </c>
      <c r="U111" s="1562">
        <v>0.47716924539745681</v>
      </c>
      <c r="V111" s="1561">
        <v>1.2155193187139828</v>
      </c>
      <c r="W111" s="1562">
        <v>4.3639445899804565</v>
      </c>
      <c r="X111" s="1561">
        <v>0.48310548334580372</v>
      </c>
      <c r="Y111" s="1562">
        <v>1.643201848772357</v>
      </c>
      <c r="Z111" s="1563">
        <v>0.29448198696350369</v>
      </c>
      <c r="AA111" s="1561">
        <v>0.23153009865339108</v>
      </c>
      <c r="AB111" s="1562">
        <v>0.23095624505324033</v>
      </c>
      <c r="AC111" s="1561">
        <v>1.283145404687303</v>
      </c>
      <c r="AD111" s="1562">
        <v>4.1177315896362403</v>
      </c>
      <c r="AE111" s="1561">
        <v>0.50096588849685397</v>
      </c>
      <c r="AF111" s="1542">
        <v>1.3969888484281405</v>
      </c>
      <c r="AG111" s="1563">
        <v>1.1223766187883347E-2</v>
      </c>
      <c r="AH111" s="1563">
        <v>1.1207771237770222E-2</v>
      </c>
      <c r="AI111" s="1563">
        <v>1.0960116529584389E-2</v>
      </c>
      <c r="AJ111" s="1563">
        <v>0.27725507012426187</v>
      </c>
      <c r="AK111" s="1542"/>
      <c r="AL111" s="1542"/>
      <c r="AM111" s="1542"/>
    </row>
    <row r="112" spans="1:39" x14ac:dyDescent="0.45">
      <c r="A112" s="744" t="s">
        <v>2588</v>
      </c>
      <c r="B112" s="1560">
        <v>2.5951296844916728E-3</v>
      </c>
      <c r="C112" s="1560">
        <v>2.1264064636236715E-3</v>
      </c>
      <c r="D112" s="1561">
        <v>2.0526179127422235E-3</v>
      </c>
      <c r="E112" s="1561">
        <v>1.5211093739139086E-3</v>
      </c>
      <c r="F112" s="1561">
        <v>4.3822978821782949E-4</v>
      </c>
      <c r="G112" s="1562">
        <v>8.2711310580942839E-3</v>
      </c>
      <c r="H112" s="1561">
        <v>4.3822978821782949E-4</v>
      </c>
      <c r="I112" s="1562">
        <v>9.7209379114864373E-3</v>
      </c>
      <c r="J112" s="1561">
        <v>2.7041632422418567E-3</v>
      </c>
      <c r="K112" s="1562">
        <v>2.5908682316343359E-3</v>
      </c>
      <c r="L112" s="1561">
        <v>1.6269467957217339E-3</v>
      </c>
      <c r="M112" s="1562">
        <v>3.0430366836470425E-3</v>
      </c>
      <c r="N112" s="1561">
        <v>4.3822978821782949E-4</v>
      </c>
      <c r="O112" s="1562">
        <v>1.9055556962567183E-3</v>
      </c>
      <c r="P112" s="1561">
        <v>0</v>
      </c>
      <c r="Q112" s="1562">
        <v>-3.1582362461108855</v>
      </c>
      <c r="R112" s="1561">
        <v>1.6269467957217339E-3</v>
      </c>
      <c r="S112" s="1562">
        <v>3.0430366836470425E-3</v>
      </c>
      <c r="T112" s="1561">
        <v>1.6269467957217337E-3</v>
      </c>
      <c r="U112" s="1562">
        <v>2.2387476730328024E-3</v>
      </c>
      <c r="V112" s="1561">
        <v>8.0548172870563532E-3</v>
      </c>
      <c r="W112" s="1562">
        <v>5.8903291185533536E-2</v>
      </c>
      <c r="X112" s="1561">
        <v>3.2662482023315476E-3</v>
      </c>
      <c r="Y112" s="1562">
        <v>1.9238110726783025E-2</v>
      </c>
      <c r="Z112" s="1563">
        <v>1.7457386034420614E-3</v>
      </c>
      <c r="AA112" s="1561">
        <v>1.6269467957217337E-3</v>
      </c>
      <c r="AB112" s="1562">
        <v>6.386232849318464E-4</v>
      </c>
      <c r="AC112" s="1561">
        <v>9.8313174437116291E-3</v>
      </c>
      <c r="AD112" s="1562">
        <v>5.7303166797432574E-2</v>
      </c>
      <c r="AE112" s="1561">
        <v>3.735431241570063E-3</v>
      </c>
      <c r="AF112" s="1542">
        <v>1.763798633868207E-2</v>
      </c>
      <c r="AG112" s="1563">
        <v>1.0694269631700277E-3</v>
      </c>
      <c r="AH112" s="1563">
        <v>1.0679029265285656E-3</v>
      </c>
      <c r="AI112" s="1563">
        <v>1.0443058007459695E-3</v>
      </c>
      <c r="AJ112" s="1563">
        <v>2.4337659527174428E-3</v>
      </c>
    </row>
    <row r="113" spans="1:36" x14ac:dyDescent="0.45">
      <c r="A113" s="737" t="s">
        <v>2589</v>
      </c>
      <c r="B113" s="1566">
        <v>4.1678265347296342E-3</v>
      </c>
      <c r="C113" s="1566">
        <v>3.1701352573397261E-3</v>
      </c>
      <c r="D113" s="1567">
        <v>2.6678391810178244E-3</v>
      </c>
      <c r="E113" s="1567">
        <v>1.9215037434039675E-3</v>
      </c>
      <c r="F113" s="1567">
        <v>8.2699639367991157E-4</v>
      </c>
      <c r="G113" s="1568">
        <v>2.1207700795454275E-2</v>
      </c>
      <c r="H113" s="1567">
        <v>8.2699639367991157E-4</v>
      </c>
      <c r="I113" s="1568">
        <v>2.4929953441264575E-2</v>
      </c>
      <c r="J113" s="1567">
        <v>4.3986327176928249E-3</v>
      </c>
      <c r="K113" s="1568">
        <v>6.6661507377029422E-3</v>
      </c>
      <c r="L113" s="1567">
        <v>2.1070211783560293E-3</v>
      </c>
      <c r="M113" s="1568">
        <v>3.2667303084612E-2</v>
      </c>
      <c r="N113" s="1567">
        <v>8.2699639367991157E-4</v>
      </c>
      <c r="O113" s="1568">
        <v>8.652973753845751E-3</v>
      </c>
      <c r="P113" s="1567">
        <v>0</v>
      </c>
      <c r="Q113" s="1568">
        <v>0.20533265205952167</v>
      </c>
      <c r="R113" s="1567">
        <v>2.1070211783560293E-3</v>
      </c>
      <c r="S113" s="1568">
        <v>3.2667303084612E-2</v>
      </c>
      <c r="T113" s="1567">
        <v>2.1070211783560289E-3</v>
      </c>
      <c r="U113" s="1568">
        <v>9.0064510817030371E-3</v>
      </c>
      <c r="V113" s="1567">
        <v>1.8264130543359236E-2</v>
      </c>
      <c r="W113" s="1568">
        <v>7.8664605397950726E-2</v>
      </c>
      <c r="X113" s="1567">
        <v>6.2986530428205834E-3</v>
      </c>
      <c r="Y113" s="1568">
        <v>2.9903897376577348E-2</v>
      </c>
      <c r="Z113" s="1569">
        <v>2.2954120345773494E-3</v>
      </c>
      <c r="AA113" s="1567">
        <v>2.1070211783560289E-3</v>
      </c>
      <c r="AB113" s="1568">
        <v>1.5229722749485583E-3</v>
      </c>
      <c r="AC113" s="1567">
        <v>2.1809590121340011E-2</v>
      </c>
      <c r="AD113" s="1568">
        <v>7.1181126591196242E-2</v>
      </c>
      <c r="AE113" s="1567">
        <v>7.2350275734180021E-3</v>
      </c>
      <c r="AF113" s="1570">
        <v>2.2420418569822867E-2</v>
      </c>
      <c r="AG113" s="1569">
        <v>1.9781699483810119E-3</v>
      </c>
      <c r="AH113" s="1569">
        <v>1.9753508652755746E-3</v>
      </c>
      <c r="AI113" s="1569">
        <v>1.9317021387155759E-3</v>
      </c>
      <c r="AJ113" s="1569">
        <v>3.8243590457921247E-3</v>
      </c>
    </row>
  </sheetData>
  <mergeCells count="29">
    <mergeCell ref="AS21:AV21"/>
    <mergeCell ref="P82:Q82"/>
    <mergeCell ref="R82:S82"/>
    <mergeCell ref="T82:U82"/>
    <mergeCell ref="V82:W82"/>
    <mergeCell ref="X82:Y82"/>
    <mergeCell ref="AJ82:AJ83"/>
    <mergeCell ref="AA82:AB82"/>
    <mergeCell ref="AC82:AD82"/>
    <mergeCell ref="AE82:AF82"/>
    <mergeCell ref="AG82:AG83"/>
    <mergeCell ref="AH82:AH83"/>
    <mergeCell ref="AI82:AI83"/>
    <mergeCell ref="AW21:AZ21"/>
    <mergeCell ref="Z82:Z83"/>
    <mergeCell ref="BA21:BF21"/>
    <mergeCell ref="B82:B83"/>
    <mergeCell ref="C82:C83"/>
    <mergeCell ref="D82:D83"/>
    <mergeCell ref="E82:E83"/>
    <mergeCell ref="F82:G82"/>
    <mergeCell ref="H82:I82"/>
    <mergeCell ref="J82:K82"/>
    <mergeCell ref="L82:M82"/>
    <mergeCell ref="N82:O82"/>
    <mergeCell ref="B21:J21"/>
    <mergeCell ref="K21:AG21"/>
    <mergeCell ref="AI21:AN21"/>
    <mergeCell ref="AO21:AR21"/>
  </mergeCells>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V315"/>
  <sheetViews>
    <sheetView topLeftCell="B1" workbookViewId="0">
      <selection activeCell="L1" sqref="L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L1" s="230" t="s">
        <v>2848</v>
      </c>
    </row>
    <row r="3" spans="1:19" ht="23.25" customHeight="1" x14ac:dyDescent="0.45"/>
    <row r="4" spans="1:19" x14ac:dyDescent="0.45">
      <c r="A4" s="726" t="s">
        <v>2620</v>
      </c>
      <c r="R4" s="1131"/>
    </row>
    <row r="5" spans="1:19" x14ac:dyDescent="0.45">
      <c r="A5" s="740"/>
      <c r="B5" s="2273" t="s">
        <v>2850</v>
      </c>
      <c r="C5" s="2274"/>
      <c r="D5" s="2274"/>
      <c r="E5" s="2274"/>
      <c r="F5" s="2274"/>
      <c r="G5" s="2274"/>
      <c r="H5" s="2274"/>
      <c r="I5" s="2274"/>
      <c r="J5" s="2274"/>
      <c r="K5" s="2274"/>
      <c r="L5" s="2274"/>
      <c r="M5" s="2274"/>
      <c r="N5" s="2274"/>
      <c r="O5" s="2274"/>
      <c r="P5" s="2274"/>
      <c r="Q5" s="2274"/>
      <c r="R5" s="2275"/>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76" t="s">
        <v>2966</v>
      </c>
      <c r="N124" s="1196" t="s">
        <v>1351</v>
      </c>
      <c r="O124" s="2276"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77"/>
      <c r="N125" s="744"/>
      <c r="O125" s="2277"/>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1042456.3403946484</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798670.81695398968</v>
      </c>
      <c r="I130" s="7">
        <v>853224.95882544178</v>
      </c>
      <c r="J130" s="7">
        <v>1120600.1957824763</v>
      </c>
      <c r="K130" s="7">
        <v>607447.05388342112</v>
      </c>
      <c r="L130" s="877">
        <v>0</v>
      </c>
      <c r="M130" s="7">
        <v>817156.4403639317</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78"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78"/>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78"/>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1" t="s">
        <v>3014</v>
      </c>
      <c r="C191" s="2262"/>
      <c r="D191" s="2262"/>
      <c r="E191" s="2262"/>
      <c r="F191" s="2262"/>
      <c r="G191" s="2262"/>
      <c r="H191" s="2262"/>
      <c r="I191" s="2263"/>
      <c r="J191" s="2261" t="s">
        <v>3015</v>
      </c>
      <c r="K191" s="2262"/>
      <c r="L191" s="2263"/>
      <c r="M191" s="2261" t="s">
        <v>3016</v>
      </c>
      <c r="N191" s="2262"/>
      <c r="O191" s="2263"/>
      <c r="P191" s="2261" t="s">
        <v>3017</v>
      </c>
      <c r="Q191" s="2262"/>
      <c r="R191" s="2263"/>
      <c r="S191" s="2261" t="s">
        <v>3018</v>
      </c>
      <c r="T191" s="2262"/>
      <c r="U191" s="2262"/>
      <c r="V191" s="2262"/>
      <c r="W191" s="2262"/>
      <c r="X191" s="2262"/>
      <c r="Y191" s="2262"/>
      <c r="Z191" s="2262"/>
      <c r="AA191" s="2262"/>
      <c r="AB191" s="2263"/>
      <c r="AC191" s="2261" t="s">
        <v>3019</v>
      </c>
      <c r="AD191" s="2262"/>
      <c r="AE191" s="2262"/>
      <c r="AF191" s="2262"/>
      <c r="AG191" s="2262"/>
      <c r="AH191" s="2262"/>
      <c r="AI191" s="2262"/>
      <c r="AJ191" s="2262"/>
      <c r="AK191" s="2263"/>
      <c r="AL191" s="2261" t="s">
        <v>3020</v>
      </c>
      <c r="AM191" s="2262"/>
      <c r="AN191" s="2263"/>
      <c r="AO191" s="2261" t="s">
        <v>3021</v>
      </c>
      <c r="AP191" s="2262"/>
      <c r="AQ191" s="2262"/>
      <c r="AR191" s="2262"/>
      <c r="AS191" s="2263"/>
      <c r="AT191" s="2261" t="s">
        <v>3022</v>
      </c>
      <c r="AU191" s="2262"/>
      <c r="AV191" s="2262"/>
      <c r="AW191" s="2263"/>
      <c r="AX191" s="2261" t="s">
        <v>3023</v>
      </c>
      <c r="AY191" s="2262"/>
      <c r="AZ191" s="2262"/>
      <c r="BA191" s="2262"/>
      <c r="BB191" s="2262"/>
      <c r="BC191" s="2262"/>
      <c r="BD191" s="2262"/>
      <c r="BE191" s="2262"/>
      <c r="BF191" s="2262"/>
      <c r="BG191" s="2263"/>
      <c r="BH191" s="2261" t="s">
        <v>3024</v>
      </c>
      <c r="BI191" s="2262"/>
      <c r="BJ191" s="2262"/>
      <c r="BK191" s="2262"/>
      <c r="BL191" s="2262"/>
      <c r="BM191" s="2262"/>
      <c r="BN191" s="2263"/>
      <c r="BO191" s="2261" t="s">
        <v>3025</v>
      </c>
      <c r="BP191" s="2263"/>
      <c r="BQ191" s="2261" t="s">
        <v>3026</v>
      </c>
      <c r="BR191" s="2262"/>
      <c r="BS191" s="2263"/>
      <c r="BT191" s="2261" t="s">
        <v>3027</v>
      </c>
      <c r="BU191" s="2262"/>
      <c r="BV191" s="2262"/>
      <c r="BW191" s="2262"/>
      <c r="BX191" s="2263"/>
      <c r="BY191" s="2261" t="s">
        <v>3028</v>
      </c>
      <c r="BZ191" s="2262"/>
      <c r="CA191" s="2263"/>
      <c r="CB191" s="2261" t="s">
        <v>3029</v>
      </c>
      <c r="CC191" s="2262"/>
      <c r="CD191" s="2262"/>
      <c r="CE191" s="2262"/>
      <c r="CF191" s="2262"/>
      <c r="CG191" s="2262"/>
      <c r="CH191" s="2262"/>
      <c r="CI191" s="2262"/>
      <c r="CJ191" s="2263"/>
      <c r="CK191" s="2261" t="s">
        <v>3030</v>
      </c>
      <c r="CL191" s="2262"/>
      <c r="CM191" s="2262"/>
      <c r="CN191" s="2263"/>
      <c r="CO191" s="2261" t="s">
        <v>3031</v>
      </c>
      <c r="CP191" s="2262"/>
      <c r="CQ191" s="2262"/>
      <c r="CR191" s="2263"/>
      <c r="CS191" s="2261" t="s">
        <v>3032</v>
      </c>
      <c r="CT191" s="2262"/>
      <c r="CU191" s="2262"/>
      <c r="CV191" s="2263"/>
      <c r="CW191" s="2261" t="s">
        <v>3033</v>
      </c>
      <c r="CX191" s="2262"/>
      <c r="CY191" s="2262"/>
      <c r="CZ191" s="2262"/>
      <c r="DA191" s="2262"/>
      <c r="DB191" s="2262"/>
      <c r="DC191" s="2262"/>
      <c r="DD191" s="2262"/>
      <c r="DE191" s="2262"/>
      <c r="DF191" s="2262"/>
      <c r="DG191" s="2263"/>
      <c r="DH191" s="2261" t="s">
        <v>3034</v>
      </c>
      <c r="DI191" s="2262"/>
      <c r="DJ191" s="2262"/>
      <c r="DK191" s="2262"/>
      <c r="DL191" s="2262"/>
      <c r="DM191" s="2262"/>
      <c r="DN191" s="2262"/>
      <c r="DO191" s="2262"/>
      <c r="DP191" s="2262"/>
      <c r="DQ191" s="2263"/>
      <c r="DR191" s="2261" t="s">
        <v>3035</v>
      </c>
      <c r="DS191" s="2262"/>
      <c r="DT191" s="2262"/>
      <c r="DU191" s="2263"/>
      <c r="DV191" s="2261" t="s">
        <v>3036</v>
      </c>
      <c r="DW191" s="2262"/>
      <c r="DX191" s="2262"/>
      <c r="DY191" s="2262"/>
      <c r="DZ191" s="2262"/>
      <c r="EA191" s="2263"/>
      <c r="EB191" s="2261" t="s">
        <v>3037</v>
      </c>
      <c r="EC191" s="2262"/>
      <c r="ED191" s="2262"/>
      <c r="EE191" s="2262"/>
      <c r="EF191" s="2263"/>
      <c r="EG191" s="2279" t="s">
        <v>3038</v>
      </c>
      <c r="EH191" s="2281"/>
      <c r="EI191" s="2281"/>
      <c r="EJ191" s="2281"/>
      <c r="EK191" s="2281"/>
      <c r="EL191" s="2281"/>
      <c r="EM191" s="2280"/>
      <c r="EN191" s="2279" t="s">
        <v>3039</v>
      </c>
      <c r="EO191" s="2280"/>
      <c r="EP191" s="2279" t="s">
        <v>3040</v>
      </c>
      <c r="EQ191" s="2281"/>
      <c r="ER191" s="2280"/>
      <c r="ES191" s="2279" t="s">
        <v>3041</v>
      </c>
      <c r="ET191" s="2281"/>
      <c r="EU191" s="2281"/>
      <c r="EV191" s="2281"/>
      <c r="EW191" s="2280"/>
      <c r="EX191" s="2279" t="s">
        <v>3042</v>
      </c>
      <c r="EY191" s="2281"/>
      <c r="EZ191" s="2280"/>
      <c r="FA191" s="2261" t="s">
        <v>3043</v>
      </c>
      <c r="FB191" s="2262"/>
      <c r="FC191" s="2262"/>
      <c r="FD191" s="2262"/>
      <c r="FE191" s="2263"/>
      <c r="FF191" s="2251" t="s">
        <v>3044</v>
      </c>
      <c r="FG191" s="2252"/>
      <c r="FH191" s="2252"/>
      <c r="FI191" s="2252"/>
      <c r="FJ191" s="2252"/>
      <c r="FK191" s="2253"/>
      <c r="FL191" s="2261" t="s">
        <v>3045</v>
      </c>
      <c r="FM191" s="2262"/>
      <c r="FN191" s="2262"/>
      <c r="FO191" s="2263"/>
      <c r="FP191" s="2261" t="s">
        <v>3046</v>
      </c>
      <c r="FQ191" s="2262"/>
      <c r="FR191" s="2262"/>
      <c r="FS191" s="2262"/>
      <c r="FT191" s="2263"/>
      <c r="FU191" s="2282" t="s">
        <v>3047</v>
      </c>
      <c r="FV191" s="2282"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83"/>
      <c r="FV192" s="2283"/>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1" t="s">
        <v>3083</v>
      </c>
      <c r="BU196" s="2263"/>
      <c r="BV196" s="2262" t="s">
        <v>3084</v>
      </c>
      <c r="BW196" s="2262"/>
      <c r="BX196" s="2263"/>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9" t="s">
        <v>3083</v>
      </c>
      <c r="ET196" s="2280"/>
      <c r="EU196" s="2281" t="s">
        <v>3084</v>
      </c>
      <c r="EV196" s="2281"/>
      <c r="EW196" s="2280"/>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3102622.0577137819</v>
      </c>
      <c r="BP220" s="1302">
        <v>211786.76531513935</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155528.61323238019</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2507533.4886943433</v>
      </c>
      <c r="BP221" s="1284">
        <v>171165.67748547613</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155528.61323238019</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3017.5273111453753</v>
      </c>
      <c r="AM222" s="7">
        <v>23607.013051713635</v>
      </c>
      <c r="AN222" s="877">
        <v>98087.697893232049</v>
      </c>
      <c r="AO222" s="879">
        <v>625811.97108106164</v>
      </c>
      <c r="AP222" s="7">
        <v>29518.545558319529</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2205.1616235607776</v>
      </c>
      <c r="BK222" s="1285"/>
      <c r="BL222" s="1288">
        <v>3275.2775893927078</v>
      </c>
      <c r="BM222" s="1284">
        <v>98087.697893232049</v>
      </c>
      <c r="BN222" s="877">
        <v>0</v>
      </c>
      <c r="BO222" s="1284">
        <v>1436959.739297519</v>
      </c>
      <c r="BP222" s="1284">
        <v>98087.697893232064</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3017.5273111453753</v>
      </c>
      <c r="DS222" s="7">
        <v>363479.67259536957</v>
      </c>
      <c r="DT222" s="7">
        <v>1685.9785473546822</v>
      </c>
      <c r="DU222" s="7">
        <v>4862.0324033048691</v>
      </c>
      <c r="DV222" s="879">
        <v>625811.97108106164</v>
      </c>
      <c r="DW222" s="7">
        <v>29518.545558319529</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2205.1616235607776</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1863.1643071972635</v>
      </c>
      <c r="FB222" s="7">
        <v>31943.884999503611</v>
      </c>
      <c r="FC222" s="1284"/>
      <c r="FD222" s="1284">
        <v>35410.519577570456</v>
      </c>
      <c r="FE222" s="1287">
        <v>98087.697893232049</v>
      </c>
      <c r="FF222" s="879">
        <v>1863.1643071972633</v>
      </c>
      <c r="FG222" s="7">
        <v>31943.884999503611</v>
      </c>
      <c r="FH222" s="1284"/>
      <c r="FI222" s="7">
        <v>228866.97397174867</v>
      </c>
      <c r="FJ222" s="1284">
        <v>63.854217941976316</v>
      </c>
      <c r="FK222" s="1287">
        <v>0</v>
      </c>
      <c r="FL222" s="1320">
        <v>1703.6952283660564</v>
      </c>
      <c r="FM222" s="1321">
        <v>14399.927332674835</v>
      </c>
      <c r="FN222" s="1213">
        <v>35410.519577570456</v>
      </c>
      <c r="FO222" s="1297">
        <v>98087.697893232049</v>
      </c>
      <c r="FP222" s="1296">
        <v>1703.6952283660564</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1021744.1879355536</v>
      </c>
      <c r="BP223" s="1284">
        <v>69744.845655441095</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48829.561461270634</v>
      </c>
      <c r="BP224" s="1323">
        <v>3333.133936802979</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51.006487345911182</v>
      </c>
      <c r="AQ225" s="897"/>
      <c r="AR225" s="897">
        <v>4.9034154415656568</v>
      </c>
      <c r="AS225" s="1058">
        <v>20.373807199737541</v>
      </c>
      <c r="AT225" s="1057">
        <v>46.917314253657949</v>
      </c>
      <c r="AU225" s="897"/>
      <c r="AV225" s="897">
        <v>1.9613661766262627</v>
      </c>
      <c r="AW225" s="1058">
        <v>20.373807199737541</v>
      </c>
      <c r="AX225" s="897">
        <v>79.737829363638468</v>
      </c>
      <c r="AY225" s="897"/>
      <c r="AZ225" s="1335">
        <v>0</v>
      </c>
      <c r="BA225" s="1335"/>
      <c r="BB225" s="897">
        <v>26.892499352669461</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323.66166773272056</v>
      </c>
      <c r="BP225" s="1334">
        <v>20.352686848558967</v>
      </c>
      <c r="BQ225" s="1333">
        <v>2.9327385336178691</v>
      </c>
      <c r="BR225" s="1334"/>
      <c r="BS225" s="1342">
        <v>20.373807199737541</v>
      </c>
      <c r="BT225" s="858">
        <v>9.7097416393115143E-2</v>
      </c>
      <c r="BU225" s="860">
        <v>3.4560085337738467E-3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0.10212900378693487</v>
      </c>
      <c r="CI225" s="1334">
        <v>0</v>
      </c>
      <c r="CJ225" s="1058">
        <v>0</v>
      </c>
      <c r="CK225" s="1334">
        <v>25.499999999999996</v>
      </c>
      <c r="CL225" s="1334">
        <v>74.865785654443613</v>
      </c>
      <c r="CM225" s="1334">
        <v>0.10212900378693487</v>
      </c>
      <c r="CN225" s="1339">
        <v>0</v>
      </c>
      <c r="CO225" s="1057">
        <v>153.9228413747401</v>
      </c>
      <c r="CP225" s="897">
        <v>74.865785654443627</v>
      </c>
      <c r="CQ225" s="897">
        <v>0.10212900378693487</v>
      </c>
      <c r="CR225" s="1058">
        <v>0</v>
      </c>
      <c r="CS225" s="897">
        <v>195.50238940995965</v>
      </c>
      <c r="CT225" s="897">
        <v>49.982161444624516</v>
      </c>
      <c r="CU225" s="897">
        <v>0.10212900378693487</v>
      </c>
      <c r="CV225" s="897">
        <v>0</v>
      </c>
      <c r="CW225" s="1057">
        <v>76.825353675043885</v>
      </c>
      <c r="CX225" s="897"/>
      <c r="CY225" s="1335">
        <v>0</v>
      </c>
      <c r="CZ225" s="1335"/>
      <c r="DA225" s="1334">
        <v>4.8918879388549819</v>
      </c>
      <c r="DB225" s="897"/>
      <c r="DC225" s="897">
        <v>0.68030829110234869</v>
      </c>
      <c r="DD225" s="897">
        <v>74.865785654443627</v>
      </c>
      <c r="DE225" s="897">
        <v>0.10212900378693487</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0.10212900378693487</v>
      </c>
      <c r="DQ225" s="897">
        <v>0</v>
      </c>
      <c r="DR225" s="1057">
        <v>67.791880606936317</v>
      </c>
      <c r="DS225" s="897">
        <v>74.865785654443627</v>
      </c>
      <c r="DT225" s="897">
        <v>0.10212900378693487</v>
      </c>
      <c r="DU225" s="897">
        <v>0</v>
      </c>
      <c r="DV225" s="1057">
        <v>375.95960130074855</v>
      </c>
      <c r="DW225" s="897">
        <v>51.006487345911182</v>
      </c>
      <c r="DX225" s="897"/>
      <c r="DY225" s="897">
        <v>74.865785654443627</v>
      </c>
      <c r="DZ225" s="897">
        <v>0.10212900378693487</v>
      </c>
      <c r="EA225" s="1058">
        <v>0</v>
      </c>
      <c r="EB225" s="1057">
        <v>46.917314253657949</v>
      </c>
      <c r="EC225" s="897"/>
      <c r="ED225" s="897">
        <v>74.865785654443627</v>
      </c>
      <c r="EE225" s="1334">
        <v>0.34922682954396689</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3.4560085337738467E-3</v>
      </c>
      <c r="EU225" s="1345">
        <v>78.386870450656374</v>
      </c>
      <c r="EV225" s="1337"/>
      <c r="EW225" s="1344">
        <v>90.389432884129988</v>
      </c>
      <c r="EX225" s="1343">
        <v>22.608531674092951</v>
      </c>
      <c r="EY225" s="1337"/>
      <c r="EZ225" s="1344">
        <v>90.389432884129988</v>
      </c>
      <c r="FA225" s="1057">
        <v>3.2412167010650634</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0.10212900378693487</v>
      </c>
      <c r="FK225" s="1342">
        <v>0</v>
      </c>
      <c r="FL225" s="1347">
        <v>3.2074114529503595</v>
      </c>
      <c r="FM225" s="1348">
        <v>2.9910105901913608</v>
      </c>
      <c r="FN225" s="1348">
        <v>7.3551231623484856</v>
      </c>
      <c r="FO225" s="1349">
        <v>20.373807199737541</v>
      </c>
      <c r="FP225" s="1350">
        <v>3.2074114529503595</v>
      </c>
      <c r="FQ225" s="1348">
        <v>2.9910105901913608</v>
      </c>
      <c r="FR225" s="1348">
        <v>48.516645967245516</v>
      </c>
      <c r="FS225" s="1348">
        <v>0.10212900378693487</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1" t="s">
        <v>3083</v>
      </c>
      <c r="BU226" s="2263"/>
      <c r="BV226" s="2262" t="s">
        <v>3084</v>
      </c>
      <c r="BW226" s="2262"/>
      <c r="BX226" s="2263"/>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9" t="s">
        <v>3083</v>
      </c>
      <c r="ET226" s="2280"/>
      <c r="EU226" s="2281" t="s">
        <v>3084</v>
      </c>
      <c r="EV226" s="2281"/>
      <c r="EW226" s="2280"/>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22.537630777762516</v>
      </c>
      <c r="BP227" s="1351">
        <v>1.5384316334701886</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62.93479927910743</v>
      </c>
      <c r="BP228" s="1351">
        <v>4.2959655791595965</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14.758778891886003</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141.34627744216712</v>
      </c>
      <c r="BP229" s="1351">
        <v>9.6483781562718338</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14.758778891886003</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25.528562599554046</v>
      </c>
      <c r="BP230" s="1351">
        <v>1.7425943590720641</v>
      </c>
      <c r="BQ230" s="1352">
        <v>0.25084038418610399</v>
      </c>
      <c r="BR230" s="1351">
        <v>1.0443879682791588</v>
      </c>
      <c r="BS230" s="1353">
        <v>1.7425943590720641</v>
      </c>
      <c r="BT230" s="904">
        <v>8.3048498706365242E-3</v>
      </c>
      <c r="BU230" s="906">
        <v>1.4330254443729994E-3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1.4330254443729994E-3</v>
      </c>
      <c r="EU230" s="1249">
        <v>2.0071474944022976</v>
      </c>
      <c r="EV230" s="1109"/>
      <c r="EW230" s="1355">
        <v>7.7311085905258272</v>
      </c>
      <c r="EX230" s="1354">
        <v>2.229676155846283</v>
      </c>
      <c r="EY230" s="1356">
        <v>1.0443879682791588</v>
      </c>
      <c r="EZ230" s="1355">
        <v>7.7311085905258272</v>
      </c>
      <c r="FA230" s="904">
        <v>2.7793690605248584</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11.110442856830039</v>
      </c>
      <c r="BP231" s="1351">
        <v>0.75840521665104432</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14.339266417621259</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383.85327635576289</v>
      </c>
      <c r="BP232" s="1351">
        <v>26.202045316118479</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14.339266417621259</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0.82294199821808989</v>
      </c>
      <c r="BP233" s="1351">
        <v>5.6174493896628055E-2</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1.9319508997972472</v>
      </c>
      <c r="BP234" s="1351">
        <v>0.13187607907268906</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398.11987781500028</v>
      </c>
      <c r="BP235" s="1351">
        <v>27.175891733402885</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3.2237408272313952</v>
      </c>
      <c r="BP236" s="1351">
        <v>0.22005440215195948</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10692.532681732064</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208589.14857301145</v>
      </c>
      <c r="BP237" s="1284">
        <v>14238.415196683423</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10692.532681732064</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1" t="s">
        <v>3083</v>
      </c>
      <c r="BU241" s="2263"/>
      <c r="BV241" s="2262" t="s">
        <v>3084</v>
      </c>
      <c r="BW241" s="2262"/>
      <c r="BX241" s="2263"/>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9" t="s">
        <v>3083</v>
      </c>
      <c r="ET241" s="2280"/>
      <c r="EU241" s="2281" t="s">
        <v>3084</v>
      </c>
      <c r="EV241" s="2281"/>
      <c r="EW241" s="2280"/>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1.6046739251838575</v>
      </c>
      <c r="BP242" s="1351">
        <v>0.10953596463845816</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0.50926062671635774</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12.558587385251316</v>
      </c>
      <c r="BP243" s="1351">
        <v>0.8572563946798486</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0.50926062671635774</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32.890935811972611</v>
      </c>
      <c r="BP244" s="1351">
        <v>2.245154187080868</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4.0534201570585768</v>
      </c>
      <c r="BP245" s="1351">
        <v>0.27668879017742531</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2.9836289558183302</v>
      </c>
      <c r="BP246" s="1351">
        <v>0.20366422777222559</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0.75614251319672654</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0.60088293277363547</v>
      </c>
      <c r="BK247" s="1045"/>
      <c r="BL247" s="1109">
        <v>0.30992922388788985</v>
      </c>
      <c r="BM247" s="905">
        <v>9.2817305560460728</v>
      </c>
      <c r="BN247" s="906">
        <v>0</v>
      </c>
      <c r="BO247" s="1351">
        <v>135.97498367800975</v>
      </c>
      <c r="BP247" s="1351">
        <v>9.2817305560460728</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0.75614251319672654</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0.36588801924362535</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0.17775366563472614</v>
      </c>
      <c r="BP248" s="1351">
        <v>1.21335674044126E-2</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0.45734966943991145</v>
      </c>
      <c r="BP249" s="1370">
        <v>3.1218951360128089E-2</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1" t="s">
        <v>3111</v>
      </c>
      <c r="C253" s="2263"/>
      <c r="D253" s="2261" t="s">
        <v>3015</v>
      </c>
      <c r="E253" s="2263"/>
      <c r="F253" s="2261" t="s">
        <v>3112</v>
      </c>
      <c r="G253" s="2263"/>
      <c r="H253" s="2261" t="s">
        <v>3017</v>
      </c>
      <c r="I253" s="2263"/>
      <c r="J253" s="2261" t="s">
        <v>3018</v>
      </c>
      <c r="K253" s="2263"/>
      <c r="L253" s="2261" t="s">
        <v>3019</v>
      </c>
      <c r="M253" s="2263"/>
      <c r="N253" s="2261" t="s">
        <v>3113</v>
      </c>
      <c r="O253" s="2263"/>
      <c r="P253" s="2261" t="s">
        <v>3021</v>
      </c>
      <c r="Q253" s="2263"/>
      <c r="R253" s="2261" t="s">
        <v>3022</v>
      </c>
      <c r="S253" s="2263"/>
      <c r="T253" s="2261" t="s">
        <v>3114</v>
      </c>
      <c r="U253" s="2263"/>
      <c r="V253" s="2261" t="s">
        <v>3115</v>
      </c>
      <c r="W253" s="2263"/>
      <c r="X253" s="2261" t="s">
        <v>3116</v>
      </c>
      <c r="Y253" s="2263"/>
      <c r="Z253" s="2261" t="s">
        <v>3117</v>
      </c>
      <c r="AA253" s="2263"/>
      <c r="AB253" s="2261" t="s">
        <v>3118</v>
      </c>
      <c r="AC253" s="2263"/>
      <c r="AD253" s="2261" t="s">
        <v>3026</v>
      </c>
      <c r="AE253" s="2263"/>
      <c r="AF253" s="2261" t="s">
        <v>3119</v>
      </c>
      <c r="AG253" s="2263"/>
      <c r="AH253" s="2261" t="s">
        <v>3028</v>
      </c>
      <c r="AI253" s="2263"/>
      <c r="AJ253" s="2261" t="s">
        <v>3120</v>
      </c>
      <c r="AK253" s="2263"/>
      <c r="AL253" s="2261" t="s">
        <v>3121</v>
      </c>
      <c r="AM253" s="2263"/>
      <c r="AN253" s="2261" t="s">
        <v>3122</v>
      </c>
      <c r="AO253" s="2263"/>
      <c r="AP253" s="2261" t="s">
        <v>3030</v>
      </c>
      <c r="AQ253" s="2263"/>
      <c r="AR253" s="2261" t="s">
        <v>3123</v>
      </c>
      <c r="AS253" s="2263"/>
      <c r="AT253" s="2261" t="s">
        <v>3032</v>
      </c>
      <c r="AU253" s="2263"/>
      <c r="AV253" s="2261" t="s">
        <v>3033</v>
      </c>
      <c r="AW253" s="2263"/>
      <c r="AX253" s="2261" t="s">
        <v>3034</v>
      </c>
      <c r="AY253" s="2263"/>
      <c r="AZ253" s="2261" t="s">
        <v>3124</v>
      </c>
      <c r="BA253" s="2263"/>
      <c r="BB253" s="2261" t="s">
        <v>3036</v>
      </c>
      <c r="BC253" s="2263"/>
      <c r="BD253" s="2261" t="s">
        <v>3037</v>
      </c>
      <c r="BE253" s="2263"/>
      <c r="BF253" s="2261" t="s">
        <v>3125</v>
      </c>
      <c r="BG253" s="2263"/>
      <c r="BH253" s="2261" t="s">
        <v>3126</v>
      </c>
      <c r="BI253" s="2263"/>
      <c r="BJ253" s="2279" t="s">
        <v>3127</v>
      </c>
      <c r="BK253" s="2280"/>
      <c r="BL253" s="2279" t="s">
        <v>3128</v>
      </c>
      <c r="BM253" s="2280"/>
      <c r="BN253" s="2279" t="s">
        <v>3040</v>
      </c>
      <c r="BO253" s="2280"/>
      <c r="BP253" s="2279" t="s">
        <v>3129</v>
      </c>
      <c r="BQ253" s="2280"/>
      <c r="BR253" s="2279" t="s">
        <v>3130</v>
      </c>
      <c r="BS253" s="2280"/>
      <c r="BT253" s="2261" t="s">
        <v>3131</v>
      </c>
      <c r="BU253" s="2263"/>
      <c r="BV253" s="2261" t="s">
        <v>3132</v>
      </c>
      <c r="BW253" s="2263"/>
      <c r="BX253" s="2261" t="s">
        <v>3133</v>
      </c>
      <c r="BY253" s="2263"/>
      <c r="BZ253" s="2261" t="s">
        <v>3134</v>
      </c>
      <c r="CA253" s="2263"/>
      <c r="CB253" s="2261" t="s">
        <v>3135</v>
      </c>
      <c r="CC253" s="2263"/>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1715216.345653892</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1386234.7224631999</v>
      </c>
      <c r="AC257" s="877">
        <v>1292464.4437166196</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3017.5273111453753</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1764.1292988486221</v>
      </c>
      <c r="AA258" s="877">
        <v>130648.63861152277</v>
      </c>
      <c r="AB258" s="7">
        <v>794391.57816914783</v>
      </c>
      <c r="AC258" s="877">
        <v>740655.85902160325</v>
      </c>
      <c r="AD258" s="7">
        <v>111191.65563549996</v>
      </c>
      <c r="AE258" s="877">
        <v>112207.08012087263</v>
      </c>
      <c r="AF258" s="879">
        <v>1915.1241174737825</v>
      </c>
      <c r="AG258" s="877">
        <v>260245.96395721618</v>
      </c>
      <c r="AH258" s="7">
        <v>43281.503857188574</v>
      </c>
      <c r="AI258" s="877">
        <v>201747.85866325014</v>
      </c>
      <c r="AJ258" s="879">
        <v>1764.1292988486221</v>
      </c>
      <c r="AK258" s="877">
        <v>130648.63861152277</v>
      </c>
      <c r="AL258" s="879">
        <v>1764.1292988486221</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3017.5273111453753</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1764.1292988486221</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564848.7955104952</v>
      </c>
      <c r="AC259" s="877">
        <v>526640.23808049969</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26994.34878355687</v>
      </c>
      <c r="AC260" s="877">
        <v>25168.346614516744</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21.513999482135571</v>
      </c>
      <c r="U261" s="906">
        <v>101.5826611958457</v>
      </c>
      <c r="V261" s="904">
        <v>10.012880311781696</v>
      </c>
      <c r="W261" s="906">
        <v>27.728930362086025</v>
      </c>
      <c r="X261" s="904">
        <v>6.1984220431417203</v>
      </c>
      <c r="Y261" s="906">
        <v>27.728930362086025</v>
      </c>
      <c r="Z261" s="905">
        <v>3.2460661327329308</v>
      </c>
      <c r="AA261" s="906">
        <v>50.177533417853368</v>
      </c>
      <c r="AB261" s="905">
        <v>178.02844356965909</v>
      </c>
      <c r="AC261" s="906">
        <v>165.98591101162043</v>
      </c>
      <c r="AD261" s="905">
        <v>684.51598817527702</v>
      </c>
      <c r="AE261" s="906">
        <v>23.30654573335541</v>
      </c>
      <c r="AF261" s="904">
        <v>3.063066537337606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24.076062411232705</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67.230764858267023</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107.6906512364704</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150.99465559843895</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135.22055479721007</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3.3744773228565124</v>
      </c>
      <c r="W265" s="906">
        <v>2.3716862125158262</v>
      </c>
      <c r="X265" s="904">
        <v>3.9448066410206533</v>
      </c>
      <c r="Y265" s="906">
        <v>2.3716862125158262</v>
      </c>
      <c r="Z265" s="905">
        <v>0.48001555781242305</v>
      </c>
      <c r="AA265" s="906">
        <v>3.9090721940082656</v>
      </c>
      <c r="AB265" s="905">
        <v>27.271156958626111</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11.868848073481082</v>
      </c>
      <c r="AC266" s="906">
        <v>0</v>
      </c>
      <c r="AD266" s="905">
        <v>8.9118343705436196</v>
      </c>
      <c r="AE266" s="906">
        <v>1.885172422412142</v>
      </c>
      <c r="AF266" s="904">
        <v>2.8131089596755841</v>
      </c>
      <c r="AG266" s="906">
        <v>2.0940573291649462</v>
      </c>
      <c r="AH266" s="905">
        <v>1.6402925553219372</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1.6402925553219372</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11.202847518634139</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410.05532167188136</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11.202847518634139</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11.202847518634139</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0.87911649211471798</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2.0638269788699364</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425.29576954840314</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3.4437952293833547</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222827.56376969488</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223008.24917565382</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236679.72799789251</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1.7142098898223157</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13.415843779931166</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35.136089999053482</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4.3301089472360026</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3.1872931835905556</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0.75614251319672654</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145.25671423405583</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0.75614251319672654</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0.18988723303913874</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0.48856862080003954</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405.40620910860065</v>
      </c>
      <c r="F291" s="905">
        <v>425.6793753924448</v>
      </c>
      <c r="G291" s="906">
        <v>1514.506637818273</v>
      </c>
    </row>
    <row r="292" spans="1:7" x14ac:dyDescent="0.45">
      <c r="A292" s="768" t="s">
        <v>2554</v>
      </c>
      <c r="B292" s="904">
        <v>38147.069131860546</v>
      </c>
      <c r="C292" s="905">
        <v>18436.72723960182</v>
      </c>
      <c r="D292" s="905">
        <v>122.22808856471046</v>
      </c>
      <c r="E292" s="905">
        <v>5971.3000232082022</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0.2649306617998729</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8.404749238934113E-2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2.1333325460755122E-2</v>
      </c>
      <c r="F309" s="905">
        <v>3.2512524201625884E-2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1.7796768990140566E-3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AE100"/>
  <sheetViews>
    <sheetView showGridLines="0" zoomScale="85" zoomScaleNormal="85" workbookViewId="0">
      <pane xSplit="2" ySplit="3" topLeftCell="C4" activePane="bottomRight" state="frozen"/>
      <selection sqref="A1:AB1"/>
      <selection pane="topRight" sqref="A1:AB1"/>
      <selection pane="bottomLeft" sqref="A1:AB1"/>
      <selection pane="bottomRight" sqref="A1:AB1"/>
    </sheetView>
  </sheetViews>
  <sheetFormatPr defaultColWidth="0" defaultRowHeight="14.25" zeroHeight="1" x14ac:dyDescent="0.45"/>
  <cols>
    <col min="1" max="1" width="34.1328125" style="1423" customWidth="1"/>
    <col min="2" max="2" width="22" customWidth="1"/>
    <col min="3" max="3" width="8.53125" customWidth="1"/>
    <col min="4" max="4" width="11" customWidth="1"/>
    <col min="5" max="6" width="11.796875" customWidth="1"/>
    <col min="7" max="7" width="11" customWidth="1"/>
    <col min="8" max="9" width="12" customWidth="1"/>
    <col min="10" max="10" width="11.86328125" customWidth="1"/>
    <col min="11" max="12" width="9.53125" customWidth="1"/>
    <col min="13" max="14" width="10.53125" customWidth="1"/>
    <col min="15" max="16" width="12.53125" customWidth="1"/>
    <col min="17" max="18" width="10.53125" customWidth="1"/>
    <col min="19" max="23" width="12.53125" customWidth="1"/>
    <col min="24" max="27" width="9.53125" customWidth="1"/>
    <col min="28" max="28" width="11.53125" customWidth="1"/>
    <col min="29" max="31" width="0" hidden="1" customWidth="1"/>
    <col min="32" max="16384" width="8.86328125" hidden="1"/>
  </cols>
  <sheetData>
    <row r="1" spans="1:31" s="2050" customFormat="1" ht="18" x14ac:dyDescent="0.55000000000000004">
      <c r="A1" s="2157" t="s">
        <v>3594</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9"/>
    </row>
    <row r="2" spans="1:31" s="1414" customFormat="1" ht="65.650000000000006"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55000000000000004">
      <c r="A3" s="1415" t="s">
        <v>1072</v>
      </c>
      <c r="B3" s="1968"/>
      <c r="C3" s="1968"/>
      <c r="D3" s="1968"/>
      <c r="E3" s="1968"/>
      <c r="F3" s="1968"/>
      <c r="G3" s="1968"/>
      <c r="H3" s="1968"/>
      <c r="I3" s="1968"/>
      <c r="J3" s="1968"/>
      <c r="K3" s="1968"/>
      <c r="L3" s="1968"/>
      <c r="M3" s="1968"/>
      <c r="N3" s="1968"/>
      <c r="O3" s="1968"/>
      <c r="P3" s="1968"/>
      <c r="Q3" s="1968"/>
      <c r="R3" s="1968"/>
      <c r="S3" s="1968"/>
      <c r="T3" s="1968"/>
      <c r="U3" s="1968"/>
      <c r="V3" s="1968"/>
      <c r="W3" s="1969"/>
      <c r="X3" s="1968"/>
      <c r="Y3" s="1968"/>
      <c r="Z3" s="1968"/>
      <c r="AA3" s="1968"/>
      <c r="AB3" s="1968"/>
    </row>
    <row r="4" spans="1:31" x14ac:dyDescent="0.45">
      <c r="A4" s="1416"/>
      <c r="B4" s="1968"/>
      <c r="C4" s="1968"/>
      <c r="D4" s="1968"/>
      <c r="E4" s="1968"/>
      <c r="F4" s="1968"/>
      <c r="G4" s="1968"/>
      <c r="H4" s="1968"/>
      <c r="I4" s="1968"/>
      <c r="J4" s="1968"/>
      <c r="K4" s="1968"/>
      <c r="L4" s="1968"/>
      <c r="M4" s="1968"/>
      <c r="N4" s="1968"/>
      <c r="O4" s="1968"/>
      <c r="P4" s="1968"/>
      <c r="Q4" s="1968"/>
      <c r="R4" s="1968"/>
      <c r="S4" s="1968"/>
      <c r="T4" s="1968"/>
      <c r="U4" s="1968"/>
      <c r="V4" s="1968"/>
      <c r="W4" s="1969"/>
      <c r="X4" s="1968"/>
      <c r="Y4" s="1968"/>
      <c r="Z4" s="1968"/>
      <c r="AA4" s="1968"/>
      <c r="AB4" s="1968"/>
    </row>
    <row r="5" spans="1:31" x14ac:dyDescent="0.45">
      <c r="A5" s="1417" t="s">
        <v>8</v>
      </c>
      <c r="B5" s="2026" t="s">
        <v>9</v>
      </c>
      <c r="C5" s="2024">
        <f>'Base variables computation'!C14+IF('Base variables computation'!C15=0,0,'Base variables computation'!C15/'Vehicle manufacturing'!C31)</f>
        <v>99</v>
      </c>
      <c r="D5" s="2024">
        <f>'Base variables computation'!D14+IF('Base variables computation'!D15=0,0,'Base variables computation'!D15/'Vehicle manufacturing'!D31)</f>
        <v>109.24251334824905</v>
      </c>
      <c r="E5" s="2024">
        <f>'Base variables computation'!E14+IF('Base variables computation'!E15=0,0,'Base variables computation'!E15/'Vehicle manufacturing'!E31)</f>
        <v>104.4</v>
      </c>
      <c r="F5" s="2024">
        <f>'Base variables computation'!F14+IF('Base variables computation'!F15=0,0,'Base variables computation'!F15/'Vehicle manufacturing'!F31)</f>
        <v>111.04596037648545</v>
      </c>
      <c r="G5" s="2024">
        <f>'Base variables computation'!G14+IF('Base variables computation'!G15=0,0,'Base variables computation'!G15/'Vehicle manufacturing'!G31)</f>
        <v>99</v>
      </c>
      <c r="H5" s="2024">
        <f>'Base variables computation'!H14+IF('Base variables computation'!H15=0,0,'Base variables computation'!H15/'Vehicle manufacturing'!H31)</f>
        <v>109.24251334824905</v>
      </c>
      <c r="I5" s="2024">
        <f>'Base variables computation'!I14+IF('Base variables computation'!I15=0,0,'Base variables computation'!I15/'Vehicle manufacturing'!I31)</f>
        <v>104.4</v>
      </c>
      <c r="J5" s="2024">
        <f>'Base variables computation'!J14+IF('Base variables computation'!J15=0,0,'Base variables computation'!J15/'Vehicle manufacturing'!J31)</f>
        <v>108.94251334824904</v>
      </c>
      <c r="K5" s="2024">
        <f>'Base variables computation'!K14+IF('Base variables computation'!K15=0,0,'Base variables computation'!K15/'Vehicle manufacturing'!K31)</f>
        <v>350</v>
      </c>
      <c r="L5" s="2024">
        <f>'Base variables computation'!L14+IF('Base variables computation'!L15=0,0,'Base variables computation'!L15/'Vehicle manufacturing'!L31)</f>
        <v>370.11490094121359</v>
      </c>
      <c r="M5" s="2024">
        <f>'Base variables computation'!M14+IF('Base variables computation'!M15=0,0,'Base variables computation'!M15/'Vehicle manufacturing'!M31)</f>
        <v>6805</v>
      </c>
      <c r="N5" s="2024">
        <f>'Base variables computation'!N14+IF('Base variables computation'!N15=0,0,'Base variables computation'!N15/'Vehicle manufacturing'!N31)</f>
        <v>9950</v>
      </c>
      <c r="O5" s="2024">
        <f>'Base variables computation'!O14+IF('Base variables computation'!O15=0,0,'Base variables computation'!O15/'Vehicle manufacturing'!O31)</f>
        <v>6805</v>
      </c>
      <c r="P5" s="2024">
        <f>'Base variables computation'!P14+IF('Base variables computation'!P15=0,0,'Base variables computation'!P15/'Vehicle manufacturing'!P31)</f>
        <v>9950</v>
      </c>
      <c r="Q5" s="2024">
        <f>'Base variables computation'!Q14+IF('Base variables computation'!Q15=0,0,'Base variables computation'!Q15/'Vehicle manufacturing'!Q31)</f>
        <v>10052.883716004946</v>
      </c>
      <c r="R5" s="2024">
        <f>'Base variables computation'!R14+IF('Base variables computation'!R15=0,0,'Base variables computation'!R15/'Vehicle manufacturing'!R31)</f>
        <v>13595.190688808902</v>
      </c>
      <c r="S5" s="2024">
        <f>'Base variables computation'!S14+IF('Base variables computation'!S15=0,0,'Base variables computation'!S15/'Vehicle manufacturing'!S31)</f>
        <v>10052.883716004946</v>
      </c>
      <c r="T5" s="2024">
        <f>'Base variables computation'!T14+IF('Base variables computation'!T15=0,0,'Base variables computation'!T15/'Vehicle manufacturing'!T31)</f>
        <v>13595.190688808902</v>
      </c>
      <c r="U5" s="2024">
        <f>'Base variables computation'!U14+IF('Base variables computation'!U15=0,0,'Base variables computation'!U15/'Vehicle manufacturing'!U31)</f>
        <v>9950</v>
      </c>
      <c r="V5" s="2024">
        <f>'Base variables computation'!V14+IF('Base variables computation'!V15=0,0,'Base variables computation'!V15/'Vehicle manufacturing'!V31)</f>
        <v>13948.903090787806</v>
      </c>
      <c r="W5" s="2024">
        <f>'Base variables computation'!W14+IF('Base variables computation'!W15=0,0,'Base variables computation'!W15/'Vehicle manufacturing'!W31)</f>
        <v>10157.051162133992</v>
      </c>
      <c r="X5" s="2024">
        <f>'Base variables computation'!X14+IF('Base variables computation'!X15=0,0,'Base variables computation'!X15/'Vehicle manufacturing'!X31)</f>
        <v>1300</v>
      </c>
      <c r="Y5" s="2024">
        <f>'Base variables computation'!Y14+IF('Base variables computation'!Y15=0,0,'Base variables computation'!Y15/'Vehicle manufacturing'!Y31)</f>
        <v>1520.4596037648544</v>
      </c>
      <c r="Z5" s="2024">
        <f>'Base variables computation'!Z14+IF('Base variables computation'!Z15=0,0,'Base variables computation'!Z15/'Vehicle manufacturing'!Z31)</f>
        <v>1300</v>
      </c>
      <c r="AA5" s="2024">
        <f>'Base variables computation'!AA14+IF('Base variables computation'!AA15=0,0,'Base variables computation'!AA15/'Vehicle manufacturing'!AA31)</f>
        <v>1590.5745047060682</v>
      </c>
      <c r="AB5" s="2024">
        <f>'Base variables computation'!AB14+IF('Base variables computation'!AB15=0,0,'Base variables computation'!AB15/'Vehicle manufacturing'!AB31)</f>
        <v>186000</v>
      </c>
    </row>
    <row r="6" spans="1:31" x14ac:dyDescent="0.45">
      <c r="A6" s="1416"/>
      <c r="B6" s="1968"/>
      <c r="C6" s="1968"/>
      <c r="D6" s="1968"/>
      <c r="E6" s="1968"/>
      <c r="F6" s="1968"/>
      <c r="G6" s="1968"/>
      <c r="H6" s="1968"/>
      <c r="I6" s="1968"/>
      <c r="J6" s="1968"/>
      <c r="K6" s="1968"/>
      <c r="L6" s="1968"/>
      <c r="M6" s="1968"/>
      <c r="N6" s="1968"/>
      <c r="O6" s="1968"/>
      <c r="P6" s="1968"/>
      <c r="Q6" s="1968"/>
      <c r="R6" s="1968"/>
      <c r="S6" s="1968"/>
      <c r="T6" s="1968"/>
      <c r="U6" s="1968"/>
      <c r="V6" s="1968"/>
      <c r="W6" s="1969"/>
      <c r="X6" s="1968"/>
      <c r="Y6" s="1968"/>
      <c r="Z6" s="1968"/>
      <c r="AA6" s="1968"/>
      <c r="AB6" s="1968"/>
    </row>
    <row r="7" spans="1:31" x14ac:dyDescent="0.45">
      <c r="A7" s="1416"/>
      <c r="B7" s="1968"/>
      <c r="C7" s="1968"/>
      <c r="D7" s="1968"/>
      <c r="E7" s="1968"/>
      <c r="F7" s="1968"/>
      <c r="G7" s="1968"/>
      <c r="H7" s="1968"/>
      <c r="I7" s="1968"/>
      <c r="J7" s="1968"/>
      <c r="K7" s="1968"/>
      <c r="L7" s="1968"/>
      <c r="M7" s="1968"/>
      <c r="N7" s="1968"/>
      <c r="O7" s="1968"/>
      <c r="P7" s="1968"/>
      <c r="Q7" s="1968"/>
      <c r="R7" s="1968"/>
      <c r="S7" s="1968"/>
      <c r="T7" s="1968"/>
      <c r="U7" s="1968"/>
      <c r="V7" s="1968"/>
      <c r="W7" s="1969"/>
      <c r="X7" s="1968"/>
      <c r="Y7" s="1968"/>
      <c r="Z7" s="1968"/>
      <c r="AA7" s="1968"/>
      <c r="AB7" s="1968"/>
    </row>
    <row r="8" spans="1:31" x14ac:dyDescent="0.45">
      <c r="A8" s="1418" t="s">
        <v>343</v>
      </c>
      <c r="B8" s="2017" t="s">
        <v>1061</v>
      </c>
      <c r="C8" s="2017"/>
      <c r="D8" s="2017"/>
      <c r="E8" s="2017"/>
      <c r="F8" s="2017"/>
      <c r="G8" s="2017"/>
      <c r="H8" s="2017"/>
      <c r="I8" s="2017"/>
      <c r="J8" s="2017"/>
      <c r="K8" s="2017"/>
      <c r="L8" s="2017"/>
      <c r="M8" s="2017"/>
      <c r="N8" s="2017"/>
      <c r="O8" s="2017"/>
      <c r="P8" s="2017"/>
      <c r="Q8" s="2017"/>
      <c r="R8" s="2017"/>
      <c r="S8" s="2017"/>
      <c r="T8" s="2017"/>
      <c r="U8" s="2017"/>
      <c r="V8" s="2017"/>
      <c r="W8" s="2051"/>
      <c r="X8" s="2017"/>
      <c r="Y8" s="2017"/>
      <c r="Z8" s="2017"/>
      <c r="AA8" s="2017"/>
      <c r="AB8" s="2017"/>
    </row>
    <row r="9" spans="1:31" x14ac:dyDescent="0.45">
      <c r="A9" s="1419" t="s">
        <v>357</v>
      </c>
      <c r="B9" s="2017" t="s">
        <v>355</v>
      </c>
      <c r="C9" s="2017">
        <f>'Base inputs'!C39</f>
        <v>0</v>
      </c>
      <c r="D9" s="2017">
        <f>'Base inputs'!D39</f>
        <v>0</v>
      </c>
      <c r="E9" s="2017">
        <f>'Base inputs'!E39</f>
        <v>0</v>
      </c>
      <c r="F9" s="2017">
        <f>'Base inputs'!F39</f>
        <v>0</v>
      </c>
      <c r="G9" s="2017">
        <f>'Base inputs'!G39</f>
        <v>0</v>
      </c>
      <c r="H9" s="2017">
        <f>'Base inputs'!H39</f>
        <v>0</v>
      </c>
      <c r="I9" s="2017">
        <f>'Base inputs'!I39</f>
        <v>0</v>
      </c>
      <c r="J9" s="2017">
        <f>'Base inputs'!J39</f>
        <v>0</v>
      </c>
      <c r="K9" s="2017">
        <f>'Base inputs'!K39</f>
        <v>0</v>
      </c>
      <c r="L9" s="2017">
        <f>'Base inputs'!L39</f>
        <v>0</v>
      </c>
      <c r="M9" s="2017">
        <f>'Base inputs'!M39</f>
        <v>0</v>
      </c>
      <c r="N9" s="2017">
        <f>'Base inputs'!N39</f>
        <v>0</v>
      </c>
      <c r="O9" s="2017">
        <f>'Base inputs'!O39</f>
        <v>0</v>
      </c>
      <c r="P9" s="2017">
        <f>'Base inputs'!P39</f>
        <v>0</v>
      </c>
      <c r="Q9" s="2017">
        <f>'Base inputs'!Q39</f>
        <v>0</v>
      </c>
      <c r="R9" s="2017">
        <f>'Base inputs'!R39</f>
        <v>0</v>
      </c>
      <c r="S9" s="2017">
        <f>'Base inputs'!S39</f>
        <v>0</v>
      </c>
      <c r="T9" s="2017">
        <f>'Base inputs'!T39</f>
        <v>0</v>
      </c>
      <c r="U9" s="2017">
        <f>'Base inputs'!U39</f>
        <v>0</v>
      </c>
      <c r="V9" s="2017">
        <f>'Base inputs'!V39</f>
        <v>0</v>
      </c>
      <c r="W9" s="2017">
        <f>'Base inputs'!W39</f>
        <v>0</v>
      </c>
      <c r="X9" s="2017">
        <f>'Base inputs'!X39</f>
        <v>0</v>
      </c>
      <c r="Y9" s="2017">
        <f>'Base inputs'!Y39</f>
        <v>0</v>
      </c>
      <c r="Z9" s="2017">
        <f>'Base inputs'!Z39</f>
        <v>0</v>
      </c>
      <c r="AA9" s="2017">
        <f>'Base inputs'!AA39</f>
        <v>0</v>
      </c>
      <c r="AB9" s="2017">
        <f>'Base inputs'!AB39</f>
        <v>0</v>
      </c>
    </row>
    <row r="10" spans="1:31" x14ac:dyDescent="0.45">
      <c r="A10" s="1419" t="s">
        <v>1062</v>
      </c>
      <c r="B10" s="2017" t="s">
        <v>355</v>
      </c>
      <c r="C10" s="2017">
        <f>'Base inputs'!C40</f>
        <v>0</v>
      </c>
      <c r="D10" s="2017">
        <f>'Base inputs'!D40</f>
        <v>0</v>
      </c>
      <c r="E10" s="2017">
        <f>'Base inputs'!E40</f>
        <v>0</v>
      </c>
      <c r="F10" s="2017">
        <f>'Base inputs'!F40</f>
        <v>0</v>
      </c>
      <c r="G10" s="2017">
        <f>'Base inputs'!G40</f>
        <v>0</v>
      </c>
      <c r="H10" s="2017">
        <f>'Base inputs'!H40</f>
        <v>0</v>
      </c>
      <c r="I10" s="2017">
        <f>'Base inputs'!I40</f>
        <v>0</v>
      </c>
      <c r="J10" s="2017">
        <f>'Base inputs'!J40</f>
        <v>0</v>
      </c>
      <c r="K10" s="2017">
        <f>'Base inputs'!K40</f>
        <v>0</v>
      </c>
      <c r="L10" s="2017">
        <f>'Base inputs'!L40</f>
        <v>0</v>
      </c>
      <c r="M10" s="2017">
        <f>'Base inputs'!M40</f>
        <v>5000</v>
      </c>
      <c r="N10" s="2017">
        <f>'Base inputs'!N40</f>
        <v>5000</v>
      </c>
      <c r="O10" s="2017">
        <f>'Base inputs'!O40</f>
        <v>5000</v>
      </c>
      <c r="P10" s="2017">
        <f>'Base inputs'!P40</f>
        <v>5000</v>
      </c>
      <c r="Q10" s="2017">
        <f>'Base inputs'!Q40</f>
        <v>5000</v>
      </c>
      <c r="R10" s="2017">
        <f>'Base inputs'!R40</f>
        <v>5000</v>
      </c>
      <c r="S10" s="2017">
        <f>'Base inputs'!S40</f>
        <v>5000</v>
      </c>
      <c r="T10" s="2017">
        <f>'Base inputs'!T40</f>
        <v>5000</v>
      </c>
      <c r="U10" s="2017">
        <f>'Base inputs'!U40</f>
        <v>5000</v>
      </c>
      <c r="V10" s="2017">
        <f>'Base inputs'!V40</f>
        <v>5000</v>
      </c>
      <c r="W10" s="2017">
        <f>'Base inputs'!W40</f>
        <v>5000</v>
      </c>
      <c r="X10" s="2017">
        <f>'Base inputs'!X40</f>
        <v>5000</v>
      </c>
      <c r="Y10" s="2017">
        <f>'Base inputs'!Y40</f>
        <v>5000</v>
      </c>
      <c r="Z10" s="2017">
        <f>'Base inputs'!Z40</f>
        <v>5000</v>
      </c>
      <c r="AA10" s="2017">
        <f>'Base inputs'!AA40</f>
        <v>5000</v>
      </c>
      <c r="AB10" s="2017">
        <f>'Base inputs'!AB40</f>
        <v>5000</v>
      </c>
    </row>
    <row r="11" spans="1:31" x14ac:dyDescent="0.45">
      <c r="A11" s="1419" t="s">
        <v>1062</v>
      </c>
      <c r="B11" s="2017" t="s">
        <v>359</v>
      </c>
      <c r="C11" s="2017">
        <f>'Base inputs'!C41</f>
        <v>0</v>
      </c>
      <c r="D11" s="2017">
        <f>'Base inputs'!D41</f>
        <v>0</v>
      </c>
      <c r="E11" s="2017">
        <f>'Base inputs'!E41</f>
        <v>0</v>
      </c>
      <c r="F11" s="2017">
        <f>'Base inputs'!F41</f>
        <v>0</v>
      </c>
      <c r="G11" s="2017">
        <f>'Base inputs'!G41</f>
        <v>0</v>
      </c>
      <c r="H11" s="2017">
        <f>'Base inputs'!H41</f>
        <v>0</v>
      </c>
      <c r="I11" s="2017">
        <f>'Base inputs'!I41</f>
        <v>0</v>
      </c>
      <c r="J11" s="2017">
        <f>'Base inputs'!J41</f>
        <v>0</v>
      </c>
      <c r="K11" s="2017">
        <f>'Base inputs'!K41</f>
        <v>0</v>
      </c>
      <c r="L11" s="2017">
        <f>'Base inputs'!L41</f>
        <v>0</v>
      </c>
      <c r="M11" s="2017">
        <f>'Base inputs'!M41</f>
        <v>0</v>
      </c>
      <c r="N11" s="2017">
        <f>'Base inputs'!N41</f>
        <v>0</v>
      </c>
      <c r="O11" s="2017">
        <f>'Base inputs'!O41</f>
        <v>0</v>
      </c>
      <c r="P11" s="2017">
        <f>'Base inputs'!P41</f>
        <v>0</v>
      </c>
      <c r="Q11" s="2017">
        <f>'Base inputs'!Q41</f>
        <v>0</v>
      </c>
      <c r="R11" s="2017">
        <f>'Base inputs'!R41</f>
        <v>0</v>
      </c>
      <c r="S11" s="2017">
        <f>'Base inputs'!S41</f>
        <v>0</v>
      </c>
      <c r="T11" s="2017">
        <f>'Base inputs'!T41</f>
        <v>0</v>
      </c>
      <c r="U11" s="2017">
        <f>'Base inputs'!U41</f>
        <v>0</v>
      </c>
      <c r="V11" s="2017">
        <f>'Base inputs'!V41</f>
        <v>0</v>
      </c>
      <c r="W11" s="2017">
        <f>'Base inputs'!W41</f>
        <v>0</v>
      </c>
      <c r="X11" s="2017">
        <f>'Base inputs'!X41</f>
        <v>0</v>
      </c>
      <c r="Y11" s="2017">
        <f>'Base inputs'!Y41</f>
        <v>0</v>
      </c>
      <c r="Z11" s="2017">
        <f>'Base inputs'!Z41</f>
        <v>0</v>
      </c>
      <c r="AA11" s="2017">
        <f>'Base inputs'!AA41</f>
        <v>0</v>
      </c>
      <c r="AB11" s="2017">
        <f>'Base inputs'!AB41</f>
        <v>0</v>
      </c>
    </row>
    <row r="12" spans="1:31" x14ac:dyDescent="0.45">
      <c r="A12" s="1419" t="s">
        <v>358</v>
      </c>
      <c r="B12" s="2017" t="s">
        <v>355</v>
      </c>
      <c r="C12" s="2017">
        <f>'Base inputs'!C42</f>
        <v>0</v>
      </c>
      <c r="D12" s="2017">
        <f>'Base inputs'!D42</f>
        <v>0</v>
      </c>
      <c r="E12" s="2017">
        <f>'Base inputs'!E42</f>
        <v>0</v>
      </c>
      <c r="F12" s="2017">
        <f>'Base inputs'!F42</f>
        <v>0</v>
      </c>
      <c r="G12" s="2017">
        <f>'Base inputs'!G42</f>
        <v>0</v>
      </c>
      <c r="H12" s="2017">
        <f>'Base inputs'!H42</f>
        <v>0</v>
      </c>
      <c r="I12" s="2017">
        <f>'Base inputs'!I42</f>
        <v>0</v>
      </c>
      <c r="J12" s="2017">
        <f>'Base inputs'!J42</f>
        <v>0</v>
      </c>
      <c r="K12" s="2017">
        <f>'Base inputs'!K42</f>
        <v>0</v>
      </c>
      <c r="L12" s="2017">
        <f>'Base inputs'!L42</f>
        <v>0</v>
      </c>
      <c r="M12" s="2017">
        <f>'Base inputs'!M42</f>
        <v>0</v>
      </c>
      <c r="N12" s="2017">
        <f>'Base inputs'!N42</f>
        <v>0</v>
      </c>
      <c r="O12" s="2017">
        <f>'Base inputs'!O42</f>
        <v>0</v>
      </c>
      <c r="P12" s="2017">
        <f>'Base inputs'!P42</f>
        <v>0</v>
      </c>
      <c r="Q12" s="2017">
        <f>'Base inputs'!Q42</f>
        <v>0</v>
      </c>
      <c r="R12" s="2017">
        <f>'Base inputs'!R42</f>
        <v>0</v>
      </c>
      <c r="S12" s="2017">
        <f>'Base inputs'!S42</f>
        <v>0</v>
      </c>
      <c r="T12" s="2017">
        <f>'Base inputs'!T42</f>
        <v>0</v>
      </c>
      <c r="U12" s="2017">
        <f>'Base inputs'!U42</f>
        <v>0</v>
      </c>
      <c r="V12" s="2017">
        <f>'Base inputs'!V42</f>
        <v>0</v>
      </c>
      <c r="W12" s="2017">
        <f>'Base inputs'!W42</f>
        <v>0</v>
      </c>
      <c r="X12" s="2017">
        <f>'Base inputs'!X42</f>
        <v>0</v>
      </c>
      <c r="Y12" s="2017">
        <f>'Base inputs'!Y42</f>
        <v>0</v>
      </c>
      <c r="Z12" s="2017">
        <f>'Base inputs'!Z42</f>
        <v>0</v>
      </c>
      <c r="AA12" s="2017">
        <f>'Base inputs'!AA42</f>
        <v>0</v>
      </c>
      <c r="AB12" s="2017">
        <f>'Base inputs'!AB42</f>
        <v>0</v>
      </c>
    </row>
    <row r="13" spans="1:31" x14ac:dyDescent="0.45">
      <c r="A13" s="1419" t="s">
        <v>358</v>
      </c>
      <c r="B13" s="2017" t="s">
        <v>359</v>
      </c>
      <c r="C13" s="2017">
        <f>'Base inputs'!C43</f>
        <v>0</v>
      </c>
      <c r="D13" s="2017">
        <f>'Base inputs'!D43</f>
        <v>0</v>
      </c>
      <c r="E13" s="2017">
        <f>'Base inputs'!E43</f>
        <v>0</v>
      </c>
      <c r="F13" s="2017">
        <f>'Base inputs'!F43</f>
        <v>0</v>
      </c>
      <c r="G13" s="2017">
        <f>'Base inputs'!G43</f>
        <v>0</v>
      </c>
      <c r="H13" s="2017">
        <f>'Base inputs'!H43</f>
        <v>0</v>
      </c>
      <c r="I13" s="2017">
        <f>'Base inputs'!I43</f>
        <v>0</v>
      </c>
      <c r="J13" s="2017">
        <f>'Base inputs'!J43</f>
        <v>0</v>
      </c>
      <c r="K13" s="2017">
        <f>'Base inputs'!K43</f>
        <v>0</v>
      </c>
      <c r="L13" s="2017">
        <f>'Base inputs'!L43</f>
        <v>0</v>
      </c>
      <c r="M13" s="2017">
        <f>'Base inputs'!M43</f>
        <v>1000</v>
      </c>
      <c r="N13" s="2017">
        <f>'Base inputs'!N43</f>
        <v>1000</v>
      </c>
      <c r="O13" s="2017">
        <f>'Base inputs'!O43</f>
        <v>1000</v>
      </c>
      <c r="P13" s="2017">
        <f>'Base inputs'!P43</f>
        <v>1000</v>
      </c>
      <c r="Q13" s="2017">
        <f>'Base inputs'!Q43</f>
        <v>1000</v>
      </c>
      <c r="R13" s="2017">
        <f>'Base inputs'!R43</f>
        <v>1000</v>
      </c>
      <c r="S13" s="2017">
        <f>'Base inputs'!S43</f>
        <v>1000</v>
      </c>
      <c r="T13" s="2017">
        <f>'Base inputs'!T43</f>
        <v>1000</v>
      </c>
      <c r="U13" s="2017">
        <f>'Base inputs'!U43</f>
        <v>1000</v>
      </c>
      <c r="V13" s="2017">
        <f>'Base inputs'!V43</f>
        <v>1000</v>
      </c>
      <c r="W13" s="2017">
        <f>'Base inputs'!W43</f>
        <v>1000</v>
      </c>
      <c r="X13" s="2017">
        <f>'Base inputs'!X43</f>
        <v>1000</v>
      </c>
      <c r="Y13" s="2017">
        <f>'Base inputs'!Y43</f>
        <v>1000</v>
      </c>
      <c r="Z13" s="2017">
        <f>'Base inputs'!Z43</f>
        <v>1000</v>
      </c>
      <c r="AA13" s="2017">
        <f>'Base inputs'!AA43</f>
        <v>1000</v>
      </c>
      <c r="AB13" s="2017">
        <f>'Base inputs'!AB43</f>
        <v>1000</v>
      </c>
    </row>
    <row r="14" spans="1:31" x14ac:dyDescent="0.45">
      <c r="A14" s="1419" t="s">
        <v>360</v>
      </c>
      <c r="B14" s="2017" t="s">
        <v>355</v>
      </c>
      <c r="C14" s="2017">
        <f>'Base inputs'!C44</f>
        <v>4000</v>
      </c>
      <c r="D14" s="2017">
        <f>'Base inputs'!D44</f>
        <v>4000</v>
      </c>
      <c r="E14" s="2017">
        <f>'Base inputs'!E44</f>
        <v>4000</v>
      </c>
      <c r="F14" s="2017">
        <f>'Base inputs'!F44</f>
        <v>4000</v>
      </c>
      <c r="G14" s="2017">
        <f>'Base inputs'!G44</f>
        <v>4000</v>
      </c>
      <c r="H14" s="2017">
        <f>'Base inputs'!H44</f>
        <v>4000</v>
      </c>
      <c r="I14" s="2017">
        <f>'Base inputs'!I44</f>
        <v>4000</v>
      </c>
      <c r="J14" s="2017">
        <f>'Base inputs'!J44</f>
        <v>4000</v>
      </c>
      <c r="K14" s="2017">
        <f>'Base inputs'!K44</f>
        <v>4000</v>
      </c>
      <c r="L14" s="2017">
        <f>'Base inputs'!L44</f>
        <v>4000</v>
      </c>
      <c r="M14" s="2017">
        <f>'Base inputs'!M44</f>
        <v>0</v>
      </c>
      <c r="N14" s="2017">
        <f>'Base inputs'!N44</f>
        <v>0</v>
      </c>
      <c r="O14" s="2017">
        <f>'Base inputs'!O44</f>
        <v>0</v>
      </c>
      <c r="P14" s="2017">
        <f>'Base inputs'!P44</f>
        <v>0</v>
      </c>
      <c r="Q14" s="2017">
        <f>'Base inputs'!Q44</f>
        <v>0</v>
      </c>
      <c r="R14" s="2017">
        <f>'Base inputs'!R44</f>
        <v>0</v>
      </c>
      <c r="S14" s="2017">
        <f>'Base inputs'!S44</f>
        <v>0</v>
      </c>
      <c r="T14" s="2017">
        <f>'Base inputs'!T44</f>
        <v>0</v>
      </c>
      <c r="U14" s="2017">
        <f>'Base inputs'!U44</f>
        <v>0</v>
      </c>
      <c r="V14" s="2017">
        <f>'Base inputs'!V44</f>
        <v>0</v>
      </c>
      <c r="W14" s="2017">
        <f>'Base inputs'!W44</f>
        <v>0</v>
      </c>
      <c r="X14" s="2017">
        <f>'Base inputs'!X44</f>
        <v>0</v>
      </c>
      <c r="Y14" s="2017">
        <f>'Base inputs'!Y44</f>
        <v>0</v>
      </c>
      <c r="Z14" s="2017">
        <f>'Base inputs'!Z44</f>
        <v>0</v>
      </c>
      <c r="AA14" s="2017">
        <f>'Base inputs'!AA44</f>
        <v>0</v>
      </c>
      <c r="AB14" s="2017">
        <f>'Base inputs'!AB44</f>
        <v>0</v>
      </c>
    </row>
    <row r="15" spans="1:31" x14ac:dyDescent="0.45">
      <c r="A15" s="1419" t="s">
        <v>360</v>
      </c>
      <c r="B15" s="2017" t="s">
        <v>359</v>
      </c>
      <c r="C15" s="2017">
        <f>'Base inputs'!C45</f>
        <v>0</v>
      </c>
      <c r="D15" s="2017">
        <f>'Base inputs'!D45</f>
        <v>0</v>
      </c>
      <c r="E15" s="2017">
        <f>'Base inputs'!E45</f>
        <v>0</v>
      </c>
      <c r="F15" s="2017">
        <f>'Base inputs'!F45</f>
        <v>0</v>
      </c>
      <c r="G15" s="2017">
        <f>'Base inputs'!G45</f>
        <v>0</v>
      </c>
      <c r="H15" s="2017">
        <f>'Base inputs'!H45</f>
        <v>0</v>
      </c>
      <c r="I15" s="2017">
        <f>'Base inputs'!I45</f>
        <v>0</v>
      </c>
      <c r="J15" s="2017">
        <f>'Base inputs'!J45</f>
        <v>0</v>
      </c>
      <c r="K15" s="2017">
        <f>'Base inputs'!K45</f>
        <v>0</v>
      </c>
      <c r="L15" s="2017">
        <f>'Base inputs'!L45</f>
        <v>0</v>
      </c>
      <c r="M15" s="2017">
        <f>'Base inputs'!M45</f>
        <v>0</v>
      </c>
      <c r="N15" s="2017">
        <f>'Base inputs'!N45</f>
        <v>0</v>
      </c>
      <c r="O15" s="2017">
        <f>'Base inputs'!O45</f>
        <v>0</v>
      </c>
      <c r="P15" s="2017">
        <f>'Base inputs'!P45</f>
        <v>0</v>
      </c>
      <c r="Q15" s="2017">
        <f>'Base inputs'!Q45</f>
        <v>0</v>
      </c>
      <c r="R15" s="2017">
        <f>'Base inputs'!R45</f>
        <v>0</v>
      </c>
      <c r="S15" s="2017">
        <f>'Base inputs'!S45</f>
        <v>0</v>
      </c>
      <c r="T15" s="2017">
        <f>'Base inputs'!T45</f>
        <v>0</v>
      </c>
      <c r="U15" s="2017">
        <f>'Base inputs'!U45</f>
        <v>0</v>
      </c>
      <c r="V15" s="2017">
        <f>'Base inputs'!V45</f>
        <v>0</v>
      </c>
      <c r="W15" s="2017">
        <f>'Base inputs'!W45</f>
        <v>0</v>
      </c>
      <c r="X15" s="2017">
        <f>'Base inputs'!X45</f>
        <v>0</v>
      </c>
      <c r="Y15" s="2017">
        <f>'Base inputs'!Y45</f>
        <v>0</v>
      </c>
      <c r="Z15" s="2017">
        <f>'Base inputs'!Z45</f>
        <v>0</v>
      </c>
      <c r="AA15" s="2017">
        <f>'Base inputs'!AA45</f>
        <v>0</v>
      </c>
      <c r="AB15" s="2017">
        <f>'Base inputs'!AB45</f>
        <v>0</v>
      </c>
    </row>
    <row r="16" spans="1:31" x14ac:dyDescent="0.45">
      <c r="A16" s="1419" t="s">
        <v>361</v>
      </c>
      <c r="B16" s="2017" t="s">
        <v>355</v>
      </c>
      <c r="C16" s="2017">
        <f>'Base inputs'!C46</f>
        <v>0</v>
      </c>
      <c r="D16" s="2017">
        <f>'Base inputs'!D46</f>
        <v>0</v>
      </c>
      <c r="E16" s="2017">
        <f>'Base inputs'!E46</f>
        <v>0</v>
      </c>
      <c r="F16" s="2017">
        <f>'Base inputs'!F46</f>
        <v>0</v>
      </c>
      <c r="G16" s="2017">
        <f>'Base inputs'!G46</f>
        <v>0</v>
      </c>
      <c r="H16" s="2017">
        <f>'Base inputs'!H46</f>
        <v>0</v>
      </c>
      <c r="I16" s="2017">
        <f>'Base inputs'!I46</f>
        <v>0</v>
      </c>
      <c r="J16" s="2017">
        <f>'Base inputs'!J46</f>
        <v>0</v>
      </c>
      <c r="K16" s="2017">
        <f>'Base inputs'!K46</f>
        <v>0</v>
      </c>
      <c r="L16" s="2017">
        <f>'Base inputs'!L46</f>
        <v>0</v>
      </c>
      <c r="M16" s="2017">
        <f>'Base inputs'!M46</f>
        <v>0</v>
      </c>
      <c r="N16" s="2017">
        <f>'Base inputs'!N46</f>
        <v>0</v>
      </c>
      <c r="O16" s="2017">
        <f>'Base inputs'!O46</f>
        <v>0</v>
      </c>
      <c r="P16" s="2017">
        <f>'Base inputs'!P46</f>
        <v>0</v>
      </c>
      <c r="Q16" s="2017">
        <f>'Base inputs'!Q46</f>
        <v>0</v>
      </c>
      <c r="R16" s="2017">
        <f>'Base inputs'!R46</f>
        <v>0</v>
      </c>
      <c r="S16" s="2017">
        <f>'Base inputs'!S46</f>
        <v>0</v>
      </c>
      <c r="T16" s="2017">
        <f>'Base inputs'!T46</f>
        <v>0</v>
      </c>
      <c r="U16" s="2017">
        <f>'Base inputs'!U46</f>
        <v>0</v>
      </c>
      <c r="V16" s="2017">
        <f>'Base inputs'!V46</f>
        <v>0</v>
      </c>
      <c r="W16" s="2017">
        <f>'Base inputs'!W46</f>
        <v>0</v>
      </c>
      <c r="X16" s="2017">
        <f>'Base inputs'!X46</f>
        <v>0</v>
      </c>
      <c r="Y16" s="2017">
        <f>'Base inputs'!Y46</f>
        <v>0</v>
      </c>
      <c r="Z16" s="2017">
        <f>'Base inputs'!Z46</f>
        <v>0</v>
      </c>
      <c r="AA16" s="2017">
        <f>'Base inputs'!AA46</f>
        <v>0</v>
      </c>
      <c r="AB16" s="2017">
        <f>'Base inputs'!AB46</f>
        <v>0</v>
      </c>
    </row>
    <row r="17" spans="1:28" x14ac:dyDescent="0.45">
      <c r="A17" s="1419" t="s">
        <v>361</v>
      </c>
      <c r="B17" s="2017" t="s">
        <v>359</v>
      </c>
      <c r="C17" s="2017">
        <f>'Base inputs'!C47</f>
        <v>0</v>
      </c>
      <c r="D17" s="2017">
        <f>'Base inputs'!D47</f>
        <v>0</v>
      </c>
      <c r="E17" s="2017">
        <f>'Base inputs'!E47</f>
        <v>0</v>
      </c>
      <c r="F17" s="2017">
        <f>'Base inputs'!F47</f>
        <v>0</v>
      </c>
      <c r="G17" s="2017">
        <f>'Base inputs'!G47</f>
        <v>0</v>
      </c>
      <c r="H17" s="2017">
        <f>'Base inputs'!H47</f>
        <v>0</v>
      </c>
      <c r="I17" s="2017">
        <f>'Base inputs'!I47</f>
        <v>0</v>
      </c>
      <c r="J17" s="2017">
        <f>'Base inputs'!J47</f>
        <v>0</v>
      </c>
      <c r="K17" s="2017">
        <f>'Base inputs'!K47</f>
        <v>0</v>
      </c>
      <c r="L17" s="2017">
        <f>'Base inputs'!L47</f>
        <v>0</v>
      </c>
      <c r="M17" s="2017">
        <f>'Base inputs'!M47</f>
        <v>0</v>
      </c>
      <c r="N17" s="2017">
        <f>'Base inputs'!N47</f>
        <v>0</v>
      </c>
      <c r="O17" s="2017">
        <f>'Base inputs'!O47</f>
        <v>0</v>
      </c>
      <c r="P17" s="2017">
        <f>'Base inputs'!P47</f>
        <v>0</v>
      </c>
      <c r="Q17" s="2017">
        <f>'Base inputs'!Q47</f>
        <v>0</v>
      </c>
      <c r="R17" s="2017">
        <f>'Base inputs'!R47</f>
        <v>0</v>
      </c>
      <c r="S17" s="2017">
        <f>'Base inputs'!S47</f>
        <v>0</v>
      </c>
      <c r="T17" s="2017">
        <f>'Base inputs'!T47</f>
        <v>0</v>
      </c>
      <c r="U17" s="2017">
        <f>'Base inputs'!U47</f>
        <v>0</v>
      </c>
      <c r="V17" s="2017">
        <f>'Base inputs'!V47</f>
        <v>0</v>
      </c>
      <c r="W17" s="2017">
        <f>'Base inputs'!W47</f>
        <v>0</v>
      </c>
      <c r="X17" s="2017">
        <f>'Base inputs'!X47</f>
        <v>0</v>
      </c>
      <c r="Y17" s="2017">
        <f>'Base inputs'!Y47</f>
        <v>0</v>
      </c>
      <c r="Z17" s="2017">
        <f>'Base inputs'!Z47</f>
        <v>0</v>
      </c>
      <c r="AA17" s="2017">
        <f>'Base inputs'!AA47</f>
        <v>0</v>
      </c>
      <c r="AB17" s="2017">
        <f>'Base inputs'!AB47</f>
        <v>0</v>
      </c>
    </row>
    <row r="18" spans="1:28" x14ac:dyDescent="0.45">
      <c r="A18" s="1416"/>
      <c r="B18" s="1968"/>
      <c r="C18" s="1968"/>
      <c r="D18" s="1968"/>
      <c r="E18" s="1968"/>
      <c r="F18" s="1968"/>
      <c r="G18" s="1968"/>
      <c r="H18" s="1968"/>
      <c r="I18" s="1968"/>
      <c r="J18" s="1968"/>
      <c r="K18" s="1968"/>
      <c r="L18" s="1968"/>
      <c r="M18" s="1968"/>
      <c r="N18" s="1968"/>
      <c r="O18" s="1968"/>
      <c r="P18" s="1968"/>
      <c r="Q18" s="1968"/>
      <c r="R18" s="1968"/>
      <c r="S18" s="1968"/>
      <c r="T18" s="1968"/>
      <c r="U18" s="1968"/>
      <c r="V18" s="1968"/>
      <c r="W18" s="1969"/>
      <c r="X18" s="1968"/>
      <c r="Y18" s="1968"/>
      <c r="Z18" s="1968"/>
      <c r="AA18" s="1968"/>
      <c r="AB18" s="1968"/>
    </row>
    <row r="19" spans="1:28" x14ac:dyDescent="0.45">
      <c r="A19" s="1420" t="s">
        <v>1063</v>
      </c>
      <c r="B19" s="1968" t="s">
        <v>1064</v>
      </c>
      <c r="C19" s="1968"/>
      <c r="D19" s="1968"/>
      <c r="E19" s="1968"/>
      <c r="F19" s="1968"/>
      <c r="G19" s="1968"/>
      <c r="H19" s="1968"/>
      <c r="I19" s="1968"/>
      <c r="J19" s="1968"/>
      <c r="K19" s="1968"/>
      <c r="L19" s="1968"/>
      <c r="M19" s="1968"/>
      <c r="N19" s="1968"/>
      <c r="O19" s="1968"/>
      <c r="P19" s="1968"/>
      <c r="Q19" s="1968"/>
      <c r="R19" s="1968"/>
      <c r="S19" s="1968"/>
      <c r="T19" s="1968"/>
      <c r="U19" s="1968"/>
      <c r="V19" s="1968"/>
      <c r="W19" s="1969"/>
      <c r="X19" s="1968"/>
      <c r="Y19" s="1968"/>
      <c r="Z19" s="1968"/>
      <c r="AA19" s="1968"/>
      <c r="AB19" s="1968"/>
    </row>
    <row r="20" spans="1:28" x14ac:dyDescent="0.45">
      <c r="A20" s="1417" t="s">
        <v>357</v>
      </c>
      <c r="B20" s="2026" t="s">
        <v>355</v>
      </c>
      <c r="C20" s="2024">
        <f t="shared" ref="C20:AB20" si="0">C$5/10^3*C9</f>
        <v>0</v>
      </c>
      <c r="D20" s="2024">
        <f t="shared" si="0"/>
        <v>0</v>
      </c>
      <c r="E20" s="2024">
        <f t="shared" si="0"/>
        <v>0</v>
      </c>
      <c r="F20" s="2024">
        <f t="shared" si="0"/>
        <v>0</v>
      </c>
      <c r="G20" s="2024">
        <f t="shared" si="0"/>
        <v>0</v>
      </c>
      <c r="H20" s="2024">
        <f t="shared" si="0"/>
        <v>0</v>
      </c>
      <c r="I20" s="2024">
        <f t="shared" si="0"/>
        <v>0</v>
      </c>
      <c r="J20" s="2024">
        <f t="shared" si="0"/>
        <v>0</v>
      </c>
      <c r="K20" s="2024">
        <f t="shared" si="0"/>
        <v>0</v>
      </c>
      <c r="L20" s="2024">
        <f t="shared" si="0"/>
        <v>0</v>
      </c>
      <c r="M20" s="2024">
        <f t="shared" si="0"/>
        <v>0</v>
      </c>
      <c r="N20" s="2024">
        <f t="shared" si="0"/>
        <v>0</v>
      </c>
      <c r="O20" s="2024">
        <f t="shared" si="0"/>
        <v>0</v>
      </c>
      <c r="P20" s="2024">
        <f t="shared" si="0"/>
        <v>0</v>
      </c>
      <c r="Q20" s="2024">
        <f t="shared" si="0"/>
        <v>0</v>
      </c>
      <c r="R20" s="2024">
        <f t="shared" si="0"/>
        <v>0</v>
      </c>
      <c r="S20" s="2024">
        <f t="shared" si="0"/>
        <v>0</v>
      </c>
      <c r="T20" s="2024">
        <f t="shared" si="0"/>
        <v>0</v>
      </c>
      <c r="U20" s="2024">
        <f t="shared" ref="U20:V28" si="1">U$5/10^3*U9</f>
        <v>0</v>
      </c>
      <c r="V20" s="2024">
        <f t="shared" si="1"/>
        <v>0</v>
      </c>
      <c r="W20" s="2024">
        <f t="shared" ref="W20:W28" si="2">W$5/10^3*W9</f>
        <v>0</v>
      </c>
      <c r="X20" s="2024">
        <f t="shared" si="0"/>
        <v>0</v>
      </c>
      <c r="Y20" s="2024">
        <f t="shared" si="0"/>
        <v>0</v>
      </c>
      <c r="Z20" s="2024">
        <f t="shared" si="0"/>
        <v>0</v>
      </c>
      <c r="AA20" s="2024">
        <f t="shared" si="0"/>
        <v>0</v>
      </c>
      <c r="AB20" s="2024">
        <f t="shared" si="0"/>
        <v>0</v>
      </c>
    </row>
    <row r="21" spans="1:28" x14ac:dyDescent="0.45">
      <c r="A21" s="1417" t="s">
        <v>1062</v>
      </c>
      <c r="B21" s="2026" t="s">
        <v>355</v>
      </c>
      <c r="C21" s="2024">
        <f t="shared" ref="C21:AB21" si="3">C$5/10^3*C10</f>
        <v>0</v>
      </c>
      <c r="D21" s="2024">
        <f t="shared" si="3"/>
        <v>0</v>
      </c>
      <c r="E21" s="2024">
        <f t="shared" si="3"/>
        <v>0</v>
      </c>
      <c r="F21" s="2024">
        <f t="shared" si="3"/>
        <v>0</v>
      </c>
      <c r="G21" s="2024">
        <f t="shared" si="3"/>
        <v>0</v>
      </c>
      <c r="H21" s="2024">
        <f t="shared" si="3"/>
        <v>0</v>
      </c>
      <c r="I21" s="2024">
        <f t="shared" si="3"/>
        <v>0</v>
      </c>
      <c r="J21" s="2024">
        <f t="shared" si="3"/>
        <v>0</v>
      </c>
      <c r="K21" s="2024">
        <f t="shared" si="3"/>
        <v>0</v>
      </c>
      <c r="L21" s="2024">
        <f t="shared" si="3"/>
        <v>0</v>
      </c>
      <c r="M21" s="2024">
        <f t="shared" si="3"/>
        <v>34025</v>
      </c>
      <c r="N21" s="2024">
        <f t="shared" si="3"/>
        <v>49750</v>
      </c>
      <c r="O21" s="2024">
        <f t="shared" si="3"/>
        <v>34025</v>
      </c>
      <c r="P21" s="2024">
        <f t="shared" si="3"/>
        <v>49750</v>
      </c>
      <c r="Q21" s="2024">
        <f t="shared" si="3"/>
        <v>50264.418580024729</v>
      </c>
      <c r="R21" s="2024">
        <f t="shared" si="3"/>
        <v>67975.953444044513</v>
      </c>
      <c r="S21" s="2024">
        <f t="shared" si="3"/>
        <v>50264.418580024729</v>
      </c>
      <c r="T21" s="2024">
        <f t="shared" si="3"/>
        <v>67975.953444044513</v>
      </c>
      <c r="U21" s="2024">
        <f t="shared" si="1"/>
        <v>49750</v>
      </c>
      <c r="V21" s="2024">
        <f t="shared" si="1"/>
        <v>69744.515453939021</v>
      </c>
      <c r="W21" s="2024">
        <f t="shared" si="2"/>
        <v>50785.255810669965</v>
      </c>
      <c r="X21" s="2024">
        <f t="shared" si="3"/>
        <v>6500</v>
      </c>
      <c r="Y21" s="2024">
        <f t="shared" si="3"/>
        <v>7602.2980188242718</v>
      </c>
      <c r="Z21" s="2024">
        <f t="shared" si="3"/>
        <v>6500</v>
      </c>
      <c r="AA21" s="2024">
        <f t="shared" si="3"/>
        <v>7952.8725235303409</v>
      </c>
      <c r="AB21" s="2024">
        <f t="shared" si="3"/>
        <v>930000</v>
      </c>
    </row>
    <row r="22" spans="1:28" x14ac:dyDescent="0.45">
      <c r="A22" s="1417" t="s">
        <v>1062</v>
      </c>
      <c r="B22" s="2026" t="s">
        <v>359</v>
      </c>
      <c r="C22" s="2024">
        <f t="shared" ref="C22:AB22" si="4">C$5/10^3*C11</f>
        <v>0</v>
      </c>
      <c r="D22" s="2024">
        <f t="shared" si="4"/>
        <v>0</v>
      </c>
      <c r="E22" s="2024">
        <f t="shared" si="4"/>
        <v>0</v>
      </c>
      <c r="F22" s="2024">
        <f t="shared" si="4"/>
        <v>0</v>
      </c>
      <c r="G22" s="2024">
        <f t="shared" si="4"/>
        <v>0</v>
      </c>
      <c r="H22" s="2024">
        <f t="shared" si="4"/>
        <v>0</v>
      </c>
      <c r="I22" s="2024">
        <f t="shared" si="4"/>
        <v>0</v>
      </c>
      <c r="J22" s="2024">
        <f t="shared" si="4"/>
        <v>0</v>
      </c>
      <c r="K22" s="2024">
        <f t="shared" si="4"/>
        <v>0</v>
      </c>
      <c r="L22" s="2024">
        <f t="shared" si="4"/>
        <v>0</v>
      </c>
      <c r="M22" s="2024">
        <f t="shared" si="4"/>
        <v>0</v>
      </c>
      <c r="N22" s="2024">
        <f t="shared" si="4"/>
        <v>0</v>
      </c>
      <c r="O22" s="2024">
        <f t="shared" si="4"/>
        <v>0</v>
      </c>
      <c r="P22" s="2024">
        <f t="shared" si="4"/>
        <v>0</v>
      </c>
      <c r="Q22" s="2024">
        <f t="shared" si="4"/>
        <v>0</v>
      </c>
      <c r="R22" s="2024">
        <f t="shared" si="4"/>
        <v>0</v>
      </c>
      <c r="S22" s="2024">
        <f t="shared" si="4"/>
        <v>0</v>
      </c>
      <c r="T22" s="2024">
        <f t="shared" si="4"/>
        <v>0</v>
      </c>
      <c r="U22" s="2024">
        <f t="shared" si="1"/>
        <v>0</v>
      </c>
      <c r="V22" s="2024">
        <f t="shared" si="1"/>
        <v>0</v>
      </c>
      <c r="W22" s="2024">
        <f t="shared" si="2"/>
        <v>0</v>
      </c>
      <c r="X22" s="2024">
        <f t="shared" si="4"/>
        <v>0</v>
      </c>
      <c r="Y22" s="2024">
        <f t="shared" si="4"/>
        <v>0</v>
      </c>
      <c r="Z22" s="2024">
        <f t="shared" si="4"/>
        <v>0</v>
      </c>
      <c r="AA22" s="2024">
        <f t="shared" si="4"/>
        <v>0</v>
      </c>
      <c r="AB22" s="2024">
        <f t="shared" si="4"/>
        <v>0</v>
      </c>
    </row>
    <row r="23" spans="1:28" x14ac:dyDescent="0.45">
      <c r="A23" s="1417" t="s">
        <v>358</v>
      </c>
      <c r="B23" s="2026" t="s">
        <v>355</v>
      </c>
      <c r="C23" s="2024">
        <f t="shared" ref="C23:AB23" si="5">C$5/10^3*C12</f>
        <v>0</v>
      </c>
      <c r="D23" s="2024">
        <f t="shared" si="5"/>
        <v>0</v>
      </c>
      <c r="E23" s="2024">
        <f t="shared" si="5"/>
        <v>0</v>
      </c>
      <c r="F23" s="2024">
        <f t="shared" si="5"/>
        <v>0</v>
      </c>
      <c r="G23" s="2024">
        <f t="shared" si="5"/>
        <v>0</v>
      </c>
      <c r="H23" s="2024">
        <f t="shared" si="5"/>
        <v>0</v>
      </c>
      <c r="I23" s="2024">
        <f t="shared" si="5"/>
        <v>0</v>
      </c>
      <c r="J23" s="2024">
        <f t="shared" si="5"/>
        <v>0</v>
      </c>
      <c r="K23" s="2024">
        <f t="shared" si="5"/>
        <v>0</v>
      </c>
      <c r="L23" s="2024">
        <f t="shared" si="5"/>
        <v>0</v>
      </c>
      <c r="M23" s="2024">
        <f t="shared" si="5"/>
        <v>0</v>
      </c>
      <c r="N23" s="2024">
        <f t="shared" si="5"/>
        <v>0</v>
      </c>
      <c r="O23" s="2024">
        <f t="shared" si="5"/>
        <v>0</v>
      </c>
      <c r="P23" s="2024">
        <f t="shared" si="5"/>
        <v>0</v>
      </c>
      <c r="Q23" s="2024">
        <f t="shared" si="5"/>
        <v>0</v>
      </c>
      <c r="R23" s="2024">
        <f t="shared" si="5"/>
        <v>0</v>
      </c>
      <c r="S23" s="2024">
        <f t="shared" si="5"/>
        <v>0</v>
      </c>
      <c r="T23" s="2024">
        <f t="shared" si="5"/>
        <v>0</v>
      </c>
      <c r="U23" s="2024">
        <f t="shared" si="1"/>
        <v>0</v>
      </c>
      <c r="V23" s="2024">
        <f t="shared" si="1"/>
        <v>0</v>
      </c>
      <c r="W23" s="2024">
        <f t="shared" si="2"/>
        <v>0</v>
      </c>
      <c r="X23" s="2024">
        <f t="shared" si="5"/>
        <v>0</v>
      </c>
      <c r="Y23" s="2024">
        <f t="shared" si="5"/>
        <v>0</v>
      </c>
      <c r="Z23" s="2024">
        <f t="shared" si="5"/>
        <v>0</v>
      </c>
      <c r="AA23" s="2024">
        <f t="shared" si="5"/>
        <v>0</v>
      </c>
      <c r="AB23" s="2024">
        <f t="shared" si="5"/>
        <v>0</v>
      </c>
    </row>
    <row r="24" spans="1:28" x14ac:dyDescent="0.45">
      <c r="A24" s="1417" t="s">
        <v>358</v>
      </c>
      <c r="B24" s="2026" t="s">
        <v>359</v>
      </c>
      <c r="C24" s="2024">
        <f t="shared" ref="C24:AB24" si="6">C$5/10^3*C13</f>
        <v>0</v>
      </c>
      <c r="D24" s="2024">
        <f t="shared" si="6"/>
        <v>0</v>
      </c>
      <c r="E24" s="2024">
        <f t="shared" si="6"/>
        <v>0</v>
      </c>
      <c r="F24" s="2024">
        <f t="shared" si="6"/>
        <v>0</v>
      </c>
      <c r="G24" s="2024">
        <f t="shared" si="6"/>
        <v>0</v>
      </c>
      <c r="H24" s="2024">
        <f t="shared" si="6"/>
        <v>0</v>
      </c>
      <c r="I24" s="2024">
        <f t="shared" si="6"/>
        <v>0</v>
      </c>
      <c r="J24" s="2024">
        <f t="shared" si="6"/>
        <v>0</v>
      </c>
      <c r="K24" s="2024">
        <f t="shared" si="6"/>
        <v>0</v>
      </c>
      <c r="L24" s="2024">
        <f t="shared" si="6"/>
        <v>0</v>
      </c>
      <c r="M24" s="2024">
        <f t="shared" si="6"/>
        <v>6805</v>
      </c>
      <c r="N24" s="2024">
        <f t="shared" si="6"/>
        <v>9950</v>
      </c>
      <c r="O24" s="2024">
        <f t="shared" si="6"/>
        <v>6805</v>
      </c>
      <c r="P24" s="2024">
        <f t="shared" si="6"/>
        <v>9950</v>
      </c>
      <c r="Q24" s="2024">
        <f t="shared" si="6"/>
        <v>10052.883716004946</v>
      </c>
      <c r="R24" s="2024">
        <f t="shared" si="6"/>
        <v>13595.190688808902</v>
      </c>
      <c r="S24" s="2024">
        <f t="shared" si="6"/>
        <v>10052.883716004946</v>
      </c>
      <c r="T24" s="2024">
        <f t="shared" si="6"/>
        <v>13595.190688808902</v>
      </c>
      <c r="U24" s="2024">
        <f t="shared" si="1"/>
        <v>9950</v>
      </c>
      <c r="V24" s="2024">
        <f t="shared" si="1"/>
        <v>13948.903090787806</v>
      </c>
      <c r="W24" s="2024">
        <f t="shared" si="2"/>
        <v>10157.051162133992</v>
      </c>
      <c r="X24" s="2024">
        <f t="shared" si="6"/>
        <v>1300</v>
      </c>
      <c r="Y24" s="2024">
        <f t="shared" si="6"/>
        <v>1520.4596037648544</v>
      </c>
      <c r="Z24" s="2024">
        <f t="shared" si="6"/>
        <v>1300</v>
      </c>
      <c r="AA24" s="2024">
        <f t="shared" si="6"/>
        <v>1590.5745047060682</v>
      </c>
      <c r="AB24" s="2024">
        <f t="shared" si="6"/>
        <v>186000</v>
      </c>
    </row>
    <row r="25" spans="1:28" x14ac:dyDescent="0.45">
      <c r="A25" s="1417" t="s">
        <v>360</v>
      </c>
      <c r="B25" s="2026" t="s">
        <v>355</v>
      </c>
      <c r="C25" s="2024">
        <f t="shared" ref="C25:AB25" si="7">C$5/10^3*C14</f>
        <v>396</v>
      </c>
      <c r="D25" s="2024">
        <f t="shared" si="7"/>
        <v>436.97005339299619</v>
      </c>
      <c r="E25" s="2024">
        <f t="shared" si="7"/>
        <v>417.6</v>
      </c>
      <c r="F25" s="2024">
        <f t="shared" si="7"/>
        <v>444.18384150594181</v>
      </c>
      <c r="G25" s="2024">
        <f t="shared" si="7"/>
        <v>396</v>
      </c>
      <c r="H25" s="2024">
        <f t="shared" si="7"/>
        <v>436.97005339299619</v>
      </c>
      <c r="I25" s="2024">
        <f t="shared" si="7"/>
        <v>417.6</v>
      </c>
      <c r="J25" s="2024">
        <f t="shared" si="7"/>
        <v>435.77005339299615</v>
      </c>
      <c r="K25" s="2024">
        <f t="shared" si="7"/>
        <v>1400</v>
      </c>
      <c r="L25" s="2024">
        <f t="shared" si="7"/>
        <v>1480.4596037648544</v>
      </c>
      <c r="M25" s="2024">
        <f t="shared" si="7"/>
        <v>0</v>
      </c>
      <c r="N25" s="2024">
        <f t="shared" si="7"/>
        <v>0</v>
      </c>
      <c r="O25" s="2024">
        <f t="shared" si="7"/>
        <v>0</v>
      </c>
      <c r="P25" s="2024">
        <f t="shared" si="7"/>
        <v>0</v>
      </c>
      <c r="Q25" s="2024">
        <f t="shared" si="7"/>
        <v>0</v>
      </c>
      <c r="R25" s="2024">
        <f t="shared" si="7"/>
        <v>0</v>
      </c>
      <c r="S25" s="2024">
        <f t="shared" si="7"/>
        <v>0</v>
      </c>
      <c r="T25" s="2024">
        <f t="shared" si="7"/>
        <v>0</v>
      </c>
      <c r="U25" s="2024">
        <f t="shared" si="1"/>
        <v>0</v>
      </c>
      <c r="V25" s="2024">
        <f t="shared" si="1"/>
        <v>0</v>
      </c>
      <c r="W25" s="2024">
        <f t="shared" si="2"/>
        <v>0</v>
      </c>
      <c r="X25" s="2024">
        <f t="shared" si="7"/>
        <v>0</v>
      </c>
      <c r="Y25" s="2024">
        <f t="shared" si="7"/>
        <v>0</v>
      </c>
      <c r="Z25" s="2024">
        <f t="shared" si="7"/>
        <v>0</v>
      </c>
      <c r="AA25" s="2024">
        <f t="shared" si="7"/>
        <v>0</v>
      </c>
      <c r="AB25" s="2024">
        <f t="shared" si="7"/>
        <v>0</v>
      </c>
    </row>
    <row r="26" spans="1:28" x14ac:dyDescent="0.45">
      <c r="A26" s="1417" t="s">
        <v>360</v>
      </c>
      <c r="B26" s="2026" t="s">
        <v>359</v>
      </c>
      <c r="C26" s="2024">
        <f t="shared" ref="C26:AB26" si="8">C$5/10^3*C15</f>
        <v>0</v>
      </c>
      <c r="D26" s="2024">
        <f t="shared" si="8"/>
        <v>0</v>
      </c>
      <c r="E26" s="2024">
        <f t="shared" si="8"/>
        <v>0</v>
      </c>
      <c r="F26" s="2024">
        <f t="shared" si="8"/>
        <v>0</v>
      </c>
      <c r="G26" s="2024">
        <f t="shared" si="8"/>
        <v>0</v>
      </c>
      <c r="H26" s="2024">
        <f t="shared" si="8"/>
        <v>0</v>
      </c>
      <c r="I26" s="2024">
        <f t="shared" si="8"/>
        <v>0</v>
      </c>
      <c r="J26" s="2024">
        <f t="shared" si="8"/>
        <v>0</v>
      </c>
      <c r="K26" s="2024">
        <f t="shared" si="8"/>
        <v>0</v>
      </c>
      <c r="L26" s="2024">
        <f t="shared" si="8"/>
        <v>0</v>
      </c>
      <c r="M26" s="2024">
        <f t="shared" si="8"/>
        <v>0</v>
      </c>
      <c r="N26" s="2024">
        <f t="shared" si="8"/>
        <v>0</v>
      </c>
      <c r="O26" s="2024">
        <f t="shared" si="8"/>
        <v>0</v>
      </c>
      <c r="P26" s="2024">
        <f t="shared" si="8"/>
        <v>0</v>
      </c>
      <c r="Q26" s="2024">
        <f t="shared" si="8"/>
        <v>0</v>
      </c>
      <c r="R26" s="2024">
        <f t="shared" si="8"/>
        <v>0</v>
      </c>
      <c r="S26" s="2024">
        <f t="shared" si="8"/>
        <v>0</v>
      </c>
      <c r="T26" s="2024">
        <f t="shared" si="8"/>
        <v>0</v>
      </c>
      <c r="U26" s="2024">
        <f t="shared" si="1"/>
        <v>0</v>
      </c>
      <c r="V26" s="2024">
        <f t="shared" si="1"/>
        <v>0</v>
      </c>
      <c r="W26" s="2024">
        <f t="shared" si="2"/>
        <v>0</v>
      </c>
      <c r="X26" s="2024">
        <f t="shared" si="8"/>
        <v>0</v>
      </c>
      <c r="Y26" s="2024">
        <f t="shared" si="8"/>
        <v>0</v>
      </c>
      <c r="Z26" s="2024">
        <f t="shared" si="8"/>
        <v>0</v>
      </c>
      <c r="AA26" s="2024">
        <f t="shared" si="8"/>
        <v>0</v>
      </c>
      <c r="AB26" s="2024">
        <f t="shared" si="8"/>
        <v>0</v>
      </c>
    </row>
    <row r="27" spans="1:28" x14ac:dyDescent="0.45">
      <c r="A27" s="1417" t="s">
        <v>361</v>
      </c>
      <c r="B27" s="2026" t="s">
        <v>355</v>
      </c>
      <c r="C27" s="2024">
        <f t="shared" ref="C27:AB27" si="9">C$5/10^3*C16</f>
        <v>0</v>
      </c>
      <c r="D27" s="2024">
        <f t="shared" si="9"/>
        <v>0</v>
      </c>
      <c r="E27" s="2024">
        <f t="shared" si="9"/>
        <v>0</v>
      </c>
      <c r="F27" s="2024">
        <f t="shared" si="9"/>
        <v>0</v>
      </c>
      <c r="G27" s="2024">
        <f t="shared" si="9"/>
        <v>0</v>
      </c>
      <c r="H27" s="2024">
        <f t="shared" si="9"/>
        <v>0</v>
      </c>
      <c r="I27" s="2024">
        <f t="shared" si="9"/>
        <v>0</v>
      </c>
      <c r="J27" s="2024">
        <f t="shared" si="9"/>
        <v>0</v>
      </c>
      <c r="K27" s="2024">
        <f t="shared" si="9"/>
        <v>0</v>
      </c>
      <c r="L27" s="2024">
        <f t="shared" si="9"/>
        <v>0</v>
      </c>
      <c r="M27" s="2024">
        <f t="shared" si="9"/>
        <v>0</v>
      </c>
      <c r="N27" s="2024">
        <f t="shared" si="9"/>
        <v>0</v>
      </c>
      <c r="O27" s="2024">
        <f t="shared" si="9"/>
        <v>0</v>
      </c>
      <c r="P27" s="2024">
        <f t="shared" si="9"/>
        <v>0</v>
      </c>
      <c r="Q27" s="2024">
        <f t="shared" si="9"/>
        <v>0</v>
      </c>
      <c r="R27" s="2024">
        <f t="shared" si="9"/>
        <v>0</v>
      </c>
      <c r="S27" s="2024">
        <f t="shared" si="9"/>
        <v>0</v>
      </c>
      <c r="T27" s="2024">
        <f t="shared" si="9"/>
        <v>0</v>
      </c>
      <c r="U27" s="2024">
        <f t="shared" si="1"/>
        <v>0</v>
      </c>
      <c r="V27" s="2024">
        <f t="shared" si="1"/>
        <v>0</v>
      </c>
      <c r="W27" s="2024">
        <f t="shared" si="2"/>
        <v>0</v>
      </c>
      <c r="X27" s="2024">
        <f t="shared" si="9"/>
        <v>0</v>
      </c>
      <c r="Y27" s="2024">
        <f t="shared" si="9"/>
        <v>0</v>
      </c>
      <c r="Z27" s="2024">
        <f t="shared" si="9"/>
        <v>0</v>
      </c>
      <c r="AA27" s="2024">
        <f t="shared" si="9"/>
        <v>0</v>
      </c>
      <c r="AB27" s="2024">
        <f t="shared" si="9"/>
        <v>0</v>
      </c>
    </row>
    <row r="28" spans="1:28" x14ac:dyDescent="0.45">
      <c r="A28" s="1417" t="s">
        <v>361</v>
      </c>
      <c r="B28" s="2026" t="s">
        <v>359</v>
      </c>
      <c r="C28" s="2024">
        <f t="shared" ref="C28:AB28" si="10">C$5/10^3*C17</f>
        <v>0</v>
      </c>
      <c r="D28" s="2024">
        <f t="shared" si="10"/>
        <v>0</v>
      </c>
      <c r="E28" s="2024">
        <f t="shared" si="10"/>
        <v>0</v>
      </c>
      <c r="F28" s="2024">
        <f t="shared" si="10"/>
        <v>0</v>
      </c>
      <c r="G28" s="2024">
        <f t="shared" si="10"/>
        <v>0</v>
      </c>
      <c r="H28" s="2024">
        <f t="shared" si="10"/>
        <v>0</v>
      </c>
      <c r="I28" s="2024">
        <f t="shared" si="10"/>
        <v>0</v>
      </c>
      <c r="J28" s="2024">
        <f t="shared" si="10"/>
        <v>0</v>
      </c>
      <c r="K28" s="2024">
        <f t="shared" si="10"/>
        <v>0</v>
      </c>
      <c r="L28" s="2024">
        <f t="shared" si="10"/>
        <v>0</v>
      </c>
      <c r="M28" s="2024">
        <f t="shared" si="10"/>
        <v>0</v>
      </c>
      <c r="N28" s="2024">
        <f t="shared" si="10"/>
        <v>0</v>
      </c>
      <c r="O28" s="2024">
        <f t="shared" si="10"/>
        <v>0</v>
      </c>
      <c r="P28" s="2024">
        <f t="shared" si="10"/>
        <v>0</v>
      </c>
      <c r="Q28" s="2024">
        <f t="shared" si="10"/>
        <v>0</v>
      </c>
      <c r="R28" s="2024">
        <f t="shared" si="10"/>
        <v>0</v>
      </c>
      <c r="S28" s="2024">
        <f t="shared" si="10"/>
        <v>0</v>
      </c>
      <c r="T28" s="2024">
        <f t="shared" si="10"/>
        <v>0</v>
      </c>
      <c r="U28" s="2024">
        <f t="shared" si="1"/>
        <v>0</v>
      </c>
      <c r="V28" s="2024">
        <f t="shared" si="1"/>
        <v>0</v>
      </c>
      <c r="W28" s="2024">
        <f t="shared" si="2"/>
        <v>0</v>
      </c>
      <c r="X28" s="2024">
        <f t="shared" si="10"/>
        <v>0</v>
      </c>
      <c r="Y28" s="2024">
        <f t="shared" si="10"/>
        <v>0</v>
      </c>
      <c r="Z28" s="2024">
        <f t="shared" si="10"/>
        <v>0</v>
      </c>
      <c r="AA28" s="2024">
        <f t="shared" si="10"/>
        <v>0</v>
      </c>
      <c r="AB28" s="2024">
        <f t="shared" si="10"/>
        <v>0</v>
      </c>
    </row>
    <row r="29" spans="1:28" x14ac:dyDescent="0.45">
      <c r="A29" s="1416"/>
      <c r="B29" s="1968"/>
      <c r="C29" s="1968"/>
      <c r="D29" s="1968"/>
      <c r="E29" s="1968"/>
      <c r="F29" s="1968"/>
      <c r="G29" s="1968"/>
      <c r="H29" s="1968"/>
      <c r="I29" s="1968"/>
      <c r="J29" s="1968"/>
      <c r="K29" s="1968"/>
      <c r="L29" s="1968"/>
      <c r="M29" s="1968"/>
      <c r="N29" s="1968"/>
      <c r="O29" s="1968"/>
      <c r="P29" s="1968"/>
      <c r="Q29" s="1968"/>
      <c r="R29" s="1968"/>
      <c r="S29" s="1968"/>
      <c r="T29" s="1968"/>
      <c r="U29" s="1968"/>
      <c r="V29" s="1968"/>
      <c r="W29" s="1969"/>
      <c r="X29" s="1968"/>
      <c r="Y29" s="1968"/>
      <c r="Z29" s="1968"/>
      <c r="AA29" s="1968"/>
      <c r="AB29" s="1968"/>
    </row>
    <row r="30" spans="1:28" x14ac:dyDescent="0.45">
      <c r="A30" s="1420" t="s">
        <v>1065</v>
      </c>
      <c r="B30" s="1968" t="s">
        <v>1066</v>
      </c>
      <c r="C30" s="1968"/>
      <c r="D30" s="1968"/>
      <c r="E30" s="1968"/>
      <c r="F30" s="1968"/>
      <c r="G30" s="1968"/>
      <c r="H30" s="1968"/>
      <c r="I30" s="1968"/>
      <c r="J30" s="1968"/>
      <c r="K30" s="1968"/>
      <c r="L30" s="1968"/>
      <c r="M30" s="1968"/>
      <c r="N30" s="1968"/>
      <c r="O30" s="1968"/>
      <c r="P30" s="1968"/>
      <c r="Q30" s="1968"/>
      <c r="R30" s="1968"/>
      <c r="S30" s="1968"/>
      <c r="T30" s="1968"/>
      <c r="U30" s="1968"/>
      <c r="V30" s="1968"/>
      <c r="W30" s="1969"/>
      <c r="X30" s="1968"/>
      <c r="Y30" s="1968"/>
      <c r="Z30" s="1968"/>
      <c r="AA30" s="1968"/>
      <c r="AB30" s="1968"/>
    </row>
    <row r="31" spans="1:28" x14ac:dyDescent="0.45">
      <c r="A31" s="1421" t="s">
        <v>357</v>
      </c>
      <c r="B31" s="2020" t="s">
        <v>355</v>
      </c>
      <c r="C31" s="2022">
        <f>TRA_inputs!$G19</f>
        <v>1684.8193598191217</v>
      </c>
      <c r="D31" s="2022">
        <f>TRA_inputs!$G19</f>
        <v>1684.8193598191217</v>
      </c>
      <c r="E31" s="2022">
        <f>TRA_inputs!$G19</f>
        <v>1684.8193598191217</v>
      </c>
      <c r="F31" s="2022">
        <f>TRA_inputs!$G19</f>
        <v>1684.8193598191217</v>
      </c>
      <c r="G31" s="2022">
        <f>TRA_inputs!$G19</f>
        <v>1684.8193598191217</v>
      </c>
      <c r="H31" s="2022">
        <f>TRA_inputs!$G19</f>
        <v>1684.8193598191217</v>
      </c>
      <c r="I31" s="2022">
        <f>TRA_inputs!$G19</f>
        <v>1684.8193598191217</v>
      </c>
      <c r="J31" s="2022">
        <f>TRA_inputs!$G19</f>
        <v>1684.8193598191217</v>
      </c>
      <c r="K31" s="2022">
        <f>TRA_inputs!$G19</f>
        <v>1684.8193598191217</v>
      </c>
      <c r="L31" s="2022">
        <f>TRA_inputs!$G19</f>
        <v>1684.8193598191217</v>
      </c>
      <c r="M31" s="2022">
        <f>TRA_inputs!$G19</f>
        <v>1684.8193598191217</v>
      </c>
      <c r="N31" s="2022">
        <f>TRA_inputs!$G19</f>
        <v>1684.8193598191217</v>
      </c>
      <c r="O31" s="2022">
        <f>TRA_inputs!$G19</f>
        <v>1684.8193598191217</v>
      </c>
      <c r="P31" s="2022">
        <f>TRA_inputs!$G19</f>
        <v>1684.8193598191217</v>
      </c>
      <c r="Q31" s="2022">
        <f>TRA_inputs!$G19</f>
        <v>1684.8193598191217</v>
      </c>
      <c r="R31" s="2022">
        <f>TRA_inputs!$G19</f>
        <v>1684.8193598191217</v>
      </c>
      <c r="S31" s="2022">
        <f>TRA_inputs!$G19</f>
        <v>1684.8193598191217</v>
      </c>
      <c r="T31" s="2022">
        <f>TRA_inputs!$G19</f>
        <v>1684.8193598191217</v>
      </c>
      <c r="U31" s="2022">
        <f>TRA_inputs!$G19</f>
        <v>1684.8193598191217</v>
      </c>
      <c r="V31" s="2022">
        <f>TRA_inputs!$G19</f>
        <v>1684.8193598191217</v>
      </c>
      <c r="W31" s="2022">
        <f>TRA_inputs!$G19</f>
        <v>1684.8193598191217</v>
      </c>
      <c r="X31" s="2022">
        <f>TRA_inputs!$G19</f>
        <v>1684.8193598191217</v>
      </c>
      <c r="Y31" s="2022">
        <f>TRA_inputs!$G19</f>
        <v>1684.8193598191217</v>
      </c>
      <c r="Z31" s="2022">
        <f>TRA_inputs!$G19</f>
        <v>1684.8193598191217</v>
      </c>
      <c r="AA31" s="2022">
        <f>TRA_inputs!$G19</f>
        <v>1684.8193598191217</v>
      </c>
      <c r="AB31" s="2022">
        <f>TRA_inputs!$G19</f>
        <v>1684.8193598191217</v>
      </c>
    </row>
    <row r="32" spans="1:28" x14ac:dyDescent="0.45">
      <c r="A32" s="1421" t="s">
        <v>1062</v>
      </c>
      <c r="B32" s="2020" t="s">
        <v>355</v>
      </c>
      <c r="C32" s="2022">
        <f>TRA_inputs!$H$15</f>
        <v>56.68160495733914</v>
      </c>
      <c r="D32" s="2022">
        <f>TRA_inputs!$H$15</f>
        <v>56.68160495733914</v>
      </c>
      <c r="E32" s="2022">
        <f>TRA_inputs!$H$15</f>
        <v>56.68160495733914</v>
      </c>
      <c r="F32" s="2022">
        <f>TRA_inputs!$H$15</f>
        <v>56.68160495733914</v>
      </c>
      <c r="G32" s="2022">
        <f>TRA_inputs!$H$15</f>
        <v>56.68160495733914</v>
      </c>
      <c r="H32" s="2022">
        <f>TRA_inputs!$H$15</f>
        <v>56.68160495733914</v>
      </c>
      <c r="I32" s="2022">
        <f>TRA_inputs!$H$15</f>
        <v>56.68160495733914</v>
      </c>
      <c r="J32" s="2022">
        <f>TRA_inputs!$H$15</f>
        <v>56.68160495733914</v>
      </c>
      <c r="K32" s="2022">
        <f>TRA_inputs!$H$15</f>
        <v>56.68160495733914</v>
      </c>
      <c r="L32" s="2022">
        <f>TRA_inputs!$H$15</f>
        <v>56.68160495733914</v>
      </c>
      <c r="M32" s="2022">
        <f>TRA_inputs!$H$15</f>
        <v>56.68160495733914</v>
      </c>
      <c r="N32" s="2022">
        <f>TRA_inputs!$H$15</f>
        <v>56.68160495733914</v>
      </c>
      <c r="O32" s="2022">
        <f>TRA_inputs!$H$15</f>
        <v>56.68160495733914</v>
      </c>
      <c r="P32" s="2022">
        <f>TRA_inputs!$H$15</f>
        <v>56.68160495733914</v>
      </c>
      <c r="Q32" s="2022">
        <f>TRA_inputs!$H$15</f>
        <v>56.68160495733914</v>
      </c>
      <c r="R32" s="2022">
        <f>TRA_inputs!$H$15</f>
        <v>56.68160495733914</v>
      </c>
      <c r="S32" s="2022">
        <f>TRA_inputs!$H$15</f>
        <v>56.68160495733914</v>
      </c>
      <c r="T32" s="2022">
        <f>TRA_inputs!$H$15</f>
        <v>56.68160495733914</v>
      </c>
      <c r="U32" s="2022">
        <f>TRA_inputs!$H$15</f>
        <v>56.68160495733914</v>
      </c>
      <c r="V32" s="2022">
        <f>TRA_inputs!$H$15</f>
        <v>56.68160495733914</v>
      </c>
      <c r="W32" s="2022">
        <f>TRA_inputs!$H$15</f>
        <v>56.68160495733914</v>
      </c>
      <c r="X32" s="2022">
        <f>TRA_inputs!$H$15</f>
        <v>56.68160495733914</v>
      </c>
      <c r="Y32" s="2022">
        <f>TRA_inputs!$H$15</f>
        <v>56.68160495733914</v>
      </c>
      <c r="Z32" s="2022">
        <f>TRA_inputs!$H$15</f>
        <v>56.68160495733914</v>
      </c>
      <c r="AA32" s="2022">
        <f>TRA_inputs!$H$15</f>
        <v>56.68160495733914</v>
      </c>
      <c r="AB32" s="2022">
        <f>TRA_inputs!$H$15</f>
        <v>56.68160495733914</v>
      </c>
    </row>
    <row r="33" spans="1:28" x14ac:dyDescent="0.45">
      <c r="A33" s="1421" t="s">
        <v>1062</v>
      </c>
      <c r="B33" s="2020" t="s">
        <v>359</v>
      </c>
      <c r="C33" s="2022">
        <f>TRA_inputs!$H$16</f>
        <v>15.115094655290438</v>
      </c>
      <c r="D33" s="2022">
        <f>TRA_inputs!$H$16</f>
        <v>15.115094655290438</v>
      </c>
      <c r="E33" s="2022">
        <f>TRA_inputs!$H$16</f>
        <v>15.115094655290438</v>
      </c>
      <c r="F33" s="2022">
        <f>TRA_inputs!$H$16</f>
        <v>15.115094655290438</v>
      </c>
      <c r="G33" s="2022">
        <f>TRA_inputs!$H$16</f>
        <v>15.115094655290438</v>
      </c>
      <c r="H33" s="2022">
        <f>TRA_inputs!$H$16</f>
        <v>15.115094655290438</v>
      </c>
      <c r="I33" s="2022">
        <f>TRA_inputs!$H$16</f>
        <v>15.115094655290438</v>
      </c>
      <c r="J33" s="2022">
        <f>TRA_inputs!$H$16</f>
        <v>15.115094655290438</v>
      </c>
      <c r="K33" s="2022">
        <f>TRA_inputs!$H$16</f>
        <v>15.115094655290438</v>
      </c>
      <c r="L33" s="2022">
        <f>TRA_inputs!$H$16</f>
        <v>15.115094655290438</v>
      </c>
      <c r="M33" s="2022">
        <f>TRA_inputs!$H$16</f>
        <v>15.115094655290438</v>
      </c>
      <c r="N33" s="2022">
        <f>TRA_inputs!$H$16</f>
        <v>15.115094655290438</v>
      </c>
      <c r="O33" s="2022">
        <f>TRA_inputs!$H$16</f>
        <v>15.115094655290438</v>
      </c>
      <c r="P33" s="2022">
        <f>TRA_inputs!$H$16</f>
        <v>15.115094655290438</v>
      </c>
      <c r="Q33" s="2022">
        <f>TRA_inputs!$H$16</f>
        <v>15.115094655290438</v>
      </c>
      <c r="R33" s="2022">
        <f>TRA_inputs!$H$16</f>
        <v>15.115094655290438</v>
      </c>
      <c r="S33" s="2022">
        <f>TRA_inputs!$H$16</f>
        <v>15.115094655290438</v>
      </c>
      <c r="T33" s="2022">
        <f>TRA_inputs!$H$16</f>
        <v>15.115094655290438</v>
      </c>
      <c r="U33" s="2022">
        <f>TRA_inputs!$H$16</f>
        <v>15.115094655290438</v>
      </c>
      <c r="V33" s="2022">
        <f>TRA_inputs!$H$16</f>
        <v>15.115094655290438</v>
      </c>
      <c r="W33" s="2022">
        <f>TRA_inputs!$H$16</f>
        <v>15.115094655290438</v>
      </c>
      <c r="X33" s="2022">
        <f>TRA_inputs!$H$16</f>
        <v>15.115094655290438</v>
      </c>
      <c r="Y33" s="2022">
        <f>TRA_inputs!$H$16</f>
        <v>15.115094655290438</v>
      </c>
      <c r="Z33" s="2022">
        <f>TRA_inputs!$H$16</f>
        <v>15.115094655290438</v>
      </c>
      <c r="AA33" s="2022">
        <f>TRA_inputs!$H$16</f>
        <v>15.115094655290438</v>
      </c>
      <c r="AB33" s="2022">
        <f>TRA_inputs!$H$16</f>
        <v>15.115094655290438</v>
      </c>
    </row>
    <row r="34" spans="1:28" x14ac:dyDescent="0.45">
      <c r="A34" s="1421" t="s">
        <v>358</v>
      </c>
      <c r="B34" s="2020" t="s">
        <v>355</v>
      </c>
      <c r="C34" s="2022">
        <f>TRA_inputs!$G20</f>
        <v>15.356381913943803</v>
      </c>
      <c r="D34" s="2022">
        <f>TRA_inputs!$G20</f>
        <v>15.356381913943803</v>
      </c>
      <c r="E34" s="2022">
        <f>TRA_inputs!$G20</f>
        <v>15.356381913943803</v>
      </c>
      <c r="F34" s="2022">
        <f>TRA_inputs!$G20</f>
        <v>15.356381913943803</v>
      </c>
      <c r="G34" s="2022">
        <f>TRA_inputs!$G20</f>
        <v>15.356381913943803</v>
      </c>
      <c r="H34" s="2022">
        <f>TRA_inputs!$G20</f>
        <v>15.356381913943803</v>
      </c>
      <c r="I34" s="2022">
        <f>TRA_inputs!$G20</f>
        <v>15.356381913943803</v>
      </c>
      <c r="J34" s="2022">
        <f>TRA_inputs!$G20</f>
        <v>15.356381913943803</v>
      </c>
      <c r="K34" s="2022">
        <f>TRA_inputs!$G20</f>
        <v>15.356381913943803</v>
      </c>
      <c r="L34" s="2022">
        <f>TRA_inputs!$G20</f>
        <v>15.356381913943803</v>
      </c>
      <c r="M34" s="2022">
        <f>TRA_inputs!$G20</f>
        <v>15.356381913943803</v>
      </c>
      <c r="N34" s="2022">
        <f>TRA_inputs!$G20</f>
        <v>15.356381913943803</v>
      </c>
      <c r="O34" s="2022">
        <f>TRA_inputs!$G20</f>
        <v>15.356381913943803</v>
      </c>
      <c r="P34" s="2022">
        <f>TRA_inputs!$G20</f>
        <v>15.356381913943803</v>
      </c>
      <c r="Q34" s="2022">
        <f>TRA_inputs!$G20</f>
        <v>15.356381913943803</v>
      </c>
      <c r="R34" s="2022">
        <f>TRA_inputs!$G20</f>
        <v>15.356381913943803</v>
      </c>
      <c r="S34" s="2022">
        <f>TRA_inputs!$G20</f>
        <v>15.356381913943803</v>
      </c>
      <c r="T34" s="2022">
        <f>TRA_inputs!$G20</f>
        <v>15.356381913943803</v>
      </c>
      <c r="U34" s="2022">
        <f>TRA_inputs!$G20</f>
        <v>15.356381913943803</v>
      </c>
      <c r="V34" s="2022">
        <f>TRA_inputs!$G20</f>
        <v>15.356381913943803</v>
      </c>
      <c r="W34" s="2022">
        <f>TRA_inputs!$G20</f>
        <v>15.356381913943803</v>
      </c>
      <c r="X34" s="2022">
        <f>TRA_inputs!$G20</f>
        <v>15.356381913943803</v>
      </c>
      <c r="Y34" s="2022">
        <f>TRA_inputs!$G20</f>
        <v>15.356381913943803</v>
      </c>
      <c r="Z34" s="2022">
        <f>TRA_inputs!$G20</f>
        <v>15.356381913943803</v>
      </c>
      <c r="AA34" s="2022">
        <f>TRA_inputs!$G20</f>
        <v>15.356381913943803</v>
      </c>
      <c r="AB34" s="2022">
        <f>TRA_inputs!$G20</f>
        <v>15.356381913943803</v>
      </c>
    </row>
    <row r="35" spans="1:28" x14ac:dyDescent="0.45">
      <c r="A35" s="1421" t="s">
        <v>358</v>
      </c>
      <c r="B35" s="2020" t="s">
        <v>359</v>
      </c>
      <c r="C35" s="2022">
        <f>TRA_inputs!$G21</f>
        <v>6.5734769351379487</v>
      </c>
      <c r="D35" s="2022">
        <f>TRA_inputs!$G21</f>
        <v>6.5734769351379487</v>
      </c>
      <c r="E35" s="2022">
        <f>TRA_inputs!$G21</f>
        <v>6.5734769351379487</v>
      </c>
      <c r="F35" s="2022">
        <f>TRA_inputs!$G21</f>
        <v>6.5734769351379487</v>
      </c>
      <c r="G35" s="2022">
        <f>TRA_inputs!$G21</f>
        <v>6.5734769351379487</v>
      </c>
      <c r="H35" s="2022">
        <f>TRA_inputs!$G21</f>
        <v>6.5734769351379487</v>
      </c>
      <c r="I35" s="2022">
        <f>TRA_inputs!$G21</f>
        <v>6.5734769351379487</v>
      </c>
      <c r="J35" s="2022">
        <f>TRA_inputs!$G21</f>
        <v>6.5734769351379487</v>
      </c>
      <c r="K35" s="2022">
        <f>TRA_inputs!$G21</f>
        <v>6.5734769351379487</v>
      </c>
      <c r="L35" s="2022">
        <f>TRA_inputs!$G21</f>
        <v>6.5734769351379487</v>
      </c>
      <c r="M35" s="2022">
        <f>TRA_inputs!$G21</f>
        <v>6.5734769351379487</v>
      </c>
      <c r="N35" s="2022">
        <f>TRA_inputs!$G21</f>
        <v>6.5734769351379487</v>
      </c>
      <c r="O35" s="2022">
        <f>TRA_inputs!$G21</f>
        <v>6.5734769351379487</v>
      </c>
      <c r="P35" s="2022">
        <f>TRA_inputs!$G21</f>
        <v>6.5734769351379487</v>
      </c>
      <c r="Q35" s="2022">
        <f>TRA_inputs!$G21</f>
        <v>6.5734769351379487</v>
      </c>
      <c r="R35" s="2022">
        <f>TRA_inputs!$G21</f>
        <v>6.5734769351379487</v>
      </c>
      <c r="S35" s="2022">
        <f>TRA_inputs!$G21</f>
        <v>6.5734769351379487</v>
      </c>
      <c r="T35" s="2022">
        <f>TRA_inputs!$G21</f>
        <v>6.5734769351379487</v>
      </c>
      <c r="U35" s="2022">
        <f>TRA_inputs!$G21</f>
        <v>6.5734769351379487</v>
      </c>
      <c r="V35" s="2022">
        <f>TRA_inputs!$G21</f>
        <v>6.5734769351379487</v>
      </c>
      <c r="W35" s="2022">
        <f>TRA_inputs!$G21</f>
        <v>6.5734769351379487</v>
      </c>
      <c r="X35" s="2022">
        <f>TRA_inputs!$G21</f>
        <v>6.5734769351379487</v>
      </c>
      <c r="Y35" s="2022">
        <f>TRA_inputs!$G21</f>
        <v>6.5734769351379487</v>
      </c>
      <c r="Z35" s="2022">
        <f>TRA_inputs!$G21</f>
        <v>6.5734769351379487</v>
      </c>
      <c r="AA35" s="2022">
        <f>TRA_inputs!$G21</f>
        <v>6.5734769351379487</v>
      </c>
      <c r="AB35" s="2022">
        <f>TRA_inputs!$G21</f>
        <v>6.5734769351379487</v>
      </c>
    </row>
    <row r="36" spans="1:28" x14ac:dyDescent="0.45">
      <c r="A36" s="1421" t="s">
        <v>360</v>
      </c>
      <c r="B36" s="2020" t="s">
        <v>355</v>
      </c>
      <c r="C36" s="2022">
        <f>TRA_inputs!$G22</f>
        <v>9.5806790099299466</v>
      </c>
      <c r="D36" s="2022">
        <f>TRA_inputs!$G22</f>
        <v>9.5806790099299466</v>
      </c>
      <c r="E36" s="2022">
        <f>TRA_inputs!$G22</f>
        <v>9.5806790099299466</v>
      </c>
      <c r="F36" s="2022">
        <f>TRA_inputs!$G22</f>
        <v>9.5806790099299466</v>
      </c>
      <c r="G36" s="2022">
        <f>TRA_inputs!$G22</f>
        <v>9.5806790099299466</v>
      </c>
      <c r="H36" s="2022">
        <f>TRA_inputs!$G22</f>
        <v>9.5806790099299466</v>
      </c>
      <c r="I36" s="2022">
        <f>TRA_inputs!$G22</f>
        <v>9.5806790099299466</v>
      </c>
      <c r="J36" s="2022">
        <f>TRA_inputs!$G22</f>
        <v>9.5806790099299466</v>
      </c>
      <c r="K36" s="2022">
        <f>TRA_inputs!$G22</f>
        <v>9.5806790099299466</v>
      </c>
      <c r="L36" s="2022">
        <f>TRA_inputs!$G22</f>
        <v>9.5806790099299466</v>
      </c>
      <c r="M36" s="2022">
        <f>TRA_inputs!$G22</f>
        <v>9.5806790099299466</v>
      </c>
      <c r="N36" s="2022">
        <f>TRA_inputs!$G22</f>
        <v>9.5806790099299466</v>
      </c>
      <c r="O36" s="2022">
        <f>TRA_inputs!$G22</f>
        <v>9.5806790099299466</v>
      </c>
      <c r="P36" s="2022">
        <f>TRA_inputs!$G22</f>
        <v>9.5806790099299466</v>
      </c>
      <c r="Q36" s="2022">
        <f>TRA_inputs!$G22</f>
        <v>9.5806790099299466</v>
      </c>
      <c r="R36" s="2022">
        <f>TRA_inputs!$G22</f>
        <v>9.5806790099299466</v>
      </c>
      <c r="S36" s="2022">
        <f>TRA_inputs!$G22</f>
        <v>9.5806790099299466</v>
      </c>
      <c r="T36" s="2022">
        <f>TRA_inputs!$G22</f>
        <v>9.5806790099299466</v>
      </c>
      <c r="U36" s="2022">
        <f>TRA_inputs!$G22</f>
        <v>9.5806790099299466</v>
      </c>
      <c r="V36" s="2022">
        <f>TRA_inputs!$G22</f>
        <v>9.5806790099299466</v>
      </c>
      <c r="W36" s="2022">
        <f>TRA_inputs!$G22</f>
        <v>9.5806790099299466</v>
      </c>
      <c r="X36" s="2022">
        <f>TRA_inputs!$G22</f>
        <v>9.5806790099299466</v>
      </c>
      <c r="Y36" s="2022">
        <f>TRA_inputs!$G22</f>
        <v>9.5806790099299466</v>
      </c>
      <c r="Z36" s="2022">
        <f>TRA_inputs!$G22</f>
        <v>9.5806790099299466</v>
      </c>
      <c r="AA36" s="2022">
        <f>TRA_inputs!$G22</f>
        <v>9.5806790099299466</v>
      </c>
      <c r="AB36" s="2022">
        <f>TRA_inputs!$G22</f>
        <v>9.5806790099299466</v>
      </c>
    </row>
    <row r="37" spans="1:28" x14ac:dyDescent="0.45">
      <c r="A37" s="1421" t="s">
        <v>360</v>
      </c>
      <c r="B37" s="2020" t="s">
        <v>359</v>
      </c>
      <c r="C37" s="2022">
        <f>TRA_inputs!$G23</f>
        <v>3.9471856730003476</v>
      </c>
      <c r="D37" s="2022">
        <f>TRA_inputs!$G23</f>
        <v>3.9471856730003476</v>
      </c>
      <c r="E37" s="2022">
        <f>TRA_inputs!$G23</f>
        <v>3.9471856730003476</v>
      </c>
      <c r="F37" s="2022">
        <f>TRA_inputs!$G23</f>
        <v>3.9471856730003476</v>
      </c>
      <c r="G37" s="2022">
        <f>TRA_inputs!$G23</f>
        <v>3.9471856730003476</v>
      </c>
      <c r="H37" s="2022">
        <f>TRA_inputs!$G23</f>
        <v>3.9471856730003476</v>
      </c>
      <c r="I37" s="2022">
        <f>TRA_inputs!$G23</f>
        <v>3.9471856730003476</v>
      </c>
      <c r="J37" s="2022">
        <f>TRA_inputs!$G23</f>
        <v>3.9471856730003476</v>
      </c>
      <c r="K37" s="2022">
        <f>TRA_inputs!$G23</f>
        <v>3.9471856730003476</v>
      </c>
      <c r="L37" s="2022">
        <f>TRA_inputs!$G23</f>
        <v>3.9471856730003476</v>
      </c>
      <c r="M37" s="2022">
        <f>TRA_inputs!$G23</f>
        <v>3.9471856730003476</v>
      </c>
      <c r="N37" s="2022">
        <f>TRA_inputs!$G23</f>
        <v>3.9471856730003476</v>
      </c>
      <c r="O37" s="2022">
        <f>TRA_inputs!$G23</f>
        <v>3.9471856730003476</v>
      </c>
      <c r="P37" s="2022">
        <f>TRA_inputs!$G23</f>
        <v>3.9471856730003476</v>
      </c>
      <c r="Q37" s="2022">
        <f>TRA_inputs!$G23</f>
        <v>3.9471856730003476</v>
      </c>
      <c r="R37" s="2022">
        <f>TRA_inputs!$G23</f>
        <v>3.9471856730003476</v>
      </c>
      <c r="S37" s="2022">
        <f>TRA_inputs!$G23</f>
        <v>3.9471856730003476</v>
      </c>
      <c r="T37" s="2022">
        <f>TRA_inputs!$G23</f>
        <v>3.9471856730003476</v>
      </c>
      <c r="U37" s="2022">
        <f>TRA_inputs!$G23</f>
        <v>3.9471856730003476</v>
      </c>
      <c r="V37" s="2022">
        <f>TRA_inputs!$G23</f>
        <v>3.9471856730003476</v>
      </c>
      <c r="W37" s="2022">
        <f>TRA_inputs!$G23</f>
        <v>3.9471856730003476</v>
      </c>
      <c r="X37" s="2022">
        <f>TRA_inputs!$G23</f>
        <v>3.9471856730003476</v>
      </c>
      <c r="Y37" s="2022">
        <f>TRA_inputs!$G23</f>
        <v>3.9471856730003476</v>
      </c>
      <c r="Z37" s="2022">
        <f>TRA_inputs!$G23</f>
        <v>3.9471856730003476</v>
      </c>
      <c r="AA37" s="2022">
        <f>TRA_inputs!$G23</f>
        <v>3.9471856730003476</v>
      </c>
      <c r="AB37" s="2022">
        <f>TRA_inputs!$G23</f>
        <v>3.9471856730003476</v>
      </c>
    </row>
    <row r="38" spans="1:28" x14ac:dyDescent="0.45">
      <c r="A38" s="1421" t="s">
        <v>361</v>
      </c>
      <c r="B38" s="2020" t="s">
        <v>355</v>
      </c>
      <c r="C38" s="2022">
        <f>TRA_inputs!$G24</f>
        <v>3.0208221379149784</v>
      </c>
      <c r="D38" s="2022">
        <f>TRA_inputs!$G24</f>
        <v>3.0208221379149784</v>
      </c>
      <c r="E38" s="2022">
        <f>TRA_inputs!$G24</f>
        <v>3.0208221379149784</v>
      </c>
      <c r="F38" s="2022">
        <f>TRA_inputs!$G24</f>
        <v>3.0208221379149784</v>
      </c>
      <c r="G38" s="2022">
        <f>TRA_inputs!$G24</f>
        <v>3.0208221379149784</v>
      </c>
      <c r="H38" s="2022">
        <f>TRA_inputs!$G24</f>
        <v>3.0208221379149784</v>
      </c>
      <c r="I38" s="2022">
        <f>TRA_inputs!$G24</f>
        <v>3.0208221379149784</v>
      </c>
      <c r="J38" s="2022">
        <f>TRA_inputs!$G24</f>
        <v>3.0208221379149784</v>
      </c>
      <c r="K38" s="2022">
        <f>TRA_inputs!$G24</f>
        <v>3.0208221379149784</v>
      </c>
      <c r="L38" s="2022">
        <f>TRA_inputs!$G24</f>
        <v>3.0208221379149784</v>
      </c>
      <c r="M38" s="2022">
        <f>TRA_inputs!$G24</f>
        <v>3.0208221379149784</v>
      </c>
      <c r="N38" s="2022">
        <f>TRA_inputs!$G24</f>
        <v>3.0208221379149784</v>
      </c>
      <c r="O38" s="2022">
        <f>TRA_inputs!$G24</f>
        <v>3.0208221379149784</v>
      </c>
      <c r="P38" s="2022">
        <f>TRA_inputs!$G24</f>
        <v>3.0208221379149784</v>
      </c>
      <c r="Q38" s="2022">
        <f>TRA_inputs!$G24</f>
        <v>3.0208221379149784</v>
      </c>
      <c r="R38" s="2022">
        <f>TRA_inputs!$G24</f>
        <v>3.0208221379149784</v>
      </c>
      <c r="S38" s="2022">
        <f>TRA_inputs!$G24</f>
        <v>3.0208221379149784</v>
      </c>
      <c r="T38" s="2022">
        <f>TRA_inputs!$G24</f>
        <v>3.0208221379149784</v>
      </c>
      <c r="U38" s="2022">
        <f>TRA_inputs!$G24</f>
        <v>3.0208221379149784</v>
      </c>
      <c r="V38" s="2022">
        <f>TRA_inputs!$G24</f>
        <v>3.0208221379149784</v>
      </c>
      <c r="W38" s="2022">
        <f>TRA_inputs!$G24</f>
        <v>3.0208221379149784</v>
      </c>
      <c r="X38" s="2022">
        <f>TRA_inputs!$G24</f>
        <v>3.0208221379149784</v>
      </c>
      <c r="Y38" s="2022">
        <f>TRA_inputs!$G24</f>
        <v>3.0208221379149784</v>
      </c>
      <c r="Z38" s="2022">
        <f>TRA_inputs!$G24</f>
        <v>3.0208221379149784</v>
      </c>
      <c r="AA38" s="2022">
        <f>TRA_inputs!$G24</f>
        <v>3.0208221379149784</v>
      </c>
      <c r="AB38" s="2022">
        <f>TRA_inputs!$G24</f>
        <v>3.0208221379149784</v>
      </c>
    </row>
    <row r="39" spans="1:28" x14ac:dyDescent="0.45">
      <c r="A39" s="1421" t="s">
        <v>361</v>
      </c>
      <c r="B39" s="2020" t="s">
        <v>359</v>
      </c>
      <c r="C39" s="2022">
        <f>TRA_inputs!$G25</f>
        <v>1.3449326563569486</v>
      </c>
      <c r="D39" s="2022">
        <f>TRA_inputs!$G25</f>
        <v>1.3449326563569486</v>
      </c>
      <c r="E39" s="2022">
        <f>TRA_inputs!$G25</f>
        <v>1.3449326563569486</v>
      </c>
      <c r="F39" s="2022">
        <f>TRA_inputs!$G25</f>
        <v>1.3449326563569486</v>
      </c>
      <c r="G39" s="2022">
        <f>TRA_inputs!$G25</f>
        <v>1.3449326563569486</v>
      </c>
      <c r="H39" s="2022">
        <f>TRA_inputs!$G25</f>
        <v>1.3449326563569486</v>
      </c>
      <c r="I39" s="2022">
        <f>TRA_inputs!$G25</f>
        <v>1.3449326563569486</v>
      </c>
      <c r="J39" s="2022">
        <f>TRA_inputs!$G25</f>
        <v>1.3449326563569486</v>
      </c>
      <c r="K39" s="2022">
        <f>TRA_inputs!$G25</f>
        <v>1.3449326563569486</v>
      </c>
      <c r="L39" s="2022">
        <f>TRA_inputs!$G25</f>
        <v>1.3449326563569486</v>
      </c>
      <c r="M39" s="2022">
        <f>TRA_inputs!$G25</f>
        <v>1.3449326563569486</v>
      </c>
      <c r="N39" s="2022">
        <f>TRA_inputs!$G25</f>
        <v>1.3449326563569486</v>
      </c>
      <c r="O39" s="2022">
        <f>TRA_inputs!$G25</f>
        <v>1.3449326563569486</v>
      </c>
      <c r="P39" s="2022">
        <f>TRA_inputs!$G25</f>
        <v>1.3449326563569486</v>
      </c>
      <c r="Q39" s="2022">
        <f>TRA_inputs!$G25</f>
        <v>1.3449326563569486</v>
      </c>
      <c r="R39" s="2022">
        <f>TRA_inputs!$G25</f>
        <v>1.3449326563569486</v>
      </c>
      <c r="S39" s="2022">
        <f>TRA_inputs!$G25</f>
        <v>1.3449326563569486</v>
      </c>
      <c r="T39" s="2022">
        <f>TRA_inputs!$G25</f>
        <v>1.3449326563569486</v>
      </c>
      <c r="U39" s="2022">
        <f>TRA_inputs!$G25</f>
        <v>1.3449326563569486</v>
      </c>
      <c r="V39" s="2022">
        <f>TRA_inputs!$G25</f>
        <v>1.3449326563569486</v>
      </c>
      <c r="W39" s="2022">
        <f>TRA_inputs!$G25</f>
        <v>1.3449326563569486</v>
      </c>
      <c r="X39" s="2022">
        <f>TRA_inputs!$G25</f>
        <v>1.3449326563569486</v>
      </c>
      <c r="Y39" s="2022">
        <f>TRA_inputs!$G25</f>
        <v>1.3449326563569486</v>
      </c>
      <c r="Z39" s="2022">
        <f>TRA_inputs!$G25</f>
        <v>1.3449326563569486</v>
      </c>
      <c r="AA39" s="2022">
        <f>TRA_inputs!$G25</f>
        <v>1.3449326563569486</v>
      </c>
      <c r="AB39" s="2022">
        <f>TRA_inputs!$G25</f>
        <v>1.3449326563569486</v>
      </c>
    </row>
    <row r="40" spans="1:28" x14ac:dyDescent="0.45">
      <c r="A40" s="1416"/>
      <c r="B40" s="1968"/>
      <c r="C40" s="1968"/>
      <c r="D40" s="1968"/>
      <c r="E40" s="1968"/>
      <c r="F40" s="1968"/>
      <c r="G40" s="1968"/>
      <c r="H40" s="1968"/>
      <c r="I40" s="1968"/>
      <c r="J40" s="1968"/>
      <c r="K40" s="1968"/>
      <c r="L40" s="1968"/>
      <c r="M40" s="1968"/>
      <c r="N40" s="1968"/>
      <c r="O40" s="1968"/>
      <c r="P40" s="1968"/>
      <c r="Q40" s="1968"/>
      <c r="R40" s="1968"/>
      <c r="S40" s="1968"/>
      <c r="T40" s="1968"/>
      <c r="U40" s="1968"/>
      <c r="V40" s="1968"/>
      <c r="W40" s="1969"/>
      <c r="X40" s="1968"/>
      <c r="Y40" s="1968"/>
      <c r="Z40" s="1968"/>
      <c r="AA40" s="1968"/>
      <c r="AB40" s="1968"/>
    </row>
    <row r="41" spans="1:28" x14ac:dyDescent="0.45">
      <c r="A41" s="1416"/>
      <c r="B41" s="1968"/>
      <c r="C41" s="1968"/>
      <c r="D41" s="1968"/>
      <c r="E41" s="1968"/>
      <c r="F41" s="1968"/>
      <c r="G41" s="1968"/>
      <c r="H41" s="1968"/>
      <c r="I41" s="1968"/>
      <c r="J41" s="1968"/>
      <c r="K41" s="1968"/>
      <c r="L41" s="1968"/>
      <c r="M41" s="1968"/>
      <c r="N41" s="1968"/>
      <c r="O41" s="1968"/>
      <c r="P41" s="1968"/>
      <c r="Q41" s="1968"/>
      <c r="R41" s="1968"/>
      <c r="S41" s="1968"/>
      <c r="T41" s="1968"/>
      <c r="U41" s="1968"/>
      <c r="V41" s="1968"/>
      <c r="W41" s="1969"/>
      <c r="X41" s="1968"/>
      <c r="Y41" s="1968"/>
      <c r="Z41" s="1968"/>
      <c r="AA41" s="1968"/>
      <c r="AB41" s="1968"/>
    </row>
    <row r="42" spans="1:28" ht="28.5" x14ac:dyDescent="0.45">
      <c r="A42" s="1420" t="s">
        <v>1067</v>
      </c>
      <c r="B42" s="1968" t="s">
        <v>1068</v>
      </c>
      <c r="C42" s="1968"/>
      <c r="D42" s="1968"/>
      <c r="E42" s="1968"/>
      <c r="F42" s="1968"/>
      <c r="G42" s="1968"/>
      <c r="H42" s="1968"/>
      <c r="I42" s="1968"/>
      <c r="J42" s="1968"/>
      <c r="K42" s="1968"/>
      <c r="L42" s="1968"/>
      <c r="M42" s="1968"/>
      <c r="N42" s="1968"/>
      <c r="O42" s="1968"/>
      <c r="P42" s="1968"/>
      <c r="Q42" s="1968"/>
      <c r="R42" s="1968"/>
      <c r="S42" s="1968"/>
      <c r="T42" s="1968"/>
      <c r="U42" s="1968"/>
      <c r="V42" s="1968"/>
      <c r="W42" s="1969"/>
      <c r="X42" s="1968"/>
      <c r="Y42" s="1968"/>
      <c r="Z42" s="1968"/>
      <c r="AA42" s="1968"/>
      <c r="AB42" s="1968"/>
    </row>
    <row r="43" spans="1:28" x14ac:dyDescent="0.45">
      <c r="A43" s="1421" t="s">
        <v>357</v>
      </c>
      <c r="B43" s="2020" t="s">
        <v>355</v>
      </c>
      <c r="C43" s="2052">
        <f>TRA_inputs!$G33</f>
        <v>20496.072289815271</v>
      </c>
      <c r="D43" s="2052">
        <f>TRA_inputs!$G33</f>
        <v>20496.072289815271</v>
      </c>
      <c r="E43" s="2052">
        <f>TRA_inputs!$G33</f>
        <v>20496.072289815271</v>
      </c>
      <c r="F43" s="2052">
        <f>TRA_inputs!$G33</f>
        <v>20496.072289815271</v>
      </c>
      <c r="G43" s="2052">
        <f>TRA_inputs!$G33</f>
        <v>20496.072289815271</v>
      </c>
      <c r="H43" s="2052">
        <f>TRA_inputs!$G33</f>
        <v>20496.072289815271</v>
      </c>
      <c r="I43" s="2052">
        <f>TRA_inputs!$G33</f>
        <v>20496.072289815271</v>
      </c>
      <c r="J43" s="2052">
        <f>TRA_inputs!$G33</f>
        <v>20496.072289815271</v>
      </c>
      <c r="K43" s="2052">
        <f>TRA_inputs!$G33</f>
        <v>20496.072289815271</v>
      </c>
      <c r="L43" s="2052">
        <f>TRA_inputs!$G33</f>
        <v>20496.072289815271</v>
      </c>
      <c r="M43" s="2052">
        <f>TRA_inputs!$G33</f>
        <v>20496.072289815271</v>
      </c>
      <c r="N43" s="2052">
        <f>TRA_inputs!$G33</f>
        <v>20496.072289815271</v>
      </c>
      <c r="O43" s="2052">
        <f>TRA_inputs!$G33</f>
        <v>20496.072289815271</v>
      </c>
      <c r="P43" s="2052">
        <f>TRA_inputs!$G33</f>
        <v>20496.072289815271</v>
      </c>
      <c r="Q43" s="2052">
        <f>TRA_inputs!$G33</f>
        <v>20496.072289815271</v>
      </c>
      <c r="R43" s="2052">
        <f>TRA_inputs!$G33</f>
        <v>20496.072289815271</v>
      </c>
      <c r="S43" s="2052">
        <f>TRA_inputs!$G33</f>
        <v>20496.072289815271</v>
      </c>
      <c r="T43" s="2052">
        <f>TRA_inputs!$G33</f>
        <v>20496.072289815271</v>
      </c>
      <c r="U43" s="2052">
        <f>TRA_inputs!$G33</f>
        <v>20496.072289815271</v>
      </c>
      <c r="V43" s="2052">
        <f>TRA_inputs!$G33</f>
        <v>20496.072289815271</v>
      </c>
      <c r="W43" s="2052">
        <f>TRA_inputs!$G33</f>
        <v>20496.072289815271</v>
      </c>
      <c r="X43" s="2052">
        <f>TRA_inputs!$G33</f>
        <v>20496.072289815271</v>
      </c>
      <c r="Y43" s="2052">
        <f>TRA_inputs!$G33</f>
        <v>20496.072289815271</v>
      </c>
      <c r="Z43" s="2052">
        <f>TRA_inputs!$G33</f>
        <v>20496.072289815271</v>
      </c>
      <c r="AA43" s="2052">
        <f>TRA_inputs!$G33</f>
        <v>20496.072289815271</v>
      </c>
      <c r="AB43" s="2052">
        <f>TRA_inputs!$G33</f>
        <v>20496.072289815271</v>
      </c>
    </row>
    <row r="44" spans="1:28" x14ac:dyDescent="0.45">
      <c r="A44" s="1421" t="s">
        <v>1062</v>
      </c>
      <c r="B44" s="2020" t="s">
        <v>355</v>
      </c>
      <c r="C44" s="2052">
        <f>TRA_inputs!$H$30</f>
        <v>654.43228966205663</v>
      </c>
      <c r="D44" s="2052">
        <f>TRA_inputs!$H$30</f>
        <v>654.43228966205663</v>
      </c>
      <c r="E44" s="2052">
        <f>TRA_inputs!$H$30</f>
        <v>654.43228966205663</v>
      </c>
      <c r="F44" s="2052">
        <f>TRA_inputs!$H$30</f>
        <v>654.43228966205663</v>
      </c>
      <c r="G44" s="2052">
        <f>TRA_inputs!$H$30</f>
        <v>654.43228966205663</v>
      </c>
      <c r="H44" s="2052">
        <f>TRA_inputs!$H$30</f>
        <v>654.43228966205663</v>
      </c>
      <c r="I44" s="2052">
        <f>TRA_inputs!$H$30</f>
        <v>654.43228966205663</v>
      </c>
      <c r="J44" s="2052">
        <f>TRA_inputs!$H$30</f>
        <v>654.43228966205663</v>
      </c>
      <c r="K44" s="2052">
        <f>TRA_inputs!$H$30</f>
        <v>654.43228966205663</v>
      </c>
      <c r="L44" s="2052">
        <f>TRA_inputs!$H$30</f>
        <v>654.43228966205663</v>
      </c>
      <c r="M44" s="2052">
        <f>TRA_inputs!$H$30</f>
        <v>654.43228966205663</v>
      </c>
      <c r="N44" s="2052">
        <f>TRA_inputs!$H$30</f>
        <v>654.43228966205663</v>
      </c>
      <c r="O44" s="2052">
        <f>TRA_inputs!$H$30</f>
        <v>654.43228966205663</v>
      </c>
      <c r="P44" s="2052">
        <f>TRA_inputs!$H$30</f>
        <v>654.43228966205663</v>
      </c>
      <c r="Q44" s="2052">
        <f>TRA_inputs!$H$30</f>
        <v>654.43228966205663</v>
      </c>
      <c r="R44" s="2052">
        <f>TRA_inputs!$H$30</f>
        <v>654.43228966205663</v>
      </c>
      <c r="S44" s="2052">
        <f>TRA_inputs!$H$30</f>
        <v>654.43228966205663</v>
      </c>
      <c r="T44" s="2052">
        <f>TRA_inputs!$H$30</f>
        <v>654.43228966205663</v>
      </c>
      <c r="U44" s="2052">
        <f>TRA_inputs!$H$30</f>
        <v>654.43228966205663</v>
      </c>
      <c r="V44" s="2052">
        <f>TRA_inputs!$H$30</f>
        <v>654.43228966205663</v>
      </c>
      <c r="W44" s="2052">
        <f>TRA_inputs!$H$30</f>
        <v>654.43228966205663</v>
      </c>
      <c r="X44" s="2052">
        <f>TRA_inputs!$H$30</f>
        <v>654.43228966205663</v>
      </c>
      <c r="Y44" s="2052">
        <f>TRA_inputs!$H$30</f>
        <v>654.43228966205663</v>
      </c>
      <c r="Z44" s="2052">
        <f>TRA_inputs!$H$30</f>
        <v>654.43228966205663</v>
      </c>
      <c r="AA44" s="2052">
        <f>TRA_inputs!$H$30</f>
        <v>654.43228966205663</v>
      </c>
      <c r="AB44" s="2052">
        <f>TRA_inputs!$H$30</f>
        <v>654.43228966205663</v>
      </c>
    </row>
    <row r="45" spans="1:28" x14ac:dyDescent="0.45">
      <c r="A45" s="1421" t="s">
        <v>1062</v>
      </c>
      <c r="B45" s="2020" t="s">
        <v>359</v>
      </c>
      <c r="C45" s="2052">
        <f>TRA_inputs!$H$30</f>
        <v>654.43228966205663</v>
      </c>
      <c r="D45" s="2052">
        <f>TRA_inputs!$H$30</f>
        <v>654.43228966205663</v>
      </c>
      <c r="E45" s="2052">
        <f>TRA_inputs!$H$30</f>
        <v>654.43228966205663</v>
      </c>
      <c r="F45" s="2052">
        <f>TRA_inputs!$H$30</f>
        <v>654.43228966205663</v>
      </c>
      <c r="G45" s="2052">
        <f>TRA_inputs!$H$30</f>
        <v>654.43228966205663</v>
      </c>
      <c r="H45" s="2052">
        <f>TRA_inputs!$H$30</f>
        <v>654.43228966205663</v>
      </c>
      <c r="I45" s="2052">
        <f>TRA_inputs!$H$30</f>
        <v>654.43228966205663</v>
      </c>
      <c r="J45" s="2052">
        <f>TRA_inputs!$H$30</f>
        <v>654.43228966205663</v>
      </c>
      <c r="K45" s="2052">
        <f>TRA_inputs!$H$30</f>
        <v>654.43228966205663</v>
      </c>
      <c r="L45" s="2052">
        <f>TRA_inputs!$H$30</f>
        <v>654.43228966205663</v>
      </c>
      <c r="M45" s="2052">
        <f>TRA_inputs!$H$30</f>
        <v>654.43228966205663</v>
      </c>
      <c r="N45" s="2052">
        <f>TRA_inputs!$H$30</f>
        <v>654.43228966205663</v>
      </c>
      <c r="O45" s="2052">
        <f>TRA_inputs!$H$30</f>
        <v>654.43228966205663</v>
      </c>
      <c r="P45" s="2052">
        <f>TRA_inputs!$H$30</f>
        <v>654.43228966205663</v>
      </c>
      <c r="Q45" s="2052">
        <f>TRA_inputs!$H$30</f>
        <v>654.43228966205663</v>
      </c>
      <c r="R45" s="2052">
        <f>TRA_inputs!$H$30</f>
        <v>654.43228966205663</v>
      </c>
      <c r="S45" s="2052">
        <f>TRA_inputs!$H$30</f>
        <v>654.43228966205663</v>
      </c>
      <c r="T45" s="2052">
        <f>TRA_inputs!$H$30</f>
        <v>654.43228966205663</v>
      </c>
      <c r="U45" s="2052">
        <f>TRA_inputs!$H$30</f>
        <v>654.43228966205663</v>
      </c>
      <c r="V45" s="2052">
        <f>TRA_inputs!$H$30</f>
        <v>654.43228966205663</v>
      </c>
      <c r="W45" s="2052">
        <f>TRA_inputs!$H$30</f>
        <v>654.43228966205663</v>
      </c>
      <c r="X45" s="2052">
        <f>TRA_inputs!$H$30</f>
        <v>654.43228966205663</v>
      </c>
      <c r="Y45" s="2052">
        <f>TRA_inputs!$H$30</f>
        <v>654.43228966205663</v>
      </c>
      <c r="Z45" s="2052">
        <f>TRA_inputs!$H$30</f>
        <v>654.43228966205663</v>
      </c>
      <c r="AA45" s="2052">
        <f>TRA_inputs!$H$30</f>
        <v>654.43228966205663</v>
      </c>
      <c r="AB45" s="2052">
        <f>TRA_inputs!$H$30</f>
        <v>654.43228966205663</v>
      </c>
    </row>
    <row r="46" spans="1:28" x14ac:dyDescent="0.45">
      <c r="A46" s="1421" t="s">
        <v>358</v>
      </c>
      <c r="B46" s="2020" t="s">
        <v>355</v>
      </c>
      <c r="C46" s="2022">
        <f>TRA_inputs!$G34</f>
        <v>17.244796517074864</v>
      </c>
      <c r="D46" s="2022">
        <f>TRA_inputs!$G34</f>
        <v>17.244796517074864</v>
      </c>
      <c r="E46" s="2022">
        <f>TRA_inputs!$G34</f>
        <v>17.244796517074864</v>
      </c>
      <c r="F46" s="2022">
        <f>TRA_inputs!$G34</f>
        <v>17.244796517074864</v>
      </c>
      <c r="G46" s="2022">
        <f>TRA_inputs!$G34</f>
        <v>17.244796517074864</v>
      </c>
      <c r="H46" s="2022">
        <f>TRA_inputs!$G34</f>
        <v>17.244796517074864</v>
      </c>
      <c r="I46" s="2022">
        <f>TRA_inputs!$G34</f>
        <v>17.244796517074864</v>
      </c>
      <c r="J46" s="2022">
        <f>TRA_inputs!$G34</f>
        <v>17.244796517074864</v>
      </c>
      <c r="K46" s="2022">
        <f>TRA_inputs!$G34</f>
        <v>17.244796517074864</v>
      </c>
      <c r="L46" s="2022">
        <f>TRA_inputs!$G34</f>
        <v>17.244796517074864</v>
      </c>
      <c r="M46" s="2022">
        <f>TRA_inputs!$G34</f>
        <v>17.244796517074864</v>
      </c>
      <c r="N46" s="2022">
        <f>TRA_inputs!$G34</f>
        <v>17.244796517074864</v>
      </c>
      <c r="O46" s="2022">
        <f>TRA_inputs!$G34</f>
        <v>17.244796517074864</v>
      </c>
      <c r="P46" s="2022">
        <f>TRA_inputs!$G34</f>
        <v>17.244796517074864</v>
      </c>
      <c r="Q46" s="2022">
        <f>TRA_inputs!$G34</f>
        <v>17.244796517074864</v>
      </c>
      <c r="R46" s="2022">
        <f>TRA_inputs!$G34</f>
        <v>17.244796517074864</v>
      </c>
      <c r="S46" s="2022">
        <f>TRA_inputs!$G34</f>
        <v>17.244796517074864</v>
      </c>
      <c r="T46" s="2022">
        <f>TRA_inputs!$G34</f>
        <v>17.244796517074864</v>
      </c>
      <c r="U46" s="2022">
        <f>TRA_inputs!$G34</f>
        <v>17.244796517074864</v>
      </c>
      <c r="V46" s="2022">
        <f>TRA_inputs!$G34</f>
        <v>17.244796517074864</v>
      </c>
      <c r="W46" s="2022">
        <f>TRA_inputs!$G34</f>
        <v>17.244796517074864</v>
      </c>
      <c r="X46" s="2022">
        <f>TRA_inputs!$G34</f>
        <v>17.244796517074864</v>
      </c>
      <c r="Y46" s="2022">
        <f>TRA_inputs!$G34</f>
        <v>17.244796517074864</v>
      </c>
      <c r="Z46" s="2022">
        <f>TRA_inputs!$G34</f>
        <v>17.244796517074864</v>
      </c>
      <c r="AA46" s="2022">
        <f>TRA_inputs!$G34</f>
        <v>17.244796517074864</v>
      </c>
      <c r="AB46" s="2022">
        <f>TRA_inputs!$G34</f>
        <v>17.244796517074864</v>
      </c>
    </row>
    <row r="47" spans="1:28" x14ac:dyDescent="0.45">
      <c r="A47" s="1421" t="s">
        <v>358</v>
      </c>
      <c r="B47" s="2020" t="s">
        <v>359</v>
      </c>
      <c r="C47" s="2022">
        <f>TRA_inputs!$G35</f>
        <v>17.244796517074864</v>
      </c>
      <c r="D47" s="2022">
        <f>TRA_inputs!$G35</f>
        <v>17.244796517074864</v>
      </c>
      <c r="E47" s="2022">
        <f>TRA_inputs!$G35</f>
        <v>17.244796517074864</v>
      </c>
      <c r="F47" s="2022">
        <f>TRA_inputs!$G35</f>
        <v>17.244796517074864</v>
      </c>
      <c r="G47" s="2022">
        <f>TRA_inputs!$G35</f>
        <v>17.244796517074864</v>
      </c>
      <c r="H47" s="2022">
        <f>TRA_inputs!$G35</f>
        <v>17.244796517074864</v>
      </c>
      <c r="I47" s="2022">
        <f>TRA_inputs!$G35</f>
        <v>17.244796517074864</v>
      </c>
      <c r="J47" s="2022">
        <f>TRA_inputs!$G35</f>
        <v>17.244796517074864</v>
      </c>
      <c r="K47" s="2022">
        <f>TRA_inputs!$G35</f>
        <v>17.244796517074864</v>
      </c>
      <c r="L47" s="2022">
        <f>TRA_inputs!$G35</f>
        <v>17.244796517074864</v>
      </c>
      <c r="M47" s="2022">
        <f>TRA_inputs!$G35</f>
        <v>17.244796517074864</v>
      </c>
      <c r="N47" s="2022">
        <f>TRA_inputs!$G35</f>
        <v>17.244796517074864</v>
      </c>
      <c r="O47" s="2022">
        <f>TRA_inputs!$G35</f>
        <v>17.244796517074864</v>
      </c>
      <c r="P47" s="2022">
        <f>TRA_inputs!$G35</f>
        <v>17.244796517074864</v>
      </c>
      <c r="Q47" s="2022">
        <f>TRA_inputs!$G35</f>
        <v>17.244796517074864</v>
      </c>
      <c r="R47" s="2022">
        <f>TRA_inputs!$G35</f>
        <v>17.244796517074864</v>
      </c>
      <c r="S47" s="2022">
        <f>TRA_inputs!$G35</f>
        <v>17.244796517074864</v>
      </c>
      <c r="T47" s="2022">
        <f>TRA_inputs!$G35</f>
        <v>17.244796517074864</v>
      </c>
      <c r="U47" s="2022">
        <f>TRA_inputs!$G35</f>
        <v>17.244796517074864</v>
      </c>
      <c r="V47" s="2022">
        <f>TRA_inputs!$G35</f>
        <v>17.244796517074864</v>
      </c>
      <c r="W47" s="2022">
        <f>TRA_inputs!$G35</f>
        <v>17.244796517074864</v>
      </c>
      <c r="X47" s="2022">
        <f>TRA_inputs!$G35</f>
        <v>17.244796517074864</v>
      </c>
      <c r="Y47" s="2022">
        <f>TRA_inputs!$G35</f>
        <v>17.244796517074864</v>
      </c>
      <c r="Z47" s="2022">
        <f>TRA_inputs!$G35</f>
        <v>17.244796517074864</v>
      </c>
      <c r="AA47" s="2022">
        <f>TRA_inputs!$G35</f>
        <v>17.244796517074864</v>
      </c>
      <c r="AB47" s="2022">
        <f>TRA_inputs!$G35</f>
        <v>17.244796517074864</v>
      </c>
    </row>
    <row r="48" spans="1:28" x14ac:dyDescent="0.45">
      <c r="A48" s="1421" t="s">
        <v>360</v>
      </c>
      <c r="B48" s="2020" t="s">
        <v>355</v>
      </c>
      <c r="C48" s="2022">
        <f>TRA_inputs!$G36</f>
        <v>7.6125909376422083</v>
      </c>
      <c r="D48" s="2022">
        <f>TRA_inputs!$G36</f>
        <v>7.6125909376422083</v>
      </c>
      <c r="E48" s="2022">
        <f>TRA_inputs!$G36</f>
        <v>7.6125909376422083</v>
      </c>
      <c r="F48" s="2022">
        <f>TRA_inputs!$G36</f>
        <v>7.6125909376422083</v>
      </c>
      <c r="G48" s="2022">
        <f>TRA_inputs!$G36</f>
        <v>7.6125909376422083</v>
      </c>
      <c r="H48" s="2022">
        <f>TRA_inputs!$G36</f>
        <v>7.6125909376422083</v>
      </c>
      <c r="I48" s="2022">
        <f>TRA_inputs!$G36</f>
        <v>7.6125909376422083</v>
      </c>
      <c r="J48" s="2022">
        <f>TRA_inputs!$G36</f>
        <v>7.6125909376422083</v>
      </c>
      <c r="K48" s="2022">
        <f>TRA_inputs!$G36</f>
        <v>7.6125909376422083</v>
      </c>
      <c r="L48" s="2022">
        <f>TRA_inputs!$G36</f>
        <v>7.6125909376422083</v>
      </c>
      <c r="M48" s="2022">
        <f>TRA_inputs!$G36</f>
        <v>7.6125909376422083</v>
      </c>
      <c r="N48" s="2022">
        <f>TRA_inputs!$G36</f>
        <v>7.6125909376422083</v>
      </c>
      <c r="O48" s="2022">
        <f>TRA_inputs!$G36</f>
        <v>7.6125909376422083</v>
      </c>
      <c r="P48" s="2022">
        <f>TRA_inputs!$G36</f>
        <v>7.6125909376422083</v>
      </c>
      <c r="Q48" s="2022">
        <f>TRA_inputs!$G36</f>
        <v>7.6125909376422083</v>
      </c>
      <c r="R48" s="2022">
        <f>TRA_inputs!$G36</f>
        <v>7.6125909376422083</v>
      </c>
      <c r="S48" s="2022">
        <f>TRA_inputs!$G36</f>
        <v>7.6125909376422083</v>
      </c>
      <c r="T48" s="2022">
        <f>TRA_inputs!$G36</f>
        <v>7.6125909376422083</v>
      </c>
      <c r="U48" s="2022">
        <f>TRA_inputs!$G36</f>
        <v>7.6125909376422083</v>
      </c>
      <c r="V48" s="2022">
        <f>TRA_inputs!$G36</f>
        <v>7.6125909376422083</v>
      </c>
      <c r="W48" s="2022">
        <f>TRA_inputs!$G36</f>
        <v>7.6125909376422083</v>
      </c>
      <c r="X48" s="2022">
        <f>TRA_inputs!$G36</f>
        <v>7.6125909376422083</v>
      </c>
      <c r="Y48" s="2022">
        <f>TRA_inputs!$G36</f>
        <v>7.6125909376422083</v>
      </c>
      <c r="Z48" s="2022">
        <f>TRA_inputs!$G36</f>
        <v>7.6125909376422083</v>
      </c>
      <c r="AA48" s="2022">
        <f>TRA_inputs!$G36</f>
        <v>7.6125909376422083</v>
      </c>
      <c r="AB48" s="2022">
        <f>TRA_inputs!$G36</f>
        <v>7.6125909376422083</v>
      </c>
    </row>
    <row r="49" spans="1:28" x14ac:dyDescent="0.45">
      <c r="A49" s="1421" t="s">
        <v>360</v>
      </c>
      <c r="B49" s="2020" t="s">
        <v>359</v>
      </c>
      <c r="C49" s="2022">
        <f>TRA_inputs!$G37</f>
        <v>7.6125909376422083</v>
      </c>
      <c r="D49" s="2022">
        <f>TRA_inputs!$G37</f>
        <v>7.6125909376422083</v>
      </c>
      <c r="E49" s="2022">
        <f>TRA_inputs!$G37</f>
        <v>7.6125909376422083</v>
      </c>
      <c r="F49" s="2022">
        <f>TRA_inputs!$G37</f>
        <v>7.6125909376422083</v>
      </c>
      <c r="G49" s="2022">
        <f>TRA_inputs!$G37</f>
        <v>7.6125909376422083</v>
      </c>
      <c r="H49" s="2022">
        <f>TRA_inputs!$G37</f>
        <v>7.6125909376422083</v>
      </c>
      <c r="I49" s="2022">
        <f>TRA_inputs!$G37</f>
        <v>7.6125909376422083</v>
      </c>
      <c r="J49" s="2022">
        <f>TRA_inputs!$G37</f>
        <v>7.6125909376422083</v>
      </c>
      <c r="K49" s="2022">
        <f>TRA_inputs!$G37</f>
        <v>7.6125909376422083</v>
      </c>
      <c r="L49" s="2022">
        <f>TRA_inputs!$G37</f>
        <v>7.6125909376422083</v>
      </c>
      <c r="M49" s="2022">
        <f>TRA_inputs!$G37</f>
        <v>7.6125909376422083</v>
      </c>
      <c r="N49" s="2022">
        <f>TRA_inputs!$G37</f>
        <v>7.6125909376422083</v>
      </c>
      <c r="O49" s="2022">
        <f>TRA_inputs!$G37</f>
        <v>7.6125909376422083</v>
      </c>
      <c r="P49" s="2022">
        <f>TRA_inputs!$G37</f>
        <v>7.6125909376422083</v>
      </c>
      <c r="Q49" s="2022">
        <f>TRA_inputs!$G37</f>
        <v>7.6125909376422083</v>
      </c>
      <c r="R49" s="2022">
        <f>TRA_inputs!$G37</f>
        <v>7.6125909376422083</v>
      </c>
      <c r="S49" s="2022">
        <f>TRA_inputs!$G37</f>
        <v>7.6125909376422083</v>
      </c>
      <c r="T49" s="2022">
        <f>TRA_inputs!$G37</f>
        <v>7.6125909376422083</v>
      </c>
      <c r="U49" s="2022">
        <f>TRA_inputs!$G37</f>
        <v>7.6125909376422083</v>
      </c>
      <c r="V49" s="2022">
        <f>TRA_inputs!$G37</f>
        <v>7.6125909376422083</v>
      </c>
      <c r="W49" s="2022">
        <f>TRA_inputs!$G37</f>
        <v>7.6125909376422083</v>
      </c>
      <c r="X49" s="2022">
        <f>TRA_inputs!$G37</f>
        <v>7.6125909376422083</v>
      </c>
      <c r="Y49" s="2022">
        <f>TRA_inputs!$G37</f>
        <v>7.6125909376422083</v>
      </c>
      <c r="Z49" s="2022">
        <f>TRA_inputs!$G37</f>
        <v>7.6125909376422083</v>
      </c>
      <c r="AA49" s="2022">
        <f>TRA_inputs!$G37</f>
        <v>7.6125909376422083</v>
      </c>
      <c r="AB49" s="2022">
        <f>TRA_inputs!$G37</f>
        <v>7.6125909376422083</v>
      </c>
    </row>
    <row r="50" spans="1:28" x14ac:dyDescent="0.45">
      <c r="A50" s="1421" t="s">
        <v>361</v>
      </c>
      <c r="B50" s="2020" t="s">
        <v>355</v>
      </c>
      <c r="C50" s="2022">
        <f>TRA_inputs!$G38</f>
        <v>0.69245735762500715</v>
      </c>
      <c r="D50" s="2022">
        <f>TRA_inputs!$G38</f>
        <v>0.69245735762500715</v>
      </c>
      <c r="E50" s="2022">
        <f>TRA_inputs!$G38</f>
        <v>0.69245735762500715</v>
      </c>
      <c r="F50" s="2022">
        <f>TRA_inputs!$G38</f>
        <v>0.69245735762500715</v>
      </c>
      <c r="G50" s="2022">
        <f>TRA_inputs!$G38</f>
        <v>0.69245735762500715</v>
      </c>
      <c r="H50" s="2022">
        <f>TRA_inputs!$G38</f>
        <v>0.69245735762500715</v>
      </c>
      <c r="I50" s="2022">
        <f>TRA_inputs!$G38</f>
        <v>0.69245735762500715</v>
      </c>
      <c r="J50" s="2022">
        <f>TRA_inputs!$G38</f>
        <v>0.69245735762500715</v>
      </c>
      <c r="K50" s="2022">
        <f>TRA_inputs!$G38</f>
        <v>0.69245735762500715</v>
      </c>
      <c r="L50" s="2022">
        <f>TRA_inputs!$G38</f>
        <v>0.69245735762500715</v>
      </c>
      <c r="M50" s="2022">
        <f>TRA_inputs!$G38</f>
        <v>0.69245735762500715</v>
      </c>
      <c r="N50" s="2022">
        <f>TRA_inputs!$G38</f>
        <v>0.69245735762500715</v>
      </c>
      <c r="O50" s="2022">
        <f>TRA_inputs!$G38</f>
        <v>0.69245735762500715</v>
      </c>
      <c r="P50" s="2022">
        <f>TRA_inputs!$G38</f>
        <v>0.69245735762500715</v>
      </c>
      <c r="Q50" s="2022">
        <f>TRA_inputs!$G38</f>
        <v>0.69245735762500715</v>
      </c>
      <c r="R50" s="2022">
        <f>TRA_inputs!$G38</f>
        <v>0.69245735762500715</v>
      </c>
      <c r="S50" s="2022">
        <f>TRA_inputs!$G38</f>
        <v>0.69245735762500715</v>
      </c>
      <c r="T50" s="2022">
        <f>TRA_inputs!$G38</f>
        <v>0.69245735762500715</v>
      </c>
      <c r="U50" s="2022">
        <f>TRA_inputs!$G38</f>
        <v>0.69245735762500715</v>
      </c>
      <c r="V50" s="2022">
        <f>TRA_inputs!$G38</f>
        <v>0.69245735762500715</v>
      </c>
      <c r="W50" s="2022">
        <f>TRA_inputs!$G38</f>
        <v>0.69245735762500715</v>
      </c>
      <c r="X50" s="2022">
        <f>TRA_inputs!$G38</f>
        <v>0.69245735762500715</v>
      </c>
      <c r="Y50" s="2022">
        <f>TRA_inputs!$G38</f>
        <v>0.69245735762500715</v>
      </c>
      <c r="Z50" s="2022">
        <f>TRA_inputs!$G38</f>
        <v>0.69245735762500715</v>
      </c>
      <c r="AA50" s="2022">
        <f>TRA_inputs!$G38</f>
        <v>0.69245735762500715</v>
      </c>
      <c r="AB50" s="2022">
        <f>TRA_inputs!$G38</f>
        <v>0.69245735762500715</v>
      </c>
    </row>
    <row r="51" spans="1:28" x14ac:dyDescent="0.45">
      <c r="A51" s="1421" t="s">
        <v>361</v>
      </c>
      <c r="B51" s="2020" t="s">
        <v>359</v>
      </c>
      <c r="C51" s="2022">
        <f>TRA_inputs!$G39</f>
        <v>0.69245735762500715</v>
      </c>
      <c r="D51" s="2022">
        <f>TRA_inputs!$G39</f>
        <v>0.69245735762500715</v>
      </c>
      <c r="E51" s="2022">
        <f>TRA_inputs!$G39</f>
        <v>0.69245735762500715</v>
      </c>
      <c r="F51" s="2022">
        <f>TRA_inputs!$G39</f>
        <v>0.69245735762500715</v>
      </c>
      <c r="G51" s="2022">
        <f>TRA_inputs!$G39</f>
        <v>0.69245735762500715</v>
      </c>
      <c r="H51" s="2022">
        <f>TRA_inputs!$G39</f>
        <v>0.69245735762500715</v>
      </c>
      <c r="I51" s="2022">
        <f>TRA_inputs!$G39</f>
        <v>0.69245735762500715</v>
      </c>
      <c r="J51" s="2022">
        <f>TRA_inputs!$G39</f>
        <v>0.69245735762500715</v>
      </c>
      <c r="K51" s="2022">
        <f>TRA_inputs!$G39</f>
        <v>0.69245735762500715</v>
      </c>
      <c r="L51" s="2022">
        <f>TRA_inputs!$G39</f>
        <v>0.69245735762500715</v>
      </c>
      <c r="M51" s="2022">
        <f>TRA_inputs!$G39</f>
        <v>0.69245735762500715</v>
      </c>
      <c r="N51" s="2022">
        <f>TRA_inputs!$G39</f>
        <v>0.69245735762500715</v>
      </c>
      <c r="O51" s="2022">
        <f>TRA_inputs!$G39</f>
        <v>0.69245735762500715</v>
      </c>
      <c r="P51" s="2022">
        <f>TRA_inputs!$G39</f>
        <v>0.69245735762500715</v>
      </c>
      <c r="Q51" s="2022">
        <f>TRA_inputs!$G39</f>
        <v>0.69245735762500715</v>
      </c>
      <c r="R51" s="2022">
        <f>TRA_inputs!$G39</f>
        <v>0.69245735762500715</v>
      </c>
      <c r="S51" s="2022">
        <f>TRA_inputs!$G39</f>
        <v>0.69245735762500715</v>
      </c>
      <c r="T51" s="2022">
        <f>TRA_inputs!$G39</f>
        <v>0.69245735762500715</v>
      </c>
      <c r="U51" s="2022">
        <f>TRA_inputs!$G39</f>
        <v>0.69245735762500715</v>
      </c>
      <c r="V51" s="2022">
        <f>TRA_inputs!$G39</f>
        <v>0.69245735762500715</v>
      </c>
      <c r="W51" s="2022">
        <f>TRA_inputs!$G39</f>
        <v>0.69245735762500715</v>
      </c>
      <c r="X51" s="2022">
        <f>TRA_inputs!$G39</f>
        <v>0.69245735762500715</v>
      </c>
      <c r="Y51" s="2022">
        <f>TRA_inputs!$G39</f>
        <v>0.69245735762500715</v>
      </c>
      <c r="Z51" s="2022">
        <f>TRA_inputs!$G39</f>
        <v>0.69245735762500715</v>
      </c>
      <c r="AA51" s="2022">
        <f>TRA_inputs!$G39</f>
        <v>0.69245735762500715</v>
      </c>
      <c r="AB51" s="2022">
        <f>TRA_inputs!$G39</f>
        <v>0.69245735762500715</v>
      </c>
    </row>
    <row r="52" spans="1:28" x14ac:dyDescent="0.45">
      <c r="A52" s="1416"/>
      <c r="B52" s="1968"/>
      <c r="C52" s="1968"/>
      <c r="D52" s="1968"/>
      <c r="E52" s="1968"/>
      <c r="F52" s="1968"/>
      <c r="G52" s="1968"/>
      <c r="H52" s="1968"/>
      <c r="I52" s="1968"/>
      <c r="J52" s="1968"/>
      <c r="K52" s="1968"/>
      <c r="L52" s="1968"/>
      <c r="M52" s="1968"/>
      <c r="N52" s="1968"/>
      <c r="O52" s="1968"/>
      <c r="P52" s="1968"/>
      <c r="Q52" s="1968"/>
      <c r="R52" s="1968"/>
      <c r="S52" s="1968"/>
      <c r="T52" s="1968"/>
      <c r="U52" s="1968"/>
      <c r="V52" s="1968"/>
      <c r="W52" s="1969"/>
      <c r="X52" s="1968"/>
      <c r="Y52" s="1968"/>
      <c r="Z52" s="1968"/>
      <c r="AA52" s="1968"/>
      <c r="AB52" s="1968"/>
    </row>
    <row r="53" spans="1:28" x14ac:dyDescent="0.45">
      <c r="A53" s="1416"/>
      <c r="B53" s="1968"/>
      <c r="C53" s="1968"/>
      <c r="D53" s="1968"/>
      <c r="E53" s="1968"/>
      <c r="F53" s="1968"/>
      <c r="G53" s="1968"/>
      <c r="H53" s="1968"/>
      <c r="I53" s="1968"/>
      <c r="J53" s="1968"/>
      <c r="K53" s="1968"/>
      <c r="L53" s="1968"/>
      <c r="M53" s="1968"/>
      <c r="N53" s="1968"/>
      <c r="O53" s="1968"/>
      <c r="P53" s="1968"/>
      <c r="Q53" s="1968"/>
      <c r="R53" s="1968"/>
      <c r="S53" s="1968"/>
      <c r="T53" s="1968"/>
      <c r="U53" s="1968"/>
      <c r="V53" s="1968"/>
      <c r="W53" s="1969"/>
      <c r="X53" s="1968"/>
      <c r="Y53" s="1968"/>
      <c r="Z53" s="1968"/>
      <c r="AA53" s="1968"/>
      <c r="AB53" s="1968"/>
    </row>
    <row r="54" spans="1:28" x14ac:dyDescent="0.45">
      <c r="A54" s="1420" t="s">
        <v>1065</v>
      </c>
      <c r="B54" s="1968" t="s">
        <v>1069</v>
      </c>
      <c r="C54" s="1968"/>
      <c r="D54" s="1968"/>
      <c r="E54" s="1968"/>
      <c r="F54" s="1968"/>
      <c r="G54" s="1968"/>
      <c r="H54" s="1968"/>
      <c r="I54" s="1968"/>
      <c r="J54" s="1968"/>
      <c r="K54" s="1968"/>
      <c r="L54" s="1968"/>
      <c r="M54" s="1968"/>
      <c r="N54" s="1968"/>
      <c r="O54" s="1968"/>
      <c r="P54" s="1968"/>
      <c r="Q54" s="1968"/>
      <c r="R54" s="1968"/>
      <c r="S54" s="1968"/>
      <c r="T54" s="1968"/>
      <c r="U54" s="1968"/>
      <c r="V54" s="1968"/>
      <c r="W54" s="1969"/>
      <c r="X54" s="1968"/>
      <c r="Y54" s="1968"/>
      <c r="Z54" s="1968"/>
      <c r="AA54" s="1968"/>
      <c r="AB54" s="1968"/>
    </row>
    <row r="55" spans="1:28" x14ac:dyDescent="0.45">
      <c r="A55" s="1417" t="s">
        <v>357</v>
      </c>
      <c r="B55" s="2026" t="s">
        <v>355</v>
      </c>
      <c r="C55" s="2024">
        <f t="shared" ref="C55:AB55" si="11">C31/C43</f>
        <v>8.2202059789588444E-2</v>
      </c>
      <c r="D55" s="2024">
        <f t="shared" si="11"/>
        <v>8.2202059789588444E-2</v>
      </c>
      <c r="E55" s="2024">
        <f t="shared" si="11"/>
        <v>8.2202059789588444E-2</v>
      </c>
      <c r="F55" s="2024">
        <f t="shared" si="11"/>
        <v>8.2202059789588444E-2</v>
      </c>
      <c r="G55" s="2024">
        <f t="shared" si="11"/>
        <v>8.2202059789588444E-2</v>
      </c>
      <c r="H55" s="2024">
        <f t="shared" si="11"/>
        <v>8.2202059789588444E-2</v>
      </c>
      <c r="I55" s="2024">
        <f t="shared" si="11"/>
        <v>8.2202059789588444E-2</v>
      </c>
      <c r="J55" s="2024">
        <f t="shared" si="11"/>
        <v>8.2202059789588444E-2</v>
      </c>
      <c r="K55" s="2024">
        <f t="shared" si="11"/>
        <v>8.2202059789588444E-2</v>
      </c>
      <c r="L55" s="2024">
        <f t="shared" si="11"/>
        <v>8.2202059789588444E-2</v>
      </c>
      <c r="M55" s="2024">
        <f t="shared" si="11"/>
        <v>8.2202059789588444E-2</v>
      </c>
      <c r="N55" s="2024">
        <f t="shared" si="11"/>
        <v>8.2202059789588444E-2</v>
      </c>
      <c r="O55" s="2024">
        <f t="shared" si="11"/>
        <v>8.2202059789588444E-2</v>
      </c>
      <c r="P55" s="2024">
        <f t="shared" si="11"/>
        <v>8.2202059789588444E-2</v>
      </c>
      <c r="Q55" s="2024">
        <f t="shared" si="11"/>
        <v>8.2202059789588444E-2</v>
      </c>
      <c r="R55" s="2024">
        <f t="shared" si="11"/>
        <v>8.2202059789588444E-2</v>
      </c>
      <c r="S55" s="2024">
        <f t="shared" si="11"/>
        <v>8.2202059789588444E-2</v>
      </c>
      <c r="T55" s="2024">
        <f t="shared" si="11"/>
        <v>8.2202059789588444E-2</v>
      </c>
      <c r="U55" s="2024">
        <f t="shared" ref="U55:V63" si="12">U31/U43</f>
        <v>8.2202059789588444E-2</v>
      </c>
      <c r="V55" s="2024">
        <f t="shared" si="12"/>
        <v>8.2202059789588444E-2</v>
      </c>
      <c r="W55" s="2024">
        <f t="shared" ref="W55:W63" si="13">W31/W43</f>
        <v>8.2202059789588444E-2</v>
      </c>
      <c r="X55" s="2024">
        <f t="shared" si="11"/>
        <v>8.2202059789588444E-2</v>
      </c>
      <c r="Y55" s="2024">
        <f t="shared" si="11"/>
        <v>8.2202059789588444E-2</v>
      </c>
      <c r="Z55" s="2024">
        <f t="shared" si="11"/>
        <v>8.2202059789588444E-2</v>
      </c>
      <c r="AA55" s="2024">
        <f t="shared" si="11"/>
        <v>8.2202059789588444E-2</v>
      </c>
      <c r="AB55" s="2024">
        <f t="shared" si="11"/>
        <v>8.2202059789588444E-2</v>
      </c>
    </row>
    <row r="56" spans="1:28" x14ac:dyDescent="0.45">
      <c r="A56" s="1417" t="s">
        <v>1062</v>
      </c>
      <c r="B56" s="2026" t="s">
        <v>355</v>
      </c>
      <c r="C56" s="2024">
        <f t="shared" ref="C56:AB56" si="14">C32/C44</f>
        <v>8.6611870857730824E-2</v>
      </c>
      <c r="D56" s="2024">
        <f t="shared" si="14"/>
        <v>8.6611870857730824E-2</v>
      </c>
      <c r="E56" s="2024">
        <f t="shared" si="14"/>
        <v>8.6611870857730824E-2</v>
      </c>
      <c r="F56" s="2024">
        <f t="shared" si="14"/>
        <v>8.6611870857730824E-2</v>
      </c>
      <c r="G56" s="2024">
        <f t="shared" si="14"/>
        <v>8.6611870857730824E-2</v>
      </c>
      <c r="H56" s="2024">
        <f t="shared" si="14"/>
        <v>8.6611870857730824E-2</v>
      </c>
      <c r="I56" s="2024">
        <f t="shared" si="14"/>
        <v>8.6611870857730824E-2</v>
      </c>
      <c r="J56" s="2024">
        <f t="shared" si="14"/>
        <v>8.6611870857730824E-2</v>
      </c>
      <c r="K56" s="2024">
        <f t="shared" si="14"/>
        <v>8.6611870857730824E-2</v>
      </c>
      <c r="L56" s="2024">
        <f t="shared" si="14"/>
        <v>8.6611870857730824E-2</v>
      </c>
      <c r="M56" s="2024">
        <f t="shared" si="14"/>
        <v>8.6611870857730824E-2</v>
      </c>
      <c r="N56" s="2024">
        <f t="shared" si="14"/>
        <v>8.6611870857730824E-2</v>
      </c>
      <c r="O56" s="2024">
        <f t="shared" si="14"/>
        <v>8.6611870857730824E-2</v>
      </c>
      <c r="P56" s="2024">
        <f t="shared" si="14"/>
        <v>8.6611870857730824E-2</v>
      </c>
      <c r="Q56" s="2024">
        <f t="shared" si="14"/>
        <v>8.6611870857730824E-2</v>
      </c>
      <c r="R56" s="2024">
        <f t="shared" si="14"/>
        <v>8.6611870857730824E-2</v>
      </c>
      <c r="S56" s="2024">
        <f t="shared" si="14"/>
        <v>8.6611870857730824E-2</v>
      </c>
      <c r="T56" s="2024">
        <f t="shared" si="14"/>
        <v>8.6611870857730824E-2</v>
      </c>
      <c r="U56" s="2024">
        <f t="shared" si="12"/>
        <v>8.6611870857730824E-2</v>
      </c>
      <c r="V56" s="2024">
        <f t="shared" si="12"/>
        <v>8.6611870857730824E-2</v>
      </c>
      <c r="W56" s="2024">
        <f t="shared" si="13"/>
        <v>8.6611870857730824E-2</v>
      </c>
      <c r="X56" s="2024">
        <f t="shared" si="14"/>
        <v>8.6611870857730824E-2</v>
      </c>
      <c r="Y56" s="2024">
        <f t="shared" si="14"/>
        <v>8.6611870857730824E-2</v>
      </c>
      <c r="Z56" s="2024">
        <f t="shared" si="14"/>
        <v>8.6611870857730824E-2</v>
      </c>
      <c r="AA56" s="2024">
        <f t="shared" si="14"/>
        <v>8.6611870857730824E-2</v>
      </c>
      <c r="AB56" s="2024">
        <f t="shared" si="14"/>
        <v>8.6611870857730824E-2</v>
      </c>
    </row>
    <row r="57" spans="1:28" x14ac:dyDescent="0.45">
      <c r="A57" s="1417" t="s">
        <v>1062</v>
      </c>
      <c r="B57" s="2026" t="s">
        <v>359</v>
      </c>
      <c r="C57" s="2024">
        <f t="shared" ref="C57:AB57" si="15">C33/C45</f>
        <v>2.3096498895394887E-2</v>
      </c>
      <c r="D57" s="2024">
        <f t="shared" si="15"/>
        <v>2.3096498895394887E-2</v>
      </c>
      <c r="E57" s="2024">
        <f t="shared" si="15"/>
        <v>2.3096498895394887E-2</v>
      </c>
      <c r="F57" s="2024">
        <f t="shared" si="15"/>
        <v>2.3096498895394887E-2</v>
      </c>
      <c r="G57" s="2024">
        <f t="shared" si="15"/>
        <v>2.3096498895394887E-2</v>
      </c>
      <c r="H57" s="2024">
        <f t="shared" si="15"/>
        <v>2.3096498895394887E-2</v>
      </c>
      <c r="I57" s="2024">
        <f t="shared" si="15"/>
        <v>2.3096498895394887E-2</v>
      </c>
      <c r="J57" s="2024">
        <f t="shared" si="15"/>
        <v>2.3096498895394887E-2</v>
      </c>
      <c r="K57" s="2024">
        <f t="shared" si="15"/>
        <v>2.3096498895394887E-2</v>
      </c>
      <c r="L57" s="2024">
        <f t="shared" si="15"/>
        <v>2.3096498895394887E-2</v>
      </c>
      <c r="M57" s="2024">
        <f t="shared" si="15"/>
        <v>2.3096498895394887E-2</v>
      </c>
      <c r="N57" s="2024">
        <f t="shared" si="15"/>
        <v>2.3096498895394887E-2</v>
      </c>
      <c r="O57" s="2024">
        <f t="shared" si="15"/>
        <v>2.3096498895394887E-2</v>
      </c>
      <c r="P57" s="2024">
        <f t="shared" si="15"/>
        <v>2.3096498895394887E-2</v>
      </c>
      <c r="Q57" s="2024">
        <f t="shared" si="15"/>
        <v>2.3096498895394887E-2</v>
      </c>
      <c r="R57" s="2024">
        <f t="shared" si="15"/>
        <v>2.3096498895394887E-2</v>
      </c>
      <c r="S57" s="2024">
        <f t="shared" si="15"/>
        <v>2.3096498895394887E-2</v>
      </c>
      <c r="T57" s="2024">
        <f t="shared" si="15"/>
        <v>2.3096498895394887E-2</v>
      </c>
      <c r="U57" s="2024">
        <f t="shared" si="12"/>
        <v>2.3096498895394887E-2</v>
      </c>
      <c r="V57" s="2024">
        <f t="shared" si="12"/>
        <v>2.3096498895394887E-2</v>
      </c>
      <c r="W57" s="2024">
        <f t="shared" si="13"/>
        <v>2.3096498895394887E-2</v>
      </c>
      <c r="X57" s="2024">
        <f t="shared" si="15"/>
        <v>2.3096498895394887E-2</v>
      </c>
      <c r="Y57" s="2024">
        <f t="shared" si="15"/>
        <v>2.3096498895394887E-2</v>
      </c>
      <c r="Z57" s="2024">
        <f t="shared" si="15"/>
        <v>2.3096498895394887E-2</v>
      </c>
      <c r="AA57" s="2024">
        <f t="shared" si="15"/>
        <v>2.3096498895394887E-2</v>
      </c>
      <c r="AB57" s="2024">
        <f t="shared" si="15"/>
        <v>2.3096498895394887E-2</v>
      </c>
    </row>
    <row r="58" spans="1:28" x14ac:dyDescent="0.45">
      <c r="A58" s="1417" t="s">
        <v>358</v>
      </c>
      <c r="B58" s="2026" t="s">
        <v>355</v>
      </c>
      <c r="C58" s="2024">
        <f t="shared" ref="C58:AB58" si="16">C34/C46</f>
        <v>0.89049365695551963</v>
      </c>
      <c r="D58" s="2024">
        <f t="shared" si="16"/>
        <v>0.89049365695551963</v>
      </c>
      <c r="E58" s="2024">
        <f t="shared" si="16"/>
        <v>0.89049365695551963</v>
      </c>
      <c r="F58" s="2024">
        <f t="shared" si="16"/>
        <v>0.89049365695551963</v>
      </c>
      <c r="G58" s="2024">
        <f t="shared" si="16"/>
        <v>0.89049365695551963</v>
      </c>
      <c r="H58" s="2024">
        <f t="shared" si="16"/>
        <v>0.89049365695551963</v>
      </c>
      <c r="I58" s="2024">
        <f t="shared" si="16"/>
        <v>0.89049365695551963</v>
      </c>
      <c r="J58" s="2024">
        <f t="shared" si="16"/>
        <v>0.89049365695551963</v>
      </c>
      <c r="K58" s="2024">
        <f t="shared" si="16"/>
        <v>0.89049365695551963</v>
      </c>
      <c r="L58" s="2024">
        <f t="shared" si="16"/>
        <v>0.89049365695551963</v>
      </c>
      <c r="M58" s="2024">
        <f t="shared" si="16"/>
        <v>0.89049365695551963</v>
      </c>
      <c r="N58" s="2024">
        <f t="shared" si="16"/>
        <v>0.89049365695551963</v>
      </c>
      <c r="O58" s="2024">
        <f t="shared" si="16"/>
        <v>0.89049365695551963</v>
      </c>
      <c r="P58" s="2024">
        <f t="shared" si="16"/>
        <v>0.89049365695551963</v>
      </c>
      <c r="Q58" s="2024">
        <f t="shared" si="16"/>
        <v>0.89049365695551963</v>
      </c>
      <c r="R58" s="2024">
        <f t="shared" si="16"/>
        <v>0.89049365695551963</v>
      </c>
      <c r="S58" s="2024">
        <f t="shared" si="16"/>
        <v>0.89049365695551963</v>
      </c>
      <c r="T58" s="2024">
        <f t="shared" si="16"/>
        <v>0.89049365695551963</v>
      </c>
      <c r="U58" s="2024">
        <f t="shared" si="12"/>
        <v>0.89049365695551963</v>
      </c>
      <c r="V58" s="2024">
        <f t="shared" si="12"/>
        <v>0.89049365695551963</v>
      </c>
      <c r="W58" s="2024">
        <f t="shared" si="13"/>
        <v>0.89049365695551963</v>
      </c>
      <c r="X58" s="2024">
        <f t="shared" si="16"/>
        <v>0.89049365695551963</v>
      </c>
      <c r="Y58" s="2024">
        <f t="shared" si="16"/>
        <v>0.89049365695551963</v>
      </c>
      <c r="Z58" s="2024">
        <f t="shared" si="16"/>
        <v>0.89049365695551963</v>
      </c>
      <c r="AA58" s="2024">
        <f t="shared" si="16"/>
        <v>0.89049365695551963</v>
      </c>
      <c r="AB58" s="2024">
        <f t="shared" si="16"/>
        <v>0.89049365695551963</v>
      </c>
    </row>
    <row r="59" spans="1:28" x14ac:dyDescent="0.45">
      <c r="A59" s="1417" t="s">
        <v>358</v>
      </c>
      <c r="B59" s="2026" t="s">
        <v>359</v>
      </c>
      <c r="C59" s="2024">
        <f t="shared" ref="C59:AB59" si="17">C35/C47</f>
        <v>0.38118611191667284</v>
      </c>
      <c r="D59" s="2024">
        <f t="shared" si="17"/>
        <v>0.38118611191667284</v>
      </c>
      <c r="E59" s="2024">
        <f t="shared" si="17"/>
        <v>0.38118611191667284</v>
      </c>
      <c r="F59" s="2024">
        <f t="shared" si="17"/>
        <v>0.38118611191667284</v>
      </c>
      <c r="G59" s="2024">
        <f t="shared" si="17"/>
        <v>0.38118611191667284</v>
      </c>
      <c r="H59" s="2024">
        <f t="shared" si="17"/>
        <v>0.38118611191667284</v>
      </c>
      <c r="I59" s="2024">
        <f t="shared" si="17"/>
        <v>0.38118611191667284</v>
      </c>
      <c r="J59" s="2024">
        <f t="shared" si="17"/>
        <v>0.38118611191667284</v>
      </c>
      <c r="K59" s="2024">
        <f t="shared" si="17"/>
        <v>0.38118611191667284</v>
      </c>
      <c r="L59" s="2024">
        <f t="shared" si="17"/>
        <v>0.38118611191667284</v>
      </c>
      <c r="M59" s="2024">
        <f t="shared" si="17"/>
        <v>0.38118611191667284</v>
      </c>
      <c r="N59" s="2024">
        <f t="shared" si="17"/>
        <v>0.38118611191667284</v>
      </c>
      <c r="O59" s="2024">
        <f t="shared" si="17"/>
        <v>0.38118611191667284</v>
      </c>
      <c r="P59" s="2024">
        <f t="shared" si="17"/>
        <v>0.38118611191667284</v>
      </c>
      <c r="Q59" s="2024">
        <f t="shared" si="17"/>
        <v>0.38118611191667284</v>
      </c>
      <c r="R59" s="2024">
        <f t="shared" si="17"/>
        <v>0.38118611191667284</v>
      </c>
      <c r="S59" s="2024">
        <f t="shared" si="17"/>
        <v>0.38118611191667284</v>
      </c>
      <c r="T59" s="2024">
        <f t="shared" si="17"/>
        <v>0.38118611191667284</v>
      </c>
      <c r="U59" s="2024">
        <f t="shared" si="12"/>
        <v>0.38118611191667284</v>
      </c>
      <c r="V59" s="2024">
        <f t="shared" si="12"/>
        <v>0.38118611191667284</v>
      </c>
      <c r="W59" s="2024">
        <f t="shared" si="13"/>
        <v>0.38118611191667284</v>
      </c>
      <c r="X59" s="2024">
        <f t="shared" si="17"/>
        <v>0.38118611191667284</v>
      </c>
      <c r="Y59" s="2024">
        <f t="shared" si="17"/>
        <v>0.38118611191667284</v>
      </c>
      <c r="Z59" s="2024">
        <f t="shared" si="17"/>
        <v>0.38118611191667284</v>
      </c>
      <c r="AA59" s="2024">
        <f t="shared" si="17"/>
        <v>0.38118611191667284</v>
      </c>
      <c r="AB59" s="2024">
        <f t="shared" si="17"/>
        <v>0.38118611191667284</v>
      </c>
    </row>
    <row r="60" spans="1:28" x14ac:dyDescent="0.45">
      <c r="A60" s="1417" t="s">
        <v>360</v>
      </c>
      <c r="B60" s="2026" t="s">
        <v>355</v>
      </c>
      <c r="C60" s="2024">
        <f t="shared" ref="C60:AB60" si="18">C36/C48</f>
        <v>1.2585306485543672</v>
      </c>
      <c r="D60" s="2024">
        <f t="shared" si="18"/>
        <v>1.2585306485543672</v>
      </c>
      <c r="E60" s="2024">
        <f t="shared" si="18"/>
        <v>1.2585306485543672</v>
      </c>
      <c r="F60" s="2024">
        <f t="shared" si="18"/>
        <v>1.2585306485543672</v>
      </c>
      <c r="G60" s="2024">
        <f t="shared" si="18"/>
        <v>1.2585306485543672</v>
      </c>
      <c r="H60" s="2024">
        <f t="shared" si="18"/>
        <v>1.2585306485543672</v>
      </c>
      <c r="I60" s="2024">
        <f t="shared" si="18"/>
        <v>1.2585306485543672</v>
      </c>
      <c r="J60" s="2024">
        <f t="shared" si="18"/>
        <v>1.2585306485543672</v>
      </c>
      <c r="K60" s="2024">
        <f t="shared" si="18"/>
        <v>1.2585306485543672</v>
      </c>
      <c r="L60" s="2024">
        <f t="shared" si="18"/>
        <v>1.2585306485543672</v>
      </c>
      <c r="M60" s="2024">
        <f t="shared" si="18"/>
        <v>1.2585306485543672</v>
      </c>
      <c r="N60" s="2024">
        <f t="shared" si="18"/>
        <v>1.2585306485543672</v>
      </c>
      <c r="O60" s="2024">
        <f t="shared" si="18"/>
        <v>1.2585306485543672</v>
      </c>
      <c r="P60" s="2024">
        <f t="shared" si="18"/>
        <v>1.2585306485543672</v>
      </c>
      <c r="Q60" s="2024">
        <f t="shared" si="18"/>
        <v>1.2585306485543672</v>
      </c>
      <c r="R60" s="2024">
        <f t="shared" si="18"/>
        <v>1.2585306485543672</v>
      </c>
      <c r="S60" s="2024">
        <f t="shared" si="18"/>
        <v>1.2585306485543672</v>
      </c>
      <c r="T60" s="2024">
        <f t="shared" si="18"/>
        <v>1.2585306485543672</v>
      </c>
      <c r="U60" s="2024">
        <f t="shared" si="12"/>
        <v>1.2585306485543672</v>
      </c>
      <c r="V60" s="2024">
        <f t="shared" si="12"/>
        <v>1.2585306485543672</v>
      </c>
      <c r="W60" s="2024">
        <f t="shared" si="13"/>
        <v>1.2585306485543672</v>
      </c>
      <c r="X60" s="2024">
        <f t="shared" si="18"/>
        <v>1.2585306485543672</v>
      </c>
      <c r="Y60" s="2024">
        <f t="shared" si="18"/>
        <v>1.2585306485543672</v>
      </c>
      <c r="Z60" s="2024">
        <f t="shared" si="18"/>
        <v>1.2585306485543672</v>
      </c>
      <c r="AA60" s="2024">
        <f t="shared" si="18"/>
        <v>1.2585306485543672</v>
      </c>
      <c r="AB60" s="2024">
        <f t="shared" si="18"/>
        <v>1.2585306485543672</v>
      </c>
    </row>
    <row r="61" spans="1:28" x14ac:dyDescent="0.45">
      <c r="A61" s="1417" t="s">
        <v>360</v>
      </c>
      <c r="B61" s="2026" t="s">
        <v>359</v>
      </c>
      <c r="C61" s="2024">
        <f t="shared" ref="C61:AB61" si="19">C37/C49</f>
        <v>0.51850752330360739</v>
      </c>
      <c r="D61" s="2024">
        <f t="shared" si="19"/>
        <v>0.51850752330360739</v>
      </c>
      <c r="E61" s="2024">
        <f t="shared" si="19"/>
        <v>0.51850752330360739</v>
      </c>
      <c r="F61" s="2024">
        <f t="shared" si="19"/>
        <v>0.51850752330360739</v>
      </c>
      <c r="G61" s="2024">
        <f t="shared" si="19"/>
        <v>0.51850752330360739</v>
      </c>
      <c r="H61" s="2024">
        <f t="shared" si="19"/>
        <v>0.51850752330360739</v>
      </c>
      <c r="I61" s="2024">
        <f t="shared" si="19"/>
        <v>0.51850752330360739</v>
      </c>
      <c r="J61" s="2024">
        <f t="shared" si="19"/>
        <v>0.51850752330360739</v>
      </c>
      <c r="K61" s="2024">
        <f t="shared" si="19"/>
        <v>0.51850752330360739</v>
      </c>
      <c r="L61" s="2024">
        <f t="shared" si="19"/>
        <v>0.51850752330360739</v>
      </c>
      <c r="M61" s="2024">
        <f t="shared" si="19"/>
        <v>0.51850752330360739</v>
      </c>
      <c r="N61" s="2024">
        <f t="shared" si="19"/>
        <v>0.51850752330360739</v>
      </c>
      <c r="O61" s="2024">
        <f t="shared" si="19"/>
        <v>0.51850752330360739</v>
      </c>
      <c r="P61" s="2024">
        <f t="shared" si="19"/>
        <v>0.51850752330360739</v>
      </c>
      <c r="Q61" s="2024">
        <f t="shared" si="19"/>
        <v>0.51850752330360739</v>
      </c>
      <c r="R61" s="2024">
        <f t="shared" si="19"/>
        <v>0.51850752330360739</v>
      </c>
      <c r="S61" s="2024">
        <f t="shared" si="19"/>
        <v>0.51850752330360739</v>
      </c>
      <c r="T61" s="2024">
        <f t="shared" si="19"/>
        <v>0.51850752330360739</v>
      </c>
      <c r="U61" s="2024">
        <f t="shared" si="12"/>
        <v>0.51850752330360739</v>
      </c>
      <c r="V61" s="2024">
        <f t="shared" si="12"/>
        <v>0.51850752330360739</v>
      </c>
      <c r="W61" s="2024">
        <f t="shared" si="13"/>
        <v>0.51850752330360739</v>
      </c>
      <c r="X61" s="2024">
        <f t="shared" si="19"/>
        <v>0.51850752330360739</v>
      </c>
      <c r="Y61" s="2024">
        <f t="shared" si="19"/>
        <v>0.51850752330360739</v>
      </c>
      <c r="Z61" s="2024">
        <f t="shared" si="19"/>
        <v>0.51850752330360739</v>
      </c>
      <c r="AA61" s="2024">
        <f t="shared" si="19"/>
        <v>0.51850752330360739</v>
      </c>
      <c r="AB61" s="2024">
        <f t="shared" si="19"/>
        <v>0.51850752330360739</v>
      </c>
    </row>
    <row r="62" spans="1:28" x14ac:dyDescent="0.45">
      <c r="A62" s="1417" t="s">
        <v>361</v>
      </c>
      <c r="B62" s="2026" t="s">
        <v>355</v>
      </c>
      <c r="C62" s="2024">
        <f t="shared" ref="C62:AB62" si="20">C38/C50</f>
        <v>4.3624666626054864</v>
      </c>
      <c r="D62" s="2024">
        <f t="shared" si="20"/>
        <v>4.3624666626054864</v>
      </c>
      <c r="E62" s="2024">
        <f t="shared" si="20"/>
        <v>4.3624666626054864</v>
      </c>
      <c r="F62" s="2024">
        <f t="shared" si="20"/>
        <v>4.3624666626054864</v>
      </c>
      <c r="G62" s="2024">
        <f t="shared" si="20"/>
        <v>4.3624666626054864</v>
      </c>
      <c r="H62" s="2024">
        <f t="shared" si="20"/>
        <v>4.3624666626054864</v>
      </c>
      <c r="I62" s="2024">
        <f t="shared" si="20"/>
        <v>4.3624666626054864</v>
      </c>
      <c r="J62" s="2024">
        <f t="shared" si="20"/>
        <v>4.3624666626054864</v>
      </c>
      <c r="K62" s="2024">
        <f t="shared" si="20"/>
        <v>4.3624666626054864</v>
      </c>
      <c r="L62" s="2024">
        <f t="shared" si="20"/>
        <v>4.3624666626054864</v>
      </c>
      <c r="M62" s="2024">
        <f t="shared" si="20"/>
        <v>4.3624666626054864</v>
      </c>
      <c r="N62" s="2024">
        <f t="shared" si="20"/>
        <v>4.3624666626054864</v>
      </c>
      <c r="O62" s="2024">
        <f t="shared" si="20"/>
        <v>4.3624666626054864</v>
      </c>
      <c r="P62" s="2024">
        <f t="shared" si="20"/>
        <v>4.3624666626054864</v>
      </c>
      <c r="Q62" s="2024">
        <f t="shared" si="20"/>
        <v>4.3624666626054864</v>
      </c>
      <c r="R62" s="2024">
        <f t="shared" si="20"/>
        <v>4.3624666626054864</v>
      </c>
      <c r="S62" s="2024">
        <f t="shared" si="20"/>
        <v>4.3624666626054864</v>
      </c>
      <c r="T62" s="2024">
        <f t="shared" si="20"/>
        <v>4.3624666626054864</v>
      </c>
      <c r="U62" s="2024">
        <f t="shared" si="12"/>
        <v>4.3624666626054864</v>
      </c>
      <c r="V62" s="2024">
        <f t="shared" si="12"/>
        <v>4.3624666626054864</v>
      </c>
      <c r="W62" s="2024">
        <f t="shared" si="13"/>
        <v>4.3624666626054864</v>
      </c>
      <c r="X62" s="2024">
        <f t="shared" si="20"/>
        <v>4.3624666626054864</v>
      </c>
      <c r="Y62" s="2024">
        <f t="shared" si="20"/>
        <v>4.3624666626054864</v>
      </c>
      <c r="Z62" s="2024">
        <f t="shared" si="20"/>
        <v>4.3624666626054864</v>
      </c>
      <c r="AA62" s="2024">
        <f t="shared" si="20"/>
        <v>4.3624666626054864</v>
      </c>
      <c r="AB62" s="2024">
        <f t="shared" si="20"/>
        <v>4.3624666626054864</v>
      </c>
    </row>
    <row r="63" spans="1:28" x14ac:dyDescent="0.45">
      <c r="A63" s="1417" t="s">
        <v>361</v>
      </c>
      <c r="B63" s="2026" t="s">
        <v>359</v>
      </c>
      <c r="C63" s="2024">
        <f t="shared" ref="C63:AB63" si="21">C39/C51</f>
        <v>1.9422606194406016</v>
      </c>
      <c r="D63" s="2024">
        <f t="shared" si="21"/>
        <v>1.9422606194406016</v>
      </c>
      <c r="E63" s="2024">
        <f t="shared" si="21"/>
        <v>1.9422606194406016</v>
      </c>
      <c r="F63" s="2024">
        <f t="shared" si="21"/>
        <v>1.9422606194406016</v>
      </c>
      <c r="G63" s="2024">
        <f t="shared" si="21"/>
        <v>1.9422606194406016</v>
      </c>
      <c r="H63" s="2024">
        <f t="shared" si="21"/>
        <v>1.9422606194406016</v>
      </c>
      <c r="I63" s="2024">
        <f t="shared" si="21"/>
        <v>1.9422606194406016</v>
      </c>
      <c r="J63" s="2024">
        <f t="shared" si="21"/>
        <v>1.9422606194406016</v>
      </c>
      <c r="K63" s="2024">
        <f t="shared" si="21"/>
        <v>1.9422606194406016</v>
      </c>
      <c r="L63" s="2024">
        <f t="shared" si="21"/>
        <v>1.9422606194406016</v>
      </c>
      <c r="M63" s="2024">
        <f t="shared" si="21"/>
        <v>1.9422606194406016</v>
      </c>
      <c r="N63" s="2024">
        <f t="shared" si="21"/>
        <v>1.9422606194406016</v>
      </c>
      <c r="O63" s="2024">
        <f t="shared" si="21"/>
        <v>1.9422606194406016</v>
      </c>
      <c r="P63" s="2024">
        <f t="shared" si="21"/>
        <v>1.9422606194406016</v>
      </c>
      <c r="Q63" s="2024">
        <f t="shared" si="21"/>
        <v>1.9422606194406016</v>
      </c>
      <c r="R63" s="2024">
        <f t="shared" si="21"/>
        <v>1.9422606194406016</v>
      </c>
      <c r="S63" s="2024">
        <f t="shared" si="21"/>
        <v>1.9422606194406016</v>
      </c>
      <c r="T63" s="2024">
        <f t="shared" si="21"/>
        <v>1.9422606194406016</v>
      </c>
      <c r="U63" s="2024">
        <f t="shared" si="12"/>
        <v>1.9422606194406016</v>
      </c>
      <c r="V63" s="2024">
        <f t="shared" si="12"/>
        <v>1.9422606194406016</v>
      </c>
      <c r="W63" s="2024">
        <f t="shared" si="13"/>
        <v>1.9422606194406016</v>
      </c>
      <c r="X63" s="2024">
        <f t="shared" si="21"/>
        <v>1.9422606194406016</v>
      </c>
      <c r="Y63" s="2024">
        <f t="shared" si="21"/>
        <v>1.9422606194406016</v>
      </c>
      <c r="Z63" s="2024">
        <f t="shared" si="21"/>
        <v>1.9422606194406016</v>
      </c>
      <c r="AA63" s="2024">
        <f t="shared" si="21"/>
        <v>1.9422606194406016</v>
      </c>
      <c r="AB63" s="2024">
        <f t="shared" si="21"/>
        <v>1.9422606194406016</v>
      </c>
    </row>
    <row r="64" spans="1:28" x14ac:dyDescent="0.45">
      <c r="A64" s="1416"/>
      <c r="B64" s="1968"/>
      <c r="C64" s="1968"/>
      <c r="D64" s="1968"/>
      <c r="E64" s="1968"/>
      <c r="F64" s="1968"/>
      <c r="G64" s="1968"/>
      <c r="H64" s="1968"/>
      <c r="I64" s="1968"/>
      <c r="J64" s="1968"/>
      <c r="K64" s="1968"/>
      <c r="L64" s="1968"/>
      <c r="M64" s="1968"/>
      <c r="N64" s="1968"/>
      <c r="O64" s="1968"/>
      <c r="P64" s="1968"/>
      <c r="Q64" s="1968"/>
      <c r="R64" s="1968"/>
      <c r="S64" s="1968"/>
      <c r="T64" s="1968"/>
      <c r="U64" s="1968"/>
      <c r="V64" s="1968"/>
      <c r="W64" s="1969"/>
      <c r="X64" s="1968"/>
      <c r="Y64" s="1968"/>
      <c r="Z64" s="1968"/>
      <c r="AA64" s="1968"/>
      <c r="AB64" s="1968"/>
    </row>
    <row r="65" spans="1:28" x14ac:dyDescent="0.45">
      <c r="A65" s="1416"/>
      <c r="B65" s="1968"/>
      <c r="C65" s="1968"/>
      <c r="D65" s="1968"/>
      <c r="E65" s="1968"/>
      <c r="F65" s="1968"/>
      <c r="G65" s="1968"/>
      <c r="H65" s="1968"/>
      <c r="I65" s="1968"/>
      <c r="J65" s="1968"/>
      <c r="K65" s="1968"/>
      <c r="L65" s="1968"/>
      <c r="M65" s="1968"/>
      <c r="N65" s="1968"/>
      <c r="O65" s="1968"/>
      <c r="P65" s="1968"/>
      <c r="Q65" s="1968"/>
      <c r="R65" s="1968"/>
      <c r="S65" s="1968"/>
      <c r="T65" s="1968"/>
      <c r="U65" s="1968"/>
      <c r="V65" s="1968"/>
      <c r="W65" s="1969"/>
      <c r="X65" s="1968"/>
      <c r="Y65" s="1968"/>
      <c r="Z65" s="1968"/>
      <c r="AA65" s="1968"/>
      <c r="AB65" s="1968"/>
    </row>
    <row r="66" spans="1:28" x14ac:dyDescent="0.45">
      <c r="A66" s="1420" t="s">
        <v>1070</v>
      </c>
      <c r="B66" s="1968" t="s">
        <v>100</v>
      </c>
      <c r="C66" s="1968"/>
      <c r="D66" s="1968"/>
      <c r="E66" s="1968"/>
      <c r="F66" s="1968"/>
      <c r="G66" s="1968"/>
      <c r="H66" s="1968"/>
      <c r="I66" s="1968"/>
      <c r="J66" s="1968"/>
      <c r="K66" s="1968"/>
      <c r="L66" s="1968"/>
      <c r="M66" s="1968"/>
      <c r="N66" s="1968"/>
      <c r="O66" s="1968"/>
      <c r="P66" s="1968"/>
      <c r="Q66" s="1968"/>
      <c r="R66" s="1968"/>
      <c r="S66" s="1968"/>
      <c r="T66" s="1968"/>
      <c r="U66" s="1968"/>
      <c r="V66" s="1968"/>
      <c r="W66" s="1969"/>
      <c r="X66" s="1968"/>
      <c r="Y66" s="1968"/>
      <c r="Z66" s="1968"/>
      <c r="AA66" s="1968"/>
      <c r="AB66" s="1968"/>
    </row>
    <row r="67" spans="1:28" x14ac:dyDescent="0.45">
      <c r="A67" s="1417" t="s">
        <v>357</v>
      </c>
      <c r="B67" s="2026" t="s">
        <v>355</v>
      </c>
      <c r="C67" s="2024">
        <f t="shared" ref="C67:AB67" si="22">C20*C55</f>
        <v>0</v>
      </c>
      <c r="D67" s="2024">
        <f t="shared" si="22"/>
        <v>0</v>
      </c>
      <c r="E67" s="2024">
        <f t="shared" si="22"/>
        <v>0</v>
      </c>
      <c r="F67" s="2024">
        <f t="shared" si="22"/>
        <v>0</v>
      </c>
      <c r="G67" s="2024">
        <f t="shared" si="22"/>
        <v>0</v>
      </c>
      <c r="H67" s="2024">
        <f t="shared" si="22"/>
        <v>0</v>
      </c>
      <c r="I67" s="2024">
        <f t="shared" si="22"/>
        <v>0</v>
      </c>
      <c r="J67" s="2024">
        <f t="shared" si="22"/>
        <v>0</v>
      </c>
      <c r="K67" s="2024">
        <f t="shared" si="22"/>
        <v>0</v>
      </c>
      <c r="L67" s="2024">
        <f t="shared" si="22"/>
        <v>0</v>
      </c>
      <c r="M67" s="2024">
        <f t="shared" si="22"/>
        <v>0</v>
      </c>
      <c r="N67" s="2024">
        <f t="shared" si="22"/>
        <v>0</v>
      </c>
      <c r="O67" s="2024">
        <f t="shared" si="22"/>
        <v>0</v>
      </c>
      <c r="P67" s="2024">
        <f t="shared" si="22"/>
        <v>0</v>
      </c>
      <c r="Q67" s="2024">
        <f t="shared" si="22"/>
        <v>0</v>
      </c>
      <c r="R67" s="2024">
        <f t="shared" si="22"/>
        <v>0</v>
      </c>
      <c r="S67" s="2024">
        <f t="shared" si="22"/>
        <v>0</v>
      </c>
      <c r="T67" s="2024">
        <f t="shared" si="22"/>
        <v>0</v>
      </c>
      <c r="U67" s="2024">
        <f t="shared" ref="U67:V75" si="23">U20*U55</f>
        <v>0</v>
      </c>
      <c r="V67" s="2024">
        <f t="shared" si="23"/>
        <v>0</v>
      </c>
      <c r="W67" s="2024">
        <f t="shared" ref="W67:W75" si="24">W20*W55</f>
        <v>0</v>
      </c>
      <c r="X67" s="2024">
        <f t="shared" si="22"/>
        <v>0</v>
      </c>
      <c r="Y67" s="2024">
        <f t="shared" si="22"/>
        <v>0</v>
      </c>
      <c r="Z67" s="2024">
        <f t="shared" si="22"/>
        <v>0</v>
      </c>
      <c r="AA67" s="2024">
        <f t="shared" si="22"/>
        <v>0</v>
      </c>
      <c r="AB67" s="2024">
        <f t="shared" si="22"/>
        <v>0</v>
      </c>
    </row>
    <row r="68" spans="1:28" x14ac:dyDescent="0.45">
      <c r="A68" s="1417" t="s">
        <v>1062</v>
      </c>
      <c r="B68" s="2026" t="s">
        <v>355</v>
      </c>
      <c r="C68" s="2024">
        <f t="shared" ref="C68:AB68" si="25">C21*C56</f>
        <v>0</v>
      </c>
      <c r="D68" s="2024">
        <f t="shared" si="25"/>
        <v>0</v>
      </c>
      <c r="E68" s="2024">
        <f t="shared" si="25"/>
        <v>0</v>
      </c>
      <c r="F68" s="2024">
        <f t="shared" si="25"/>
        <v>0</v>
      </c>
      <c r="G68" s="2024">
        <f t="shared" si="25"/>
        <v>0</v>
      </c>
      <c r="H68" s="2024">
        <f t="shared" si="25"/>
        <v>0</v>
      </c>
      <c r="I68" s="2024">
        <f t="shared" si="25"/>
        <v>0</v>
      </c>
      <c r="J68" s="2024">
        <f t="shared" si="25"/>
        <v>0</v>
      </c>
      <c r="K68" s="2024">
        <f t="shared" si="25"/>
        <v>0</v>
      </c>
      <c r="L68" s="2024">
        <f t="shared" si="25"/>
        <v>0</v>
      </c>
      <c r="M68" s="2024">
        <f t="shared" si="25"/>
        <v>2946.9689059342913</v>
      </c>
      <c r="N68" s="2024">
        <f t="shared" si="25"/>
        <v>4308.9405751721088</v>
      </c>
      <c r="O68" s="2024">
        <f t="shared" si="25"/>
        <v>2946.9689059342913</v>
      </c>
      <c r="P68" s="2024">
        <f t="shared" si="25"/>
        <v>4308.9405751721088</v>
      </c>
      <c r="Q68" s="2024">
        <f t="shared" si="25"/>
        <v>4353.4953307920277</v>
      </c>
      <c r="R68" s="2024">
        <f t="shared" si="25"/>
        <v>5887.5245011267061</v>
      </c>
      <c r="S68" s="2024">
        <f t="shared" si="25"/>
        <v>4353.4953307920277</v>
      </c>
      <c r="T68" s="2024">
        <f t="shared" si="25"/>
        <v>5887.5245011267061</v>
      </c>
      <c r="U68" s="2024">
        <f t="shared" si="23"/>
        <v>4308.9405751721088</v>
      </c>
      <c r="V68" s="2024">
        <f t="shared" si="23"/>
        <v>6040.7029655315782</v>
      </c>
      <c r="W68" s="2024">
        <f t="shared" si="24"/>
        <v>4398.6060177505706</v>
      </c>
      <c r="X68" s="2024">
        <f t="shared" si="25"/>
        <v>562.97716057525031</v>
      </c>
      <c r="Y68" s="2024">
        <f t="shared" si="25"/>
        <v>658.44925422839071</v>
      </c>
      <c r="Z68" s="2024">
        <f t="shared" si="25"/>
        <v>562.97716057525031</v>
      </c>
      <c r="AA68" s="2024">
        <f t="shared" si="25"/>
        <v>688.81316795600571</v>
      </c>
      <c r="AB68" s="2024">
        <f t="shared" si="25"/>
        <v>80549.039897689669</v>
      </c>
    </row>
    <row r="69" spans="1:28" x14ac:dyDescent="0.45">
      <c r="A69" s="1417" t="s">
        <v>1062</v>
      </c>
      <c r="B69" s="2026" t="s">
        <v>359</v>
      </c>
      <c r="C69" s="2024">
        <f t="shared" ref="C69:AB69" si="26">C22*C57</f>
        <v>0</v>
      </c>
      <c r="D69" s="2024">
        <f t="shared" si="26"/>
        <v>0</v>
      </c>
      <c r="E69" s="2024">
        <f t="shared" si="26"/>
        <v>0</v>
      </c>
      <c r="F69" s="2024">
        <f t="shared" si="26"/>
        <v>0</v>
      </c>
      <c r="G69" s="2024">
        <f t="shared" si="26"/>
        <v>0</v>
      </c>
      <c r="H69" s="2024">
        <f t="shared" si="26"/>
        <v>0</v>
      </c>
      <c r="I69" s="2024">
        <f t="shared" si="26"/>
        <v>0</v>
      </c>
      <c r="J69" s="2024">
        <f t="shared" si="26"/>
        <v>0</v>
      </c>
      <c r="K69" s="2024">
        <f t="shared" si="26"/>
        <v>0</v>
      </c>
      <c r="L69" s="2024">
        <f t="shared" si="26"/>
        <v>0</v>
      </c>
      <c r="M69" s="2024">
        <f t="shared" si="26"/>
        <v>0</v>
      </c>
      <c r="N69" s="2024">
        <f t="shared" si="26"/>
        <v>0</v>
      </c>
      <c r="O69" s="2024">
        <f t="shared" si="26"/>
        <v>0</v>
      </c>
      <c r="P69" s="2024">
        <f t="shared" si="26"/>
        <v>0</v>
      </c>
      <c r="Q69" s="2024">
        <f t="shared" si="26"/>
        <v>0</v>
      </c>
      <c r="R69" s="2024">
        <f t="shared" si="26"/>
        <v>0</v>
      </c>
      <c r="S69" s="2024">
        <f t="shared" si="26"/>
        <v>0</v>
      </c>
      <c r="T69" s="2024">
        <f t="shared" si="26"/>
        <v>0</v>
      </c>
      <c r="U69" s="2024">
        <f t="shared" si="23"/>
        <v>0</v>
      </c>
      <c r="V69" s="2024">
        <f t="shared" si="23"/>
        <v>0</v>
      </c>
      <c r="W69" s="2024">
        <f t="shared" si="24"/>
        <v>0</v>
      </c>
      <c r="X69" s="2024">
        <f t="shared" si="26"/>
        <v>0</v>
      </c>
      <c r="Y69" s="2024">
        <f t="shared" si="26"/>
        <v>0</v>
      </c>
      <c r="Z69" s="2024">
        <f t="shared" si="26"/>
        <v>0</v>
      </c>
      <c r="AA69" s="2024">
        <f t="shared" si="26"/>
        <v>0</v>
      </c>
      <c r="AB69" s="2024">
        <f t="shared" si="26"/>
        <v>0</v>
      </c>
    </row>
    <row r="70" spans="1:28" x14ac:dyDescent="0.45">
      <c r="A70" s="1417" t="s">
        <v>358</v>
      </c>
      <c r="B70" s="2026" t="s">
        <v>355</v>
      </c>
      <c r="C70" s="2024">
        <f t="shared" ref="C70:AB70" si="27">C23*C58</f>
        <v>0</v>
      </c>
      <c r="D70" s="2024">
        <f t="shared" si="27"/>
        <v>0</v>
      </c>
      <c r="E70" s="2024">
        <f t="shared" si="27"/>
        <v>0</v>
      </c>
      <c r="F70" s="2024">
        <f t="shared" si="27"/>
        <v>0</v>
      </c>
      <c r="G70" s="2024">
        <f t="shared" si="27"/>
        <v>0</v>
      </c>
      <c r="H70" s="2024">
        <f t="shared" si="27"/>
        <v>0</v>
      </c>
      <c r="I70" s="2024">
        <f t="shared" si="27"/>
        <v>0</v>
      </c>
      <c r="J70" s="2024">
        <f t="shared" si="27"/>
        <v>0</v>
      </c>
      <c r="K70" s="2024">
        <f t="shared" si="27"/>
        <v>0</v>
      </c>
      <c r="L70" s="2024">
        <f t="shared" si="27"/>
        <v>0</v>
      </c>
      <c r="M70" s="2024">
        <f t="shared" si="27"/>
        <v>0</v>
      </c>
      <c r="N70" s="2024">
        <f t="shared" si="27"/>
        <v>0</v>
      </c>
      <c r="O70" s="2024">
        <f t="shared" si="27"/>
        <v>0</v>
      </c>
      <c r="P70" s="2024">
        <f t="shared" si="27"/>
        <v>0</v>
      </c>
      <c r="Q70" s="2024">
        <f t="shared" si="27"/>
        <v>0</v>
      </c>
      <c r="R70" s="2024">
        <f t="shared" si="27"/>
        <v>0</v>
      </c>
      <c r="S70" s="2024">
        <f t="shared" si="27"/>
        <v>0</v>
      </c>
      <c r="T70" s="2024">
        <f t="shared" si="27"/>
        <v>0</v>
      </c>
      <c r="U70" s="2024">
        <f t="shared" si="23"/>
        <v>0</v>
      </c>
      <c r="V70" s="2024">
        <f t="shared" si="23"/>
        <v>0</v>
      </c>
      <c r="W70" s="2024">
        <f t="shared" si="24"/>
        <v>0</v>
      </c>
      <c r="X70" s="2024">
        <f t="shared" si="27"/>
        <v>0</v>
      </c>
      <c r="Y70" s="2024">
        <f t="shared" si="27"/>
        <v>0</v>
      </c>
      <c r="Z70" s="2024">
        <f t="shared" si="27"/>
        <v>0</v>
      </c>
      <c r="AA70" s="2024">
        <f t="shared" si="27"/>
        <v>0</v>
      </c>
      <c r="AB70" s="2024">
        <f t="shared" si="27"/>
        <v>0</v>
      </c>
    </row>
    <row r="71" spans="1:28" x14ac:dyDescent="0.45">
      <c r="A71" s="1417" t="s">
        <v>358</v>
      </c>
      <c r="B71" s="2026" t="s">
        <v>359</v>
      </c>
      <c r="C71" s="2024">
        <f t="shared" ref="C71:AB71" si="28">C24*C59</f>
        <v>0</v>
      </c>
      <c r="D71" s="2024">
        <f t="shared" si="28"/>
        <v>0</v>
      </c>
      <c r="E71" s="2024">
        <f t="shared" si="28"/>
        <v>0</v>
      </c>
      <c r="F71" s="2024">
        <f t="shared" si="28"/>
        <v>0</v>
      </c>
      <c r="G71" s="2024">
        <f t="shared" si="28"/>
        <v>0</v>
      </c>
      <c r="H71" s="2024">
        <f t="shared" si="28"/>
        <v>0</v>
      </c>
      <c r="I71" s="2024">
        <f t="shared" si="28"/>
        <v>0</v>
      </c>
      <c r="J71" s="2024">
        <f t="shared" si="28"/>
        <v>0</v>
      </c>
      <c r="K71" s="2024">
        <f t="shared" si="28"/>
        <v>0</v>
      </c>
      <c r="L71" s="2024">
        <f t="shared" si="28"/>
        <v>0</v>
      </c>
      <c r="M71" s="2024">
        <f t="shared" si="28"/>
        <v>2593.9714915929585</v>
      </c>
      <c r="N71" s="2024">
        <f t="shared" si="28"/>
        <v>3792.8018135708949</v>
      </c>
      <c r="O71" s="2024">
        <f t="shared" si="28"/>
        <v>2593.9714915929585</v>
      </c>
      <c r="P71" s="2024">
        <f t="shared" si="28"/>
        <v>3792.8018135708949</v>
      </c>
      <c r="Q71" s="2024">
        <f t="shared" si="28"/>
        <v>3832.0196572543596</v>
      </c>
      <c r="R71" s="2024">
        <f t="shared" si="28"/>
        <v>5182.2978794328183</v>
      </c>
      <c r="S71" s="2024">
        <f t="shared" si="28"/>
        <v>3832.0196572543596</v>
      </c>
      <c r="T71" s="2024">
        <f t="shared" si="28"/>
        <v>5182.2978794328183</v>
      </c>
      <c r="U71" s="2024">
        <f t="shared" si="23"/>
        <v>3792.8018135708949</v>
      </c>
      <c r="V71" s="2024">
        <f t="shared" si="23"/>
        <v>5317.1281346798642</v>
      </c>
      <c r="W71" s="2024">
        <f t="shared" si="24"/>
        <v>3871.7268410325796</v>
      </c>
      <c r="X71" s="2024">
        <f t="shared" si="28"/>
        <v>495.54194549167471</v>
      </c>
      <c r="Y71" s="2024">
        <f t="shared" si="28"/>
        <v>579.57808468548978</v>
      </c>
      <c r="Z71" s="2024">
        <f t="shared" si="28"/>
        <v>495.54194549167471</v>
      </c>
      <c r="AA71" s="2024">
        <f t="shared" si="28"/>
        <v>606.30491116269377</v>
      </c>
      <c r="AB71" s="2024">
        <f t="shared" si="28"/>
        <v>70900.616816501148</v>
      </c>
    </row>
    <row r="72" spans="1:28" x14ac:dyDescent="0.45">
      <c r="A72" s="1417" t="s">
        <v>360</v>
      </c>
      <c r="B72" s="2026" t="s">
        <v>355</v>
      </c>
      <c r="C72" s="2024">
        <f t="shared" ref="C72:AB72" si="29">C25*C60</f>
        <v>498.37813682752943</v>
      </c>
      <c r="D72" s="2024">
        <f t="shared" si="29"/>
        <v>549.94020469552402</v>
      </c>
      <c r="E72" s="2024">
        <f t="shared" si="29"/>
        <v>525.56239883630383</v>
      </c>
      <c r="F72" s="2024">
        <f t="shared" si="29"/>
        <v>559.01897812784318</v>
      </c>
      <c r="G72" s="2024">
        <f t="shared" si="29"/>
        <v>498.37813682752943</v>
      </c>
      <c r="H72" s="2024">
        <f t="shared" si="29"/>
        <v>549.94020469552402</v>
      </c>
      <c r="I72" s="2024">
        <f t="shared" si="29"/>
        <v>525.56239883630383</v>
      </c>
      <c r="J72" s="2024">
        <f t="shared" si="29"/>
        <v>548.42996791725864</v>
      </c>
      <c r="K72" s="2024">
        <f t="shared" si="29"/>
        <v>1761.9429079761142</v>
      </c>
      <c r="L72" s="2024">
        <f t="shared" si="29"/>
        <v>1863.2037852847236</v>
      </c>
      <c r="M72" s="2024">
        <f t="shared" si="29"/>
        <v>0</v>
      </c>
      <c r="N72" s="2024">
        <f t="shared" si="29"/>
        <v>0</v>
      </c>
      <c r="O72" s="2024">
        <f t="shared" si="29"/>
        <v>0</v>
      </c>
      <c r="P72" s="2024">
        <f t="shared" si="29"/>
        <v>0</v>
      </c>
      <c r="Q72" s="2024">
        <f t="shared" si="29"/>
        <v>0</v>
      </c>
      <c r="R72" s="2024">
        <f t="shared" si="29"/>
        <v>0</v>
      </c>
      <c r="S72" s="2024">
        <f t="shared" si="29"/>
        <v>0</v>
      </c>
      <c r="T72" s="2024">
        <f t="shared" si="29"/>
        <v>0</v>
      </c>
      <c r="U72" s="2024">
        <f t="shared" si="23"/>
        <v>0</v>
      </c>
      <c r="V72" s="2024">
        <f t="shared" si="23"/>
        <v>0</v>
      </c>
      <c r="W72" s="2024">
        <f t="shared" si="24"/>
        <v>0</v>
      </c>
      <c r="X72" s="2024">
        <f t="shared" si="29"/>
        <v>0</v>
      </c>
      <c r="Y72" s="2024">
        <f t="shared" si="29"/>
        <v>0</v>
      </c>
      <c r="Z72" s="2024">
        <f t="shared" si="29"/>
        <v>0</v>
      </c>
      <c r="AA72" s="2024">
        <f t="shared" si="29"/>
        <v>0</v>
      </c>
      <c r="AB72" s="2024">
        <f t="shared" si="29"/>
        <v>0</v>
      </c>
    </row>
    <row r="73" spans="1:28" x14ac:dyDescent="0.45">
      <c r="A73" s="1417" t="s">
        <v>360</v>
      </c>
      <c r="B73" s="2026" t="s">
        <v>359</v>
      </c>
      <c r="C73" s="2024">
        <f t="shared" ref="C73:AB73" si="30">C26*C61</f>
        <v>0</v>
      </c>
      <c r="D73" s="2024">
        <f t="shared" si="30"/>
        <v>0</v>
      </c>
      <c r="E73" s="2024">
        <f t="shared" si="30"/>
        <v>0</v>
      </c>
      <c r="F73" s="2024">
        <f t="shared" si="30"/>
        <v>0</v>
      </c>
      <c r="G73" s="2024">
        <f t="shared" si="30"/>
        <v>0</v>
      </c>
      <c r="H73" s="2024">
        <f t="shared" si="30"/>
        <v>0</v>
      </c>
      <c r="I73" s="2024">
        <f t="shared" si="30"/>
        <v>0</v>
      </c>
      <c r="J73" s="2024">
        <f t="shared" si="30"/>
        <v>0</v>
      </c>
      <c r="K73" s="2024">
        <f t="shared" si="30"/>
        <v>0</v>
      </c>
      <c r="L73" s="2024">
        <f t="shared" si="30"/>
        <v>0</v>
      </c>
      <c r="M73" s="2024">
        <f t="shared" si="30"/>
        <v>0</v>
      </c>
      <c r="N73" s="2024">
        <f t="shared" si="30"/>
        <v>0</v>
      </c>
      <c r="O73" s="2024">
        <f t="shared" si="30"/>
        <v>0</v>
      </c>
      <c r="P73" s="2024">
        <f t="shared" si="30"/>
        <v>0</v>
      </c>
      <c r="Q73" s="2024">
        <f t="shared" si="30"/>
        <v>0</v>
      </c>
      <c r="R73" s="2024">
        <f t="shared" si="30"/>
        <v>0</v>
      </c>
      <c r="S73" s="2024">
        <f t="shared" si="30"/>
        <v>0</v>
      </c>
      <c r="T73" s="2024">
        <f t="shared" si="30"/>
        <v>0</v>
      </c>
      <c r="U73" s="2024">
        <f t="shared" si="23"/>
        <v>0</v>
      </c>
      <c r="V73" s="2024">
        <f t="shared" si="23"/>
        <v>0</v>
      </c>
      <c r="W73" s="2024">
        <f t="shared" si="24"/>
        <v>0</v>
      </c>
      <c r="X73" s="2024">
        <f t="shared" si="30"/>
        <v>0</v>
      </c>
      <c r="Y73" s="2024">
        <f t="shared" si="30"/>
        <v>0</v>
      </c>
      <c r="Z73" s="2024">
        <f t="shared" si="30"/>
        <v>0</v>
      </c>
      <c r="AA73" s="2024">
        <f t="shared" si="30"/>
        <v>0</v>
      </c>
      <c r="AB73" s="2024">
        <f t="shared" si="30"/>
        <v>0</v>
      </c>
    </row>
    <row r="74" spans="1:28" x14ac:dyDescent="0.45">
      <c r="A74" s="1417" t="s">
        <v>361</v>
      </c>
      <c r="B74" s="2026" t="s">
        <v>355</v>
      </c>
      <c r="C74" s="2024">
        <f t="shared" ref="C74:AB74" si="31">C27*C62</f>
        <v>0</v>
      </c>
      <c r="D74" s="2024">
        <f t="shared" si="31"/>
        <v>0</v>
      </c>
      <c r="E74" s="2024">
        <f t="shared" si="31"/>
        <v>0</v>
      </c>
      <c r="F74" s="2024">
        <f t="shared" si="31"/>
        <v>0</v>
      </c>
      <c r="G74" s="2024">
        <f t="shared" si="31"/>
        <v>0</v>
      </c>
      <c r="H74" s="2024">
        <f t="shared" si="31"/>
        <v>0</v>
      </c>
      <c r="I74" s="2024">
        <f t="shared" si="31"/>
        <v>0</v>
      </c>
      <c r="J74" s="2024">
        <f t="shared" si="31"/>
        <v>0</v>
      </c>
      <c r="K74" s="2024">
        <f t="shared" si="31"/>
        <v>0</v>
      </c>
      <c r="L74" s="2024">
        <f t="shared" si="31"/>
        <v>0</v>
      </c>
      <c r="M74" s="2024">
        <f t="shared" si="31"/>
        <v>0</v>
      </c>
      <c r="N74" s="2024">
        <f t="shared" si="31"/>
        <v>0</v>
      </c>
      <c r="O74" s="2024">
        <f t="shared" si="31"/>
        <v>0</v>
      </c>
      <c r="P74" s="2024">
        <f t="shared" si="31"/>
        <v>0</v>
      </c>
      <c r="Q74" s="2024">
        <f t="shared" si="31"/>
        <v>0</v>
      </c>
      <c r="R74" s="2024">
        <f t="shared" si="31"/>
        <v>0</v>
      </c>
      <c r="S74" s="2024">
        <f t="shared" si="31"/>
        <v>0</v>
      </c>
      <c r="T74" s="2024">
        <f t="shared" si="31"/>
        <v>0</v>
      </c>
      <c r="U74" s="2024">
        <f t="shared" si="23"/>
        <v>0</v>
      </c>
      <c r="V74" s="2024">
        <f t="shared" si="23"/>
        <v>0</v>
      </c>
      <c r="W74" s="2024">
        <f t="shared" si="24"/>
        <v>0</v>
      </c>
      <c r="X74" s="2024">
        <f t="shared" si="31"/>
        <v>0</v>
      </c>
      <c r="Y74" s="2024">
        <f t="shared" si="31"/>
        <v>0</v>
      </c>
      <c r="Z74" s="2024">
        <f t="shared" si="31"/>
        <v>0</v>
      </c>
      <c r="AA74" s="2024">
        <f t="shared" si="31"/>
        <v>0</v>
      </c>
      <c r="AB74" s="2024">
        <f t="shared" si="31"/>
        <v>0</v>
      </c>
    </row>
    <row r="75" spans="1:28" x14ac:dyDescent="0.45">
      <c r="A75" s="1417" t="s">
        <v>361</v>
      </c>
      <c r="B75" s="2026" t="s">
        <v>359</v>
      </c>
      <c r="C75" s="2024">
        <f t="shared" ref="C75:AB75" si="32">C28*C63</f>
        <v>0</v>
      </c>
      <c r="D75" s="2024">
        <f t="shared" si="32"/>
        <v>0</v>
      </c>
      <c r="E75" s="2024">
        <f t="shared" si="32"/>
        <v>0</v>
      </c>
      <c r="F75" s="2024">
        <f t="shared" si="32"/>
        <v>0</v>
      </c>
      <c r="G75" s="2024">
        <f t="shared" si="32"/>
        <v>0</v>
      </c>
      <c r="H75" s="2024">
        <f t="shared" si="32"/>
        <v>0</v>
      </c>
      <c r="I75" s="2024">
        <f t="shared" si="32"/>
        <v>0</v>
      </c>
      <c r="J75" s="2024">
        <f t="shared" si="32"/>
        <v>0</v>
      </c>
      <c r="K75" s="2024">
        <f t="shared" si="32"/>
        <v>0</v>
      </c>
      <c r="L75" s="2024">
        <f t="shared" si="32"/>
        <v>0</v>
      </c>
      <c r="M75" s="2024">
        <f t="shared" si="32"/>
        <v>0</v>
      </c>
      <c r="N75" s="2024">
        <f t="shared" si="32"/>
        <v>0</v>
      </c>
      <c r="O75" s="2024">
        <f t="shared" si="32"/>
        <v>0</v>
      </c>
      <c r="P75" s="2024">
        <f t="shared" si="32"/>
        <v>0</v>
      </c>
      <c r="Q75" s="2024">
        <f t="shared" si="32"/>
        <v>0</v>
      </c>
      <c r="R75" s="2024">
        <f t="shared" si="32"/>
        <v>0</v>
      </c>
      <c r="S75" s="2024">
        <f t="shared" si="32"/>
        <v>0</v>
      </c>
      <c r="T75" s="2024">
        <f t="shared" si="32"/>
        <v>0</v>
      </c>
      <c r="U75" s="2024">
        <f t="shared" si="23"/>
        <v>0</v>
      </c>
      <c r="V75" s="2024">
        <f t="shared" si="23"/>
        <v>0</v>
      </c>
      <c r="W75" s="2024">
        <f t="shared" si="24"/>
        <v>0</v>
      </c>
      <c r="X75" s="2024">
        <f t="shared" si="32"/>
        <v>0</v>
      </c>
      <c r="Y75" s="2024">
        <f t="shared" si="32"/>
        <v>0</v>
      </c>
      <c r="Z75" s="2024">
        <f t="shared" si="32"/>
        <v>0</v>
      </c>
      <c r="AA75" s="2024">
        <f t="shared" si="32"/>
        <v>0</v>
      </c>
      <c r="AB75" s="2024">
        <f t="shared" si="32"/>
        <v>0</v>
      </c>
    </row>
    <row r="76" spans="1:28" x14ac:dyDescent="0.45">
      <c r="A76" s="1417" t="s">
        <v>79</v>
      </c>
      <c r="B76" s="2026"/>
      <c r="C76" s="1422">
        <f t="shared" ref="C76:AB76" si="33">SUM(C67:C75)</f>
        <v>498.37813682752943</v>
      </c>
      <c r="D76" s="1422">
        <f t="shared" si="33"/>
        <v>549.94020469552402</v>
      </c>
      <c r="E76" s="1422">
        <f t="shared" si="33"/>
        <v>525.56239883630383</v>
      </c>
      <c r="F76" s="1422">
        <f t="shared" si="33"/>
        <v>559.01897812784318</v>
      </c>
      <c r="G76" s="1422">
        <f t="shared" si="33"/>
        <v>498.37813682752943</v>
      </c>
      <c r="H76" s="1422">
        <f t="shared" si="33"/>
        <v>549.94020469552402</v>
      </c>
      <c r="I76" s="1422">
        <f t="shared" si="33"/>
        <v>525.56239883630383</v>
      </c>
      <c r="J76" s="1422">
        <f t="shared" si="33"/>
        <v>548.42996791725864</v>
      </c>
      <c r="K76" s="1422">
        <f t="shared" si="33"/>
        <v>1761.9429079761142</v>
      </c>
      <c r="L76" s="1422">
        <f t="shared" si="33"/>
        <v>1863.2037852847236</v>
      </c>
      <c r="M76" s="1422">
        <f t="shared" si="33"/>
        <v>5540.9403975272498</v>
      </c>
      <c r="N76" s="1422">
        <f t="shared" si="33"/>
        <v>8101.7423887430032</v>
      </c>
      <c r="O76" s="1422">
        <f t="shared" si="33"/>
        <v>5540.9403975272498</v>
      </c>
      <c r="P76" s="1422">
        <f t="shared" si="33"/>
        <v>8101.7423887430032</v>
      </c>
      <c r="Q76" s="1422">
        <f t="shared" si="33"/>
        <v>8185.5149880463869</v>
      </c>
      <c r="R76" s="1422">
        <f t="shared" si="33"/>
        <v>11069.822380559524</v>
      </c>
      <c r="S76" s="1422">
        <f t="shared" si="33"/>
        <v>8185.5149880463869</v>
      </c>
      <c r="T76" s="1422">
        <f t="shared" si="33"/>
        <v>11069.822380559524</v>
      </c>
      <c r="U76" s="1422">
        <f>SUM(U67:U75)</f>
        <v>8101.7423887430032</v>
      </c>
      <c r="V76" s="1422">
        <f>SUM(V67:V75)</f>
        <v>11357.831100211442</v>
      </c>
      <c r="W76" s="1422">
        <f>SUM(W67:W75)</f>
        <v>8270.3328587831493</v>
      </c>
      <c r="X76" s="1422">
        <f t="shared" si="33"/>
        <v>1058.5191060669249</v>
      </c>
      <c r="Y76" s="1422">
        <f t="shared" si="33"/>
        <v>1238.0273389138806</v>
      </c>
      <c r="Z76" s="1422">
        <f t="shared" si="33"/>
        <v>1058.5191060669249</v>
      </c>
      <c r="AA76" s="1422">
        <f t="shared" si="33"/>
        <v>1295.1180791186994</v>
      </c>
      <c r="AB76" s="1422">
        <f t="shared" si="33"/>
        <v>151449.65671419082</v>
      </c>
    </row>
    <row r="77" spans="1:28" x14ac:dyDescent="0.45">
      <c r="A77" s="1416"/>
      <c r="B77" s="1968"/>
      <c r="C77" s="1968"/>
      <c r="D77" s="1968"/>
      <c r="E77" s="1968"/>
      <c r="F77" s="1968"/>
      <c r="G77" s="1968"/>
      <c r="H77" s="1968"/>
      <c r="I77" s="1968"/>
      <c r="J77" s="1968"/>
      <c r="K77" s="1968"/>
      <c r="L77" s="1968"/>
      <c r="M77" s="1968"/>
      <c r="N77" s="1968"/>
      <c r="O77" s="1968"/>
      <c r="P77" s="1968"/>
      <c r="Q77" s="1968"/>
      <c r="R77" s="1968"/>
      <c r="S77" s="1968"/>
      <c r="T77" s="1968"/>
      <c r="U77" s="1968"/>
      <c r="V77" s="1968"/>
      <c r="W77" s="1969"/>
      <c r="X77" s="1968"/>
      <c r="Y77" s="1968"/>
      <c r="Z77" s="1968"/>
      <c r="AA77" s="1968"/>
      <c r="AB77" s="1968"/>
    </row>
    <row r="78" spans="1:28" x14ac:dyDescent="0.45">
      <c r="A78" s="1420" t="s">
        <v>3444</v>
      </c>
      <c r="B78" s="1411" t="s">
        <v>365</v>
      </c>
      <c r="C78" s="1968"/>
      <c r="D78" s="1968"/>
      <c r="E78" s="1968"/>
      <c r="F78" s="1968"/>
      <c r="G78" s="1968"/>
      <c r="H78" s="1968"/>
      <c r="I78" s="1968"/>
      <c r="J78" s="1968"/>
      <c r="K78" s="1968"/>
      <c r="L78" s="1968"/>
      <c r="M78" s="1968"/>
      <c r="N78" s="1968"/>
      <c r="O78" s="1968"/>
      <c r="P78" s="1968"/>
      <c r="Q78" s="1968"/>
      <c r="R78" s="1968"/>
      <c r="S78" s="1968"/>
      <c r="T78" s="1968"/>
      <c r="U78" s="1968"/>
      <c r="V78" s="1968"/>
      <c r="W78" s="1969"/>
      <c r="X78" s="1968"/>
      <c r="Y78" s="1968"/>
      <c r="Z78" s="1968"/>
      <c r="AA78" s="1968"/>
      <c r="AB78" s="1968"/>
    </row>
    <row r="79" spans="1:28" x14ac:dyDescent="0.45">
      <c r="A79" s="1421" t="s">
        <v>357</v>
      </c>
      <c r="B79" s="2020" t="s">
        <v>355</v>
      </c>
      <c r="C79" s="2022">
        <f>TRA_inputs!$E$52</f>
        <v>93.060065531577067</v>
      </c>
      <c r="D79" s="2022">
        <f>TRA_inputs!$E$52</f>
        <v>93.060065531577067</v>
      </c>
      <c r="E79" s="2022">
        <f>TRA_inputs!$E$52</f>
        <v>93.060065531577067</v>
      </c>
      <c r="F79" s="2022">
        <f>TRA_inputs!$E$52</f>
        <v>93.060065531577067</v>
      </c>
      <c r="G79" s="2022">
        <f>TRA_inputs!$E$52</f>
        <v>93.060065531577067</v>
      </c>
      <c r="H79" s="2022">
        <f>TRA_inputs!$E$52</f>
        <v>93.060065531577067</v>
      </c>
      <c r="I79" s="2022">
        <f>TRA_inputs!$E$52</f>
        <v>93.060065531577067</v>
      </c>
      <c r="J79" s="2022">
        <f>TRA_inputs!$E$52</f>
        <v>93.060065531577067</v>
      </c>
      <c r="K79" s="2022">
        <f>TRA_inputs!$E$52</f>
        <v>93.060065531577067</v>
      </c>
      <c r="L79" s="2022">
        <f>TRA_inputs!$E$52</f>
        <v>93.060065531577067</v>
      </c>
      <c r="M79" s="2022">
        <f>TRA_inputs!$E$52</f>
        <v>93.060065531577067</v>
      </c>
      <c r="N79" s="2022">
        <f>TRA_inputs!$E$52</f>
        <v>93.060065531577067</v>
      </c>
      <c r="O79" s="2022">
        <f>TRA_inputs!$E$52</f>
        <v>93.060065531577067</v>
      </c>
      <c r="P79" s="2022">
        <f>TRA_inputs!$E$52</f>
        <v>93.060065531577067</v>
      </c>
      <c r="Q79" s="2022">
        <f>TRA_inputs!$E$52</f>
        <v>93.060065531577067</v>
      </c>
      <c r="R79" s="2022">
        <f>TRA_inputs!$E$52</f>
        <v>93.060065531577067</v>
      </c>
      <c r="S79" s="2022">
        <f>TRA_inputs!$E$52</f>
        <v>93.060065531577067</v>
      </c>
      <c r="T79" s="2022">
        <f>TRA_inputs!$E$52</f>
        <v>93.060065531577067</v>
      </c>
      <c r="U79" s="2022">
        <f>TRA_inputs!$E$52</f>
        <v>93.060065531577067</v>
      </c>
      <c r="V79" s="2022">
        <f>TRA_inputs!$E$52</f>
        <v>93.060065531577067</v>
      </c>
      <c r="W79" s="2022">
        <f>TRA_inputs!$E$52</f>
        <v>93.060065531577067</v>
      </c>
      <c r="X79" s="2022">
        <f>TRA_inputs!$E$52</f>
        <v>93.060065531577067</v>
      </c>
      <c r="Y79" s="2022">
        <f>TRA_inputs!$E$52</f>
        <v>93.060065531577067</v>
      </c>
      <c r="Z79" s="2022">
        <f>TRA_inputs!$E$52</f>
        <v>93.060065531577067</v>
      </c>
      <c r="AA79" s="2022">
        <f>TRA_inputs!$E$52</f>
        <v>93.060065531577067</v>
      </c>
      <c r="AB79" s="2022">
        <f>TRA_inputs!$E$52</f>
        <v>93.060065531577067</v>
      </c>
    </row>
    <row r="80" spans="1:28" x14ac:dyDescent="0.45">
      <c r="A80" s="1421" t="s">
        <v>1062</v>
      </c>
      <c r="B80" s="2020" t="s">
        <v>355</v>
      </c>
      <c r="C80" s="2022">
        <f>TRA_inputs!$E$51</f>
        <v>89.090678850135376</v>
      </c>
      <c r="D80" s="2022">
        <f>TRA_inputs!$E$51</f>
        <v>89.090678850135376</v>
      </c>
      <c r="E80" s="2022">
        <f>TRA_inputs!$E$51</f>
        <v>89.090678850135376</v>
      </c>
      <c r="F80" s="2022">
        <f>TRA_inputs!$E$51</f>
        <v>89.090678850135376</v>
      </c>
      <c r="G80" s="2022">
        <f>TRA_inputs!$E$51</f>
        <v>89.090678850135376</v>
      </c>
      <c r="H80" s="2022">
        <f>TRA_inputs!$E$51</f>
        <v>89.090678850135376</v>
      </c>
      <c r="I80" s="2022">
        <f>TRA_inputs!$E$51</f>
        <v>89.090678850135376</v>
      </c>
      <c r="J80" s="2022">
        <f>TRA_inputs!$E$51</f>
        <v>89.090678850135376</v>
      </c>
      <c r="K80" s="2022">
        <f>TRA_inputs!$E$51</f>
        <v>89.090678850135376</v>
      </c>
      <c r="L80" s="2022">
        <f>TRA_inputs!$E$51</f>
        <v>89.090678850135376</v>
      </c>
      <c r="M80" s="2022">
        <f>TRA_inputs!$E$51</f>
        <v>89.090678850135376</v>
      </c>
      <c r="N80" s="2022">
        <f>TRA_inputs!$E$51</f>
        <v>89.090678850135376</v>
      </c>
      <c r="O80" s="2022">
        <f>TRA_inputs!$E$51</f>
        <v>89.090678850135376</v>
      </c>
      <c r="P80" s="2022">
        <f>TRA_inputs!$E$51</f>
        <v>89.090678850135376</v>
      </c>
      <c r="Q80" s="2022">
        <f>TRA_inputs!$E$51</f>
        <v>89.090678850135376</v>
      </c>
      <c r="R80" s="2022">
        <f>TRA_inputs!$E$51</f>
        <v>89.090678850135376</v>
      </c>
      <c r="S80" s="2022">
        <f>TRA_inputs!$E$51</f>
        <v>89.090678850135376</v>
      </c>
      <c r="T80" s="2022">
        <f>TRA_inputs!$E$51</f>
        <v>89.090678850135376</v>
      </c>
      <c r="U80" s="2022">
        <f>TRA_inputs!$E$51</f>
        <v>89.090678850135376</v>
      </c>
      <c r="V80" s="2022">
        <f>TRA_inputs!$E$51</f>
        <v>89.090678850135376</v>
      </c>
      <c r="W80" s="2022">
        <f>TRA_inputs!$E$51</f>
        <v>89.090678850135376</v>
      </c>
      <c r="X80" s="2022">
        <f>TRA_inputs!$E$51</f>
        <v>89.090678850135376</v>
      </c>
      <c r="Y80" s="2022">
        <f>TRA_inputs!$E$51</f>
        <v>89.090678850135376</v>
      </c>
      <c r="Z80" s="2022">
        <f>TRA_inputs!$E$51</f>
        <v>89.090678850135376</v>
      </c>
      <c r="AA80" s="2022">
        <f>TRA_inputs!$E$51</f>
        <v>89.090678850135376</v>
      </c>
      <c r="AB80" s="2022">
        <f>TRA_inputs!$E$51</f>
        <v>89.090678850135376</v>
      </c>
    </row>
    <row r="81" spans="1:28" x14ac:dyDescent="0.45">
      <c r="A81" s="1421" t="s">
        <v>1062</v>
      </c>
      <c r="B81" s="2020" t="s">
        <v>359</v>
      </c>
      <c r="C81" s="2022">
        <f>TRA_inputs!$E$53</f>
        <v>143.9</v>
      </c>
      <c r="D81" s="2022">
        <f>TRA_inputs!$E$53</f>
        <v>143.9</v>
      </c>
      <c r="E81" s="2022">
        <f>TRA_inputs!$E$53</f>
        <v>143.9</v>
      </c>
      <c r="F81" s="2022">
        <f>TRA_inputs!$E$53</f>
        <v>143.9</v>
      </c>
      <c r="G81" s="2022">
        <f>TRA_inputs!$E$53</f>
        <v>143.9</v>
      </c>
      <c r="H81" s="2022">
        <f>TRA_inputs!$E$53</f>
        <v>143.9</v>
      </c>
      <c r="I81" s="2022">
        <f>TRA_inputs!$E$53</f>
        <v>143.9</v>
      </c>
      <c r="J81" s="2022">
        <f>TRA_inputs!$E$53</f>
        <v>143.9</v>
      </c>
      <c r="K81" s="2022">
        <f>TRA_inputs!$E$53</f>
        <v>143.9</v>
      </c>
      <c r="L81" s="2022">
        <f>TRA_inputs!$E$53</f>
        <v>143.9</v>
      </c>
      <c r="M81" s="2022">
        <f>TRA_inputs!$E$53</f>
        <v>143.9</v>
      </c>
      <c r="N81" s="2022">
        <f>TRA_inputs!$E$53</f>
        <v>143.9</v>
      </c>
      <c r="O81" s="2022">
        <f>TRA_inputs!$E$53</f>
        <v>143.9</v>
      </c>
      <c r="P81" s="2022">
        <f>TRA_inputs!$E$53</f>
        <v>143.9</v>
      </c>
      <c r="Q81" s="2022">
        <f>TRA_inputs!$E$53</f>
        <v>143.9</v>
      </c>
      <c r="R81" s="2022">
        <f>TRA_inputs!$E$53</f>
        <v>143.9</v>
      </c>
      <c r="S81" s="2022">
        <f>TRA_inputs!$E$53</f>
        <v>143.9</v>
      </c>
      <c r="T81" s="2022">
        <f>TRA_inputs!$E$53</f>
        <v>143.9</v>
      </c>
      <c r="U81" s="2022">
        <f>TRA_inputs!$E$53</f>
        <v>143.9</v>
      </c>
      <c r="V81" s="2022">
        <f>TRA_inputs!$E$53</f>
        <v>143.9</v>
      </c>
      <c r="W81" s="2022">
        <f>TRA_inputs!$E$53</f>
        <v>143.9</v>
      </c>
      <c r="X81" s="2022">
        <f>TRA_inputs!$E$53</f>
        <v>143.9</v>
      </c>
      <c r="Y81" s="2022">
        <f>TRA_inputs!$E$53</f>
        <v>143.9</v>
      </c>
      <c r="Z81" s="2022">
        <f>TRA_inputs!$E$53</f>
        <v>143.9</v>
      </c>
      <c r="AA81" s="2022">
        <f>TRA_inputs!$E$53</f>
        <v>143.9</v>
      </c>
      <c r="AB81" s="2022">
        <f>TRA_inputs!$E$53</f>
        <v>143.9</v>
      </c>
    </row>
    <row r="82" spans="1:28" x14ac:dyDescent="0.45">
      <c r="A82" s="1421" t="s">
        <v>358</v>
      </c>
      <c r="B82" s="2020" t="s">
        <v>355</v>
      </c>
      <c r="C82" s="2022">
        <f>TRA_inputs!$E$51</f>
        <v>89.090678850135376</v>
      </c>
      <c r="D82" s="2022">
        <f>TRA_inputs!$E$51</f>
        <v>89.090678850135376</v>
      </c>
      <c r="E82" s="2022">
        <f>TRA_inputs!$E$51</f>
        <v>89.090678850135376</v>
      </c>
      <c r="F82" s="2022">
        <f>TRA_inputs!$E$51</f>
        <v>89.090678850135376</v>
      </c>
      <c r="G82" s="2022">
        <f>TRA_inputs!$E$51</f>
        <v>89.090678850135376</v>
      </c>
      <c r="H82" s="2022">
        <f>TRA_inputs!$E$51</f>
        <v>89.090678850135376</v>
      </c>
      <c r="I82" s="2022">
        <f>TRA_inputs!$E$51</f>
        <v>89.090678850135376</v>
      </c>
      <c r="J82" s="2022">
        <f>TRA_inputs!$E$51</f>
        <v>89.090678850135376</v>
      </c>
      <c r="K82" s="2022">
        <f>TRA_inputs!$E$51</f>
        <v>89.090678850135376</v>
      </c>
      <c r="L82" s="2022">
        <f>TRA_inputs!$E$51</f>
        <v>89.090678850135376</v>
      </c>
      <c r="M82" s="2022">
        <f>TRA_inputs!$E$51</f>
        <v>89.090678850135376</v>
      </c>
      <c r="N82" s="2022">
        <f>TRA_inputs!$E$51</f>
        <v>89.090678850135376</v>
      </c>
      <c r="O82" s="2022">
        <f>TRA_inputs!$E$51</f>
        <v>89.090678850135376</v>
      </c>
      <c r="P82" s="2022">
        <f>TRA_inputs!$E$51</f>
        <v>89.090678850135376</v>
      </c>
      <c r="Q82" s="2022">
        <f>TRA_inputs!$E$51</f>
        <v>89.090678850135376</v>
      </c>
      <c r="R82" s="2022">
        <f>TRA_inputs!$E$51</f>
        <v>89.090678850135376</v>
      </c>
      <c r="S82" s="2022">
        <f>TRA_inputs!$E$51</f>
        <v>89.090678850135376</v>
      </c>
      <c r="T82" s="2022">
        <f>TRA_inputs!$E$51</f>
        <v>89.090678850135376</v>
      </c>
      <c r="U82" s="2022">
        <f>TRA_inputs!$E$51</f>
        <v>89.090678850135376</v>
      </c>
      <c r="V82" s="2022">
        <f>TRA_inputs!$E$51</f>
        <v>89.090678850135376</v>
      </c>
      <c r="W82" s="2022">
        <f>TRA_inputs!$E$51</f>
        <v>89.090678850135376</v>
      </c>
      <c r="X82" s="2022">
        <f>TRA_inputs!$E$51</f>
        <v>89.090678850135376</v>
      </c>
      <c r="Y82" s="2022">
        <f>TRA_inputs!$E$51</f>
        <v>89.090678850135376</v>
      </c>
      <c r="Z82" s="2022">
        <f>TRA_inputs!$E$51</f>
        <v>89.090678850135376</v>
      </c>
      <c r="AA82" s="2022">
        <f>TRA_inputs!$E$51</f>
        <v>89.090678850135376</v>
      </c>
      <c r="AB82" s="2022">
        <f>TRA_inputs!$E$51</f>
        <v>89.090678850135376</v>
      </c>
    </row>
    <row r="83" spans="1:28" x14ac:dyDescent="0.45">
      <c r="A83" s="1421" t="s">
        <v>358</v>
      </c>
      <c r="B83" s="2020" t="s">
        <v>359</v>
      </c>
      <c r="C83" s="2022">
        <f>TRA_inputs!$E$53</f>
        <v>143.9</v>
      </c>
      <c r="D83" s="2022">
        <f>TRA_inputs!$E$53</f>
        <v>143.9</v>
      </c>
      <c r="E83" s="2022">
        <f>TRA_inputs!$E$53</f>
        <v>143.9</v>
      </c>
      <c r="F83" s="2022">
        <f>TRA_inputs!$E$53</f>
        <v>143.9</v>
      </c>
      <c r="G83" s="2022">
        <f>TRA_inputs!$E$53</f>
        <v>143.9</v>
      </c>
      <c r="H83" s="2022">
        <f>TRA_inputs!$E$53</f>
        <v>143.9</v>
      </c>
      <c r="I83" s="2022">
        <f>TRA_inputs!$E$53</f>
        <v>143.9</v>
      </c>
      <c r="J83" s="2022">
        <f>TRA_inputs!$E$53</f>
        <v>143.9</v>
      </c>
      <c r="K83" s="2022">
        <f>TRA_inputs!$E$53</f>
        <v>143.9</v>
      </c>
      <c r="L83" s="2022">
        <f>TRA_inputs!$E$53</f>
        <v>143.9</v>
      </c>
      <c r="M83" s="2022">
        <f>TRA_inputs!$E$53</f>
        <v>143.9</v>
      </c>
      <c r="N83" s="2022">
        <f>TRA_inputs!$E$53</f>
        <v>143.9</v>
      </c>
      <c r="O83" s="2022">
        <f>TRA_inputs!$E$53</f>
        <v>143.9</v>
      </c>
      <c r="P83" s="2022">
        <f>TRA_inputs!$E$53</f>
        <v>143.9</v>
      </c>
      <c r="Q83" s="2022">
        <f>TRA_inputs!$E$53</f>
        <v>143.9</v>
      </c>
      <c r="R83" s="2022">
        <f>TRA_inputs!$E$53</f>
        <v>143.9</v>
      </c>
      <c r="S83" s="2022">
        <f>TRA_inputs!$E$53</f>
        <v>143.9</v>
      </c>
      <c r="T83" s="2022">
        <f>TRA_inputs!$E$53</f>
        <v>143.9</v>
      </c>
      <c r="U83" s="2022">
        <f>TRA_inputs!$E$53</f>
        <v>143.9</v>
      </c>
      <c r="V83" s="2022">
        <f>TRA_inputs!$E$53</f>
        <v>143.9</v>
      </c>
      <c r="W83" s="2022">
        <f>TRA_inputs!$E$53</f>
        <v>143.9</v>
      </c>
      <c r="X83" s="2022">
        <f>TRA_inputs!$E$53</f>
        <v>143.9</v>
      </c>
      <c r="Y83" s="2022">
        <f>TRA_inputs!$E$53</f>
        <v>143.9</v>
      </c>
      <c r="Z83" s="2022">
        <f>TRA_inputs!$E$53</f>
        <v>143.9</v>
      </c>
      <c r="AA83" s="2022">
        <f>TRA_inputs!$E$53</f>
        <v>143.9</v>
      </c>
      <c r="AB83" s="2022">
        <f>TRA_inputs!$E$53</f>
        <v>143.9</v>
      </c>
    </row>
    <row r="84" spans="1:28" x14ac:dyDescent="0.45">
      <c r="A84" s="1421" t="s">
        <v>360</v>
      </c>
      <c r="B84" s="2020" t="s">
        <v>355</v>
      </c>
      <c r="C84" s="2022">
        <f>TRA_inputs!$E$51</f>
        <v>89.090678850135376</v>
      </c>
      <c r="D84" s="2022">
        <f>TRA_inputs!$E$51</f>
        <v>89.090678850135376</v>
      </c>
      <c r="E84" s="2022">
        <f>TRA_inputs!$E$51</f>
        <v>89.090678850135376</v>
      </c>
      <c r="F84" s="2022">
        <f>TRA_inputs!$E$51</f>
        <v>89.090678850135376</v>
      </c>
      <c r="G84" s="2022">
        <f>TRA_inputs!$E$51</f>
        <v>89.090678850135376</v>
      </c>
      <c r="H84" s="2022">
        <f>TRA_inputs!$E$51</f>
        <v>89.090678850135376</v>
      </c>
      <c r="I84" s="2022">
        <f>TRA_inputs!$E$51</f>
        <v>89.090678850135376</v>
      </c>
      <c r="J84" s="2022">
        <f>TRA_inputs!$E$51</f>
        <v>89.090678850135376</v>
      </c>
      <c r="K84" s="2022">
        <f>TRA_inputs!$E$51</f>
        <v>89.090678850135376</v>
      </c>
      <c r="L84" s="2022">
        <f>TRA_inputs!$E$51</f>
        <v>89.090678850135376</v>
      </c>
      <c r="M84" s="2022">
        <f>TRA_inputs!$E$51</f>
        <v>89.090678850135376</v>
      </c>
      <c r="N84" s="2022">
        <f>TRA_inputs!$E$51</f>
        <v>89.090678850135376</v>
      </c>
      <c r="O84" s="2022">
        <f>TRA_inputs!$E$51</f>
        <v>89.090678850135376</v>
      </c>
      <c r="P84" s="2022">
        <f>TRA_inputs!$E$51</f>
        <v>89.090678850135376</v>
      </c>
      <c r="Q84" s="2022">
        <f>TRA_inputs!$E$51</f>
        <v>89.090678850135376</v>
      </c>
      <c r="R84" s="2022">
        <f>TRA_inputs!$E$51</f>
        <v>89.090678850135376</v>
      </c>
      <c r="S84" s="2022">
        <f>TRA_inputs!$E$51</f>
        <v>89.090678850135376</v>
      </c>
      <c r="T84" s="2022">
        <f>TRA_inputs!$E$51</f>
        <v>89.090678850135376</v>
      </c>
      <c r="U84" s="2022">
        <f>TRA_inputs!$E$51</f>
        <v>89.090678850135376</v>
      </c>
      <c r="V84" s="2022">
        <f>TRA_inputs!$E$51</f>
        <v>89.090678850135376</v>
      </c>
      <c r="W84" s="2022">
        <f>TRA_inputs!$E$51</f>
        <v>89.090678850135376</v>
      </c>
      <c r="X84" s="2022">
        <f>TRA_inputs!$E$51</f>
        <v>89.090678850135376</v>
      </c>
      <c r="Y84" s="2022">
        <f>TRA_inputs!$E$51</f>
        <v>89.090678850135376</v>
      </c>
      <c r="Z84" s="2022">
        <f>TRA_inputs!$E$51</f>
        <v>89.090678850135376</v>
      </c>
      <c r="AA84" s="2022">
        <f>TRA_inputs!$E$51</f>
        <v>89.090678850135376</v>
      </c>
      <c r="AB84" s="2022">
        <f>TRA_inputs!$E$51</f>
        <v>89.090678850135376</v>
      </c>
    </row>
    <row r="85" spans="1:28" x14ac:dyDescent="0.45">
      <c r="A85" s="1421" t="s">
        <v>360</v>
      </c>
      <c r="B85" s="2020" t="s">
        <v>359</v>
      </c>
      <c r="C85" s="2022">
        <f>TRA_inputs!$E$53</f>
        <v>143.9</v>
      </c>
      <c r="D85" s="2022">
        <f>TRA_inputs!$E$53</f>
        <v>143.9</v>
      </c>
      <c r="E85" s="2022">
        <f>TRA_inputs!$E$53</f>
        <v>143.9</v>
      </c>
      <c r="F85" s="2022">
        <f>TRA_inputs!$E$53</f>
        <v>143.9</v>
      </c>
      <c r="G85" s="2022">
        <f>TRA_inputs!$E$53</f>
        <v>143.9</v>
      </c>
      <c r="H85" s="2022">
        <f>TRA_inputs!$E$53</f>
        <v>143.9</v>
      </c>
      <c r="I85" s="2022">
        <f>TRA_inputs!$E$53</f>
        <v>143.9</v>
      </c>
      <c r="J85" s="2022">
        <f>TRA_inputs!$E$53</f>
        <v>143.9</v>
      </c>
      <c r="K85" s="2022">
        <f>TRA_inputs!$E$53</f>
        <v>143.9</v>
      </c>
      <c r="L85" s="2022">
        <f>TRA_inputs!$E$53</f>
        <v>143.9</v>
      </c>
      <c r="M85" s="2022">
        <f>TRA_inputs!$E$53</f>
        <v>143.9</v>
      </c>
      <c r="N85" s="2022">
        <f>TRA_inputs!$E$53</f>
        <v>143.9</v>
      </c>
      <c r="O85" s="2022">
        <f>TRA_inputs!$E$53</f>
        <v>143.9</v>
      </c>
      <c r="P85" s="2022">
        <f>TRA_inputs!$E$53</f>
        <v>143.9</v>
      </c>
      <c r="Q85" s="2022">
        <f>TRA_inputs!$E$53</f>
        <v>143.9</v>
      </c>
      <c r="R85" s="2022">
        <f>TRA_inputs!$E$53</f>
        <v>143.9</v>
      </c>
      <c r="S85" s="2022">
        <f>TRA_inputs!$E$53</f>
        <v>143.9</v>
      </c>
      <c r="T85" s="2022">
        <f>TRA_inputs!$E$53</f>
        <v>143.9</v>
      </c>
      <c r="U85" s="2022">
        <f>TRA_inputs!$E$53</f>
        <v>143.9</v>
      </c>
      <c r="V85" s="2022">
        <f>TRA_inputs!$E$53</f>
        <v>143.9</v>
      </c>
      <c r="W85" s="2022">
        <f>TRA_inputs!$E$53</f>
        <v>143.9</v>
      </c>
      <c r="X85" s="2022">
        <f>TRA_inputs!$E$53</f>
        <v>143.9</v>
      </c>
      <c r="Y85" s="2022">
        <f>TRA_inputs!$E$53</f>
        <v>143.9</v>
      </c>
      <c r="Z85" s="2022">
        <f>TRA_inputs!$E$53</f>
        <v>143.9</v>
      </c>
      <c r="AA85" s="2022">
        <f>TRA_inputs!$E$53</f>
        <v>143.9</v>
      </c>
      <c r="AB85" s="2022">
        <f>TRA_inputs!$E$53</f>
        <v>143.9</v>
      </c>
    </row>
    <row r="86" spans="1:28" x14ac:dyDescent="0.45">
      <c r="A86" s="1421" t="s">
        <v>361</v>
      </c>
      <c r="B86" s="2020" t="s">
        <v>355</v>
      </c>
      <c r="C86" s="2022">
        <f>TRA_inputs!$E$51</f>
        <v>89.090678850135376</v>
      </c>
      <c r="D86" s="2022">
        <f>TRA_inputs!$E$51</f>
        <v>89.090678850135376</v>
      </c>
      <c r="E86" s="2022">
        <f>TRA_inputs!$E$51</f>
        <v>89.090678850135376</v>
      </c>
      <c r="F86" s="2022">
        <f>TRA_inputs!$E$51</f>
        <v>89.090678850135376</v>
      </c>
      <c r="G86" s="2022">
        <f>TRA_inputs!$E$51</f>
        <v>89.090678850135376</v>
      </c>
      <c r="H86" s="2022">
        <f>TRA_inputs!$E$51</f>
        <v>89.090678850135376</v>
      </c>
      <c r="I86" s="2022">
        <f>TRA_inputs!$E$51</f>
        <v>89.090678850135376</v>
      </c>
      <c r="J86" s="2022">
        <f>TRA_inputs!$E$51</f>
        <v>89.090678850135376</v>
      </c>
      <c r="K86" s="2022">
        <f>TRA_inputs!$E$51</f>
        <v>89.090678850135376</v>
      </c>
      <c r="L86" s="2022">
        <f>TRA_inputs!$E$51</f>
        <v>89.090678850135376</v>
      </c>
      <c r="M86" s="2022">
        <f>TRA_inputs!$E$51</f>
        <v>89.090678850135376</v>
      </c>
      <c r="N86" s="2022">
        <f>TRA_inputs!$E$51</f>
        <v>89.090678850135376</v>
      </c>
      <c r="O86" s="2022">
        <f>TRA_inputs!$E$51</f>
        <v>89.090678850135376</v>
      </c>
      <c r="P86" s="2022">
        <f>TRA_inputs!$E$51</f>
        <v>89.090678850135376</v>
      </c>
      <c r="Q86" s="2022">
        <f>TRA_inputs!$E$51</f>
        <v>89.090678850135376</v>
      </c>
      <c r="R86" s="2022">
        <f>TRA_inputs!$E$51</f>
        <v>89.090678850135376</v>
      </c>
      <c r="S86" s="2022">
        <f>TRA_inputs!$E$51</f>
        <v>89.090678850135376</v>
      </c>
      <c r="T86" s="2022">
        <f>TRA_inputs!$E$51</f>
        <v>89.090678850135376</v>
      </c>
      <c r="U86" s="2022">
        <f>TRA_inputs!$E$51</f>
        <v>89.090678850135376</v>
      </c>
      <c r="V86" s="2022">
        <f>TRA_inputs!$E$51</f>
        <v>89.090678850135376</v>
      </c>
      <c r="W86" s="2022">
        <f>TRA_inputs!$E$51</f>
        <v>89.090678850135376</v>
      </c>
      <c r="X86" s="2022">
        <f>TRA_inputs!$E$51</f>
        <v>89.090678850135376</v>
      </c>
      <c r="Y86" s="2022">
        <f>TRA_inputs!$E$51</f>
        <v>89.090678850135376</v>
      </c>
      <c r="Z86" s="2022">
        <f>TRA_inputs!$E$51</f>
        <v>89.090678850135376</v>
      </c>
      <c r="AA86" s="2022">
        <f>TRA_inputs!$E$51</f>
        <v>89.090678850135376</v>
      </c>
      <c r="AB86" s="2022">
        <f>TRA_inputs!$E$51</f>
        <v>89.090678850135376</v>
      </c>
    </row>
    <row r="87" spans="1:28" x14ac:dyDescent="0.45">
      <c r="A87" s="1421" t="s">
        <v>361</v>
      </c>
      <c r="B87" s="2020" t="s">
        <v>359</v>
      </c>
      <c r="C87" s="2022">
        <f>TRA_inputs!$E$53</f>
        <v>143.9</v>
      </c>
      <c r="D87" s="2022">
        <f>TRA_inputs!$E$53</f>
        <v>143.9</v>
      </c>
      <c r="E87" s="2022">
        <f>TRA_inputs!$E$53</f>
        <v>143.9</v>
      </c>
      <c r="F87" s="2022">
        <f>TRA_inputs!$E$53</f>
        <v>143.9</v>
      </c>
      <c r="G87" s="2022">
        <f>TRA_inputs!$E$53</f>
        <v>143.9</v>
      </c>
      <c r="H87" s="2022">
        <f>TRA_inputs!$E$53</f>
        <v>143.9</v>
      </c>
      <c r="I87" s="2022">
        <f>TRA_inputs!$E$53</f>
        <v>143.9</v>
      </c>
      <c r="J87" s="2022">
        <f>TRA_inputs!$E$53</f>
        <v>143.9</v>
      </c>
      <c r="K87" s="2022">
        <f>TRA_inputs!$E$53</f>
        <v>143.9</v>
      </c>
      <c r="L87" s="2022">
        <f>TRA_inputs!$E$53</f>
        <v>143.9</v>
      </c>
      <c r="M87" s="2022">
        <f>TRA_inputs!$E$53</f>
        <v>143.9</v>
      </c>
      <c r="N87" s="2022">
        <f>TRA_inputs!$E$53</f>
        <v>143.9</v>
      </c>
      <c r="O87" s="2022">
        <f>TRA_inputs!$E$53</f>
        <v>143.9</v>
      </c>
      <c r="P87" s="2022">
        <f>TRA_inputs!$E$53</f>
        <v>143.9</v>
      </c>
      <c r="Q87" s="2022">
        <f>TRA_inputs!$E$53</f>
        <v>143.9</v>
      </c>
      <c r="R87" s="2022">
        <f>TRA_inputs!$E$53</f>
        <v>143.9</v>
      </c>
      <c r="S87" s="2022">
        <f>TRA_inputs!$E$53</f>
        <v>143.9</v>
      </c>
      <c r="T87" s="2022">
        <f>TRA_inputs!$E$53</f>
        <v>143.9</v>
      </c>
      <c r="U87" s="2022">
        <f>TRA_inputs!$E$53</f>
        <v>143.9</v>
      </c>
      <c r="V87" s="2022">
        <f>TRA_inputs!$E$53</f>
        <v>143.9</v>
      </c>
      <c r="W87" s="2022">
        <f>TRA_inputs!$E$53</f>
        <v>143.9</v>
      </c>
      <c r="X87" s="2022">
        <f>TRA_inputs!$E$53</f>
        <v>143.9</v>
      </c>
      <c r="Y87" s="2022">
        <f>TRA_inputs!$E$53</f>
        <v>143.9</v>
      </c>
      <c r="Z87" s="2022">
        <f>TRA_inputs!$E$53</f>
        <v>143.9</v>
      </c>
      <c r="AA87" s="2022">
        <f>TRA_inputs!$E$53</f>
        <v>143.9</v>
      </c>
      <c r="AB87" s="2022">
        <f>TRA_inputs!$E$53</f>
        <v>143.9</v>
      </c>
    </row>
    <row r="88" spans="1:28" x14ac:dyDescent="0.45">
      <c r="A88" s="1416"/>
      <c r="B88" s="1968"/>
      <c r="C88" s="1968"/>
      <c r="D88" s="1968"/>
      <c r="E88" s="1968"/>
      <c r="F88" s="1968"/>
      <c r="G88" s="1968"/>
      <c r="H88" s="1968"/>
      <c r="I88" s="1968"/>
      <c r="J88" s="1968"/>
      <c r="K88" s="1968"/>
      <c r="L88" s="1968"/>
      <c r="M88" s="1968"/>
      <c r="N88" s="1968"/>
      <c r="O88" s="1968"/>
      <c r="P88" s="1968"/>
      <c r="Q88" s="1968"/>
      <c r="R88" s="1968"/>
      <c r="S88" s="1968"/>
      <c r="T88" s="1968"/>
      <c r="U88" s="1968"/>
      <c r="V88" s="1968"/>
      <c r="W88" s="1969"/>
      <c r="X88" s="1968"/>
      <c r="Y88" s="1968"/>
      <c r="Z88" s="1968"/>
      <c r="AA88" s="1968"/>
      <c r="AB88" s="1968"/>
    </row>
    <row r="89" spans="1:28" x14ac:dyDescent="0.45">
      <c r="A89" s="1416"/>
      <c r="B89" s="1968"/>
      <c r="C89" s="1968"/>
      <c r="D89" s="1968"/>
      <c r="E89" s="1968"/>
      <c r="F89" s="1968"/>
      <c r="G89" s="1968"/>
      <c r="H89" s="1968"/>
      <c r="I89" s="1968"/>
      <c r="J89" s="1968"/>
      <c r="K89" s="1968"/>
      <c r="L89" s="1968"/>
      <c r="M89" s="1968"/>
      <c r="N89" s="1968"/>
      <c r="O89" s="1968"/>
      <c r="P89" s="1968"/>
      <c r="Q89" s="1968"/>
      <c r="R89" s="1968"/>
      <c r="S89" s="1968"/>
      <c r="T89" s="1968"/>
      <c r="U89" s="1968"/>
      <c r="V89" s="1968"/>
      <c r="W89" s="1969"/>
      <c r="X89" s="1968"/>
      <c r="Y89" s="1968"/>
      <c r="Z89" s="1968"/>
      <c r="AA89" s="1968"/>
      <c r="AB89" s="1968"/>
    </row>
    <row r="90" spans="1:28" x14ac:dyDescent="0.45">
      <c r="A90" s="1420" t="s">
        <v>1071</v>
      </c>
      <c r="B90" s="1968" t="s">
        <v>103</v>
      </c>
      <c r="C90" s="1968"/>
      <c r="D90" s="1968"/>
      <c r="E90" s="1968"/>
      <c r="F90" s="1968"/>
      <c r="G90" s="1968"/>
      <c r="H90" s="1968"/>
      <c r="I90" s="1968"/>
      <c r="J90" s="1968"/>
      <c r="K90" s="1968"/>
      <c r="L90" s="1968"/>
      <c r="M90" s="1968"/>
      <c r="N90" s="1968"/>
      <c r="O90" s="1968"/>
      <c r="P90" s="1968"/>
      <c r="Q90" s="1968"/>
      <c r="R90" s="1968"/>
      <c r="S90" s="1968"/>
      <c r="T90" s="1968"/>
      <c r="U90" s="1968"/>
      <c r="V90" s="1968"/>
      <c r="W90" s="1969"/>
      <c r="X90" s="1968"/>
      <c r="Y90" s="1968"/>
      <c r="Z90" s="1968"/>
      <c r="AA90" s="1968"/>
      <c r="AB90" s="1968"/>
    </row>
    <row r="91" spans="1:28" x14ac:dyDescent="0.45">
      <c r="A91" s="1417" t="s">
        <v>357</v>
      </c>
      <c r="B91" s="2026" t="s">
        <v>355</v>
      </c>
      <c r="C91" s="2024">
        <f t="shared" ref="C91:AB91" si="34">C67*C79</f>
        <v>0</v>
      </c>
      <c r="D91" s="2024">
        <f t="shared" si="34"/>
        <v>0</v>
      </c>
      <c r="E91" s="2024">
        <f t="shared" si="34"/>
        <v>0</v>
      </c>
      <c r="F91" s="2024">
        <f t="shared" si="34"/>
        <v>0</v>
      </c>
      <c r="G91" s="2024">
        <f t="shared" si="34"/>
        <v>0</v>
      </c>
      <c r="H91" s="2024">
        <f t="shared" si="34"/>
        <v>0</v>
      </c>
      <c r="I91" s="2024">
        <f t="shared" si="34"/>
        <v>0</v>
      </c>
      <c r="J91" s="2024">
        <f t="shared" si="34"/>
        <v>0</v>
      </c>
      <c r="K91" s="2024">
        <f t="shared" si="34"/>
        <v>0</v>
      </c>
      <c r="L91" s="2024">
        <f t="shared" si="34"/>
        <v>0</v>
      </c>
      <c r="M91" s="2024">
        <f t="shared" si="34"/>
        <v>0</v>
      </c>
      <c r="N91" s="2024">
        <f t="shared" si="34"/>
        <v>0</v>
      </c>
      <c r="O91" s="2024">
        <f t="shared" si="34"/>
        <v>0</v>
      </c>
      <c r="P91" s="2024">
        <f t="shared" si="34"/>
        <v>0</v>
      </c>
      <c r="Q91" s="2024">
        <f t="shared" si="34"/>
        <v>0</v>
      </c>
      <c r="R91" s="2024">
        <f t="shared" si="34"/>
        <v>0</v>
      </c>
      <c r="S91" s="2024">
        <f t="shared" si="34"/>
        <v>0</v>
      </c>
      <c r="T91" s="2024">
        <f t="shared" si="34"/>
        <v>0</v>
      </c>
      <c r="U91" s="2024">
        <f t="shared" ref="U91:V99" si="35">U67*U79</f>
        <v>0</v>
      </c>
      <c r="V91" s="2024">
        <f t="shared" si="35"/>
        <v>0</v>
      </c>
      <c r="W91" s="2024">
        <f t="shared" ref="W91:W99" si="36">W67*W79</f>
        <v>0</v>
      </c>
      <c r="X91" s="2024">
        <f t="shared" si="34"/>
        <v>0</v>
      </c>
      <c r="Y91" s="2024">
        <f t="shared" si="34"/>
        <v>0</v>
      </c>
      <c r="Z91" s="2024">
        <f t="shared" si="34"/>
        <v>0</v>
      </c>
      <c r="AA91" s="2024">
        <f t="shared" si="34"/>
        <v>0</v>
      </c>
      <c r="AB91" s="2024">
        <f t="shared" si="34"/>
        <v>0</v>
      </c>
    </row>
    <row r="92" spans="1:28" x14ac:dyDescent="0.45">
      <c r="A92" s="1417" t="s">
        <v>1062</v>
      </c>
      <c r="B92" s="2026" t="s">
        <v>355</v>
      </c>
      <c r="C92" s="2024">
        <f t="shared" ref="C92:AB92" si="37">C68*C80</f>
        <v>0</v>
      </c>
      <c r="D92" s="2024">
        <f t="shared" si="37"/>
        <v>0</v>
      </c>
      <c r="E92" s="2024">
        <f t="shared" si="37"/>
        <v>0</v>
      </c>
      <c r="F92" s="2024">
        <f t="shared" si="37"/>
        <v>0</v>
      </c>
      <c r="G92" s="2024">
        <f t="shared" si="37"/>
        <v>0</v>
      </c>
      <c r="H92" s="2024">
        <f t="shared" si="37"/>
        <v>0</v>
      </c>
      <c r="I92" s="2024">
        <f t="shared" si="37"/>
        <v>0</v>
      </c>
      <c r="J92" s="2024">
        <f t="shared" si="37"/>
        <v>0</v>
      </c>
      <c r="K92" s="2024">
        <f t="shared" si="37"/>
        <v>0</v>
      </c>
      <c r="L92" s="2024">
        <f t="shared" si="37"/>
        <v>0</v>
      </c>
      <c r="M92" s="2024">
        <f t="shared" si="37"/>
        <v>262547.46037992678</v>
      </c>
      <c r="N92" s="2024">
        <f t="shared" si="37"/>
        <v>383886.44096697593</v>
      </c>
      <c r="O92" s="2024">
        <f t="shared" si="37"/>
        <v>262547.46037992678</v>
      </c>
      <c r="P92" s="2024">
        <f t="shared" si="37"/>
        <v>383886.44096697593</v>
      </c>
      <c r="Q92" s="2024">
        <f t="shared" si="37"/>
        <v>387855.8543911564</v>
      </c>
      <c r="R92" s="2024">
        <f t="shared" si="37"/>
        <v>524523.5545521829</v>
      </c>
      <c r="S92" s="2024">
        <f t="shared" si="37"/>
        <v>387855.8543911564</v>
      </c>
      <c r="T92" s="2024">
        <f t="shared" si="37"/>
        <v>524523.5545521829</v>
      </c>
      <c r="U92" s="2024">
        <f t="shared" si="35"/>
        <v>383886.44096697593</v>
      </c>
      <c r="V92" s="2024">
        <f t="shared" si="35"/>
        <v>538170.32793123426</v>
      </c>
      <c r="W92" s="2024">
        <f t="shared" si="36"/>
        <v>391874.79611568892</v>
      </c>
      <c r="X92" s="2024">
        <f t="shared" si="37"/>
        <v>50156.017412770721</v>
      </c>
      <c r="Y92" s="2024">
        <f t="shared" si="37"/>
        <v>58661.691047572698</v>
      </c>
      <c r="Z92" s="2024">
        <f t="shared" si="37"/>
        <v>50156.017412770721</v>
      </c>
      <c r="AA92" s="2024">
        <f t="shared" si="37"/>
        <v>61366.832734112868</v>
      </c>
      <c r="AB92" s="2024">
        <f t="shared" si="37"/>
        <v>7176168.6452118112</v>
      </c>
    </row>
    <row r="93" spans="1:28" x14ac:dyDescent="0.45">
      <c r="A93" s="1417" t="s">
        <v>1062</v>
      </c>
      <c r="B93" s="2026" t="s">
        <v>359</v>
      </c>
      <c r="C93" s="2024">
        <f t="shared" ref="C93:AB93" si="38">C69*C81</f>
        <v>0</v>
      </c>
      <c r="D93" s="2024">
        <f t="shared" si="38"/>
        <v>0</v>
      </c>
      <c r="E93" s="2024">
        <f t="shared" si="38"/>
        <v>0</v>
      </c>
      <c r="F93" s="2024">
        <f t="shared" si="38"/>
        <v>0</v>
      </c>
      <c r="G93" s="2024">
        <f t="shared" si="38"/>
        <v>0</v>
      </c>
      <c r="H93" s="2024">
        <f t="shared" si="38"/>
        <v>0</v>
      </c>
      <c r="I93" s="2024">
        <f t="shared" si="38"/>
        <v>0</v>
      </c>
      <c r="J93" s="2024">
        <f t="shared" si="38"/>
        <v>0</v>
      </c>
      <c r="K93" s="2024">
        <f t="shared" si="38"/>
        <v>0</v>
      </c>
      <c r="L93" s="2024">
        <f t="shared" si="38"/>
        <v>0</v>
      </c>
      <c r="M93" s="2024">
        <f t="shared" si="38"/>
        <v>0</v>
      </c>
      <c r="N93" s="2024">
        <f t="shared" si="38"/>
        <v>0</v>
      </c>
      <c r="O93" s="2024">
        <f t="shared" si="38"/>
        <v>0</v>
      </c>
      <c r="P93" s="2024">
        <f t="shared" si="38"/>
        <v>0</v>
      </c>
      <c r="Q93" s="2024">
        <f t="shared" si="38"/>
        <v>0</v>
      </c>
      <c r="R93" s="2024">
        <f t="shared" si="38"/>
        <v>0</v>
      </c>
      <c r="S93" s="2024">
        <f t="shared" si="38"/>
        <v>0</v>
      </c>
      <c r="T93" s="2024">
        <f t="shared" si="38"/>
        <v>0</v>
      </c>
      <c r="U93" s="2024">
        <f t="shared" si="35"/>
        <v>0</v>
      </c>
      <c r="V93" s="2024">
        <f t="shared" si="35"/>
        <v>0</v>
      </c>
      <c r="W93" s="2024">
        <f t="shared" si="36"/>
        <v>0</v>
      </c>
      <c r="X93" s="2024">
        <f t="shared" si="38"/>
        <v>0</v>
      </c>
      <c r="Y93" s="2024">
        <f t="shared" si="38"/>
        <v>0</v>
      </c>
      <c r="Z93" s="2024">
        <f t="shared" si="38"/>
        <v>0</v>
      </c>
      <c r="AA93" s="2024">
        <f t="shared" si="38"/>
        <v>0</v>
      </c>
      <c r="AB93" s="2024">
        <f t="shared" si="38"/>
        <v>0</v>
      </c>
    </row>
    <row r="94" spans="1:28" x14ac:dyDescent="0.45">
      <c r="A94" s="1417" t="s">
        <v>358</v>
      </c>
      <c r="B94" s="2026" t="s">
        <v>355</v>
      </c>
      <c r="C94" s="2024">
        <f t="shared" ref="C94:AB94" si="39">C70*C82</f>
        <v>0</v>
      </c>
      <c r="D94" s="2024">
        <f t="shared" si="39"/>
        <v>0</v>
      </c>
      <c r="E94" s="2024">
        <f t="shared" si="39"/>
        <v>0</v>
      </c>
      <c r="F94" s="2024">
        <f t="shared" si="39"/>
        <v>0</v>
      </c>
      <c r="G94" s="2024">
        <f t="shared" si="39"/>
        <v>0</v>
      </c>
      <c r="H94" s="2024">
        <f t="shared" si="39"/>
        <v>0</v>
      </c>
      <c r="I94" s="2024">
        <f t="shared" si="39"/>
        <v>0</v>
      </c>
      <c r="J94" s="2024">
        <f t="shared" si="39"/>
        <v>0</v>
      </c>
      <c r="K94" s="2024">
        <f t="shared" si="39"/>
        <v>0</v>
      </c>
      <c r="L94" s="2024">
        <f t="shared" si="39"/>
        <v>0</v>
      </c>
      <c r="M94" s="2024">
        <f t="shared" si="39"/>
        <v>0</v>
      </c>
      <c r="N94" s="2024">
        <f t="shared" si="39"/>
        <v>0</v>
      </c>
      <c r="O94" s="2024">
        <f t="shared" si="39"/>
        <v>0</v>
      </c>
      <c r="P94" s="2024">
        <f t="shared" si="39"/>
        <v>0</v>
      </c>
      <c r="Q94" s="2024">
        <f t="shared" si="39"/>
        <v>0</v>
      </c>
      <c r="R94" s="2024">
        <f t="shared" si="39"/>
        <v>0</v>
      </c>
      <c r="S94" s="2024">
        <f t="shared" si="39"/>
        <v>0</v>
      </c>
      <c r="T94" s="2024">
        <f t="shared" si="39"/>
        <v>0</v>
      </c>
      <c r="U94" s="2024">
        <f t="shared" si="35"/>
        <v>0</v>
      </c>
      <c r="V94" s="2024">
        <f t="shared" si="35"/>
        <v>0</v>
      </c>
      <c r="W94" s="2024">
        <f t="shared" si="36"/>
        <v>0</v>
      </c>
      <c r="X94" s="2024">
        <f t="shared" si="39"/>
        <v>0</v>
      </c>
      <c r="Y94" s="2024">
        <f t="shared" si="39"/>
        <v>0</v>
      </c>
      <c r="Z94" s="2024">
        <f t="shared" si="39"/>
        <v>0</v>
      </c>
      <c r="AA94" s="2024">
        <f t="shared" si="39"/>
        <v>0</v>
      </c>
      <c r="AB94" s="2024">
        <f t="shared" si="39"/>
        <v>0</v>
      </c>
    </row>
    <row r="95" spans="1:28" x14ac:dyDescent="0.45">
      <c r="A95" s="1417" t="s">
        <v>358</v>
      </c>
      <c r="B95" s="2026" t="s">
        <v>359</v>
      </c>
      <c r="C95" s="2024">
        <f t="shared" ref="C95:AB95" si="40">C71*C83</f>
        <v>0</v>
      </c>
      <c r="D95" s="2024">
        <f t="shared" si="40"/>
        <v>0</v>
      </c>
      <c r="E95" s="2024">
        <f t="shared" si="40"/>
        <v>0</v>
      </c>
      <c r="F95" s="2024">
        <f t="shared" si="40"/>
        <v>0</v>
      </c>
      <c r="G95" s="2024">
        <f t="shared" si="40"/>
        <v>0</v>
      </c>
      <c r="H95" s="2024">
        <f t="shared" si="40"/>
        <v>0</v>
      </c>
      <c r="I95" s="2024">
        <f t="shared" si="40"/>
        <v>0</v>
      </c>
      <c r="J95" s="2024">
        <f t="shared" si="40"/>
        <v>0</v>
      </c>
      <c r="K95" s="2024">
        <f t="shared" si="40"/>
        <v>0</v>
      </c>
      <c r="L95" s="2024">
        <f t="shared" si="40"/>
        <v>0</v>
      </c>
      <c r="M95" s="2024">
        <f t="shared" si="40"/>
        <v>373272.49764022673</v>
      </c>
      <c r="N95" s="2024">
        <f t="shared" si="40"/>
        <v>545784.18097285181</v>
      </c>
      <c r="O95" s="2024">
        <f t="shared" si="40"/>
        <v>373272.49764022673</v>
      </c>
      <c r="P95" s="2024">
        <f t="shared" si="40"/>
        <v>545784.18097285181</v>
      </c>
      <c r="Q95" s="2024">
        <f t="shared" si="40"/>
        <v>551427.6286789024</v>
      </c>
      <c r="R95" s="2024">
        <f t="shared" si="40"/>
        <v>745732.6648503826</v>
      </c>
      <c r="S95" s="2024">
        <f t="shared" si="40"/>
        <v>551427.6286789024</v>
      </c>
      <c r="T95" s="2024">
        <f t="shared" si="40"/>
        <v>745732.6648503826</v>
      </c>
      <c r="U95" s="2024">
        <f t="shared" si="35"/>
        <v>545784.18097285181</v>
      </c>
      <c r="V95" s="2024">
        <f t="shared" si="35"/>
        <v>765134.73858043249</v>
      </c>
      <c r="W95" s="2024">
        <f t="shared" si="36"/>
        <v>557141.49242458818</v>
      </c>
      <c r="X95" s="2024">
        <f t="shared" si="40"/>
        <v>71308.485956252</v>
      </c>
      <c r="Y95" s="2024">
        <f t="shared" si="40"/>
        <v>83401.286386241976</v>
      </c>
      <c r="Z95" s="2024">
        <f t="shared" si="40"/>
        <v>71308.485956252</v>
      </c>
      <c r="AA95" s="2024">
        <f t="shared" si="40"/>
        <v>87247.276716311637</v>
      </c>
      <c r="AB95" s="2024">
        <f t="shared" si="40"/>
        <v>10202598.759894516</v>
      </c>
    </row>
    <row r="96" spans="1:28" x14ac:dyDescent="0.45">
      <c r="A96" s="1417" t="s">
        <v>360</v>
      </c>
      <c r="B96" s="2026" t="s">
        <v>355</v>
      </c>
      <c r="C96" s="2024">
        <f t="shared" ref="C96:AB96" si="41">C72*C84</f>
        <v>44400.84653403025</v>
      </c>
      <c r="D96" s="2024">
        <f t="shared" si="41"/>
        <v>48994.546163306644</v>
      </c>
      <c r="E96" s="2024">
        <f t="shared" si="41"/>
        <v>46822.710890431903</v>
      </c>
      <c r="F96" s="2024">
        <f t="shared" si="41"/>
        <v>49803.380251518531</v>
      </c>
      <c r="G96" s="2024">
        <f t="shared" si="41"/>
        <v>44400.84653403025</v>
      </c>
      <c r="H96" s="2024">
        <f t="shared" si="41"/>
        <v>48994.546163306644</v>
      </c>
      <c r="I96" s="2024">
        <f t="shared" si="41"/>
        <v>46822.710890431903</v>
      </c>
      <c r="J96" s="2024">
        <f t="shared" si="41"/>
        <v>48859.998143506535</v>
      </c>
      <c r="K96" s="2024">
        <f t="shared" si="41"/>
        <v>156972.6897667736</v>
      </c>
      <c r="L96" s="2024">
        <f t="shared" si="41"/>
        <v>165994.0900671579</v>
      </c>
      <c r="M96" s="2024">
        <f t="shared" si="41"/>
        <v>0</v>
      </c>
      <c r="N96" s="2024">
        <f t="shared" si="41"/>
        <v>0</v>
      </c>
      <c r="O96" s="2024">
        <f t="shared" si="41"/>
        <v>0</v>
      </c>
      <c r="P96" s="2024">
        <f t="shared" si="41"/>
        <v>0</v>
      </c>
      <c r="Q96" s="2024">
        <f t="shared" si="41"/>
        <v>0</v>
      </c>
      <c r="R96" s="2024">
        <f t="shared" si="41"/>
        <v>0</v>
      </c>
      <c r="S96" s="2024">
        <f t="shared" si="41"/>
        <v>0</v>
      </c>
      <c r="T96" s="2024">
        <f t="shared" si="41"/>
        <v>0</v>
      </c>
      <c r="U96" s="2024">
        <f t="shared" si="35"/>
        <v>0</v>
      </c>
      <c r="V96" s="2024">
        <f t="shared" si="35"/>
        <v>0</v>
      </c>
      <c r="W96" s="2024">
        <f t="shared" si="36"/>
        <v>0</v>
      </c>
      <c r="X96" s="2024">
        <f t="shared" si="41"/>
        <v>0</v>
      </c>
      <c r="Y96" s="2024">
        <f t="shared" si="41"/>
        <v>0</v>
      </c>
      <c r="Z96" s="2024">
        <f t="shared" si="41"/>
        <v>0</v>
      </c>
      <c r="AA96" s="2024">
        <f t="shared" si="41"/>
        <v>0</v>
      </c>
      <c r="AB96" s="2024">
        <f t="shared" si="41"/>
        <v>0</v>
      </c>
    </row>
    <row r="97" spans="1:28" x14ac:dyDescent="0.45">
      <c r="A97" s="1417" t="s">
        <v>360</v>
      </c>
      <c r="B97" s="2026" t="s">
        <v>359</v>
      </c>
      <c r="C97" s="2024">
        <f t="shared" ref="C97:AB97" si="42">C73*C85</f>
        <v>0</v>
      </c>
      <c r="D97" s="2024">
        <f t="shared" si="42"/>
        <v>0</v>
      </c>
      <c r="E97" s="2024">
        <f t="shared" si="42"/>
        <v>0</v>
      </c>
      <c r="F97" s="2024">
        <f t="shared" si="42"/>
        <v>0</v>
      </c>
      <c r="G97" s="2024">
        <f t="shared" si="42"/>
        <v>0</v>
      </c>
      <c r="H97" s="2024">
        <f t="shared" si="42"/>
        <v>0</v>
      </c>
      <c r="I97" s="2024">
        <f t="shared" si="42"/>
        <v>0</v>
      </c>
      <c r="J97" s="2024">
        <f t="shared" si="42"/>
        <v>0</v>
      </c>
      <c r="K97" s="2024">
        <f t="shared" si="42"/>
        <v>0</v>
      </c>
      <c r="L97" s="2024">
        <f t="shared" si="42"/>
        <v>0</v>
      </c>
      <c r="M97" s="2024">
        <f t="shared" si="42"/>
        <v>0</v>
      </c>
      <c r="N97" s="2024">
        <f t="shared" si="42"/>
        <v>0</v>
      </c>
      <c r="O97" s="2024">
        <f t="shared" si="42"/>
        <v>0</v>
      </c>
      <c r="P97" s="2024">
        <f t="shared" si="42"/>
        <v>0</v>
      </c>
      <c r="Q97" s="2024">
        <f t="shared" si="42"/>
        <v>0</v>
      </c>
      <c r="R97" s="2024">
        <f t="shared" si="42"/>
        <v>0</v>
      </c>
      <c r="S97" s="2024">
        <f t="shared" si="42"/>
        <v>0</v>
      </c>
      <c r="T97" s="2024">
        <f t="shared" si="42"/>
        <v>0</v>
      </c>
      <c r="U97" s="2024">
        <f t="shared" si="35"/>
        <v>0</v>
      </c>
      <c r="V97" s="2024">
        <f t="shared" si="35"/>
        <v>0</v>
      </c>
      <c r="W97" s="2024">
        <f t="shared" si="36"/>
        <v>0</v>
      </c>
      <c r="X97" s="2024">
        <f t="shared" si="42"/>
        <v>0</v>
      </c>
      <c r="Y97" s="2024">
        <f t="shared" si="42"/>
        <v>0</v>
      </c>
      <c r="Z97" s="2024">
        <f t="shared" si="42"/>
        <v>0</v>
      </c>
      <c r="AA97" s="2024">
        <f t="shared" si="42"/>
        <v>0</v>
      </c>
      <c r="AB97" s="2024">
        <f t="shared" si="42"/>
        <v>0</v>
      </c>
    </row>
    <row r="98" spans="1:28" x14ac:dyDescent="0.45">
      <c r="A98" s="1417" t="s">
        <v>361</v>
      </c>
      <c r="B98" s="2026" t="s">
        <v>355</v>
      </c>
      <c r="C98" s="2024">
        <f t="shared" ref="C98:AB98" si="43">C74*C86</f>
        <v>0</v>
      </c>
      <c r="D98" s="2024">
        <f t="shared" si="43"/>
        <v>0</v>
      </c>
      <c r="E98" s="2024">
        <f t="shared" si="43"/>
        <v>0</v>
      </c>
      <c r="F98" s="2024">
        <f t="shared" si="43"/>
        <v>0</v>
      </c>
      <c r="G98" s="2024">
        <f t="shared" si="43"/>
        <v>0</v>
      </c>
      <c r="H98" s="2024">
        <f t="shared" si="43"/>
        <v>0</v>
      </c>
      <c r="I98" s="2024">
        <f t="shared" si="43"/>
        <v>0</v>
      </c>
      <c r="J98" s="2024">
        <f t="shared" si="43"/>
        <v>0</v>
      </c>
      <c r="K98" s="2024">
        <f t="shared" si="43"/>
        <v>0</v>
      </c>
      <c r="L98" s="2024">
        <f t="shared" si="43"/>
        <v>0</v>
      </c>
      <c r="M98" s="2024">
        <f t="shared" si="43"/>
        <v>0</v>
      </c>
      <c r="N98" s="2024">
        <f t="shared" si="43"/>
        <v>0</v>
      </c>
      <c r="O98" s="2024">
        <f t="shared" si="43"/>
        <v>0</v>
      </c>
      <c r="P98" s="2024">
        <f t="shared" si="43"/>
        <v>0</v>
      </c>
      <c r="Q98" s="2024">
        <f t="shared" si="43"/>
        <v>0</v>
      </c>
      <c r="R98" s="2024">
        <f t="shared" si="43"/>
        <v>0</v>
      </c>
      <c r="S98" s="2024">
        <f t="shared" si="43"/>
        <v>0</v>
      </c>
      <c r="T98" s="2024">
        <f t="shared" si="43"/>
        <v>0</v>
      </c>
      <c r="U98" s="2024">
        <f t="shared" si="35"/>
        <v>0</v>
      </c>
      <c r="V98" s="2024">
        <f t="shared" si="35"/>
        <v>0</v>
      </c>
      <c r="W98" s="2024">
        <f t="shared" si="36"/>
        <v>0</v>
      </c>
      <c r="X98" s="2024">
        <f t="shared" si="43"/>
        <v>0</v>
      </c>
      <c r="Y98" s="2024">
        <f t="shared" si="43"/>
        <v>0</v>
      </c>
      <c r="Z98" s="2024">
        <f t="shared" si="43"/>
        <v>0</v>
      </c>
      <c r="AA98" s="2024">
        <f t="shared" si="43"/>
        <v>0</v>
      </c>
      <c r="AB98" s="2024">
        <f t="shared" si="43"/>
        <v>0</v>
      </c>
    </row>
    <row r="99" spans="1:28" x14ac:dyDescent="0.45">
      <c r="A99" s="1417" t="s">
        <v>361</v>
      </c>
      <c r="B99" s="2026" t="s">
        <v>359</v>
      </c>
      <c r="C99" s="2024">
        <f t="shared" ref="C99:AB99" si="44">C75*C87</f>
        <v>0</v>
      </c>
      <c r="D99" s="2024">
        <f t="shared" si="44"/>
        <v>0</v>
      </c>
      <c r="E99" s="2024">
        <f t="shared" si="44"/>
        <v>0</v>
      </c>
      <c r="F99" s="2024">
        <f t="shared" si="44"/>
        <v>0</v>
      </c>
      <c r="G99" s="2024">
        <f t="shared" si="44"/>
        <v>0</v>
      </c>
      <c r="H99" s="2024">
        <f t="shared" si="44"/>
        <v>0</v>
      </c>
      <c r="I99" s="2024">
        <f t="shared" si="44"/>
        <v>0</v>
      </c>
      <c r="J99" s="2024">
        <f t="shared" si="44"/>
        <v>0</v>
      </c>
      <c r="K99" s="2024">
        <f t="shared" si="44"/>
        <v>0</v>
      </c>
      <c r="L99" s="2024">
        <f t="shared" si="44"/>
        <v>0</v>
      </c>
      <c r="M99" s="2024">
        <f t="shared" si="44"/>
        <v>0</v>
      </c>
      <c r="N99" s="2024">
        <f t="shared" si="44"/>
        <v>0</v>
      </c>
      <c r="O99" s="2024">
        <f t="shared" si="44"/>
        <v>0</v>
      </c>
      <c r="P99" s="2024">
        <f t="shared" si="44"/>
        <v>0</v>
      </c>
      <c r="Q99" s="2024">
        <f t="shared" si="44"/>
        <v>0</v>
      </c>
      <c r="R99" s="2024">
        <f t="shared" si="44"/>
        <v>0</v>
      </c>
      <c r="S99" s="2024">
        <f t="shared" si="44"/>
        <v>0</v>
      </c>
      <c r="T99" s="2024">
        <f t="shared" si="44"/>
        <v>0</v>
      </c>
      <c r="U99" s="2024">
        <f t="shared" si="35"/>
        <v>0</v>
      </c>
      <c r="V99" s="2024">
        <f t="shared" si="35"/>
        <v>0</v>
      </c>
      <c r="W99" s="2024">
        <f t="shared" si="36"/>
        <v>0</v>
      </c>
      <c r="X99" s="2024">
        <f t="shared" si="44"/>
        <v>0</v>
      </c>
      <c r="Y99" s="2024">
        <f t="shared" si="44"/>
        <v>0</v>
      </c>
      <c r="Z99" s="2024">
        <f t="shared" si="44"/>
        <v>0</v>
      </c>
      <c r="AA99" s="2024">
        <f t="shared" si="44"/>
        <v>0</v>
      </c>
      <c r="AB99" s="2024">
        <f t="shared" si="44"/>
        <v>0</v>
      </c>
    </row>
    <row r="100" spans="1:28" x14ac:dyDescent="0.45">
      <c r="A100" s="1417" t="s">
        <v>79</v>
      </c>
      <c r="B100" s="2026"/>
      <c r="C100" s="1422">
        <f t="shared" ref="C100:AB100" si="45">SUM(C91:C99)</f>
        <v>44400.84653403025</v>
      </c>
      <c r="D100" s="1422">
        <f t="shared" si="45"/>
        <v>48994.546163306644</v>
      </c>
      <c r="E100" s="1422">
        <f t="shared" si="45"/>
        <v>46822.710890431903</v>
      </c>
      <c r="F100" s="1422">
        <f t="shared" si="45"/>
        <v>49803.380251518531</v>
      </c>
      <c r="G100" s="1422">
        <f t="shared" si="45"/>
        <v>44400.84653403025</v>
      </c>
      <c r="H100" s="1422">
        <f t="shared" si="45"/>
        <v>48994.546163306644</v>
      </c>
      <c r="I100" s="1422">
        <f t="shared" si="45"/>
        <v>46822.710890431903</v>
      </c>
      <c r="J100" s="1422">
        <f t="shared" si="45"/>
        <v>48859.998143506535</v>
      </c>
      <c r="K100" s="1422">
        <f t="shared" si="45"/>
        <v>156972.6897667736</v>
      </c>
      <c r="L100" s="1422">
        <f t="shared" si="45"/>
        <v>165994.0900671579</v>
      </c>
      <c r="M100" s="1422">
        <f t="shared" si="45"/>
        <v>635819.95802015346</v>
      </c>
      <c r="N100" s="1422">
        <f t="shared" si="45"/>
        <v>929670.62193982769</v>
      </c>
      <c r="O100" s="1422">
        <f t="shared" si="45"/>
        <v>635819.95802015346</v>
      </c>
      <c r="P100" s="1422">
        <f t="shared" si="45"/>
        <v>929670.62193982769</v>
      </c>
      <c r="Q100" s="1422">
        <f t="shared" si="45"/>
        <v>939283.48307005875</v>
      </c>
      <c r="R100" s="1422">
        <f t="shared" si="45"/>
        <v>1270256.2194025656</v>
      </c>
      <c r="S100" s="1422">
        <f t="shared" si="45"/>
        <v>939283.48307005875</v>
      </c>
      <c r="T100" s="1422">
        <f t="shared" si="45"/>
        <v>1270256.2194025656</v>
      </c>
      <c r="U100" s="1422">
        <f>SUM(U91:U99)</f>
        <v>929670.62193982769</v>
      </c>
      <c r="V100" s="1422">
        <f>SUM(V91:V99)</f>
        <v>1303305.0665116669</v>
      </c>
      <c r="W100" s="1422">
        <f>SUM(W91:W99)</f>
        <v>949016.28854027716</v>
      </c>
      <c r="X100" s="1422">
        <f t="shared" si="45"/>
        <v>121464.50336902271</v>
      </c>
      <c r="Y100" s="1422">
        <f t="shared" si="45"/>
        <v>142062.97743381467</v>
      </c>
      <c r="Z100" s="1422">
        <f t="shared" si="45"/>
        <v>121464.50336902271</v>
      </c>
      <c r="AA100" s="1422">
        <f t="shared" si="45"/>
        <v>148614.1094504245</v>
      </c>
      <c r="AB100" s="1422">
        <f t="shared" si="45"/>
        <v>17378767.405106328</v>
      </c>
    </row>
  </sheetData>
  <mergeCells count="1">
    <mergeCell ref="A1:AB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HU83"/>
  <sheetViews>
    <sheetView workbookViewId="0">
      <selection activeCell="G1" sqref="G1"/>
    </sheetView>
  </sheetViews>
  <sheetFormatPr defaultColWidth="8.86328125" defaultRowHeight="14.25" x14ac:dyDescent="0.45"/>
  <cols>
    <col min="1" max="1" width="33.46484375" customWidth="1"/>
    <col min="2" max="2" width="12.19921875" customWidth="1"/>
    <col min="3" max="4" width="8.86328125" customWidth="1"/>
    <col min="5" max="5" width="10.86328125" customWidth="1"/>
    <col min="6" max="15" width="8.86328125" customWidth="1"/>
    <col min="16" max="16" width="9.1328125" customWidth="1"/>
    <col min="17" max="17" width="10.19921875" customWidth="1"/>
    <col min="18" max="23" width="8.86328125" customWidth="1"/>
    <col min="24" max="24" width="9.46484375" customWidth="1"/>
    <col min="25" max="25" width="8.86328125" customWidth="1"/>
    <col min="26" max="26" width="9.86328125" customWidth="1"/>
    <col min="27" max="31" width="8.86328125" customWidth="1"/>
    <col min="32" max="32" width="10.46484375" customWidth="1"/>
    <col min="33" max="34" width="10" customWidth="1"/>
    <col min="35" max="36" width="8.86328125" customWidth="1"/>
    <col min="37" max="37" width="11.46484375" customWidth="1"/>
    <col min="38" max="38" width="10.46484375" customWidth="1"/>
    <col min="39" max="39" width="10" customWidth="1"/>
    <col min="40" max="49" width="8.86328125" customWidth="1"/>
    <col min="50" max="50" width="10" customWidth="1"/>
    <col min="51" max="51" width="10.46484375" customWidth="1"/>
    <col min="52" max="54" width="8.86328125" customWidth="1"/>
    <col min="55" max="57" width="8.796875" bestFit="1" customWidth="1"/>
    <col min="58" max="73" width="9.19921875" bestFit="1" customWidth="1"/>
    <col min="74" max="80" width="9.1328125" bestFit="1" customWidth="1"/>
    <col min="81" max="115" width="9" bestFit="1" customWidth="1"/>
  </cols>
  <sheetData>
    <row r="1" spans="1:10" ht="15.4" x14ac:dyDescent="0.45">
      <c r="A1" s="724" t="s">
        <v>3152</v>
      </c>
      <c r="G1" s="230" t="s">
        <v>2848</v>
      </c>
    </row>
    <row r="3" spans="1:10" x14ac:dyDescent="0.45">
      <c r="A3" s="726" t="s">
        <v>2620</v>
      </c>
    </row>
    <row r="4" spans="1:10" x14ac:dyDescent="0.45">
      <c r="A4" s="725" t="s">
        <v>3153</v>
      </c>
    </row>
    <row r="5" spans="1:10" x14ac:dyDescent="0.45">
      <c r="A5" s="779"/>
      <c r="B5" s="1174" t="s">
        <v>3154</v>
      </c>
      <c r="C5" s="1018">
        <v>0.85</v>
      </c>
    </row>
    <row r="6" spans="1:10" x14ac:dyDescent="0.45">
      <c r="A6" s="768"/>
      <c r="B6" s="14" t="s">
        <v>3155</v>
      </c>
      <c r="C6" s="1020">
        <v>0.9</v>
      </c>
    </row>
    <row r="7" spans="1:10" x14ac:dyDescent="0.45">
      <c r="A7" s="768"/>
      <c r="B7" s="14" t="s">
        <v>3156</v>
      </c>
      <c r="C7" s="1020">
        <v>9.8000000000000004E-2</v>
      </c>
    </row>
    <row r="8" spans="1:10" x14ac:dyDescent="0.45">
      <c r="A8" s="768"/>
      <c r="B8" s="14" t="s">
        <v>3157</v>
      </c>
      <c r="C8" s="1020">
        <v>0.83299999999999996</v>
      </c>
    </row>
    <row r="9" spans="1:10" x14ac:dyDescent="0.45">
      <c r="A9" s="768"/>
      <c r="B9" s="14" t="s">
        <v>3158</v>
      </c>
      <c r="C9" s="1020">
        <v>0.83299999999999996</v>
      </c>
    </row>
    <row r="10" spans="1:10" x14ac:dyDescent="0.45">
      <c r="A10" s="768"/>
      <c r="B10" s="14" t="s">
        <v>3159</v>
      </c>
      <c r="C10" s="1020">
        <v>0.245</v>
      </c>
      <c r="E10" s="779"/>
      <c r="F10" s="785"/>
      <c r="G10" s="785"/>
      <c r="H10" s="1174" t="s">
        <v>2371</v>
      </c>
      <c r="I10" s="1382" t="s">
        <v>2372</v>
      </c>
      <c r="J10" s="1175" t="s">
        <v>2373</v>
      </c>
    </row>
    <row r="11" spans="1:10" x14ac:dyDescent="0.45">
      <c r="A11" s="768"/>
      <c r="B11" s="14" t="s">
        <v>3160</v>
      </c>
      <c r="C11" s="1020">
        <v>0.39200000000000002</v>
      </c>
      <c r="E11" s="755" t="s">
        <v>3161</v>
      </c>
      <c r="F11" s="916"/>
      <c r="G11" s="916"/>
      <c r="H11" s="1383">
        <v>0.05</v>
      </c>
      <c r="I11" s="1383">
        <v>0.05</v>
      </c>
      <c r="J11" s="1384">
        <v>0.05</v>
      </c>
    </row>
    <row r="12" spans="1:10" x14ac:dyDescent="0.45">
      <c r="A12" s="768"/>
      <c r="B12" s="14" t="s">
        <v>3162</v>
      </c>
      <c r="C12" s="1020">
        <v>1</v>
      </c>
    </row>
    <row r="13" spans="1:10" x14ac:dyDescent="0.45">
      <c r="A13" s="768"/>
      <c r="B13" s="14" t="s">
        <v>3163</v>
      </c>
      <c r="C13" s="1020">
        <v>1</v>
      </c>
    </row>
    <row r="14" spans="1:10" x14ac:dyDescent="0.45">
      <c r="A14" s="768"/>
      <c r="B14" s="14" t="s">
        <v>3164</v>
      </c>
      <c r="C14" s="1020">
        <v>0.2</v>
      </c>
    </row>
    <row r="15" spans="1:10" x14ac:dyDescent="0.45">
      <c r="A15" s="768"/>
      <c r="B15" s="14" t="s">
        <v>3165</v>
      </c>
      <c r="C15" s="1020">
        <v>1</v>
      </c>
    </row>
    <row r="16" spans="1:10" x14ac:dyDescent="0.45">
      <c r="A16" s="768"/>
      <c r="B16" s="14" t="s">
        <v>3166</v>
      </c>
      <c r="C16" s="1020">
        <v>1</v>
      </c>
    </row>
    <row r="17" spans="1:22" x14ac:dyDescent="0.45">
      <c r="A17" s="768"/>
      <c r="B17" s="14" t="s">
        <v>3167</v>
      </c>
      <c r="C17" s="1020">
        <v>0.1</v>
      </c>
      <c r="Q17" s="1385" t="s">
        <v>3168</v>
      </c>
      <c r="R17" s="1271"/>
      <c r="S17" s="1271"/>
      <c r="T17" s="1271"/>
      <c r="U17" s="1271"/>
      <c r="V17" s="1153"/>
    </row>
    <row r="18" spans="1:22" x14ac:dyDescent="0.45">
      <c r="A18" s="755"/>
      <c r="B18" s="1386" t="s">
        <v>3169</v>
      </c>
      <c r="C18" s="1024">
        <v>0.01</v>
      </c>
      <c r="Q18" s="1387">
        <v>-7.7300000000000004E-9</v>
      </c>
      <c r="R18" s="1388">
        <v>2.6299999999999998E-6</v>
      </c>
      <c r="S18" s="1388">
        <v>-3.6499999999999998E-4</v>
      </c>
      <c r="T18" s="1388">
        <v>2.6599999999999999E-2</v>
      </c>
      <c r="U18" s="1388"/>
      <c r="V18" s="1155"/>
    </row>
    <row r="19" spans="1:22" x14ac:dyDescent="0.45">
      <c r="C19" s="1131"/>
    </row>
    <row r="20" spans="1:22" x14ac:dyDescent="0.45">
      <c r="A20" s="725" t="s">
        <v>3170</v>
      </c>
    </row>
    <row r="21" spans="1:22" ht="93.75" customHeight="1" x14ac:dyDescent="0.45">
      <c r="A21" s="754"/>
      <c r="B21" s="765"/>
      <c r="C21" s="1013" t="s">
        <v>3171</v>
      </c>
      <c r="D21" s="1013" t="s">
        <v>3172</v>
      </c>
      <c r="E21" s="1013" t="s">
        <v>3173</v>
      </c>
      <c r="F21" s="1013" t="s">
        <v>3174</v>
      </c>
      <c r="G21" s="1013" t="s">
        <v>3175</v>
      </c>
      <c r="H21" s="1013" t="s">
        <v>3176</v>
      </c>
      <c r="I21" s="1013" t="s">
        <v>3177</v>
      </c>
      <c r="J21" s="1013" t="s">
        <v>3178</v>
      </c>
      <c r="K21" s="1013" t="s">
        <v>3179</v>
      </c>
      <c r="L21" s="1013" t="s">
        <v>3180</v>
      </c>
      <c r="M21" s="1013" t="s">
        <v>3181</v>
      </c>
      <c r="N21" s="1013" t="s">
        <v>3182</v>
      </c>
      <c r="O21" s="1013" t="s">
        <v>3183</v>
      </c>
      <c r="P21" s="1013" t="s">
        <v>3184</v>
      </c>
      <c r="Q21" s="1013" t="s">
        <v>3185</v>
      </c>
      <c r="R21" s="1013" t="s">
        <v>3186</v>
      </c>
      <c r="S21" s="1014" t="s">
        <v>3187</v>
      </c>
    </row>
    <row r="22" spans="1:22" x14ac:dyDescent="0.45">
      <c r="A22" s="768"/>
      <c r="B22" s="1021" t="s">
        <v>3188</v>
      </c>
      <c r="C22" s="11">
        <v>26.916250818083792</v>
      </c>
      <c r="D22" s="11">
        <v>26.916250818083792</v>
      </c>
      <c r="E22" s="11">
        <v>26.916250818083792</v>
      </c>
      <c r="F22" s="11">
        <v>26.916250818083792</v>
      </c>
      <c r="G22" s="11">
        <v>26.916250818083792</v>
      </c>
      <c r="H22" s="11">
        <v>26.916250818083792</v>
      </c>
      <c r="I22" s="11">
        <v>26.916250818083792</v>
      </c>
      <c r="J22" s="11">
        <v>33.141356869017756</v>
      </c>
      <c r="K22" s="11">
        <v>33.141356869017756</v>
      </c>
      <c r="L22" s="11">
        <v>33.137737979274164</v>
      </c>
      <c r="M22" s="11">
        <v>27.117894667624437</v>
      </c>
      <c r="N22" s="11">
        <v>27.117894667624437</v>
      </c>
      <c r="O22" s="11">
        <v>27.117894667624437</v>
      </c>
      <c r="P22" s="11">
        <v>27.117894667624437</v>
      </c>
      <c r="Q22" s="11">
        <v>27.117894667624437</v>
      </c>
      <c r="R22" s="11">
        <v>27.117894667624437</v>
      </c>
      <c r="S22" s="1389">
        <v>32.710936013182973</v>
      </c>
    </row>
    <row r="23" spans="1:22" x14ac:dyDescent="0.45">
      <c r="A23" s="768"/>
      <c r="B23" s="1021" t="s">
        <v>3189</v>
      </c>
      <c r="C23" s="543">
        <v>0.49876417533022088</v>
      </c>
      <c r="D23" s="543">
        <v>0.49876417533022088</v>
      </c>
      <c r="E23" s="543">
        <v>0.49876417533022088</v>
      </c>
      <c r="F23" s="543">
        <v>0.49876417533022088</v>
      </c>
      <c r="G23" s="543">
        <v>0.49876417533022088</v>
      </c>
      <c r="H23" s="543">
        <v>0.49876417533022088</v>
      </c>
      <c r="I23" s="543">
        <v>0.49876417533022088</v>
      </c>
      <c r="J23" s="543">
        <v>0.56707134713032925</v>
      </c>
      <c r="K23" s="543">
        <v>0.56707134713032925</v>
      </c>
      <c r="L23" s="543">
        <v>0.56703534701679759</v>
      </c>
      <c r="M23" s="543">
        <v>0.5011893232981155</v>
      </c>
      <c r="N23" s="543">
        <v>0.5011893232981155</v>
      </c>
      <c r="O23" s="543">
        <v>0.5011893232981155</v>
      </c>
      <c r="P23" s="543">
        <v>0.5011893232981155</v>
      </c>
      <c r="Q23" s="543">
        <v>0.5011893232981155</v>
      </c>
      <c r="R23" s="543">
        <v>0.5011893232981155</v>
      </c>
      <c r="S23" s="1020">
        <v>0.56276108946808701</v>
      </c>
    </row>
    <row r="24" spans="1:22" x14ac:dyDescent="0.45">
      <c r="A24" s="755"/>
      <c r="B24" s="1025" t="s">
        <v>3190</v>
      </c>
      <c r="C24" s="1023">
        <v>0.50123582466977912</v>
      </c>
      <c r="D24" s="1023">
        <v>0.50123582466977912</v>
      </c>
      <c r="E24" s="1023">
        <v>0.50123582466977912</v>
      </c>
      <c r="F24" s="1023">
        <v>0.50123582466977912</v>
      </c>
      <c r="G24" s="1023">
        <v>0.50123582466977912</v>
      </c>
      <c r="H24" s="1023">
        <v>0.50123582466977912</v>
      </c>
      <c r="I24" s="1023">
        <v>0.50123582466977912</v>
      </c>
      <c r="J24" s="1023">
        <v>0.43292865286967075</v>
      </c>
      <c r="K24" s="1023">
        <v>0.43292865286967075</v>
      </c>
      <c r="L24" s="1023">
        <v>0.43296465298320241</v>
      </c>
      <c r="M24" s="1023">
        <v>0.4988106767018845</v>
      </c>
      <c r="N24" s="1023">
        <v>0.4988106767018845</v>
      </c>
      <c r="O24" s="1023">
        <v>0.4988106767018845</v>
      </c>
      <c r="P24" s="1023">
        <v>0.4988106767018845</v>
      </c>
      <c r="Q24" s="1023">
        <v>0.4988106767018845</v>
      </c>
      <c r="R24" s="1023">
        <v>0.4988106767018845</v>
      </c>
      <c r="S24" s="1024">
        <v>0.43723891053191299</v>
      </c>
    </row>
    <row r="25" spans="1:22" x14ac:dyDescent="0.45">
      <c r="C25" s="1131"/>
    </row>
    <row r="26" spans="1:22" x14ac:dyDescent="0.45">
      <c r="A26" s="1390" t="s">
        <v>3191</v>
      </c>
      <c r="B26" s="1100"/>
      <c r="C26" s="1391"/>
      <c r="D26" s="1100"/>
      <c r="E26" s="1100"/>
      <c r="F26" s="1100"/>
      <c r="G26" s="1100"/>
    </row>
    <row r="27" spans="1:22" x14ac:dyDescent="0.45">
      <c r="A27" s="1096"/>
      <c r="B27" s="1392" t="s">
        <v>3192</v>
      </c>
      <c r="C27" s="1253">
        <v>0</v>
      </c>
    </row>
    <row r="28" spans="1:22" x14ac:dyDescent="0.45">
      <c r="A28" s="1099"/>
      <c r="B28" s="1393" t="s">
        <v>3193</v>
      </c>
      <c r="C28" s="1394">
        <v>0</v>
      </c>
    </row>
    <row r="29" spans="1:22" x14ac:dyDescent="0.45">
      <c r="A29" s="1099"/>
      <c r="B29" s="1393" t="s">
        <v>3194</v>
      </c>
      <c r="C29" s="1394">
        <v>0</v>
      </c>
    </row>
    <row r="30" spans="1:22" x14ac:dyDescent="0.45">
      <c r="A30" s="1099"/>
      <c r="B30" s="1393" t="s">
        <v>3195</v>
      </c>
      <c r="C30" s="1394">
        <v>0</v>
      </c>
    </row>
    <row r="31" spans="1:22" x14ac:dyDescent="0.45">
      <c r="A31" s="1099"/>
      <c r="B31" s="1393" t="s">
        <v>3196</v>
      </c>
      <c r="C31" s="1394">
        <v>0</v>
      </c>
    </row>
    <row r="32" spans="1:22" x14ac:dyDescent="0.45">
      <c r="A32" s="1099"/>
      <c r="B32" s="1393" t="s">
        <v>3197</v>
      </c>
      <c r="C32" s="1394">
        <v>0</v>
      </c>
    </row>
    <row r="33" spans="1:88" x14ac:dyDescent="0.45">
      <c r="A33" s="1099"/>
      <c r="B33" s="1393" t="s">
        <v>3198</v>
      </c>
      <c r="C33" s="1394">
        <v>0</v>
      </c>
    </row>
    <row r="34" spans="1:88" x14ac:dyDescent="0.45">
      <c r="A34" s="1099"/>
      <c r="B34" s="1393" t="s">
        <v>3199</v>
      </c>
      <c r="C34" s="1394">
        <v>1</v>
      </c>
    </row>
    <row r="35" spans="1:88" x14ac:dyDescent="0.45">
      <c r="A35" s="1099"/>
      <c r="B35" s="1393" t="s">
        <v>3200</v>
      </c>
      <c r="C35" s="1394">
        <v>1</v>
      </c>
    </row>
    <row r="36" spans="1:88" x14ac:dyDescent="0.45">
      <c r="A36" s="1099"/>
      <c r="B36" s="1393" t="s">
        <v>3201</v>
      </c>
      <c r="C36" s="1394">
        <v>1</v>
      </c>
    </row>
    <row r="37" spans="1:88" x14ac:dyDescent="0.45">
      <c r="A37" s="1103"/>
      <c r="B37" s="1395" t="s">
        <v>3202</v>
      </c>
      <c r="C37" s="1396">
        <v>1</v>
      </c>
    </row>
    <row r="38" spans="1:88" x14ac:dyDescent="0.45">
      <c r="B38" s="1131"/>
    </row>
    <row r="39" spans="1:88" x14ac:dyDescent="0.45">
      <c r="A39" s="726" t="s">
        <v>3203</v>
      </c>
    </row>
    <row r="40" spans="1:88" x14ac:dyDescent="0.45">
      <c r="A40" s="725" t="s">
        <v>3204</v>
      </c>
    </row>
    <row r="41" spans="1:88" ht="142.5" x14ac:dyDescent="0.45">
      <c r="A41" s="754"/>
      <c r="B41" s="1230" t="s">
        <v>3205</v>
      </c>
      <c r="C41" s="1013" t="s">
        <v>3206</v>
      </c>
      <c r="D41" s="1013" t="s">
        <v>3207</v>
      </c>
      <c r="E41" s="1013" t="s">
        <v>3208</v>
      </c>
      <c r="F41" s="1013" t="s">
        <v>3209</v>
      </c>
      <c r="G41" s="1013" t="s">
        <v>3210</v>
      </c>
      <c r="H41" s="1013" t="s">
        <v>3211</v>
      </c>
      <c r="I41" s="1013" t="s">
        <v>3212</v>
      </c>
      <c r="J41" s="1013" t="s">
        <v>3213</v>
      </c>
      <c r="K41" s="1013" t="s">
        <v>3214</v>
      </c>
      <c r="L41" s="1013" t="s">
        <v>3215</v>
      </c>
      <c r="M41" s="1013" t="s">
        <v>3216</v>
      </c>
      <c r="N41" s="1013" t="s">
        <v>3217</v>
      </c>
      <c r="O41" s="1013" t="s">
        <v>3218</v>
      </c>
      <c r="P41" s="1013" t="s">
        <v>3219</v>
      </c>
      <c r="Q41" s="1013" t="s">
        <v>3220</v>
      </c>
      <c r="R41" s="1013" t="s">
        <v>3221</v>
      </c>
      <c r="S41" s="1013" t="s">
        <v>3222</v>
      </c>
      <c r="T41" s="1013" t="s">
        <v>3223</v>
      </c>
      <c r="U41" s="1013" t="s">
        <v>3224</v>
      </c>
      <c r="V41" s="1013" t="s">
        <v>3225</v>
      </c>
      <c r="W41" s="1013" t="s">
        <v>3226</v>
      </c>
      <c r="X41" s="1013" t="s">
        <v>3227</v>
      </c>
      <c r="Y41" s="1013" t="s">
        <v>3228</v>
      </c>
      <c r="Z41" s="1013" t="s">
        <v>3229</v>
      </c>
      <c r="AA41" s="1013" t="s">
        <v>3230</v>
      </c>
      <c r="AB41" s="1013" t="s">
        <v>3231</v>
      </c>
      <c r="AC41" s="1013" t="s">
        <v>3232</v>
      </c>
      <c r="AD41" s="1013" t="s">
        <v>3233</v>
      </c>
      <c r="AE41" s="1013" t="s">
        <v>3234</v>
      </c>
      <c r="AF41" s="1013" t="s">
        <v>3235</v>
      </c>
      <c r="AG41" s="1013" t="s">
        <v>3236</v>
      </c>
      <c r="AH41" s="1013" t="s">
        <v>3237</v>
      </c>
      <c r="AI41" s="1013" t="s">
        <v>3238</v>
      </c>
      <c r="AJ41" s="1013" t="s">
        <v>3239</v>
      </c>
      <c r="AK41" s="1013" t="s">
        <v>3240</v>
      </c>
      <c r="AL41" s="1013" t="s">
        <v>3241</v>
      </c>
      <c r="AM41" s="1013" t="s">
        <v>3242</v>
      </c>
      <c r="AN41" s="1013" t="s">
        <v>3243</v>
      </c>
      <c r="AO41" s="1013" t="s">
        <v>3244</v>
      </c>
      <c r="AP41" s="1013" t="s">
        <v>3245</v>
      </c>
      <c r="AQ41" s="1013" t="s">
        <v>3246</v>
      </c>
      <c r="AR41" s="1013" t="s">
        <v>3247</v>
      </c>
      <c r="AS41" s="1013" t="s">
        <v>3248</v>
      </c>
      <c r="AT41" s="1013" t="s">
        <v>3249</v>
      </c>
      <c r="AU41" s="1013" t="s">
        <v>3250</v>
      </c>
      <c r="AV41" s="1013" t="s">
        <v>3251</v>
      </c>
      <c r="AW41" s="1013" t="s">
        <v>3252</v>
      </c>
      <c r="AX41" s="1013" t="s">
        <v>3253</v>
      </c>
      <c r="AY41" s="1013" t="s">
        <v>3254</v>
      </c>
      <c r="AZ41" s="1013" t="s">
        <v>3255</v>
      </c>
      <c r="BA41" s="1013" t="s">
        <v>3256</v>
      </c>
      <c r="BB41" s="1013" t="s">
        <v>3257</v>
      </c>
      <c r="BC41" s="1013" t="s">
        <v>3258</v>
      </c>
      <c r="BD41" s="1013" t="s">
        <v>3259</v>
      </c>
      <c r="BE41" s="1013" t="s">
        <v>3260</v>
      </c>
      <c r="BF41" s="1013" t="s">
        <v>3182</v>
      </c>
      <c r="BG41" s="1013" t="s">
        <v>3183</v>
      </c>
      <c r="BH41" s="1013" t="s">
        <v>3184</v>
      </c>
      <c r="BI41" s="1013" t="s">
        <v>3185</v>
      </c>
      <c r="BJ41" s="1013" t="s">
        <v>3186</v>
      </c>
      <c r="BK41" s="1013" t="s">
        <v>3261</v>
      </c>
      <c r="BL41" s="1013" t="s">
        <v>3262</v>
      </c>
      <c r="BM41" s="1013" t="s">
        <v>3263</v>
      </c>
      <c r="BN41" s="1013" t="s">
        <v>3264</v>
      </c>
      <c r="BO41" s="1013" t="s">
        <v>3265</v>
      </c>
      <c r="BP41" s="1013" t="s">
        <v>3266</v>
      </c>
      <c r="BQ41" s="1013" t="s">
        <v>3267</v>
      </c>
      <c r="BR41" s="1013" t="s">
        <v>3268</v>
      </c>
      <c r="BS41" s="1013" t="s">
        <v>3269</v>
      </c>
      <c r="BT41" s="1013" t="s">
        <v>3270</v>
      </c>
      <c r="BU41" s="1013" t="s">
        <v>3271</v>
      </c>
      <c r="BV41" s="1013" t="s">
        <v>3272</v>
      </c>
      <c r="BW41" s="1013" t="s">
        <v>3273</v>
      </c>
      <c r="BX41" s="1013" t="s">
        <v>3274</v>
      </c>
      <c r="BY41" s="1013" t="s">
        <v>3275</v>
      </c>
      <c r="BZ41" s="1013" t="s">
        <v>3276</v>
      </c>
      <c r="CA41" s="1013" t="s">
        <v>3277</v>
      </c>
      <c r="CB41" s="1013" t="s">
        <v>3278</v>
      </c>
      <c r="CC41" s="1013" t="s">
        <v>3279</v>
      </c>
      <c r="CD41" s="1013" t="s">
        <v>3280</v>
      </c>
      <c r="CE41" s="1013" t="s">
        <v>3281</v>
      </c>
      <c r="CF41" s="1013" t="s">
        <v>3282</v>
      </c>
      <c r="CG41" s="1013" t="s">
        <v>3283</v>
      </c>
      <c r="CH41" s="1013" t="s">
        <v>3284</v>
      </c>
      <c r="CI41" s="1013" t="s">
        <v>3285</v>
      </c>
      <c r="CJ41" s="1014" t="s">
        <v>3286</v>
      </c>
    </row>
    <row r="42" spans="1:88" ht="12.75" customHeight="1" x14ac:dyDescent="0.45">
      <c r="A42" s="768" t="s">
        <v>3287</v>
      </c>
      <c r="B42" s="1019">
        <v>1</v>
      </c>
      <c r="C42" s="543">
        <v>1</v>
      </c>
      <c r="D42" s="543">
        <v>0.91</v>
      </c>
      <c r="E42" s="543">
        <v>0.95</v>
      </c>
      <c r="F42" s="543">
        <v>0.95</v>
      </c>
      <c r="G42" s="543">
        <v>1</v>
      </c>
      <c r="H42" s="543">
        <v>1</v>
      </c>
      <c r="I42" s="543">
        <v>1.07</v>
      </c>
      <c r="J42" s="543">
        <v>1</v>
      </c>
      <c r="K42" s="543">
        <v>1</v>
      </c>
      <c r="L42" s="543">
        <v>1.07</v>
      </c>
      <c r="M42" s="543">
        <v>1.2</v>
      </c>
      <c r="N42" s="543">
        <v>1</v>
      </c>
      <c r="O42" s="543">
        <v>1.1499999999999999</v>
      </c>
      <c r="P42" s="543">
        <v>1.1499999999999999</v>
      </c>
      <c r="Q42" s="543">
        <v>1.1499999999999999</v>
      </c>
      <c r="R42" s="543">
        <v>1.1499999999999999</v>
      </c>
      <c r="S42" s="543">
        <v>1.1499999999999999</v>
      </c>
      <c r="T42" s="543">
        <v>1.2</v>
      </c>
      <c r="U42" s="543">
        <v>1.2</v>
      </c>
      <c r="V42" s="543">
        <v>1.2</v>
      </c>
      <c r="W42" s="543">
        <v>1.2</v>
      </c>
      <c r="X42" s="543">
        <v>1.2</v>
      </c>
      <c r="Y42" s="543">
        <v>1.2</v>
      </c>
      <c r="Z42" s="543">
        <v>1.2</v>
      </c>
      <c r="AA42" s="543">
        <v>1.4</v>
      </c>
      <c r="AB42" s="543">
        <v>1.4</v>
      </c>
      <c r="AC42" s="543">
        <v>1.4</v>
      </c>
      <c r="AD42" s="543">
        <v>1.4</v>
      </c>
      <c r="AE42" s="543">
        <v>1.4</v>
      </c>
      <c r="AF42" s="543">
        <v>1.4</v>
      </c>
      <c r="AG42" s="543">
        <v>1.4</v>
      </c>
      <c r="AH42" s="543">
        <v>1.4</v>
      </c>
      <c r="AI42" s="543">
        <v>1.4</v>
      </c>
      <c r="AJ42" s="543">
        <v>1.6</v>
      </c>
      <c r="AK42" s="543">
        <v>3.6339603051292491</v>
      </c>
      <c r="AL42" s="543">
        <v>1.4006941345423454</v>
      </c>
      <c r="AM42" s="543">
        <v>3.6339603051292491</v>
      </c>
      <c r="AN42" s="543">
        <v>1.4006941345423454</v>
      </c>
      <c r="AO42" s="543">
        <v>3.6339603051292491</v>
      </c>
      <c r="AP42" s="543">
        <v>1.4006941345423454</v>
      </c>
      <c r="AQ42" s="543">
        <v>3.6339603051292491</v>
      </c>
      <c r="AR42" s="543">
        <v>1.4006941345423454</v>
      </c>
      <c r="AS42" s="543">
        <v>3.6339603051292491</v>
      </c>
      <c r="AT42" s="543">
        <v>1.4006941345423454</v>
      </c>
      <c r="AU42" s="543">
        <v>3.6339603051292491</v>
      </c>
      <c r="AV42" s="543">
        <v>1.4006941345423454</v>
      </c>
      <c r="AW42" s="543">
        <v>3.6339603051292491</v>
      </c>
      <c r="AX42" s="543">
        <v>1.4006941345423454</v>
      </c>
      <c r="AY42" s="543">
        <v>3.1038807399807631</v>
      </c>
      <c r="AZ42" s="543">
        <v>1.0410748031928396</v>
      </c>
      <c r="BA42" s="543">
        <v>3.1038807399807631</v>
      </c>
      <c r="BB42" s="543">
        <v>1.0410748031928396</v>
      </c>
      <c r="BC42" s="543">
        <v>3.2136207351813879</v>
      </c>
      <c r="BD42" s="543">
        <v>1.2184873364971414</v>
      </c>
      <c r="BE42" s="543">
        <v>1.6</v>
      </c>
      <c r="BF42" s="543">
        <v>1.6</v>
      </c>
      <c r="BG42" s="543">
        <v>1.6</v>
      </c>
      <c r="BH42" s="543">
        <v>1.6</v>
      </c>
      <c r="BI42" s="543">
        <v>1.6</v>
      </c>
      <c r="BJ42" s="543">
        <v>1.6</v>
      </c>
      <c r="BK42" s="543">
        <v>3.5402997303824031</v>
      </c>
      <c r="BL42" s="543">
        <v>1.3541756124455711</v>
      </c>
      <c r="BM42" s="543">
        <v>3.5402997303824031</v>
      </c>
      <c r="BN42" s="543">
        <v>1.3541756124455711</v>
      </c>
      <c r="BO42" s="543">
        <v>3.5402997303824031</v>
      </c>
      <c r="BP42" s="543">
        <v>1.3541756124455711</v>
      </c>
      <c r="BQ42" s="543">
        <v>3.5402997303824031</v>
      </c>
      <c r="BR42" s="543">
        <v>1.3541756124455711</v>
      </c>
      <c r="BS42" s="543">
        <v>3.5402997303824031</v>
      </c>
      <c r="BT42" s="543">
        <v>1.3541756124455711</v>
      </c>
      <c r="BU42" s="543">
        <v>3.5402997303824031</v>
      </c>
      <c r="BV42" s="543">
        <v>1.3541756124455711</v>
      </c>
      <c r="BW42" s="543">
        <v>4.2499444532956447</v>
      </c>
      <c r="BX42" s="543">
        <v>2.1006482835547389</v>
      </c>
      <c r="BY42" s="543">
        <v>1.6257971014492756</v>
      </c>
      <c r="BZ42" s="543">
        <v>1.5228985507246378</v>
      </c>
      <c r="CA42" s="543">
        <v>1.5228985507246378</v>
      </c>
      <c r="CB42" s="543">
        <v>1.5228985507246378</v>
      </c>
      <c r="CC42" s="543">
        <v>1.5228985507246378</v>
      </c>
      <c r="CD42" s="543">
        <v>1.5228985507246378</v>
      </c>
      <c r="CE42" s="543">
        <v>1.5228985507246378</v>
      </c>
      <c r="CF42" s="543">
        <v>1.5228985507246378</v>
      </c>
      <c r="CG42" s="543">
        <v>1.5228985507246378</v>
      </c>
      <c r="CH42" s="543">
        <v>3.8192311679773869</v>
      </c>
      <c r="CI42" s="543">
        <v>1.771448344598535</v>
      </c>
      <c r="CJ42" s="1020">
        <v>1.25</v>
      </c>
    </row>
    <row r="43" spans="1:88" x14ac:dyDescent="0.45">
      <c r="A43" s="768" t="s">
        <v>3288</v>
      </c>
      <c r="B43" s="1019">
        <v>1</v>
      </c>
      <c r="C43" s="543">
        <v>1</v>
      </c>
      <c r="D43" s="543">
        <v>0.9</v>
      </c>
      <c r="E43" s="543">
        <v>0.9</v>
      </c>
      <c r="F43" s="543">
        <v>0.9</v>
      </c>
      <c r="G43" s="543">
        <v>0.9</v>
      </c>
      <c r="H43" s="543">
        <v>1</v>
      </c>
      <c r="I43" s="543">
        <v>1</v>
      </c>
      <c r="J43" s="543">
        <v>1</v>
      </c>
      <c r="K43" s="543">
        <v>1</v>
      </c>
      <c r="L43" s="543">
        <v>1</v>
      </c>
      <c r="M43" s="543">
        <v>0.2</v>
      </c>
      <c r="N43" s="543">
        <v>1</v>
      </c>
      <c r="O43" s="543">
        <v>1</v>
      </c>
      <c r="P43" s="543">
        <v>1</v>
      </c>
      <c r="Q43" s="543">
        <v>1</v>
      </c>
      <c r="R43" s="543">
        <v>1</v>
      </c>
      <c r="S43" s="543">
        <v>1</v>
      </c>
      <c r="T43" s="543"/>
      <c r="U43" s="543">
        <v>1</v>
      </c>
      <c r="V43" s="543">
        <v>1</v>
      </c>
      <c r="W43" s="543">
        <v>1</v>
      </c>
      <c r="X43" s="543">
        <v>1</v>
      </c>
      <c r="Y43" s="543">
        <v>1</v>
      </c>
      <c r="Z43" s="543">
        <v>1</v>
      </c>
      <c r="AA43" s="543">
        <v>0.54</v>
      </c>
      <c r="AB43" s="543">
        <v>0.54</v>
      </c>
      <c r="AC43" s="543">
        <v>0.54</v>
      </c>
      <c r="AD43" s="543">
        <v>0.54</v>
      </c>
      <c r="AE43" s="543">
        <v>0.54</v>
      </c>
      <c r="AF43" s="543">
        <v>0.54</v>
      </c>
      <c r="AG43" s="543">
        <v>0.54</v>
      </c>
      <c r="AH43" s="543">
        <v>0.54</v>
      </c>
      <c r="AI43" s="543">
        <v>0.54</v>
      </c>
      <c r="AJ43" s="543">
        <v>0.2</v>
      </c>
      <c r="AK43" s="543">
        <v>0.54</v>
      </c>
      <c r="AL43" s="543">
        <v>0.54</v>
      </c>
      <c r="AM43" s="543">
        <v>0.54</v>
      </c>
      <c r="AN43" s="543">
        <v>0.54</v>
      </c>
      <c r="AO43" s="543">
        <v>0.54</v>
      </c>
      <c r="AP43" s="543">
        <v>0.54</v>
      </c>
      <c r="AQ43" s="543">
        <v>0.54</v>
      </c>
      <c r="AR43" s="543">
        <v>0.54</v>
      </c>
      <c r="AS43" s="543">
        <v>0.54</v>
      </c>
      <c r="AT43" s="543">
        <v>0.54</v>
      </c>
      <c r="AU43" s="543">
        <v>0.54</v>
      </c>
      <c r="AV43" s="543">
        <v>0.54</v>
      </c>
      <c r="AW43" s="543">
        <v>0.54</v>
      </c>
      <c r="AX43" s="543">
        <v>0.54</v>
      </c>
      <c r="AY43" s="543">
        <v>0.54</v>
      </c>
      <c r="AZ43" s="543">
        <v>0.54</v>
      </c>
      <c r="BA43" s="543">
        <v>0.54</v>
      </c>
      <c r="BB43" s="543">
        <v>0.54</v>
      </c>
      <c r="BC43" s="543">
        <v>0.2</v>
      </c>
      <c r="BD43" s="543">
        <v>0.2</v>
      </c>
      <c r="BE43" s="543">
        <v>0.78</v>
      </c>
      <c r="BF43" s="543">
        <v>0.78</v>
      </c>
      <c r="BG43" s="543">
        <v>0.78</v>
      </c>
      <c r="BH43" s="543">
        <v>0.78</v>
      </c>
      <c r="BI43" s="543">
        <v>0.78</v>
      </c>
      <c r="BJ43" s="543">
        <v>0.78</v>
      </c>
      <c r="BK43" s="543">
        <v>0.78</v>
      </c>
      <c r="BL43" s="543">
        <v>0.78</v>
      </c>
      <c r="BM43" s="543">
        <v>0.78</v>
      </c>
      <c r="BN43" s="543">
        <v>0.78</v>
      </c>
      <c r="BO43" s="543">
        <v>0.78</v>
      </c>
      <c r="BP43" s="543">
        <v>0.78</v>
      </c>
      <c r="BQ43" s="543">
        <v>0.78</v>
      </c>
      <c r="BR43" s="543">
        <v>0.78</v>
      </c>
      <c r="BS43" s="543">
        <v>0.78</v>
      </c>
      <c r="BT43" s="543">
        <v>0.78</v>
      </c>
      <c r="BU43" s="543">
        <v>0.78</v>
      </c>
      <c r="BV43" s="543">
        <v>0.78</v>
      </c>
      <c r="BW43" s="543">
        <v>0</v>
      </c>
      <c r="BX43" s="543">
        <v>0</v>
      </c>
      <c r="BY43" s="543">
        <v>0.2</v>
      </c>
      <c r="BZ43" s="543">
        <v>0.2</v>
      </c>
      <c r="CA43" s="543">
        <v>0.2</v>
      </c>
      <c r="CB43" s="543">
        <v>0.2</v>
      </c>
      <c r="CC43" s="543">
        <v>0.2</v>
      </c>
      <c r="CD43" s="543">
        <v>0.2</v>
      </c>
      <c r="CE43" s="543">
        <v>0.2</v>
      </c>
      <c r="CF43" s="543">
        <v>0.2</v>
      </c>
      <c r="CG43" s="543">
        <v>0.2</v>
      </c>
      <c r="CH43" s="543">
        <v>0</v>
      </c>
      <c r="CI43" s="543">
        <v>0</v>
      </c>
      <c r="CJ43" s="1020">
        <v>1</v>
      </c>
    </row>
    <row r="44" spans="1:88" x14ac:dyDescent="0.45">
      <c r="A44" s="768" t="s">
        <v>3289</v>
      </c>
      <c r="B44" s="1019">
        <v>1</v>
      </c>
      <c r="C44" s="543">
        <v>1</v>
      </c>
      <c r="D44" s="543">
        <v>0.5</v>
      </c>
      <c r="E44" s="543">
        <v>0.5</v>
      </c>
      <c r="F44" s="543">
        <v>0.5</v>
      </c>
      <c r="G44" s="543">
        <v>0.8</v>
      </c>
      <c r="H44" s="543">
        <v>0.85</v>
      </c>
      <c r="I44" s="543">
        <v>0.85</v>
      </c>
      <c r="J44" s="543">
        <v>0.85</v>
      </c>
      <c r="K44" s="543">
        <v>0.85</v>
      </c>
      <c r="L44" s="543">
        <v>0.85</v>
      </c>
      <c r="M44" s="543">
        <v>0</v>
      </c>
      <c r="N44" s="543">
        <v>1</v>
      </c>
      <c r="O44" s="543">
        <v>1</v>
      </c>
      <c r="P44" s="543">
        <v>1</v>
      </c>
      <c r="Q44" s="543">
        <v>1</v>
      </c>
      <c r="R44" s="543">
        <v>0.85</v>
      </c>
      <c r="S44" s="543">
        <v>0.85</v>
      </c>
      <c r="T44" s="543"/>
      <c r="U44" s="543"/>
      <c r="V44" s="543"/>
      <c r="W44" s="543"/>
      <c r="X44" s="543"/>
      <c r="Y44" s="543"/>
      <c r="Z44" s="543"/>
      <c r="AA44" s="543">
        <v>1</v>
      </c>
      <c r="AB44" s="543">
        <v>1</v>
      </c>
      <c r="AC44" s="543">
        <v>1</v>
      </c>
      <c r="AD44" s="543">
        <v>1</v>
      </c>
      <c r="AE44" s="543">
        <v>0.5</v>
      </c>
      <c r="AF44" s="543">
        <v>0.5</v>
      </c>
      <c r="AG44" s="543">
        <v>0.8</v>
      </c>
      <c r="AH44" s="543">
        <v>0.85</v>
      </c>
      <c r="AI44" s="543">
        <v>0.85</v>
      </c>
      <c r="AJ44" s="543">
        <v>0</v>
      </c>
      <c r="AK44" s="543">
        <v>1</v>
      </c>
      <c r="AL44" s="543">
        <v>1</v>
      </c>
      <c r="AM44" s="543">
        <v>1</v>
      </c>
      <c r="AN44" s="543">
        <v>1</v>
      </c>
      <c r="AO44" s="543">
        <v>1</v>
      </c>
      <c r="AP44" s="543">
        <v>1</v>
      </c>
      <c r="AQ44" s="543">
        <v>1</v>
      </c>
      <c r="AR44" s="543">
        <v>1</v>
      </c>
      <c r="AS44" s="543">
        <v>0.5</v>
      </c>
      <c r="AT44" s="543">
        <v>0.5</v>
      </c>
      <c r="AU44" s="543">
        <v>0.5</v>
      </c>
      <c r="AV44" s="543">
        <v>0.5</v>
      </c>
      <c r="AW44" s="543">
        <v>0.8</v>
      </c>
      <c r="AX44" s="543">
        <v>0.8</v>
      </c>
      <c r="AY44" s="543">
        <v>0.85</v>
      </c>
      <c r="AZ44" s="543">
        <v>0.85</v>
      </c>
      <c r="BA44" s="543">
        <v>0.85</v>
      </c>
      <c r="BB44" s="543">
        <v>0.85</v>
      </c>
      <c r="BC44" s="543">
        <v>0</v>
      </c>
      <c r="BD44" s="543">
        <v>0</v>
      </c>
      <c r="BE44" s="543">
        <v>1.6</v>
      </c>
      <c r="BF44" s="543">
        <v>1.6</v>
      </c>
      <c r="BG44" s="543">
        <v>1.6</v>
      </c>
      <c r="BH44" s="543">
        <v>1.6</v>
      </c>
      <c r="BI44" s="543">
        <v>1.6</v>
      </c>
      <c r="BJ44" s="543">
        <v>1.6</v>
      </c>
      <c r="BK44" s="543">
        <v>1</v>
      </c>
      <c r="BL44" s="543">
        <v>1</v>
      </c>
      <c r="BM44" s="543">
        <v>1</v>
      </c>
      <c r="BN44" s="543">
        <v>1</v>
      </c>
      <c r="BO44" s="543">
        <v>1</v>
      </c>
      <c r="BP44" s="543">
        <v>1</v>
      </c>
      <c r="BQ44" s="543">
        <v>1</v>
      </c>
      <c r="BR44" s="543">
        <v>1</v>
      </c>
      <c r="BS44" s="543">
        <v>1</v>
      </c>
      <c r="BT44" s="543">
        <v>1</v>
      </c>
      <c r="BU44" s="543">
        <v>1</v>
      </c>
      <c r="BV44" s="543">
        <v>1</v>
      </c>
      <c r="BW44" s="543">
        <v>0</v>
      </c>
      <c r="BX44" s="543">
        <v>0</v>
      </c>
      <c r="BY44" s="543">
        <v>0.4</v>
      </c>
      <c r="BZ44" s="543">
        <v>0.7</v>
      </c>
      <c r="CA44" s="543">
        <v>0.7</v>
      </c>
      <c r="CB44" s="543">
        <v>0</v>
      </c>
      <c r="CC44" s="543">
        <v>0.4</v>
      </c>
      <c r="CD44" s="543">
        <v>0.05</v>
      </c>
      <c r="CE44" s="543">
        <v>0.05</v>
      </c>
      <c r="CF44" s="543">
        <v>0.05</v>
      </c>
      <c r="CG44" s="543">
        <v>0.05</v>
      </c>
      <c r="CH44" s="543">
        <v>0</v>
      </c>
      <c r="CI44" s="543">
        <v>0</v>
      </c>
      <c r="CJ44" s="1020">
        <v>1</v>
      </c>
    </row>
    <row r="45" spans="1:88" x14ac:dyDescent="0.45">
      <c r="A45" s="768" t="s">
        <v>2583</v>
      </c>
      <c r="B45" s="1019">
        <v>1</v>
      </c>
      <c r="C45" s="543">
        <v>1</v>
      </c>
      <c r="D45" s="543">
        <v>0.9</v>
      </c>
      <c r="E45" s="543">
        <v>1</v>
      </c>
      <c r="F45" s="543">
        <v>1</v>
      </c>
      <c r="G45" s="543">
        <v>1</v>
      </c>
      <c r="H45" s="543">
        <v>1</v>
      </c>
      <c r="I45" s="543">
        <v>1</v>
      </c>
      <c r="J45" s="543">
        <v>1</v>
      </c>
      <c r="K45" s="543">
        <v>1</v>
      </c>
      <c r="L45" s="543">
        <v>1</v>
      </c>
      <c r="M45" s="543">
        <v>0.2</v>
      </c>
      <c r="N45" s="543">
        <v>1</v>
      </c>
      <c r="O45" s="543">
        <v>1</v>
      </c>
      <c r="P45" s="543">
        <v>1</v>
      </c>
      <c r="Q45" s="543">
        <v>1</v>
      </c>
      <c r="R45" s="543">
        <v>1</v>
      </c>
      <c r="S45" s="543">
        <v>1</v>
      </c>
      <c r="T45" s="543"/>
      <c r="U45" s="543">
        <v>1</v>
      </c>
      <c r="V45" s="543">
        <v>1</v>
      </c>
      <c r="W45" s="543">
        <v>1</v>
      </c>
      <c r="X45" s="543">
        <v>1</v>
      </c>
      <c r="Y45" s="543">
        <v>1</v>
      </c>
      <c r="Z45" s="543">
        <v>1</v>
      </c>
      <c r="AA45" s="543">
        <v>1</v>
      </c>
      <c r="AB45" s="543">
        <v>1</v>
      </c>
      <c r="AC45" s="543">
        <v>1</v>
      </c>
      <c r="AD45" s="543">
        <v>1</v>
      </c>
      <c r="AE45" s="543">
        <v>1</v>
      </c>
      <c r="AF45" s="543">
        <v>1</v>
      </c>
      <c r="AG45" s="543">
        <v>1</v>
      </c>
      <c r="AH45" s="543">
        <v>1</v>
      </c>
      <c r="AI45" s="543">
        <v>1</v>
      </c>
      <c r="AJ45" s="543">
        <v>0.2</v>
      </c>
      <c r="AK45" s="543">
        <v>1</v>
      </c>
      <c r="AL45" s="543">
        <v>1</v>
      </c>
      <c r="AM45" s="543">
        <v>1</v>
      </c>
      <c r="AN45" s="543">
        <v>1</v>
      </c>
      <c r="AO45" s="543">
        <v>1</v>
      </c>
      <c r="AP45" s="543">
        <v>1</v>
      </c>
      <c r="AQ45" s="543">
        <v>1</v>
      </c>
      <c r="AR45" s="543">
        <v>1</v>
      </c>
      <c r="AS45" s="543">
        <v>1</v>
      </c>
      <c r="AT45" s="543">
        <v>1</v>
      </c>
      <c r="AU45" s="543">
        <v>1</v>
      </c>
      <c r="AV45" s="543">
        <v>1</v>
      </c>
      <c r="AW45" s="543">
        <v>1</v>
      </c>
      <c r="AX45" s="543">
        <v>1</v>
      </c>
      <c r="AY45" s="543">
        <v>1</v>
      </c>
      <c r="AZ45" s="543">
        <v>1</v>
      </c>
      <c r="BA45" s="543">
        <v>1</v>
      </c>
      <c r="BB45" s="543">
        <v>1</v>
      </c>
      <c r="BC45" s="543">
        <v>0.2</v>
      </c>
      <c r="BD45" s="543">
        <v>0.2</v>
      </c>
      <c r="BE45" s="543">
        <v>1</v>
      </c>
      <c r="BF45" s="543">
        <v>1</v>
      </c>
      <c r="BG45" s="543">
        <v>1</v>
      </c>
      <c r="BH45" s="543">
        <v>1</v>
      </c>
      <c r="BI45" s="543">
        <v>1</v>
      </c>
      <c r="BJ45" s="543">
        <v>1</v>
      </c>
      <c r="BK45" s="543">
        <v>1</v>
      </c>
      <c r="BL45" s="543">
        <v>1</v>
      </c>
      <c r="BM45" s="543">
        <v>1</v>
      </c>
      <c r="BN45" s="543">
        <v>1</v>
      </c>
      <c r="BO45" s="543">
        <v>1</v>
      </c>
      <c r="BP45" s="543">
        <v>1</v>
      </c>
      <c r="BQ45" s="543">
        <v>1</v>
      </c>
      <c r="BR45" s="543">
        <v>1</v>
      </c>
      <c r="BS45" s="543">
        <v>1</v>
      </c>
      <c r="BT45" s="543">
        <v>1</v>
      </c>
      <c r="BU45" s="543">
        <v>1</v>
      </c>
      <c r="BV45" s="543">
        <v>1</v>
      </c>
      <c r="BW45" s="543">
        <v>0</v>
      </c>
      <c r="BX45" s="543">
        <v>0</v>
      </c>
      <c r="BY45" s="543">
        <v>0.2</v>
      </c>
      <c r="BZ45" s="543">
        <v>0.2</v>
      </c>
      <c r="CA45" s="543">
        <v>0.2</v>
      </c>
      <c r="CB45" s="543">
        <v>0.2</v>
      </c>
      <c r="CC45" s="543">
        <v>0.2</v>
      </c>
      <c r="CD45" s="543">
        <v>0.2</v>
      </c>
      <c r="CE45" s="543">
        <v>0.2</v>
      </c>
      <c r="CF45" s="543">
        <v>0.2</v>
      </c>
      <c r="CG45" s="543">
        <v>0.2</v>
      </c>
      <c r="CH45" s="543">
        <v>0</v>
      </c>
      <c r="CI45" s="543">
        <v>0</v>
      </c>
      <c r="CJ45" s="1020">
        <v>1</v>
      </c>
    </row>
    <row r="46" spans="1:88" x14ac:dyDescent="0.45">
      <c r="A46" s="768" t="s">
        <v>2584</v>
      </c>
      <c r="B46" s="1019">
        <v>1</v>
      </c>
      <c r="C46" s="543">
        <v>1</v>
      </c>
      <c r="D46" s="543">
        <v>1</v>
      </c>
      <c r="E46" s="543">
        <v>1</v>
      </c>
      <c r="F46" s="543">
        <v>1</v>
      </c>
      <c r="G46" s="543">
        <v>1</v>
      </c>
      <c r="H46" s="543">
        <v>1</v>
      </c>
      <c r="I46" s="543">
        <v>1</v>
      </c>
      <c r="J46" s="543">
        <v>1</v>
      </c>
      <c r="K46" s="543">
        <v>1</v>
      </c>
      <c r="L46" s="543">
        <v>1</v>
      </c>
      <c r="M46" s="543">
        <v>1</v>
      </c>
      <c r="N46" s="543">
        <v>1</v>
      </c>
      <c r="O46" s="543">
        <v>1</v>
      </c>
      <c r="P46" s="543">
        <v>1</v>
      </c>
      <c r="Q46" s="543">
        <v>1</v>
      </c>
      <c r="R46" s="543">
        <v>1</v>
      </c>
      <c r="S46" s="543">
        <v>1</v>
      </c>
      <c r="T46" s="543"/>
      <c r="U46" s="543">
        <v>1</v>
      </c>
      <c r="V46" s="543">
        <v>1</v>
      </c>
      <c r="W46" s="543">
        <v>1</v>
      </c>
      <c r="X46" s="543">
        <v>1</v>
      </c>
      <c r="Y46" s="543">
        <v>1</v>
      </c>
      <c r="Z46" s="543">
        <v>1</v>
      </c>
      <c r="AA46" s="543">
        <v>0.84</v>
      </c>
      <c r="AB46" s="543">
        <v>0.84</v>
      </c>
      <c r="AC46" s="543">
        <v>0.84</v>
      </c>
      <c r="AD46" s="543">
        <v>0.84</v>
      </c>
      <c r="AE46" s="543">
        <v>0.84</v>
      </c>
      <c r="AF46" s="543">
        <v>0.84</v>
      </c>
      <c r="AG46" s="543">
        <v>0.84</v>
      </c>
      <c r="AH46" s="543">
        <v>0.84</v>
      </c>
      <c r="AI46" s="543">
        <v>0.84</v>
      </c>
      <c r="AJ46" s="543">
        <v>0.84</v>
      </c>
      <c r="AK46" s="543">
        <v>0.84</v>
      </c>
      <c r="AL46" s="543">
        <v>0.84</v>
      </c>
      <c r="AM46" s="543">
        <v>0.84</v>
      </c>
      <c r="AN46" s="543">
        <v>0.84</v>
      </c>
      <c r="AO46" s="543">
        <v>0.84</v>
      </c>
      <c r="AP46" s="543">
        <v>0.84</v>
      </c>
      <c r="AQ46" s="543">
        <v>0.84</v>
      </c>
      <c r="AR46" s="543">
        <v>0.84</v>
      </c>
      <c r="AS46" s="543">
        <v>0.84</v>
      </c>
      <c r="AT46" s="543">
        <v>0.84</v>
      </c>
      <c r="AU46" s="543">
        <v>0.84</v>
      </c>
      <c r="AV46" s="543">
        <v>0.84</v>
      </c>
      <c r="AW46" s="543">
        <v>0.84</v>
      </c>
      <c r="AX46" s="543">
        <v>0.84</v>
      </c>
      <c r="AY46" s="543">
        <v>0.84</v>
      </c>
      <c r="AZ46" s="543">
        <v>0.84</v>
      </c>
      <c r="BA46" s="543">
        <v>0.84</v>
      </c>
      <c r="BB46" s="543">
        <v>0.84</v>
      </c>
      <c r="BC46" s="543">
        <v>0.84</v>
      </c>
      <c r="BD46" s="543">
        <v>0.84</v>
      </c>
      <c r="BE46" s="543">
        <v>0.87</v>
      </c>
      <c r="BF46" s="543">
        <v>0.87</v>
      </c>
      <c r="BG46" s="543">
        <v>0.87</v>
      </c>
      <c r="BH46" s="543">
        <v>0.87</v>
      </c>
      <c r="BI46" s="543">
        <v>0.87</v>
      </c>
      <c r="BJ46" s="543">
        <v>0.87</v>
      </c>
      <c r="BK46" s="543">
        <v>0.87</v>
      </c>
      <c r="BL46" s="543">
        <v>0.87</v>
      </c>
      <c r="BM46" s="543">
        <v>0.87</v>
      </c>
      <c r="BN46" s="543">
        <v>0.87</v>
      </c>
      <c r="BO46" s="543">
        <v>0.87</v>
      </c>
      <c r="BP46" s="543">
        <v>0.87</v>
      </c>
      <c r="BQ46" s="543">
        <v>0.87</v>
      </c>
      <c r="BR46" s="543">
        <v>0.87</v>
      </c>
      <c r="BS46" s="543">
        <v>0.87</v>
      </c>
      <c r="BT46" s="543">
        <v>0.87</v>
      </c>
      <c r="BU46" s="543">
        <v>0.87</v>
      </c>
      <c r="BV46" s="543">
        <v>0.87</v>
      </c>
      <c r="BW46" s="543">
        <v>0</v>
      </c>
      <c r="BX46" s="543">
        <v>0</v>
      </c>
      <c r="BY46" s="543">
        <v>0.2</v>
      </c>
      <c r="BZ46" s="543">
        <v>0.2</v>
      </c>
      <c r="CA46" s="543">
        <v>0.2</v>
      </c>
      <c r="CB46" s="543">
        <v>0.2</v>
      </c>
      <c r="CC46" s="543">
        <v>0.2</v>
      </c>
      <c r="CD46" s="543">
        <v>0.2</v>
      </c>
      <c r="CE46" s="543">
        <v>0.2</v>
      </c>
      <c r="CF46" s="543">
        <v>0.2</v>
      </c>
      <c r="CG46" s="543">
        <v>0.2</v>
      </c>
      <c r="CH46" s="543">
        <v>0</v>
      </c>
      <c r="CI46" s="543">
        <v>0</v>
      </c>
      <c r="CJ46" s="1020">
        <v>1</v>
      </c>
    </row>
    <row r="47" spans="1:88" x14ac:dyDescent="0.45">
      <c r="A47" s="768" t="s">
        <v>3290</v>
      </c>
      <c r="B47" s="1019">
        <v>1</v>
      </c>
      <c r="C47" s="543">
        <v>1</v>
      </c>
      <c r="D47" s="543">
        <v>1</v>
      </c>
      <c r="E47" s="543">
        <v>1</v>
      </c>
      <c r="F47" s="543">
        <v>1</v>
      </c>
      <c r="G47" s="543">
        <v>1</v>
      </c>
      <c r="H47" s="543">
        <v>1</v>
      </c>
      <c r="I47" s="543">
        <v>1</v>
      </c>
      <c r="J47" s="543">
        <v>1</v>
      </c>
      <c r="K47" s="543">
        <v>1</v>
      </c>
      <c r="L47" s="543">
        <v>1</v>
      </c>
      <c r="M47" s="543">
        <v>0.1</v>
      </c>
      <c r="N47" s="543">
        <v>1</v>
      </c>
      <c r="O47" s="543">
        <v>1</v>
      </c>
      <c r="P47" s="543">
        <v>1</v>
      </c>
      <c r="Q47" s="543">
        <v>1</v>
      </c>
      <c r="R47" s="543">
        <v>1</v>
      </c>
      <c r="S47" s="543">
        <v>1</v>
      </c>
      <c r="T47" s="543"/>
      <c r="U47" s="543">
        <v>1</v>
      </c>
      <c r="V47" s="543">
        <v>1</v>
      </c>
      <c r="W47" s="543">
        <v>1</v>
      </c>
      <c r="X47" s="543">
        <v>1</v>
      </c>
      <c r="Y47" s="543">
        <v>1</v>
      </c>
      <c r="Z47" s="543">
        <v>1</v>
      </c>
      <c r="AA47" s="543">
        <v>1</v>
      </c>
      <c r="AB47" s="543">
        <v>1</v>
      </c>
      <c r="AC47" s="543">
        <v>1</v>
      </c>
      <c r="AD47" s="543">
        <v>1</v>
      </c>
      <c r="AE47" s="543">
        <v>1</v>
      </c>
      <c r="AF47" s="543">
        <v>1</v>
      </c>
      <c r="AG47" s="543">
        <v>1</v>
      </c>
      <c r="AH47" s="543">
        <v>1</v>
      </c>
      <c r="AI47" s="543">
        <v>1</v>
      </c>
      <c r="AJ47" s="543">
        <v>0.1</v>
      </c>
      <c r="AK47" s="543">
        <v>1</v>
      </c>
      <c r="AL47" s="543">
        <v>1</v>
      </c>
      <c r="AM47" s="543">
        <v>1</v>
      </c>
      <c r="AN47" s="543">
        <v>1</v>
      </c>
      <c r="AO47" s="543">
        <v>1</v>
      </c>
      <c r="AP47" s="543">
        <v>1</v>
      </c>
      <c r="AQ47" s="543">
        <v>1</v>
      </c>
      <c r="AR47" s="543">
        <v>1</v>
      </c>
      <c r="AS47" s="543">
        <v>1</v>
      </c>
      <c r="AT47" s="543">
        <v>1</v>
      </c>
      <c r="AU47" s="543">
        <v>1</v>
      </c>
      <c r="AV47" s="543">
        <v>1</v>
      </c>
      <c r="AW47" s="543">
        <v>1</v>
      </c>
      <c r="AX47" s="543">
        <v>1</v>
      </c>
      <c r="AY47" s="543">
        <v>1</v>
      </c>
      <c r="AZ47" s="543">
        <v>1</v>
      </c>
      <c r="BA47" s="543">
        <v>1</v>
      </c>
      <c r="BB47" s="543">
        <v>1</v>
      </c>
      <c r="BC47" s="543">
        <v>0.1</v>
      </c>
      <c r="BD47" s="543">
        <v>0.1</v>
      </c>
      <c r="BE47" s="543">
        <v>1</v>
      </c>
      <c r="BF47" s="543">
        <v>1</v>
      </c>
      <c r="BG47" s="543">
        <v>1</v>
      </c>
      <c r="BH47" s="543">
        <v>1</v>
      </c>
      <c r="BI47" s="543">
        <v>1</v>
      </c>
      <c r="BJ47" s="543">
        <v>1</v>
      </c>
      <c r="BK47" s="543">
        <v>1</v>
      </c>
      <c r="BL47" s="543">
        <v>1</v>
      </c>
      <c r="BM47" s="543">
        <v>1</v>
      </c>
      <c r="BN47" s="543">
        <v>1</v>
      </c>
      <c r="BO47" s="543">
        <v>1</v>
      </c>
      <c r="BP47" s="543">
        <v>1</v>
      </c>
      <c r="BQ47" s="543">
        <v>1</v>
      </c>
      <c r="BR47" s="543">
        <v>1</v>
      </c>
      <c r="BS47" s="543">
        <v>1</v>
      </c>
      <c r="BT47" s="543">
        <v>1</v>
      </c>
      <c r="BU47" s="543">
        <v>1</v>
      </c>
      <c r="BV47" s="543">
        <v>1</v>
      </c>
      <c r="BW47" s="543">
        <v>0</v>
      </c>
      <c r="BX47" s="543">
        <v>0</v>
      </c>
      <c r="BY47" s="543">
        <v>0</v>
      </c>
      <c r="BZ47" s="543">
        <v>0</v>
      </c>
      <c r="CA47" s="543">
        <v>0</v>
      </c>
      <c r="CB47" s="543">
        <v>0</v>
      </c>
      <c r="CC47" s="543">
        <v>0</v>
      </c>
      <c r="CD47" s="543">
        <v>0</v>
      </c>
      <c r="CE47" s="543">
        <v>0</v>
      </c>
      <c r="CF47" s="543">
        <v>0</v>
      </c>
      <c r="CG47" s="543">
        <v>0</v>
      </c>
      <c r="CH47" s="543">
        <v>0</v>
      </c>
      <c r="CI47" s="543">
        <v>0</v>
      </c>
      <c r="CJ47" s="1020">
        <v>1</v>
      </c>
    </row>
    <row r="48" spans="1:88" x14ac:dyDescent="0.45">
      <c r="A48" s="768" t="s">
        <v>3291</v>
      </c>
      <c r="B48" s="1019">
        <v>1</v>
      </c>
      <c r="C48" s="543">
        <v>1</v>
      </c>
      <c r="D48" s="543">
        <v>1</v>
      </c>
      <c r="E48" s="543">
        <v>1</v>
      </c>
      <c r="F48" s="543">
        <v>1</v>
      </c>
      <c r="G48" s="543">
        <v>1</v>
      </c>
      <c r="H48" s="543">
        <v>1</v>
      </c>
      <c r="I48" s="543">
        <v>1</v>
      </c>
      <c r="J48" s="543">
        <v>1</v>
      </c>
      <c r="K48" s="543">
        <v>1</v>
      </c>
      <c r="L48" s="543">
        <v>1</v>
      </c>
      <c r="M48" s="543">
        <v>1</v>
      </c>
      <c r="N48" s="543">
        <v>1</v>
      </c>
      <c r="O48" s="543">
        <v>1</v>
      </c>
      <c r="P48" s="543">
        <v>1</v>
      </c>
      <c r="Q48" s="543">
        <v>1</v>
      </c>
      <c r="R48" s="543">
        <v>1</v>
      </c>
      <c r="S48" s="543">
        <v>1</v>
      </c>
      <c r="T48" s="543"/>
      <c r="U48" s="543">
        <v>1</v>
      </c>
      <c r="V48" s="543">
        <v>1</v>
      </c>
      <c r="W48" s="543">
        <v>1</v>
      </c>
      <c r="X48" s="543">
        <v>1</v>
      </c>
      <c r="Y48" s="543">
        <v>1</v>
      </c>
      <c r="Z48" s="543">
        <v>1</v>
      </c>
      <c r="AA48" s="543">
        <v>1</v>
      </c>
      <c r="AB48" s="543">
        <v>1</v>
      </c>
      <c r="AC48" s="543">
        <v>1</v>
      </c>
      <c r="AD48" s="543">
        <v>1</v>
      </c>
      <c r="AE48" s="543">
        <v>1</v>
      </c>
      <c r="AF48" s="543">
        <v>1</v>
      </c>
      <c r="AG48" s="543">
        <v>1</v>
      </c>
      <c r="AH48" s="543">
        <v>1</v>
      </c>
      <c r="AI48" s="543">
        <v>1</v>
      </c>
      <c r="AJ48" s="543">
        <v>1</v>
      </c>
      <c r="AK48" s="543"/>
      <c r="AL48" s="543">
        <v>1</v>
      </c>
      <c r="AM48" s="543"/>
      <c r="AN48" s="543">
        <v>1</v>
      </c>
      <c r="AO48" s="543"/>
      <c r="AP48" s="543">
        <v>1</v>
      </c>
      <c r="AQ48" s="543"/>
      <c r="AR48" s="543">
        <v>1</v>
      </c>
      <c r="AS48" s="543"/>
      <c r="AT48" s="543">
        <v>1</v>
      </c>
      <c r="AU48" s="543"/>
      <c r="AV48" s="543">
        <v>1</v>
      </c>
      <c r="AW48" s="543"/>
      <c r="AX48" s="543">
        <v>1</v>
      </c>
      <c r="AY48" s="543"/>
      <c r="AZ48" s="543">
        <v>1</v>
      </c>
      <c r="BA48" s="543"/>
      <c r="BB48" s="543">
        <v>1</v>
      </c>
      <c r="BC48" s="543"/>
      <c r="BD48" s="543">
        <v>1</v>
      </c>
      <c r="BE48" s="543">
        <v>1</v>
      </c>
      <c r="BF48" s="543">
        <v>1</v>
      </c>
      <c r="BG48" s="543">
        <v>1</v>
      </c>
      <c r="BH48" s="543">
        <v>1</v>
      </c>
      <c r="BI48" s="543">
        <v>1</v>
      </c>
      <c r="BJ48" s="543">
        <v>1</v>
      </c>
      <c r="BK48" s="543"/>
      <c r="BL48" s="543">
        <v>1</v>
      </c>
      <c r="BM48" s="543"/>
      <c r="BN48" s="543">
        <v>1</v>
      </c>
      <c r="BO48" s="543"/>
      <c r="BP48" s="543">
        <v>1</v>
      </c>
      <c r="BQ48" s="543"/>
      <c r="BR48" s="543">
        <v>1</v>
      </c>
      <c r="BS48" s="543"/>
      <c r="BT48" s="543">
        <v>1</v>
      </c>
      <c r="BU48" s="543"/>
      <c r="BV48" s="543">
        <v>1</v>
      </c>
      <c r="BW48" s="543">
        <v>1</v>
      </c>
      <c r="BX48" s="543">
        <v>1</v>
      </c>
      <c r="BY48" s="543">
        <v>1</v>
      </c>
      <c r="BZ48" s="543">
        <v>1</v>
      </c>
      <c r="CA48" s="543">
        <v>1</v>
      </c>
      <c r="CB48" s="543">
        <v>1</v>
      </c>
      <c r="CC48" s="543">
        <v>1</v>
      </c>
      <c r="CD48" s="543">
        <v>1</v>
      </c>
      <c r="CE48" s="543">
        <v>1</v>
      </c>
      <c r="CF48" s="543">
        <v>1</v>
      </c>
      <c r="CG48" s="543">
        <v>1</v>
      </c>
      <c r="CH48" s="543"/>
      <c r="CI48" s="543">
        <v>1</v>
      </c>
      <c r="CJ48" s="1020">
        <v>1</v>
      </c>
    </row>
    <row r="49" spans="1:132" x14ac:dyDescent="0.45">
      <c r="A49" s="768" t="s">
        <v>3292</v>
      </c>
      <c r="B49" s="1019">
        <v>1</v>
      </c>
      <c r="C49" s="543">
        <v>1</v>
      </c>
      <c r="D49" s="543">
        <v>1</v>
      </c>
      <c r="E49" s="543">
        <v>1</v>
      </c>
      <c r="F49" s="543">
        <v>1</v>
      </c>
      <c r="G49" s="543">
        <v>1</v>
      </c>
      <c r="H49" s="543">
        <v>1</v>
      </c>
      <c r="I49" s="543">
        <v>1</v>
      </c>
      <c r="J49" s="543">
        <v>1</v>
      </c>
      <c r="K49" s="543">
        <v>1</v>
      </c>
      <c r="L49" s="543">
        <v>1</v>
      </c>
      <c r="M49" s="543">
        <v>0.1</v>
      </c>
      <c r="N49" s="543">
        <v>1</v>
      </c>
      <c r="O49" s="543">
        <v>1</v>
      </c>
      <c r="P49" s="543">
        <v>1</v>
      </c>
      <c r="Q49" s="543">
        <v>1</v>
      </c>
      <c r="R49" s="543">
        <v>1</v>
      </c>
      <c r="S49" s="543">
        <v>1</v>
      </c>
      <c r="T49" s="543"/>
      <c r="U49" s="543">
        <v>1</v>
      </c>
      <c r="V49" s="543">
        <v>0.65</v>
      </c>
      <c r="W49" s="543">
        <v>1</v>
      </c>
      <c r="X49" s="543">
        <v>1</v>
      </c>
      <c r="Y49" s="543">
        <v>1</v>
      </c>
      <c r="Z49" s="543">
        <v>1</v>
      </c>
      <c r="AA49" s="543">
        <v>1</v>
      </c>
      <c r="AB49" s="543">
        <v>1</v>
      </c>
      <c r="AC49" s="543">
        <v>1</v>
      </c>
      <c r="AD49" s="543">
        <v>1</v>
      </c>
      <c r="AE49" s="543">
        <v>1</v>
      </c>
      <c r="AF49" s="543">
        <v>1</v>
      </c>
      <c r="AG49" s="543">
        <v>1</v>
      </c>
      <c r="AH49" s="543">
        <v>1</v>
      </c>
      <c r="AI49" s="543">
        <v>1</v>
      </c>
      <c r="AJ49" s="543">
        <v>0.1</v>
      </c>
      <c r="AK49" s="543">
        <v>1</v>
      </c>
      <c r="AL49" s="543">
        <v>1</v>
      </c>
      <c r="AM49" s="543">
        <v>1</v>
      </c>
      <c r="AN49" s="543">
        <v>1</v>
      </c>
      <c r="AO49" s="543">
        <v>1</v>
      </c>
      <c r="AP49" s="543">
        <v>1</v>
      </c>
      <c r="AQ49" s="543">
        <v>1</v>
      </c>
      <c r="AR49" s="543">
        <v>1</v>
      </c>
      <c r="AS49" s="543">
        <v>1</v>
      </c>
      <c r="AT49" s="543">
        <v>1</v>
      </c>
      <c r="AU49" s="543">
        <v>1</v>
      </c>
      <c r="AV49" s="543">
        <v>1</v>
      </c>
      <c r="AW49" s="543">
        <v>1</v>
      </c>
      <c r="AX49" s="543">
        <v>1</v>
      </c>
      <c r="AY49" s="543">
        <v>1</v>
      </c>
      <c r="AZ49" s="543">
        <v>1</v>
      </c>
      <c r="BA49" s="543">
        <v>1</v>
      </c>
      <c r="BB49" s="543">
        <v>1</v>
      </c>
      <c r="BC49" s="543">
        <v>0.1</v>
      </c>
      <c r="BD49" s="543">
        <v>0.1</v>
      </c>
      <c r="BE49" s="543">
        <v>1</v>
      </c>
      <c r="BF49" s="543">
        <v>1</v>
      </c>
      <c r="BG49" s="543">
        <v>0.65</v>
      </c>
      <c r="BH49" s="543">
        <v>1</v>
      </c>
      <c r="BI49" s="543">
        <v>1</v>
      </c>
      <c r="BJ49" s="543">
        <v>1</v>
      </c>
      <c r="BK49" s="543">
        <v>1</v>
      </c>
      <c r="BL49" s="543">
        <v>1</v>
      </c>
      <c r="BM49" s="543">
        <v>1</v>
      </c>
      <c r="BN49" s="543">
        <v>1</v>
      </c>
      <c r="BO49" s="543">
        <v>1</v>
      </c>
      <c r="BP49" s="543">
        <v>1</v>
      </c>
      <c r="BQ49" s="543">
        <v>1</v>
      </c>
      <c r="BR49" s="543">
        <v>1</v>
      </c>
      <c r="BS49" s="543">
        <v>1</v>
      </c>
      <c r="BT49" s="543">
        <v>1</v>
      </c>
      <c r="BU49" s="543">
        <v>1</v>
      </c>
      <c r="BV49" s="543">
        <v>1</v>
      </c>
      <c r="BW49" s="543">
        <v>0</v>
      </c>
      <c r="BX49" s="543">
        <v>0</v>
      </c>
      <c r="BY49" s="543">
        <v>0</v>
      </c>
      <c r="BZ49" s="543">
        <v>0</v>
      </c>
      <c r="CA49" s="543">
        <v>0</v>
      </c>
      <c r="CB49" s="543">
        <v>0</v>
      </c>
      <c r="CC49" s="543">
        <v>0</v>
      </c>
      <c r="CD49" s="543">
        <v>0</v>
      </c>
      <c r="CE49" s="543">
        <v>0</v>
      </c>
      <c r="CF49" s="543">
        <v>0</v>
      </c>
      <c r="CG49" s="543">
        <v>0</v>
      </c>
      <c r="CH49" s="543">
        <v>0</v>
      </c>
      <c r="CI49" s="543">
        <v>0</v>
      </c>
      <c r="CJ49" s="1020">
        <v>1</v>
      </c>
    </row>
    <row r="50" spans="1:132" x14ac:dyDescent="0.45">
      <c r="A50" s="768" t="s">
        <v>3293</v>
      </c>
      <c r="B50" s="1019">
        <v>1</v>
      </c>
      <c r="C50" s="543">
        <v>1</v>
      </c>
      <c r="D50" s="543">
        <v>1</v>
      </c>
      <c r="E50" s="543">
        <v>1</v>
      </c>
      <c r="F50" s="543">
        <v>1</v>
      </c>
      <c r="G50" s="543">
        <v>1</v>
      </c>
      <c r="H50" s="543">
        <v>1</v>
      </c>
      <c r="I50" s="543">
        <v>1</v>
      </c>
      <c r="J50" s="543">
        <v>1</v>
      </c>
      <c r="K50" s="543">
        <v>1</v>
      </c>
      <c r="L50" s="543">
        <v>1</v>
      </c>
      <c r="M50" s="543">
        <v>1</v>
      </c>
      <c r="N50" s="543">
        <v>1</v>
      </c>
      <c r="O50" s="543">
        <v>1</v>
      </c>
      <c r="P50" s="543">
        <v>1</v>
      </c>
      <c r="Q50" s="543">
        <v>1</v>
      </c>
      <c r="R50" s="543">
        <v>1</v>
      </c>
      <c r="S50" s="543">
        <v>1</v>
      </c>
      <c r="T50" s="543"/>
      <c r="U50" s="543">
        <v>1</v>
      </c>
      <c r="V50" s="543">
        <v>1</v>
      </c>
      <c r="W50" s="543">
        <v>1</v>
      </c>
      <c r="X50" s="543">
        <v>1</v>
      </c>
      <c r="Y50" s="543">
        <v>1</v>
      </c>
      <c r="Z50" s="543">
        <v>1</v>
      </c>
      <c r="AA50" s="543">
        <v>1</v>
      </c>
      <c r="AB50" s="543">
        <v>1</v>
      </c>
      <c r="AC50" s="543">
        <v>1</v>
      </c>
      <c r="AD50" s="543">
        <v>1</v>
      </c>
      <c r="AE50" s="543">
        <v>1</v>
      </c>
      <c r="AF50" s="543">
        <v>1</v>
      </c>
      <c r="AG50" s="543">
        <v>1</v>
      </c>
      <c r="AH50" s="543">
        <v>1</v>
      </c>
      <c r="AI50" s="543">
        <v>1</v>
      </c>
      <c r="AJ50" s="543">
        <v>1</v>
      </c>
      <c r="AK50" s="543"/>
      <c r="AL50" s="543">
        <v>1</v>
      </c>
      <c r="AM50" s="543"/>
      <c r="AN50" s="543">
        <v>1</v>
      </c>
      <c r="AO50" s="543"/>
      <c r="AP50" s="543">
        <v>1</v>
      </c>
      <c r="AQ50" s="543"/>
      <c r="AR50" s="543">
        <v>1</v>
      </c>
      <c r="AS50" s="543"/>
      <c r="AT50" s="543">
        <v>1</v>
      </c>
      <c r="AU50" s="543"/>
      <c r="AV50" s="543">
        <v>1</v>
      </c>
      <c r="AW50" s="543"/>
      <c r="AX50" s="543">
        <v>1</v>
      </c>
      <c r="AY50" s="543"/>
      <c r="AZ50" s="543">
        <v>1</v>
      </c>
      <c r="BA50" s="543"/>
      <c r="BB50" s="543">
        <v>1</v>
      </c>
      <c r="BC50" s="543"/>
      <c r="BD50" s="543">
        <v>1</v>
      </c>
      <c r="BE50" s="543">
        <v>1</v>
      </c>
      <c r="BF50" s="543">
        <v>1</v>
      </c>
      <c r="BG50" s="543">
        <v>1</v>
      </c>
      <c r="BH50" s="543">
        <v>1</v>
      </c>
      <c r="BI50" s="543">
        <v>1</v>
      </c>
      <c r="BJ50" s="543">
        <v>1</v>
      </c>
      <c r="BK50" s="543"/>
      <c r="BL50" s="543">
        <v>1</v>
      </c>
      <c r="BM50" s="543"/>
      <c r="BN50" s="543">
        <v>1</v>
      </c>
      <c r="BO50" s="543"/>
      <c r="BP50" s="543">
        <v>1</v>
      </c>
      <c r="BQ50" s="543"/>
      <c r="BR50" s="543">
        <v>1</v>
      </c>
      <c r="BS50" s="543"/>
      <c r="BT50" s="543">
        <v>1</v>
      </c>
      <c r="BU50" s="543"/>
      <c r="BV50" s="543">
        <v>1</v>
      </c>
      <c r="BW50" s="543">
        <v>1</v>
      </c>
      <c r="BX50" s="543">
        <v>1</v>
      </c>
      <c r="BY50" s="543">
        <v>1</v>
      </c>
      <c r="BZ50" s="543">
        <v>1</v>
      </c>
      <c r="CA50" s="543">
        <v>1</v>
      </c>
      <c r="CB50" s="543">
        <v>1</v>
      </c>
      <c r="CC50" s="543">
        <v>1</v>
      </c>
      <c r="CD50" s="543">
        <v>1</v>
      </c>
      <c r="CE50" s="543">
        <v>1</v>
      </c>
      <c r="CF50" s="543">
        <v>1</v>
      </c>
      <c r="CG50" s="543">
        <v>1</v>
      </c>
      <c r="CH50" s="543"/>
      <c r="CI50" s="543">
        <v>1</v>
      </c>
      <c r="CJ50" s="1020">
        <v>1</v>
      </c>
    </row>
    <row r="51" spans="1:132" x14ac:dyDescent="0.45">
      <c r="A51" t="s">
        <v>2588</v>
      </c>
      <c r="B51" s="1019">
        <v>1</v>
      </c>
      <c r="C51" s="543">
        <v>1</v>
      </c>
      <c r="D51" s="543">
        <v>1</v>
      </c>
      <c r="E51" s="543">
        <v>1</v>
      </c>
      <c r="F51" s="543">
        <v>1</v>
      </c>
      <c r="G51" s="543">
        <v>1</v>
      </c>
      <c r="H51" s="543">
        <v>1</v>
      </c>
      <c r="I51" s="543">
        <v>1</v>
      </c>
      <c r="J51" s="543">
        <v>1</v>
      </c>
      <c r="K51" s="543">
        <v>1</v>
      </c>
      <c r="L51" s="543">
        <v>1</v>
      </c>
      <c r="M51" s="543">
        <v>0.1</v>
      </c>
      <c r="N51" s="543">
        <v>1</v>
      </c>
      <c r="O51" s="543">
        <v>1</v>
      </c>
      <c r="P51" s="543">
        <v>1</v>
      </c>
      <c r="Q51" s="543">
        <v>1</v>
      </c>
      <c r="R51" s="543">
        <v>1</v>
      </c>
      <c r="S51" s="543">
        <v>1</v>
      </c>
      <c r="T51" s="543"/>
      <c r="U51" s="543">
        <v>1</v>
      </c>
      <c r="V51" s="543">
        <v>0.65</v>
      </c>
      <c r="W51" s="543">
        <v>1</v>
      </c>
      <c r="X51" s="543">
        <v>1</v>
      </c>
      <c r="Y51" s="543">
        <v>1</v>
      </c>
      <c r="Z51" s="543">
        <v>1</v>
      </c>
      <c r="AA51" s="543">
        <v>1</v>
      </c>
      <c r="AB51" s="543">
        <v>1</v>
      </c>
      <c r="AC51" s="543">
        <v>1</v>
      </c>
      <c r="AD51" s="543">
        <v>1</v>
      </c>
      <c r="AE51" s="543">
        <v>1</v>
      </c>
      <c r="AF51" s="543">
        <v>1</v>
      </c>
      <c r="AG51" s="543">
        <v>1</v>
      </c>
      <c r="AH51" s="543">
        <v>1</v>
      </c>
      <c r="AI51" s="543">
        <v>1</v>
      </c>
      <c r="AJ51" s="543">
        <v>0.1</v>
      </c>
      <c r="AK51" s="543">
        <v>1</v>
      </c>
      <c r="AL51" s="543">
        <v>1</v>
      </c>
      <c r="AM51" s="543">
        <v>1</v>
      </c>
      <c r="AN51" s="543">
        <v>1</v>
      </c>
      <c r="AO51" s="543">
        <v>1</v>
      </c>
      <c r="AP51" s="543">
        <v>1</v>
      </c>
      <c r="AQ51" s="543">
        <v>1</v>
      </c>
      <c r="AR51" s="543">
        <v>1</v>
      </c>
      <c r="AS51" s="543">
        <v>1</v>
      </c>
      <c r="AT51" s="543">
        <v>1</v>
      </c>
      <c r="AU51" s="543">
        <v>1</v>
      </c>
      <c r="AV51" s="543">
        <v>1</v>
      </c>
      <c r="AW51" s="543">
        <v>1</v>
      </c>
      <c r="AX51" s="543">
        <v>1</v>
      </c>
      <c r="AY51" s="543">
        <v>1</v>
      </c>
      <c r="AZ51" s="543">
        <v>1</v>
      </c>
      <c r="BA51" s="543">
        <v>1</v>
      </c>
      <c r="BB51" s="543">
        <v>1</v>
      </c>
      <c r="BC51" s="543">
        <v>0.1</v>
      </c>
      <c r="BD51" s="543">
        <v>0.1</v>
      </c>
      <c r="BE51" s="543">
        <v>1</v>
      </c>
      <c r="BF51" s="543">
        <v>1</v>
      </c>
      <c r="BG51" s="543">
        <v>0.65</v>
      </c>
      <c r="BH51" s="543">
        <v>1</v>
      </c>
      <c r="BI51" s="543">
        <v>1</v>
      </c>
      <c r="BJ51" s="543">
        <v>1</v>
      </c>
      <c r="BK51" s="543">
        <v>1</v>
      </c>
      <c r="BL51" s="543">
        <v>1</v>
      </c>
      <c r="BM51" s="543">
        <v>1</v>
      </c>
      <c r="BN51" s="543">
        <v>1</v>
      </c>
      <c r="BO51" s="543">
        <v>1</v>
      </c>
      <c r="BP51" s="543">
        <v>1</v>
      </c>
      <c r="BQ51" s="543">
        <v>1</v>
      </c>
      <c r="BR51" s="543">
        <v>1</v>
      </c>
      <c r="BS51" s="543">
        <v>1</v>
      </c>
      <c r="BT51" s="543">
        <v>1</v>
      </c>
      <c r="BU51" s="543">
        <v>1</v>
      </c>
      <c r="BV51" s="543">
        <v>1</v>
      </c>
      <c r="BW51" s="543">
        <v>0</v>
      </c>
      <c r="BX51" s="543">
        <v>0</v>
      </c>
      <c r="BY51" s="543">
        <v>0</v>
      </c>
      <c r="BZ51" s="543">
        <v>0</v>
      </c>
      <c r="CA51" s="543">
        <v>0</v>
      </c>
      <c r="CB51" s="543">
        <v>0</v>
      </c>
      <c r="CC51" s="543">
        <v>0</v>
      </c>
      <c r="CD51" s="543">
        <v>0</v>
      </c>
      <c r="CE51" s="543">
        <v>0</v>
      </c>
      <c r="CF51" s="543">
        <v>0</v>
      </c>
      <c r="CG51" s="543">
        <v>0</v>
      </c>
      <c r="CH51" s="543">
        <v>0</v>
      </c>
      <c r="CI51" s="543">
        <v>0</v>
      </c>
      <c r="CJ51" s="1020">
        <v>1</v>
      </c>
    </row>
    <row r="52" spans="1:132" x14ac:dyDescent="0.45">
      <c r="A52" t="s">
        <v>2589</v>
      </c>
      <c r="B52" s="1019">
        <v>1</v>
      </c>
      <c r="C52" s="543">
        <v>1</v>
      </c>
      <c r="D52" s="543">
        <v>1</v>
      </c>
      <c r="E52" s="543">
        <v>1</v>
      </c>
      <c r="F52" s="543">
        <v>1</v>
      </c>
      <c r="G52" s="543">
        <v>1</v>
      </c>
      <c r="H52" s="543">
        <v>1</v>
      </c>
      <c r="I52" s="543">
        <v>1</v>
      </c>
      <c r="J52" s="543">
        <v>1</v>
      </c>
      <c r="K52" s="543">
        <v>1</v>
      </c>
      <c r="L52" s="543">
        <v>1</v>
      </c>
      <c r="M52" s="543">
        <v>0.1</v>
      </c>
      <c r="N52" s="543">
        <v>1</v>
      </c>
      <c r="O52" s="543">
        <v>1</v>
      </c>
      <c r="P52" s="543">
        <v>1</v>
      </c>
      <c r="Q52" s="543">
        <v>1</v>
      </c>
      <c r="R52" s="543">
        <v>1</v>
      </c>
      <c r="S52" s="543">
        <v>1</v>
      </c>
      <c r="T52" s="543"/>
      <c r="U52" s="543">
        <v>1</v>
      </c>
      <c r="V52" s="543">
        <v>0.65</v>
      </c>
      <c r="W52" s="543">
        <v>1</v>
      </c>
      <c r="X52" s="543">
        <v>1</v>
      </c>
      <c r="Y52" s="543">
        <v>1</v>
      </c>
      <c r="Z52" s="543">
        <v>1</v>
      </c>
      <c r="AA52" s="543">
        <v>1</v>
      </c>
      <c r="AB52" s="543">
        <v>1</v>
      </c>
      <c r="AC52" s="543">
        <v>1</v>
      </c>
      <c r="AD52" s="543">
        <v>1</v>
      </c>
      <c r="AE52" s="543">
        <v>1</v>
      </c>
      <c r="AF52" s="543">
        <v>1</v>
      </c>
      <c r="AG52" s="543">
        <v>1</v>
      </c>
      <c r="AH52" s="543">
        <v>1</v>
      </c>
      <c r="AI52" s="543">
        <v>1</v>
      </c>
      <c r="AJ52" s="543">
        <v>0.1</v>
      </c>
      <c r="AK52" s="543">
        <v>1</v>
      </c>
      <c r="AL52" s="543">
        <v>1</v>
      </c>
      <c r="AM52" s="543">
        <v>1</v>
      </c>
      <c r="AN52" s="543">
        <v>1</v>
      </c>
      <c r="AO52" s="543">
        <v>1</v>
      </c>
      <c r="AP52" s="543">
        <v>1</v>
      </c>
      <c r="AQ52" s="543">
        <v>1</v>
      </c>
      <c r="AR52" s="543">
        <v>1</v>
      </c>
      <c r="AS52" s="543">
        <v>1</v>
      </c>
      <c r="AT52" s="543">
        <v>1</v>
      </c>
      <c r="AU52" s="543">
        <v>1</v>
      </c>
      <c r="AV52" s="543">
        <v>1</v>
      </c>
      <c r="AW52" s="543">
        <v>1</v>
      </c>
      <c r="AX52" s="543">
        <v>1</v>
      </c>
      <c r="AY52" s="543">
        <v>1</v>
      </c>
      <c r="AZ52" s="543">
        <v>1</v>
      </c>
      <c r="BA52" s="543">
        <v>1</v>
      </c>
      <c r="BB52" s="543">
        <v>1</v>
      </c>
      <c r="BC52" s="543">
        <v>0.1</v>
      </c>
      <c r="BD52" s="543">
        <v>0.1</v>
      </c>
      <c r="BE52" s="543">
        <v>1</v>
      </c>
      <c r="BF52" s="543">
        <v>1</v>
      </c>
      <c r="BG52" s="543">
        <v>0.65</v>
      </c>
      <c r="BH52" s="543">
        <v>1</v>
      </c>
      <c r="BI52" s="543">
        <v>1</v>
      </c>
      <c r="BJ52" s="543">
        <v>1</v>
      </c>
      <c r="BK52" s="543">
        <v>1</v>
      </c>
      <c r="BL52" s="543">
        <v>1</v>
      </c>
      <c r="BM52" s="543">
        <v>1</v>
      </c>
      <c r="BN52" s="543">
        <v>1</v>
      </c>
      <c r="BO52" s="543">
        <v>1</v>
      </c>
      <c r="BP52" s="543">
        <v>1</v>
      </c>
      <c r="BQ52" s="543">
        <v>1</v>
      </c>
      <c r="BR52" s="543">
        <v>1</v>
      </c>
      <c r="BS52" s="543">
        <v>1</v>
      </c>
      <c r="BT52" s="543">
        <v>1</v>
      </c>
      <c r="BU52" s="543">
        <v>1</v>
      </c>
      <c r="BV52" s="543">
        <v>1</v>
      </c>
      <c r="BW52" s="543">
        <v>0</v>
      </c>
      <c r="BX52" s="543">
        <v>0</v>
      </c>
      <c r="BY52" s="543">
        <v>0</v>
      </c>
      <c r="BZ52" s="543">
        <v>0</v>
      </c>
      <c r="CA52" s="543">
        <v>0</v>
      </c>
      <c r="CB52" s="543">
        <v>0</v>
      </c>
      <c r="CC52" s="543">
        <v>0</v>
      </c>
      <c r="CD52" s="543">
        <v>0</v>
      </c>
      <c r="CE52" s="543">
        <v>0</v>
      </c>
      <c r="CF52" s="543">
        <v>0</v>
      </c>
      <c r="CG52" s="543">
        <v>0</v>
      </c>
      <c r="CH52" s="543">
        <v>0</v>
      </c>
      <c r="CI52" s="543">
        <v>0</v>
      </c>
      <c r="CJ52" s="1020">
        <v>1</v>
      </c>
    </row>
    <row r="53" spans="1:132" x14ac:dyDescent="0.45">
      <c r="A53" s="768" t="s">
        <v>1957</v>
      </c>
      <c r="B53" s="1019">
        <v>1</v>
      </c>
      <c r="C53" s="543">
        <v>1</v>
      </c>
      <c r="D53" s="543">
        <v>10</v>
      </c>
      <c r="E53" s="543">
        <v>10</v>
      </c>
      <c r="F53" s="543">
        <v>10</v>
      </c>
      <c r="G53" s="543">
        <v>1</v>
      </c>
      <c r="H53" s="543">
        <v>1</v>
      </c>
      <c r="I53" s="543">
        <v>1</v>
      </c>
      <c r="J53" s="543">
        <v>1</v>
      </c>
      <c r="K53" s="543">
        <v>1</v>
      </c>
      <c r="L53" s="543">
        <v>1</v>
      </c>
      <c r="M53" s="543">
        <v>0.1</v>
      </c>
      <c r="N53" s="543">
        <v>1</v>
      </c>
      <c r="O53" s="543">
        <v>1</v>
      </c>
      <c r="P53" s="543">
        <v>1</v>
      </c>
      <c r="Q53" s="543">
        <v>1</v>
      </c>
      <c r="R53" s="543">
        <v>1</v>
      </c>
      <c r="S53" s="543">
        <v>1</v>
      </c>
      <c r="T53" s="543"/>
      <c r="U53" s="543">
        <v>2</v>
      </c>
      <c r="V53" s="543">
        <v>1</v>
      </c>
      <c r="W53" s="543">
        <v>1</v>
      </c>
      <c r="X53" s="543">
        <v>1</v>
      </c>
      <c r="Y53" s="543">
        <v>2</v>
      </c>
      <c r="Z53" s="543">
        <v>2</v>
      </c>
      <c r="AA53" s="543">
        <v>0.47</v>
      </c>
      <c r="AB53" s="543">
        <v>0.47</v>
      </c>
      <c r="AC53" s="543">
        <v>0.47</v>
      </c>
      <c r="AD53" s="543">
        <v>0.47</v>
      </c>
      <c r="AE53" s="543">
        <v>5</v>
      </c>
      <c r="AF53" s="543">
        <v>5</v>
      </c>
      <c r="AG53" s="543">
        <v>0.47</v>
      </c>
      <c r="AH53" s="543">
        <v>0.47</v>
      </c>
      <c r="AI53" s="543">
        <v>0.47</v>
      </c>
      <c r="AJ53" s="543">
        <v>0.1</v>
      </c>
      <c r="AK53" s="543">
        <v>0.47</v>
      </c>
      <c r="AL53" s="543">
        <v>0.47</v>
      </c>
      <c r="AM53" s="543">
        <v>0.47</v>
      </c>
      <c r="AN53" s="543">
        <v>0.47</v>
      </c>
      <c r="AO53" s="543">
        <v>0.47</v>
      </c>
      <c r="AP53" s="543">
        <v>0.47</v>
      </c>
      <c r="AQ53" s="543">
        <v>0.47</v>
      </c>
      <c r="AR53" s="543">
        <v>0.47</v>
      </c>
      <c r="AS53" s="543">
        <v>5</v>
      </c>
      <c r="AT53" s="543">
        <v>5</v>
      </c>
      <c r="AU53" s="543">
        <v>5</v>
      </c>
      <c r="AV53" s="543">
        <v>5</v>
      </c>
      <c r="AW53" s="543">
        <v>0.47</v>
      </c>
      <c r="AX53" s="543">
        <v>0.47</v>
      </c>
      <c r="AY53" s="543">
        <v>0.47</v>
      </c>
      <c r="AZ53" s="543">
        <v>0.47</v>
      </c>
      <c r="BA53" s="543">
        <v>0.47</v>
      </c>
      <c r="BB53" s="543">
        <v>0.47</v>
      </c>
      <c r="BC53" s="543">
        <v>0.1</v>
      </c>
      <c r="BD53" s="543">
        <v>0.1</v>
      </c>
      <c r="BE53" s="543">
        <v>1</v>
      </c>
      <c r="BF53" s="543">
        <v>1.5</v>
      </c>
      <c r="BG53" s="543">
        <v>1</v>
      </c>
      <c r="BH53" s="543">
        <v>1</v>
      </c>
      <c r="BI53" s="543">
        <v>1</v>
      </c>
      <c r="BJ53" s="543">
        <v>1</v>
      </c>
      <c r="BK53" s="543">
        <v>1</v>
      </c>
      <c r="BL53" s="543">
        <v>1</v>
      </c>
      <c r="BM53" s="543">
        <v>1.5</v>
      </c>
      <c r="BN53" s="543">
        <v>1.5</v>
      </c>
      <c r="BO53" s="543">
        <v>1</v>
      </c>
      <c r="BP53" s="543">
        <v>1</v>
      </c>
      <c r="BQ53" s="543">
        <v>1</v>
      </c>
      <c r="BR53" s="543">
        <v>1</v>
      </c>
      <c r="BS53" s="543">
        <v>1</v>
      </c>
      <c r="BT53" s="543">
        <v>1</v>
      </c>
      <c r="BU53" s="543">
        <v>1</v>
      </c>
      <c r="BV53" s="543">
        <v>1</v>
      </c>
      <c r="BW53" s="543">
        <v>0</v>
      </c>
      <c r="BX53" s="543">
        <v>0</v>
      </c>
      <c r="BY53" s="543">
        <v>0.2</v>
      </c>
      <c r="BZ53" s="543">
        <v>0.2</v>
      </c>
      <c r="CA53" s="543">
        <v>0.2</v>
      </c>
      <c r="CB53" s="543">
        <v>0.2</v>
      </c>
      <c r="CC53" s="543">
        <v>0.2</v>
      </c>
      <c r="CD53" s="543">
        <v>1</v>
      </c>
      <c r="CE53" s="543">
        <v>1</v>
      </c>
      <c r="CF53" s="543">
        <v>0.2</v>
      </c>
      <c r="CG53" s="543">
        <v>0.2</v>
      </c>
      <c r="CH53" s="543">
        <v>0</v>
      </c>
      <c r="CI53" s="543">
        <v>0</v>
      </c>
      <c r="CJ53" s="1020">
        <v>1</v>
      </c>
    </row>
    <row r="54" spans="1:132" x14ac:dyDescent="0.45">
      <c r="A54" s="755" t="s">
        <v>1956</v>
      </c>
      <c r="B54" s="1022">
        <v>1</v>
      </c>
      <c r="C54" s="1023">
        <v>1</v>
      </c>
      <c r="D54" s="1023">
        <v>1</v>
      </c>
      <c r="E54" s="1023">
        <v>1</v>
      </c>
      <c r="F54" s="1023">
        <v>1</v>
      </c>
      <c r="G54" s="1023">
        <v>1</v>
      </c>
      <c r="H54" s="1023">
        <v>1</v>
      </c>
      <c r="I54" s="1023">
        <v>1</v>
      </c>
      <c r="J54" s="1023">
        <v>1</v>
      </c>
      <c r="K54" s="1023">
        <v>1</v>
      </c>
      <c r="L54" s="1023">
        <v>1</v>
      </c>
      <c r="M54" s="1023">
        <v>1</v>
      </c>
      <c r="N54" s="1023">
        <v>1</v>
      </c>
      <c r="O54" s="1023">
        <v>1</v>
      </c>
      <c r="P54" s="1023">
        <v>1</v>
      </c>
      <c r="Q54" s="1023">
        <v>1</v>
      </c>
      <c r="R54" s="1023">
        <v>1</v>
      </c>
      <c r="S54" s="1023">
        <v>1</v>
      </c>
      <c r="T54" s="1023"/>
      <c r="U54" s="1023">
        <v>1</v>
      </c>
      <c r="V54" s="1023">
        <v>1</v>
      </c>
      <c r="W54" s="1023">
        <v>1</v>
      </c>
      <c r="X54" s="1023">
        <v>1</v>
      </c>
      <c r="Y54" s="1023">
        <v>1</v>
      </c>
      <c r="Z54" s="1023">
        <v>1</v>
      </c>
      <c r="AA54" s="1023">
        <v>1</v>
      </c>
      <c r="AB54" s="1023">
        <v>1</v>
      </c>
      <c r="AC54" s="1023">
        <v>1</v>
      </c>
      <c r="AD54" s="1023">
        <v>1</v>
      </c>
      <c r="AE54" s="1023">
        <v>1</v>
      </c>
      <c r="AF54" s="1023">
        <v>1</v>
      </c>
      <c r="AG54" s="1023">
        <v>1</v>
      </c>
      <c r="AH54" s="1023">
        <v>1</v>
      </c>
      <c r="AI54" s="1023">
        <v>1</v>
      </c>
      <c r="AJ54" s="1023">
        <v>1</v>
      </c>
      <c r="AK54" s="1023">
        <v>1</v>
      </c>
      <c r="AL54" s="1023">
        <v>1</v>
      </c>
      <c r="AM54" s="1023">
        <v>1</v>
      </c>
      <c r="AN54" s="1023">
        <v>1</v>
      </c>
      <c r="AO54" s="1023">
        <v>1</v>
      </c>
      <c r="AP54" s="1023">
        <v>1</v>
      </c>
      <c r="AQ54" s="1023">
        <v>1</v>
      </c>
      <c r="AR54" s="1023">
        <v>1</v>
      </c>
      <c r="AS54" s="1023">
        <v>1</v>
      </c>
      <c r="AT54" s="1023">
        <v>1</v>
      </c>
      <c r="AU54" s="1023">
        <v>1</v>
      </c>
      <c r="AV54" s="1023">
        <v>1</v>
      </c>
      <c r="AW54" s="1023">
        <v>1</v>
      </c>
      <c r="AX54" s="1023">
        <v>1</v>
      </c>
      <c r="AY54" s="1023">
        <v>1</v>
      </c>
      <c r="AZ54" s="1023">
        <v>1</v>
      </c>
      <c r="BA54" s="1023">
        <v>1</v>
      </c>
      <c r="BB54" s="1023">
        <v>1</v>
      </c>
      <c r="BC54" s="1023">
        <v>1</v>
      </c>
      <c r="BD54" s="1023">
        <v>1</v>
      </c>
      <c r="BE54" s="1023">
        <v>1</v>
      </c>
      <c r="BF54" s="1023">
        <v>1</v>
      </c>
      <c r="BG54" s="1023">
        <v>1</v>
      </c>
      <c r="BH54" s="1023">
        <v>1</v>
      </c>
      <c r="BI54" s="1023">
        <v>1</v>
      </c>
      <c r="BJ54" s="1023">
        <v>1</v>
      </c>
      <c r="BK54" s="1023">
        <v>1</v>
      </c>
      <c r="BL54" s="1023">
        <v>1</v>
      </c>
      <c r="BM54" s="1023">
        <v>1</v>
      </c>
      <c r="BN54" s="1023">
        <v>1</v>
      </c>
      <c r="BO54" s="1023">
        <v>1</v>
      </c>
      <c r="BP54" s="1023">
        <v>1</v>
      </c>
      <c r="BQ54" s="1023">
        <v>1</v>
      </c>
      <c r="BR54" s="1023">
        <v>1</v>
      </c>
      <c r="BS54" s="1023">
        <v>1</v>
      </c>
      <c r="BT54" s="1023">
        <v>1</v>
      </c>
      <c r="BU54" s="1023">
        <v>1</v>
      </c>
      <c r="BV54" s="1023">
        <v>1</v>
      </c>
      <c r="BW54" s="1023">
        <v>0</v>
      </c>
      <c r="BX54" s="1023">
        <v>0</v>
      </c>
      <c r="BY54" s="1023">
        <v>0.2</v>
      </c>
      <c r="BZ54" s="1023">
        <v>0.2</v>
      </c>
      <c r="CA54" s="1023">
        <v>0.2</v>
      </c>
      <c r="CB54" s="1023">
        <v>0.2</v>
      </c>
      <c r="CC54" s="1023">
        <v>0.2</v>
      </c>
      <c r="CD54" s="1023">
        <v>0.2</v>
      </c>
      <c r="CE54" s="1023">
        <v>0.2</v>
      </c>
      <c r="CF54" s="1023">
        <v>0.2</v>
      </c>
      <c r="CG54" s="1023">
        <v>0.2</v>
      </c>
      <c r="CH54" s="1023">
        <v>0</v>
      </c>
      <c r="CI54" s="1023">
        <v>0</v>
      </c>
      <c r="CJ54" s="1024">
        <v>1</v>
      </c>
    </row>
    <row r="56" spans="1:132" x14ac:dyDescent="0.45">
      <c r="A56" s="726" t="s">
        <v>3294</v>
      </c>
    </row>
    <row r="57" spans="1:132" ht="168.4" x14ac:dyDescent="0.45">
      <c r="A57" s="734"/>
      <c r="B57" s="1013" t="s">
        <v>3295</v>
      </c>
      <c r="C57" s="1013" t="s">
        <v>3205</v>
      </c>
      <c r="D57" s="1013" t="s">
        <v>3206</v>
      </c>
      <c r="E57" s="1013" t="s">
        <v>3296</v>
      </c>
      <c r="F57" s="1013" t="s">
        <v>3208</v>
      </c>
      <c r="G57" s="1013" t="s">
        <v>3209</v>
      </c>
      <c r="H57" s="1013" t="s">
        <v>3210</v>
      </c>
      <c r="I57" s="1013" t="s">
        <v>3297</v>
      </c>
      <c r="J57" s="1013" t="s">
        <v>3212</v>
      </c>
      <c r="K57" s="1013" t="s">
        <v>3213</v>
      </c>
      <c r="L57" s="1013" t="s">
        <v>3214</v>
      </c>
      <c r="M57" s="1013" t="s">
        <v>3215</v>
      </c>
      <c r="N57" s="1013" t="s">
        <v>3298</v>
      </c>
      <c r="O57" s="1013" t="s">
        <v>3299</v>
      </c>
      <c r="P57" s="1013" t="s">
        <v>3217</v>
      </c>
      <c r="Q57" s="1013" t="s">
        <v>3300</v>
      </c>
      <c r="R57" s="1013" t="s">
        <v>3301</v>
      </c>
      <c r="S57" s="1013" t="s">
        <v>3302</v>
      </c>
      <c r="T57" s="1013" t="s">
        <v>3303</v>
      </c>
      <c r="U57" s="1013" t="s">
        <v>3304</v>
      </c>
      <c r="V57" s="1230" t="s">
        <v>3218</v>
      </c>
      <c r="W57" s="1013" t="s">
        <v>3219</v>
      </c>
      <c r="X57" s="1013" t="s">
        <v>3220</v>
      </c>
      <c r="Y57" s="1013" t="s">
        <v>3221</v>
      </c>
      <c r="Z57" s="1014" t="s">
        <v>3222</v>
      </c>
      <c r="AA57" s="1013" t="s">
        <v>3305</v>
      </c>
      <c r="AB57" s="1013" t="s">
        <v>3224</v>
      </c>
      <c r="AC57" s="1013" t="s">
        <v>3225</v>
      </c>
      <c r="AD57" s="1013" t="s">
        <v>3226</v>
      </c>
      <c r="AE57" s="1013" t="s">
        <v>3227</v>
      </c>
      <c r="AF57" s="1013" t="s">
        <v>3228</v>
      </c>
      <c r="AG57" s="1013" t="s">
        <v>3229</v>
      </c>
      <c r="AH57" s="1230" t="s">
        <v>3230</v>
      </c>
      <c r="AI57" s="1013" t="s">
        <v>3231</v>
      </c>
      <c r="AJ57" s="1013" t="s">
        <v>3232</v>
      </c>
      <c r="AK57" s="1013" t="s">
        <v>3233</v>
      </c>
      <c r="AL57" s="1013" t="s">
        <v>3234</v>
      </c>
      <c r="AM57" s="1013" t="s">
        <v>3235</v>
      </c>
      <c r="AN57" s="1013" t="s">
        <v>3236</v>
      </c>
      <c r="AO57" s="1013" t="s">
        <v>3237</v>
      </c>
      <c r="AP57" s="1013" t="s">
        <v>3238</v>
      </c>
      <c r="AQ57" s="1013" t="s">
        <v>3306</v>
      </c>
      <c r="AR57" s="1014" t="s">
        <v>3307</v>
      </c>
      <c r="AS57" s="1013" t="s">
        <v>3308</v>
      </c>
      <c r="AT57" s="1013" t="s">
        <v>3309</v>
      </c>
      <c r="AU57" s="1013" t="s">
        <v>3240</v>
      </c>
      <c r="AV57" s="1013" t="s">
        <v>3241</v>
      </c>
      <c r="AW57" s="1230" t="s">
        <v>3310</v>
      </c>
      <c r="AX57" s="1013" t="s">
        <v>3311</v>
      </c>
      <c r="AY57" s="1013" t="s">
        <v>3242</v>
      </c>
      <c r="AZ57" s="1014" t="s">
        <v>3243</v>
      </c>
      <c r="BA57" s="1230" t="s">
        <v>3312</v>
      </c>
      <c r="BB57" s="1013" t="s">
        <v>3313</v>
      </c>
      <c r="BC57" s="1013" t="s">
        <v>3244</v>
      </c>
      <c r="BD57" s="1014" t="s">
        <v>3245</v>
      </c>
      <c r="BE57" s="1013" t="s">
        <v>3314</v>
      </c>
      <c r="BF57" s="1013" t="s">
        <v>3315</v>
      </c>
      <c r="BG57" s="1013" t="s">
        <v>3246</v>
      </c>
      <c r="BH57" s="1013" t="s">
        <v>3247</v>
      </c>
      <c r="BI57" s="1230" t="s">
        <v>3316</v>
      </c>
      <c r="BJ57" s="1013" t="s">
        <v>3317</v>
      </c>
      <c r="BK57" s="1013" t="s">
        <v>3248</v>
      </c>
      <c r="BL57" s="1014" t="s">
        <v>3249</v>
      </c>
      <c r="BM57" s="1013" t="s">
        <v>3318</v>
      </c>
      <c r="BN57" s="1013" t="s">
        <v>3319</v>
      </c>
      <c r="BO57" s="1013" t="s">
        <v>3250</v>
      </c>
      <c r="BP57" s="1013" t="s">
        <v>3251</v>
      </c>
      <c r="BQ57" s="1230" t="s">
        <v>3320</v>
      </c>
      <c r="BR57" s="1013" t="s">
        <v>3321</v>
      </c>
      <c r="BS57" s="1013" t="s">
        <v>3252</v>
      </c>
      <c r="BT57" s="1014" t="s">
        <v>3253</v>
      </c>
      <c r="BU57" s="1013" t="s">
        <v>3322</v>
      </c>
      <c r="BV57" s="1013" t="s">
        <v>3323</v>
      </c>
      <c r="BW57" s="1013" t="s">
        <v>3254</v>
      </c>
      <c r="BX57" s="1013" t="s">
        <v>3255</v>
      </c>
      <c r="BY57" s="1230" t="s">
        <v>3324</v>
      </c>
      <c r="BZ57" s="1013" t="s">
        <v>3325</v>
      </c>
      <c r="CA57" s="1013" t="s">
        <v>3326</v>
      </c>
      <c r="CB57" s="1014" t="s">
        <v>3257</v>
      </c>
      <c r="CC57" s="1013" t="s">
        <v>3327</v>
      </c>
      <c r="CD57" s="1013" t="s">
        <v>3328</v>
      </c>
      <c r="CE57" s="1013" t="s">
        <v>3258</v>
      </c>
      <c r="CF57" s="1013" t="s">
        <v>3329</v>
      </c>
      <c r="CG57" s="1013" t="s">
        <v>3330</v>
      </c>
      <c r="CH57" s="1230" t="s">
        <v>3331</v>
      </c>
      <c r="CI57" s="1013" t="s">
        <v>3332</v>
      </c>
      <c r="CJ57" s="1013" t="s">
        <v>3183</v>
      </c>
      <c r="CK57" s="1013" t="s">
        <v>3184</v>
      </c>
      <c r="CL57" s="1013" t="s">
        <v>3185</v>
      </c>
      <c r="CM57" s="1014" t="s">
        <v>3186</v>
      </c>
      <c r="CN57" s="1013" t="s">
        <v>3333</v>
      </c>
      <c r="CO57" s="1013" t="s">
        <v>3334</v>
      </c>
      <c r="CP57" s="1013" t="s">
        <v>3335</v>
      </c>
      <c r="CQ57" s="1013" t="s">
        <v>3336</v>
      </c>
      <c r="CR57" s="1230" t="s">
        <v>3337</v>
      </c>
      <c r="CS57" s="1013" t="s">
        <v>3338</v>
      </c>
      <c r="CT57" s="1013" t="s">
        <v>3339</v>
      </c>
      <c r="CU57" s="1014" t="s">
        <v>3340</v>
      </c>
      <c r="CV57" s="1013" t="s">
        <v>3341</v>
      </c>
      <c r="CW57" s="1013" t="s">
        <v>3342</v>
      </c>
      <c r="CX57" s="1013" t="s">
        <v>3343</v>
      </c>
      <c r="CY57" s="1013" t="s">
        <v>3266</v>
      </c>
      <c r="CZ57" s="1230" t="s">
        <v>3344</v>
      </c>
      <c r="DA57" s="1013" t="s">
        <v>3345</v>
      </c>
      <c r="DB57" s="1013" t="s">
        <v>3346</v>
      </c>
      <c r="DC57" s="1014" t="s">
        <v>3268</v>
      </c>
      <c r="DD57" s="1230" t="s">
        <v>3347</v>
      </c>
      <c r="DE57" s="1013" t="s">
        <v>3348</v>
      </c>
      <c r="DF57" s="1013" t="s">
        <v>3349</v>
      </c>
      <c r="DG57" s="1014" t="s">
        <v>3270</v>
      </c>
      <c r="DH57" s="1013" t="s">
        <v>3350</v>
      </c>
      <c r="DI57" s="1013" t="s">
        <v>3351</v>
      </c>
      <c r="DJ57" s="1013" t="s">
        <v>3352</v>
      </c>
      <c r="DK57" s="1013" t="s">
        <v>3353</v>
      </c>
      <c r="DL57" s="1230" t="s">
        <v>3354</v>
      </c>
      <c r="DM57" s="1013" t="s">
        <v>3355</v>
      </c>
      <c r="DN57" s="1013" t="s">
        <v>3356</v>
      </c>
      <c r="DO57" s="1013" t="s">
        <v>3275</v>
      </c>
      <c r="DP57" s="1013" t="s">
        <v>3276</v>
      </c>
      <c r="DQ57" s="1013" t="s">
        <v>3277</v>
      </c>
      <c r="DR57" s="1013" t="s">
        <v>3278</v>
      </c>
      <c r="DS57" s="1013" t="s">
        <v>3279</v>
      </c>
      <c r="DT57" s="1013" t="s">
        <v>3280</v>
      </c>
      <c r="DU57" s="1013" t="s">
        <v>3281</v>
      </c>
      <c r="DV57" s="1013" t="s">
        <v>3282</v>
      </c>
      <c r="DW57" s="1014" t="s">
        <v>3283</v>
      </c>
      <c r="DX57" s="1013" t="s">
        <v>3357</v>
      </c>
      <c r="DY57" s="1013" t="s">
        <v>3358</v>
      </c>
      <c r="DZ57" s="1013" t="s">
        <v>3284</v>
      </c>
      <c r="EA57" s="1014" t="s">
        <v>3359</v>
      </c>
      <c r="EB57" s="1014" t="s">
        <v>3286</v>
      </c>
    </row>
    <row r="58" spans="1:132" ht="12.75" customHeight="1" x14ac:dyDescent="0.45">
      <c r="A58" s="744" t="s">
        <v>3360</v>
      </c>
      <c r="B58" s="543">
        <v>0.7</v>
      </c>
      <c r="C58" s="543">
        <v>0.82020000000000004</v>
      </c>
      <c r="D58" s="543">
        <v>0.7</v>
      </c>
      <c r="E58" s="543">
        <v>0.7</v>
      </c>
      <c r="F58" s="543">
        <v>0.7</v>
      </c>
      <c r="G58" s="543">
        <v>0.7</v>
      </c>
      <c r="H58" s="543">
        <v>0.7</v>
      </c>
      <c r="I58" s="543">
        <v>0.7</v>
      </c>
      <c r="J58" s="543">
        <v>0.7</v>
      </c>
      <c r="K58" s="543">
        <v>0.7</v>
      </c>
      <c r="L58" s="543">
        <v>0.7</v>
      </c>
      <c r="M58" s="543">
        <v>0.7</v>
      </c>
      <c r="N58" s="543">
        <v>0.7</v>
      </c>
      <c r="O58" s="543">
        <v>0.7</v>
      </c>
      <c r="P58" s="543">
        <v>0.7</v>
      </c>
      <c r="Q58" s="543">
        <v>0.7</v>
      </c>
      <c r="R58" s="543">
        <v>0.7</v>
      </c>
      <c r="S58" s="1397">
        <v>0.7</v>
      </c>
      <c r="T58" s="1397">
        <v>0.7</v>
      </c>
      <c r="U58" s="1397">
        <v>0.7</v>
      </c>
      <c r="V58" s="1019">
        <v>0.7</v>
      </c>
      <c r="W58" s="543">
        <v>0.82020000000000004</v>
      </c>
      <c r="X58" s="543">
        <v>0.7</v>
      </c>
      <c r="Y58" s="543">
        <v>0.7</v>
      </c>
      <c r="Z58" s="1020">
        <v>0.7</v>
      </c>
      <c r="AA58" s="543">
        <v>0.7</v>
      </c>
      <c r="AB58" s="543">
        <v>0.7</v>
      </c>
      <c r="AC58" s="543">
        <v>0.7</v>
      </c>
      <c r="AD58" s="543">
        <v>0.7</v>
      </c>
      <c r="AE58" s="543">
        <v>0.7</v>
      </c>
      <c r="AF58" s="543">
        <v>0.7</v>
      </c>
      <c r="AG58" s="543">
        <v>0.7</v>
      </c>
      <c r="AH58" s="1019">
        <v>0.7</v>
      </c>
      <c r="AI58" s="543">
        <v>0.82020000000000004</v>
      </c>
      <c r="AJ58" s="543">
        <v>0.7</v>
      </c>
      <c r="AK58" s="543">
        <v>0.7</v>
      </c>
      <c r="AL58" s="543">
        <v>0.7</v>
      </c>
      <c r="AM58" s="543">
        <v>0.7</v>
      </c>
      <c r="AN58" s="543">
        <v>0.7</v>
      </c>
      <c r="AO58" s="543">
        <v>0.7</v>
      </c>
      <c r="AP58" s="543">
        <v>0.7</v>
      </c>
      <c r="AQ58" s="543">
        <v>0.7</v>
      </c>
      <c r="AR58" s="1020">
        <v>0.7</v>
      </c>
      <c r="AS58" s="543">
        <v>0.7</v>
      </c>
      <c r="AT58" s="543">
        <v>0.7</v>
      </c>
      <c r="AU58" s="543">
        <v>0.7</v>
      </c>
      <c r="AV58" s="543">
        <v>0.7</v>
      </c>
      <c r="AW58" s="1019">
        <v>0.82020000000000004</v>
      </c>
      <c r="AX58" s="543">
        <v>0.82020000000000004</v>
      </c>
      <c r="AY58" s="543">
        <v>0.82020000000000004</v>
      </c>
      <c r="AZ58" s="1020">
        <v>0.82020000000000004</v>
      </c>
      <c r="BA58" s="1016">
        <v>0.7</v>
      </c>
      <c r="BB58" s="1017">
        <v>0.7</v>
      </c>
      <c r="BC58" s="1017">
        <v>0.7</v>
      </c>
      <c r="BD58" s="1018">
        <v>0.7</v>
      </c>
      <c r="BE58" s="543">
        <v>0.7</v>
      </c>
      <c r="BF58" s="543">
        <v>0.7</v>
      </c>
      <c r="BG58" s="543">
        <v>0.7</v>
      </c>
      <c r="BH58" s="543">
        <v>0.7</v>
      </c>
      <c r="BI58" s="1019">
        <v>0.7</v>
      </c>
      <c r="BJ58" s="543">
        <v>0.7</v>
      </c>
      <c r="BK58" s="543">
        <v>0.7</v>
      </c>
      <c r="BL58" s="1020">
        <v>0.7</v>
      </c>
      <c r="BM58" s="543">
        <v>0.7</v>
      </c>
      <c r="BN58" s="543">
        <v>0.7</v>
      </c>
      <c r="BO58" s="543">
        <v>0.7</v>
      </c>
      <c r="BP58" s="543">
        <v>0.7</v>
      </c>
      <c r="BQ58" s="1019">
        <v>0.7</v>
      </c>
      <c r="BR58" s="543">
        <v>0.7</v>
      </c>
      <c r="BS58" s="543">
        <v>0.7</v>
      </c>
      <c r="BT58" s="1020">
        <v>0.7</v>
      </c>
      <c r="BU58" s="543">
        <v>0.7</v>
      </c>
      <c r="BV58" s="543">
        <v>0.7</v>
      </c>
      <c r="BW58" s="543">
        <v>0.7</v>
      </c>
      <c r="BX58" s="543">
        <v>0.7</v>
      </c>
      <c r="BY58" s="1019">
        <v>0.7</v>
      </c>
      <c r="BZ58" s="543">
        <v>0.7</v>
      </c>
      <c r="CA58" s="543">
        <v>0.7</v>
      </c>
      <c r="CB58" s="1020">
        <v>0.7</v>
      </c>
      <c r="CC58" s="543">
        <v>0.7</v>
      </c>
      <c r="CD58" s="543">
        <v>0.7</v>
      </c>
      <c r="CE58" s="543">
        <v>0.7</v>
      </c>
      <c r="CF58" s="543">
        <v>0.7</v>
      </c>
      <c r="CG58" s="543">
        <v>0.7</v>
      </c>
      <c r="CH58" s="1019">
        <v>0.7</v>
      </c>
      <c r="CI58" s="543">
        <v>0.7</v>
      </c>
      <c r="CJ58" s="543">
        <v>0.7</v>
      </c>
      <c r="CK58" s="543">
        <v>0.7</v>
      </c>
      <c r="CL58" s="543">
        <v>0.7</v>
      </c>
      <c r="CM58" s="1020">
        <v>0.7</v>
      </c>
      <c r="CN58" s="543">
        <v>0.7</v>
      </c>
      <c r="CO58" s="543">
        <v>0.7</v>
      </c>
      <c r="CP58" s="543">
        <v>0.7</v>
      </c>
      <c r="CQ58" s="543">
        <v>0.7</v>
      </c>
      <c r="CR58" s="1019">
        <v>0.7</v>
      </c>
      <c r="CS58" s="543">
        <v>0.7</v>
      </c>
      <c r="CT58" s="543">
        <v>0.7</v>
      </c>
      <c r="CU58" s="1020">
        <v>0.7</v>
      </c>
      <c r="CV58" s="543">
        <v>0.7</v>
      </c>
      <c r="CW58" s="543">
        <v>0.7</v>
      </c>
      <c r="CX58" s="543">
        <v>0.7</v>
      </c>
      <c r="CY58" s="543">
        <v>0.7</v>
      </c>
      <c r="CZ58" s="1019">
        <v>0.7</v>
      </c>
      <c r="DA58" s="543">
        <v>0.7</v>
      </c>
      <c r="DB58" s="543">
        <v>0.7</v>
      </c>
      <c r="DC58" s="1020">
        <v>0.7</v>
      </c>
      <c r="DD58" s="1016">
        <v>0.7</v>
      </c>
      <c r="DE58" s="1017">
        <v>0.7</v>
      </c>
      <c r="DF58" s="1017">
        <v>0.7</v>
      </c>
      <c r="DG58" s="1018">
        <v>0.7</v>
      </c>
      <c r="DH58" s="543">
        <v>0.7</v>
      </c>
      <c r="DI58" s="543">
        <v>0.7</v>
      </c>
      <c r="DJ58" s="543">
        <v>0.7</v>
      </c>
      <c r="DK58" s="543">
        <v>0.7</v>
      </c>
      <c r="DL58" s="1019">
        <v>0.7</v>
      </c>
      <c r="DM58" s="543">
        <v>0.7</v>
      </c>
      <c r="DN58" s="543">
        <v>0.7</v>
      </c>
      <c r="DO58" s="543">
        <v>0.7</v>
      </c>
      <c r="DP58" s="543">
        <v>0.7</v>
      </c>
      <c r="DQ58" s="543">
        <v>0.82020000000000004</v>
      </c>
      <c r="DR58" s="543">
        <v>0.7</v>
      </c>
      <c r="DS58" s="543">
        <v>0.7</v>
      </c>
      <c r="DT58" s="543">
        <v>0.7</v>
      </c>
      <c r="DU58" s="543">
        <v>0.7</v>
      </c>
      <c r="DV58" s="543">
        <v>0.7</v>
      </c>
      <c r="DW58" s="1020">
        <v>0.7</v>
      </c>
      <c r="DX58" s="543">
        <v>0.622</v>
      </c>
      <c r="DY58" s="543">
        <v>0.622</v>
      </c>
      <c r="DZ58" s="543">
        <v>0.622</v>
      </c>
      <c r="EA58" s="1020">
        <v>0.622</v>
      </c>
      <c r="EB58" s="1020">
        <v>0.7</v>
      </c>
    </row>
    <row r="59" spans="1:132" ht="13.5" customHeight="1" x14ac:dyDescent="0.45">
      <c r="A59" s="740" t="s">
        <v>3287</v>
      </c>
      <c r="B59" s="1398">
        <v>26.08</v>
      </c>
      <c r="C59" s="1398">
        <v>26.08</v>
      </c>
      <c r="D59" s="1398">
        <v>26.08</v>
      </c>
      <c r="E59" s="1398">
        <v>23.732800000000001</v>
      </c>
      <c r="F59" s="1398">
        <v>24.775999999999996</v>
      </c>
      <c r="G59" s="1398">
        <v>24.775999999999996</v>
      </c>
      <c r="H59" s="1398">
        <v>26.08</v>
      </c>
      <c r="I59" s="1398">
        <v>26.08</v>
      </c>
      <c r="J59" s="1398">
        <v>27.9056</v>
      </c>
      <c r="K59" s="1398">
        <v>26.08</v>
      </c>
      <c r="L59" s="1398">
        <v>26.08</v>
      </c>
      <c r="M59" s="1398">
        <v>27.9056</v>
      </c>
      <c r="N59" s="1398">
        <v>31.295999999999996</v>
      </c>
      <c r="O59" s="1398">
        <v>31.295999999999996</v>
      </c>
      <c r="P59" s="1398">
        <v>26.08</v>
      </c>
      <c r="Q59" s="1398">
        <v>26.08</v>
      </c>
      <c r="R59" s="1398">
        <v>26.08</v>
      </c>
      <c r="S59" s="1398">
        <v>27.384</v>
      </c>
      <c r="T59" s="1398">
        <v>27.384</v>
      </c>
      <c r="U59" s="1398">
        <v>27.384</v>
      </c>
      <c r="V59" s="1399">
        <v>29.991999999999997</v>
      </c>
      <c r="W59" s="1398">
        <v>29.991999999999997</v>
      </c>
      <c r="X59" s="1398">
        <v>29.991999999999997</v>
      </c>
      <c r="Y59" s="1398">
        <v>29.991999999999997</v>
      </c>
      <c r="Z59" s="1400">
        <v>29.991999999999997</v>
      </c>
      <c r="AA59" s="1398">
        <v>31.295999999999996</v>
      </c>
      <c r="AB59" s="1398">
        <v>31.295999999999996</v>
      </c>
      <c r="AC59" s="1398">
        <v>31.295999999999996</v>
      </c>
      <c r="AD59" s="1398">
        <v>31.295999999999996</v>
      </c>
      <c r="AE59" s="1398">
        <v>31.295999999999996</v>
      </c>
      <c r="AF59" s="1398">
        <v>31.295999999999996</v>
      </c>
      <c r="AG59" s="1398">
        <v>31.295999999999996</v>
      </c>
      <c r="AH59" s="1399">
        <v>36.511999999999993</v>
      </c>
      <c r="AI59" s="1398">
        <v>36.511999999999993</v>
      </c>
      <c r="AJ59" s="1398">
        <v>36.511999999999993</v>
      </c>
      <c r="AK59" s="1398">
        <v>36.511999999999993</v>
      </c>
      <c r="AL59" s="1398">
        <v>36.511999999999993</v>
      </c>
      <c r="AM59" s="1398">
        <v>36.511999999999993</v>
      </c>
      <c r="AN59" s="1398">
        <v>36.511999999999993</v>
      </c>
      <c r="AO59" s="1398">
        <v>36.511999999999993</v>
      </c>
      <c r="AP59" s="1398">
        <v>36.511999999999993</v>
      </c>
      <c r="AQ59" s="1398">
        <v>41.728000000000002</v>
      </c>
      <c r="AR59" s="1400">
        <v>41.728000000000002</v>
      </c>
      <c r="AS59" s="1398">
        <v>94.773684757770809</v>
      </c>
      <c r="AT59" s="1398">
        <v>94.973846757323571</v>
      </c>
      <c r="AU59" s="1398">
        <v>44968.68253176687</v>
      </c>
      <c r="AV59" s="1398">
        <v>36.530103028864367</v>
      </c>
      <c r="AW59" s="1399">
        <v>94.773684757770809</v>
      </c>
      <c r="AX59" s="1398">
        <v>94.973846757323571</v>
      </c>
      <c r="AY59" s="1398">
        <v>44968.68253176687</v>
      </c>
      <c r="AZ59" s="1400">
        <v>36.530103028864367</v>
      </c>
      <c r="BA59" s="1399">
        <v>94.773684757770809</v>
      </c>
      <c r="BB59" s="1398">
        <v>94.973846757323571</v>
      </c>
      <c r="BC59" s="1398">
        <v>44968.68253176687</v>
      </c>
      <c r="BD59" s="1400">
        <v>36.530103028864367</v>
      </c>
      <c r="BE59" s="1398">
        <v>94.773684757770809</v>
      </c>
      <c r="BF59" s="1398">
        <v>94.973846757323571</v>
      </c>
      <c r="BG59" s="1398">
        <v>44968.68253176687</v>
      </c>
      <c r="BH59" s="1398">
        <v>36.530103028864367</v>
      </c>
      <c r="BI59" s="1399">
        <v>94.773684757770809</v>
      </c>
      <c r="BJ59" s="1398">
        <v>94.973846757323571</v>
      </c>
      <c r="BK59" s="1398">
        <v>44968.68253176687</v>
      </c>
      <c r="BL59" s="1400">
        <v>36.530103028864367</v>
      </c>
      <c r="BM59" s="1398">
        <v>94.773684757770809</v>
      </c>
      <c r="BN59" s="1398">
        <v>94.973846757323571</v>
      </c>
      <c r="BO59" s="1398">
        <v>44968.68253176687</v>
      </c>
      <c r="BP59" s="1398">
        <v>36.530103028864367</v>
      </c>
      <c r="BQ59" s="1399">
        <v>94.773684757770809</v>
      </c>
      <c r="BR59" s="1398">
        <v>94.973846757323571</v>
      </c>
      <c r="BS59" s="1398">
        <v>44968.68253176687</v>
      </c>
      <c r="BT59" s="1400">
        <v>36.530103028864367</v>
      </c>
      <c r="BU59" s="1398">
        <v>80.949209698698297</v>
      </c>
      <c r="BV59" s="1398">
        <v>95.048142508759781</v>
      </c>
      <c r="BW59" s="1398">
        <v>545.72017067296076</v>
      </c>
      <c r="BX59" s="1398">
        <v>27.151230867269255</v>
      </c>
      <c r="BY59" s="1399">
        <v>80.949209698698311</v>
      </c>
      <c r="BZ59" s="1398">
        <v>95.048142508759781</v>
      </c>
      <c r="CA59" s="1398">
        <v>545.72017067296076</v>
      </c>
      <c r="CB59" s="1400">
        <v>27.151230867269255</v>
      </c>
      <c r="CC59" s="1398">
        <v>83.811228773530601</v>
      </c>
      <c r="CD59" s="1398">
        <v>96.535499801181913</v>
      </c>
      <c r="CE59" s="1398">
        <v>635.85244616542775</v>
      </c>
      <c r="CF59" s="1398">
        <v>31.778149735845446</v>
      </c>
      <c r="CG59" s="1398">
        <v>31.778149735845446</v>
      </c>
      <c r="CH59" s="1399">
        <v>41.728000000000002</v>
      </c>
      <c r="CI59" s="1398">
        <v>41.728000000000002</v>
      </c>
      <c r="CJ59" s="1398">
        <v>41.728000000000002</v>
      </c>
      <c r="CK59" s="1398">
        <v>41.728000000000002</v>
      </c>
      <c r="CL59" s="1398">
        <v>41.728000000000002</v>
      </c>
      <c r="CM59" s="1400">
        <v>41.728000000000002</v>
      </c>
      <c r="CN59" s="1398">
        <v>92.331016968373063</v>
      </c>
      <c r="CO59" s="1398">
        <v>92.524868776943137</v>
      </c>
      <c r="CP59" s="1398">
        <v>44069.308881131525</v>
      </c>
      <c r="CQ59" s="1398">
        <v>35.316899972580494</v>
      </c>
      <c r="CR59" s="1399">
        <v>92.331016968373063</v>
      </c>
      <c r="CS59" s="1398">
        <v>92.524868776943137</v>
      </c>
      <c r="CT59" s="1398">
        <v>44069.308881131525</v>
      </c>
      <c r="CU59" s="1400">
        <v>35.316899972580494</v>
      </c>
      <c r="CV59" s="1398">
        <v>92.331016968373063</v>
      </c>
      <c r="CW59" s="1398">
        <v>92.524868776943137</v>
      </c>
      <c r="CX59" s="1398">
        <v>44069.308881131525</v>
      </c>
      <c r="CY59" s="1398">
        <v>35.316899972580494</v>
      </c>
      <c r="CZ59" s="1399">
        <v>92.331016968373063</v>
      </c>
      <c r="DA59" s="1398">
        <v>92.524868776943137</v>
      </c>
      <c r="DB59" s="1398">
        <v>44069.308881131525</v>
      </c>
      <c r="DC59" s="1400">
        <v>35.316899972580494</v>
      </c>
      <c r="DD59" s="1399">
        <v>92.331016968373063</v>
      </c>
      <c r="DE59" s="1398">
        <v>92.524868776943137</v>
      </c>
      <c r="DF59" s="1398">
        <v>44069.308881131525</v>
      </c>
      <c r="DG59" s="1400">
        <v>35.316899972580494</v>
      </c>
      <c r="DH59" s="1398">
        <v>92.331016968373063</v>
      </c>
      <c r="DI59" s="1398">
        <v>92.524868776943137</v>
      </c>
      <c r="DJ59" s="1398">
        <v>44069.308881131525</v>
      </c>
      <c r="DK59" s="1398">
        <v>35.316899972580494</v>
      </c>
      <c r="DL59" s="1399">
        <v>94.212768640657842</v>
      </c>
      <c r="DM59" s="1398">
        <v>54.784907235107589</v>
      </c>
      <c r="DN59" s="1398">
        <v>54.784907235107589</v>
      </c>
      <c r="DO59" s="1398">
        <v>42.400788405797101</v>
      </c>
      <c r="DP59" s="1398">
        <v>39.717194202898547</v>
      </c>
      <c r="DQ59" s="1398">
        <v>39.717194202898547</v>
      </c>
      <c r="DR59" s="1398">
        <v>39.717194202898547</v>
      </c>
      <c r="DS59" s="1398">
        <v>39.717194202898547</v>
      </c>
      <c r="DT59" s="1398">
        <v>39.717194202898547</v>
      </c>
      <c r="DU59" s="1398">
        <v>39.717194202898547</v>
      </c>
      <c r="DV59" s="1398">
        <v>39.717194202898547</v>
      </c>
      <c r="DW59" s="1400">
        <v>39.717194202898547</v>
      </c>
      <c r="DX59" s="1398">
        <v>99.605548860850234</v>
      </c>
      <c r="DY59" s="1398">
        <v>113.8496951716602</v>
      </c>
      <c r="DZ59" s="1398">
        <v>796.12081537014774</v>
      </c>
      <c r="EA59" s="1400">
        <v>46.199372827129785</v>
      </c>
      <c r="EB59" s="1400">
        <v>32.599999999999994</v>
      </c>
    </row>
    <row r="60" spans="1:132" x14ac:dyDescent="0.45">
      <c r="A60" s="744" t="s">
        <v>3361</v>
      </c>
      <c r="B60" s="7">
        <v>4301.8987730061353</v>
      </c>
      <c r="C60" s="7">
        <v>4301.8987730061353</v>
      </c>
      <c r="D60" s="7">
        <v>4301.8987730061353</v>
      </c>
      <c r="E60" s="7">
        <v>4727.361289017731</v>
      </c>
      <c r="F60" s="7">
        <v>4528.3144979011959</v>
      </c>
      <c r="G60" s="7">
        <v>4528.3144979011959</v>
      </c>
      <c r="H60" s="7">
        <v>4301.8987730061353</v>
      </c>
      <c r="I60" s="7">
        <v>4301.8987730061353</v>
      </c>
      <c r="J60" s="7">
        <v>4020.466142996388</v>
      </c>
      <c r="K60" s="7">
        <v>4301.8987730061353</v>
      </c>
      <c r="L60" s="7">
        <v>4301.8987730061353</v>
      </c>
      <c r="M60" s="7">
        <v>4020.466142996388</v>
      </c>
      <c r="N60" s="7">
        <v>3584.9156441717796</v>
      </c>
      <c r="O60" s="7">
        <v>3584.9156441717796</v>
      </c>
      <c r="P60" s="7">
        <v>4301.8987730061353</v>
      </c>
      <c r="Q60" s="7">
        <v>4301.8987730061353</v>
      </c>
      <c r="R60" s="7">
        <v>4301.8987730061353</v>
      </c>
      <c r="S60" s="7">
        <v>4097.0464504820338</v>
      </c>
      <c r="T60" s="7">
        <v>4097.0464504820338</v>
      </c>
      <c r="U60" s="7">
        <v>4097.0464504820338</v>
      </c>
      <c r="V60" s="879">
        <v>3740.7815417444658</v>
      </c>
      <c r="W60" s="7">
        <v>3740.7815417444658</v>
      </c>
      <c r="X60" s="7">
        <v>3740.7815417444658</v>
      </c>
      <c r="Y60" s="7">
        <v>3740.7815417444658</v>
      </c>
      <c r="Z60" s="877">
        <v>3740.7815417444658</v>
      </c>
      <c r="AA60" s="7">
        <v>3584.9156441717796</v>
      </c>
      <c r="AB60" s="7">
        <v>3584.9156441717796</v>
      </c>
      <c r="AC60" s="7">
        <v>3584.9156441717796</v>
      </c>
      <c r="AD60" s="7">
        <v>3584.9156441717796</v>
      </c>
      <c r="AE60" s="7">
        <v>3584.9156441717796</v>
      </c>
      <c r="AF60" s="7">
        <v>3584.9156441717796</v>
      </c>
      <c r="AG60" s="7">
        <v>3584.9156441717796</v>
      </c>
      <c r="AH60" s="879">
        <v>3072.7848378615258</v>
      </c>
      <c r="AI60" s="7">
        <v>3072.7848378615258</v>
      </c>
      <c r="AJ60" s="7">
        <v>3072.7848378615258</v>
      </c>
      <c r="AK60" s="7">
        <v>3072.7848378615258</v>
      </c>
      <c r="AL60" s="7">
        <v>3072.7848378615258</v>
      </c>
      <c r="AM60" s="7">
        <v>3072.7848378615258</v>
      </c>
      <c r="AN60" s="7">
        <v>3072.7848378615258</v>
      </c>
      <c r="AO60" s="7">
        <v>3072.7848378615258</v>
      </c>
      <c r="AP60" s="7">
        <v>3072.7848378615258</v>
      </c>
      <c r="AQ60" s="7">
        <v>2688.6867331288345</v>
      </c>
      <c r="AR60" s="877">
        <v>2688.6867331288345</v>
      </c>
      <c r="AS60" s="7">
        <v>1183.8045580558783</v>
      </c>
      <c r="AT60" s="7">
        <v>1181.3096323946529</v>
      </c>
      <c r="AU60" s="7">
        <v>2.494925661225321</v>
      </c>
      <c r="AV60" s="7">
        <v>3071.26207422273</v>
      </c>
      <c r="AW60" s="879">
        <v>1183.8045580558783</v>
      </c>
      <c r="AX60" s="7">
        <v>1181.3096323946529</v>
      </c>
      <c r="AY60" s="7">
        <v>2.494925661225321</v>
      </c>
      <c r="AZ60" s="877">
        <v>3071.26207422273</v>
      </c>
      <c r="BA60" s="879">
        <v>1183.8045580558783</v>
      </c>
      <c r="BB60" s="7">
        <v>1181.3096323946529</v>
      </c>
      <c r="BC60" s="7">
        <v>2.494925661225321</v>
      </c>
      <c r="BD60" s="877">
        <v>3071.26207422273</v>
      </c>
      <c r="BE60" s="7">
        <v>1183.8045580558783</v>
      </c>
      <c r="BF60" s="7">
        <v>1181.3096323946529</v>
      </c>
      <c r="BG60" s="7">
        <v>2.494925661225321</v>
      </c>
      <c r="BH60" s="7">
        <v>3071.26207422273</v>
      </c>
      <c r="BI60" s="879">
        <v>1183.8045580558783</v>
      </c>
      <c r="BJ60" s="7">
        <v>1181.3096323946529</v>
      </c>
      <c r="BK60" s="7">
        <v>2.494925661225321</v>
      </c>
      <c r="BL60" s="877">
        <v>3071.26207422273</v>
      </c>
      <c r="BM60" s="7">
        <v>1183.8045580558783</v>
      </c>
      <c r="BN60" s="7">
        <v>1181.3096323946529</v>
      </c>
      <c r="BO60" s="7">
        <v>2.494925661225321</v>
      </c>
      <c r="BP60" s="7">
        <v>3071.26207422273</v>
      </c>
      <c r="BQ60" s="879">
        <v>1183.8045580558783</v>
      </c>
      <c r="BR60" s="7">
        <v>1181.3096323946529</v>
      </c>
      <c r="BS60" s="7">
        <v>2.494925661225321</v>
      </c>
      <c r="BT60" s="877">
        <v>3071.26207422273</v>
      </c>
      <c r="BU60" s="7">
        <v>1385.9742475262749</v>
      </c>
      <c r="BV60" s="7">
        <v>1180.3862446828994</v>
      </c>
      <c r="BW60" s="7">
        <v>205.58800284337548</v>
      </c>
      <c r="BX60" s="7">
        <v>4132.1706757408565</v>
      </c>
      <c r="BY60" s="879">
        <v>1385.9742475262749</v>
      </c>
      <c r="BZ60" s="7">
        <v>1180.3862446828994</v>
      </c>
      <c r="CA60" s="7">
        <v>205.58800284337548</v>
      </c>
      <c r="CB60" s="877">
        <v>4132.1706757408565</v>
      </c>
      <c r="CC60" s="7">
        <v>1338.6454493247229</v>
      </c>
      <c r="CD60" s="7">
        <v>1162.1996077201268</v>
      </c>
      <c r="CE60" s="7">
        <v>176.44584160459604</v>
      </c>
      <c r="CF60" s="7">
        <v>3530.5239899932499</v>
      </c>
      <c r="CG60" s="7">
        <v>3530.5239899932499</v>
      </c>
      <c r="CH60" s="879">
        <v>2688.6867331288345</v>
      </c>
      <c r="CI60" s="7">
        <v>2688.6867331288345</v>
      </c>
      <c r="CJ60" s="7">
        <v>2688.6867331288345</v>
      </c>
      <c r="CK60" s="7">
        <v>2688.6867331288345</v>
      </c>
      <c r="CL60" s="7">
        <v>2688.6867331288345</v>
      </c>
      <c r="CM60" s="877">
        <v>2688.6867331288345</v>
      </c>
      <c r="CN60" s="7">
        <v>1215.1227581347946</v>
      </c>
      <c r="CO60" s="7">
        <v>1212.5769156233403</v>
      </c>
      <c r="CP60" s="7">
        <v>2.5458425114544099</v>
      </c>
      <c r="CQ60" s="7">
        <v>3176.7658001439922</v>
      </c>
      <c r="CR60" s="879">
        <v>1215.1227581347946</v>
      </c>
      <c r="CS60" s="7">
        <v>1212.5769156233403</v>
      </c>
      <c r="CT60" s="7">
        <v>2.5458425114544099</v>
      </c>
      <c r="CU60" s="877">
        <v>3176.7658001439922</v>
      </c>
      <c r="CV60" s="7">
        <v>1215.1227581347946</v>
      </c>
      <c r="CW60" s="7">
        <v>1212.5769156233403</v>
      </c>
      <c r="CX60" s="7">
        <v>2.5458425114544099</v>
      </c>
      <c r="CY60" s="7">
        <v>3176.7658001439922</v>
      </c>
      <c r="CZ60" s="879">
        <v>1215.1227581347946</v>
      </c>
      <c r="DA60" s="7">
        <v>1212.5769156233403</v>
      </c>
      <c r="DB60" s="7">
        <v>2.5458425114544099</v>
      </c>
      <c r="DC60" s="877">
        <v>3176.7658001439922</v>
      </c>
      <c r="DD60" s="7">
        <v>1215.1227581347946</v>
      </c>
      <c r="DE60" s="7">
        <v>1212.5769156233403</v>
      </c>
      <c r="DF60" s="7">
        <v>2.5458425114544099</v>
      </c>
      <c r="DG60" s="877">
        <v>3176.7658001439922</v>
      </c>
      <c r="DH60" s="7">
        <v>1215.1227581347946</v>
      </c>
      <c r="DI60" s="7">
        <v>1212.5769156233403</v>
      </c>
      <c r="DJ60" s="7">
        <v>2.5458425114544099</v>
      </c>
      <c r="DK60" s="7">
        <v>3176.7658001439922</v>
      </c>
      <c r="DL60" s="879">
        <v>1190.8525948104077</v>
      </c>
      <c r="DM60" s="7">
        <v>2047.8910280622597</v>
      </c>
      <c r="DN60" s="7">
        <v>2047.8910280622597</v>
      </c>
      <c r="DO60" s="7">
        <v>2646.024383467849</v>
      </c>
      <c r="DP60" s="7">
        <v>2824.8098147832447</v>
      </c>
      <c r="DQ60" s="7">
        <v>2824.8098147832447</v>
      </c>
      <c r="DR60" s="7">
        <v>2824.8098147832447</v>
      </c>
      <c r="DS60" s="7">
        <v>2824.8098147832447</v>
      </c>
      <c r="DT60" s="7">
        <v>2824.8098147832447</v>
      </c>
      <c r="DU60" s="7">
        <v>2824.8098147832447</v>
      </c>
      <c r="DV60" s="7">
        <v>2824.8098147832447</v>
      </c>
      <c r="DW60" s="877">
        <v>2824.8098147832447</v>
      </c>
      <c r="DX60" s="7">
        <v>1126.3782116871346</v>
      </c>
      <c r="DY60" s="7">
        <v>985.4529678875025</v>
      </c>
      <c r="DZ60" s="7">
        <v>140.92524379963214</v>
      </c>
      <c r="EA60" s="877">
        <v>2428.4641356455013</v>
      </c>
      <c r="EB60" s="877">
        <v>3441.5190184049088</v>
      </c>
    </row>
    <row r="61" spans="1:132" x14ac:dyDescent="0.45">
      <c r="A61" s="744" t="s">
        <v>3362</v>
      </c>
      <c r="B61" s="7">
        <v>4015.0759202453987</v>
      </c>
      <c r="C61" s="7">
        <v>4015.0759202453987</v>
      </c>
      <c r="D61" s="7">
        <v>4015.0759202453992</v>
      </c>
      <c r="E61" s="7">
        <v>4727.361289017731</v>
      </c>
      <c r="F61" s="7">
        <v>4528.3144979011959</v>
      </c>
      <c r="G61" s="7">
        <v>4528.3144979011959</v>
      </c>
      <c r="H61" s="7">
        <v>4301.8987730061353</v>
      </c>
      <c r="I61" s="7">
        <v>4301.8987730061353</v>
      </c>
      <c r="J61" s="7">
        <v>4020.466142996388</v>
      </c>
      <c r="K61" s="7">
        <v>1005.196106844904</v>
      </c>
      <c r="L61" s="7">
        <v>0</v>
      </c>
      <c r="M61" s="7">
        <v>939.43561387374211</v>
      </c>
      <c r="N61" s="7">
        <v>3584.9156441717796</v>
      </c>
      <c r="O61" s="7">
        <v>3584.9156441717796</v>
      </c>
      <c r="P61" s="7">
        <v>0</v>
      </c>
      <c r="Q61" s="7">
        <v>0</v>
      </c>
      <c r="R61" s="7">
        <v>0</v>
      </c>
      <c r="S61" s="7">
        <v>3376.6034260802826</v>
      </c>
      <c r="T61" s="7">
        <v>3376.6034260802826</v>
      </c>
      <c r="U61" s="7">
        <v>2877.3029158753284</v>
      </c>
      <c r="V61" s="879">
        <v>3491.3703654307819</v>
      </c>
      <c r="W61" s="7">
        <v>3491.3703654307819</v>
      </c>
      <c r="X61" s="7">
        <v>3491.3703654307824</v>
      </c>
      <c r="Y61" s="7">
        <v>3740.7815417444658</v>
      </c>
      <c r="Z61" s="877">
        <v>874.08357116948196</v>
      </c>
      <c r="AA61" s="7">
        <v>3584.9156441717796</v>
      </c>
      <c r="AB61" s="7">
        <v>3584.9156441717796</v>
      </c>
      <c r="AC61" s="7">
        <v>3584.9156441717796</v>
      </c>
      <c r="AD61" s="7">
        <v>2912.6399883395848</v>
      </c>
      <c r="AE61" s="7">
        <v>0</v>
      </c>
      <c r="AF61" s="7">
        <v>3364.3087131878942</v>
      </c>
      <c r="AG61" s="7">
        <v>3364.3087131878942</v>
      </c>
      <c r="AH61" s="879">
        <v>2867.9113716038569</v>
      </c>
      <c r="AI61" s="7">
        <v>2867.9113716038569</v>
      </c>
      <c r="AJ61" s="7">
        <v>0</v>
      </c>
      <c r="AK61" s="7">
        <v>2867.9113716038569</v>
      </c>
      <c r="AL61" s="7">
        <v>3072.7848378615258</v>
      </c>
      <c r="AM61" s="7">
        <v>3072.7848378615258</v>
      </c>
      <c r="AN61" s="7">
        <v>3072.7848378615258</v>
      </c>
      <c r="AO61" s="7">
        <v>3072.7848378615258</v>
      </c>
      <c r="AP61" s="7">
        <v>717.9972191749315</v>
      </c>
      <c r="AQ61" s="7">
        <v>2688.6867331288345</v>
      </c>
      <c r="AR61" s="877">
        <v>2688.6867331288345</v>
      </c>
      <c r="AS61" s="7">
        <v>948.73126292488485</v>
      </c>
      <c r="AT61" s="7">
        <v>946.40268280857777</v>
      </c>
      <c r="AU61" s="7">
        <v>2.3285801163071276</v>
      </c>
      <c r="AV61" s="7">
        <v>2866.4901360190684</v>
      </c>
      <c r="AW61" s="879">
        <v>948.73126292488485</v>
      </c>
      <c r="AX61" s="7">
        <v>946.40268280857777</v>
      </c>
      <c r="AY61" s="7">
        <v>2.3285801163071276</v>
      </c>
      <c r="AZ61" s="877">
        <v>2866.4901360190684</v>
      </c>
      <c r="BA61" s="879">
        <v>946.40268280857777</v>
      </c>
      <c r="BB61" s="7">
        <v>946.40268280857777</v>
      </c>
      <c r="BC61" s="7">
        <v>0</v>
      </c>
      <c r="BD61" s="877">
        <v>0</v>
      </c>
      <c r="BE61" s="7">
        <v>948.40148504843182</v>
      </c>
      <c r="BF61" s="7">
        <v>946.40268280857777</v>
      </c>
      <c r="BG61" s="7">
        <v>2.328580116307128</v>
      </c>
      <c r="BH61" s="7">
        <v>2866.4901360190688</v>
      </c>
      <c r="BI61" s="879">
        <v>948.40148504843182</v>
      </c>
      <c r="BJ61" s="7">
        <v>946.40268280857777</v>
      </c>
      <c r="BK61" s="7">
        <v>2.494925661225321</v>
      </c>
      <c r="BL61" s="877">
        <v>3071.26207422273</v>
      </c>
      <c r="BM61" s="7">
        <v>948.40148504843182</v>
      </c>
      <c r="BN61" s="7">
        <v>946.40268280857777</v>
      </c>
      <c r="BO61" s="7">
        <v>2.494925661225321</v>
      </c>
      <c r="BP61" s="7">
        <v>3071.26207422273</v>
      </c>
      <c r="BQ61" s="879">
        <v>948.40148504843182</v>
      </c>
      <c r="BR61" s="7">
        <v>946.40268280857777</v>
      </c>
      <c r="BS61" s="7">
        <v>2.494925661225321</v>
      </c>
      <c r="BT61" s="877">
        <v>3071.26207422273</v>
      </c>
      <c r="BU61" s="7">
        <v>1110.3691277819498</v>
      </c>
      <c r="BV61" s="7">
        <v>945.66291350194433</v>
      </c>
      <c r="BW61" s="7">
        <v>205.58800284337548</v>
      </c>
      <c r="BX61" s="7">
        <v>4132.1706757408565</v>
      </c>
      <c r="BY61" s="879">
        <v>1042.556005916786</v>
      </c>
      <c r="BZ61" s="7">
        <v>994.51762310570689</v>
      </c>
      <c r="CA61" s="7">
        <v>48.038382811079074</v>
      </c>
      <c r="CB61" s="877">
        <v>965.53686993681879</v>
      </c>
      <c r="CC61" s="7">
        <v>1155.6405726942562</v>
      </c>
      <c r="CD61" s="7">
        <v>979.19473108966019</v>
      </c>
      <c r="CE61" s="7">
        <v>176.44584160459604</v>
      </c>
      <c r="CF61" s="7">
        <v>3530.5239899932499</v>
      </c>
      <c r="CG61" s="7">
        <v>3530.5239899932499</v>
      </c>
      <c r="CH61" s="879">
        <v>2688.6867331288345</v>
      </c>
      <c r="CI61" s="7">
        <v>2688.6867331288345</v>
      </c>
      <c r="CJ61" s="7">
        <v>2688.6867331288345</v>
      </c>
      <c r="CK61" s="7">
        <v>2184.4799912546882</v>
      </c>
      <c r="CL61" s="7">
        <v>0</v>
      </c>
      <c r="CM61" s="877">
        <v>2523.2315348909206</v>
      </c>
      <c r="CN61" s="7">
        <v>1024.1852570596443</v>
      </c>
      <c r="CO61" s="7">
        <v>1021.6394145481898</v>
      </c>
      <c r="CP61" s="7">
        <v>2.5458425114544099</v>
      </c>
      <c r="CQ61" s="7">
        <v>3176.7658001439922</v>
      </c>
      <c r="CR61" s="879">
        <v>1024.1852570596443</v>
      </c>
      <c r="CS61" s="7">
        <v>1021.6394145481898</v>
      </c>
      <c r="CT61" s="7">
        <v>2.5458425114544099</v>
      </c>
      <c r="CU61" s="877">
        <v>3176.7658001439922</v>
      </c>
      <c r="CV61" s="7">
        <v>1024.1852570596443</v>
      </c>
      <c r="CW61" s="7">
        <v>1021.6394145481898</v>
      </c>
      <c r="CX61" s="7">
        <v>2.5458425114544099</v>
      </c>
      <c r="CY61" s="7">
        <v>3176.7658001439922</v>
      </c>
      <c r="CZ61" s="879">
        <v>1023.7078377522148</v>
      </c>
      <c r="DA61" s="7">
        <v>1021.6394145481898</v>
      </c>
      <c r="DB61" s="7">
        <v>2.0684232040249588</v>
      </c>
      <c r="DC61" s="877">
        <v>2581.0300775505834</v>
      </c>
      <c r="DD61" s="7">
        <v>1021.6394145481898</v>
      </c>
      <c r="DE61" s="7">
        <v>1021.6394145481898</v>
      </c>
      <c r="DF61" s="7">
        <v>0</v>
      </c>
      <c r="DG61" s="877">
        <v>0</v>
      </c>
      <c r="DH61" s="7">
        <v>1024.0285921450504</v>
      </c>
      <c r="DI61" s="7">
        <v>1021.6394145481898</v>
      </c>
      <c r="DJ61" s="7">
        <v>2.3891775968605775</v>
      </c>
      <c r="DK61" s="7">
        <v>2981.2754111961531</v>
      </c>
      <c r="DL61" s="879">
        <v>954.04799863818289</v>
      </c>
      <c r="DM61" s="7">
        <v>2047.8910280622597</v>
      </c>
      <c r="DN61" s="7">
        <v>2047.8910280622597</v>
      </c>
      <c r="DO61" s="7">
        <v>2646.024383467849</v>
      </c>
      <c r="DP61" s="7">
        <v>2636.469723038947</v>
      </c>
      <c r="DQ61" s="7">
        <v>2636.469723038947</v>
      </c>
      <c r="DR61" s="7">
        <v>2824.8098147832447</v>
      </c>
      <c r="DS61" s="7">
        <v>0</v>
      </c>
      <c r="DT61" s="7">
        <v>2824.8098147832447</v>
      </c>
      <c r="DU61" s="7">
        <v>2824.8098147832447</v>
      </c>
      <c r="DV61" s="7">
        <v>2824.8098147832447</v>
      </c>
      <c r="DW61" s="877">
        <v>2824.8098147832447</v>
      </c>
      <c r="DX61" s="7">
        <v>971.20461016858349</v>
      </c>
      <c r="DY61" s="7">
        <v>830.27936636895129</v>
      </c>
      <c r="DZ61" s="7">
        <v>140.92524379963214</v>
      </c>
      <c r="EA61" s="877">
        <v>2428.4641356455013</v>
      </c>
      <c r="EB61" s="877">
        <v>3441.5190184049088</v>
      </c>
    </row>
    <row r="62" spans="1:132" x14ac:dyDescent="0.45">
      <c r="A62" s="744" t="s">
        <v>3363</v>
      </c>
      <c r="B62" s="7">
        <v>0</v>
      </c>
      <c r="C62" s="7">
        <v>0</v>
      </c>
      <c r="D62" s="7">
        <v>0</v>
      </c>
      <c r="E62" s="7">
        <v>0</v>
      </c>
      <c r="F62" s="7">
        <v>0</v>
      </c>
      <c r="G62" s="7">
        <v>0</v>
      </c>
      <c r="H62" s="7">
        <v>0</v>
      </c>
      <c r="I62" s="7">
        <v>0</v>
      </c>
      <c r="J62" s="7">
        <v>0</v>
      </c>
      <c r="K62" s="7">
        <v>0</v>
      </c>
      <c r="L62" s="7">
        <v>0</v>
      </c>
      <c r="M62" s="7">
        <v>0</v>
      </c>
      <c r="N62" s="7">
        <v>0</v>
      </c>
      <c r="O62" s="7">
        <v>0</v>
      </c>
      <c r="P62" s="7">
        <v>0</v>
      </c>
      <c r="Q62" s="7">
        <v>0</v>
      </c>
      <c r="R62" s="7">
        <v>0</v>
      </c>
      <c r="S62" s="7">
        <v>0</v>
      </c>
      <c r="T62" s="7">
        <v>0</v>
      </c>
      <c r="U62" s="7">
        <v>0</v>
      </c>
      <c r="V62" s="879">
        <v>0</v>
      </c>
      <c r="W62" s="7">
        <v>0</v>
      </c>
      <c r="X62" s="7">
        <v>0</v>
      </c>
      <c r="Y62" s="7">
        <v>0</v>
      </c>
      <c r="Z62" s="877">
        <v>0</v>
      </c>
      <c r="AA62" s="7">
        <v>0</v>
      </c>
      <c r="AB62" s="7">
        <v>0</v>
      </c>
      <c r="AC62" s="7">
        <v>0</v>
      </c>
      <c r="AD62" s="7">
        <v>0</v>
      </c>
      <c r="AE62" s="7">
        <v>0</v>
      </c>
      <c r="AF62" s="7">
        <v>0</v>
      </c>
      <c r="AG62" s="7">
        <v>0</v>
      </c>
      <c r="AH62" s="879">
        <v>0</v>
      </c>
      <c r="AI62" s="7">
        <v>0</v>
      </c>
      <c r="AJ62" s="7">
        <v>0</v>
      </c>
      <c r="AK62" s="7">
        <v>0</v>
      </c>
      <c r="AL62" s="7">
        <v>0</v>
      </c>
      <c r="AM62" s="7">
        <v>0</v>
      </c>
      <c r="AN62" s="7">
        <v>0</v>
      </c>
      <c r="AO62" s="7">
        <v>0</v>
      </c>
      <c r="AP62" s="7">
        <v>0</v>
      </c>
      <c r="AQ62" s="7">
        <v>0</v>
      </c>
      <c r="AR62" s="877">
        <v>0</v>
      </c>
      <c r="AS62" s="7">
        <v>566.87639661492835</v>
      </c>
      <c r="AT62" s="7">
        <v>566.87639661492835</v>
      </c>
      <c r="AU62" s="7">
        <v>0</v>
      </c>
      <c r="AV62" s="7">
        <v>0</v>
      </c>
      <c r="AW62" s="879">
        <v>566.87639661492835</v>
      </c>
      <c r="AX62" s="7">
        <v>566.87639661492835</v>
      </c>
      <c r="AY62" s="7">
        <v>0</v>
      </c>
      <c r="AZ62" s="877">
        <v>0</v>
      </c>
      <c r="BA62" s="879">
        <v>566.87639661492835</v>
      </c>
      <c r="BB62" s="7">
        <v>566.87639661492835</v>
      </c>
      <c r="BC62" s="7">
        <v>0</v>
      </c>
      <c r="BD62" s="877">
        <v>0</v>
      </c>
      <c r="BE62" s="7">
        <v>568.07363942906727</v>
      </c>
      <c r="BF62" s="7">
        <v>566.87639661492835</v>
      </c>
      <c r="BG62" s="7">
        <v>0</v>
      </c>
      <c r="BH62" s="7">
        <v>0</v>
      </c>
      <c r="BI62" s="879">
        <v>568.07363942906727</v>
      </c>
      <c r="BJ62" s="7">
        <v>566.87639661492835</v>
      </c>
      <c r="BK62" s="7">
        <v>0</v>
      </c>
      <c r="BL62" s="877">
        <v>0</v>
      </c>
      <c r="BM62" s="7">
        <v>568.07363942906727</v>
      </c>
      <c r="BN62" s="7">
        <v>566.87639661492835</v>
      </c>
      <c r="BO62" s="7">
        <v>0</v>
      </c>
      <c r="BP62" s="7">
        <v>0</v>
      </c>
      <c r="BQ62" s="879">
        <v>568.07363942906727</v>
      </c>
      <c r="BR62" s="7">
        <v>566.87639661492835</v>
      </c>
      <c r="BS62" s="7">
        <v>0</v>
      </c>
      <c r="BT62" s="877">
        <v>0</v>
      </c>
      <c r="BU62" s="7">
        <v>665.08903821102695</v>
      </c>
      <c r="BV62" s="7">
        <v>566.43328950366561</v>
      </c>
      <c r="BW62" s="7">
        <v>0</v>
      </c>
      <c r="BX62" s="7">
        <v>0</v>
      </c>
      <c r="BY62" s="879">
        <v>569.91533348130008</v>
      </c>
      <c r="BZ62" s="7">
        <v>569.91533348130008</v>
      </c>
      <c r="CA62" s="7">
        <v>0</v>
      </c>
      <c r="CB62" s="877">
        <v>0</v>
      </c>
      <c r="CC62" s="7">
        <v>561.13444221267446</v>
      </c>
      <c r="CD62" s="7">
        <v>561.13444221267446</v>
      </c>
      <c r="CE62" s="7">
        <v>0</v>
      </c>
      <c r="CF62" s="7">
        <v>0</v>
      </c>
      <c r="CG62" s="7">
        <v>0</v>
      </c>
      <c r="CH62" s="879">
        <v>0</v>
      </c>
      <c r="CI62" s="7">
        <v>0</v>
      </c>
      <c r="CJ62" s="7">
        <v>0</v>
      </c>
      <c r="CK62" s="7">
        <v>0</v>
      </c>
      <c r="CL62" s="7">
        <v>0</v>
      </c>
      <c r="CM62" s="877">
        <v>0</v>
      </c>
      <c r="CN62" s="7">
        <v>585.45766722726535</v>
      </c>
      <c r="CO62" s="7">
        <v>585.45766722726535</v>
      </c>
      <c r="CP62" s="7">
        <v>0</v>
      </c>
      <c r="CQ62" s="7">
        <v>0</v>
      </c>
      <c r="CR62" s="879">
        <v>585.45766722726535</v>
      </c>
      <c r="CS62" s="7">
        <v>585.45766722726535</v>
      </c>
      <c r="CT62" s="7">
        <v>0</v>
      </c>
      <c r="CU62" s="877">
        <v>0</v>
      </c>
      <c r="CV62" s="7">
        <v>585.45766722726535</v>
      </c>
      <c r="CW62" s="7">
        <v>585.45766722726535</v>
      </c>
      <c r="CX62" s="7">
        <v>0</v>
      </c>
      <c r="CY62" s="7">
        <v>0</v>
      </c>
      <c r="CZ62" s="879">
        <v>585.45766722726535</v>
      </c>
      <c r="DA62" s="7">
        <v>585.45766722726535</v>
      </c>
      <c r="DB62" s="7">
        <v>0</v>
      </c>
      <c r="DC62" s="877">
        <v>0</v>
      </c>
      <c r="DD62" s="7">
        <v>585.45766722726535</v>
      </c>
      <c r="DE62" s="7">
        <v>585.45766722726535</v>
      </c>
      <c r="DF62" s="7">
        <v>0</v>
      </c>
      <c r="DG62" s="877">
        <v>0</v>
      </c>
      <c r="DH62" s="7">
        <v>585.45766722726535</v>
      </c>
      <c r="DI62" s="7">
        <v>585.45766722726535</v>
      </c>
      <c r="DJ62" s="7">
        <v>0</v>
      </c>
      <c r="DK62" s="7">
        <v>0</v>
      </c>
      <c r="DL62" s="879">
        <v>571.45578884108727</v>
      </c>
      <c r="DM62" s="7">
        <v>0</v>
      </c>
      <c r="DN62" s="7">
        <v>0</v>
      </c>
      <c r="DO62" s="7">
        <v>0</v>
      </c>
      <c r="DP62" s="7">
        <v>0</v>
      </c>
      <c r="DQ62" s="7">
        <v>0</v>
      </c>
      <c r="DR62" s="7">
        <v>0</v>
      </c>
      <c r="DS62" s="7">
        <v>0</v>
      </c>
      <c r="DT62" s="7">
        <v>0</v>
      </c>
      <c r="DU62" s="7">
        <v>0</v>
      </c>
      <c r="DV62" s="7">
        <v>0</v>
      </c>
      <c r="DW62" s="877">
        <v>0</v>
      </c>
      <c r="DX62" s="7">
        <v>475.79744287397943</v>
      </c>
      <c r="DY62" s="7">
        <v>475.79744287397943</v>
      </c>
      <c r="DZ62" s="7">
        <v>0</v>
      </c>
      <c r="EA62" s="877">
        <v>0</v>
      </c>
      <c r="EB62" s="877">
        <v>0</v>
      </c>
    </row>
    <row r="63" spans="1:132" x14ac:dyDescent="0.45">
      <c r="A63" s="744" t="s">
        <v>3364</v>
      </c>
      <c r="B63" s="7">
        <v>0</v>
      </c>
      <c r="C63" s="7">
        <v>0</v>
      </c>
      <c r="D63" s="7">
        <v>0</v>
      </c>
      <c r="E63" s="7">
        <v>4727.361289017731</v>
      </c>
      <c r="F63" s="7">
        <v>4528.3144979011959</v>
      </c>
      <c r="G63" s="7">
        <v>4528.3144979011959</v>
      </c>
      <c r="H63" s="7">
        <v>3011.3291411042946</v>
      </c>
      <c r="I63" s="7">
        <v>3168.1873757704925</v>
      </c>
      <c r="J63" s="7">
        <v>3281.187918045568</v>
      </c>
      <c r="K63" s="7">
        <v>0</v>
      </c>
      <c r="L63" s="7">
        <v>0</v>
      </c>
      <c r="M63" s="7">
        <v>0</v>
      </c>
      <c r="N63" s="7">
        <v>3584.9156441717796</v>
      </c>
      <c r="O63" s="7">
        <v>3584.9156441717796</v>
      </c>
      <c r="P63" s="7">
        <v>0</v>
      </c>
      <c r="Q63" s="7">
        <v>0</v>
      </c>
      <c r="R63" s="7">
        <v>0</v>
      </c>
      <c r="S63" s="7">
        <v>0</v>
      </c>
      <c r="T63" s="7">
        <v>0</v>
      </c>
      <c r="U63" s="7">
        <v>0</v>
      </c>
      <c r="V63" s="879">
        <v>0</v>
      </c>
      <c r="W63" s="7">
        <v>0</v>
      </c>
      <c r="X63" s="7">
        <v>0</v>
      </c>
      <c r="Y63" s="7">
        <v>3052.9313672250073</v>
      </c>
      <c r="Z63" s="877">
        <v>0</v>
      </c>
      <c r="AA63" s="7">
        <v>0</v>
      </c>
      <c r="AB63" s="7">
        <v>3584.9156441717796</v>
      </c>
      <c r="AC63" s="7">
        <v>3584.9156441717796</v>
      </c>
      <c r="AD63" s="7">
        <v>0</v>
      </c>
      <c r="AE63" s="7">
        <v>0</v>
      </c>
      <c r="AF63" s="7">
        <v>0</v>
      </c>
      <c r="AG63" s="7">
        <v>0</v>
      </c>
      <c r="AH63" s="879">
        <v>0</v>
      </c>
      <c r="AI63" s="7">
        <v>0</v>
      </c>
      <c r="AJ63" s="7">
        <v>0</v>
      </c>
      <c r="AK63" s="7">
        <v>0</v>
      </c>
      <c r="AL63" s="7">
        <v>3072.7848378615258</v>
      </c>
      <c r="AM63" s="7">
        <v>3072.7848378615258</v>
      </c>
      <c r="AN63" s="7">
        <v>2150.9493865030681</v>
      </c>
      <c r="AO63" s="7">
        <v>2507.7650516491135</v>
      </c>
      <c r="AP63" s="7">
        <v>0</v>
      </c>
      <c r="AQ63" s="7">
        <v>2688.6867331288345</v>
      </c>
      <c r="AR63" s="877">
        <v>2688.6867331288345</v>
      </c>
      <c r="AS63" s="7">
        <v>371.21189953338887</v>
      </c>
      <c r="AT63" s="7">
        <v>371.21189953338893</v>
      </c>
      <c r="AU63" s="7">
        <v>0</v>
      </c>
      <c r="AV63" s="7">
        <v>0</v>
      </c>
      <c r="AW63" s="879">
        <v>371.21189953338887</v>
      </c>
      <c r="AX63" s="7">
        <v>371.21189953338893</v>
      </c>
      <c r="AY63" s="7">
        <v>0</v>
      </c>
      <c r="AZ63" s="877">
        <v>0</v>
      </c>
      <c r="BA63" s="879">
        <v>371.21189953338893</v>
      </c>
      <c r="BB63" s="7">
        <v>371.21189953338893</v>
      </c>
      <c r="BC63" s="7">
        <v>0</v>
      </c>
      <c r="BD63" s="877">
        <v>0</v>
      </c>
      <c r="BE63" s="7">
        <v>371.99589897646513</v>
      </c>
      <c r="BF63" s="7">
        <v>371.21189953338893</v>
      </c>
      <c r="BG63" s="7">
        <v>0</v>
      </c>
      <c r="BH63" s="7">
        <v>0</v>
      </c>
      <c r="BI63" s="879">
        <v>371.99589897646513</v>
      </c>
      <c r="BJ63" s="7">
        <v>371.21189953338893</v>
      </c>
      <c r="BK63" s="7">
        <v>2.494925661225321</v>
      </c>
      <c r="BL63" s="877">
        <v>3071.26207422273</v>
      </c>
      <c r="BM63" s="7">
        <v>371.99589897646513</v>
      </c>
      <c r="BN63" s="7">
        <v>371.21189953338893</v>
      </c>
      <c r="BO63" s="7">
        <v>2.494925661225321</v>
      </c>
      <c r="BP63" s="7">
        <v>3071.26207422273</v>
      </c>
      <c r="BQ63" s="879">
        <v>371.99589897646513</v>
      </c>
      <c r="BR63" s="7">
        <v>371.21189953338893</v>
      </c>
      <c r="BS63" s="7">
        <v>1.7464479628577245</v>
      </c>
      <c r="BT63" s="877">
        <v>2149.8834519559109</v>
      </c>
      <c r="BU63" s="7">
        <v>435.52521626836841</v>
      </c>
      <c r="BV63" s="7">
        <v>370.92173639826655</v>
      </c>
      <c r="BW63" s="7">
        <v>167.78474113005547</v>
      </c>
      <c r="BX63" s="7">
        <v>3372.3523627133973</v>
      </c>
      <c r="BY63" s="879">
        <v>405.23590444123522</v>
      </c>
      <c r="BZ63" s="7">
        <v>405.23590444123511</v>
      </c>
      <c r="CA63" s="7">
        <v>0</v>
      </c>
      <c r="CB63" s="877">
        <v>0</v>
      </c>
      <c r="CC63" s="7">
        <v>575.43813018572484</v>
      </c>
      <c r="CD63" s="7">
        <v>398.99228858112878</v>
      </c>
      <c r="CE63" s="7">
        <v>176.44584160459604</v>
      </c>
      <c r="CF63" s="7">
        <v>3530.5239899932499</v>
      </c>
      <c r="CG63" s="7">
        <v>3530.5239899932499</v>
      </c>
      <c r="CH63" s="879">
        <v>0</v>
      </c>
      <c r="CI63" s="7">
        <v>2688.6867331288345</v>
      </c>
      <c r="CJ63" s="7">
        <v>2688.6867331288345</v>
      </c>
      <c r="CK63" s="7">
        <v>0</v>
      </c>
      <c r="CL63" s="7">
        <v>0</v>
      </c>
      <c r="CM63" s="877">
        <v>0</v>
      </c>
      <c r="CN63" s="7">
        <v>416.28721557933142</v>
      </c>
      <c r="CO63" s="7">
        <v>416.28721557933136</v>
      </c>
      <c r="CP63" s="7">
        <v>0</v>
      </c>
      <c r="CQ63" s="7">
        <v>0</v>
      </c>
      <c r="CR63" s="879">
        <v>418.83305809078576</v>
      </c>
      <c r="CS63" s="7">
        <v>416.28721557933136</v>
      </c>
      <c r="CT63" s="7">
        <v>2.5458425114544099</v>
      </c>
      <c r="CU63" s="877">
        <v>3176.7658001439922</v>
      </c>
      <c r="CV63" s="7">
        <v>418.83305809078576</v>
      </c>
      <c r="CW63" s="7">
        <v>416.28721557933136</v>
      </c>
      <c r="CX63" s="7">
        <v>2.5458425114544099</v>
      </c>
      <c r="CY63" s="7">
        <v>3176.7658001439922</v>
      </c>
      <c r="CZ63" s="879">
        <v>416.28721557933136</v>
      </c>
      <c r="DA63" s="7">
        <v>416.28721557933136</v>
      </c>
      <c r="DB63" s="7">
        <v>0</v>
      </c>
      <c r="DC63" s="877">
        <v>0</v>
      </c>
      <c r="DD63" s="7">
        <v>416.28721557933136</v>
      </c>
      <c r="DE63" s="7">
        <v>416.28721557933136</v>
      </c>
      <c r="DF63" s="7">
        <v>0</v>
      </c>
      <c r="DG63" s="877">
        <v>0</v>
      </c>
      <c r="DH63" s="7">
        <v>416.28721557933136</v>
      </c>
      <c r="DI63" s="7">
        <v>416.28721557933136</v>
      </c>
      <c r="DJ63" s="7">
        <v>0</v>
      </c>
      <c r="DK63" s="7">
        <v>0</v>
      </c>
      <c r="DL63" s="879">
        <v>374.21065710581911</v>
      </c>
      <c r="DM63" s="7">
        <v>2047.8910280622597</v>
      </c>
      <c r="DN63" s="7">
        <v>2047.8910280622597</v>
      </c>
      <c r="DO63" s="7">
        <v>2646.024383467849</v>
      </c>
      <c r="DP63" s="7">
        <v>0</v>
      </c>
      <c r="DQ63" s="7">
        <v>0</v>
      </c>
      <c r="DR63" s="7">
        <v>0</v>
      </c>
      <c r="DS63" s="7">
        <v>0</v>
      </c>
      <c r="DT63" s="7">
        <v>2824.8098147832447</v>
      </c>
      <c r="DU63" s="7">
        <v>2824.8098147832447</v>
      </c>
      <c r="DV63" s="7">
        <v>1977.3668703482713</v>
      </c>
      <c r="DW63" s="877">
        <v>2824.8098147832447</v>
      </c>
      <c r="DX63" s="7">
        <v>479.23901738437183</v>
      </c>
      <c r="DY63" s="7">
        <v>338.31377358473969</v>
      </c>
      <c r="DZ63" s="7">
        <v>140.92524379963214</v>
      </c>
      <c r="EA63" s="877">
        <v>2428.4641356455013</v>
      </c>
      <c r="EB63" s="877">
        <v>0</v>
      </c>
    </row>
    <row r="64" spans="1:132" x14ac:dyDescent="0.45">
      <c r="A64" s="737" t="s">
        <v>3365</v>
      </c>
      <c r="B64" s="738">
        <v>4015.0759202453987</v>
      </c>
      <c r="C64" s="738">
        <v>4015.0759202453987</v>
      </c>
      <c r="D64" s="738">
        <v>4015.0759202453992</v>
      </c>
      <c r="E64" s="738">
        <v>0</v>
      </c>
      <c r="F64" s="738">
        <v>0</v>
      </c>
      <c r="G64" s="738">
        <v>0</v>
      </c>
      <c r="H64" s="738">
        <v>1290.5696319018407</v>
      </c>
      <c r="I64" s="738">
        <v>1133.7113972356428</v>
      </c>
      <c r="J64" s="738">
        <v>739.27822495081978</v>
      </c>
      <c r="K64" s="738">
        <v>1005.196106844904</v>
      </c>
      <c r="L64" s="738">
        <v>0</v>
      </c>
      <c r="M64" s="738">
        <v>939.43561387374211</v>
      </c>
      <c r="N64" s="738">
        <v>0</v>
      </c>
      <c r="O64" s="738">
        <v>0</v>
      </c>
      <c r="P64" s="738">
        <v>0</v>
      </c>
      <c r="Q64" s="738">
        <v>0</v>
      </c>
      <c r="R64" s="738">
        <v>0</v>
      </c>
      <c r="S64" s="738">
        <v>3376.6034260802826</v>
      </c>
      <c r="T64" s="738">
        <v>3376.6034260802826</v>
      </c>
      <c r="U64" s="738">
        <v>2877.3029158753284</v>
      </c>
      <c r="V64" s="983">
        <v>3491.3703654307819</v>
      </c>
      <c r="W64" s="738">
        <v>3491.3703654307819</v>
      </c>
      <c r="X64" s="738">
        <v>3491.3703654307824</v>
      </c>
      <c r="Y64" s="738">
        <v>687.85017451945851</v>
      </c>
      <c r="Z64" s="739">
        <v>874.08357116948196</v>
      </c>
      <c r="AA64" s="738">
        <v>3584.9156441717796</v>
      </c>
      <c r="AB64" s="738">
        <v>0</v>
      </c>
      <c r="AC64" s="738">
        <v>0</v>
      </c>
      <c r="AD64" s="738">
        <v>2912.6399883395848</v>
      </c>
      <c r="AE64" s="738">
        <v>0</v>
      </c>
      <c r="AF64" s="738">
        <v>3364.3087131878942</v>
      </c>
      <c r="AG64" s="738">
        <v>3364.3087131878942</v>
      </c>
      <c r="AH64" s="983">
        <v>2867.9113716038569</v>
      </c>
      <c r="AI64" s="738">
        <v>2867.9113716038569</v>
      </c>
      <c r="AJ64" s="738">
        <v>0</v>
      </c>
      <c r="AK64" s="738">
        <v>2867.9113716038569</v>
      </c>
      <c r="AL64" s="738">
        <v>0</v>
      </c>
      <c r="AM64" s="738">
        <v>0</v>
      </c>
      <c r="AN64" s="738">
        <v>921.83545135845793</v>
      </c>
      <c r="AO64" s="738">
        <v>565.01978621241244</v>
      </c>
      <c r="AP64" s="738">
        <v>717.9972191749315</v>
      </c>
      <c r="AQ64" s="738">
        <v>0</v>
      </c>
      <c r="AR64" s="739">
        <v>0</v>
      </c>
      <c r="AS64" s="738">
        <v>10.642966776567635</v>
      </c>
      <c r="AT64" s="738">
        <v>8.3143866602605065</v>
      </c>
      <c r="AU64" s="738">
        <v>2.3285801163071276</v>
      </c>
      <c r="AV64" s="738">
        <v>2866.4901360190684</v>
      </c>
      <c r="AW64" s="983">
        <v>10.642966776567635</v>
      </c>
      <c r="AX64" s="738">
        <v>8.3143866602605065</v>
      </c>
      <c r="AY64" s="738">
        <v>2.3285801163071276</v>
      </c>
      <c r="AZ64" s="739">
        <v>2866.4901360190684</v>
      </c>
      <c r="BA64" s="983">
        <v>8.3143866602605065</v>
      </c>
      <c r="BB64" s="738">
        <v>8.3143866602605065</v>
      </c>
      <c r="BC64" s="738">
        <v>0</v>
      </c>
      <c r="BD64" s="739">
        <v>0</v>
      </c>
      <c r="BE64" s="738">
        <v>8.3319466428994211</v>
      </c>
      <c r="BF64" s="738">
        <v>8.3143866602605065</v>
      </c>
      <c r="BG64" s="738">
        <v>2.328580116307128</v>
      </c>
      <c r="BH64" s="738">
        <v>2866.4901360190688</v>
      </c>
      <c r="BI64" s="983">
        <v>8.3319466428994211</v>
      </c>
      <c r="BJ64" s="738">
        <v>8.3143866602605065</v>
      </c>
      <c r="BK64" s="738">
        <v>0</v>
      </c>
      <c r="BL64" s="739">
        <v>0</v>
      </c>
      <c r="BM64" s="738">
        <v>8.3319466428994211</v>
      </c>
      <c r="BN64" s="738">
        <v>8.3143866602605065</v>
      </c>
      <c r="BO64" s="738">
        <v>0</v>
      </c>
      <c r="BP64" s="738">
        <v>0</v>
      </c>
      <c r="BQ64" s="983">
        <v>8.3319466428994211</v>
      </c>
      <c r="BR64" s="738">
        <v>8.3143866602605065</v>
      </c>
      <c r="BS64" s="738">
        <v>0.74847769836759637</v>
      </c>
      <c r="BT64" s="739">
        <v>921.37862226681909</v>
      </c>
      <c r="BU64" s="738">
        <v>9.7548733025544845</v>
      </c>
      <c r="BV64" s="738">
        <v>8.3078876000121866</v>
      </c>
      <c r="BW64" s="738">
        <v>37.803261713320012</v>
      </c>
      <c r="BX64" s="738">
        <v>759.818313027459</v>
      </c>
      <c r="BY64" s="983">
        <v>67.404767994250747</v>
      </c>
      <c r="BZ64" s="738">
        <v>19.366385183171673</v>
      </c>
      <c r="CA64" s="738">
        <v>48.038382811079074</v>
      </c>
      <c r="CB64" s="739">
        <v>965.53686993681879</v>
      </c>
      <c r="CC64" s="738">
        <v>19.068000295856944</v>
      </c>
      <c r="CD64" s="738">
        <v>19.068000295856944</v>
      </c>
      <c r="CE64" s="738">
        <v>0</v>
      </c>
      <c r="CF64" s="738">
        <v>0</v>
      </c>
      <c r="CG64" s="738">
        <v>0</v>
      </c>
      <c r="CH64" s="983">
        <v>2688.6867331288345</v>
      </c>
      <c r="CI64" s="738">
        <v>0</v>
      </c>
      <c r="CJ64" s="738">
        <v>0</v>
      </c>
      <c r="CK64" s="738">
        <v>2184.4799912546882</v>
      </c>
      <c r="CL64" s="738">
        <v>0</v>
      </c>
      <c r="CM64" s="739">
        <v>2523.2315348909206</v>
      </c>
      <c r="CN64" s="738">
        <v>22.440374253047544</v>
      </c>
      <c r="CO64" s="738">
        <v>19.894531741593134</v>
      </c>
      <c r="CP64" s="738">
        <v>2.5458425114544099</v>
      </c>
      <c r="CQ64" s="738">
        <v>3176.7658001439922</v>
      </c>
      <c r="CR64" s="983">
        <v>19.894531741593134</v>
      </c>
      <c r="CS64" s="738">
        <v>19.894531741593134</v>
      </c>
      <c r="CT64" s="738">
        <v>0</v>
      </c>
      <c r="CU64" s="739">
        <v>0</v>
      </c>
      <c r="CV64" s="738">
        <v>19.894531741593134</v>
      </c>
      <c r="CW64" s="738">
        <v>19.894531741593134</v>
      </c>
      <c r="CX64" s="738">
        <v>0</v>
      </c>
      <c r="CY64" s="738">
        <v>0</v>
      </c>
      <c r="CZ64" s="983">
        <v>21.962954945618094</v>
      </c>
      <c r="DA64" s="738">
        <v>19.894531741593134</v>
      </c>
      <c r="DB64" s="738">
        <v>2.0684232040249588</v>
      </c>
      <c r="DC64" s="739">
        <v>2581.0300775505834</v>
      </c>
      <c r="DD64" s="738">
        <v>19.894531741593134</v>
      </c>
      <c r="DE64" s="738">
        <v>19.894531741593134</v>
      </c>
      <c r="DF64" s="738">
        <v>0</v>
      </c>
      <c r="DG64" s="739">
        <v>0</v>
      </c>
      <c r="DH64" s="738">
        <v>22.283709338453711</v>
      </c>
      <c r="DI64" s="738">
        <v>19.894531741593134</v>
      </c>
      <c r="DJ64" s="738">
        <v>2.3891775968605775</v>
      </c>
      <c r="DK64" s="738">
        <v>2981.2754111961531</v>
      </c>
      <c r="DL64" s="983">
        <v>8.3815526912765055</v>
      </c>
      <c r="DM64" s="738">
        <v>0</v>
      </c>
      <c r="DN64" s="738">
        <v>0</v>
      </c>
      <c r="DO64" s="738">
        <v>0</v>
      </c>
      <c r="DP64" s="738">
        <v>2636.469723038947</v>
      </c>
      <c r="DQ64" s="738">
        <v>2636.469723038947</v>
      </c>
      <c r="DR64" s="738">
        <v>2824.8098147832447</v>
      </c>
      <c r="DS64" s="738">
        <v>0</v>
      </c>
      <c r="DT64" s="738">
        <v>0</v>
      </c>
      <c r="DU64" s="738">
        <v>0</v>
      </c>
      <c r="DV64" s="738">
        <v>847.44294443497358</v>
      </c>
      <c r="DW64" s="739">
        <v>0</v>
      </c>
      <c r="DX64" s="738">
        <v>16.168149910232142</v>
      </c>
      <c r="DY64" s="738">
        <v>16.168149910232142</v>
      </c>
      <c r="DZ64" s="738">
        <v>0</v>
      </c>
      <c r="EA64" s="739">
        <v>0</v>
      </c>
      <c r="EB64" s="739">
        <v>3441.5190184049088</v>
      </c>
    </row>
    <row r="65" spans="1:132" x14ac:dyDescent="0.45">
      <c r="A65" s="744" t="s">
        <v>3366</v>
      </c>
      <c r="V65" s="768"/>
      <c r="Z65" s="769"/>
      <c r="AH65" s="768"/>
      <c r="AR65" s="769"/>
      <c r="AW65" s="768"/>
      <c r="AZ65" s="769"/>
      <c r="BA65" s="768"/>
      <c r="BD65" s="769"/>
      <c r="BI65" s="768"/>
      <c r="BL65" s="769"/>
      <c r="BQ65" s="768"/>
      <c r="BT65" s="769"/>
      <c r="BY65" s="768"/>
      <c r="CB65" s="769"/>
      <c r="CH65" s="768"/>
      <c r="CM65" s="769"/>
      <c r="CR65" s="768"/>
      <c r="CU65" s="769"/>
      <c r="CV65">
        <v>0</v>
      </c>
      <c r="CZ65" s="768"/>
      <c r="DC65" s="769"/>
      <c r="DG65" s="769"/>
      <c r="DL65" s="768"/>
      <c r="DW65" s="769"/>
      <c r="EA65" s="769"/>
      <c r="EB65" s="769"/>
    </row>
    <row r="66" spans="1:132" x14ac:dyDescent="0.45">
      <c r="A66" s="744" t="s">
        <v>3367</v>
      </c>
      <c r="B66" s="905">
        <v>0.13461346032936591</v>
      </c>
      <c r="C66" s="905">
        <v>0.13461346032936591</v>
      </c>
      <c r="D66" s="905">
        <v>0.13461346032936591</v>
      </c>
      <c r="E66" s="905">
        <v>0.12115211429642933</v>
      </c>
      <c r="F66" s="905">
        <v>0.12115211429642933</v>
      </c>
      <c r="G66" s="905">
        <v>0.12115211429642933</v>
      </c>
      <c r="H66" s="905">
        <v>0.12115211429642933</v>
      </c>
      <c r="I66" s="905">
        <v>0.13461346032936591</v>
      </c>
      <c r="J66" s="905">
        <v>0.13461346032936591</v>
      </c>
      <c r="K66" s="905">
        <v>0.13461346032936591</v>
      </c>
      <c r="L66" s="905">
        <v>0.13461346032936591</v>
      </c>
      <c r="M66" s="905">
        <v>0.13461346032936591</v>
      </c>
      <c r="N66" s="905">
        <v>2.6922692065873183E-2</v>
      </c>
      <c r="O66" s="905">
        <v>2.6922692065873183E-2</v>
      </c>
      <c r="P66" s="905">
        <v>0.13461346032936591</v>
      </c>
      <c r="Q66" s="905">
        <v>0.13461346032936591</v>
      </c>
      <c r="R66" s="905">
        <v>0.13461346032936591</v>
      </c>
      <c r="S66" s="905">
        <v>0.13461346032936591</v>
      </c>
      <c r="T66" s="905">
        <v>0.13461346032936591</v>
      </c>
      <c r="U66" s="905">
        <v>0.13461346032936591</v>
      </c>
      <c r="V66" s="904">
        <v>0.13461346032936591</v>
      </c>
      <c r="W66" s="905">
        <v>0.13461346032936591</v>
      </c>
      <c r="X66" s="905">
        <v>0.13461346032936591</v>
      </c>
      <c r="Y66" s="905">
        <v>0.13461346032936591</v>
      </c>
      <c r="Z66" s="906">
        <v>0.13461346032936591</v>
      </c>
      <c r="AA66" s="905">
        <v>0.11573878940744488</v>
      </c>
      <c r="AB66" s="905">
        <v>0.11573878940744488</v>
      </c>
      <c r="AC66" s="905">
        <v>0.11573878940744488</v>
      </c>
      <c r="AD66" s="905">
        <v>0.11573878940744488</v>
      </c>
      <c r="AE66" s="905">
        <v>0.11573878940744488</v>
      </c>
      <c r="AF66" s="905">
        <v>0.11573878940744488</v>
      </c>
      <c r="AG66" s="905">
        <v>0.11573878940744488</v>
      </c>
      <c r="AH66" s="904">
        <v>7.2691268577857598E-2</v>
      </c>
      <c r="AI66" s="905">
        <v>7.2691268577857598E-2</v>
      </c>
      <c r="AJ66" s="905">
        <v>7.2691268577857598E-2</v>
      </c>
      <c r="AK66" s="905">
        <v>7.2691268577857598E-2</v>
      </c>
      <c r="AL66" s="905">
        <v>7.2691268577857598E-2</v>
      </c>
      <c r="AM66" s="905">
        <v>7.2691268577857598E-2</v>
      </c>
      <c r="AN66" s="905">
        <v>7.2691268577857598E-2</v>
      </c>
      <c r="AO66" s="905">
        <v>7.2691268577857598E-2</v>
      </c>
      <c r="AP66" s="905">
        <v>7.2691268577857598E-2</v>
      </c>
      <c r="AQ66" s="905">
        <v>2.6922692065873183E-2</v>
      </c>
      <c r="AR66" s="906">
        <v>2.6922692065873183E-2</v>
      </c>
      <c r="AS66" s="905">
        <v>4.2157968118618979E-5</v>
      </c>
      <c r="AT66" s="905">
        <v>0</v>
      </c>
      <c r="AU66" s="905">
        <v>4.2157968118618979E-5</v>
      </c>
      <c r="AV66" s="905">
        <v>7.2691268577857598E-2</v>
      </c>
      <c r="AW66" s="904">
        <v>4.2157968118618979E-5</v>
      </c>
      <c r="AX66" s="905">
        <v>0</v>
      </c>
      <c r="AY66" s="905">
        <v>4.2157968118618979E-5</v>
      </c>
      <c r="AZ66" s="906">
        <v>7.2691268577857598E-2</v>
      </c>
      <c r="BA66" s="904">
        <v>4.2157968118618979E-5</v>
      </c>
      <c r="BB66" s="905">
        <v>0</v>
      </c>
      <c r="BC66" s="905">
        <v>4.2157968118618979E-5</v>
      </c>
      <c r="BD66" s="906">
        <v>7.2691268577857598E-2</v>
      </c>
      <c r="BE66" s="905">
        <v>4.2157968118618979E-5</v>
      </c>
      <c r="BF66" s="905">
        <v>0</v>
      </c>
      <c r="BG66" s="905">
        <v>4.2157968118618979E-5</v>
      </c>
      <c r="BH66" s="905">
        <v>7.2691268577857598E-2</v>
      </c>
      <c r="BI66" s="904">
        <v>4.2157968118618979E-5</v>
      </c>
      <c r="BJ66" s="905">
        <v>0</v>
      </c>
      <c r="BK66" s="905">
        <v>4.2157968118618979E-5</v>
      </c>
      <c r="BL66" s="906">
        <v>7.2691268577857598E-2</v>
      </c>
      <c r="BM66" s="905">
        <v>4.2157968118618979E-5</v>
      </c>
      <c r="BN66" s="905">
        <v>0</v>
      </c>
      <c r="BO66" s="905">
        <v>4.2157968118618979E-5</v>
      </c>
      <c r="BP66" s="905">
        <v>7.2691268577857598E-2</v>
      </c>
      <c r="BQ66" s="904">
        <v>4.2157968118618979E-5</v>
      </c>
      <c r="BR66" s="905">
        <v>0</v>
      </c>
      <c r="BS66" s="905">
        <v>4.2157968118618979E-5</v>
      </c>
      <c r="BT66" s="906">
        <v>7.2691268577857598E-2</v>
      </c>
      <c r="BU66" s="905">
        <v>3.4739201268164858E-3</v>
      </c>
      <c r="BV66" s="905">
        <v>0</v>
      </c>
      <c r="BW66" s="905">
        <v>3.4739201268164858E-3</v>
      </c>
      <c r="BX66" s="905">
        <v>7.2691268577857598E-2</v>
      </c>
      <c r="BY66" s="904">
        <v>3.4739201268164858E-3</v>
      </c>
      <c r="BZ66" s="905">
        <v>0</v>
      </c>
      <c r="CA66" s="905">
        <v>3.4739201268164858E-3</v>
      </c>
      <c r="CB66" s="906">
        <v>7.2691268577857598E-2</v>
      </c>
      <c r="CC66" s="905">
        <v>1.1042558903599752E-3</v>
      </c>
      <c r="CD66" s="905">
        <v>0</v>
      </c>
      <c r="CE66" s="905">
        <v>1.1042558903599752E-3</v>
      </c>
      <c r="CF66" s="905">
        <v>2.6922692065873183E-2</v>
      </c>
      <c r="CG66" s="905">
        <v>2.6922692065873183E-2</v>
      </c>
      <c r="CH66" s="904">
        <v>9.027625573780701E-2</v>
      </c>
      <c r="CI66" s="905">
        <v>9.027625573780701E-2</v>
      </c>
      <c r="CJ66" s="905">
        <v>9.027625573780701E-2</v>
      </c>
      <c r="CK66" s="905">
        <v>9.027625573780701E-2</v>
      </c>
      <c r="CL66" s="905">
        <v>9.027625573780701E-2</v>
      </c>
      <c r="CM66" s="906">
        <v>9.027625573780701E-2</v>
      </c>
      <c r="CN66" s="905">
        <v>5.3425043628266551E-5</v>
      </c>
      <c r="CO66" s="905">
        <v>0</v>
      </c>
      <c r="CP66" s="905">
        <v>5.3425043628266551E-5</v>
      </c>
      <c r="CQ66" s="905">
        <v>9.027625573780701E-2</v>
      </c>
      <c r="CR66" s="904">
        <v>5.3425043628266551E-5</v>
      </c>
      <c r="CS66" s="905">
        <v>0</v>
      </c>
      <c r="CT66" s="905">
        <v>5.3425043628266551E-5</v>
      </c>
      <c r="CU66" s="906">
        <v>9.027625573780701E-2</v>
      </c>
      <c r="CV66" s="905">
        <v>5.3425043628266551E-5</v>
      </c>
      <c r="CW66" s="905">
        <v>0</v>
      </c>
      <c r="CX66" s="905">
        <v>5.3425043628266551E-5</v>
      </c>
      <c r="CY66" s="905">
        <v>9.027625573780701E-2</v>
      </c>
      <c r="CZ66" s="904">
        <v>5.3425043628266551E-5</v>
      </c>
      <c r="DA66" s="905">
        <v>0</v>
      </c>
      <c r="DB66" s="905">
        <v>5.3425043628266551E-5</v>
      </c>
      <c r="DC66" s="906">
        <v>9.027625573780701E-2</v>
      </c>
      <c r="DD66" s="905">
        <v>5.3425043628266551E-5</v>
      </c>
      <c r="DE66" s="905">
        <v>0</v>
      </c>
      <c r="DF66" s="905">
        <v>5.3425043628266551E-5</v>
      </c>
      <c r="DG66" s="906">
        <v>9.027625573780701E-2</v>
      </c>
      <c r="DH66" s="905">
        <v>5.3425043628266551E-5</v>
      </c>
      <c r="DI66" s="905">
        <v>0</v>
      </c>
      <c r="DJ66" s="905">
        <v>5.3425043628266551E-5</v>
      </c>
      <c r="DK66" s="905">
        <v>9.027625573780701E-2</v>
      </c>
      <c r="DL66" s="904">
        <v>0</v>
      </c>
      <c r="DM66" s="905">
        <v>0</v>
      </c>
      <c r="DN66" s="905">
        <v>0</v>
      </c>
      <c r="DO66" s="905">
        <v>2.6922692065873183E-2</v>
      </c>
      <c r="DP66" s="905">
        <v>2.6922692065873183E-2</v>
      </c>
      <c r="DQ66" s="905">
        <v>2.6922692065873183E-2</v>
      </c>
      <c r="DR66" s="905">
        <v>2.6922692065873183E-2</v>
      </c>
      <c r="DS66" s="905">
        <v>2.6922692065873183E-2</v>
      </c>
      <c r="DT66" s="905">
        <v>2.6922692065873183E-2</v>
      </c>
      <c r="DU66" s="905">
        <v>2.6922692065873183E-2</v>
      </c>
      <c r="DV66" s="905">
        <v>2.6922692065873183E-2</v>
      </c>
      <c r="DW66" s="906">
        <v>2.6922692065873183E-2</v>
      </c>
      <c r="DX66" s="905">
        <v>0</v>
      </c>
      <c r="DY66" s="905">
        <v>0</v>
      </c>
      <c r="DZ66" s="905">
        <v>0</v>
      </c>
      <c r="EA66" s="906">
        <v>0</v>
      </c>
      <c r="EB66" s="906">
        <v>0.11573878940744488</v>
      </c>
    </row>
    <row r="67" spans="1:132" x14ac:dyDescent="0.45">
      <c r="A67" s="744" t="s">
        <v>3368</v>
      </c>
      <c r="B67" s="905">
        <v>0.10427705351350353</v>
      </c>
      <c r="C67" s="905">
        <v>0.10427705351350353</v>
      </c>
      <c r="D67" s="905">
        <v>0.10427705351350353</v>
      </c>
      <c r="E67" s="905">
        <v>5.2138526756751763E-2</v>
      </c>
      <c r="F67" s="905">
        <v>5.2138526756751763E-2</v>
      </c>
      <c r="G67" s="905">
        <v>5.2138526756751763E-2</v>
      </c>
      <c r="H67" s="905">
        <v>8.3421642810802832E-2</v>
      </c>
      <c r="I67" s="905">
        <v>8.8635495486477991E-2</v>
      </c>
      <c r="J67" s="905">
        <v>8.8635495486477991E-2</v>
      </c>
      <c r="K67" s="905">
        <v>8.8635495486477991E-2</v>
      </c>
      <c r="L67" s="905">
        <v>8.8635495486477991E-2</v>
      </c>
      <c r="M67" s="905">
        <v>8.8635495486477991E-2</v>
      </c>
      <c r="N67" s="905">
        <v>0</v>
      </c>
      <c r="O67" s="905">
        <v>0</v>
      </c>
      <c r="P67" s="905">
        <v>0.10427705351350353</v>
      </c>
      <c r="Q67" s="905">
        <v>0.10427705351350353</v>
      </c>
      <c r="R67" s="905">
        <v>0.10427705351350353</v>
      </c>
      <c r="S67" s="905">
        <v>0.10427705351350353</v>
      </c>
      <c r="T67" s="905">
        <v>0.10427705351350353</v>
      </c>
      <c r="U67" s="905">
        <v>0.10427705351350353</v>
      </c>
      <c r="V67" s="904">
        <v>0.10427705351350353</v>
      </c>
      <c r="W67" s="905">
        <v>0.10427705351350353</v>
      </c>
      <c r="X67" s="905">
        <v>0.10427705351350353</v>
      </c>
      <c r="Y67" s="905">
        <v>8.8635495486477991E-2</v>
      </c>
      <c r="Z67" s="906">
        <v>8.8635495486477991E-2</v>
      </c>
      <c r="AA67" s="905">
        <v>6.9933232275872417E-3</v>
      </c>
      <c r="AB67" s="905">
        <v>0</v>
      </c>
      <c r="AC67" s="905">
        <v>0</v>
      </c>
      <c r="AD67" s="905">
        <v>0</v>
      </c>
      <c r="AE67" s="905">
        <v>0</v>
      </c>
      <c r="AF67" s="905">
        <v>0</v>
      </c>
      <c r="AG67" s="905">
        <v>0</v>
      </c>
      <c r="AH67" s="904">
        <v>0.10427705351350353</v>
      </c>
      <c r="AI67" s="905">
        <v>0.10427705351350353</v>
      </c>
      <c r="AJ67" s="905">
        <v>0.10427705351350353</v>
      </c>
      <c r="AK67" s="905">
        <v>0.10427705351350353</v>
      </c>
      <c r="AL67" s="905">
        <v>5.2138526756751763E-2</v>
      </c>
      <c r="AM67" s="905">
        <v>5.2138526756751763E-2</v>
      </c>
      <c r="AN67" s="905">
        <v>8.3421642810802832E-2</v>
      </c>
      <c r="AO67" s="905">
        <v>8.8635495486477991E-2</v>
      </c>
      <c r="AP67" s="905">
        <v>8.8635495486477991E-2</v>
      </c>
      <c r="AQ67" s="905">
        <v>0</v>
      </c>
      <c r="AR67" s="906">
        <v>0</v>
      </c>
      <c r="AS67" s="905">
        <v>6.0476433876198731E-5</v>
      </c>
      <c r="AT67" s="905">
        <v>0</v>
      </c>
      <c r="AU67" s="905">
        <v>6.0476433876198731E-5</v>
      </c>
      <c r="AV67" s="905">
        <v>0.10427705351350353</v>
      </c>
      <c r="AW67" s="904">
        <v>6.0476433876198731E-5</v>
      </c>
      <c r="AX67" s="905">
        <v>0</v>
      </c>
      <c r="AY67" s="905">
        <v>6.0476433876198731E-5</v>
      </c>
      <c r="AZ67" s="906">
        <v>0.10427705351350353</v>
      </c>
      <c r="BA67" s="904">
        <v>6.0476433876198731E-5</v>
      </c>
      <c r="BB67" s="905">
        <v>0</v>
      </c>
      <c r="BC67" s="905">
        <v>6.0476433876198731E-5</v>
      </c>
      <c r="BD67" s="906">
        <v>0.10427705351350353</v>
      </c>
      <c r="BE67" s="905">
        <v>6.0476433876198731E-5</v>
      </c>
      <c r="BF67" s="905">
        <v>0</v>
      </c>
      <c r="BG67" s="905">
        <v>6.0476433876198731E-5</v>
      </c>
      <c r="BH67" s="905">
        <v>0.10427705351350353</v>
      </c>
      <c r="BI67" s="904">
        <v>3.0238216938099365E-5</v>
      </c>
      <c r="BJ67" s="905">
        <v>0</v>
      </c>
      <c r="BK67" s="905">
        <v>3.0238216938099365E-5</v>
      </c>
      <c r="BL67" s="906">
        <v>5.2138526756751763E-2</v>
      </c>
      <c r="BM67" s="905">
        <v>3.0238216938099365E-5</v>
      </c>
      <c r="BN67" s="905">
        <v>0</v>
      </c>
      <c r="BO67" s="905">
        <v>3.0238216938099365E-5</v>
      </c>
      <c r="BP67" s="905">
        <v>5.2138526756751763E-2</v>
      </c>
      <c r="BQ67" s="904">
        <v>4.8381147100958987E-5</v>
      </c>
      <c r="BR67" s="905">
        <v>0</v>
      </c>
      <c r="BS67" s="905">
        <v>4.8381147100958987E-5</v>
      </c>
      <c r="BT67" s="906">
        <v>8.3421642810802832E-2</v>
      </c>
      <c r="BU67" s="905">
        <v>4.2358956962077364E-3</v>
      </c>
      <c r="BV67" s="905">
        <v>0</v>
      </c>
      <c r="BW67" s="905">
        <v>4.2358956962077364E-3</v>
      </c>
      <c r="BX67" s="905">
        <v>8.8635495486477991E-2</v>
      </c>
      <c r="BY67" s="904">
        <v>4.2358956962077364E-3</v>
      </c>
      <c r="BZ67" s="905">
        <v>0</v>
      </c>
      <c r="CA67" s="905">
        <v>4.2358956962077364E-3</v>
      </c>
      <c r="CB67" s="906">
        <v>8.8635495486477991E-2</v>
      </c>
      <c r="CC67" s="905">
        <v>0</v>
      </c>
      <c r="CD67" s="905">
        <v>0</v>
      </c>
      <c r="CE67" s="905">
        <v>0</v>
      </c>
      <c r="CF67" s="905">
        <v>0</v>
      </c>
      <c r="CG67" s="905">
        <v>0</v>
      </c>
      <c r="CH67" s="904">
        <v>1.1189317164139588E-2</v>
      </c>
      <c r="CI67" s="905">
        <v>1.1189317164139588E-2</v>
      </c>
      <c r="CJ67" s="905">
        <v>1.1189317164139588E-2</v>
      </c>
      <c r="CK67" s="905">
        <v>1.1189317164139588E-2</v>
      </c>
      <c r="CL67" s="905">
        <v>1.1189317164139588E-2</v>
      </c>
      <c r="CM67" s="906">
        <v>1.1189317164139588E-2</v>
      </c>
      <c r="CN67" s="905">
        <v>4.138614251188418E-6</v>
      </c>
      <c r="CO67" s="905">
        <v>0</v>
      </c>
      <c r="CP67" s="905">
        <v>4.138614251188418E-6</v>
      </c>
      <c r="CQ67" s="905">
        <v>6.9933232275872417E-3</v>
      </c>
      <c r="CR67" s="904">
        <v>4.138614251188418E-6</v>
      </c>
      <c r="CS67" s="905">
        <v>0</v>
      </c>
      <c r="CT67" s="905">
        <v>4.138614251188418E-6</v>
      </c>
      <c r="CU67" s="906">
        <v>6.9933232275872417E-3</v>
      </c>
      <c r="CV67" s="905">
        <v>4.138614251188418E-6</v>
      </c>
      <c r="CW67" s="905">
        <v>0</v>
      </c>
      <c r="CX67" s="905">
        <v>4.138614251188418E-6</v>
      </c>
      <c r="CY67" s="905">
        <v>6.9933232275872417E-3</v>
      </c>
      <c r="CZ67" s="904">
        <v>4.138614251188418E-6</v>
      </c>
      <c r="DA67" s="905">
        <v>0</v>
      </c>
      <c r="DB67" s="905">
        <v>4.138614251188418E-6</v>
      </c>
      <c r="DC67" s="906">
        <v>6.9933232275872417E-3</v>
      </c>
      <c r="DD67" s="905">
        <v>4.138614251188418E-6</v>
      </c>
      <c r="DE67" s="905">
        <v>0</v>
      </c>
      <c r="DF67" s="905">
        <v>4.138614251188418E-6</v>
      </c>
      <c r="DG67" s="906">
        <v>6.9933232275872417E-3</v>
      </c>
      <c r="DH67" s="905">
        <v>4.138614251188418E-6</v>
      </c>
      <c r="DI67" s="905">
        <v>0</v>
      </c>
      <c r="DJ67" s="905">
        <v>4.138614251188418E-6</v>
      </c>
      <c r="DK67" s="905">
        <v>6.9933232275872417E-3</v>
      </c>
      <c r="DL67" s="904">
        <v>0</v>
      </c>
      <c r="DM67" s="905">
        <v>0</v>
      </c>
      <c r="DN67" s="905">
        <v>0</v>
      </c>
      <c r="DO67" s="905">
        <v>4.1710821405401416E-2</v>
      </c>
      <c r="DP67" s="905">
        <v>7.2993937459452457E-2</v>
      </c>
      <c r="DQ67" s="905">
        <v>7.2993937459452457E-2</v>
      </c>
      <c r="DR67" s="905">
        <v>0</v>
      </c>
      <c r="DS67" s="905">
        <v>4.1710821405401416E-2</v>
      </c>
      <c r="DT67" s="905">
        <v>5.213852675675177E-3</v>
      </c>
      <c r="DU67" s="905">
        <v>5.213852675675177E-3</v>
      </c>
      <c r="DV67" s="905">
        <v>5.213852675675177E-3</v>
      </c>
      <c r="DW67" s="906">
        <v>5.213852675675177E-3</v>
      </c>
      <c r="DX67" s="905">
        <v>0</v>
      </c>
      <c r="DY67" s="905">
        <v>0</v>
      </c>
      <c r="DZ67" s="905">
        <v>0</v>
      </c>
      <c r="EA67" s="906">
        <v>0</v>
      </c>
      <c r="EB67" s="906">
        <v>6.9933232275872417E-3</v>
      </c>
    </row>
    <row r="68" spans="1:132" x14ac:dyDescent="0.45">
      <c r="A68" s="744" t="s">
        <v>3369</v>
      </c>
      <c r="B68" s="905">
        <v>2.7034852254628263</v>
      </c>
      <c r="C68" s="905">
        <v>2.7034852254628263</v>
      </c>
      <c r="D68" s="905">
        <v>2.7034852254628263</v>
      </c>
      <c r="E68" s="905">
        <v>2.4331367029165438</v>
      </c>
      <c r="F68" s="905">
        <v>2.7034852254628263</v>
      </c>
      <c r="G68" s="905">
        <v>2.7034852254628263</v>
      </c>
      <c r="H68" s="905">
        <v>2.7034852254628263</v>
      </c>
      <c r="I68" s="905">
        <v>2.7034852254628263</v>
      </c>
      <c r="J68" s="905">
        <v>2.7034852254628263</v>
      </c>
      <c r="K68" s="905">
        <v>2.7034852254628263</v>
      </c>
      <c r="L68" s="905">
        <v>2.7034852254628263</v>
      </c>
      <c r="M68" s="905">
        <v>2.7034852254628263</v>
      </c>
      <c r="N68" s="905">
        <v>0.54069704509256533</v>
      </c>
      <c r="O68" s="905">
        <v>0.54069704509256533</v>
      </c>
      <c r="P68" s="905">
        <v>2.7034852254628263</v>
      </c>
      <c r="Q68" s="905">
        <v>2.7034852254628263</v>
      </c>
      <c r="R68" s="905">
        <v>2.7034852254628263</v>
      </c>
      <c r="S68" s="905">
        <v>2.7034852254628263</v>
      </c>
      <c r="T68" s="905">
        <v>2.7034852254628263</v>
      </c>
      <c r="U68" s="905">
        <v>2.7034852254628263</v>
      </c>
      <c r="V68" s="904">
        <v>2.7034852254628263</v>
      </c>
      <c r="W68" s="905">
        <v>2.7034852254628263</v>
      </c>
      <c r="X68" s="905">
        <v>2.7034852254628263</v>
      </c>
      <c r="Y68" s="905">
        <v>2.7034852254628263</v>
      </c>
      <c r="Z68" s="906">
        <v>2.7034852254628263</v>
      </c>
      <c r="AA68" s="905">
        <v>2.8062825183831279</v>
      </c>
      <c r="AB68" s="905">
        <v>2.8062825183831279</v>
      </c>
      <c r="AC68" s="905">
        <v>2.8062825183831279</v>
      </c>
      <c r="AD68" s="905">
        <v>2.8062825183831279</v>
      </c>
      <c r="AE68" s="905">
        <v>2.8062825183831279</v>
      </c>
      <c r="AF68" s="905">
        <v>2.8062825183831279</v>
      </c>
      <c r="AG68" s="905">
        <v>2.8062825183831279</v>
      </c>
      <c r="AH68" s="904">
        <v>2.7034852254628263</v>
      </c>
      <c r="AI68" s="905">
        <v>2.7034852254628263</v>
      </c>
      <c r="AJ68" s="905">
        <v>2.7034852254628263</v>
      </c>
      <c r="AK68" s="905">
        <v>2.7034852254628263</v>
      </c>
      <c r="AL68" s="905">
        <v>2.7034852254628263</v>
      </c>
      <c r="AM68" s="905">
        <v>2.7034852254628263</v>
      </c>
      <c r="AN68" s="905">
        <v>2.7034852254628263</v>
      </c>
      <c r="AO68" s="905">
        <v>2.7034852254628263</v>
      </c>
      <c r="AP68" s="905">
        <v>2.7034852254628263</v>
      </c>
      <c r="AQ68" s="905">
        <v>0.54069704509256533</v>
      </c>
      <c r="AR68" s="906">
        <v>0.54069704509256533</v>
      </c>
      <c r="AS68" s="905">
        <v>1.5679110596638645E-3</v>
      </c>
      <c r="AT68" s="905">
        <v>0</v>
      </c>
      <c r="AU68" s="905">
        <v>1.5679110596638645E-3</v>
      </c>
      <c r="AV68" s="905">
        <v>2.7034852254628263</v>
      </c>
      <c r="AW68" s="904">
        <v>1.5679110596638645E-3</v>
      </c>
      <c r="AX68" s="905">
        <v>0</v>
      </c>
      <c r="AY68" s="905">
        <v>1.5679110596638645E-3</v>
      </c>
      <c r="AZ68" s="906">
        <v>2.7034852254628263</v>
      </c>
      <c r="BA68" s="904">
        <v>1.5679110596638645E-3</v>
      </c>
      <c r="BB68" s="905">
        <v>0</v>
      </c>
      <c r="BC68" s="905">
        <v>1.5679110596638645E-3</v>
      </c>
      <c r="BD68" s="906">
        <v>2.7034852254628263</v>
      </c>
      <c r="BE68" s="905">
        <v>1.5679110596638645E-3</v>
      </c>
      <c r="BF68" s="905">
        <v>0</v>
      </c>
      <c r="BG68" s="905">
        <v>1.5679110596638645E-3</v>
      </c>
      <c r="BH68" s="905">
        <v>2.7034852254628263</v>
      </c>
      <c r="BI68" s="904">
        <v>1.5679110596638645E-3</v>
      </c>
      <c r="BJ68" s="905">
        <v>0</v>
      </c>
      <c r="BK68" s="905">
        <v>1.5679110596638645E-3</v>
      </c>
      <c r="BL68" s="906">
        <v>2.7034852254628263</v>
      </c>
      <c r="BM68" s="905">
        <v>1.5679110596638645E-3</v>
      </c>
      <c r="BN68" s="905">
        <v>0</v>
      </c>
      <c r="BO68" s="905">
        <v>1.5679110596638645E-3</v>
      </c>
      <c r="BP68" s="905">
        <v>2.7034852254628263</v>
      </c>
      <c r="BQ68" s="904">
        <v>1.5679110596638645E-3</v>
      </c>
      <c r="BR68" s="905">
        <v>0</v>
      </c>
      <c r="BS68" s="905">
        <v>1.5679110596638645E-3</v>
      </c>
      <c r="BT68" s="906">
        <v>2.7034852254628263</v>
      </c>
      <c r="BU68" s="905">
        <v>0.12919972262180482</v>
      </c>
      <c r="BV68" s="905">
        <v>0</v>
      </c>
      <c r="BW68" s="905">
        <v>0.12919972262180482</v>
      </c>
      <c r="BX68" s="905">
        <v>2.7034852254628263</v>
      </c>
      <c r="BY68" s="904">
        <v>0.12919972262180482</v>
      </c>
      <c r="BZ68" s="905">
        <v>0</v>
      </c>
      <c r="CA68" s="905">
        <v>0.12919972262180482</v>
      </c>
      <c r="CB68" s="906">
        <v>2.7034852254628263</v>
      </c>
      <c r="CC68" s="905">
        <v>2.2177124616023558E-2</v>
      </c>
      <c r="CD68" s="905">
        <v>0</v>
      </c>
      <c r="CE68" s="905">
        <v>2.2177124616023558E-2</v>
      </c>
      <c r="CF68" s="905">
        <v>0.54069704509256533</v>
      </c>
      <c r="CG68" s="905">
        <v>0.54069704509256533</v>
      </c>
      <c r="CH68" s="904">
        <v>2.8062825183831279</v>
      </c>
      <c r="CI68" s="905">
        <v>2.8062825183831279</v>
      </c>
      <c r="CJ68" s="905">
        <v>2.8062825183831279</v>
      </c>
      <c r="CK68" s="905">
        <v>2.8062825183831279</v>
      </c>
      <c r="CL68" s="905">
        <v>2.8062825183831279</v>
      </c>
      <c r="CM68" s="906">
        <v>2.8062825183831279</v>
      </c>
      <c r="CN68" s="905">
        <v>1.6607441763346481E-3</v>
      </c>
      <c r="CO68" s="905">
        <v>0</v>
      </c>
      <c r="CP68" s="905">
        <v>1.6607441763346481E-3</v>
      </c>
      <c r="CQ68" s="905">
        <v>2.8062825183831279</v>
      </c>
      <c r="CR68" s="904">
        <v>1.6607441763346481E-3</v>
      </c>
      <c r="CS68" s="905">
        <v>0</v>
      </c>
      <c r="CT68" s="905">
        <v>1.6607441763346481E-3</v>
      </c>
      <c r="CU68" s="906">
        <v>2.8062825183831279</v>
      </c>
      <c r="CV68" s="905">
        <v>1.6607441763346481E-3</v>
      </c>
      <c r="CW68" s="905">
        <v>0</v>
      </c>
      <c r="CX68" s="905">
        <v>1.6607441763346481E-3</v>
      </c>
      <c r="CY68" s="905">
        <v>2.8062825183831279</v>
      </c>
      <c r="CZ68" s="904">
        <v>1.6607441763346481E-3</v>
      </c>
      <c r="DA68" s="905">
        <v>0</v>
      </c>
      <c r="DB68" s="905">
        <v>1.6607441763346481E-3</v>
      </c>
      <c r="DC68" s="906">
        <v>2.8062825183831279</v>
      </c>
      <c r="DD68" s="905">
        <v>1.6607441763346481E-3</v>
      </c>
      <c r="DE68" s="905">
        <v>0</v>
      </c>
      <c r="DF68" s="905">
        <v>1.6607441763346481E-3</v>
      </c>
      <c r="DG68" s="906">
        <v>2.8062825183831279</v>
      </c>
      <c r="DH68" s="905">
        <v>1.6607441763346481E-3</v>
      </c>
      <c r="DI68" s="905">
        <v>0</v>
      </c>
      <c r="DJ68" s="905">
        <v>1.6607441763346481E-3</v>
      </c>
      <c r="DK68" s="905">
        <v>2.8062825183831279</v>
      </c>
      <c r="DL68" s="904">
        <v>0</v>
      </c>
      <c r="DM68" s="905">
        <v>0</v>
      </c>
      <c r="DN68" s="905">
        <v>0</v>
      </c>
      <c r="DO68" s="905">
        <v>0.54069704509256533</v>
      </c>
      <c r="DP68" s="905">
        <v>0.54069704509256533</v>
      </c>
      <c r="DQ68" s="905">
        <v>0.54069704509256533</v>
      </c>
      <c r="DR68" s="905">
        <v>0.54069704509256533</v>
      </c>
      <c r="DS68" s="905">
        <v>0.54069704509256533</v>
      </c>
      <c r="DT68" s="905">
        <v>0.54069704509256533</v>
      </c>
      <c r="DU68" s="905">
        <v>0.54069704509256533</v>
      </c>
      <c r="DV68" s="905">
        <v>0.54069704509256533</v>
      </c>
      <c r="DW68" s="906">
        <v>0.54069704509256533</v>
      </c>
      <c r="DX68" s="905">
        <v>0</v>
      </c>
      <c r="DY68" s="905">
        <v>0</v>
      </c>
      <c r="DZ68" s="905">
        <v>0</v>
      </c>
      <c r="EA68" s="906">
        <v>0</v>
      </c>
      <c r="EB68" s="906">
        <v>2.8062825183831279</v>
      </c>
    </row>
    <row r="69" spans="1:132" x14ac:dyDescent="0.45">
      <c r="A69" s="744" t="s">
        <v>3370</v>
      </c>
      <c r="B69" s="905">
        <v>0.12003872770223388</v>
      </c>
      <c r="C69" s="905">
        <v>0.12003872770223388</v>
      </c>
      <c r="D69" s="905">
        <v>0.12003872770223388</v>
      </c>
      <c r="E69" s="905">
        <v>0.12003872770223388</v>
      </c>
      <c r="F69" s="905">
        <v>0.12003872770223388</v>
      </c>
      <c r="G69" s="905">
        <v>0.12003872770223388</v>
      </c>
      <c r="H69" s="905">
        <v>0.12003872770223388</v>
      </c>
      <c r="I69" s="905">
        <v>0.12003872770223388</v>
      </c>
      <c r="J69" s="905">
        <v>0.12003872770223388</v>
      </c>
      <c r="K69" s="905">
        <v>0.12003872770223388</v>
      </c>
      <c r="L69" s="905">
        <v>0.12003872770223388</v>
      </c>
      <c r="M69" s="905">
        <v>0.12003872770223388</v>
      </c>
      <c r="N69" s="905">
        <v>0.12003872770223388</v>
      </c>
      <c r="O69" s="905">
        <v>0.12003872770223388</v>
      </c>
      <c r="P69" s="905">
        <v>0.12003872770223388</v>
      </c>
      <c r="Q69" s="905">
        <v>0.12003872770223388</v>
      </c>
      <c r="R69" s="905">
        <v>0.12003872770223388</v>
      </c>
      <c r="S69" s="905">
        <v>0.12003872770223388</v>
      </c>
      <c r="T69" s="905">
        <v>0.12003872770223388</v>
      </c>
      <c r="U69" s="905">
        <v>0.12003872770223388</v>
      </c>
      <c r="V69" s="904">
        <v>0.12003872770223388</v>
      </c>
      <c r="W69" s="905">
        <v>0.12003872770223388</v>
      </c>
      <c r="X69" s="905">
        <v>0.12003872770223388</v>
      </c>
      <c r="Y69" s="905">
        <v>0.12003872770223388</v>
      </c>
      <c r="Z69" s="906">
        <v>0.12003872770223388</v>
      </c>
      <c r="AA69" s="905">
        <v>0.13143131209328698</v>
      </c>
      <c r="AB69" s="905">
        <v>0.13143131209328698</v>
      </c>
      <c r="AC69" s="905">
        <v>0.13143131209328698</v>
      </c>
      <c r="AD69" s="905">
        <v>0.13143131209328698</v>
      </c>
      <c r="AE69" s="905">
        <v>0.13143131209328698</v>
      </c>
      <c r="AF69" s="905">
        <v>0.13143131209328698</v>
      </c>
      <c r="AG69" s="905">
        <v>0.13143131209328698</v>
      </c>
      <c r="AH69" s="904">
        <v>0.10083253126987646</v>
      </c>
      <c r="AI69" s="905">
        <v>0.10083253126987646</v>
      </c>
      <c r="AJ69" s="905">
        <v>0.10083253126987646</v>
      </c>
      <c r="AK69" s="905">
        <v>0.10083253126987646</v>
      </c>
      <c r="AL69" s="905">
        <v>0.10083253126987646</v>
      </c>
      <c r="AM69" s="905">
        <v>0.10083253126987646</v>
      </c>
      <c r="AN69" s="905">
        <v>0.10083253126987646</v>
      </c>
      <c r="AO69" s="905">
        <v>0.10083253126987646</v>
      </c>
      <c r="AP69" s="905">
        <v>0.10083253126987646</v>
      </c>
      <c r="AQ69" s="905">
        <v>0.10083253126987646</v>
      </c>
      <c r="AR69" s="906">
        <v>0.10083253126987646</v>
      </c>
      <c r="AS69" s="905">
        <v>5.8478751599197754E-5</v>
      </c>
      <c r="AT69" s="905">
        <v>0</v>
      </c>
      <c r="AU69" s="905">
        <v>5.8478751599197754E-5</v>
      </c>
      <c r="AV69" s="905">
        <v>0.10083253126987646</v>
      </c>
      <c r="AW69" s="904">
        <v>5.8478751599197754E-5</v>
      </c>
      <c r="AX69" s="905">
        <v>0</v>
      </c>
      <c r="AY69" s="905">
        <v>5.8478751599197754E-5</v>
      </c>
      <c r="AZ69" s="906">
        <v>0.10083253126987646</v>
      </c>
      <c r="BA69" s="904">
        <v>5.8478751599197754E-5</v>
      </c>
      <c r="BB69" s="905">
        <v>0</v>
      </c>
      <c r="BC69" s="905">
        <v>5.8478751599197754E-5</v>
      </c>
      <c r="BD69" s="906">
        <v>0.10083253126987646</v>
      </c>
      <c r="BE69" s="905">
        <v>5.8478751599197754E-5</v>
      </c>
      <c r="BF69" s="905">
        <v>0</v>
      </c>
      <c r="BG69" s="905">
        <v>5.8478751599197754E-5</v>
      </c>
      <c r="BH69" s="905">
        <v>0.10083253126987646</v>
      </c>
      <c r="BI69" s="904">
        <v>5.8478751599197754E-5</v>
      </c>
      <c r="BJ69" s="905">
        <v>0</v>
      </c>
      <c r="BK69" s="905">
        <v>5.8478751599197754E-5</v>
      </c>
      <c r="BL69" s="906">
        <v>0.10083253126987646</v>
      </c>
      <c r="BM69" s="905">
        <v>5.8478751599197754E-5</v>
      </c>
      <c r="BN69" s="905">
        <v>0</v>
      </c>
      <c r="BO69" s="905">
        <v>5.8478751599197754E-5</v>
      </c>
      <c r="BP69" s="905">
        <v>0.10083253126987646</v>
      </c>
      <c r="BQ69" s="904">
        <v>5.8478751599197754E-5</v>
      </c>
      <c r="BR69" s="905">
        <v>0</v>
      </c>
      <c r="BS69" s="905">
        <v>5.8478751599197754E-5</v>
      </c>
      <c r="BT69" s="906">
        <v>0.10083253126987646</v>
      </c>
      <c r="BU69" s="905">
        <v>4.8187927748309534E-3</v>
      </c>
      <c r="BV69" s="905">
        <v>0</v>
      </c>
      <c r="BW69" s="905">
        <v>4.8187927748309534E-3</v>
      </c>
      <c r="BX69" s="905">
        <v>0.10083253126987646</v>
      </c>
      <c r="BY69" s="904">
        <v>4.8187927748309534E-3</v>
      </c>
      <c r="BZ69" s="905">
        <v>0</v>
      </c>
      <c r="CA69" s="905">
        <v>4.8187927748309534E-3</v>
      </c>
      <c r="CB69" s="906">
        <v>0.10083253126987646</v>
      </c>
      <c r="CC69" s="905">
        <v>4.1357274496262829E-3</v>
      </c>
      <c r="CD69" s="905">
        <v>0</v>
      </c>
      <c r="CE69" s="905">
        <v>4.1357274496262829E-3</v>
      </c>
      <c r="CF69" s="905">
        <v>0.10083253126987646</v>
      </c>
      <c r="CG69" s="905">
        <v>0.10083253126987646</v>
      </c>
      <c r="CH69" s="904">
        <v>0.11434524152115967</v>
      </c>
      <c r="CI69" s="905">
        <v>0.11434524152115967</v>
      </c>
      <c r="CJ69" s="905">
        <v>0.11434524152115967</v>
      </c>
      <c r="CK69" s="905">
        <v>0.11434524152115967</v>
      </c>
      <c r="CL69" s="905">
        <v>0.11434524152115967</v>
      </c>
      <c r="CM69" s="906">
        <v>0.11434524152115967</v>
      </c>
      <c r="CN69" s="905">
        <v>6.7668950899946013E-5</v>
      </c>
      <c r="CO69" s="905">
        <v>0</v>
      </c>
      <c r="CP69" s="905">
        <v>6.7668950899946013E-5</v>
      </c>
      <c r="CQ69" s="905">
        <v>0.11434524152115967</v>
      </c>
      <c r="CR69" s="904">
        <v>6.7668950899946013E-5</v>
      </c>
      <c r="CS69" s="905">
        <v>0</v>
      </c>
      <c r="CT69" s="905">
        <v>6.7668950899946013E-5</v>
      </c>
      <c r="CU69" s="906">
        <v>0.11434524152115967</v>
      </c>
      <c r="CV69" s="905">
        <v>6.7668950899946013E-5</v>
      </c>
      <c r="CW69" s="905">
        <v>0</v>
      </c>
      <c r="CX69" s="905">
        <v>6.7668950899946013E-5</v>
      </c>
      <c r="CY69" s="905">
        <v>0.11434524152115967</v>
      </c>
      <c r="CZ69" s="904">
        <v>6.7668950899946013E-5</v>
      </c>
      <c r="DA69" s="905">
        <v>0</v>
      </c>
      <c r="DB69" s="905">
        <v>6.7668950899946013E-5</v>
      </c>
      <c r="DC69" s="906">
        <v>0.11434524152115967</v>
      </c>
      <c r="DD69" s="905">
        <v>6.7668950899946013E-5</v>
      </c>
      <c r="DE69" s="905">
        <v>0</v>
      </c>
      <c r="DF69" s="905">
        <v>6.7668950899946013E-5</v>
      </c>
      <c r="DG69" s="906">
        <v>0.11434524152115967</v>
      </c>
      <c r="DH69" s="905">
        <v>6.7668950899946013E-5</v>
      </c>
      <c r="DI69" s="905">
        <v>0</v>
      </c>
      <c r="DJ69" s="905">
        <v>6.7668950899946013E-5</v>
      </c>
      <c r="DK69" s="905">
        <v>0.11434524152115967</v>
      </c>
      <c r="DL69" s="904">
        <v>0</v>
      </c>
      <c r="DM69" s="905">
        <v>0</v>
      </c>
      <c r="DN69" s="905">
        <v>0</v>
      </c>
      <c r="DO69" s="905">
        <v>2.4007745540446778E-2</v>
      </c>
      <c r="DP69" s="905">
        <v>2.4007745540446778E-2</v>
      </c>
      <c r="DQ69" s="905">
        <v>2.4007745540446778E-2</v>
      </c>
      <c r="DR69" s="905">
        <v>2.4007745540446778E-2</v>
      </c>
      <c r="DS69" s="905">
        <v>2.4007745540446778E-2</v>
      </c>
      <c r="DT69" s="905">
        <v>2.4007745540446778E-2</v>
      </c>
      <c r="DU69" s="905">
        <v>2.4007745540446778E-2</v>
      </c>
      <c r="DV69" s="905">
        <v>2.4007745540446778E-2</v>
      </c>
      <c r="DW69" s="906">
        <v>2.4007745540446778E-2</v>
      </c>
      <c r="DX69" s="905">
        <v>0</v>
      </c>
      <c r="DY69" s="905">
        <v>0</v>
      </c>
      <c r="DZ69" s="905">
        <v>0</v>
      </c>
      <c r="EA69" s="906">
        <v>0</v>
      </c>
      <c r="EB69" s="906">
        <v>0.13143131209328698</v>
      </c>
    </row>
    <row r="70" spans="1:132" x14ac:dyDescent="0.45">
      <c r="A70" s="744" t="s">
        <v>3371</v>
      </c>
      <c r="B70" s="905">
        <v>5.4061924805170409E-3</v>
      </c>
      <c r="C70" s="905">
        <v>5.4061924805170409E-3</v>
      </c>
      <c r="D70" s="905">
        <v>5.4061924805170409E-3</v>
      </c>
      <c r="E70" s="905">
        <v>5.4061924805170409E-3</v>
      </c>
      <c r="F70" s="905">
        <v>5.4061924805170409E-3</v>
      </c>
      <c r="G70" s="905">
        <v>5.4061924805170409E-3</v>
      </c>
      <c r="H70" s="905">
        <v>5.4061924805170409E-3</v>
      </c>
      <c r="I70" s="905">
        <v>5.4061924805170409E-3</v>
      </c>
      <c r="J70" s="905">
        <v>5.4061924805170409E-3</v>
      </c>
      <c r="K70" s="905">
        <v>5.4061924805170409E-3</v>
      </c>
      <c r="L70" s="905">
        <v>5.4061924805170409E-3</v>
      </c>
      <c r="M70" s="905">
        <v>5.4061924805170409E-3</v>
      </c>
      <c r="N70" s="905">
        <v>5.4061924805170406E-4</v>
      </c>
      <c r="O70" s="905">
        <v>5.4061924805170406E-4</v>
      </c>
      <c r="P70" s="905">
        <v>5.4061924805170409E-3</v>
      </c>
      <c r="Q70" s="905">
        <v>5.4061924805170409E-3</v>
      </c>
      <c r="R70" s="905">
        <v>5.4061924805170409E-3</v>
      </c>
      <c r="S70" s="905">
        <v>5.4061924805170409E-3</v>
      </c>
      <c r="T70" s="905">
        <v>5.4061924805170409E-3</v>
      </c>
      <c r="U70" s="905">
        <v>5.4061924805170409E-3</v>
      </c>
      <c r="V70" s="904">
        <v>5.4061924805170409E-3</v>
      </c>
      <c r="W70" s="905">
        <v>5.4061924805170409E-3</v>
      </c>
      <c r="X70" s="905">
        <v>5.4061924805170409E-3</v>
      </c>
      <c r="Y70" s="905">
        <v>5.4061924805170409E-3</v>
      </c>
      <c r="Z70" s="906">
        <v>5.4061924805170409E-3</v>
      </c>
      <c r="AA70" s="905">
        <v>5.5403185997475075E-3</v>
      </c>
      <c r="AB70" s="905">
        <v>5.5403185997475075E-3</v>
      </c>
      <c r="AC70" s="905">
        <v>5.5403185997475075E-3</v>
      </c>
      <c r="AD70" s="905">
        <v>5.5403185997475075E-3</v>
      </c>
      <c r="AE70" s="905">
        <v>5.5403185997475075E-3</v>
      </c>
      <c r="AF70" s="905">
        <v>5.5403185997475075E-3</v>
      </c>
      <c r="AG70" s="905">
        <v>5.5403185997475075E-3</v>
      </c>
      <c r="AH70" s="904">
        <v>5.4061924805170409E-3</v>
      </c>
      <c r="AI70" s="905">
        <v>5.4061924805170409E-3</v>
      </c>
      <c r="AJ70" s="905">
        <v>5.4061924805170409E-3</v>
      </c>
      <c r="AK70" s="905">
        <v>5.4061924805170409E-3</v>
      </c>
      <c r="AL70" s="905">
        <v>5.4061924805170409E-3</v>
      </c>
      <c r="AM70" s="905">
        <v>5.4061924805170409E-3</v>
      </c>
      <c r="AN70" s="905">
        <v>5.4061924805170409E-3</v>
      </c>
      <c r="AO70" s="905">
        <v>5.4061924805170409E-3</v>
      </c>
      <c r="AP70" s="905">
        <v>5.4061924805170409E-3</v>
      </c>
      <c r="AQ70" s="905">
        <v>5.4061924805170406E-4</v>
      </c>
      <c r="AR70" s="906">
        <v>5.4061924805170406E-4</v>
      </c>
      <c r="AS70" s="905">
        <v>3.1353709282517561E-6</v>
      </c>
      <c r="AT70" s="905">
        <v>0</v>
      </c>
      <c r="AU70" s="905">
        <v>3.1353709282517561E-6</v>
      </c>
      <c r="AV70" s="905">
        <v>5.4061924805170409E-3</v>
      </c>
      <c r="AW70" s="904">
        <v>3.1353709282517561E-6</v>
      </c>
      <c r="AX70" s="905">
        <v>0</v>
      </c>
      <c r="AY70" s="905">
        <v>3.1353709282517561E-6</v>
      </c>
      <c r="AZ70" s="906">
        <v>5.4061924805170409E-3</v>
      </c>
      <c r="BA70" s="904">
        <v>3.1353709282517561E-6</v>
      </c>
      <c r="BB70" s="905">
        <v>0</v>
      </c>
      <c r="BC70" s="905">
        <v>3.1353709282517561E-6</v>
      </c>
      <c r="BD70" s="906">
        <v>5.4061924805170409E-3</v>
      </c>
      <c r="BE70" s="905">
        <v>3.1353709282517561E-6</v>
      </c>
      <c r="BF70" s="905">
        <v>0</v>
      </c>
      <c r="BG70" s="905">
        <v>3.1353709282517561E-6</v>
      </c>
      <c r="BH70" s="905">
        <v>5.4061924805170409E-3</v>
      </c>
      <c r="BI70" s="904">
        <v>3.1353709282517561E-6</v>
      </c>
      <c r="BJ70" s="905">
        <v>0</v>
      </c>
      <c r="BK70" s="905">
        <v>3.1353709282517561E-6</v>
      </c>
      <c r="BL70" s="906">
        <v>5.4061924805170409E-3</v>
      </c>
      <c r="BM70" s="905">
        <v>3.1353709282517561E-6</v>
      </c>
      <c r="BN70" s="905">
        <v>0</v>
      </c>
      <c r="BO70" s="905">
        <v>3.1353709282517561E-6</v>
      </c>
      <c r="BP70" s="905">
        <v>5.4061924805170409E-3</v>
      </c>
      <c r="BQ70" s="904">
        <v>3.1353709282517561E-6</v>
      </c>
      <c r="BR70" s="905">
        <v>0</v>
      </c>
      <c r="BS70" s="905">
        <v>3.1353709282517561E-6</v>
      </c>
      <c r="BT70" s="906">
        <v>5.4061924805170409E-3</v>
      </c>
      <c r="BU70" s="905">
        <v>2.5836226599067571E-4</v>
      </c>
      <c r="BV70" s="905">
        <v>0</v>
      </c>
      <c r="BW70" s="905">
        <v>2.5836226599067571E-4</v>
      </c>
      <c r="BX70" s="905">
        <v>5.4061924805170409E-3</v>
      </c>
      <c r="BY70" s="904">
        <v>2.5836226599067571E-4</v>
      </c>
      <c r="BZ70" s="905">
        <v>0</v>
      </c>
      <c r="CA70" s="905">
        <v>2.5836226599067571E-4</v>
      </c>
      <c r="CB70" s="906">
        <v>5.4061924805170409E-3</v>
      </c>
      <c r="CC70" s="905">
        <v>2.2173933707758764E-5</v>
      </c>
      <c r="CD70" s="905">
        <v>0</v>
      </c>
      <c r="CE70" s="905">
        <v>2.2173933707758764E-5</v>
      </c>
      <c r="CF70" s="905">
        <v>5.4061924805170406E-4</v>
      </c>
      <c r="CG70" s="905">
        <v>5.4061924805170406E-4</v>
      </c>
      <c r="CH70" s="904">
        <v>5.5403185997475075E-3</v>
      </c>
      <c r="CI70" s="905">
        <v>5.5403185997475075E-3</v>
      </c>
      <c r="CJ70" s="905">
        <v>5.5403185997475075E-3</v>
      </c>
      <c r="CK70" s="905">
        <v>5.5403185997475075E-3</v>
      </c>
      <c r="CL70" s="905">
        <v>5.5403185997475075E-3</v>
      </c>
      <c r="CM70" s="906">
        <v>5.5403185997475075E-3</v>
      </c>
      <c r="CN70" s="905">
        <v>3.2787332669807238E-6</v>
      </c>
      <c r="CO70" s="905">
        <v>0</v>
      </c>
      <c r="CP70" s="905">
        <v>3.2787332669807238E-6</v>
      </c>
      <c r="CQ70" s="905">
        <v>5.5403185997475075E-3</v>
      </c>
      <c r="CR70" s="904">
        <v>3.2787332669807238E-6</v>
      </c>
      <c r="CS70" s="905">
        <v>0</v>
      </c>
      <c r="CT70" s="905">
        <v>3.2787332669807238E-6</v>
      </c>
      <c r="CU70" s="906">
        <v>5.5403185997475075E-3</v>
      </c>
      <c r="CV70" s="905">
        <v>3.2787332669807238E-6</v>
      </c>
      <c r="CW70" s="905">
        <v>0</v>
      </c>
      <c r="CX70" s="905">
        <v>3.2787332669807238E-6</v>
      </c>
      <c r="CY70" s="905">
        <v>5.5403185997475075E-3</v>
      </c>
      <c r="CZ70" s="904">
        <v>3.2787332669807238E-6</v>
      </c>
      <c r="DA70" s="905">
        <v>0</v>
      </c>
      <c r="DB70" s="905">
        <v>3.2787332669807238E-6</v>
      </c>
      <c r="DC70" s="906">
        <v>5.5403185997475075E-3</v>
      </c>
      <c r="DD70" s="905">
        <v>3.2787332669807238E-6</v>
      </c>
      <c r="DE70" s="905">
        <v>0</v>
      </c>
      <c r="DF70" s="905">
        <v>3.2787332669807238E-6</v>
      </c>
      <c r="DG70" s="906">
        <v>5.5403185997475075E-3</v>
      </c>
      <c r="DH70" s="905">
        <v>3.2787332669807238E-6</v>
      </c>
      <c r="DI70" s="905">
        <v>0</v>
      </c>
      <c r="DJ70" s="905">
        <v>3.2787332669807238E-6</v>
      </c>
      <c r="DK70" s="905">
        <v>5.5403185997475075E-3</v>
      </c>
      <c r="DL70" s="904">
        <v>0</v>
      </c>
      <c r="DM70" s="905">
        <v>0</v>
      </c>
      <c r="DN70" s="905">
        <v>0</v>
      </c>
      <c r="DO70" s="905">
        <v>0</v>
      </c>
      <c r="DP70" s="905">
        <v>0</v>
      </c>
      <c r="DQ70" s="905">
        <v>0</v>
      </c>
      <c r="DR70" s="905">
        <v>0</v>
      </c>
      <c r="DS70" s="905">
        <v>0</v>
      </c>
      <c r="DT70" s="905">
        <v>0</v>
      </c>
      <c r="DU70" s="905">
        <v>0</v>
      </c>
      <c r="DV70" s="905">
        <v>0</v>
      </c>
      <c r="DW70" s="906">
        <v>0</v>
      </c>
      <c r="DX70" s="905">
        <v>0</v>
      </c>
      <c r="DY70" s="905">
        <v>0</v>
      </c>
      <c r="DZ70" s="905">
        <v>0</v>
      </c>
      <c r="EA70" s="906">
        <v>0</v>
      </c>
      <c r="EB70" s="906">
        <v>5.5403185997475075E-3</v>
      </c>
    </row>
    <row r="71" spans="1:132" x14ac:dyDescent="0.45">
      <c r="A71" s="744" t="s">
        <v>3372</v>
      </c>
      <c r="B71" s="905">
        <v>1.7999999999999999E-2</v>
      </c>
      <c r="C71" s="905">
        <v>1.7999999999999999E-2</v>
      </c>
      <c r="D71" s="905">
        <v>1.7999999999999999E-2</v>
      </c>
      <c r="E71" s="905">
        <v>1.7999999999999999E-2</v>
      </c>
      <c r="F71" s="905">
        <v>1.7999999999999999E-2</v>
      </c>
      <c r="G71" s="905">
        <v>1.7999999999999999E-2</v>
      </c>
      <c r="H71" s="905">
        <v>1.7999999999999999E-2</v>
      </c>
      <c r="I71" s="905">
        <v>1.7999999999999999E-2</v>
      </c>
      <c r="J71" s="905">
        <v>1.7999999999999999E-2</v>
      </c>
      <c r="K71" s="905">
        <v>1.7999999999999999E-2</v>
      </c>
      <c r="L71" s="905">
        <v>1.7999999999999999E-2</v>
      </c>
      <c r="M71" s="905">
        <v>1.7999999999999999E-2</v>
      </c>
      <c r="N71" s="905">
        <v>1.7999999999999999E-2</v>
      </c>
      <c r="O71" s="905">
        <v>1.7999999999999999E-2</v>
      </c>
      <c r="P71" s="905">
        <v>1.7999999999999999E-2</v>
      </c>
      <c r="Q71" s="905">
        <v>1.7999999999999999E-2</v>
      </c>
      <c r="R71" s="905">
        <v>1.7999999999999999E-2</v>
      </c>
      <c r="S71" s="905">
        <v>1.7999999999999999E-2</v>
      </c>
      <c r="T71" s="905">
        <v>1.7999999999999999E-2</v>
      </c>
      <c r="U71" s="905">
        <v>1.7999999999999999E-2</v>
      </c>
      <c r="V71" s="904">
        <v>1.7999999999999999E-2</v>
      </c>
      <c r="W71" s="905">
        <v>1.7999999999999999E-2</v>
      </c>
      <c r="X71" s="905">
        <v>1.7999999999999999E-2</v>
      </c>
      <c r="Y71" s="905">
        <v>1.7999999999999999E-2</v>
      </c>
      <c r="Z71" s="906">
        <v>1.7999999999999999E-2</v>
      </c>
      <c r="AA71" s="905">
        <v>1.7999999999999999E-2</v>
      </c>
      <c r="AB71" s="905">
        <v>1.7999999999999999E-2</v>
      </c>
      <c r="AC71" s="905">
        <v>1.7999999999999999E-2</v>
      </c>
      <c r="AD71" s="905">
        <v>1.7999999999999999E-2</v>
      </c>
      <c r="AE71" s="905">
        <v>1.7999999999999999E-2</v>
      </c>
      <c r="AF71" s="905">
        <v>1.7999999999999999E-2</v>
      </c>
      <c r="AG71" s="905">
        <v>1.7999999999999999E-2</v>
      </c>
      <c r="AH71" s="904">
        <v>1.7999999999999999E-2</v>
      </c>
      <c r="AI71" s="905">
        <v>1.7999999999999999E-2</v>
      </c>
      <c r="AJ71" s="905">
        <v>1.7999999999999999E-2</v>
      </c>
      <c r="AK71" s="905">
        <v>1.7999999999999999E-2</v>
      </c>
      <c r="AL71" s="905">
        <v>1.7999999999999999E-2</v>
      </c>
      <c r="AM71" s="905">
        <v>1.7999999999999999E-2</v>
      </c>
      <c r="AN71" s="905">
        <v>1.7999999999999999E-2</v>
      </c>
      <c r="AO71" s="905">
        <v>1.7999999999999999E-2</v>
      </c>
      <c r="AP71" s="905">
        <v>1.7999999999999999E-2</v>
      </c>
      <c r="AQ71" s="905">
        <v>1.7999999999999999E-2</v>
      </c>
      <c r="AR71" s="906">
        <v>1.7999999999999999E-2</v>
      </c>
      <c r="AS71" s="905">
        <v>1.7999999999999999E-2</v>
      </c>
      <c r="AT71" s="905">
        <v>1.7999999999999999E-2</v>
      </c>
      <c r="AU71" s="905">
        <v>0</v>
      </c>
      <c r="AV71" s="905">
        <v>1.7999999999999999E-2</v>
      </c>
      <c r="AW71" s="904">
        <v>1.7999999999999999E-2</v>
      </c>
      <c r="AX71" s="905">
        <v>1.7999999999999999E-2</v>
      </c>
      <c r="AY71" s="905">
        <v>0</v>
      </c>
      <c r="AZ71" s="906">
        <v>1.7999999999999999E-2</v>
      </c>
      <c r="BA71" s="904">
        <v>1.7999999999999999E-2</v>
      </c>
      <c r="BB71" s="905">
        <v>1.7999999999999999E-2</v>
      </c>
      <c r="BC71" s="905">
        <v>0</v>
      </c>
      <c r="BD71" s="906">
        <v>1.7999999999999999E-2</v>
      </c>
      <c r="BE71" s="905">
        <v>1.7999999999999999E-2</v>
      </c>
      <c r="BF71" s="905">
        <v>1.7999999999999999E-2</v>
      </c>
      <c r="BG71" s="905">
        <v>0</v>
      </c>
      <c r="BH71" s="905">
        <v>1.7999999999999999E-2</v>
      </c>
      <c r="BI71" s="904">
        <v>1.7999999999999999E-2</v>
      </c>
      <c r="BJ71" s="905">
        <v>1.7999999999999999E-2</v>
      </c>
      <c r="BK71" s="905">
        <v>0</v>
      </c>
      <c r="BL71" s="906">
        <v>1.7999999999999999E-2</v>
      </c>
      <c r="BM71" s="905">
        <v>1.7999999999999999E-2</v>
      </c>
      <c r="BN71" s="905">
        <v>1.7999999999999999E-2</v>
      </c>
      <c r="BO71" s="905">
        <v>0</v>
      </c>
      <c r="BP71" s="905">
        <v>1.7999999999999999E-2</v>
      </c>
      <c r="BQ71" s="904">
        <v>1.7999999999999999E-2</v>
      </c>
      <c r="BR71" s="905">
        <v>1.7999999999999999E-2</v>
      </c>
      <c r="BS71" s="905">
        <v>0</v>
      </c>
      <c r="BT71" s="906">
        <v>1.7999999999999999E-2</v>
      </c>
      <c r="BU71" s="905">
        <v>1.7999999999999999E-2</v>
      </c>
      <c r="BV71" s="905">
        <v>1.7999999999999999E-2</v>
      </c>
      <c r="BW71" s="905">
        <v>0</v>
      </c>
      <c r="BX71" s="905">
        <v>1.7999999999999999E-2</v>
      </c>
      <c r="BY71" s="904">
        <v>1.7999999999999999E-2</v>
      </c>
      <c r="BZ71" s="905">
        <v>1.7999999999999999E-2</v>
      </c>
      <c r="CA71" s="905">
        <v>0</v>
      </c>
      <c r="CB71" s="906">
        <v>1.7999999999999999E-2</v>
      </c>
      <c r="CC71" s="905">
        <v>1.7999999999999999E-2</v>
      </c>
      <c r="CD71" s="905">
        <v>1.7999999999999999E-2</v>
      </c>
      <c r="CE71" s="905">
        <v>0</v>
      </c>
      <c r="CF71" s="905">
        <v>1.7999999999999999E-2</v>
      </c>
      <c r="CG71" s="905">
        <v>1.7999999999999999E-2</v>
      </c>
      <c r="CH71" s="904">
        <v>1.7999999999999999E-2</v>
      </c>
      <c r="CI71" s="905">
        <v>1.7999999999999999E-2</v>
      </c>
      <c r="CJ71" s="905">
        <v>1.7999999999999999E-2</v>
      </c>
      <c r="CK71" s="905">
        <v>1.7999999999999999E-2</v>
      </c>
      <c r="CL71" s="905">
        <v>1.7999999999999999E-2</v>
      </c>
      <c r="CM71" s="906">
        <v>1.7999999999999999E-2</v>
      </c>
      <c r="CN71" s="905">
        <v>1.7999999999999999E-2</v>
      </c>
      <c r="CO71" s="905">
        <v>1.7999999999999999E-2</v>
      </c>
      <c r="CP71" s="905">
        <v>0</v>
      </c>
      <c r="CQ71" s="905">
        <v>1.7999999999999999E-2</v>
      </c>
      <c r="CR71" s="904">
        <v>1.7999999999999999E-2</v>
      </c>
      <c r="CS71" s="905">
        <v>1.7999999999999999E-2</v>
      </c>
      <c r="CT71" s="905">
        <v>0</v>
      </c>
      <c r="CU71" s="906">
        <v>1.7999999999999999E-2</v>
      </c>
      <c r="CV71" s="905">
        <v>1.7999999999999999E-2</v>
      </c>
      <c r="CW71" s="905">
        <v>1.7999999999999999E-2</v>
      </c>
      <c r="CX71" s="905">
        <v>0</v>
      </c>
      <c r="CY71" s="905">
        <v>1.7999999999999999E-2</v>
      </c>
      <c r="CZ71" s="904">
        <v>1.7999999999999999E-2</v>
      </c>
      <c r="DA71" s="905">
        <v>1.7999999999999999E-2</v>
      </c>
      <c r="DB71" s="905">
        <v>0</v>
      </c>
      <c r="DC71" s="906">
        <v>1.7999999999999999E-2</v>
      </c>
      <c r="DD71" s="905">
        <v>1.7999999999999999E-2</v>
      </c>
      <c r="DE71" s="905">
        <v>1.7999999999999999E-2</v>
      </c>
      <c r="DF71" s="905">
        <v>0</v>
      </c>
      <c r="DG71" s="906">
        <v>1.7999999999999999E-2</v>
      </c>
      <c r="DH71" s="905">
        <v>1.7999999999999999E-2</v>
      </c>
      <c r="DI71" s="905">
        <v>1.7999999999999999E-2</v>
      </c>
      <c r="DJ71" s="905">
        <v>0</v>
      </c>
      <c r="DK71" s="905">
        <v>1.7999999999999999E-2</v>
      </c>
      <c r="DL71" s="904">
        <v>1.7999999999999999E-2</v>
      </c>
      <c r="DM71" s="905">
        <v>1.7999999999999999E-2</v>
      </c>
      <c r="DN71" s="905">
        <v>1.7999999999999999E-2</v>
      </c>
      <c r="DO71" s="905">
        <v>1.7999999999999999E-2</v>
      </c>
      <c r="DP71" s="905">
        <v>1.7999999999999999E-2</v>
      </c>
      <c r="DQ71" s="905">
        <v>1.7999999999999999E-2</v>
      </c>
      <c r="DR71" s="905">
        <v>1.7999999999999999E-2</v>
      </c>
      <c r="DS71" s="905">
        <v>1.7999999999999999E-2</v>
      </c>
      <c r="DT71" s="905">
        <v>1.7999999999999999E-2</v>
      </c>
      <c r="DU71" s="905">
        <v>1.7999999999999999E-2</v>
      </c>
      <c r="DV71" s="905">
        <v>1.7999999999999999E-2</v>
      </c>
      <c r="DW71" s="906">
        <v>1.7999999999999999E-2</v>
      </c>
      <c r="DX71" s="905">
        <v>1.7999999999999999E-2</v>
      </c>
      <c r="DY71" s="905">
        <v>1.7999999999999999E-2</v>
      </c>
      <c r="DZ71" s="905">
        <v>0</v>
      </c>
      <c r="EA71" s="906">
        <v>1.7999999999999999E-2</v>
      </c>
      <c r="EB71" s="906">
        <v>1.7999999999999999E-2</v>
      </c>
    </row>
    <row r="72" spans="1:132" x14ac:dyDescent="0.45">
      <c r="A72" s="744" t="s">
        <v>3373</v>
      </c>
      <c r="B72" s="905">
        <v>4.7824234282000692E-3</v>
      </c>
      <c r="C72" s="905">
        <v>4.7824234282000692E-3</v>
      </c>
      <c r="D72" s="905">
        <v>4.7824234282000692E-3</v>
      </c>
      <c r="E72" s="905">
        <v>4.7824234282000692E-3</v>
      </c>
      <c r="F72" s="905">
        <v>4.7824234282000692E-3</v>
      </c>
      <c r="G72" s="905">
        <v>4.7824234282000692E-3</v>
      </c>
      <c r="H72" s="905">
        <v>4.7824234282000692E-3</v>
      </c>
      <c r="I72" s="905">
        <v>4.7824234282000692E-3</v>
      </c>
      <c r="J72" s="905">
        <v>4.7824234282000692E-3</v>
      </c>
      <c r="K72" s="905">
        <v>4.7824234282000692E-3</v>
      </c>
      <c r="L72" s="905">
        <v>4.7824234282000692E-3</v>
      </c>
      <c r="M72" s="905">
        <v>4.7824234282000692E-3</v>
      </c>
      <c r="N72" s="905">
        <v>4.7824234282000695E-4</v>
      </c>
      <c r="O72" s="905">
        <v>4.7824234282000695E-4</v>
      </c>
      <c r="P72" s="905">
        <v>4.7824234282000692E-3</v>
      </c>
      <c r="Q72" s="905">
        <v>4.7824234282000692E-3</v>
      </c>
      <c r="R72" s="905">
        <v>4.7824234282000692E-3</v>
      </c>
      <c r="S72" s="905">
        <v>4.7824234282000692E-3</v>
      </c>
      <c r="T72" s="905">
        <v>4.7824234282000692E-3</v>
      </c>
      <c r="U72" s="905">
        <v>4.7824234282000692E-3</v>
      </c>
      <c r="V72" s="904">
        <v>4.7824234282000692E-3</v>
      </c>
      <c r="W72" s="905">
        <v>4.7824234282000692E-3</v>
      </c>
      <c r="X72" s="905">
        <v>4.7824234282000692E-3</v>
      </c>
      <c r="Y72" s="905">
        <v>4.7824234282000692E-3</v>
      </c>
      <c r="Z72" s="906">
        <v>4.7824234282000692E-3</v>
      </c>
      <c r="AA72" s="905">
        <v>5.0970706765192551E-3</v>
      </c>
      <c r="AB72" s="905">
        <v>5.0970706765192551E-3</v>
      </c>
      <c r="AC72" s="905">
        <v>3.3130959397375159E-3</v>
      </c>
      <c r="AD72" s="905">
        <v>5.0970706765192551E-3</v>
      </c>
      <c r="AE72" s="905">
        <v>5.0970706765192551E-3</v>
      </c>
      <c r="AF72" s="905">
        <v>5.0970706765192551E-3</v>
      </c>
      <c r="AG72" s="905">
        <v>5.0970706765192551E-3</v>
      </c>
      <c r="AH72" s="904">
        <v>4.7824234282000692E-3</v>
      </c>
      <c r="AI72" s="905">
        <v>4.7824234282000692E-3</v>
      </c>
      <c r="AJ72" s="905">
        <v>4.7824234282000692E-3</v>
      </c>
      <c r="AK72" s="905">
        <v>4.7824234282000692E-3</v>
      </c>
      <c r="AL72" s="905">
        <v>4.7824234282000692E-3</v>
      </c>
      <c r="AM72" s="905">
        <v>4.7824234282000692E-3</v>
      </c>
      <c r="AN72" s="905">
        <v>4.7824234282000692E-3</v>
      </c>
      <c r="AO72" s="905">
        <v>4.7824234282000692E-3</v>
      </c>
      <c r="AP72" s="905">
        <v>4.7824234282000692E-3</v>
      </c>
      <c r="AQ72" s="905">
        <v>4.7824234282000695E-4</v>
      </c>
      <c r="AR72" s="906">
        <v>4.7824234282000695E-4</v>
      </c>
      <c r="AS72" s="905">
        <v>2.7736103435840906E-6</v>
      </c>
      <c r="AT72" s="905">
        <v>0</v>
      </c>
      <c r="AU72" s="905">
        <v>2.7736103435840906E-6</v>
      </c>
      <c r="AV72" s="905">
        <v>4.7824234282000692E-3</v>
      </c>
      <c r="AW72" s="904">
        <v>2.7736103435840906E-6</v>
      </c>
      <c r="AX72" s="905">
        <v>0</v>
      </c>
      <c r="AY72" s="905">
        <v>2.7736103435840906E-6</v>
      </c>
      <c r="AZ72" s="906">
        <v>4.7824234282000692E-3</v>
      </c>
      <c r="BA72" s="904">
        <v>2.7736103435840906E-6</v>
      </c>
      <c r="BB72" s="905">
        <v>0</v>
      </c>
      <c r="BC72" s="905">
        <v>2.7736103435840906E-6</v>
      </c>
      <c r="BD72" s="906">
        <v>4.7824234282000692E-3</v>
      </c>
      <c r="BE72" s="905">
        <v>2.7736103435840906E-6</v>
      </c>
      <c r="BF72" s="905">
        <v>0</v>
      </c>
      <c r="BG72" s="905">
        <v>2.7736103435840906E-6</v>
      </c>
      <c r="BH72" s="905">
        <v>4.7824234282000692E-3</v>
      </c>
      <c r="BI72" s="904">
        <v>2.7736103435840906E-6</v>
      </c>
      <c r="BJ72" s="905">
        <v>0</v>
      </c>
      <c r="BK72" s="905">
        <v>2.7736103435840906E-6</v>
      </c>
      <c r="BL72" s="906">
        <v>4.7824234282000692E-3</v>
      </c>
      <c r="BM72" s="905">
        <v>2.7736103435840906E-6</v>
      </c>
      <c r="BN72" s="905">
        <v>0</v>
      </c>
      <c r="BO72" s="905">
        <v>2.7736103435840906E-6</v>
      </c>
      <c r="BP72" s="905">
        <v>4.7824234282000692E-3</v>
      </c>
      <c r="BQ72" s="904">
        <v>2.7736103435840906E-6</v>
      </c>
      <c r="BR72" s="905">
        <v>0</v>
      </c>
      <c r="BS72" s="905">
        <v>2.7736103435840906E-6</v>
      </c>
      <c r="BT72" s="906">
        <v>4.7824234282000692E-3</v>
      </c>
      <c r="BU72" s="905">
        <v>2.2855230521102247E-4</v>
      </c>
      <c r="BV72" s="905">
        <v>0</v>
      </c>
      <c r="BW72" s="905">
        <v>2.2855230521102247E-4</v>
      </c>
      <c r="BX72" s="905">
        <v>4.7824234282000692E-3</v>
      </c>
      <c r="BY72" s="904">
        <v>2.2855230521102247E-4</v>
      </c>
      <c r="BZ72" s="905">
        <v>0</v>
      </c>
      <c r="CA72" s="905">
        <v>2.2855230521102247E-4</v>
      </c>
      <c r="CB72" s="906">
        <v>4.7824234282000692E-3</v>
      </c>
      <c r="CC72" s="905">
        <v>1.9615494720454111E-5</v>
      </c>
      <c r="CD72" s="905">
        <v>0</v>
      </c>
      <c r="CE72" s="905">
        <v>1.9615494720454111E-5</v>
      </c>
      <c r="CF72" s="905">
        <v>4.7824234282000695E-4</v>
      </c>
      <c r="CG72" s="905">
        <v>4.7824234282000695E-4</v>
      </c>
      <c r="CH72" s="904">
        <v>5.0970706765192551E-3</v>
      </c>
      <c r="CI72" s="905">
        <v>5.0970706765192551E-3</v>
      </c>
      <c r="CJ72" s="905">
        <v>3.3130959397375159E-3</v>
      </c>
      <c r="CK72" s="905">
        <v>5.0970706765192551E-3</v>
      </c>
      <c r="CL72" s="905">
        <v>5.0970706765192551E-3</v>
      </c>
      <c r="CM72" s="906">
        <v>5.0970706765192551E-3</v>
      </c>
      <c r="CN72" s="905">
        <v>3.0164213285527025E-6</v>
      </c>
      <c r="CO72" s="905">
        <v>0</v>
      </c>
      <c r="CP72" s="905">
        <v>3.0164213285527025E-6</v>
      </c>
      <c r="CQ72" s="905">
        <v>5.0970706765192551E-3</v>
      </c>
      <c r="CR72" s="904">
        <v>3.0164213285527025E-6</v>
      </c>
      <c r="CS72" s="905">
        <v>0</v>
      </c>
      <c r="CT72" s="905">
        <v>3.0164213285527025E-6</v>
      </c>
      <c r="CU72" s="906">
        <v>5.0970706765192551E-3</v>
      </c>
      <c r="CV72" s="905">
        <v>3.0164213285527025E-6</v>
      </c>
      <c r="CW72" s="905">
        <v>0</v>
      </c>
      <c r="CX72" s="905">
        <v>3.0164213285527025E-6</v>
      </c>
      <c r="CY72" s="905">
        <v>5.0970706765192551E-3</v>
      </c>
      <c r="CZ72" s="904">
        <v>3.0164213285527025E-6</v>
      </c>
      <c r="DA72" s="905">
        <v>0</v>
      </c>
      <c r="DB72" s="905">
        <v>3.0164213285527025E-6</v>
      </c>
      <c r="DC72" s="906">
        <v>5.0970706765192551E-3</v>
      </c>
      <c r="DD72" s="905">
        <v>3.0164213285527025E-6</v>
      </c>
      <c r="DE72" s="905">
        <v>0</v>
      </c>
      <c r="DF72" s="905">
        <v>3.0164213285527025E-6</v>
      </c>
      <c r="DG72" s="906">
        <v>5.0970706765192551E-3</v>
      </c>
      <c r="DH72" s="905">
        <v>3.0164213285527025E-6</v>
      </c>
      <c r="DI72" s="905">
        <v>0</v>
      </c>
      <c r="DJ72" s="905">
        <v>3.0164213285527025E-6</v>
      </c>
      <c r="DK72" s="905">
        <v>5.0970706765192551E-3</v>
      </c>
      <c r="DL72" s="904">
        <v>0</v>
      </c>
      <c r="DM72" s="905">
        <v>0</v>
      </c>
      <c r="DN72" s="905">
        <v>0</v>
      </c>
      <c r="DO72" s="905">
        <v>0</v>
      </c>
      <c r="DP72" s="905">
        <v>0</v>
      </c>
      <c r="DQ72" s="905">
        <v>0</v>
      </c>
      <c r="DR72" s="905">
        <v>0</v>
      </c>
      <c r="DS72" s="905">
        <v>0</v>
      </c>
      <c r="DT72" s="905">
        <v>0</v>
      </c>
      <c r="DU72" s="905">
        <v>0</v>
      </c>
      <c r="DV72" s="905">
        <v>0</v>
      </c>
      <c r="DW72" s="906">
        <v>0</v>
      </c>
      <c r="DX72" s="905">
        <v>0</v>
      </c>
      <c r="DY72" s="905">
        <v>0</v>
      </c>
      <c r="DZ72" s="905">
        <v>0</v>
      </c>
      <c r="EA72" s="906">
        <v>0</v>
      </c>
      <c r="EB72" s="906">
        <v>5.0970706765192551E-3</v>
      </c>
    </row>
    <row r="73" spans="1:132" x14ac:dyDescent="0.45">
      <c r="A73" s="744" t="s">
        <v>3374</v>
      </c>
      <c r="B73" s="905">
        <v>4.5999999999999999E-3</v>
      </c>
      <c r="C73" s="905">
        <v>4.5999999999999999E-3</v>
      </c>
      <c r="D73" s="905">
        <v>4.5999999999999999E-3</v>
      </c>
      <c r="E73" s="905">
        <v>4.5999999999999999E-3</v>
      </c>
      <c r="F73" s="905">
        <v>4.5999999999999999E-3</v>
      </c>
      <c r="G73" s="905">
        <v>4.5999999999999999E-3</v>
      </c>
      <c r="H73" s="905">
        <v>4.5999999999999999E-3</v>
      </c>
      <c r="I73" s="905">
        <v>4.5999999999999999E-3</v>
      </c>
      <c r="J73" s="905">
        <v>4.5999999999999999E-3</v>
      </c>
      <c r="K73" s="905">
        <v>4.5999999999999999E-3</v>
      </c>
      <c r="L73" s="905">
        <v>4.5999999999999999E-3</v>
      </c>
      <c r="M73" s="905">
        <v>4.5999999999999999E-3</v>
      </c>
      <c r="N73" s="905">
        <v>4.5999999999999999E-3</v>
      </c>
      <c r="O73" s="905">
        <v>4.5999999999999999E-3</v>
      </c>
      <c r="P73" s="905">
        <v>4.5999999999999999E-3</v>
      </c>
      <c r="Q73" s="905">
        <v>4.5999999999999999E-3</v>
      </c>
      <c r="R73" s="905">
        <v>4.5999999999999999E-3</v>
      </c>
      <c r="S73" s="905">
        <v>4.5999999999999999E-3</v>
      </c>
      <c r="T73" s="905">
        <v>4.5999999999999999E-3</v>
      </c>
      <c r="U73" s="905">
        <v>4.5999999999999999E-3</v>
      </c>
      <c r="V73" s="904">
        <v>4.5999999999999999E-3</v>
      </c>
      <c r="W73" s="905">
        <v>4.5999999999999999E-3</v>
      </c>
      <c r="X73" s="905">
        <v>4.5999999999999999E-3</v>
      </c>
      <c r="Y73" s="905">
        <v>4.5999999999999999E-3</v>
      </c>
      <c r="Z73" s="906">
        <v>4.5999999999999999E-3</v>
      </c>
      <c r="AA73" s="905">
        <v>4.5999999999999999E-3</v>
      </c>
      <c r="AB73" s="905">
        <v>4.5999999999999999E-3</v>
      </c>
      <c r="AC73" s="905">
        <v>4.5999999999999999E-3</v>
      </c>
      <c r="AD73" s="905">
        <v>4.5999999999999999E-3</v>
      </c>
      <c r="AE73" s="905">
        <v>4.5999999999999999E-3</v>
      </c>
      <c r="AF73" s="905">
        <v>4.5999999999999999E-3</v>
      </c>
      <c r="AG73" s="905">
        <v>4.5999999999999999E-3</v>
      </c>
      <c r="AH73" s="904">
        <v>4.5999999999999999E-3</v>
      </c>
      <c r="AI73" s="905">
        <v>4.5999999999999999E-3</v>
      </c>
      <c r="AJ73" s="905">
        <v>4.5999999999999999E-3</v>
      </c>
      <c r="AK73" s="905">
        <v>4.5999999999999999E-3</v>
      </c>
      <c r="AL73" s="905">
        <v>4.5999999999999999E-3</v>
      </c>
      <c r="AM73" s="905">
        <v>4.5999999999999999E-3</v>
      </c>
      <c r="AN73" s="905">
        <v>4.5999999999999999E-3</v>
      </c>
      <c r="AO73" s="905">
        <v>4.5999999999999999E-3</v>
      </c>
      <c r="AP73" s="905">
        <v>4.5999999999999999E-3</v>
      </c>
      <c r="AQ73" s="905">
        <v>4.5999999999999999E-3</v>
      </c>
      <c r="AR73" s="906">
        <v>4.5999999999999999E-3</v>
      </c>
      <c r="AS73" s="905">
        <v>4.5999999999999999E-3</v>
      </c>
      <c r="AT73" s="905">
        <v>4.5999999999999999E-3</v>
      </c>
      <c r="AU73" s="905">
        <v>0</v>
      </c>
      <c r="AV73" s="905">
        <v>4.5999999999999999E-3</v>
      </c>
      <c r="AW73" s="904">
        <v>4.5999999999999999E-3</v>
      </c>
      <c r="AX73" s="905">
        <v>4.5999999999999999E-3</v>
      </c>
      <c r="AY73" s="905">
        <v>0</v>
      </c>
      <c r="AZ73" s="906">
        <v>4.5999999999999999E-3</v>
      </c>
      <c r="BA73" s="904">
        <v>4.5999999999999999E-3</v>
      </c>
      <c r="BB73" s="905">
        <v>4.5999999999999999E-3</v>
      </c>
      <c r="BC73" s="905">
        <v>0</v>
      </c>
      <c r="BD73" s="906">
        <v>4.5999999999999999E-3</v>
      </c>
      <c r="BE73" s="905">
        <v>4.5999999999999999E-3</v>
      </c>
      <c r="BF73" s="905">
        <v>4.5999999999999999E-3</v>
      </c>
      <c r="BG73" s="905">
        <v>0</v>
      </c>
      <c r="BH73" s="905">
        <v>4.5999999999999999E-3</v>
      </c>
      <c r="BI73" s="904">
        <v>4.5999999999999999E-3</v>
      </c>
      <c r="BJ73" s="905">
        <v>4.5999999999999999E-3</v>
      </c>
      <c r="BK73" s="905">
        <v>0</v>
      </c>
      <c r="BL73" s="906">
        <v>4.5999999999999999E-3</v>
      </c>
      <c r="BM73" s="905">
        <v>4.5999999999999999E-3</v>
      </c>
      <c r="BN73" s="905">
        <v>4.5999999999999999E-3</v>
      </c>
      <c r="BO73" s="905">
        <v>0</v>
      </c>
      <c r="BP73" s="905">
        <v>4.5999999999999999E-3</v>
      </c>
      <c r="BQ73" s="904">
        <v>4.5999999999999999E-3</v>
      </c>
      <c r="BR73" s="905">
        <v>4.5999999999999999E-3</v>
      </c>
      <c r="BS73" s="905">
        <v>0</v>
      </c>
      <c r="BT73" s="906">
        <v>4.5999999999999999E-3</v>
      </c>
      <c r="BU73" s="905">
        <v>4.5999999999999999E-3</v>
      </c>
      <c r="BV73" s="905">
        <v>4.5999999999999999E-3</v>
      </c>
      <c r="BW73" s="905">
        <v>0</v>
      </c>
      <c r="BX73" s="905">
        <v>4.5999999999999999E-3</v>
      </c>
      <c r="BY73" s="904">
        <v>4.5999999999999999E-3</v>
      </c>
      <c r="BZ73" s="905">
        <v>4.5999999999999999E-3</v>
      </c>
      <c r="CA73" s="905">
        <v>0</v>
      </c>
      <c r="CB73" s="906">
        <v>4.5999999999999999E-3</v>
      </c>
      <c r="CC73" s="905">
        <v>4.5999999999999999E-3</v>
      </c>
      <c r="CD73" s="905">
        <v>4.5999999999999999E-3</v>
      </c>
      <c r="CE73" s="905">
        <v>0</v>
      </c>
      <c r="CF73" s="905">
        <v>4.5999999999999999E-3</v>
      </c>
      <c r="CG73" s="905">
        <v>4.5999999999999999E-3</v>
      </c>
      <c r="CH73" s="904">
        <v>4.5999999999999999E-3</v>
      </c>
      <c r="CI73" s="905">
        <v>4.5999999999999999E-3</v>
      </c>
      <c r="CJ73" s="905">
        <v>4.5999999999999999E-3</v>
      </c>
      <c r="CK73" s="905">
        <v>4.5999999999999999E-3</v>
      </c>
      <c r="CL73" s="905">
        <v>4.5999999999999999E-3</v>
      </c>
      <c r="CM73" s="906">
        <v>4.5999999999999999E-3</v>
      </c>
      <c r="CN73" s="905">
        <v>4.5999999999999999E-3</v>
      </c>
      <c r="CO73" s="905">
        <v>4.5999999999999999E-3</v>
      </c>
      <c r="CP73" s="905">
        <v>0</v>
      </c>
      <c r="CQ73" s="905">
        <v>4.5999999999999999E-3</v>
      </c>
      <c r="CR73" s="904">
        <v>4.5999999999999999E-3</v>
      </c>
      <c r="CS73" s="905">
        <v>4.5999999999999999E-3</v>
      </c>
      <c r="CT73" s="905">
        <v>0</v>
      </c>
      <c r="CU73" s="906">
        <v>4.5999999999999999E-3</v>
      </c>
      <c r="CV73" s="905">
        <v>4.5999999999999999E-3</v>
      </c>
      <c r="CW73" s="905">
        <v>4.5999999999999999E-3</v>
      </c>
      <c r="CX73" s="905">
        <v>0</v>
      </c>
      <c r="CY73" s="905">
        <v>4.5999999999999999E-3</v>
      </c>
      <c r="CZ73" s="904">
        <v>4.5999999999999999E-3</v>
      </c>
      <c r="DA73" s="905">
        <v>4.5999999999999999E-3</v>
      </c>
      <c r="DB73" s="905">
        <v>0</v>
      </c>
      <c r="DC73" s="906">
        <v>4.5999999999999999E-3</v>
      </c>
      <c r="DD73" s="905">
        <v>4.5999999999999999E-3</v>
      </c>
      <c r="DE73" s="905">
        <v>4.5999999999999999E-3</v>
      </c>
      <c r="DF73" s="905">
        <v>0</v>
      </c>
      <c r="DG73" s="906">
        <v>4.5999999999999999E-3</v>
      </c>
      <c r="DH73" s="905">
        <v>4.5999999999999999E-3</v>
      </c>
      <c r="DI73" s="905">
        <v>4.5999999999999999E-3</v>
      </c>
      <c r="DJ73" s="905">
        <v>0</v>
      </c>
      <c r="DK73" s="905">
        <v>4.5999999999999999E-3</v>
      </c>
      <c r="DL73" s="904">
        <v>4.5999999999999999E-3</v>
      </c>
      <c r="DM73" s="905">
        <v>4.5999999999999999E-3</v>
      </c>
      <c r="DN73" s="905">
        <v>4.5999999999999999E-3</v>
      </c>
      <c r="DO73" s="905">
        <v>4.5999999999999999E-3</v>
      </c>
      <c r="DP73" s="905">
        <v>4.5999999999999999E-3</v>
      </c>
      <c r="DQ73" s="905">
        <v>4.5999999999999999E-3</v>
      </c>
      <c r="DR73" s="905">
        <v>4.5999999999999999E-3</v>
      </c>
      <c r="DS73" s="905">
        <v>4.5999999999999999E-3</v>
      </c>
      <c r="DT73" s="905">
        <v>4.5999999999999999E-3</v>
      </c>
      <c r="DU73" s="905">
        <v>4.5999999999999999E-3</v>
      </c>
      <c r="DV73" s="905">
        <v>4.5999999999999999E-3</v>
      </c>
      <c r="DW73" s="906">
        <v>4.5999999999999999E-3</v>
      </c>
      <c r="DX73" s="905">
        <v>4.5999999999999999E-3</v>
      </c>
      <c r="DY73" s="905">
        <v>4.5999999999999999E-3</v>
      </c>
      <c r="DZ73" s="905">
        <v>0</v>
      </c>
      <c r="EA73" s="906">
        <v>4.5999999999999999E-3</v>
      </c>
      <c r="EB73" s="906">
        <v>4.5999999999999999E-3</v>
      </c>
    </row>
    <row r="74" spans="1:132" x14ac:dyDescent="0.45">
      <c r="A74" s="744" t="s">
        <v>3375</v>
      </c>
      <c r="B74" s="905">
        <v>1.962752278589947E-3</v>
      </c>
      <c r="C74" s="905">
        <v>1.962752278589947E-3</v>
      </c>
      <c r="D74" s="905">
        <v>1.9627522785899466E-3</v>
      </c>
      <c r="E74" s="905">
        <v>1.2696066941003876E-3</v>
      </c>
      <c r="F74" s="905">
        <v>1.2161495701382662E-3</v>
      </c>
      <c r="G74" s="905">
        <v>0</v>
      </c>
      <c r="H74" s="905">
        <v>0</v>
      </c>
      <c r="I74" s="905">
        <v>5.5059564627569601E-4</v>
      </c>
      <c r="J74" s="905">
        <v>3.5903614715072121E-4</v>
      </c>
      <c r="K74" s="905">
        <v>6.353006430533251E-4</v>
      </c>
      <c r="L74" s="905">
        <v>0</v>
      </c>
      <c r="M74" s="905">
        <v>5.937389187414254E-4</v>
      </c>
      <c r="N74" s="905">
        <v>0</v>
      </c>
      <c r="O74" s="905">
        <v>0</v>
      </c>
      <c r="P74" s="905">
        <v>0</v>
      </c>
      <c r="Q74" s="905">
        <v>2.0600396034146707E-3</v>
      </c>
      <c r="R74" s="905">
        <v>2.1643721021025741E-3</v>
      </c>
      <c r="S74" s="905">
        <v>1.962752278589947E-3</v>
      </c>
      <c r="T74" s="905">
        <v>1.962752278589947E-3</v>
      </c>
      <c r="U74" s="905">
        <v>1.962752278589947E-3</v>
      </c>
      <c r="V74" s="904">
        <v>1.7067411118173452E-3</v>
      </c>
      <c r="W74" s="905">
        <v>1.7067411118173452E-3</v>
      </c>
      <c r="X74" s="905">
        <v>1.7067411118173448E-3</v>
      </c>
      <c r="Y74" s="905">
        <v>3.34059719522845E-4</v>
      </c>
      <c r="Z74" s="906">
        <v>5.5243534178550028E-4</v>
      </c>
      <c r="AA74" s="905">
        <v>1.9527027049097323E-3</v>
      </c>
      <c r="AB74" s="905">
        <v>0</v>
      </c>
      <c r="AC74" s="905">
        <v>0</v>
      </c>
      <c r="AD74" s="905">
        <v>1.5865143139157302E-3</v>
      </c>
      <c r="AE74" s="905">
        <v>0</v>
      </c>
      <c r="AF74" s="905">
        <v>1.828597789979954E-3</v>
      </c>
      <c r="AG74" s="905">
        <v>1.828597789979954E-3</v>
      </c>
      <c r="AH74" s="904">
        <v>1.4019659132785338E-3</v>
      </c>
      <c r="AI74" s="905">
        <v>1.4019659132785338E-3</v>
      </c>
      <c r="AJ74" s="905">
        <v>0</v>
      </c>
      <c r="AK74" s="905">
        <v>1.4019659132785333E-3</v>
      </c>
      <c r="AL74" s="905">
        <v>8.2524435116525208E-4</v>
      </c>
      <c r="AM74" s="905">
        <v>0</v>
      </c>
      <c r="AN74" s="905">
        <v>0</v>
      </c>
      <c r="AO74" s="905">
        <v>2.7440619817947987E-4</v>
      </c>
      <c r="AP74" s="905">
        <v>4.5378617360951811E-4</v>
      </c>
      <c r="AQ74" s="905">
        <v>0</v>
      </c>
      <c r="AR74" s="906">
        <v>0</v>
      </c>
      <c r="AS74" s="905">
        <v>1.1383161912618871E-6</v>
      </c>
      <c r="AT74" s="905">
        <v>0</v>
      </c>
      <c r="AU74" s="905">
        <v>1.1383161912618871E-6</v>
      </c>
      <c r="AV74" s="905">
        <v>1.4012711484875642E-3</v>
      </c>
      <c r="AW74" s="904">
        <v>1.1383161912618871E-6</v>
      </c>
      <c r="AX74" s="905">
        <v>0</v>
      </c>
      <c r="AY74" s="905">
        <v>1.1383161912618871E-6</v>
      </c>
      <c r="AZ74" s="906">
        <v>1.4012711484875642E-3</v>
      </c>
      <c r="BA74" s="904">
        <v>0</v>
      </c>
      <c r="BB74" s="905">
        <v>0</v>
      </c>
      <c r="BC74" s="905">
        <v>0</v>
      </c>
      <c r="BD74" s="906">
        <v>0</v>
      </c>
      <c r="BE74" s="905">
        <v>1.1383161912618869E-6</v>
      </c>
      <c r="BF74" s="905">
        <v>0</v>
      </c>
      <c r="BG74" s="905">
        <v>1.1383161912618869E-6</v>
      </c>
      <c r="BH74" s="905">
        <v>1.401271148487564E-3</v>
      </c>
      <c r="BI74" s="904">
        <v>6.7005124574108322E-7</v>
      </c>
      <c r="BJ74" s="905">
        <v>0</v>
      </c>
      <c r="BK74" s="905">
        <v>6.7005124574108322E-7</v>
      </c>
      <c r="BL74" s="906">
        <v>8.2483538921139445E-4</v>
      </c>
      <c r="BM74" s="905">
        <v>0</v>
      </c>
      <c r="BN74" s="905">
        <v>0</v>
      </c>
      <c r="BO74" s="905">
        <v>0</v>
      </c>
      <c r="BP74" s="905">
        <v>0</v>
      </c>
      <c r="BQ74" s="904">
        <v>0</v>
      </c>
      <c r="BR74" s="905">
        <v>0</v>
      </c>
      <c r="BS74" s="905">
        <v>0</v>
      </c>
      <c r="BT74" s="906">
        <v>0</v>
      </c>
      <c r="BU74" s="905">
        <v>1.8359444356938433E-5</v>
      </c>
      <c r="BV74" s="905">
        <v>0</v>
      </c>
      <c r="BW74" s="905">
        <v>1.8359444356938433E-5</v>
      </c>
      <c r="BX74" s="905">
        <v>3.6901159866041988E-4</v>
      </c>
      <c r="BY74" s="904">
        <v>3.0361056199185235E-5</v>
      </c>
      <c r="BZ74" s="905">
        <v>0</v>
      </c>
      <c r="CA74" s="905">
        <v>3.0361056199185235E-5</v>
      </c>
      <c r="CB74" s="906">
        <v>6.1023534630263022E-4</v>
      </c>
      <c r="CC74" s="905">
        <v>0</v>
      </c>
      <c r="CD74" s="905">
        <v>0</v>
      </c>
      <c r="CE74" s="905">
        <v>0</v>
      </c>
      <c r="CF74" s="905">
        <v>0</v>
      </c>
      <c r="CG74" s="905">
        <v>0</v>
      </c>
      <c r="CH74" s="904">
        <v>1.4645270286822991E-3</v>
      </c>
      <c r="CI74" s="905">
        <v>0</v>
      </c>
      <c r="CJ74" s="905">
        <v>0</v>
      </c>
      <c r="CK74" s="905">
        <v>1.1898857354367973E-3</v>
      </c>
      <c r="CL74" s="905">
        <v>0</v>
      </c>
      <c r="CM74" s="906">
        <v>1.3714483424849655E-3</v>
      </c>
      <c r="CN74" s="905">
        <v>1.3867198148646316E-6</v>
      </c>
      <c r="CO74" s="905">
        <v>0</v>
      </c>
      <c r="CP74" s="905">
        <v>1.3867198148646316E-6</v>
      </c>
      <c r="CQ74" s="905">
        <v>1.730383581240178E-3</v>
      </c>
      <c r="CR74" s="904">
        <v>0</v>
      </c>
      <c r="CS74" s="905">
        <v>0</v>
      </c>
      <c r="CT74" s="905">
        <v>0</v>
      </c>
      <c r="CU74" s="906">
        <v>0</v>
      </c>
      <c r="CV74" s="905">
        <v>0</v>
      </c>
      <c r="CW74" s="905">
        <v>0</v>
      </c>
      <c r="CX74" s="905">
        <v>0</v>
      </c>
      <c r="CY74" s="905">
        <v>0</v>
      </c>
      <c r="CZ74" s="904">
        <v>1.1266696308361036E-6</v>
      </c>
      <c r="DA74" s="905">
        <v>0</v>
      </c>
      <c r="DB74" s="905">
        <v>1.1266696308361036E-6</v>
      </c>
      <c r="DC74" s="906">
        <v>1.4058864738087258E-3</v>
      </c>
      <c r="DD74" s="905">
        <v>0</v>
      </c>
      <c r="DE74" s="905">
        <v>0</v>
      </c>
      <c r="DF74" s="905">
        <v>0</v>
      </c>
      <c r="DG74" s="906">
        <v>0</v>
      </c>
      <c r="DH74" s="905">
        <v>1.298586201784412E-6</v>
      </c>
      <c r="DI74" s="905">
        <v>0</v>
      </c>
      <c r="DJ74" s="905">
        <v>1.298586201784412E-6</v>
      </c>
      <c r="DK74" s="905">
        <v>1.6204082600580298E-3</v>
      </c>
      <c r="DL74" s="904">
        <v>0</v>
      </c>
      <c r="DM74" s="905">
        <v>0</v>
      </c>
      <c r="DN74" s="905">
        <v>0</v>
      </c>
      <c r="DO74" s="905">
        <v>0</v>
      </c>
      <c r="DP74" s="905">
        <v>0</v>
      </c>
      <c r="DQ74" s="905">
        <v>0</v>
      </c>
      <c r="DR74" s="905">
        <v>0</v>
      </c>
      <c r="DS74" s="905">
        <v>0</v>
      </c>
      <c r="DT74" s="905">
        <v>0</v>
      </c>
      <c r="DU74" s="905">
        <v>0</v>
      </c>
      <c r="DV74" s="905">
        <v>0</v>
      </c>
      <c r="DW74" s="906">
        <v>0</v>
      </c>
      <c r="DX74" s="905">
        <v>0</v>
      </c>
      <c r="DY74" s="905">
        <v>0</v>
      </c>
      <c r="DZ74" s="905">
        <v>0</v>
      </c>
      <c r="EA74" s="906">
        <v>0</v>
      </c>
      <c r="EB74" s="906">
        <v>1.6496928731451592E-3</v>
      </c>
    </row>
    <row r="75" spans="1:132" x14ac:dyDescent="0.45">
      <c r="A75" s="744" t="s">
        <v>3376</v>
      </c>
      <c r="B75" s="905">
        <v>1.0808453996475826E-3</v>
      </c>
      <c r="C75" s="905">
        <v>1.0808453996475826E-3</v>
      </c>
      <c r="D75" s="905">
        <v>1.0808453996475826E-3</v>
      </c>
      <c r="E75" s="905">
        <v>1.0808453996475826E-3</v>
      </c>
      <c r="F75" s="905">
        <v>1.0808453996475826E-3</v>
      </c>
      <c r="G75" s="905">
        <v>1.0808453996475826E-3</v>
      </c>
      <c r="H75" s="905">
        <v>1.0808453996475826E-3</v>
      </c>
      <c r="I75" s="905">
        <v>1.0808453996475826E-3</v>
      </c>
      <c r="J75" s="905">
        <v>1.0808453996475826E-3</v>
      </c>
      <c r="K75" s="905">
        <v>1.0808453996475826E-3</v>
      </c>
      <c r="L75" s="905">
        <v>1.0808453996475826E-3</v>
      </c>
      <c r="M75" s="905">
        <v>1.0808453996475826E-3</v>
      </c>
      <c r="N75" s="905">
        <v>1.0808453996475827E-4</v>
      </c>
      <c r="O75" s="905">
        <v>1.0808453996475827E-4</v>
      </c>
      <c r="P75" s="905">
        <v>1.0808453996475826E-3</v>
      </c>
      <c r="Q75" s="905">
        <v>1.0808453996475826E-3</v>
      </c>
      <c r="R75" s="905">
        <v>1.0808453996475826E-3</v>
      </c>
      <c r="S75" s="905">
        <v>1.0808453996475826E-3</v>
      </c>
      <c r="T75" s="905">
        <v>1.0808453996475826E-3</v>
      </c>
      <c r="U75" s="905">
        <v>1.0808453996475826E-3</v>
      </c>
      <c r="V75" s="904">
        <v>1.0808453996475826E-3</v>
      </c>
      <c r="W75" s="905">
        <v>1.0808453996475826E-3</v>
      </c>
      <c r="X75" s="905">
        <v>1.0808453996475826E-3</v>
      </c>
      <c r="Y75" s="905">
        <v>1.0808453996475826E-3</v>
      </c>
      <c r="Z75" s="906">
        <v>1.0808453996475826E-3</v>
      </c>
      <c r="AA75" s="905">
        <v>9.531597718536554E-4</v>
      </c>
      <c r="AB75" s="905">
        <v>9.531597718536554E-4</v>
      </c>
      <c r="AC75" s="905">
        <v>6.1955385170487601E-4</v>
      </c>
      <c r="AD75" s="905">
        <v>9.531597718536554E-4</v>
      </c>
      <c r="AE75" s="905">
        <v>9.531597718536554E-4</v>
      </c>
      <c r="AF75" s="905">
        <v>9.531597718536554E-4</v>
      </c>
      <c r="AG75" s="905">
        <v>9.531597718536554E-4</v>
      </c>
      <c r="AH75" s="904">
        <v>1.0808453996475826E-3</v>
      </c>
      <c r="AI75" s="905">
        <v>1.0808453996475826E-3</v>
      </c>
      <c r="AJ75" s="905">
        <v>1.0808453996475826E-3</v>
      </c>
      <c r="AK75" s="905">
        <v>1.0808453996475826E-3</v>
      </c>
      <c r="AL75" s="905">
        <v>1.0808453996475826E-3</v>
      </c>
      <c r="AM75" s="905">
        <v>1.0808453996475826E-3</v>
      </c>
      <c r="AN75" s="905">
        <v>1.0808453996475826E-3</v>
      </c>
      <c r="AO75" s="905">
        <v>1.0808453996475826E-3</v>
      </c>
      <c r="AP75" s="905">
        <v>1.0808453996475826E-3</v>
      </c>
      <c r="AQ75" s="905">
        <v>1.0808453996475827E-4</v>
      </c>
      <c r="AR75" s="906">
        <v>1.0808453996475827E-4</v>
      </c>
      <c r="AS75" s="905">
        <v>6.2684620575432718E-7</v>
      </c>
      <c r="AT75" s="905">
        <v>0</v>
      </c>
      <c r="AU75" s="905">
        <v>6.2684620575432718E-7</v>
      </c>
      <c r="AV75" s="905">
        <v>1.0808453996475826E-3</v>
      </c>
      <c r="AW75" s="904">
        <v>6.2684620575432718E-7</v>
      </c>
      <c r="AX75" s="905">
        <v>0</v>
      </c>
      <c r="AY75" s="905">
        <v>6.2684620575432718E-7</v>
      </c>
      <c r="AZ75" s="906">
        <v>1.0808453996475826E-3</v>
      </c>
      <c r="BA75" s="904">
        <v>6.2684620575432718E-7</v>
      </c>
      <c r="BB75" s="905">
        <v>0</v>
      </c>
      <c r="BC75" s="905">
        <v>6.2684620575432718E-7</v>
      </c>
      <c r="BD75" s="906">
        <v>1.0808453996475826E-3</v>
      </c>
      <c r="BE75" s="905">
        <v>1.1298311793773004E-2</v>
      </c>
      <c r="BF75" s="905">
        <v>0</v>
      </c>
      <c r="BG75" s="905">
        <v>1.1298311793773004E-2</v>
      </c>
      <c r="BH75" s="905">
        <v>1.0808453996475826E-3</v>
      </c>
      <c r="BI75" s="904">
        <v>6.2684620575432718E-7</v>
      </c>
      <c r="BJ75" s="905">
        <v>0</v>
      </c>
      <c r="BK75" s="905">
        <v>6.2684620575432718E-7</v>
      </c>
      <c r="BL75" s="906">
        <v>1.0808453996475826E-3</v>
      </c>
      <c r="BM75" s="905">
        <v>6.2684620575432718E-7</v>
      </c>
      <c r="BN75" s="905">
        <v>0</v>
      </c>
      <c r="BO75" s="905">
        <v>6.2684620575432718E-7</v>
      </c>
      <c r="BP75" s="905">
        <v>1.0808453996475826E-3</v>
      </c>
      <c r="BQ75" s="904">
        <v>6.2684620575432718E-7</v>
      </c>
      <c r="BR75" s="905">
        <v>0</v>
      </c>
      <c r="BS75" s="905">
        <v>6.2684620575432718E-7</v>
      </c>
      <c r="BT75" s="906">
        <v>1.0808453996475826E-3</v>
      </c>
      <c r="BU75" s="905">
        <v>5.1653667094709111E-5</v>
      </c>
      <c r="BV75" s="905">
        <v>0</v>
      </c>
      <c r="BW75" s="905">
        <v>5.1653667094709111E-5</v>
      </c>
      <c r="BX75" s="905">
        <v>1.0808453996475826E-3</v>
      </c>
      <c r="BY75" s="904">
        <v>5.1653667094709111E-5</v>
      </c>
      <c r="BZ75" s="905">
        <v>0</v>
      </c>
      <c r="CA75" s="905">
        <v>5.1653667094709111E-5</v>
      </c>
      <c r="CB75" s="906">
        <v>1.0808453996475826E-3</v>
      </c>
      <c r="CC75" s="905">
        <v>4.4331744247902527E-6</v>
      </c>
      <c r="CD75" s="905">
        <v>0</v>
      </c>
      <c r="CE75" s="905">
        <v>4.4331744247902527E-6</v>
      </c>
      <c r="CF75" s="905">
        <v>1.0808453996475827E-4</v>
      </c>
      <c r="CG75" s="905">
        <v>1.0808453996475827E-4</v>
      </c>
      <c r="CH75" s="904">
        <v>9.531597718536554E-4</v>
      </c>
      <c r="CI75" s="905">
        <v>9.531597718536554E-4</v>
      </c>
      <c r="CJ75" s="905">
        <v>6.1955385170487601E-4</v>
      </c>
      <c r="CK75" s="905">
        <v>9.531597718536554E-4</v>
      </c>
      <c r="CL75" s="905">
        <v>9.531597718536554E-4</v>
      </c>
      <c r="CM75" s="906">
        <v>9.531597718536554E-4</v>
      </c>
      <c r="CN75" s="905">
        <v>5.6407525965506051E-7</v>
      </c>
      <c r="CO75" s="905">
        <v>0</v>
      </c>
      <c r="CP75" s="905">
        <v>5.6407525965506051E-7</v>
      </c>
      <c r="CQ75" s="905">
        <v>9.531597718536554E-4</v>
      </c>
      <c r="CR75" s="904">
        <v>5.6407525965506051E-7</v>
      </c>
      <c r="CS75" s="905">
        <v>0</v>
      </c>
      <c r="CT75" s="905">
        <v>5.6407525965506051E-7</v>
      </c>
      <c r="CU75" s="906">
        <v>9.531597718536554E-4</v>
      </c>
      <c r="CV75" s="905">
        <v>5.6407525965506051E-7</v>
      </c>
      <c r="CW75" s="905">
        <v>0</v>
      </c>
      <c r="CX75" s="905">
        <v>5.6407525965506051E-7</v>
      </c>
      <c r="CY75" s="905">
        <v>9.531597718536554E-4</v>
      </c>
      <c r="CZ75" s="904">
        <v>5.6407525965506051E-7</v>
      </c>
      <c r="DA75" s="905">
        <v>0</v>
      </c>
      <c r="DB75" s="905">
        <v>5.6407525965506051E-7</v>
      </c>
      <c r="DC75" s="906">
        <v>9.531597718536554E-4</v>
      </c>
      <c r="DD75" s="905">
        <v>5.6407525965506051E-7</v>
      </c>
      <c r="DE75" s="905">
        <v>0</v>
      </c>
      <c r="DF75" s="905">
        <v>5.6407525965506051E-7</v>
      </c>
      <c r="DG75" s="906">
        <v>9.531597718536554E-4</v>
      </c>
      <c r="DH75" s="905">
        <v>5.6407525965506051E-7</v>
      </c>
      <c r="DI75" s="905">
        <v>0</v>
      </c>
      <c r="DJ75" s="905">
        <v>5.6407525965506051E-7</v>
      </c>
      <c r="DK75" s="905">
        <v>9.531597718536554E-4</v>
      </c>
      <c r="DL75" s="904">
        <v>0</v>
      </c>
      <c r="DM75" s="905">
        <v>0</v>
      </c>
      <c r="DN75" s="905">
        <v>0</v>
      </c>
      <c r="DO75" s="905">
        <v>0</v>
      </c>
      <c r="DP75" s="905">
        <v>0</v>
      </c>
      <c r="DQ75" s="905">
        <v>0</v>
      </c>
      <c r="DR75" s="905">
        <v>0</v>
      </c>
      <c r="DS75" s="905">
        <v>0</v>
      </c>
      <c r="DT75" s="905">
        <v>0</v>
      </c>
      <c r="DU75" s="905">
        <v>0</v>
      </c>
      <c r="DV75" s="905">
        <v>0</v>
      </c>
      <c r="DW75" s="906">
        <v>0</v>
      </c>
      <c r="DX75" s="905">
        <v>0</v>
      </c>
      <c r="DY75" s="905">
        <v>0</v>
      </c>
      <c r="DZ75" s="905">
        <v>0</v>
      </c>
      <c r="EA75" s="906">
        <v>0</v>
      </c>
      <c r="EB75" s="906">
        <v>9.531597718536554E-4</v>
      </c>
    </row>
    <row r="76" spans="1:132" x14ac:dyDescent="0.45">
      <c r="A76" s="744" t="s">
        <v>3377</v>
      </c>
      <c r="B76" s="905">
        <v>2.4638741827322994E-3</v>
      </c>
      <c r="C76" s="905">
        <v>2.4638741827322994E-3</v>
      </c>
      <c r="D76" s="905">
        <v>2.4638741827322994E-3</v>
      </c>
      <c r="E76" s="905">
        <v>2.4638741827322994E-3</v>
      </c>
      <c r="F76" s="905">
        <v>2.4638741827322994E-3</v>
      </c>
      <c r="G76" s="905">
        <v>2.4638741827322994E-3</v>
      </c>
      <c r="H76" s="905">
        <v>2.4638741827322994E-3</v>
      </c>
      <c r="I76" s="905">
        <v>2.4638741827322994E-3</v>
      </c>
      <c r="J76" s="905">
        <v>2.4638741827322994E-3</v>
      </c>
      <c r="K76" s="905">
        <v>2.4638741827322994E-3</v>
      </c>
      <c r="L76" s="905">
        <v>2.4638741827322994E-3</v>
      </c>
      <c r="M76" s="905">
        <v>2.4638741827322994E-3</v>
      </c>
      <c r="N76" s="905">
        <v>2.4638741827322995E-4</v>
      </c>
      <c r="O76" s="905">
        <v>2.4638741827322995E-4</v>
      </c>
      <c r="P76" s="905">
        <v>2.4638741827322994E-3</v>
      </c>
      <c r="Q76" s="905">
        <v>2.4638741827322994E-3</v>
      </c>
      <c r="R76" s="905">
        <v>2.4638741827322994E-3</v>
      </c>
      <c r="S76" s="905">
        <v>2.4638741827322994E-3</v>
      </c>
      <c r="T76" s="905">
        <v>2.4638741827322994E-3</v>
      </c>
      <c r="U76" s="905">
        <v>2.4638741827322994E-3</v>
      </c>
      <c r="V76" s="904">
        <v>2.4638741827322994E-3</v>
      </c>
      <c r="W76" s="905">
        <v>2.4638741827322994E-3</v>
      </c>
      <c r="X76" s="905">
        <v>2.4638741827322994E-3</v>
      </c>
      <c r="Y76" s="905">
        <v>2.4638741827322994E-3</v>
      </c>
      <c r="Z76" s="906">
        <v>2.4638741827322994E-3</v>
      </c>
      <c r="AA76" s="905">
        <v>6.7377901673666121E-4</v>
      </c>
      <c r="AB76" s="905">
        <v>6.7377901673666121E-4</v>
      </c>
      <c r="AC76" s="905">
        <v>4.3795636087882978E-4</v>
      </c>
      <c r="AD76" s="905">
        <v>6.7377901673666121E-4</v>
      </c>
      <c r="AE76" s="905">
        <v>6.7377901673666121E-4</v>
      </c>
      <c r="AF76" s="905">
        <v>6.7377901673666121E-4</v>
      </c>
      <c r="AG76" s="905">
        <v>6.7377901673666121E-4</v>
      </c>
      <c r="AH76" s="904">
        <v>2.4638741827322994E-3</v>
      </c>
      <c r="AI76" s="905">
        <v>2.4638741827322994E-3</v>
      </c>
      <c r="AJ76" s="905">
        <v>2.4638741827322994E-3</v>
      </c>
      <c r="AK76" s="905">
        <v>2.4638741827322994E-3</v>
      </c>
      <c r="AL76" s="905">
        <v>2.4638741827322994E-3</v>
      </c>
      <c r="AM76" s="905">
        <v>2.4638741827322994E-3</v>
      </c>
      <c r="AN76" s="905">
        <v>2.4638741827322994E-3</v>
      </c>
      <c r="AO76" s="905">
        <v>2.4638741827322994E-3</v>
      </c>
      <c r="AP76" s="905">
        <v>2.4638741827322994E-3</v>
      </c>
      <c r="AQ76" s="905">
        <v>2.4638741827322995E-4</v>
      </c>
      <c r="AR76" s="906">
        <v>2.4638741827322995E-4</v>
      </c>
      <c r="AS76" s="905">
        <v>1.4289464371179923E-6</v>
      </c>
      <c r="AT76" s="905">
        <v>0</v>
      </c>
      <c r="AU76" s="905">
        <v>1.4289464371179923E-6</v>
      </c>
      <c r="AV76" s="905">
        <v>2.4638741827322994E-3</v>
      </c>
      <c r="AW76" s="904">
        <v>1.4289464371179923E-6</v>
      </c>
      <c r="AX76" s="905">
        <v>0</v>
      </c>
      <c r="AY76" s="905">
        <v>1.4289464371179923E-6</v>
      </c>
      <c r="AZ76" s="906">
        <v>2.4638741827322994E-3</v>
      </c>
      <c r="BA76" s="904">
        <v>1.4289464371179923E-6</v>
      </c>
      <c r="BB76" s="905">
        <v>0</v>
      </c>
      <c r="BC76" s="905">
        <v>1.4289464371179923E-6</v>
      </c>
      <c r="BD76" s="906">
        <v>2.4638741827322994E-3</v>
      </c>
      <c r="BE76" s="905">
        <v>2.7595287890529712E-2</v>
      </c>
      <c r="BF76" s="905">
        <v>0</v>
      </c>
      <c r="BG76" s="905">
        <v>2.7595287890529712E-2</v>
      </c>
      <c r="BH76" s="905">
        <v>2.4638741827322994E-3</v>
      </c>
      <c r="BI76" s="904">
        <v>1.4289464371179923E-6</v>
      </c>
      <c r="BJ76" s="905">
        <v>0</v>
      </c>
      <c r="BK76" s="905">
        <v>1.4289464371179923E-6</v>
      </c>
      <c r="BL76" s="906">
        <v>2.4638741827322994E-3</v>
      </c>
      <c r="BM76" s="905">
        <v>1.4289464371179923E-6</v>
      </c>
      <c r="BN76" s="905">
        <v>0</v>
      </c>
      <c r="BO76" s="905">
        <v>1.4289464371179923E-6</v>
      </c>
      <c r="BP76" s="905">
        <v>2.4638741827322994E-3</v>
      </c>
      <c r="BQ76" s="904">
        <v>1.4289464371179923E-6</v>
      </c>
      <c r="BR76" s="905">
        <v>0</v>
      </c>
      <c r="BS76" s="905">
        <v>1.4289464371179923E-6</v>
      </c>
      <c r="BT76" s="906">
        <v>2.4638741827322994E-3</v>
      </c>
      <c r="BU76" s="905">
        <v>1.17748696381184E-4</v>
      </c>
      <c r="BV76" s="905">
        <v>0</v>
      </c>
      <c r="BW76" s="905">
        <v>1.17748696381184E-4</v>
      </c>
      <c r="BX76" s="905">
        <v>2.4638741827322994E-3</v>
      </c>
      <c r="BY76" s="904">
        <v>1.17748696381184E-4</v>
      </c>
      <c r="BZ76" s="905">
        <v>0</v>
      </c>
      <c r="CA76" s="905">
        <v>1.17748696381184E-4</v>
      </c>
      <c r="CB76" s="906">
        <v>2.4638741827322994E-3</v>
      </c>
      <c r="CC76" s="905">
        <v>1.0105778325328735E-5</v>
      </c>
      <c r="CD76" s="905">
        <v>0</v>
      </c>
      <c r="CE76" s="905">
        <v>1.0105778325328735E-5</v>
      </c>
      <c r="CF76" s="905">
        <v>2.4638741827322995E-4</v>
      </c>
      <c r="CG76" s="905">
        <v>2.4638741827322995E-4</v>
      </c>
      <c r="CH76" s="904">
        <v>6.7377901673666121E-4</v>
      </c>
      <c r="CI76" s="905">
        <v>6.7377901673666121E-4</v>
      </c>
      <c r="CJ76" s="905">
        <v>4.3795636087882978E-4</v>
      </c>
      <c r="CK76" s="905">
        <v>6.7377901673666121E-4</v>
      </c>
      <c r="CL76" s="905">
        <v>6.7377901673666121E-4</v>
      </c>
      <c r="CM76" s="906">
        <v>6.7377901673666121E-4</v>
      </c>
      <c r="CN76" s="905">
        <v>3.9873910443863851E-7</v>
      </c>
      <c r="CO76" s="905">
        <v>0</v>
      </c>
      <c r="CP76" s="905">
        <v>3.9873910443863851E-7</v>
      </c>
      <c r="CQ76" s="905">
        <v>6.7377901673666121E-4</v>
      </c>
      <c r="CR76" s="904">
        <v>3.9873910443863851E-7</v>
      </c>
      <c r="CS76" s="905">
        <v>0</v>
      </c>
      <c r="CT76" s="905">
        <v>3.9873910443863851E-7</v>
      </c>
      <c r="CU76" s="906">
        <v>6.7377901673666121E-4</v>
      </c>
      <c r="CV76" s="905">
        <v>3.9873910443863851E-7</v>
      </c>
      <c r="CW76" s="905">
        <v>0</v>
      </c>
      <c r="CX76" s="905">
        <v>3.9873910443863851E-7</v>
      </c>
      <c r="CY76" s="905">
        <v>6.7377901673666121E-4</v>
      </c>
      <c r="CZ76" s="904">
        <v>3.9873910443863851E-7</v>
      </c>
      <c r="DA76" s="905">
        <v>0</v>
      </c>
      <c r="DB76" s="905">
        <v>3.9873910443863851E-7</v>
      </c>
      <c r="DC76" s="906">
        <v>6.7377901673666121E-4</v>
      </c>
      <c r="DD76" s="905">
        <v>3.9873910443863851E-7</v>
      </c>
      <c r="DE76" s="905">
        <v>0</v>
      </c>
      <c r="DF76" s="905">
        <v>3.9873910443863851E-7</v>
      </c>
      <c r="DG76" s="906">
        <v>6.7377901673666121E-4</v>
      </c>
      <c r="DH76" s="905">
        <v>3.9873910443863851E-7</v>
      </c>
      <c r="DI76" s="905">
        <v>0</v>
      </c>
      <c r="DJ76" s="905">
        <v>3.9873910443863851E-7</v>
      </c>
      <c r="DK76" s="905">
        <v>6.7377901673666121E-4</v>
      </c>
      <c r="DL76" s="904">
        <v>0</v>
      </c>
      <c r="DM76" s="905">
        <v>0</v>
      </c>
      <c r="DN76" s="905">
        <v>0</v>
      </c>
      <c r="DO76" s="905">
        <v>0</v>
      </c>
      <c r="DP76" s="905">
        <v>0</v>
      </c>
      <c r="DQ76" s="905">
        <v>0</v>
      </c>
      <c r="DR76" s="905">
        <v>0</v>
      </c>
      <c r="DS76" s="905">
        <v>0</v>
      </c>
      <c r="DT76" s="905">
        <v>0</v>
      </c>
      <c r="DU76" s="905">
        <v>0</v>
      </c>
      <c r="DV76" s="905">
        <v>0</v>
      </c>
      <c r="DW76" s="906">
        <v>0</v>
      </c>
      <c r="DX76" s="905">
        <v>0</v>
      </c>
      <c r="DY76" s="905">
        <v>0</v>
      </c>
      <c r="DZ76" s="905">
        <v>0</v>
      </c>
      <c r="EA76" s="906">
        <v>0</v>
      </c>
      <c r="EB76" s="906">
        <v>6.7377901673666121E-4</v>
      </c>
    </row>
    <row r="77" spans="1:132" x14ac:dyDescent="0.45">
      <c r="A77" s="744" t="s">
        <v>3378</v>
      </c>
      <c r="B77" s="905">
        <v>8.6409950208849416E-3</v>
      </c>
      <c r="C77" s="905">
        <v>8.6409950208849416E-3</v>
      </c>
      <c r="D77" s="905">
        <v>8.6409950208849416E-3</v>
      </c>
      <c r="E77" s="905">
        <v>8.6409950208849423E-2</v>
      </c>
      <c r="F77" s="905">
        <v>8.6409950208849423E-2</v>
      </c>
      <c r="G77" s="905">
        <v>8.6409950208849423E-2</v>
      </c>
      <c r="H77" s="905">
        <v>8.6409950208849416E-3</v>
      </c>
      <c r="I77" s="905">
        <v>8.6409950208849416E-3</v>
      </c>
      <c r="J77" s="905">
        <v>8.6409950208849416E-3</v>
      </c>
      <c r="K77" s="905">
        <v>8.6409950208849416E-3</v>
      </c>
      <c r="L77" s="905">
        <v>8.6409950208849416E-3</v>
      </c>
      <c r="M77" s="905">
        <v>8.6409950208849416E-3</v>
      </c>
      <c r="N77" s="905">
        <v>8.6409950208849416E-4</v>
      </c>
      <c r="O77" s="905">
        <v>8.6409950208849416E-4</v>
      </c>
      <c r="P77" s="905">
        <v>8.6409950208849416E-3</v>
      </c>
      <c r="Q77" s="905">
        <v>8.6409950208849416E-3</v>
      </c>
      <c r="R77" s="905">
        <v>8.6409950208849416E-3</v>
      </c>
      <c r="S77" s="905">
        <v>8.6409950208849416E-3</v>
      </c>
      <c r="T77" s="905">
        <v>8.6409950208849416E-3</v>
      </c>
      <c r="U77" s="905">
        <v>8.6409950208849416E-3</v>
      </c>
      <c r="V77" s="904">
        <v>8.6409950208849416E-3</v>
      </c>
      <c r="W77" s="905">
        <v>8.6409950208849416E-3</v>
      </c>
      <c r="X77" s="905">
        <v>8.6409950208849416E-3</v>
      </c>
      <c r="Y77" s="905">
        <v>8.6409950208849416E-3</v>
      </c>
      <c r="Z77" s="906">
        <v>8.6409950208849416E-3</v>
      </c>
      <c r="AA77" s="905">
        <v>0.10387670695584854</v>
      </c>
      <c r="AB77" s="905">
        <v>0.20775341391169708</v>
      </c>
      <c r="AC77" s="905">
        <v>0.10387670695584854</v>
      </c>
      <c r="AD77" s="905">
        <v>0.10387670695584854</v>
      </c>
      <c r="AE77" s="905">
        <v>0.10387670695584854</v>
      </c>
      <c r="AF77" s="905">
        <v>0.20775341391169708</v>
      </c>
      <c r="AG77" s="905">
        <v>0.20775341391169708</v>
      </c>
      <c r="AH77" s="904">
        <v>4.0612676598159227E-3</v>
      </c>
      <c r="AI77" s="905">
        <v>4.0612676598159227E-3</v>
      </c>
      <c r="AJ77" s="905">
        <v>4.0612676598159227E-3</v>
      </c>
      <c r="AK77" s="905">
        <v>4.0612676598159227E-3</v>
      </c>
      <c r="AL77" s="905">
        <v>4.3204975104424712E-2</v>
      </c>
      <c r="AM77" s="905">
        <v>4.3204975104424712E-2</v>
      </c>
      <c r="AN77" s="905">
        <v>4.0612676598159227E-3</v>
      </c>
      <c r="AO77" s="905">
        <v>4.0612676598159227E-3</v>
      </c>
      <c r="AP77" s="905">
        <v>4.0612676598159227E-3</v>
      </c>
      <c r="AQ77" s="905">
        <v>8.6409950208849416E-4</v>
      </c>
      <c r="AR77" s="906">
        <v>8.6409950208849416E-4</v>
      </c>
      <c r="AS77" s="905">
        <v>2.3553694394577058E-6</v>
      </c>
      <c r="AT77" s="905">
        <v>0</v>
      </c>
      <c r="AU77" s="905">
        <v>2.3553694394577058E-6</v>
      </c>
      <c r="AV77" s="905">
        <v>4.0612676598159227E-3</v>
      </c>
      <c r="AW77" s="904">
        <v>2.3553694394577058E-6</v>
      </c>
      <c r="AX77" s="905">
        <v>0</v>
      </c>
      <c r="AY77" s="905">
        <v>2.3553694394577058E-6</v>
      </c>
      <c r="AZ77" s="906">
        <v>4.0612676598159227E-3</v>
      </c>
      <c r="BA77" s="904">
        <v>2.3553694394577058E-6</v>
      </c>
      <c r="BB77" s="905">
        <v>0</v>
      </c>
      <c r="BC77" s="905">
        <v>2.3553694394577058E-6</v>
      </c>
      <c r="BD77" s="906">
        <v>4.0612676598159227E-3</v>
      </c>
      <c r="BE77" s="905">
        <v>2.3553694394577058E-6</v>
      </c>
      <c r="BF77" s="905">
        <v>0</v>
      </c>
      <c r="BG77" s="905">
        <v>2.3553694394577058E-6</v>
      </c>
      <c r="BH77" s="905">
        <v>4.0612676598159227E-3</v>
      </c>
      <c r="BI77" s="904">
        <v>2.5057121696358575E-5</v>
      </c>
      <c r="BJ77" s="905">
        <v>0</v>
      </c>
      <c r="BK77" s="905">
        <v>2.5057121696358575E-5</v>
      </c>
      <c r="BL77" s="906">
        <v>4.3204975104424712E-2</v>
      </c>
      <c r="BM77" s="905">
        <v>2.5057121696358575E-5</v>
      </c>
      <c r="BN77" s="905">
        <v>0</v>
      </c>
      <c r="BO77" s="905">
        <v>2.5057121696358575E-5</v>
      </c>
      <c r="BP77" s="905">
        <v>4.3204975104424712E-2</v>
      </c>
      <c r="BQ77" s="904">
        <v>2.3553694394577058E-6</v>
      </c>
      <c r="BR77" s="905">
        <v>0</v>
      </c>
      <c r="BS77" s="905">
        <v>2.3553694394577058E-6</v>
      </c>
      <c r="BT77" s="906">
        <v>4.0612676598159227E-3</v>
      </c>
      <c r="BU77" s="905">
        <v>1.9408822737372066E-4</v>
      </c>
      <c r="BV77" s="905">
        <v>0</v>
      </c>
      <c r="BW77" s="905">
        <v>1.9408822737372066E-4</v>
      </c>
      <c r="BX77" s="905">
        <v>4.0612676598159227E-3</v>
      </c>
      <c r="BY77" s="904">
        <v>1.9408822737372066E-4</v>
      </c>
      <c r="BZ77" s="905">
        <v>0</v>
      </c>
      <c r="CA77" s="905">
        <v>1.9408822737372066E-4</v>
      </c>
      <c r="CB77" s="906">
        <v>4.0612676598159227E-3</v>
      </c>
      <c r="CC77" s="905">
        <v>3.544173675885314E-5</v>
      </c>
      <c r="CD77" s="905">
        <v>0</v>
      </c>
      <c r="CE77" s="905">
        <v>3.544173675885314E-5</v>
      </c>
      <c r="CF77" s="905">
        <v>8.6409950208849416E-4</v>
      </c>
      <c r="CG77" s="905">
        <v>8.6409950208849416E-4</v>
      </c>
      <c r="CH77" s="904">
        <v>0.10387670695584854</v>
      </c>
      <c r="CI77" s="905">
        <v>0.1558150604337728</v>
      </c>
      <c r="CJ77" s="905">
        <v>0.10387670695584854</v>
      </c>
      <c r="CK77" s="905">
        <v>0.10387670695584854</v>
      </c>
      <c r="CL77" s="905">
        <v>0.10387670695584854</v>
      </c>
      <c r="CM77" s="906">
        <v>0.10387670695584854</v>
      </c>
      <c r="CN77" s="905">
        <v>6.1473723690920991E-5</v>
      </c>
      <c r="CO77" s="905">
        <v>0</v>
      </c>
      <c r="CP77" s="905">
        <v>6.1473723690920991E-5</v>
      </c>
      <c r="CQ77" s="905">
        <v>0.10387670695584854</v>
      </c>
      <c r="CR77" s="904">
        <v>9.2210585536381493E-5</v>
      </c>
      <c r="CS77" s="905">
        <v>0</v>
      </c>
      <c r="CT77" s="905">
        <v>9.2210585536381493E-5</v>
      </c>
      <c r="CU77" s="906">
        <v>0.1558150604337728</v>
      </c>
      <c r="CV77" s="905">
        <v>6.1473723690920991E-5</v>
      </c>
      <c r="CW77" s="905">
        <v>0</v>
      </c>
      <c r="CX77" s="905">
        <v>6.1473723690920991E-5</v>
      </c>
      <c r="CY77" s="905">
        <v>0.10387670695584854</v>
      </c>
      <c r="CZ77" s="904">
        <v>6.1473723690920991E-5</v>
      </c>
      <c r="DA77" s="905">
        <v>0</v>
      </c>
      <c r="DB77" s="905">
        <v>6.1473723690920991E-5</v>
      </c>
      <c r="DC77" s="906">
        <v>0.10387670695584854</v>
      </c>
      <c r="DD77" s="905">
        <v>6.1473723690920991E-5</v>
      </c>
      <c r="DE77" s="905">
        <v>0</v>
      </c>
      <c r="DF77" s="905">
        <v>6.1473723690920991E-5</v>
      </c>
      <c r="DG77" s="906">
        <v>0.10387670695584854</v>
      </c>
      <c r="DH77" s="905">
        <v>6.1473723690920991E-5</v>
      </c>
      <c r="DI77" s="905">
        <v>0</v>
      </c>
      <c r="DJ77" s="905">
        <v>6.1473723690920991E-5</v>
      </c>
      <c r="DK77" s="905">
        <v>0.10387670695584854</v>
      </c>
      <c r="DL77" s="904">
        <v>0</v>
      </c>
      <c r="DM77" s="905">
        <v>0</v>
      </c>
      <c r="DN77" s="905">
        <v>0</v>
      </c>
      <c r="DO77" s="905">
        <v>1.7281990041769883E-3</v>
      </c>
      <c r="DP77" s="905">
        <v>1.7281990041769883E-3</v>
      </c>
      <c r="DQ77" s="905">
        <v>1.7281990041769883E-3</v>
      </c>
      <c r="DR77" s="905">
        <v>1.7281990041769883E-3</v>
      </c>
      <c r="DS77" s="905">
        <v>1.7281990041769883E-3</v>
      </c>
      <c r="DT77" s="905">
        <v>8.6409950208849416E-3</v>
      </c>
      <c r="DU77" s="905">
        <v>8.6409950208849416E-3</v>
      </c>
      <c r="DV77" s="905">
        <v>1.7281990041769883E-3</v>
      </c>
      <c r="DW77" s="906">
        <v>1.7281990041769883E-3</v>
      </c>
      <c r="DX77" s="905">
        <v>0</v>
      </c>
      <c r="DY77" s="905">
        <v>0</v>
      </c>
      <c r="DZ77" s="905">
        <v>0</v>
      </c>
      <c r="EA77" s="906">
        <v>0</v>
      </c>
      <c r="EB77" s="906">
        <v>0.10387670695584854</v>
      </c>
    </row>
    <row r="78" spans="1:132" x14ac:dyDescent="0.45">
      <c r="A78" s="744" t="s">
        <v>3379</v>
      </c>
      <c r="B78" s="905">
        <v>7.6166044833770605E-3</v>
      </c>
      <c r="C78" s="905">
        <v>7.6166044833770605E-3</v>
      </c>
      <c r="D78" s="905">
        <v>7.6166044833770605E-3</v>
      </c>
      <c r="E78" s="905">
        <v>7.6166044833770605E-3</v>
      </c>
      <c r="F78" s="905">
        <v>7.6166044833770605E-3</v>
      </c>
      <c r="G78" s="905">
        <v>7.6166044833770605E-3</v>
      </c>
      <c r="H78" s="905">
        <v>7.6166044833770605E-3</v>
      </c>
      <c r="I78" s="905">
        <v>7.6166044833770605E-3</v>
      </c>
      <c r="J78" s="905">
        <v>7.6166044833770605E-3</v>
      </c>
      <c r="K78" s="905">
        <v>7.6166044833770605E-3</v>
      </c>
      <c r="L78" s="905">
        <v>7.6166044833770605E-3</v>
      </c>
      <c r="M78" s="905">
        <v>7.6166044833770605E-3</v>
      </c>
      <c r="N78" s="905">
        <v>7.6166044833770605E-3</v>
      </c>
      <c r="O78" s="905">
        <v>7.6166044833770605E-3</v>
      </c>
      <c r="P78" s="905">
        <v>7.6166044833770605E-3</v>
      </c>
      <c r="Q78" s="905">
        <v>7.6166044833770605E-3</v>
      </c>
      <c r="R78" s="905">
        <v>7.6166044833770605E-3</v>
      </c>
      <c r="S78" s="905">
        <v>7.6166044833770605E-3</v>
      </c>
      <c r="T78" s="905">
        <v>7.6166044833770605E-3</v>
      </c>
      <c r="U78" s="905">
        <v>7.6166044833770605E-3</v>
      </c>
      <c r="V78" s="904">
        <v>7.6166044833770605E-3</v>
      </c>
      <c r="W78" s="905">
        <v>7.6166044833770605E-3</v>
      </c>
      <c r="X78" s="905">
        <v>7.6166044833770605E-3</v>
      </c>
      <c r="Y78" s="905">
        <v>7.6166044833770605E-3</v>
      </c>
      <c r="Z78" s="906">
        <v>7.6166044833770605E-3</v>
      </c>
      <c r="AA78" s="905">
        <v>6.5031902520787995E-4</v>
      </c>
      <c r="AB78" s="905">
        <v>6.5031902520787995E-4</v>
      </c>
      <c r="AC78" s="905">
        <v>6.5031902520787995E-4</v>
      </c>
      <c r="AD78" s="905">
        <v>6.5031902520787995E-4</v>
      </c>
      <c r="AE78" s="905">
        <v>6.5031902520787995E-4</v>
      </c>
      <c r="AF78" s="905">
        <v>6.5031902520787995E-4</v>
      </c>
      <c r="AG78" s="905">
        <v>6.5031902520787995E-4</v>
      </c>
      <c r="AH78" s="904">
        <v>7.6166044833770605E-3</v>
      </c>
      <c r="AI78" s="905">
        <v>7.6166044833770605E-3</v>
      </c>
      <c r="AJ78" s="905">
        <v>7.6166044833770605E-3</v>
      </c>
      <c r="AK78" s="905">
        <v>7.6166044833770605E-3</v>
      </c>
      <c r="AL78" s="905">
        <v>7.6166044833770605E-3</v>
      </c>
      <c r="AM78" s="905">
        <v>7.6166044833770605E-3</v>
      </c>
      <c r="AN78" s="905">
        <v>7.6166044833770605E-3</v>
      </c>
      <c r="AO78" s="905">
        <v>7.6166044833770605E-3</v>
      </c>
      <c r="AP78" s="905">
        <v>7.6166044833770605E-3</v>
      </c>
      <c r="AQ78" s="905">
        <v>7.6166044833770605E-3</v>
      </c>
      <c r="AR78" s="906">
        <v>7.6166044833770605E-3</v>
      </c>
      <c r="AS78" s="905">
        <v>4.4173196487610974E-6</v>
      </c>
      <c r="AT78" s="905">
        <v>0</v>
      </c>
      <c r="AU78" s="905">
        <v>4.4173196487610974E-6</v>
      </c>
      <c r="AV78" s="905">
        <v>7.6166044833770605E-3</v>
      </c>
      <c r="AW78" s="904">
        <v>4.4173196487610974E-6</v>
      </c>
      <c r="AX78" s="905">
        <v>0</v>
      </c>
      <c r="AY78" s="905">
        <v>4.4173196487610974E-6</v>
      </c>
      <c r="AZ78" s="906">
        <v>7.6166044833770605E-3</v>
      </c>
      <c r="BA78" s="904">
        <v>4.4173196487610974E-6</v>
      </c>
      <c r="BB78" s="905">
        <v>0</v>
      </c>
      <c r="BC78" s="905">
        <v>4.4173196487610974E-6</v>
      </c>
      <c r="BD78" s="906">
        <v>7.6166044833770605E-3</v>
      </c>
      <c r="BE78" s="905">
        <v>4.4173196487610974E-6</v>
      </c>
      <c r="BF78" s="905">
        <v>0</v>
      </c>
      <c r="BG78" s="905">
        <v>4.4173196487610974E-6</v>
      </c>
      <c r="BH78" s="905">
        <v>7.6166044833770605E-3</v>
      </c>
      <c r="BI78" s="904">
        <v>4.4173196487610974E-6</v>
      </c>
      <c r="BJ78" s="905">
        <v>0</v>
      </c>
      <c r="BK78" s="905">
        <v>4.4173196487610974E-6</v>
      </c>
      <c r="BL78" s="906">
        <v>7.6166044833770605E-3</v>
      </c>
      <c r="BM78" s="905">
        <v>4.4173196487610974E-6</v>
      </c>
      <c r="BN78" s="905">
        <v>0</v>
      </c>
      <c r="BO78" s="905">
        <v>4.4173196487610974E-6</v>
      </c>
      <c r="BP78" s="905">
        <v>7.6166044833770605E-3</v>
      </c>
      <c r="BQ78" s="904">
        <v>4.4173196487610974E-6</v>
      </c>
      <c r="BR78" s="905">
        <v>0</v>
      </c>
      <c r="BS78" s="905">
        <v>4.4173196487610974E-6</v>
      </c>
      <c r="BT78" s="906">
        <v>7.6166044833770605E-3</v>
      </c>
      <c r="BU78" s="905">
        <v>3.6399798944854352E-4</v>
      </c>
      <c r="BV78" s="905">
        <v>0</v>
      </c>
      <c r="BW78" s="905">
        <v>3.6399798944854352E-4</v>
      </c>
      <c r="BX78" s="905">
        <v>7.6166044833770605E-3</v>
      </c>
      <c r="BY78" s="904">
        <v>3.6399798944854352E-4</v>
      </c>
      <c r="BZ78" s="905">
        <v>0</v>
      </c>
      <c r="CA78" s="905">
        <v>3.6399798944854352E-4</v>
      </c>
      <c r="CB78" s="906">
        <v>7.6166044833770605E-3</v>
      </c>
      <c r="CC78" s="905">
        <v>3.1240116496271826E-4</v>
      </c>
      <c r="CD78" s="905">
        <v>0</v>
      </c>
      <c r="CE78" s="905">
        <v>3.1240116496271826E-4</v>
      </c>
      <c r="CF78" s="905">
        <v>7.6166044833770605E-3</v>
      </c>
      <c r="CG78" s="905">
        <v>7.6166044833770605E-3</v>
      </c>
      <c r="CH78" s="904">
        <v>6.5031902520787995E-4</v>
      </c>
      <c r="CI78" s="905">
        <v>6.5031902520787995E-4</v>
      </c>
      <c r="CJ78" s="905">
        <v>6.5031902520787995E-4</v>
      </c>
      <c r="CK78" s="905">
        <v>6.5031902520787995E-4</v>
      </c>
      <c r="CL78" s="905">
        <v>6.5031902520787995E-4</v>
      </c>
      <c r="CM78" s="906">
        <v>6.5031902520787995E-4</v>
      </c>
      <c r="CN78" s="905">
        <v>3.8485559696814636E-7</v>
      </c>
      <c r="CO78" s="905">
        <v>0</v>
      </c>
      <c r="CP78" s="905">
        <v>3.8485559696814636E-7</v>
      </c>
      <c r="CQ78" s="905">
        <v>6.5031902520787995E-4</v>
      </c>
      <c r="CR78" s="904">
        <v>3.8485559696814636E-7</v>
      </c>
      <c r="CS78" s="905">
        <v>0</v>
      </c>
      <c r="CT78" s="905">
        <v>3.8485559696814636E-7</v>
      </c>
      <c r="CU78" s="906">
        <v>6.5031902520787995E-4</v>
      </c>
      <c r="CV78" s="905">
        <v>3.8485559696814636E-7</v>
      </c>
      <c r="CW78" s="905">
        <v>0</v>
      </c>
      <c r="CX78" s="905">
        <v>3.8485559696814636E-7</v>
      </c>
      <c r="CY78" s="905">
        <v>6.5031902520787995E-4</v>
      </c>
      <c r="CZ78" s="904">
        <v>3.8485559696814636E-7</v>
      </c>
      <c r="DA78" s="905">
        <v>0</v>
      </c>
      <c r="DB78" s="905">
        <v>3.8485559696814636E-7</v>
      </c>
      <c r="DC78" s="906">
        <v>6.5031902520787995E-4</v>
      </c>
      <c r="DD78" s="905">
        <v>3.8485559696814636E-7</v>
      </c>
      <c r="DE78" s="905">
        <v>0</v>
      </c>
      <c r="DF78" s="905">
        <v>3.8485559696814636E-7</v>
      </c>
      <c r="DG78" s="906">
        <v>6.5031902520787995E-4</v>
      </c>
      <c r="DH78" s="905">
        <v>3.8485559696814636E-7</v>
      </c>
      <c r="DI78" s="905">
        <v>0</v>
      </c>
      <c r="DJ78" s="905">
        <v>3.8485559696814636E-7</v>
      </c>
      <c r="DK78" s="905">
        <v>6.5031902520787995E-4</v>
      </c>
      <c r="DL78" s="904">
        <v>0</v>
      </c>
      <c r="DM78" s="905">
        <v>0</v>
      </c>
      <c r="DN78" s="905">
        <v>0</v>
      </c>
      <c r="DO78" s="905">
        <v>1.5233208966754122E-3</v>
      </c>
      <c r="DP78" s="905">
        <v>1.5233208966754122E-3</v>
      </c>
      <c r="DQ78" s="905">
        <v>1.5233208966754122E-3</v>
      </c>
      <c r="DR78" s="905">
        <v>1.5233208966754122E-3</v>
      </c>
      <c r="DS78" s="905">
        <v>1.5233208966754122E-3</v>
      </c>
      <c r="DT78" s="905">
        <v>1.5233208966754122E-3</v>
      </c>
      <c r="DU78" s="905">
        <v>1.5233208966754122E-3</v>
      </c>
      <c r="DV78" s="905">
        <v>1.5233208966754122E-3</v>
      </c>
      <c r="DW78" s="906">
        <v>1.5233208966754122E-3</v>
      </c>
      <c r="DX78" s="905">
        <v>0</v>
      </c>
      <c r="DY78" s="905">
        <v>0</v>
      </c>
      <c r="DZ78" s="905">
        <v>0</v>
      </c>
      <c r="EA78" s="906">
        <v>0</v>
      </c>
      <c r="EB78" s="906">
        <v>6.5031902520787995E-4</v>
      </c>
    </row>
    <row r="79" spans="1:132" x14ac:dyDescent="0.45">
      <c r="A79" s="744" t="s">
        <v>3380</v>
      </c>
      <c r="B79" s="7">
        <v>324.9885662722757</v>
      </c>
      <c r="C79" s="7">
        <v>324.9885662722757</v>
      </c>
      <c r="D79" s="7">
        <v>324.98856627227565</v>
      </c>
      <c r="E79" s="7">
        <v>276.26399715625217</v>
      </c>
      <c r="F79" s="7">
        <v>264.01326000717017</v>
      </c>
      <c r="G79" s="7">
        <v>265.13045320047792</v>
      </c>
      <c r="H79" s="7">
        <v>287.88377438366854</v>
      </c>
      <c r="I79" s="7">
        <v>310.87757922105897</v>
      </c>
      <c r="J79" s="7">
        <v>288.72791819170993</v>
      </c>
      <c r="K79" s="7">
        <v>319.27625310516368</v>
      </c>
      <c r="L79" s="7">
        <v>309.11734372791705</v>
      </c>
      <c r="M79" s="7">
        <v>298.06401949373276</v>
      </c>
      <c r="N79" s="7">
        <v>0</v>
      </c>
      <c r="O79" s="7">
        <v>0</v>
      </c>
      <c r="P79" s="7">
        <v>318.28134857110354</v>
      </c>
      <c r="Q79" s="7">
        <v>308.86816220944269</v>
      </c>
      <c r="R79" s="7">
        <v>337.93894267515179</v>
      </c>
      <c r="S79" s="7">
        <v>309.27403269914294</v>
      </c>
      <c r="T79" s="7">
        <v>308.41791914060724</v>
      </c>
      <c r="U79" s="7">
        <v>307.46223262865811</v>
      </c>
      <c r="V79" s="879">
        <v>281.94440909369479</v>
      </c>
      <c r="W79" s="7">
        <v>281.94440909369479</v>
      </c>
      <c r="X79" s="7">
        <v>281.94440909369473</v>
      </c>
      <c r="Y79" s="7">
        <v>268.29690550073929</v>
      </c>
      <c r="Z79" s="877">
        <v>276.98353888609967</v>
      </c>
      <c r="AA79" s="7">
        <v>278.38929410533393</v>
      </c>
      <c r="AB79" s="7">
        <v>245.30843991941089</v>
      </c>
      <c r="AC79" s="7">
        <v>268.47713978836373</v>
      </c>
      <c r="AD79" s="7">
        <v>279.03010068480557</v>
      </c>
      <c r="AE79" s="7">
        <v>269.60036236781104</v>
      </c>
      <c r="AF79" s="7">
        <v>281.19181522553566</v>
      </c>
      <c r="AG79" s="7">
        <v>281.19181522553566</v>
      </c>
      <c r="AH79" s="879">
        <v>230.90694991468115</v>
      </c>
      <c r="AI79" s="7">
        <v>230.90694991468115</v>
      </c>
      <c r="AJ79" s="7">
        <v>226.1160801281296</v>
      </c>
      <c r="AK79" s="7">
        <v>230.90694991468115</v>
      </c>
      <c r="AL79" s="7">
        <v>177.80618877172233</v>
      </c>
      <c r="AM79" s="7">
        <v>178.56428415289545</v>
      </c>
      <c r="AN79" s="7">
        <v>204.39213086344273</v>
      </c>
      <c r="AO79" s="7">
        <v>219.7052058066316</v>
      </c>
      <c r="AP79" s="7">
        <v>226.84065465889191</v>
      </c>
      <c r="AQ79" s="7">
        <v>0</v>
      </c>
      <c r="AR79" s="877">
        <v>0</v>
      </c>
      <c r="AS79" s="7">
        <v>0.18859933157497963</v>
      </c>
      <c r="AT79" s="7">
        <v>0</v>
      </c>
      <c r="AU79" s="7">
        <v>0.18859933157497963</v>
      </c>
      <c r="AV79" s="7">
        <v>230.79013639735825</v>
      </c>
      <c r="AW79" s="879">
        <v>0.18859933157497963</v>
      </c>
      <c r="AX79" s="7">
        <v>0</v>
      </c>
      <c r="AY79" s="7">
        <v>0.18859933157497963</v>
      </c>
      <c r="AZ79" s="877">
        <v>230.79013639735825</v>
      </c>
      <c r="BA79" s="879">
        <v>0.18470941913373787</v>
      </c>
      <c r="BB79" s="7">
        <v>0</v>
      </c>
      <c r="BC79" s="7">
        <v>0.18470941913373787</v>
      </c>
      <c r="BD79" s="877">
        <v>226.0016407966655</v>
      </c>
      <c r="BE79" s="7">
        <v>0.1885993315749796</v>
      </c>
      <c r="BF79" s="7">
        <v>0</v>
      </c>
      <c r="BG79" s="7">
        <v>0.1885993315749796</v>
      </c>
      <c r="BH79" s="7">
        <v>230.79013639735825</v>
      </c>
      <c r="BI79" s="879">
        <v>0.14547182348757098</v>
      </c>
      <c r="BJ79" s="7">
        <v>0</v>
      </c>
      <c r="BK79" s="7">
        <v>0.14547182348757098</v>
      </c>
      <c r="BL79" s="877">
        <v>177.71571729948559</v>
      </c>
      <c r="BM79" s="7">
        <v>0.14608735360762376</v>
      </c>
      <c r="BN79" s="7">
        <v>0</v>
      </c>
      <c r="BO79" s="7">
        <v>0.14608735360762376</v>
      </c>
      <c r="BP79" s="7">
        <v>178.47343699536276</v>
      </c>
      <c r="BQ79" s="879">
        <v>0.16705573518713826</v>
      </c>
      <c r="BR79" s="7">
        <v>0</v>
      </c>
      <c r="BS79" s="7">
        <v>0.16705573518713826</v>
      </c>
      <c r="BT79" s="877">
        <v>204.28848936536076</v>
      </c>
      <c r="BU79" s="7">
        <v>14.790651445874092</v>
      </c>
      <c r="BV79" s="7">
        <v>0</v>
      </c>
      <c r="BW79" s="7">
        <v>14.790651445874092</v>
      </c>
      <c r="BX79" s="7">
        <v>297.09354038587924</v>
      </c>
      <c r="BY79" s="879">
        <v>15.268056391658771</v>
      </c>
      <c r="BZ79" s="7">
        <v>0</v>
      </c>
      <c r="CA79" s="7">
        <v>15.268056391658771</v>
      </c>
      <c r="CB79" s="877">
        <v>306.68903569757782</v>
      </c>
      <c r="CC79" s="7">
        <v>0</v>
      </c>
      <c r="CD79" s="7">
        <v>0</v>
      </c>
      <c r="CE79" s="7">
        <v>0</v>
      </c>
      <c r="CF79" s="7">
        <v>0</v>
      </c>
      <c r="CG79" s="7">
        <v>0</v>
      </c>
      <c r="CH79" s="879">
        <v>207.58873915515304</v>
      </c>
      <c r="CI79" s="7">
        <v>182.83316685869835</v>
      </c>
      <c r="CJ79" s="7">
        <v>200.13827652438087</v>
      </c>
      <c r="CK79" s="7">
        <v>208.05299719671223</v>
      </c>
      <c r="CL79" s="7">
        <v>200.98069345896633</v>
      </c>
      <c r="CM79" s="877">
        <v>211.03669189121601</v>
      </c>
      <c r="CN79" s="7">
        <v>0.20113644038436571</v>
      </c>
      <c r="CO79" s="7">
        <v>0</v>
      </c>
      <c r="CP79" s="7">
        <v>0.20113644038436571</v>
      </c>
      <c r="CQ79" s="7">
        <v>246.19532621590736</v>
      </c>
      <c r="CR79" s="879">
        <v>0.17495764736111508</v>
      </c>
      <c r="CS79" s="7">
        <v>0</v>
      </c>
      <c r="CT79" s="7">
        <v>0.17495764736111508</v>
      </c>
      <c r="CU79" s="877">
        <v>216.97178674487827</v>
      </c>
      <c r="CV79" s="7">
        <v>0.1912926574436298</v>
      </c>
      <c r="CW79" s="7">
        <v>0</v>
      </c>
      <c r="CX79" s="7">
        <v>0.1912926574436298</v>
      </c>
      <c r="CY79" s="7">
        <v>237.39237621468322</v>
      </c>
      <c r="CZ79" s="879">
        <v>0.19878688579892059</v>
      </c>
      <c r="DA79" s="7">
        <v>0</v>
      </c>
      <c r="DB79" s="7">
        <v>0.19878688579892059</v>
      </c>
      <c r="DC79" s="877">
        <v>246.74386132440284</v>
      </c>
      <c r="DD79" s="7">
        <v>0.19209031855379602</v>
      </c>
      <c r="DE79" s="7">
        <v>0</v>
      </c>
      <c r="DF79" s="7">
        <v>0.19209031855379602</v>
      </c>
      <c r="DG79" s="877">
        <v>238.38771764820865</v>
      </c>
      <c r="DH79" s="7">
        <v>0.19992619184147653</v>
      </c>
      <c r="DI79" s="7">
        <v>0</v>
      </c>
      <c r="DJ79" s="7">
        <v>0.19992619184147653</v>
      </c>
      <c r="DK79" s="7">
        <v>249.39817727381993</v>
      </c>
      <c r="DL79" s="879">
        <v>0</v>
      </c>
      <c r="DM79" s="7">
        <v>0</v>
      </c>
      <c r="DN79" s="7">
        <v>0</v>
      </c>
      <c r="DO79" s="7">
        <v>189.96538961701492</v>
      </c>
      <c r="DP79" s="7">
        <v>215.52963584375289</v>
      </c>
      <c r="DQ79" s="7">
        <v>215.52963584375289</v>
      </c>
      <c r="DR79" s="7">
        <v>222.42573682262628</v>
      </c>
      <c r="DS79" s="7">
        <v>210.58079805961825</v>
      </c>
      <c r="DT79" s="7">
        <v>166.85593956603302</v>
      </c>
      <c r="DU79" s="7">
        <v>167.55285633250926</v>
      </c>
      <c r="DV79" s="7">
        <v>191.30606783585478</v>
      </c>
      <c r="DW79" s="877">
        <v>206.35993314442345</v>
      </c>
      <c r="DX79" s="7">
        <v>0</v>
      </c>
      <c r="DY79" s="7">
        <v>0</v>
      </c>
      <c r="DZ79" s="7">
        <v>0</v>
      </c>
      <c r="EA79" s="877">
        <v>0</v>
      </c>
      <c r="EB79" s="877">
        <v>252.95372035827697</v>
      </c>
    </row>
    <row r="80" spans="1:132" x14ac:dyDescent="0.45">
      <c r="A80" s="744" t="s">
        <v>3381</v>
      </c>
      <c r="B80" s="7">
        <v>329.98144229947997</v>
      </c>
      <c r="C80" s="7">
        <v>329.98144229947997</v>
      </c>
      <c r="D80" s="7">
        <v>329.98144229947991</v>
      </c>
      <c r="E80" s="7">
        <v>280.62758685402247</v>
      </c>
      <c r="F80" s="7">
        <v>268.80168309751321</v>
      </c>
      <c r="G80" s="7">
        <v>269.91887629082095</v>
      </c>
      <c r="H80" s="7">
        <v>292.7696965190467</v>
      </c>
      <c r="I80" s="7">
        <v>315.82170572574563</v>
      </c>
      <c r="J80" s="7">
        <v>293.6720446963966</v>
      </c>
      <c r="K80" s="7">
        <v>324.22037960985034</v>
      </c>
      <c r="L80" s="7">
        <v>314.06147023260371</v>
      </c>
      <c r="M80" s="7">
        <v>303.00814599841942</v>
      </c>
      <c r="N80" s="7">
        <v>0.93357584208409783</v>
      </c>
      <c r="O80" s="7">
        <v>0.93357584208409783</v>
      </c>
      <c r="P80" s="7">
        <v>323.2742245983078</v>
      </c>
      <c r="Q80" s="7">
        <v>313.86103823664695</v>
      </c>
      <c r="R80" s="7">
        <v>342.93181870235605</v>
      </c>
      <c r="S80" s="7">
        <v>314.2669087263472</v>
      </c>
      <c r="T80" s="7">
        <v>313.4107951678115</v>
      </c>
      <c r="U80" s="7">
        <v>312.45510865586238</v>
      </c>
      <c r="V80" s="879">
        <v>286.93728512089905</v>
      </c>
      <c r="W80" s="7">
        <v>286.93728512089905</v>
      </c>
      <c r="X80" s="7">
        <v>286.93728512089899</v>
      </c>
      <c r="Y80" s="7">
        <v>273.24103200542595</v>
      </c>
      <c r="Z80" s="877">
        <v>281.92766539078633</v>
      </c>
      <c r="AA80" s="7">
        <v>283.18168171860088</v>
      </c>
      <c r="AB80" s="7">
        <v>250.07903167528519</v>
      </c>
      <c r="AC80" s="7">
        <v>273.24773154423804</v>
      </c>
      <c r="AD80" s="7">
        <v>283.80069244067988</v>
      </c>
      <c r="AE80" s="7">
        <v>274.37095412368535</v>
      </c>
      <c r="AF80" s="7">
        <v>285.96240698140997</v>
      </c>
      <c r="AG80" s="7">
        <v>285.96240698140997</v>
      </c>
      <c r="AH80" s="879">
        <v>235.70683511092653</v>
      </c>
      <c r="AI80" s="7">
        <v>235.70683511092653</v>
      </c>
      <c r="AJ80" s="7">
        <v>230.91596532437498</v>
      </c>
      <c r="AK80" s="7">
        <v>235.70683511092653</v>
      </c>
      <c r="AL80" s="7">
        <v>182.44357555957583</v>
      </c>
      <c r="AM80" s="7">
        <v>183.20167094074895</v>
      </c>
      <c r="AN80" s="7">
        <v>209.12701669633137</v>
      </c>
      <c r="AO80" s="7">
        <v>224.45634148035941</v>
      </c>
      <c r="AP80" s="7">
        <v>231.59179033261972</v>
      </c>
      <c r="AQ80" s="7">
        <v>0.93357584208409783</v>
      </c>
      <c r="AR80" s="877">
        <v>0.93357584208409783</v>
      </c>
      <c r="AS80" s="7">
        <v>0.1913830690311448</v>
      </c>
      <c r="AT80" s="7">
        <v>0</v>
      </c>
      <c r="AU80" s="7">
        <v>0.1913830690311448</v>
      </c>
      <c r="AV80" s="7">
        <v>235.59002159360364</v>
      </c>
      <c r="AW80" s="879">
        <v>0.1913830690311448</v>
      </c>
      <c r="AX80" s="7">
        <v>0</v>
      </c>
      <c r="AY80" s="7">
        <v>0.1913830690311448</v>
      </c>
      <c r="AZ80" s="877">
        <v>235.59002159360364</v>
      </c>
      <c r="BA80" s="879">
        <v>0.18749315658990304</v>
      </c>
      <c r="BB80" s="7">
        <v>0</v>
      </c>
      <c r="BC80" s="7">
        <v>0.18749315658990304</v>
      </c>
      <c r="BD80" s="877">
        <v>230.80152599291088</v>
      </c>
      <c r="BE80" s="7">
        <v>0.19138306903114477</v>
      </c>
      <c r="BF80" s="7">
        <v>0</v>
      </c>
      <c r="BG80" s="7">
        <v>0.19138306903114477</v>
      </c>
      <c r="BH80" s="7">
        <v>235.59002159360364</v>
      </c>
      <c r="BI80" s="879">
        <v>0.14816131850094574</v>
      </c>
      <c r="BJ80" s="7">
        <v>0</v>
      </c>
      <c r="BK80" s="7">
        <v>0.14816131850094574</v>
      </c>
      <c r="BL80" s="877">
        <v>182.35310408733909</v>
      </c>
      <c r="BM80" s="7">
        <v>0.14877684862099852</v>
      </c>
      <c r="BN80" s="7">
        <v>0</v>
      </c>
      <c r="BO80" s="7">
        <v>0.14877684862099852</v>
      </c>
      <c r="BP80" s="7">
        <v>183.11082378321626</v>
      </c>
      <c r="BQ80" s="879">
        <v>0.16980177566618726</v>
      </c>
      <c r="BR80" s="7">
        <v>0</v>
      </c>
      <c r="BS80" s="7">
        <v>0.16980177566618726</v>
      </c>
      <c r="BT80" s="877">
        <v>209.0233751982494</v>
      </c>
      <c r="BU80" s="7">
        <v>15.0177085074044</v>
      </c>
      <c r="BV80" s="7">
        <v>0</v>
      </c>
      <c r="BW80" s="7">
        <v>15.0177085074044</v>
      </c>
      <c r="BX80" s="7">
        <v>301.84467605960708</v>
      </c>
      <c r="BY80" s="879">
        <v>15.495113453189079</v>
      </c>
      <c r="BZ80" s="7">
        <v>0</v>
      </c>
      <c r="CA80" s="7">
        <v>15.495113453189079</v>
      </c>
      <c r="CB80" s="877">
        <v>311.44017137130567</v>
      </c>
      <c r="CC80" s="7">
        <v>3.8291364778706559E-2</v>
      </c>
      <c r="CD80" s="7">
        <v>0</v>
      </c>
      <c r="CE80" s="7">
        <v>3.8291364778706559E-2</v>
      </c>
      <c r="CF80" s="7">
        <v>0.93357584208409783</v>
      </c>
      <c r="CG80" s="7">
        <v>0.93357584208409783</v>
      </c>
      <c r="CH80" s="879">
        <v>212.31484605291854</v>
      </c>
      <c r="CI80" s="7">
        <v>187.55927375646385</v>
      </c>
      <c r="CJ80" s="7">
        <v>204.86438342214637</v>
      </c>
      <c r="CK80" s="7">
        <v>212.77910409447773</v>
      </c>
      <c r="CL80" s="7">
        <v>205.70680035673183</v>
      </c>
      <c r="CM80" s="877">
        <v>215.76279878898151</v>
      </c>
      <c r="CN80" s="7">
        <v>0.20392558796661589</v>
      </c>
      <c r="CO80" s="7">
        <v>0</v>
      </c>
      <c r="CP80" s="7">
        <v>0.20392558796661589</v>
      </c>
      <c r="CQ80" s="7">
        <v>250.90835559923727</v>
      </c>
      <c r="CR80" s="879">
        <v>0.17774679494336526</v>
      </c>
      <c r="CS80" s="7">
        <v>0</v>
      </c>
      <c r="CT80" s="7">
        <v>0.17774679494336526</v>
      </c>
      <c r="CU80" s="877">
        <v>221.68481612820818</v>
      </c>
      <c r="CV80" s="7">
        <v>0.19408180502587999</v>
      </c>
      <c r="CW80" s="7">
        <v>0</v>
      </c>
      <c r="CX80" s="7">
        <v>0.19408180502587999</v>
      </c>
      <c r="CY80" s="7">
        <v>242.10540559801314</v>
      </c>
      <c r="CZ80" s="879">
        <v>0.20157603338117078</v>
      </c>
      <c r="DA80" s="7">
        <v>0</v>
      </c>
      <c r="DB80" s="7">
        <v>0.20157603338117078</v>
      </c>
      <c r="DC80" s="877">
        <v>251.45689070773275</v>
      </c>
      <c r="DD80" s="7">
        <v>0.1948794661360462</v>
      </c>
      <c r="DE80" s="7">
        <v>0</v>
      </c>
      <c r="DF80" s="7">
        <v>0.1948794661360462</v>
      </c>
      <c r="DG80" s="877">
        <v>243.10074703153856</v>
      </c>
      <c r="DH80" s="7">
        <v>0.20271533942372671</v>
      </c>
      <c r="DI80" s="7">
        <v>0</v>
      </c>
      <c r="DJ80" s="7">
        <v>0.20271533942372671</v>
      </c>
      <c r="DK80" s="7">
        <v>254.11120665714984</v>
      </c>
      <c r="DL80" s="879">
        <v>0</v>
      </c>
      <c r="DM80" s="7">
        <v>0</v>
      </c>
      <c r="DN80" s="7">
        <v>0</v>
      </c>
      <c r="DO80" s="7">
        <v>191.02896418581253</v>
      </c>
      <c r="DP80" s="7">
        <v>216.6907094575856</v>
      </c>
      <c r="DQ80" s="7">
        <v>216.6907094575856</v>
      </c>
      <c r="DR80" s="7">
        <v>223.35931266471039</v>
      </c>
      <c r="DS80" s="7">
        <v>211.64437262841585</v>
      </c>
      <c r="DT80" s="7">
        <v>167.80576524895631</v>
      </c>
      <c r="DU80" s="7">
        <v>168.50268201543255</v>
      </c>
      <c r="DV80" s="7">
        <v>192.25589351877807</v>
      </c>
      <c r="DW80" s="877">
        <v>207.30975882734674</v>
      </c>
      <c r="DX80" s="7">
        <v>0</v>
      </c>
      <c r="DY80" s="7">
        <v>0</v>
      </c>
      <c r="DZ80" s="7">
        <v>0</v>
      </c>
      <c r="EA80" s="877">
        <v>0</v>
      </c>
      <c r="EB80" s="877">
        <v>257.74610797154389</v>
      </c>
    </row>
    <row r="81" spans="1:229" x14ac:dyDescent="0.45">
      <c r="A81" s="744" t="s">
        <v>3382</v>
      </c>
      <c r="B81" s="7">
        <v>332.25907233820146</v>
      </c>
      <c r="C81" s="7">
        <v>332.25907233820146</v>
      </c>
      <c r="D81" s="7">
        <v>332.25907233820141</v>
      </c>
      <c r="E81" s="7">
        <v>285.23828554838286</v>
      </c>
      <c r="F81" s="7">
        <v>273.4123817918736</v>
      </c>
      <c r="G81" s="7">
        <v>274.52957498518134</v>
      </c>
      <c r="H81" s="7">
        <v>295.0473265577682</v>
      </c>
      <c r="I81" s="7">
        <v>318.09933576446713</v>
      </c>
      <c r="J81" s="7">
        <v>295.94967473511809</v>
      </c>
      <c r="K81" s="7">
        <v>326.49800964857184</v>
      </c>
      <c r="L81" s="7">
        <v>316.33910027132521</v>
      </c>
      <c r="M81" s="7">
        <v>305.28577603714092</v>
      </c>
      <c r="N81" s="7">
        <v>2.977899015241674</v>
      </c>
      <c r="O81" s="7">
        <v>2.977899015241674</v>
      </c>
      <c r="P81" s="7">
        <v>325.55185463702929</v>
      </c>
      <c r="Q81" s="7">
        <v>316.13866827536845</v>
      </c>
      <c r="R81" s="7">
        <v>345.20944874107755</v>
      </c>
      <c r="S81" s="7">
        <v>316.54453876506869</v>
      </c>
      <c r="T81" s="7">
        <v>315.688425206533</v>
      </c>
      <c r="U81" s="7">
        <v>314.73273869458387</v>
      </c>
      <c r="V81" s="879">
        <v>289.21491515962055</v>
      </c>
      <c r="W81" s="7">
        <v>289.21491515962055</v>
      </c>
      <c r="X81" s="7">
        <v>289.21491515962049</v>
      </c>
      <c r="Y81" s="7">
        <v>275.51866204414745</v>
      </c>
      <c r="Z81" s="877">
        <v>284.20529542950783</v>
      </c>
      <c r="AA81" s="7">
        <v>286.47031746895641</v>
      </c>
      <c r="AB81" s="7">
        <v>256.48396863431617</v>
      </c>
      <c r="AC81" s="7">
        <v>276.53636729459356</v>
      </c>
      <c r="AD81" s="7">
        <v>287.08932819103541</v>
      </c>
      <c r="AE81" s="7">
        <v>277.65958987404088</v>
      </c>
      <c r="AF81" s="7">
        <v>292.36734394044095</v>
      </c>
      <c r="AG81" s="7">
        <v>292.36734394044095</v>
      </c>
      <c r="AH81" s="879">
        <v>237.84707332881592</v>
      </c>
      <c r="AI81" s="7">
        <v>237.84707332881592</v>
      </c>
      <c r="AJ81" s="7">
        <v>233.05620354226437</v>
      </c>
      <c r="AK81" s="7">
        <v>237.84707332881592</v>
      </c>
      <c r="AL81" s="7">
        <v>185.75812500080349</v>
      </c>
      <c r="AM81" s="7">
        <v>186.51622038197661</v>
      </c>
      <c r="AN81" s="7">
        <v>211.26725491422076</v>
      </c>
      <c r="AO81" s="7">
        <v>226.5965796982488</v>
      </c>
      <c r="AP81" s="7">
        <v>233.73202855050911</v>
      </c>
      <c r="AQ81" s="7">
        <v>2.977899015241674</v>
      </c>
      <c r="AR81" s="877">
        <v>2.977899015241674</v>
      </c>
      <c r="AS81" s="7">
        <v>0.19262431982125022</v>
      </c>
      <c r="AT81" s="7">
        <v>0</v>
      </c>
      <c r="AU81" s="7">
        <v>0.19262431982125022</v>
      </c>
      <c r="AV81" s="7">
        <v>237.73025981149303</v>
      </c>
      <c r="AW81" s="879">
        <v>0.19262431982125022</v>
      </c>
      <c r="AX81" s="7">
        <v>0</v>
      </c>
      <c r="AY81" s="7">
        <v>0.19262431982125022</v>
      </c>
      <c r="AZ81" s="877">
        <v>237.73025981149303</v>
      </c>
      <c r="BA81" s="879">
        <v>0.18873440738000846</v>
      </c>
      <c r="BB81" s="7">
        <v>0</v>
      </c>
      <c r="BC81" s="7">
        <v>0.18873440738000846</v>
      </c>
      <c r="BD81" s="877">
        <v>232.94176421080027</v>
      </c>
      <c r="BE81" s="7">
        <v>0.1926243198212502</v>
      </c>
      <c r="BF81" s="7">
        <v>0</v>
      </c>
      <c r="BG81" s="7">
        <v>0.1926243198212502</v>
      </c>
      <c r="BH81" s="7">
        <v>237.73025981149303</v>
      </c>
      <c r="BI81" s="879">
        <v>0.1500836218587582</v>
      </c>
      <c r="BJ81" s="7">
        <v>0</v>
      </c>
      <c r="BK81" s="7">
        <v>0.1500836218587582</v>
      </c>
      <c r="BL81" s="877">
        <v>185.66765352856675</v>
      </c>
      <c r="BM81" s="7">
        <v>0.15069915197881098</v>
      </c>
      <c r="BN81" s="7">
        <v>0</v>
      </c>
      <c r="BO81" s="7">
        <v>0.15069915197881098</v>
      </c>
      <c r="BP81" s="7">
        <v>186.42537322444392</v>
      </c>
      <c r="BQ81" s="879">
        <v>0.17104302645629268</v>
      </c>
      <c r="BR81" s="7">
        <v>0</v>
      </c>
      <c r="BS81" s="7">
        <v>0.17104302645629268</v>
      </c>
      <c r="BT81" s="877">
        <v>211.16361341613879</v>
      </c>
      <c r="BU81" s="7">
        <v>15.119990621429476</v>
      </c>
      <c r="BV81" s="7">
        <v>0</v>
      </c>
      <c r="BW81" s="7">
        <v>15.119990621429476</v>
      </c>
      <c r="BX81" s="7">
        <v>303.9849142774965</v>
      </c>
      <c r="BY81" s="879">
        <v>15.597395567214155</v>
      </c>
      <c r="BZ81" s="7">
        <v>0</v>
      </c>
      <c r="CA81" s="7">
        <v>15.597395567214155</v>
      </c>
      <c r="CB81" s="877">
        <v>313.58040958919509</v>
      </c>
      <c r="CC81" s="7">
        <v>0.12214092559659248</v>
      </c>
      <c r="CD81" s="7">
        <v>0</v>
      </c>
      <c r="CE81" s="7">
        <v>0.12214092559659248</v>
      </c>
      <c r="CF81" s="7">
        <v>2.977899015241674</v>
      </c>
      <c r="CG81" s="7">
        <v>2.977899015241674</v>
      </c>
      <c r="CH81" s="879">
        <v>215.60348180327409</v>
      </c>
      <c r="CI81" s="7">
        <v>192.40606011115713</v>
      </c>
      <c r="CJ81" s="7">
        <v>208.15301917250193</v>
      </c>
      <c r="CK81" s="7">
        <v>216.06773984483328</v>
      </c>
      <c r="CL81" s="7">
        <v>208.99543610708739</v>
      </c>
      <c r="CM81" s="877">
        <v>219.05143453933707</v>
      </c>
      <c r="CN81" s="7">
        <v>0.20587178641054008</v>
      </c>
      <c r="CO81" s="7">
        <v>0</v>
      </c>
      <c r="CP81" s="7">
        <v>0.20587178641054008</v>
      </c>
      <c r="CQ81" s="7">
        <v>254.19699134959282</v>
      </c>
      <c r="CR81" s="879">
        <v>0.18061509924265326</v>
      </c>
      <c r="CS81" s="7">
        <v>0</v>
      </c>
      <c r="CT81" s="7">
        <v>0.18061509924265326</v>
      </c>
      <c r="CU81" s="877">
        <v>226.53160248290146</v>
      </c>
      <c r="CV81" s="7">
        <v>0.19602800346980417</v>
      </c>
      <c r="CW81" s="7">
        <v>0</v>
      </c>
      <c r="CX81" s="7">
        <v>0.19602800346980417</v>
      </c>
      <c r="CY81" s="7">
        <v>245.39404134836869</v>
      </c>
      <c r="CZ81" s="879">
        <v>0.20352223182509496</v>
      </c>
      <c r="DA81" s="7">
        <v>0</v>
      </c>
      <c r="DB81" s="7">
        <v>0.20352223182509496</v>
      </c>
      <c r="DC81" s="877">
        <v>254.74552645808831</v>
      </c>
      <c r="DD81" s="7">
        <v>0.19682566457997039</v>
      </c>
      <c r="DE81" s="7">
        <v>0</v>
      </c>
      <c r="DF81" s="7">
        <v>0.19682566457997039</v>
      </c>
      <c r="DG81" s="877">
        <v>246.38938278189411</v>
      </c>
      <c r="DH81" s="7">
        <v>0.2046615378676509</v>
      </c>
      <c r="DI81" s="7">
        <v>0</v>
      </c>
      <c r="DJ81" s="7">
        <v>0.2046615378676509</v>
      </c>
      <c r="DK81" s="7">
        <v>257.39984240750539</v>
      </c>
      <c r="DL81" s="879">
        <v>0</v>
      </c>
      <c r="DM81" s="7">
        <v>0</v>
      </c>
      <c r="DN81" s="7">
        <v>0</v>
      </c>
      <c r="DO81" s="7">
        <v>191.48449019355681</v>
      </c>
      <c r="DP81" s="7">
        <v>217.14623546532988</v>
      </c>
      <c r="DQ81" s="7">
        <v>217.14623546532988</v>
      </c>
      <c r="DR81" s="7">
        <v>223.81483867245467</v>
      </c>
      <c r="DS81" s="7">
        <v>212.09989863616013</v>
      </c>
      <c r="DT81" s="7">
        <v>168.46867513720184</v>
      </c>
      <c r="DU81" s="7">
        <v>169.16559190367809</v>
      </c>
      <c r="DV81" s="7">
        <v>192.71141952652235</v>
      </c>
      <c r="DW81" s="877">
        <v>207.76528483509102</v>
      </c>
      <c r="DX81" s="7">
        <v>0</v>
      </c>
      <c r="DY81" s="7">
        <v>0</v>
      </c>
      <c r="DZ81" s="7">
        <v>0</v>
      </c>
      <c r="EA81" s="877">
        <v>0</v>
      </c>
      <c r="EB81" s="877">
        <v>261.03474372189942</v>
      </c>
    </row>
    <row r="82" spans="1:229" x14ac:dyDescent="0.45">
      <c r="A82" s="737" t="s">
        <v>3383</v>
      </c>
      <c r="B82" s="738">
        <v>-21.490227607361962</v>
      </c>
      <c r="C82" s="738">
        <v>-21.490227607361962</v>
      </c>
      <c r="D82" s="738">
        <v>-21.49022760736197</v>
      </c>
      <c r="E82" s="738"/>
      <c r="F82" s="738"/>
      <c r="G82" s="738"/>
      <c r="H82" s="738"/>
      <c r="I82" s="738">
        <v>0</v>
      </c>
      <c r="J82" s="738">
        <v>0</v>
      </c>
      <c r="K82" s="738">
        <v>-247.00573879551155</v>
      </c>
      <c r="L82" s="738">
        <v>-314.08523296891116</v>
      </c>
      <c r="M82" s="738">
        <v>-230.84648485561823</v>
      </c>
      <c r="N82" s="738"/>
      <c r="O82" s="738"/>
      <c r="P82" s="738">
        <v>-323.29798733461524</v>
      </c>
      <c r="Q82" s="738">
        <v>-313.88480097295434</v>
      </c>
      <c r="R82" s="738">
        <v>-342.9555814386635</v>
      </c>
      <c r="S82" s="738">
        <v>-20.466883435582819</v>
      </c>
      <c r="T82" s="738">
        <v>-53.979257313381318</v>
      </c>
      <c r="U82" s="738">
        <v>-91.389392194535034</v>
      </c>
      <c r="V82" s="983">
        <v>-18.687154441184315</v>
      </c>
      <c r="W82" s="738">
        <v>-18.687154441184315</v>
      </c>
      <c r="X82" s="738">
        <v>-18.687154441184322</v>
      </c>
      <c r="Y82" s="738">
        <v>0</v>
      </c>
      <c r="Z82" s="739">
        <v>-214.78759895261877</v>
      </c>
      <c r="AA82" s="738"/>
      <c r="AB82" s="738">
        <v>0</v>
      </c>
      <c r="AC82" s="738">
        <v>0</v>
      </c>
      <c r="AD82" s="738">
        <v>-50.963033954602643</v>
      </c>
      <c r="AE82" s="738">
        <v>-274.65661506781396</v>
      </c>
      <c r="AF82" s="738">
        <v>-16.528993812637669</v>
      </c>
      <c r="AG82" s="738"/>
      <c r="AH82" s="983">
        <v>-15.350162576687117</v>
      </c>
      <c r="AI82" s="738">
        <v>-15.350162576687117</v>
      </c>
      <c r="AJ82" s="738">
        <v>-230.92713381043947</v>
      </c>
      <c r="AK82" s="738">
        <v>-15.350162576687124</v>
      </c>
      <c r="AL82" s="738"/>
      <c r="AM82" s="738"/>
      <c r="AN82" s="738"/>
      <c r="AO82" s="738">
        <v>0</v>
      </c>
      <c r="AP82" s="738">
        <v>-176.43267056822259</v>
      </c>
      <c r="AQ82" s="738"/>
      <c r="AR82" s="739"/>
      <c r="AS82" s="738">
        <v>-1.2463454663233129E-2</v>
      </c>
      <c r="AT82" s="738"/>
      <c r="AU82" s="738">
        <v>-1.2463454663233129E-2</v>
      </c>
      <c r="AV82" s="738">
        <v>-15.34255557826231</v>
      </c>
      <c r="AW82" s="983">
        <v>-1.2463454663233129E-2</v>
      </c>
      <c r="AX82" s="738"/>
      <c r="AY82" s="738">
        <v>-1.2463454663233129E-2</v>
      </c>
      <c r="AZ82" s="739">
        <v>-15.34255557826231</v>
      </c>
      <c r="BA82" s="983">
        <v>-0.18749963385586152</v>
      </c>
      <c r="BB82" s="738"/>
      <c r="BC82" s="738">
        <v>-0.18749963385586152</v>
      </c>
      <c r="BD82" s="739">
        <v>-230.81269447897537</v>
      </c>
      <c r="BE82" s="738">
        <v>-1.2463454663233132E-2</v>
      </c>
      <c r="BF82" s="738"/>
      <c r="BG82" s="738">
        <v>-1.2463454663233132E-2</v>
      </c>
      <c r="BH82" s="738">
        <v>-15.342555578262314</v>
      </c>
      <c r="BI82" s="983">
        <v>0</v>
      </c>
      <c r="BJ82" s="738"/>
      <c r="BK82" s="738"/>
      <c r="BL82" s="739"/>
      <c r="BM82" s="738">
        <v>0</v>
      </c>
      <c r="BN82" s="738"/>
      <c r="BO82" s="738"/>
      <c r="BP82" s="738"/>
      <c r="BQ82" s="983">
        <v>0</v>
      </c>
      <c r="BR82" s="738"/>
      <c r="BS82" s="738"/>
      <c r="BT82" s="739"/>
      <c r="BU82" s="738">
        <v>0</v>
      </c>
      <c r="BV82" s="738"/>
      <c r="BW82" s="738">
        <v>0</v>
      </c>
      <c r="BX82" s="738">
        <v>0</v>
      </c>
      <c r="BY82" s="983">
        <v>-11.804419213317752</v>
      </c>
      <c r="BZ82" s="738"/>
      <c r="CA82" s="738">
        <v>-11.804419213317752</v>
      </c>
      <c r="CB82" s="739">
        <v>-237.26031793102419</v>
      </c>
      <c r="CC82" s="738"/>
      <c r="CD82" s="738"/>
      <c r="CE82" s="738"/>
      <c r="CF82" s="738"/>
      <c r="CG82" s="738"/>
      <c r="CH82" s="983"/>
      <c r="CI82" s="738">
        <v>0</v>
      </c>
      <c r="CJ82" s="738">
        <v>0</v>
      </c>
      <c r="CK82" s="738">
        <v>-40.333019111031227</v>
      </c>
      <c r="CL82" s="738">
        <v>-205.99246130086041</v>
      </c>
      <c r="CM82" s="739">
        <v>-12.396745359478253</v>
      </c>
      <c r="CN82" s="738"/>
      <c r="CO82" s="738"/>
      <c r="CP82" s="738"/>
      <c r="CQ82" s="738"/>
      <c r="CR82" s="983">
        <v>0</v>
      </c>
      <c r="CS82" s="738"/>
      <c r="CT82" s="738">
        <v>0</v>
      </c>
      <c r="CU82" s="739">
        <v>0</v>
      </c>
      <c r="CV82" s="738">
        <v>0</v>
      </c>
      <c r="CW82" s="738"/>
      <c r="CX82" s="738">
        <v>0</v>
      </c>
      <c r="CY82" s="738">
        <v>0</v>
      </c>
      <c r="CZ82" s="983">
        <v>-3.8190211378279687E-2</v>
      </c>
      <c r="DA82" s="738"/>
      <c r="DB82" s="738">
        <v>-3.8190211378279687E-2</v>
      </c>
      <c r="DC82" s="739">
        <v>-47.654698537294607</v>
      </c>
      <c r="DD82" s="738">
        <v>-0.19504851887619623</v>
      </c>
      <c r="DE82" s="738"/>
      <c r="DF82" s="738">
        <v>-0.19504851887619623</v>
      </c>
      <c r="DG82" s="739">
        <v>-243.38640797566717</v>
      </c>
      <c r="DH82" s="738">
        <v>-1.1738132580104725E-2</v>
      </c>
      <c r="DI82" s="738"/>
      <c r="DJ82" s="738">
        <v>-1.1738132580104725E-2</v>
      </c>
      <c r="DK82" s="738">
        <v>-14.647134679485617</v>
      </c>
      <c r="DL82" s="983"/>
      <c r="DM82" s="738"/>
      <c r="DN82" s="738"/>
      <c r="DO82" s="738">
        <v>0</v>
      </c>
      <c r="DP82" s="738">
        <v>-14.111398029196568</v>
      </c>
      <c r="DQ82" s="738">
        <v>-14.111398029196568</v>
      </c>
      <c r="DR82" s="738"/>
      <c r="DS82" s="738">
        <v>-211.64912517567734</v>
      </c>
      <c r="DT82" s="738"/>
      <c r="DU82" s="738"/>
      <c r="DV82" s="738"/>
      <c r="DW82" s="739"/>
      <c r="DX82" s="738"/>
      <c r="DY82" s="738"/>
      <c r="DZ82" s="738"/>
      <c r="EA82" s="739"/>
      <c r="EB82" s="739"/>
    </row>
    <row r="83" spans="1:229" x14ac:dyDescent="0.45">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V315"/>
  <sheetViews>
    <sheetView topLeftCell="B1"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3385</v>
      </c>
    </row>
    <row r="3" spans="1:19" ht="23.25" customHeight="1" x14ac:dyDescent="0.45"/>
    <row r="4" spans="1:19" x14ac:dyDescent="0.45">
      <c r="A4" s="726" t="s">
        <v>2620</v>
      </c>
      <c r="R4" s="1131"/>
    </row>
    <row r="5" spans="1:19" x14ac:dyDescent="0.45">
      <c r="A5" s="740"/>
      <c r="B5" s="2273" t="s">
        <v>2850</v>
      </c>
      <c r="C5" s="2274"/>
      <c r="D5" s="2274"/>
      <c r="E5" s="2274"/>
      <c r="F5" s="2274"/>
      <c r="G5" s="2274"/>
      <c r="H5" s="2274"/>
      <c r="I5" s="2274"/>
      <c r="J5" s="2274"/>
      <c r="K5" s="2274"/>
      <c r="L5" s="2274"/>
      <c r="M5" s="2274"/>
      <c r="N5" s="2274"/>
      <c r="O5" s="2274"/>
      <c r="P5" s="2274"/>
      <c r="Q5" s="2274"/>
      <c r="R5" s="2275"/>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76" t="s">
        <v>2966</v>
      </c>
      <c r="N124" s="1196" t="s">
        <v>1351</v>
      </c>
      <c r="O124" s="2276"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77"/>
      <c r="N125" s="744"/>
      <c r="O125" s="2277"/>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78"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78"/>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78"/>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1" t="s">
        <v>3014</v>
      </c>
      <c r="C191" s="2262"/>
      <c r="D191" s="2262"/>
      <c r="E191" s="2262"/>
      <c r="F191" s="2262"/>
      <c r="G191" s="2262"/>
      <c r="H191" s="2262"/>
      <c r="I191" s="2263"/>
      <c r="J191" s="2261" t="s">
        <v>3015</v>
      </c>
      <c r="K191" s="2262"/>
      <c r="L191" s="2263"/>
      <c r="M191" s="2261" t="s">
        <v>3016</v>
      </c>
      <c r="N191" s="2262"/>
      <c r="O191" s="2263"/>
      <c r="P191" s="2261" t="s">
        <v>3017</v>
      </c>
      <c r="Q191" s="2262"/>
      <c r="R191" s="2263"/>
      <c r="S191" s="2261" t="s">
        <v>3018</v>
      </c>
      <c r="T191" s="2262"/>
      <c r="U191" s="2262"/>
      <c r="V191" s="2262"/>
      <c r="W191" s="2262"/>
      <c r="X191" s="2262"/>
      <c r="Y191" s="2262"/>
      <c r="Z191" s="2262"/>
      <c r="AA191" s="2262"/>
      <c r="AB191" s="2263"/>
      <c r="AC191" s="2261" t="s">
        <v>3019</v>
      </c>
      <c r="AD191" s="2262"/>
      <c r="AE191" s="2262"/>
      <c r="AF191" s="2262"/>
      <c r="AG191" s="2262"/>
      <c r="AH191" s="2262"/>
      <c r="AI191" s="2262"/>
      <c r="AJ191" s="2262"/>
      <c r="AK191" s="2263"/>
      <c r="AL191" s="2261" t="s">
        <v>3020</v>
      </c>
      <c r="AM191" s="2262"/>
      <c r="AN191" s="2263"/>
      <c r="AO191" s="2261" t="s">
        <v>3021</v>
      </c>
      <c r="AP191" s="2262"/>
      <c r="AQ191" s="2262"/>
      <c r="AR191" s="2262"/>
      <c r="AS191" s="2263"/>
      <c r="AT191" s="2261" t="s">
        <v>3022</v>
      </c>
      <c r="AU191" s="2262"/>
      <c r="AV191" s="2262"/>
      <c r="AW191" s="2263"/>
      <c r="AX191" s="2261" t="s">
        <v>3023</v>
      </c>
      <c r="AY191" s="2262"/>
      <c r="AZ191" s="2262"/>
      <c r="BA191" s="2262"/>
      <c r="BB191" s="2262"/>
      <c r="BC191" s="2262"/>
      <c r="BD191" s="2262"/>
      <c r="BE191" s="2262"/>
      <c r="BF191" s="2262"/>
      <c r="BG191" s="2263"/>
      <c r="BH191" s="2261" t="s">
        <v>3024</v>
      </c>
      <c r="BI191" s="2262"/>
      <c r="BJ191" s="2262"/>
      <c r="BK191" s="2262"/>
      <c r="BL191" s="2262"/>
      <c r="BM191" s="2262"/>
      <c r="BN191" s="2263"/>
      <c r="BO191" s="2261" t="s">
        <v>3025</v>
      </c>
      <c r="BP191" s="2263"/>
      <c r="BQ191" s="2261" t="s">
        <v>3026</v>
      </c>
      <c r="BR191" s="2262"/>
      <c r="BS191" s="2263"/>
      <c r="BT191" s="2261" t="s">
        <v>3027</v>
      </c>
      <c r="BU191" s="2262"/>
      <c r="BV191" s="2262"/>
      <c r="BW191" s="2262"/>
      <c r="BX191" s="2263"/>
      <c r="BY191" s="2261" t="s">
        <v>3028</v>
      </c>
      <c r="BZ191" s="2262"/>
      <c r="CA191" s="2263"/>
      <c r="CB191" s="2261" t="s">
        <v>3029</v>
      </c>
      <c r="CC191" s="2262"/>
      <c r="CD191" s="2262"/>
      <c r="CE191" s="2262"/>
      <c r="CF191" s="2262"/>
      <c r="CG191" s="2262"/>
      <c r="CH191" s="2262"/>
      <c r="CI191" s="2262"/>
      <c r="CJ191" s="2263"/>
      <c r="CK191" s="2261" t="s">
        <v>3030</v>
      </c>
      <c r="CL191" s="2262"/>
      <c r="CM191" s="2262"/>
      <c r="CN191" s="2263"/>
      <c r="CO191" s="2261" t="s">
        <v>3031</v>
      </c>
      <c r="CP191" s="2262"/>
      <c r="CQ191" s="2262"/>
      <c r="CR191" s="2263"/>
      <c r="CS191" s="2261" t="s">
        <v>3032</v>
      </c>
      <c r="CT191" s="2262"/>
      <c r="CU191" s="2262"/>
      <c r="CV191" s="2263"/>
      <c r="CW191" s="2261" t="s">
        <v>3033</v>
      </c>
      <c r="CX191" s="2262"/>
      <c r="CY191" s="2262"/>
      <c r="CZ191" s="2262"/>
      <c r="DA191" s="2262"/>
      <c r="DB191" s="2262"/>
      <c r="DC191" s="2262"/>
      <c r="DD191" s="2262"/>
      <c r="DE191" s="2262"/>
      <c r="DF191" s="2262"/>
      <c r="DG191" s="2263"/>
      <c r="DH191" s="2261" t="s">
        <v>3034</v>
      </c>
      <c r="DI191" s="2262"/>
      <c r="DJ191" s="2262"/>
      <c r="DK191" s="2262"/>
      <c r="DL191" s="2262"/>
      <c r="DM191" s="2262"/>
      <c r="DN191" s="2262"/>
      <c r="DO191" s="2262"/>
      <c r="DP191" s="2262"/>
      <c r="DQ191" s="2263"/>
      <c r="DR191" s="2261" t="s">
        <v>3035</v>
      </c>
      <c r="DS191" s="2262"/>
      <c r="DT191" s="2262"/>
      <c r="DU191" s="2263"/>
      <c r="DV191" s="2261" t="s">
        <v>3036</v>
      </c>
      <c r="DW191" s="2262"/>
      <c r="DX191" s="2262"/>
      <c r="DY191" s="2262"/>
      <c r="DZ191" s="2262"/>
      <c r="EA191" s="2263"/>
      <c r="EB191" s="2261" t="s">
        <v>3037</v>
      </c>
      <c r="EC191" s="2262"/>
      <c r="ED191" s="2262"/>
      <c r="EE191" s="2262"/>
      <c r="EF191" s="2263"/>
      <c r="EG191" s="2279" t="s">
        <v>3038</v>
      </c>
      <c r="EH191" s="2281"/>
      <c r="EI191" s="2281"/>
      <c r="EJ191" s="2281"/>
      <c r="EK191" s="2281"/>
      <c r="EL191" s="2281"/>
      <c r="EM191" s="2280"/>
      <c r="EN191" s="2279" t="s">
        <v>3039</v>
      </c>
      <c r="EO191" s="2280"/>
      <c r="EP191" s="2279" t="s">
        <v>3040</v>
      </c>
      <c r="EQ191" s="2281"/>
      <c r="ER191" s="2280"/>
      <c r="ES191" s="2279" t="s">
        <v>3041</v>
      </c>
      <c r="ET191" s="2281"/>
      <c r="EU191" s="2281"/>
      <c r="EV191" s="2281"/>
      <c r="EW191" s="2280"/>
      <c r="EX191" s="2279" t="s">
        <v>3042</v>
      </c>
      <c r="EY191" s="2281"/>
      <c r="EZ191" s="2280"/>
      <c r="FA191" s="2261" t="s">
        <v>3043</v>
      </c>
      <c r="FB191" s="2262"/>
      <c r="FC191" s="2262"/>
      <c r="FD191" s="2262"/>
      <c r="FE191" s="2263"/>
      <c r="FF191" s="2251" t="s">
        <v>3044</v>
      </c>
      <c r="FG191" s="2252"/>
      <c r="FH191" s="2252"/>
      <c r="FI191" s="2252"/>
      <c r="FJ191" s="2252"/>
      <c r="FK191" s="2253"/>
      <c r="FL191" s="2261" t="s">
        <v>3045</v>
      </c>
      <c r="FM191" s="2262"/>
      <c r="FN191" s="2262"/>
      <c r="FO191" s="2263"/>
      <c r="FP191" s="2261" t="s">
        <v>3046</v>
      </c>
      <c r="FQ191" s="2262"/>
      <c r="FR191" s="2262"/>
      <c r="FS191" s="2262"/>
      <c r="FT191" s="2263"/>
      <c r="FU191" s="2282" t="s">
        <v>3047</v>
      </c>
      <c r="FV191" s="2282"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83"/>
      <c r="FV192" s="2283"/>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1" t="s">
        <v>3083</v>
      </c>
      <c r="BU196" s="2263"/>
      <c r="BV196" s="2262" t="s">
        <v>3084</v>
      </c>
      <c r="BW196" s="2262"/>
      <c r="BX196" s="2263"/>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9" t="s">
        <v>3083</v>
      </c>
      <c r="ET196" s="2280"/>
      <c r="EU196" s="2281" t="s">
        <v>3084</v>
      </c>
      <c r="EV196" s="2281"/>
      <c r="EW196" s="2280"/>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4464285.0093428455</v>
      </c>
      <c r="BP220" s="1302">
        <v>304734.66119501443</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4460959.0446711648</v>
      </c>
      <c r="BP221" s="1284">
        <v>304507.62893447326</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4380025.8745417045</v>
      </c>
      <c r="BP222" s="1284">
        <v>298983.08421404782</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13690.763462945368</v>
      </c>
      <c r="BP223" s="1284">
        <v>934.53938461599409</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67242.406666514915</v>
      </c>
      <c r="BP224" s="1323">
        <v>4590.005335809451</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227.93338798334707</v>
      </c>
      <c r="BP225" s="1334">
        <v>13.818219439969152</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1" t="s">
        <v>3083</v>
      </c>
      <c r="BU226" s="2263"/>
      <c r="BV226" s="2262" t="s">
        <v>3084</v>
      </c>
      <c r="BW226" s="2262"/>
      <c r="BX226" s="2263"/>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9" t="s">
        <v>3083</v>
      </c>
      <c r="ET226" s="2280"/>
      <c r="EU226" s="2281" t="s">
        <v>3084</v>
      </c>
      <c r="EV226" s="2281"/>
      <c r="EW226" s="2280"/>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36.688431573598969</v>
      </c>
      <c r="BP227" s="1351">
        <v>2.504373430898605</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38.278271356699015</v>
      </c>
      <c r="BP228" s="1351">
        <v>2.6128968084704733</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225.51253288746142</v>
      </c>
      <c r="BP229" s="1351">
        <v>15.393615139013288</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66.609958615094598</v>
      </c>
      <c r="BP230" s="1351">
        <v>4.5468340682336406</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26.120912804803652</v>
      </c>
      <c r="BP231" s="1351">
        <v>1.78302852461655</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1109.8815437196283</v>
      </c>
      <c r="BP232" s="1351">
        <v>75.76115223023973</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1.2384197114135442</v>
      </c>
      <c r="BP233" s="1351">
        <v>8.4535241451886303E-2</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2.7834102454433256</v>
      </c>
      <c r="BP234" s="1351">
        <v>0.18999718349899022</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650.65733852694245</v>
      </c>
      <c r="BP235" s="1351">
        <v>44.414243981981926</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7.0538938296908809</v>
      </c>
      <c r="BP236" s="1351">
        <v>0.48150284800317333</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444252.82460380829</v>
      </c>
      <c r="BP237" s="1284">
        <v>30324.953202416138</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1" t="s">
        <v>3083</v>
      </c>
      <c r="BU241" s="2263"/>
      <c r="BV241" s="2262" t="s">
        <v>3084</v>
      </c>
      <c r="BW241" s="2262"/>
      <c r="BX241" s="2263"/>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9" t="s">
        <v>3083</v>
      </c>
      <c r="ET241" s="2280"/>
      <c r="EU241" s="2281" t="s">
        <v>3084</v>
      </c>
      <c r="EV241" s="2281"/>
      <c r="EW241" s="2280"/>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1.8276163338412523</v>
      </c>
      <c r="BP242" s="1351">
        <v>0.12475414161999733</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10.367842708817864</v>
      </c>
      <c r="BP243" s="1351">
        <v>0.70771490363691869</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66.578616649737796</v>
      </c>
      <c r="BP244" s="1351">
        <v>4.5446946476603109</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10.851066049095794</v>
      </c>
      <c r="BP245" s="1351">
        <v>0.7407000066428745</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7.6403800278277592</v>
      </c>
      <c r="BP246" s="1351">
        <v>0.5215367330510059</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411.28331799296598</v>
      </c>
      <c r="BP247" s="1351">
        <v>28.074435727435134</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0.33469283383769183</v>
      </c>
      <c r="BP248" s="1351">
        <v>2.2846325248159244E-2</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0.68927717392222909</v>
      </c>
      <c r="BP249" s="1370">
        <v>4.7050456148086957E-2</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1" t="s">
        <v>3111</v>
      </c>
      <c r="C253" s="2263"/>
      <c r="D253" s="2261" t="s">
        <v>3015</v>
      </c>
      <c r="E253" s="2263"/>
      <c r="F253" s="2261" t="s">
        <v>3112</v>
      </c>
      <c r="G253" s="2263"/>
      <c r="H253" s="2261" t="s">
        <v>3017</v>
      </c>
      <c r="I253" s="2263"/>
      <c r="J253" s="2261" t="s">
        <v>3018</v>
      </c>
      <c r="K253" s="2263"/>
      <c r="L253" s="2261" t="s">
        <v>3019</v>
      </c>
      <c r="M253" s="2263"/>
      <c r="N253" s="2261" t="s">
        <v>3113</v>
      </c>
      <c r="O253" s="2263"/>
      <c r="P253" s="2261" t="s">
        <v>3021</v>
      </c>
      <c r="Q253" s="2263"/>
      <c r="R253" s="2261" t="s">
        <v>3022</v>
      </c>
      <c r="S253" s="2263"/>
      <c r="T253" s="2261" t="s">
        <v>3114</v>
      </c>
      <c r="U253" s="2263"/>
      <c r="V253" s="2261" t="s">
        <v>3115</v>
      </c>
      <c r="W253" s="2263"/>
      <c r="X253" s="2261" t="s">
        <v>3116</v>
      </c>
      <c r="Y253" s="2263"/>
      <c r="Z253" s="2261" t="s">
        <v>3117</v>
      </c>
      <c r="AA253" s="2263"/>
      <c r="AB253" s="2261" t="s">
        <v>3118</v>
      </c>
      <c r="AC253" s="2263"/>
      <c r="AD253" s="2261" t="s">
        <v>3026</v>
      </c>
      <c r="AE253" s="2263"/>
      <c r="AF253" s="2261" t="s">
        <v>3119</v>
      </c>
      <c r="AG253" s="2263"/>
      <c r="AH253" s="2261" t="s">
        <v>3028</v>
      </c>
      <c r="AI253" s="2263"/>
      <c r="AJ253" s="2261" t="s">
        <v>3120</v>
      </c>
      <c r="AK253" s="2263"/>
      <c r="AL253" s="2261" t="s">
        <v>3121</v>
      </c>
      <c r="AM253" s="2263"/>
      <c r="AN253" s="2261" t="s">
        <v>3122</v>
      </c>
      <c r="AO253" s="2263"/>
      <c r="AP253" s="2261" t="s">
        <v>3030</v>
      </c>
      <c r="AQ253" s="2263"/>
      <c r="AR253" s="2261" t="s">
        <v>3123</v>
      </c>
      <c r="AS253" s="2263"/>
      <c r="AT253" s="2261" t="s">
        <v>3032</v>
      </c>
      <c r="AU253" s="2263"/>
      <c r="AV253" s="2261" t="s">
        <v>3033</v>
      </c>
      <c r="AW253" s="2263"/>
      <c r="AX253" s="2261" t="s">
        <v>3034</v>
      </c>
      <c r="AY253" s="2263"/>
      <c r="AZ253" s="2261" t="s">
        <v>3124</v>
      </c>
      <c r="BA253" s="2263"/>
      <c r="BB253" s="2261" t="s">
        <v>3036</v>
      </c>
      <c r="BC253" s="2263"/>
      <c r="BD253" s="2261" t="s">
        <v>3037</v>
      </c>
      <c r="BE253" s="2263"/>
      <c r="BF253" s="2261" t="s">
        <v>3125</v>
      </c>
      <c r="BG253" s="2263"/>
      <c r="BH253" s="2261" t="s">
        <v>3126</v>
      </c>
      <c r="BI253" s="2263"/>
      <c r="BJ253" s="2279" t="s">
        <v>3127</v>
      </c>
      <c r="BK253" s="2280"/>
      <c r="BL253" s="2279" t="s">
        <v>3128</v>
      </c>
      <c r="BM253" s="2280"/>
      <c r="BN253" s="2279" t="s">
        <v>3040</v>
      </c>
      <c r="BO253" s="2280"/>
      <c r="BP253" s="2279" t="s">
        <v>3129</v>
      </c>
      <c r="BQ253" s="2280"/>
      <c r="BR253" s="2279" t="s">
        <v>3130</v>
      </c>
      <c r="BS253" s="2280"/>
      <c r="BT253" s="2261" t="s">
        <v>3131</v>
      </c>
      <c r="BU253" s="2263"/>
      <c r="BV253" s="2261" t="s">
        <v>3132</v>
      </c>
      <c r="BW253" s="2263"/>
      <c r="BX253" s="2261" t="s">
        <v>3133</v>
      </c>
      <c r="BY253" s="2263"/>
      <c r="BZ253" s="2261" t="s">
        <v>3134</v>
      </c>
      <c r="CA253" s="2263"/>
      <c r="CB253" s="2261" t="s">
        <v>3135</v>
      </c>
      <c r="CC253" s="2263"/>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3169827.193162831</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3167465.6205397276</v>
      </c>
      <c r="AC257" s="877">
        <v>1598001.0530659098</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3109999.718840275</v>
      </c>
      <c r="AC258" s="877">
        <v>1569009.2399154769</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9721.0089026981004</v>
      </c>
      <c r="AC259" s="877">
        <v>4904.2939448630932</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47744.892796754561</v>
      </c>
      <c r="AC260" s="877">
        <v>24087.519205569799</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160.68518734266974</v>
      </c>
      <c r="AC261" s="906">
        <v>81.066420080646495</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39.192805004497572</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40.891168165169489</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240.90614802647471</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71.156792683328234</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27.903941329420203</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1185.6426959498681</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1.3229549528654305</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2.9734074289423158</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695.07158250892439</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7.5353966776940542</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474577.77780622442</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474764.18626512896</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497613.21385998558</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1.9523704754612496</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11.075557612454784</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71.123311297398104</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11.591766055738669</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8.1619167608787642</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439.35775372040109</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0.3575391590858511</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0.7363276300703161</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3386</v>
      </c>
    </row>
    <row r="3" spans="1:19" ht="23.25" customHeight="1" x14ac:dyDescent="0.45"/>
    <row r="4" spans="1:19" x14ac:dyDescent="0.45">
      <c r="A4" s="726" t="s">
        <v>2620</v>
      </c>
      <c r="R4" s="1131"/>
    </row>
    <row r="5" spans="1:19" x14ac:dyDescent="0.45">
      <c r="A5" s="740"/>
      <c r="B5" s="2273" t="s">
        <v>2850</v>
      </c>
      <c r="C5" s="2274"/>
      <c r="D5" s="2274"/>
      <c r="E5" s="2274"/>
      <c r="F5" s="2274"/>
      <c r="G5" s="2274"/>
      <c r="H5" s="2274"/>
      <c r="I5" s="2274"/>
      <c r="J5" s="2274"/>
      <c r="K5" s="2274"/>
      <c r="L5" s="2274"/>
      <c r="M5" s="2274"/>
      <c r="N5" s="2274"/>
      <c r="O5" s="2274"/>
      <c r="P5" s="2274"/>
      <c r="Q5" s="2274"/>
      <c r="R5" s="2275"/>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76" t="s">
        <v>2966</v>
      </c>
      <c r="N124" s="1196" t="s">
        <v>1351</v>
      </c>
      <c r="O124" s="2276"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77"/>
      <c r="N125" s="744"/>
      <c r="O125" s="2277"/>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78"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78"/>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78"/>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1" t="s">
        <v>3014</v>
      </c>
      <c r="C191" s="2262"/>
      <c r="D191" s="2262"/>
      <c r="E191" s="2262"/>
      <c r="F191" s="2262"/>
      <c r="G191" s="2262"/>
      <c r="H191" s="2262"/>
      <c r="I191" s="2263"/>
      <c r="J191" s="2261" t="s">
        <v>3015</v>
      </c>
      <c r="K191" s="2262"/>
      <c r="L191" s="2263"/>
      <c r="M191" s="2261" t="s">
        <v>3016</v>
      </c>
      <c r="N191" s="2262"/>
      <c r="O191" s="2263"/>
      <c r="P191" s="2261" t="s">
        <v>3017</v>
      </c>
      <c r="Q191" s="2262"/>
      <c r="R191" s="2263"/>
      <c r="S191" s="2261" t="s">
        <v>3018</v>
      </c>
      <c r="T191" s="2262"/>
      <c r="U191" s="2262"/>
      <c r="V191" s="2262"/>
      <c r="W191" s="2262"/>
      <c r="X191" s="2262"/>
      <c r="Y191" s="2262"/>
      <c r="Z191" s="2262"/>
      <c r="AA191" s="2262"/>
      <c r="AB191" s="2263"/>
      <c r="AC191" s="2261" t="s">
        <v>3019</v>
      </c>
      <c r="AD191" s="2262"/>
      <c r="AE191" s="2262"/>
      <c r="AF191" s="2262"/>
      <c r="AG191" s="2262"/>
      <c r="AH191" s="2262"/>
      <c r="AI191" s="2262"/>
      <c r="AJ191" s="2262"/>
      <c r="AK191" s="2263"/>
      <c r="AL191" s="2261" t="s">
        <v>3020</v>
      </c>
      <c r="AM191" s="2262"/>
      <c r="AN191" s="2263"/>
      <c r="AO191" s="2261" t="s">
        <v>3021</v>
      </c>
      <c r="AP191" s="2262"/>
      <c r="AQ191" s="2262"/>
      <c r="AR191" s="2262"/>
      <c r="AS191" s="2263"/>
      <c r="AT191" s="2261" t="s">
        <v>3022</v>
      </c>
      <c r="AU191" s="2262"/>
      <c r="AV191" s="2262"/>
      <c r="AW191" s="2263"/>
      <c r="AX191" s="2261" t="s">
        <v>3023</v>
      </c>
      <c r="AY191" s="2262"/>
      <c r="AZ191" s="2262"/>
      <c r="BA191" s="2262"/>
      <c r="BB191" s="2262"/>
      <c r="BC191" s="2262"/>
      <c r="BD191" s="2262"/>
      <c r="BE191" s="2262"/>
      <c r="BF191" s="2262"/>
      <c r="BG191" s="2263"/>
      <c r="BH191" s="2261" t="s">
        <v>3024</v>
      </c>
      <c r="BI191" s="2262"/>
      <c r="BJ191" s="2262"/>
      <c r="BK191" s="2262"/>
      <c r="BL191" s="2262"/>
      <c r="BM191" s="2262"/>
      <c r="BN191" s="2263"/>
      <c r="BO191" s="2261" t="s">
        <v>3025</v>
      </c>
      <c r="BP191" s="2263"/>
      <c r="BQ191" s="2261" t="s">
        <v>3026</v>
      </c>
      <c r="BR191" s="2262"/>
      <c r="BS191" s="2263"/>
      <c r="BT191" s="2261" t="s">
        <v>3027</v>
      </c>
      <c r="BU191" s="2262"/>
      <c r="BV191" s="2262"/>
      <c r="BW191" s="2262"/>
      <c r="BX191" s="2263"/>
      <c r="BY191" s="2261" t="s">
        <v>3028</v>
      </c>
      <c r="BZ191" s="2262"/>
      <c r="CA191" s="2263"/>
      <c r="CB191" s="2261" t="s">
        <v>3029</v>
      </c>
      <c r="CC191" s="2262"/>
      <c r="CD191" s="2262"/>
      <c r="CE191" s="2262"/>
      <c r="CF191" s="2262"/>
      <c r="CG191" s="2262"/>
      <c r="CH191" s="2262"/>
      <c r="CI191" s="2262"/>
      <c r="CJ191" s="2263"/>
      <c r="CK191" s="2261" t="s">
        <v>3030</v>
      </c>
      <c r="CL191" s="2262"/>
      <c r="CM191" s="2262"/>
      <c r="CN191" s="2263"/>
      <c r="CO191" s="2261" t="s">
        <v>3031</v>
      </c>
      <c r="CP191" s="2262"/>
      <c r="CQ191" s="2262"/>
      <c r="CR191" s="2263"/>
      <c r="CS191" s="2261" t="s">
        <v>3032</v>
      </c>
      <c r="CT191" s="2262"/>
      <c r="CU191" s="2262"/>
      <c r="CV191" s="2263"/>
      <c r="CW191" s="2261" t="s">
        <v>3033</v>
      </c>
      <c r="CX191" s="2262"/>
      <c r="CY191" s="2262"/>
      <c r="CZ191" s="2262"/>
      <c r="DA191" s="2262"/>
      <c r="DB191" s="2262"/>
      <c r="DC191" s="2262"/>
      <c r="DD191" s="2262"/>
      <c r="DE191" s="2262"/>
      <c r="DF191" s="2262"/>
      <c r="DG191" s="2263"/>
      <c r="DH191" s="2261" t="s">
        <v>3034</v>
      </c>
      <c r="DI191" s="2262"/>
      <c r="DJ191" s="2262"/>
      <c r="DK191" s="2262"/>
      <c r="DL191" s="2262"/>
      <c r="DM191" s="2262"/>
      <c r="DN191" s="2262"/>
      <c r="DO191" s="2262"/>
      <c r="DP191" s="2262"/>
      <c r="DQ191" s="2263"/>
      <c r="DR191" s="2261" t="s">
        <v>3035</v>
      </c>
      <c r="DS191" s="2262"/>
      <c r="DT191" s="2262"/>
      <c r="DU191" s="2263"/>
      <c r="DV191" s="2261" t="s">
        <v>3036</v>
      </c>
      <c r="DW191" s="2262"/>
      <c r="DX191" s="2262"/>
      <c r="DY191" s="2262"/>
      <c r="DZ191" s="2262"/>
      <c r="EA191" s="2263"/>
      <c r="EB191" s="2261" t="s">
        <v>3037</v>
      </c>
      <c r="EC191" s="2262"/>
      <c r="ED191" s="2262"/>
      <c r="EE191" s="2262"/>
      <c r="EF191" s="2263"/>
      <c r="EG191" s="2279" t="s">
        <v>3038</v>
      </c>
      <c r="EH191" s="2281"/>
      <c r="EI191" s="2281"/>
      <c r="EJ191" s="2281"/>
      <c r="EK191" s="2281"/>
      <c r="EL191" s="2281"/>
      <c r="EM191" s="2280"/>
      <c r="EN191" s="2279" t="s">
        <v>3039</v>
      </c>
      <c r="EO191" s="2280"/>
      <c r="EP191" s="2279" t="s">
        <v>3040</v>
      </c>
      <c r="EQ191" s="2281"/>
      <c r="ER191" s="2280"/>
      <c r="ES191" s="2279" t="s">
        <v>3041</v>
      </c>
      <c r="ET191" s="2281"/>
      <c r="EU191" s="2281"/>
      <c r="EV191" s="2281"/>
      <c r="EW191" s="2280"/>
      <c r="EX191" s="2279" t="s">
        <v>3042</v>
      </c>
      <c r="EY191" s="2281"/>
      <c r="EZ191" s="2280"/>
      <c r="FA191" s="2261" t="s">
        <v>3043</v>
      </c>
      <c r="FB191" s="2262"/>
      <c r="FC191" s="2262"/>
      <c r="FD191" s="2262"/>
      <c r="FE191" s="2263"/>
      <c r="FF191" s="2251" t="s">
        <v>3044</v>
      </c>
      <c r="FG191" s="2252"/>
      <c r="FH191" s="2252"/>
      <c r="FI191" s="2252"/>
      <c r="FJ191" s="2252"/>
      <c r="FK191" s="2253"/>
      <c r="FL191" s="2261" t="s">
        <v>3045</v>
      </c>
      <c r="FM191" s="2262"/>
      <c r="FN191" s="2262"/>
      <c r="FO191" s="2263"/>
      <c r="FP191" s="2261" t="s">
        <v>3046</v>
      </c>
      <c r="FQ191" s="2262"/>
      <c r="FR191" s="2262"/>
      <c r="FS191" s="2262"/>
      <c r="FT191" s="2263"/>
      <c r="FU191" s="2282" t="s">
        <v>3047</v>
      </c>
      <c r="FV191" s="2282"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83"/>
      <c r="FV192" s="2283"/>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1" t="s">
        <v>3083</v>
      </c>
      <c r="BU196" s="2263"/>
      <c r="BV196" s="2262" t="s">
        <v>3084</v>
      </c>
      <c r="BW196" s="2262"/>
      <c r="BX196" s="2263"/>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9" t="s">
        <v>3083</v>
      </c>
      <c r="ET196" s="2280"/>
      <c r="EU196" s="2281" t="s">
        <v>3084</v>
      </c>
      <c r="EV196" s="2281"/>
      <c r="EW196" s="2280"/>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5230720.5307283113</v>
      </c>
      <c r="BP220" s="1302">
        <v>357051.99049823574</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5207248.5356202582</v>
      </c>
      <c r="BP221" s="1284">
        <v>355449.77861842653</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55019.364346696275</v>
      </c>
      <c r="BP222" s="1284">
        <v>3755.6534401963709</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387896.97422295436</v>
      </c>
      <c r="BP223" s="1284">
        <v>26478.070457200403</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4764332.1970506078</v>
      </c>
      <c r="BP224" s="1323">
        <v>325216.05472102977</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264.49863560269438</v>
      </c>
      <c r="BP225" s="1334">
        <v>16.314184263333747</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1" t="s">
        <v>3083</v>
      </c>
      <c r="BU226" s="2263"/>
      <c r="BV226" s="2262" t="s">
        <v>3084</v>
      </c>
      <c r="BW226" s="2262"/>
      <c r="BX226" s="2263"/>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9" t="s">
        <v>3083</v>
      </c>
      <c r="ET226" s="2280"/>
      <c r="EU226" s="2281" t="s">
        <v>3084</v>
      </c>
      <c r="EV226" s="2281"/>
      <c r="EW226" s="2280"/>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33.941799675663979</v>
      </c>
      <c r="BP227" s="1351">
        <v>2.3168867585439101</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112.00813790848106</v>
      </c>
      <c r="BP228" s="1351">
        <v>7.6457398856014933</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1965.0039421460219</v>
      </c>
      <c r="BP229" s="1351">
        <v>134.13229874516489</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84.069043499822101</v>
      </c>
      <c r="BP230" s="1351">
        <v>5.7386012394576849</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60.82539763392019</v>
      </c>
      <c r="BP231" s="1351">
        <v>4.1519766101925448</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1387.9586989329157</v>
      </c>
      <c r="BP232" s="1351">
        <v>94.742858707906692</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4.6553551398586572</v>
      </c>
      <c r="BP233" s="1351">
        <v>0.31777721814766607</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4.9265337559988236</v>
      </c>
      <c r="BP234" s="1351">
        <v>0.33628802638232469</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489.03945434369905</v>
      </c>
      <c r="BP235" s="1351">
        <v>33.382114295690783</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3.7121680785237228</v>
      </c>
      <c r="BP236" s="1351">
        <v>0.25339472711541638</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437481.6792445489</v>
      </c>
      <c r="BP237" s="1284">
        <v>29862.750927552905</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1" t="s">
        <v>3083</v>
      </c>
      <c r="BU241" s="2263"/>
      <c r="BV241" s="2262" t="s">
        <v>3084</v>
      </c>
      <c r="BW241" s="2262"/>
      <c r="BX241" s="2263"/>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9" t="s">
        <v>3083</v>
      </c>
      <c r="ET241" s="2280"/>
      <c r="EU241" s="2281" t="s">
        <v>3084</v>
      </c>
      <c r="EV241" s="2281"/>
      <c r="EW241" s="2280"/>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7.4426492466015777</v>
      </c>
      <c r="BP242" s="1351">
        <v>0.50803951625174615</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7.4093170402778341</v>
      </c>
      <c r="BP243" s="1351">
        <v>0.50576424068585135</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31.81397580863398</v>
      </c>
      <c r="BP244" s="1351">
        <v>2.1716402781231849</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2.8215394666190368</v>
      </c>
      <c r="BP245" s="1351">
        <v>0.19259990605641952</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2.2100425743874412</v>
      </c>
      <c r="BP246" s="1351">
        <v>0.15085877665137062</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28.540442253110772</v>
      </c>
      <c r="BP247" s="1351">
        <v>1.9481869957128577</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0.22752022595940311</v>
      </c>
      <c r="BP248" s="1351">
        <v>1.5530661422299712E-2</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0.31607990960279136</v>
      </c>
      <c r="BP249" s="1370">
        <v>2.1575796339565707E-2</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1" t="s">
        <v>3111</v>
      </c>
      <c r="C253" s="2263"/>
      <c r="D253" s="2261" t="s">
        <v>3015</v>
      </c>
      <c r="E253" s="2263"/>
      <c r="F253" s="2261" t="s">
        <v>3112</v>
      </c>
      <c r="G253" s="2263"/>
      <c r="H253" s="2261" t="s">
        <v>3017</v>
      </c>
      <c r="I253" s="2263"/>
      <c r="J253" s="2261" t="s">
        <v>3018</v>
      </c>
      <c r="K253" s="2263"/>
      <c r="L253" s="2261" t="s">
        <v>3019</v>
      </c>
      <c r="M253" s="2263"/>
      <c r="N253" s="2261" t="s">
        <v>3113</v>
      </c>
      <c r="O253" s="2263"/>
      <c r="P253" s="2261" t="s">
        <v>3021</v>
      </c>
      <c r="Q253" s="2263"/>
      <c r="R253" s="2261" t="s">
        <v>3022</v>
      </c>
      <c r="S253" s="2263"/>
      <c r="T253" s="2261" t="s">
        <v>3114</v>
      </c>
      <c r="U253" s="2263"/>
      <c r="V253" s="2261" t="s">
        <v>3115</v>
      </c>
      <c r="W253" s="2263"/>
      <c r="X253" s="2261" t="s">
        <v>3116</v>
      </c>
      <c r="Y253" s="2263"/>
      <c r="Z253" s="2261" t="s">
        <v>3117</v>
      </c>
      <c r="AA253" s="2263"/>
      <c r="AB253" s="2261" t="s">
        <v>3118</v>
      </c>
      <c r="AC253" s="2263"/>
      <c r="AD253" s="2261" t="s">
        <v>3026</v>
      </c>
      <c r="AE253" s="2263"/>
      <c r="AF253" s="2261" t="s">
        <v>3119</v>
      </c>
      <c r="AG253" s="2263"/>
      <c r="AH253" s="2261" t="s">
        <v>3028</v>
      </c>
      <c r="AI253" s="2263"/>
      <c r="AJ253" s="2261" t="s">
        <v>3120</v>
      </c>
      <c r="AK253" s="2263"/>
      <c r="AL253" s="2261" t="s">
        <v>3121</v>
      </c>
      <c r="AM253" s="2263"/>
      <c r="AN253" s="2261" t="s">
        <v>3122</v>
      </c>
      <c r="AO253" s="2263"/>
      <c r="AP253" s="2261" t="s">
        <v>3030</v>
      </c>
      <c r="AQ253" s="2263"/>
      <c r="AR253" s="2261" t="s">
        <v>3123</v>
      </c>
      <c r="AS253" s="2263"/>
      <c r="AT253" s="2261" t="s">
        <v>3032</v>
      </c>
      <c r="AU253" s="2263"/>
      <c r="AV253" s="2261" t="s">
        <v>3033</v>
      </c>
      <c r="AW253" s="2263"/>
      <c r="AX253" s="2261" t="s">
        <v>3034</v>
      </c>
      <c r="AY253" s="2263"/>
      <c r="AZ253" s="2261" t="s">
        <v>3124</v>
      </c>
      <c r="BA253" s="2263"/>
      <c r="BB253" s="2261" t="s">
        <v>3036</v>
      </c>
      <c r="BC253" s="2263"/>
      <c r="BD253" s="2261" t="s">
        <v>3037</v>
      </c>
      <c r="BE253" s="2263"/>
      <c r="BF253" s="2261" t="s">
        <v>3125</v>
      </c>
      <c r="BG253" s="2263"/>
      <c r="BH253" s="2261" t="s">
        <v>3126</v>
      </c>
      <c r="BI253" s="2263"/>
      <c r="BJ253" s="2279" t="s">
        <v>3127</v>
      </c>
      <c r="BK253" s="2280"/>
      <c r="BL253" s="2279" t="s">
        <v>3128</v>
      </c>
      <c r="BM253" s="2280"/>
      <c r="BN253" s="2279" t="s">
        <v>3040</v>
      </c>
      <c r="BO253" s="2280"/>
      <c r="BP253" s="2279" t="s">
        <v>3129</v>
      </c>
      <c r="BQ253" s="2280"/>
      <c r="BR253" s="2279" t="s">
        <v>3130</v>
      </c>
      <c r="BS253" s="2280"/>
      <c r="BT253" s="2261" t="s">
        <v>3131</v>
      </c>
      <c r="BU253" s="2263"/>
      <c r="BV253" s="2261" t="s">
        <v>3132</v>
      </c>
      <c r="BW253" s="2263"/>
      <c r="BX253" s="2261" t="s">
        <v>3133</v>
      </c>
      <c r="BY253" s="2263"/>
      <c r="BZ253" s="2261" t="s">
        <v>3134</v>
      </c>
      <c r="CA253" s="2263"/>
      <c r="CB253" s="2261" t="s">
        <v>3135</v>
      </c>
      <c r="CC253" s="2263"/>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3988580.0438515176</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3970681.9491765331</v>
      </c>
      <c r="AC257" s="877">
        <v>1592016.3650621513</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41953.90240588384</v>
      </c>
      <c r="AC258" s="877">
        <v>16821.115381008811</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295782.98465137882</v>
      </c>
      <c r="AC259" s="877">
        <v>118592.06002877629</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3632945.0621192707</v>
      </c>
      <c r="AC260" s="877">
        <v>1456603.1896523663</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200.44559887156157</v>
      </c>
      <c r="AC261" s="906">
        <v>80.367220994466535</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36.258686434207888</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119.65387779408255</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2099.1362408911868</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89.80764473927978</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64.977374244112738</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1482.7015576408223</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4.9731323580063229</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5.2628217823811481</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522.42156863938987</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3.9655628056391392</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467344.43017210183</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467645.46393373632</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484368.98513641238</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7.950688762853324</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7.915081280963685</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33.985616086757162</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3.0141393726754564</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2.3609013510388119</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30.488629248823628</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0.24305088738170283</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0.33765570594235705</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3387</v>
      </c>
    </row>
    <row r="3" spans="1:19" ht="23.25" customHeight="1" x14ac:dyDescent="0.45"/>
    <row r="4" spans="1:19" x14ac:dyDescent="0.45">
      <c r="A4" s="726" t="s">
        <v>2620</v>
      </c>
      <c r="R4" s="1131"/>
    </row>
    <row r="5" spans="1:19" x14ac:dyDescent="0.45">
      <c r="A5" s="740"/>
      <c r="B5" s="2273" t="s">
        <v>2850</v>
      </c>
      <c r="C5" s="2274"/>
      <c r="D5" s="2274"/>
      <c r="E5" s="2274"/>
      <c r="F5" s="2274"/>
      <c r="G5" s="2274"/>
      <c r="H5" s="2274"/>
      <c r="I5" s="2274"/>
      <c r="J5" s="2274"/>
      <c r="K5" s="2274"/>
      <c r="L5" s="2274"/>
      <c r="M5" s="2274"/>
      <c r="N5" s="2274"/>
      <c r="O5" s="2274"/>
      <c r="P5" s="2274"/>
      <c r="Q5" s="2274"/>
      <c r="R5" s="2275"/>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76" t="s">
        <v>2966</v>
      </c>
      <c r="N124" s="1196" t="s">
        <v>1351</v>
      </c>
      <c r="O124" s="2276"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77"/>
      <c r="N125" s="744"/>
      <c r="O125" s="2277"/>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78"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78"/>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78"/>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1" t="s">
        <v>3014</v>
      </c>
      <c r="C191" s="2262"/>
      <c r="D191" s="2262"/>
      <c r="E191" s="2262"/>
      <c r="F191" s="2262"/>
      <c r="G191" s="2262"/>
      <c r="H191" s="2262"/>
      <c r="I191" s="2263"/>
      <c r="J191" s="2261" t="s">
        <v>3015</v>
      </c>
      <c r="K191" s="2262"/>
      <c r="L191" s="2263"/>
      <c r="M191" s="2261" t="s">
        <v>3016</v>
      </c>
      <c r="N191" s="2262"/>
      <c r="O191" s="2263"/>
      <c r="P191" s="2261" t="s">
        <v>3017</v>
      </c>
      <c r="Q191" s="2262"/>
      <c r="R191" s="2263"/>
      <c r="S191" s="2261" t="s">
        <v>3018</v>
      </c>
      <c r="T191" s="2262"/>
      <c r="U191" s="2262"/>
      <c r="V191" s="2262"/>
      <c r="W191" s="2262"/>
      <c r="X191" s="2262"/>
      <c r="Y191" s="2262"/>
      <c r="Z191" s="2262"/>
      <c r="AA191" s="2262"/>
      <c r="AB191" s="2263"/>
      <c r="AC191" s="2261" t="s">
        <v>3019</v>
      </c>
      <c r="AD191" s="2262"/>
      <c r="AE191" s="2262"/>
      <c r="AF191" s="2262"/>
      <c r="AG191" s="2262"/>
      <c r="AH191" s="2262"/>
      <c r="AI191" s="2262"/>
      <c r="AJ191" s="2262"/>
      <c r="AK191" s="2263"/>
      <c r="AL191" s="2261" t="s">
        <v>3020</v>
      </c>
      <c r="AM191" s="2262"/>
      <c r="AN191" s="2263"/>
      <c r="AO191" s="2261" t="s">
        <v>3021</v>
      </c>
      <c r="AP191" s="2262"/>
      <c r="AQ191" s="2262"/>
      <c r="AR191" s="2262"/>
      <c r="AS191" s="2263"/>
      <c r="AT191" s="2261" t="s">
        <v>3022</v>
      </c>
      <c r="AU191" s="2262"/>
      <c r="AV191" s="2262"/>
      <c r="AW191" s="2263"/>
      <c r="AX191" s="2261" t="s">
        <v>3023</v>
      </c>
      <c r="AY191" s="2262"/>
      <c r="AZ191" s="2262"/>
      <c r="BA191" s="2262"/>
      <c r="BB191" s="2262"/>
      <c r="BC191" s="2262"/>
      <c r="BD191" s="2262"/>
      <c r="BE191" s="2262"/>
      <c r="BF191" s="2262"/>
      <c r="BG191" s="2263"/>
      <c r="BH191" s="2261" t="s">
        <v>3024</v>
      </c>
      <c r="BI191" s="2262"/>
      <c r="BJ191" s="2262"/>
      <c r="BK191" s="2262"/>
      <c r="BL191" s="2262"/>
      <c r="BM191" s="2262"/>
      <c r="BN191" s="2263"/>
      <c r="BO191" s="2261" t="s">
        <v>3025</v>
      </c>
      <c r="BP191" s="2263"/>
      <c r="BQ191" s="2261" t="s">
        <v>3026</v>
      </c>
      <c r="BR191" s="2262"/>
      <c r="BS191" s="2263"/>
      <c r="BT191" s="2261" t="s">
        <v>3027</v>
      </c>
      <c r="BU191" s="2262"/>
      <c r="BV191" s="2262"/>
      <c r="BW191" s="2262"/>
      <c r="BX191" s="2263"/>
      <c r="BY191" s="2261" t="s">
        <v>3028</v>
      </c>
      <c r="BZ191" s="2262"/>
      <c r="CA191" s="2263"/>
      <c r="CB191" s="2261" t="s">
        <v>3029</v>
      </c>
      <c r="CC191" s="2262"/>
      <c r="CD191" s="2262"/>
      <c r="CE191" s="2262"/>
      <c r="CF191" s="2262"/>
      <c r="CG191" s="2262"/>
      <c r="CH191" s="2262"/>
      <c r="CI191" s="2262"/>
      <c r="CJ191" s="2263"/>
      <c r="CK191" s="2261" t="s">
        <v>3030</v>
      </c>
      <c r="CL191" s="2262"/>
      <c r="CM191" s="2262"/>
      <c r="CN191" s="2263"/>
      <c r="CO191" s="2261" t="s">
        <v>3031</v>
      </c>
      <c r="CP191" s="2262"/>
      <c r="CQ191" s="2262"/>
      <c r="CR191" s="2263"/>
      <c r="CS191" s="2261" t="s">
        <v>3032</v>
      </c>
      <c r="CT191" s="2262"/>
      <c r="CU191" s="2262"/>
      <c r="CV191" s="2263"/>
      <c r="CW191" s="2261" t="s">
        <v>3033</v>
      </c>
      <c r="CX191" s="2262"/>
      <c r="CY191" s="2262"/>
      <c r="CZ191" s="2262"/>
      <c r="DA191" s="2262"/>
      <c r="DB191" s="2262"/>
      <c r="DC191" s="2262"/>
      <c r="DD191" s="2262"/>
      <c r="DE191" s="2262"/>
      <c r="DF191" s="2262"/>
      <c r="DG191" s="2263"/>
      <c r="DH191" s="2261" t="s">
        <v>3034</v>
      </c>
      <c r="DI191" s="2262"/>
      <c r="DJ191" s="2262"/>
      <c r="DK191" s="2262"/>
      <c r="DL191" s="2262"/>
      <c r="DM191" s="2262"/>
      <c r="DN191" s="2262"/>
      <c r="DO191" s="2262"/>
      <c r="DP191" s="2262"/>
      <c r="DQ191" s="2263"/>
      <c r="DR191" s="2261" t="s">
        <v>3035</v>
      </c>
      <c r="DS191" s="2262"/>
      <c r="DT191" s="2262"/>
      <c r="DU191" s="2263"/>
      <c r="DV191" s="2261" t="s">
        <v>3036</v>
      </c>
      <c r="DW191" s="2262"/>
      <c r="DX191" s="2262"/>
      <c r="DY191" s="2262"/>
      <c r="DZ191" s="2262"/>
      <c r="EA191" s="2263"/>
      <c r="EB191" s="2261" t="s">
        <v>3037</v>
      </c>
      <c r="EC191" s="2262"/>
      <c r="ED191" s="2262"/>
      <c r="EE191" s="2262"/>
      <c r="EF191" s="2263"/>
      <c r="EG191" s="2279" t="s">
        <v>3038</v>
      </c>
      <c r="EH191" s="2281"/>
      <c r="EI191" s="2281"/>
      <c r="EJ191" s="2281"/>
      <c r="EK191" s="2281"/>
      <c r="EL191" s="2281"/>
      <c r="EM191" s="2280"/>
      <c r="EN191" s="2279" t="s">
        <v>3039</v>
      </c>
      <c r="EO191" s="2280"/>
      <c r="EP191" s="2279" t="s">
        <v>3040</v>
      </c>
      <c r="EQ191" s="2281"/>
      <c r="ER191" s="2280"/>
      <c r="ES191" s="2279" t="s">
        <v>3041</v>
      </c>
      <c r="ET191" s="2281"/>
      <c r="EU191" s="2281"/>
      <c r="EV191" s="2281"/>
      <c r="EW191" s="2280"/>
      <c r="EX191" s="2279" t="s">
        <v>3042</v>
      </c>
      <c r="EY191" s="2281"/>
      <c r="EZ191" s="2280"/>
      <c r="FA191" s="2261" t="s">
        <v>3043</v>
      </c>
      <c r="FB191" s="2262"/>
      <c r="FC191" s="2262"/>
      <c r="FD191" s="2262"/>
      <c r="FE191" s="2263"/>
      <c r="FF191" s="2251" t="s">
        <v>3044</v>
      </c>
      <c r="FG191" s="2252"/>
      <c r="FH191" s="2252"/>
      <c r="FI191" s="2252"/>
      <c r="FJ191" s="2252"/>
      <c r="FK191" s="2253"/>
      <c r="FL191" s="2261" t="s">
        <v>3045</v>
      </c>
      <c r="FM191" s="2262"/>
      <c r="FN191" s="2262"/>
      <c r="FO191" s="2263"/>
      <c r="FP191" s="2261" t="s">
        <v>3046</v>
      </c>
      <c r="FQ191" s="2262"/>
      <c r="FR191" s="2262"/>
      <c r="FS191" s="2262"/>
      <c r="FT191" s="2263"/>
      <c r="FU191" s="2282" t="s">
        <v>3047</v>
      </c>
      <c r="FV191" s="2282"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83"/>
      <c r="FV192" s="2283"/>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1" t="s">
        <v>3083</v>
      </c>
      <c r="BU196" s="2263"/>
      <c r="BV196" s="2262" t="s">
        <v>3084</v>
      </c>
      <c r="BW196" s="2262"/>
      <c r="BX196" s="2263"/>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9" t="s">
        <v>3083</v>
      </c>
      <c r="ET196" s="2280"/>
      <c r="EU196" s="2281" t="s">
        <v>3084</v>
      </c>
      <c r="EV196" s="2281"/>
      <c r="EW196" s="2280"/>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3415412.4088068213</v>
      </c>
      <c r="BP220" s="1302">
        <v>233138.01449970654</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3413530.7724892111</v>
      </c>
      <c r="BP221" s="1284">
        <v>233009.57292293911</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4539.2678104993929</v>
      </c>
      <c r="BP222" s="1284">
        <v>309.85303030856193</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3396432.5584849794</v>
      </c>
      <c r="BP223" s="1284">
        <v>231842.43900547753</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12558.946193732225</v>
      </c>
      <c r="BP224" s="1323">
        <v>857.28088715302954</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113.31015297322992</v>
      </c>
      <c r="BP225" s="1334">
        <v>5.9939715228259081</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1" t="s">
        <v>3083</v>
      </c>
      <c r="BU226" s="2263"/>
      <c r="BV226" s="2262" t="s">
        <v>3084</v>
      </c>
      <c r="BW226" s="2262"/>
      <c r="BX226" s="2263"/>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9" t="s">
        <v>3083</v>
      </c>
      <c r="ET226" s="2280"/>
      <c r="EU226" s="2281" t="s">
        <v>3084</v>
      </c>
      <c r="EV226" s="2281"/>
      <c r="EW226" s="2280"/>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33.573501203894793</v>
      </c>
      <c r="BP227" s="1351">
        <v>2.2917464931311184</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152.95524521062555</v>
      </c>
      <c r="BP228" s="1351">
        <v>10.440812969985883</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189.13940594650776</v>
      </c>
      <c r="BP229" s="1351">
        <v>12.910764583603436</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6.2654586839266511</v>
      </c>
      <c r="BP230" s="1351">
        <v>0.42768381169257008</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6.1118270225571711</v>
      </c>
      <c r="BP231" s="1351">
        <v>0.41719682616671833</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44.490800902394952</v>
      </c>
      <c r="BP232" s="1351">
        <v>3.0369676467591673</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1.0863537813662194</v>
      </c>
      <c r="BP233" s="1351">
        <v>7.4155133646202631E-2</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2.8589966410120602</v>
      </c>
      <c r="BP234" s="1351">
        <v>0.19515675431411192</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608.37899963202028</v>
      </c>
      <c r="BP235" s="1351">
        <v>41.528300263767441</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2.8390872101980578</v>
      </c>
      <c r="BP236" s="1351">
        <v>0.1937977251210847</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203111.76149587909</v>
      </c>
      <c r="BP237" s="1284">
        <v>13864.525605922376</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1" t="s">
        <v>3083</v>
      </c>
      <c r="BU241" s="2263"/>
      <c r="BV241" s="2262" t="s">
        <v>3084</v>
      </c>
      <c r="BW241" s="2262"/>
      <c r="BX241" s="2263"/>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9" t="s">
        <v>3083</v>
      </c>
      <c r="ET241" s="2280"/>
      <c r="EU241" s="2281" t="s">
        <v>3084</v>
      </c>
      <c r="EV241" s="2281"/>
      <c r="EW241" s="2280"/>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3.2286368795224685</v>
      </c>
      <c r="BP242" s="1351">
        <v>0.22038860949602262</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30.416657277312826</v>
      </c>
      <c r="BP243" s="1351">
        <v>2.0762585118756154</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36.544632856118483</v>
      </c>
      <c r="BP244" s="1351">
        <v>2.4945576477754425</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1.5598404133129915</v>
      </c>
      <c r="BP245" s="1351">
        <v>0.10647560334397124</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1.553931086230842</v>
      </c>
      <c r="BP246" s="1351">
        <v>0.10607222928015124</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3.5336773767101919</v>
      </c>
      <c r="BP247" s="1351">
        <v>0.24121084919772642</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0.22187307652872082</v>
      </c>
      <c r="BP248" s="1351">
        <v>1.5145183755691256E-2</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0.76452574292620556</v>
      </c>
      <c r="BP249" s="1370">
        <v>5.2186966727686336E-2</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1" t="s">
        <v>3111</v>
      </c>
      <c r="C253" s="2263"/>
      <c r="D253" s="2261" t="s">
        <v>3015</v>
      </c>
      <c r="E253" s="2263"/>
      <c r="F253" s="2261" t="s">
        <v>3112</v>
      </c>
      <c r="G253" s="2263"/>
      <c r="H253" s="2261" t="s">
        <v>3017</v>
      </c>
      <c r="I253" s="2263"/>
      <c r="J253" s="2261" t="s">
        <v>3018</v>
      </c>
      <c r="K253" s="2263"/>
      <c r="L253" s="2261" t="s">
        <v>3019</v>
      </c>
      <c r="M253" s="2263"/>
      <c r="N253" s="2261" t="s">
        <v>3113</v>
      </c>
      <c r="O253" s="2263"/>
      <c r="P253" s="2261" t="s">
        <v>3021</v>
      </c>
      <c r="Q253" s="2263"/>
      <c r="R253" s="2261" t="s">
        <v>3022</v>
      </c>
      <c r="S253" s="2263"/>
      <c r="T253" s="2261" t="s">
        <v>3114</v>
      </c>
      <c r="U253" s="2263"/>
      <c r="V253" s="2261" t="s">
        <v>3115</v>
      </c>
      <c r="W253" s="2263"/>
      <c r="X253" s="2261" t="s">
        <v>3116</v>
      </c>
      <c r="Y253" s="2263"/>
      <c r="Z253" s="2261" t="s">
        <v>3117</v>
      </c>
      <c r="AA253" s="2263"/>
      <c r="AB253" s="2261" t="s">
        <v>3118</v>
      </c>
      <c r="AC253" s="2263"/>
      <c r="AD253" s="2261" t="s">
        <v>3026</v>
      </c>
      <c r="AE253" s="2263"/>
      <c r="AF253" s="2261" t="s">
        <v>3119</v>
      </c>
      <c r="AG253" s="2263"/>
      <c r="AH253" s="2261" t="s">
        <v>3028</v>
      </c>
      <c r="AI253" s="2263"/>
      <c r="AJ253" s="2261" t="s">
        <v>3120</v>
      </c>
      <c r="AK253" s="2263"/>
      <c r="AL253" s="2261" t="s">
        <v>3121</v>
      </c>
      <c r="AM253" s="2263"/>
      <c r="AN253" s="2261" t="s">
        <v>3122</v>
      </c>
      <c r="AO253" s="2263"/>
      <c r="AP253" s="2261" t="s">
        <v>3030</v>
      </c>
      <c r="AQ253" s="2263"/>
      <c r="AR253" s="2261" t="s">
        <v>3123</v>
      </c>
      <c r="AS253" s="2263"/>
      <c r="AT253" s="2261" t="s">
        <v>3032</v>
      </c>
      <c r="AU253" s="2263"/>
      <c r="AV253" s="2261" t="s">
        <v>3033</v>
      </c>
      <c r="AW253" s="2263"/>
      <c r="AX253" s="2261" t="s">
        <v>3034</v>
      </c>
      <c r="AY253" s="2263"/>
      <c r="AZ253" s="2261" t="s">
        <v>3124</v>
      </c>
      <c r="BA253" s="2263"/>
      <c r="BB253" s="2261" t="s">
        <v>3036</v>
      </c>
      <c r="BC253" s="2263"/>
      <c r="BD253" s="2261" t="s">
        <v>3037</v>
      </c>
      <c r="BE253" s="2263"/>
      <c r="BF253" s="2261" t="s">
        <v>3125</v>
      </c>
      <c r="BG253" s="2263"/>
      <c r="BH253" s="2261" t="s">
        <v>3126</v>
      </c>
      <c r="BI253" s="2263"/>
      <c r="BJ253" s="2279" t="s">
        <v>3127</v>
      </c>
      <c r="BK253" s="2280"/>
      <c r="BL253" s="2279" t="s">
        <v>3128</v>
      </c>
      <c r="BM253" s="2280"/>
      <c r="BN253" s="2279" t="s">
        <v>3040</v>
      </c>
      <c r="BO253" s="2280"/>
      <c r="BP253" s="2279" t="s">
        <v>3129</v>
      </c>
      <c r="BQ253" s="2280"/>
      <c r="BR253" s="2279" t="s">
        <v>3130</v>
      </c>
      <c r="BS253" s="2280"/>
      <c r="BT253" s="2261" t="s">
        <v>3131</v>
      </c>
      <c r="BU253" s="2263"/>
      <c r="BV253" s="2261" t="s">
        <v>3132</v>
      </c>
      <c r="BW253" s="2263"/>
      <c r="BX253" s="2261" t="s">
        <v>3133</v>
      </c>
      <c r="BY253" s="2263"/>
      <c r="BZ253" s="2261" t="s">
        <v>3134</v>
      </c>
      <c r="CA253" s="2263"/>
      <c r="CB253" s="2261" t="s">
        <v>3135</v>
      </c>
      <c r="CC253" s="2263"/>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2049357.9459314989</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2048228.9032633558</v>
      </c>
      <c r="AC257" s="877">
        <v>1598311.4421487942</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2723.7075476363561</v>
      </c>
      <c r="AC258" s="877">
        <v>2125.4132931715985</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2037969.4216732392</v>
      </c>
      <c r="AC259" s="877">
        <v>1590305.5758172176</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7535.7740424802205</v>
      </c>
      <c r="AC260" s="877">
        <v>5880.4530384050331</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67.012053323033314</v>
      </c>
      <c r="AC261" s="906">
        <v>52.292071173022514</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35.865247697025914</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163.39605818061142</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202.05017053011119</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6.6931424956192211</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6.5290238487238899</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47.527768549154118</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1.1605089150124219</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3.0541533953261721</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649.90729989578767</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3.0328849353191423</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216976.28710180148</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217344.83235807437</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237645.76586280757</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3.4490254890184913</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32.492915789188444</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39.039190503893927</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1.6663160166569628</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1.6600033155109932</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3.7748882259079184</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0.23701826028441209</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0.81671270965389187</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3388</v>
      </c>
    </row>
    <row r="3" spans="1:19" ht="23.25" customHeight="1" x14ac:dyDescent="0.45"/>
    <row r="4" spans="1:19" x14ac:dyDescent="0.45">
      <c r="A4" s="726" t="s">
        <v>2620</v>
      </c>
      <c r="R4" s="1131"/>
    </row>
    <row r="5" spans="1:19" x14ac:dyDescent="0.45">
      <c r="A5" s="740"/>
      <c r="B5" s="2273" t="s">
        <v>2850</v>
      </c>
      <c r="C5" s="2274"/>
      <c r="D5" s="2274"/>
      <c r="E5" s="2274"/>
      <c r="F5" s="2274"/>
      <c r="G5" s="2274"/>
      <c r="H5" s="2274"/>
      <c r="I5" s="2274"/>
      <c r="J5" s="2274"/>
      <c r="K5" s="2274"/>
      <c r="L5" s="2274"/>
      <c r="M5" s="2274"/>
      <c r="N5" s="2274"/>
      <c r="O5" s="2274"/>
      <c r="P5" s="2274"/>
      <c r="Q5" s="2274"/>
      <c r="R5" s="2275"/>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76" t="s">
        <v>2966</v>
      </c>
      <c r="N124" s="1196" t="s">
        <v>1351</v>
      </c>
      <c r="O124" s="2276"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77"/>
      <c r="N125" s="744"/>
      <c r="O125" s="2277"/>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78"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78"/>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78"/>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1" t="s">
        <v>3014</v>
      </c>
      <c r="C191" s="2262"/>
      <c r="D191" s="2262"/>
      <c r="E191" s="2262"/>
      <c r="F191" s="2262"/>
      <c r="G191" s="2262"/>
      <c r="H191" s="2262"/>
      <c r="I191" s="2263"/>
      <c r="J191" s="2261" t="s">
        <v>3015</v>
      </c>
      <c r="K191" s="2262"/>
      <c r="L191" s="2263"/>
      <c r="M191" s="2261" t="s">
        <v>3016</v>
      </c>
      <c r="N191" s="2262"/>
      <c r="O191" s="2263"/>
      <c r="P191" s="2261" t="s">
        <v>3017</v>
      </c>
      <c r="Q191" s="2262"/>
      <c r="R191" s="2263"/>
      <c r="S191" s="2261" t="s">
        <v>3018</v>
      </c>
      <c r="T191" s="2262"/>
      <c r="U191" s="2262"/>
      <c r="V191" s="2262"/>
      <c r="W191" s="2262"/>
      <c r="X191" s="2262"/>
      <c r="Y191" s="2262"/>
      <c r="Z191" s="2262"/>
      <c r="AA191" s="2262"/>
      <c r="AB191" s="2263"/>
      <c r="AC191" s="2261" t="s">
        <v>3019</v>
      </c>
      <c r="AD191" s="2262"/>
      <c r="AE191" s="2262"/>
      <c r="AF191" s="2262"/>
      <c r="AG191" s="2262"/>
      <c r="AH191" s="2262"/>
      <c r="AI191" s="2262"/>
      <c r="AJ191" s="2262"/>
      <c r="AK191" s="2263"/>
      <c r="AL191" s="2261" t="s">
        <v>3020</v>
      </c>
      <c r="AM191" s="2262"/>
      <c r="AN191" s="2263"/>
      <c r="AO191" s="2261" t="s">
        <v>3021</v>
      </c>
      <c r="AP191" s="2262"/>
      <c r="AQ191" s="2262"/>
      <c r="AR191" s="2262"/>
      <c r="AS191" s="2263"/>
      <c r="AT191" s="2261" t="s">
        <v>3022</v>
      </c>
      <c r="AU191" s="2262"/>
      <c r="AV191" s="2262"/>
      <c r="AW191" s="2263"/>
      <c r="AX191" s="2261" t="s">
        <v>3023</v>
      </c>
      <c r="AY191" s="2262"/>
      <c r="AZ191" s="2262"/>
      <c r="BA191" s="2262"/>
      <c r="BB191" s="2262"/>
      <c r="BC191" s="2262"/>
      <c r="BD191" s="2262"/>
      <c r="BE191" s="2262"/>
      <c r="BF191" s="2262"/>
      <c r="BG191" s="2263"/>
      <c r="BH191" s="2261" t="s">
        <v>3024</v>
      </c>
      <c r="BI191" s="2262"/>
      <c r="BJ191" s="2262"/>
      <c r="BK191" s="2262"/>
      <c r="BL191" s="2262"/>
      <c r="BM191" s="2262"/>
      <c r="BN191" s="2263"/>
      <c r="BO191" s="2261" t="s">
        <v>3025</v>
      </c>
      <c r="BP191" s="2263"/>
      <c r="BQ191" s="2261" t="s">
        <v>3026</v>
      </c>
      <c r="BR191" s="2262"/>
      <c r="BS191" s="2263"/>
      <c r="BT191" s="2261" t="s">
        <v>3027</v>
      </c>
      <c r="BU191" s="2262"/>
      <c r="BV191" s="2262"/>
      <c r="BW191" s="2262"/>
      <c r="BX191" s="2263"/>
      <c r="BY191" s="2261" t="s">
        <v>3028</v>
      </c>
      <c r="BZ191" s="2262"/>
      <c r="CA191" s="2263"/>
      <c r="CB191" s="2261" t="s">
        <v>3029</v>
      </c>
      <c r="CC191" s="2262"/>
      <c r="CD191" s="2262"/>
      <c r="CE191" s="2262"/>
      <c r="CF191" s="2262"/>
      <c r="CG191" s="2262"/>
      <c r="CH191" s="2262"/>
      <c r="CI191" s="2262"/>
      <c r="CJ191" s="2263"/>
      <c r="CK191" s="2261" t="s">
        <v>3030</v>
      </c>
      <c r="CL191" s="2262"/>
      <c r="CM191" s="2262"/>
      <c r="CN191" s="2263"/>
      <c r="CO191" s="2261" t="s">
        <v>3031</v>
      </c>
      <c r="CP191" s="2262"/>
      <c r="CQ191" s="2262"/>
      <c r="CR191" s="2263"/>
      <c r="CS191" s="2261" t="s">
        <v>3032</v>
      </c>
      <c r="CT191" s="2262"/>
      <c r="CU191" s="2262"/>
      <c r="CV191" s="2263"/>
      <c r="CW191" s="2261" t="s">
        <v>3033</v>
      </c>
      <c r="CX191" s="2262"/>
      <c r="CY191" s="2262"/>
      <c r="CZ191" s="2262"/>
      <c r="DA191" s="2262"/>
      <c r="DB191" s="2262"/>
      <c r="DC191" s="2262"/>
      <c r="DD191" s="2262"/>
      <c r="DE191" s="2262"/>
      <c r="DF191" s="2262"/>
      <c r="DG191" s="2263"/>
      <c r="DH191" s="2261" t="s">
        <v>3034</v>
      </c>
      <c r="DI191" s="2262"/>
      <c r="DJ191" s="2262"/>
      <c r="DK191" s="2262"/>
      <c r="DL191" s="2262"/>
      <c r="DM191" s="2262"/>
      <c r="DN191" s="2262"/>
      <c r="DO191" s="2262"/>
      <c r="DP191" s="2262"/>
      <c r="DQ191" s="2263"/>
      <c r="DR191" s="2261" t="s">
        <v>3035</v>
      </c>
      <c r="DS191" s="2262"/>
      <c r="DT191" s="2262"/>
      <c r="DU191" s="2263"/>
      <c r="DV191" s="2261" t="s">
        <v>3036</v>
      </c>
      <c r="DW191" s="2262"/>
      <c r="DX191" s="2262"/>
      <c r="DY191" s="2262"/>
      <c r="DZ191" s="2262"/>
      <c r="EA191" s="2263"/>
      <c r="EB191" s="2261" t="s">
        <v>3037</v>
      </c>
      <c r="EC191" s="2262"/>
      <c r="ED191" s="2262"/>
      <c r="EE191" s="2262"/>
      <c r="EF191" s="2263"/>
      <c r="EG191" s="2279" t="s">
        <v>3038</v>
      </c>
      <c r="EH191" s="2281"/>
      <c r="EI191" s="2281"/>
      <c r="EJ191" s="2281"/>
      <c r="EK191" s="2281"/>
      <c r="EL191" s="2281"/>
      <c r="EM191" s="2280"/>
      <c r="EN191" s="2279" t="s">
        <v>3039</v>
      </c>
      <c r="EO191" s="2280"/>
      <c r="EP191" s="2279" t="s">
        <v>3040</v>
      </c>
      <c r="EQ191" s="2281"/>
      <c r="ER191" s="2280"/>
      <c r="ES191" s="2279" t="s">
        <v>3041</v>
      </c>
      <c r="ET191" s="2281"/>
      <c r="EU191" s="2281"/>
      <c r="EV191" s="2281"/>
      <c r="EW191" s="2280"/>
      <c r="EX191" s="2279" t="s">
        <v>3042</v>
      </c>
      <c r="EY191" s="2281"/>
      <c r="EZ191" s="2280"/>
      <c r="FA191" s="2261" t="s">
        <v>3043</v>
      </c>
      <c r="FB191" s="2262"/>
      <c r="FC191" s="2262"/>
      <c r="FD191" s="2262"/>
      <c r="FE191" s="2263"/>
      <c r="FF191" s="2251" t="s">
        <v>3044</v>
      </c>
      <c r="FG191" s="2252"/>
      <c r="FH191" s="2252"/>
      <c r="FI191" s="2252"/>
      <c r="FJ191" s="2252"/>
      <c r="FK191" s="2253"/>
      <c r="FL191" s="2261" t="s">
        <v>3045</v>
      </c>
      <c r="FM191" s="2262"/>
      <c r="FN191" s="2262"/>
      <c r="FO191" s="2263"/>
      <c r="FP191" s="2261" t="s">
        <v>3046</v>
      </c>
      <c r="FQ191" s="2262"/>
      <c r="FR191" s="2262"/>
      <c r="FS191" s="2262"/>
      <c r="FT191" s="2263"/>
      <c r="FU191" s="2282" t="s">
        <v>3047</v>
      </c>
      <c r="FV191" s="2282"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83"/>
      <c r="FV192" s="2283"/>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1" t="s">
        <v>3083</v>
      </c>
      <c r="BU196" s="2263"/>
      <c r="BV196" s="2262" t="s">
        <v>3084</v>
      </c>
      <c r="BW196" s="2262"/>
      <c r="BX196" s="2263"/>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9" t="s">
        <v>3083</v>
      </c>
      <c r="ET196" s="2280"/>
      <c r="EU196" s="2281" t="s">
        <v>3084</v>
      </c>
      <c r="EV196" s="2281"/>
      <c r="EW196" s="2280"/>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1624788.0407724604</v>
      </c>
      <c r="BP220" s="1302">
        <v>110908.96573187011</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43320.907203696399</v>
      </c>
      <c r="BP221" s="1284">
        <v>2957.1100303298867</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17694.294140163267</v>
      </c>
      <c r="BP222" s="1284">
        <v>1207.8226902187207</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20847.035179704402</v>
      </c>
      <c r="BP223" s="1284">
        <v>1423.0306060461219</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4779.5778838287288</v>
      </c>
      <c r="BP224" s="1323">
        <v>326.2567340650441</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240.08037630918719</v>
      </c>
      <c r="BP225" s="1334">
        <v>14.647379846230841</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1" t="s">
        <v>3083</v>
      </c>
      <c r="BU226" s="2263"/>
      <c r="BV226" s="2262" t="s">
        <v>3084</v>
      </c>
      <c r="BW226" s="2262"/>
      <c r="BX226" s="2263"/>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9" t="s">
        <v>3083</v>
      </c>
      <c r="ET226" s="2280"/>
      <c r="EU226" s="2281" t="s">
        <v>3084</v>
      </c>
      <c r="EV226" s="2281"/>
      <c r="EW226" s="2280"/>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1.4271957573115492</v>
      </c>
      <c r="BP227" s="1351">
        <v>9.7421202869688139E-2</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5.7045943087716786</v>
      </c>
      <c r="BP228" s="1351">
        <v>0.38939888701112307</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7.7139587613286293</v>
      </c>
      <c r="BP229" s="1351">
        <v>0.52655925969919737</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0.49934068342693727</v>
      </c>
      <c r="BP230" s="1351">
        <v>3.4085282114950356E-2</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0.29930024608637307</v>
      </c>
      <c r="BP231" s="1351">
        <v>2.0430406861532635E-2</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4.8555067072457865</v>
      </c>
      <c r="BP232" s="1351">
        <v>0.3314396792019495</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6.8880818415101186E-2</v>
      </c>
      <c r="BP233" s="1351">
        <v>4.7018442636687771E-3</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7.1449889136387348E-2</v>
      </c>
      <c r="BP234" s="1351">
        <v>4.8772105080278965E-3</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8.3143160813822874</v>
      </c>
      <c r="BP235" s="1351">
        <v>0.56753999550339029</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5.4923302005652284E-2</v>
      </c>
      <c r="BP236" s="1351">
        <v>3.7490961695717637E-3</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3374.3573836504765</v>
      </c>
      <c r="BP237" s="1284">
        <v>230.33557488055391</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1" t="s">
        <v>3083</v>
      </c>
      <c r="BU241" s="2263"/>
      <c r="BV241" s="2262" t="s">
        <v>3084</v>
      </c>
      <c r="BW241" s="2262"/>
      <c r="BX241" s="2263"/>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9" t="s">
        <v>3083</v>
      </c>
      <c r="ET241" s="2280"/>
      <c r="EU241" s="2281" t="s">
        <v>3084</v>
      </c>
      <c r="EV241" s="2281"/>
      <c r="EW241" s="2280"/>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4.7786101936327992E-2</v>
      </c>
      <c r="BP242" s="1351">
        <v>3.2619067897595791E-3</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0.18446071470311767</v>
      </c>
      <c r="BP243" s="1351">
        <v>1.2591394429613103E-2</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0.44559829848921978</v>
      </c>
      <c r="BP244" s="1351">
        <v>3.0416796023329126E-2</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5.2570787769045807E-2</v>
      </c>
      <c r="BP245" s="1351">
        <v>3.5885121953522833E-3</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3.8848030067116804E-2</v>
      </c>
      <c r="BP246" s="1351">
        <v>2.6517888655901941E-3</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1.6899074741697842</v>
      </c>
      <c r="BP247" s="1351">
        <v>0.11535405569185585</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2.4611986063162003E-3</v>
      </c>
      <c r="BP248" s="1351">
        <v>1.6800283177704483E-4</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6.0019076152096392E-3</v>
      </c>
      <c r="BP249" s="1370">
        <v>4.0969366422999022E-4</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1" t="s">
        <v>3111</v>
      </c>
      <c r="C253" s="2263"/>
      <c r="D253" s="2261" t="s">
        <v>3015</v>
      </c>
      <c r="E253" s="2263"/>
      <c r="F253" s="2261" t="s">
        <v>3112</v>
      </c>
      <c r="G253" s="2263"/>
      <c r="H253" s="2261" t="s">
        <v>3017</v>
      </c>
      <c r="I253" s="2263"/>
      <c r="J253" s="2261" t="s">
        <v>3018</v>
      </c>
      <c r="K253" s="2263"/>
      <c r="L253" s="2261" t="s">
        <v>3019</v>
      </c>
      <c r="M253" s="2263"/>
      <c r="N253" s="2261" t="s">
        <v>3113</v>
      </c>
      <c r="O253" s="2263"/>
      <c r="P253" s="2261" t="s">
        <v>3021</v>
      </c>
      <c r="Q253" s="2263"/>
      <c r="R253" s="2261" t="s">
        <v>3022</v>
      </c>
      <c r="S253" s="2263"/>
      <c r="T253" s="2261" t="s">
        <v>3114</v>
      </c>
      <c r="U253" s="2263"/>
      <c r="V253" s="2261" t="s">
        <v>3115</v>
      </c>
      <c r="W253" s="2263"/>
      <c r="X253" s="2261" t="s">
        <v>3116</v>
      </c>
      <c r="Y253" s="2263"/>
      <c r="Z253" s="2261" t="s">
        <v>3117</v>
      </c>
      <c r="AA253" s="2263"/>
      <c r="AB253" s="2261" t="s">
        <v>3118</v>
      </c>
      <c r="AC253" s="2263"/>
      <c r="AD253" s="2261" t="s">
        <v>3026</v>
      </c>
      <c r="AE253" s="2263"/>
      <c r="AF253" s="2261" t="s">
        <v>3119</v>
      </c>
      <c r="AG253" s="2263"/>
      <c r="AH253" s="2261" t="s">
        <v>3028</v>
      </c>
      <c r="AI253" s="2263"/>
      <c r="AJ253" s="2261" t="s">
        <v>3120</v>
      </c>
      <c r="AK253" s="2263"/>
      <c r="AL253" s="2261" t="s">
        <v>3121</v>
      </c>
      <c r="AM253" s="2263"/>
      <c r="AN253" s="2261" t="s">
        <v>3122</v>
      </c>
      <c r="AO253" s="2263"/>
      <c r="AP253" s="2261" t="s">
        <v>3030</v>
      </c>
      <c r="AQ253" s="2263"/>
      <c r="AR253" s="2261" t="s">
        <v>3123</v>
      </c>
      <c r="AS253" s="2263"/>
      <c r="AT253" s="2261" t="s">
        <v>3032</v>
      </c>
      <c r="AU253" s="2263"/>
      <c r="AV253" s="2261" t="s">
        <v>3033</v>
      </c>
      <c r="AW253" s="2263"/>
      <c r="AX253" s="2261" t="s">
        <v>3034</v>
      </c>
      <c r="AY253" s="2263"/>
      <c r="AZ253" s="2261" t="s">
        <v>3124</v>
      </c>
      <c r="BA253" s="2263"/>
      <c r="BB253" s="2261" t="s">
        <v>3036</v>
      </c>
      <c r="BC253" s="2263"/>
      <c r="BD253" s="2261" t="s">
        <v>3037</v>
      </c>
      <c r="BE253" s="2263"/>
      <c r="BF253" s="2261" t="s">
        <v>3125</v>
      </c>
      <c r="BG253" s="2263"/>
      <c r="BH253" s="2261" t="s">
        <v>3126</v>
      </c>
      <c r="BI253" s="2263"/>
      <c r="BJ253" s="2279" t="s">
        <v>3127</v>
      </c>
      <c r="BK253" s="2280"/>
      <c r="BL253" s="2279" t="s">
        <v>3128</v>
      </c>
      <c r="BM253" s="2280"/>
      <c r="BN253" s="2279" t="s">
        <v>3040</v>
      </c>
      <c r="BO253" s="2280"/>
      <c r="BP253" s="2279" t="s">
        <v>3129</v>
      </c>
      <c r="BQ253" s="2280"/>
      <c r="BR253" s="2279" t="s">
        <v>3130</v>
      </c>
      <c r="BS253" s="2280"/>
      <c r="BT253" s="2261" t="s">
        <v>3131</v>
      </c>
      <c r="BU253" s="2263"/>
      <c r="BV253" s="2261" t="s">
        <v>3132</v>
      </c>
      <c r="BW253" s="2263"/>
      <c r="BX253" s="2261" t="s">
        <v>3133</v>
      </c>
      <c r="BY253" s="2263"/>
      <c r="BZ253" s="2261" t="s">
        <v>3134</v>
      </c>
      <c r="CA253" s="2263"/>
      <c r="CB253" s="2261" t="s">
        <v>3135</v>
      </c>
      <c r="CC253" s="2263"/>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136504.52912930143</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3639.5516774503922</v>
      </c>
      <c r="AC257" s="877">
        <v>42638.465556575895</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1486.5639266584185</v>
      </c>
      <c r="AC258" s="877">
        <v>17415.552903723568</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1751.4375103318816</v>
      </c>
      <c r="AC259" s="877">
        <v>20518.628275418647</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401.55024046009203</v>
      </c>
      <c r="AC260" s="877">
        <v>4704.2843774336807</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20.033158022314126</v>
      </c>
      <c r="AC261" s="906">
        <v>234.69459813310391</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1.5246169601812374</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6.0939931957828017</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8.2405180210278264</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0.53342596554188759</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0.3197306529479057</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5.1869463864477359</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7.3582662678769964E-2</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7.6327099644415239E-2</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8.8818560768856774</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5.8672398175224051E-2</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3604.6929585310304</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3619.020956412206</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3901.0248242352109</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5.1048008726087571E-2</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0.19705210913273077</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0.47601509451254892</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5.6159299964398092E-2</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4.1499818932706996E-2</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1.8052615298616399</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2.6292014380932451E-3</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6.4116012794396297E-3</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3389</v>
      </c>
    </row>
    <row r="3" spans="1:19" ht="23.25" customHeight="1" x14ac:dyDescent="0.45"/>
    <row r="4" spans="1:19" x14ac:dyDescent="0.45">
      <c r="A4" s="726" t="s">
        <v>2620</v>
      </c>
      <c r="R4" s="1131"/>
    </row>
    <row r="5" spans="1:19" x14ac:dyDescent="0.45">
      <c r="A5" s="740"/>
      <c r="B5" s="2273" t="s">
        <v>2850</v>
      </c>
      <c r="C5" s="2274"/>
      <c r="D5" s="2274"/>
      <c r="E5" s="2274"/>
      <c r="F5" s="2274"/>
      <c r="G5" s="2274"/>
      <c r="H5" s="2274"/>
      <c r="I5" s="2274"/>
      <c r="J5" s="2274"/>
      <c r="K5" s="2274"/>
      <c r="L5" s="2274"/>
      <c r="M5" s="2274"/>
      <c r="N5" s="2274"/>
      <c r="O5" s="2274"/>
      <c r="P5" s="2274"/>
      <c r="Q5" s="2274"/>
      <c r="R5" s="2275"/>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76" t="s">
        <v>2966</v>
      </c>
      <c r="N124" s="1196" t="s">
        <v>1351</v>
      </c>
      <c r="O124" s="2276"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77"/>
      <c r="N125" s="744"/>
      <c r="O125" s="2277"/>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78"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78"/>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78"/>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1" t="s">
        <v>3014</v>
      </c>
      <c r="C191" s="2262"/>
      <c r="D191" s="2262"/>
      <c r="E191" s="2262"/>
      <c r="F191" s="2262"/>
      <c r="G191" s="2262"/>
      <c r="H191" s="2262"/>
      <c r="I191" s="2263"/>
      <c r="J191" s="2261" t="s">
        <v>3015</v>
      </c>
      <c r="K191" s="2262"/>
      <c r="L191" s="2263"/>
      <c r="M191" s="2261" t="s">
        <v>3016</v>
      </c>
      <c r="N191" s="2262"/>
      <c r="O191" s="2263"/>
      <c r="P191" s="2261" t="s">
        <v>3017</v>
      </c>
      <c r="Q191" s="2262"/>
      <c r="R191" s="2263"/>
      <c r="S191" s="2261" t="s">
        <v>3018</v>
      </c>
      <c r="T191" s="2262"/>
      <c r="U191" s="2262"/>
      <c r="V191" s="2262"/>
      <c r="W191" s="2262"/>
      <c r="X191" s="2262"/>
      <c r="Y191" s="2262"/>
      <c r="Z191" s="2262"/>
      <c r="AA191" s="2262"/>
      <c r="AB191" s="2263"/>
      <c r="AC191" s="2261" t="s">
        <v>3019</v>
      </c>
      <c r="AD191" s="2262"/>
      <c r="AE191" s="2262"/>
      <c r="AF191" s="2262"/>
      <c r="AG191" s="2262"/>
      <c r="AH191" s="2262"/>
      <c r="AI191" s="2262"/>
      <c r="AJ191" s="2262"/>
      <c r="AK191" s="2263"/>
      <c r="AL191" s="2261" t="s">
        <v>3020</v>
      </c>
      <c r="AM191" s="2262"/>
      <c r="AN191" s="2263"/>
      <c r="AO191" s="2261" t="s">
        <v>3021</v>
      </c>
      <c r="AP191" s="2262"/>
      <c r="AQ191" s="2262"/>
      <c r="AR191" s="2262"/>
      <c r="AS191" s="2263"/>
      <c r="AT191" s="2261" t="s">
        <v>3022</v>
      </c>
      <c r="AU191" s="2262"/>
      <c r="AV191" s="2262"/>
      <c r="AW191" s="2263"/>
      <c r="AX191" s="2261" t="s">
        <v>3023</v>
      </c>
      <c r="AY191" s="2262"/>
      <c r="AZ191" s="2262"/>
      <c r="BA191" s="2262"/>
      <c r="BB191" s="2262"/>
      <c r="BC191" s="2262"/>
      <c r="BD191" s="2262"/>
      <c r="BE191" s="2262"/>
      <c r="BF191" s="2262"/>
      <c r="BG191" s="2263"/>
      <c r="BH191" s="2261" t="s">
        <v>3024</v>
      </c>
      <c r="BI191" s="2262"/>
      <c r="BJ191" s="2262"/>
      <c r="BK191" s="2262"/>
      <c r="BL191" s="2262"/>
      <c r="BM191" s="2262"/>
      <c r="BN191" s="2263"/>
      <c r="BO191" s="2261" t="s">
        <v>3025</v>
      </c>
      <c r="BP191" s="2263"/>
      <c r="BQ191" s="2261" t="s">
        <v>3026</v>
      </c>
      <c r="BR191" s="2262"/>
      <c r="BS191" s="2263"/>
      <c r="BT191" s="2261" t="s">
        <v>3027</v>
      </c>
      <c r="BU191" s="2262"/>
      <c r="BV191" s="2262"/>
      <c r="BW191" s="2262"/>
      <c r="BX191" s="2263"/>
      <c r="BY191" s="2261" t="s">
        <v>3028</v>
      </c>
      <c r="BZ191" s="2262"/>
      <c r="CA191" s="2263"/>
      <c r="CB191" s="2261" t="s">
        <v>3029</v>
      </c>
      <c r="CC191" s="2262"/>
      <c r="CD191" s="2262"/>
      <c r="CE191" s="2262"/>
      <c r="CF191" s="2262"/>
      <c r="CG191" s="2262"/>
      <c r="CH191" s="2262"/>
      <c r="CI191" s="2262"/>
      <c r="CJ191" s="2263"/>
      <c r="CK191" s="2261" t="s">
        <v>3030</v>
      </c>
      <c r="CL191" s="2262"/>
      <c r="CM191" s="2262"/>
      <c r="CN191" s="2263"/>
      <c r="CO191" s="2261" t="s">
        <v>3031</v>
      </c>
      <c r="CP191" s="2262"/>
      <c r="CQ191" s="2262"/>
      <c r="CR191" s="2263"/>
      <c r="CS191" s="2261" t="s">
        <v>3032</v>
      </c>
      <c r="CT191" s="2262"/>
      <c r="CU191" s="2262"/>
      <c r="CV191" s="2263"/>
      <c r="CW191" s="2261" t="s">
        <v>3033</v>
      </c>
      <c r="CX191" s="2262"/>
      <c r="CY191" s="2262"/>
      <c r="CZ191" s="2262"/>
      <c r="DA191" s="2262"/>
      <c r="DB191" s="2262"/>
      <c r="DC191" s="2262"/>
      <c r="DD191" s="2262"/>
      <c r="DE191" s="2262"/>
      <c r="DF191" s="2262"/>
      <c r="DG191" s="2263"/>
      <c r="DH191" s="2261" t="s">
        <v>3034</v>
      </c>
      <c r="DI191" s="2262"/>
      <c r="DJ191" s="2262"/>
      <c r="DK191" s="2262"/>
      <c r="DL191" s="2262"/>
      <c r="DM191" s="2262"/>
      <c r="DN191" s="2262"/>
      <c r="DO191" s="2262"/>
      <c r="DP191" s="2262"/>
      <c r="DQ191" s="2263"/>
      <c r="DR191" s="2261" t="s">
        <v>3035</v>
      </c>
      <c r="DS191" s="2262"/>
      <c r="DT191" s="2262"/>
      <c r="DU191" s="2263"/>
      <c r="DV191" s="2261" t="s">
        <v>3036</v>
      </c>
      <c r="DW191" s="2262"/>
      <c r="DX191" s="2262"/>
      <c r="DY191" s="2262"/>
      <c r="DZ191" s="2262"/>
      <c r="EA191" s="2263"/>
      <c r="EB191" s="2261" t="s">
        <v>3037</v>
      </c>
      <c r="EC191" s="2262"/>
      <c r="ED191" s="2262"/>
      <c r="EE191" s="2262"/>
      <c r="EF191" s="2263"/>
      <c r="EG191" s="2279" t="s">
        <v>3038</v>
      </c>
      <c r="EH191" s="2281"/>
      <c r="EI191" s="2281"/>
      <c r="EJ191" s="2281"/>
      <c r="EK191" s="2281"/>
      <c r="EL191" s="2281"/>
      <c r="EM191" s="2280"/>
      <c r="EN191" s="2279" t="s">
        <v>3039</v>
      </c>
      <c r="EO191" s="2280"/>
      <c r="EP191" s="2279" t="s">
        <v>3040</v>
      </c>
      <c r="EQ191" s="2281"/>
      <c r="ER191" s="2280"/>
      <c r="ES191" s="2279" t="s">
        <v>3041</v>
      </c>
      <c r="ET191" s="2281"/>
      <c r="EU191" s="2281"/>
      <c r="EV191" s="2281"/>
      <c r="EW191" s="2280"/>
      <c r="EX191" s="2279" t="s">
        <v>3042</v>
      </c>
      <c r="EY191" s="2281"/>
      <c r="EZ191" s="2280"/>
      <c r="FA191" s="2261" t="s">
        <v>3043</v>
      </c>
      <c r="FB191" s="2262"/>
      <c r="FC191" s="2262"/>
      <c r="FD191" s="2262"/>
      <c r="FE191" s="2263"/>
      <c r="FF191" s="2251" t="s">
        <v>3044</v>
      </c>
      <c r="FG191" s="2252"/>
      <c r="FH191" s="2252"/>
      <c r="FI191" s="2252"/>
      <c r="FJ191" s="2252"/>
      <c r="FK191" s="2253"/>
      <c r="FL191" s="2261" t="s">
        <v>3045</v>
      </c>
      <c r="FM191" s="2262"/>
      <c r="FN191" s="2262"/>
      <c r="FO191" s="2263"/>
      <c r="FP191" s="2261" t="s">
        <v>3046</v>
      </c>
      <c r="FQ191" s="2262"/>
      <c r="FR191" s="2262"/>
      <c r="FS191" s="2262"/>
      <c r="FT191" s="2263"/>
      <c r="FU191" s="2282" t="s">
        <v>3047</v>
      </c>
      <c r="FV191" s="2282"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83"/>
      <c r="FV192" s="2283"/>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1" t="s">
        <v>3083</v>
      </c>
      <c r="BU196" s="2263"/>
      <c r="BV196" s="2262" t="s">
        <v>3084</v>
      </c>
      <c r="BW196" s="2262"/>
      <c r="BX196" s="2263"/>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9" t="s">
        <v>3083</v>
      </c>
      <c r="ET196" s="2280"/>
      <c r="EU196" s="2281" t="s">
        <v>3084</v>
      </c>
      <c r="EV196" s="2281"/>
      <c r="EW196" s="2280"/>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1574138.7886687194</v>
      </c>
      <c r="BP220" s="1302">
        <v>107451.61866569647</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0</v>
      </c>
      <c r="BP221" s="1284">
        <v>0</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0</v>
      </c>
      <c r="BP222" s="1284">
        <v>0</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0</v>
      </c>
      <c r="BP223" s="1284">
        <v>0</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0</v>
      </c>
      <c r="BP224" s="1323">
        <v>0</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1009.2595974565572</v>
      </c>
      <c r="BP225" s="1334">
        <v>67.151995672515767</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1" t="s">
        <v>3083</v>
      </c>
      <c r="BU226" s="2263"/>
      <c r="BV226" s="2262" t="s">
        <v>3084</v>
      </c>
      <c r="BW226" s="2262"/>
      <c r="BX226" s="2263"/>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9" t="s">
        <v>3083</v>
      </c>
      <c r="ET226" s="2280"/>
      <c r="EU226" s="2281" t="s">
        <v>3084</v>
      </c>
      <c r="EV226" s="2281"/>
      <c r="EW226" s="2280"/>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0</v>
      </c>
      <c r="BP227" s="1351">
        <v>0</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0</v>
      </c>
      <c r="BP228" s="1351">
        <v>0</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0</v>
      </c>
      <c r="BP229" s="1351">
        <v>0</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0</v>
      </c>
      <c r="BP230" s="1351">
        <v>0</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0</v>
      </c>
      <c r="BP231" s="1351">
        <v>0</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0</v>
      </c>
      <c r="BP232" s="1351">
        <v>0</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0</v>
      </c>
      <c r="BP233" s="1351">
        <v>0</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0</v>
      </c>
      <c r="BP234" s="1351">
        <v>0</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0</v>
      </c>
      <c r="BP235" s="1351">
        <v>0</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0</v>
      </c>
      <c r="BP236" s="1351">
        <v>0</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1143.4117346335561</v>
      </c>
      <c r="BP237" s="1284">
        <v>78.049942338079205</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1" t="s">
        <v>3083</v>
      </c>
      <c r="BU241" s="2263"/>
      <c r="BV241" s="2262" t="s">
        <v>3084</v>
      </c>
      <c r="BW241" s="2262"/>
      <c r="BX241" s="2263"/>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9" t="s">
        <v>3083</v>
      </c>
      <c r="ET241" s="2280"/>
      <c r="EU241" s="2281" t="s">
        <v>3084</v>
      </c>
      <c r="EV241" s="2281"/>
      <c r="EW241" s="2280"/>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0</v>
      </c>
      <c r="BP242" s="1351">
        <v>0</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0</v>
      </c>
      <c r="BP243" s="1351">
        <v>0</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0</v>
      </c>
      <c r="BP244" s="1351">
        <v>0</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0</v>
      </c>
      <c r="BP245" s="1351">
        <v>0</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0</v>
      </c>
      <c r="BP246" s="1351">
        <v>0</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0</v>
      </c>
      <c r="BP247" s="1351">
        <v>0</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v>
      </c>
      <c r="BP248" s="1351">
        <v>0</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v>
      </c>
      <c r="BP249" s="1370">
        <v>0</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1" t="s">
        <v>3111</v>
      </c>
      <c r="C253" s="2263"/>
      <c r="D253" s="2261" t="s">
        <v>3015</v>
      </c>
      <c r="E253" s="2263"/>
      <c r="F253" s="2261" t="s">
        <v>3112</v>
      </c>
      <c r="G253" s="2263"/>
      <c r="H253" s="2261" t="s">
        <v>3017</v>
      </c>
      <c r="I253" s="2263"/>
      <c r="J253" s="2261" t="s">
        <v>3018</v>
      </c>
      <c r="K253" s="2263"/>
      <c r="L253" s="2261" t="s">
        <v>3019</v>
      </c>
      <c r="M253" s="2263"/>
      <c r="N253" s="2261" t="s">
        <v>3113</v>
      </c>
      <c r="O253" s="2263"/>
      <c r="P253" s="2261" t="s">
        <v>3021</v>
      </c>
      <c r="Q253" s="2263"/>
      <c r="R253" s="2261" t="s">
        <v>3022</v>
      </c>
      <c r="S253" s="2263"/>
      <c r="T253" s="2261" t="s">
        <v>3114</v>
      </c>
      <c r="U253" s="2263"/>
      <c r="V253" s="2261" t="s">
        <v>3115</v>
      </c>
      <c r="W253" s="2263"/>
      <c r="X253" s="2261" t="s">
        <v>3116</v>
      </c>
      <c r="Y253" s="2263"/>
      <c r="Z253" s="2261" t="s">
        <v>3117</v>
      </c>
      <c r="AA253" s="2263"/>
      <c r="AB253" s="2261" t="s">
        <v>3118</v>
      </c>
      <c r="AC253" s="2263"/>
      <c r="AD253" s="2261" t="s">
        <v>3026</v>
      </c>
      <c r="AE253" s="2263"/>
      <c r="AF253" s="2261" t="s">
        <v>3119</v>
      </c>
      <c r="AG253" s="2263"/>
      <c r="AH253" s="2261" t="s">
        <v>3028</v>
      </c>
      <c r="AI253" s="2263"/>
      <c r="AJ253" s="2261" t="s">
        <v>3120</v>
      </c>
      <c r="AK253" s="2263"/>
      <c r="AL253" s="2261" t="s">
        <v>3121</v>
      </c>
      <c r="AM253" s="2263"/>
      <c r="AN253" s="2261" t="s">
        <v>3122</v>
      </c>
      <c r="AO253" s="2263"/>
      <c r="AP253" s="2261" t="s">
        <v>3030</v>
      </c>
      <c r="AQ253" s="2263"/>
      <c r="AR253" s="2261" t="s">
        <v>3123</v>
      </c>
      <c r="AS253" s="2263"/>
      <c r="AT253" s="2261" t="s">
        <v>3032</v>
      </c>
      <c r="AU253" s="2263"/>
      <c r="AV253" s="2261" t="s">
        <v>3033</v>
      </c>
      <c r="AW253" s="2263"/>
      <c r="AX253" s="2261" t="s">
        <v>3034</v>
      </c>
      <c r="AY253" s="2263"/>
      <c r="AZ253" s="2261" t="s">
        <v>3124</v>
      </c>
      <c r="BA253" s="2263"/>
      <c r="BB253" s="2261" t="s">
        <v>3036</v>
      </c>
      <c r="BC253" s="2263"/>
      <c r="BD253" s="2261" t="s">
        <v>3037</v>
      </c>
      <c r="BE253" s="2263"/>
      <c r="BF253" s="2261" t="s">
        <v>3125</v>
      </c>
      <c r="BG253" s="2263"/>
      <c r="BH253" s="2261" t="s">
        <v>3126</v>
      </c>
      <c r="BI253" s="2263"/>
      <c r="BJ253" s="2279" t="s">
        <v>3127</v>
      </c>
      <c r="BK253" s="2280"/>
      <c r="BL253" s="2279" t="s">
        <v>3128</v>
      </c>
      <c r="BM253" s="2280"/>
      <c r="BN253" s="2279" t="s">
        <v>3040</v>
      </c>
      <c r="BO253" s="2280"/>
      <c r="BP253" s="2279" t="s">
        <v>3129</v>
      </c>
      <c r="BQ253" s="2280"/>
      <c r="BR253" s="2279" t="s">
        <v>3130</v>
      </c>
      <c r="BS253" s="2280"/>
      <c r="BT253" s="2261" t="s">
        <v>3131</v>
      </c>
      <c r="BU253" s="2263"/>
      <c r="BV253" s="2261" t="s">
        <v>3132</v>
      </c>
      <c r="BW253" s="2263"/>
      <c r="BX253" s="2261" t="s">
        <v>3133</v>
      </c>
      <c r="BY253" s="2263"/>
      <c r="BZ253" s="2261" t="s">
        <v>3134</v>
      </c>
      <c r="CA253" s="2263"/>
      <c r="CB253" s="2261" t="s">
        <v>3135</v>
      </c>
      <c r="CC253" s="2263"/>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82397.929959386587</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0</v>
      </c>
      <c r="AC257" s="877">
        <v>0</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0</v>
      </c>
      <c r="AC258" s="877">
        <v>0</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0</v>
      </c>
      <c r="AC259" s="877">
        <v>0</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0</v>
      </c>
      <c r="AC260" s="877">
        <v>0</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52.744168063324764</v>
      </c>
      <c r="AC261" s="906">
        <v>1023.6674250657483</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0</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0</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0</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0</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0</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0</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0</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0</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0</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0</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1221.4616769716354</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1221.4616769716354</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1221.4616769716354</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0</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0</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0</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0</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0</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0</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BV253:BW253"/>
    <mergeCell ref="BX253:BY253"/>
    <mergeCell ref="BZ253:CA253"/>
    <mergeCell ref="CB253:CC253"/>
    <mergeCell ref="BJ253:BK253"/>
    <mergeCell ref="BL253:BM253"/>
    <mergeCell ref="BN253:BO253"/>
    <mergeCell ref="BP253:BQ253"/>
    <mergeCell ref="BR253:BS253"/>
    <mergeCell ref="BT253:BU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X253:Y253"/>
    <mergeCell ref="Z253:AA253"/>
    <mergeCell ref="AB253:AC253"/>
    <mergeCell ref="AD253:AE253"/>
    <mergeCell ref="AF253:AG253"/>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BH191:BN191"/>
    <mergeCell ref="BO191:BP191"/>
    <mergeCell ref="BQ191:BS191"/>
    <mergeCell ref="BT191:BX191"/>
    <mergeCell ref="BY191:CA1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AE141"/>
  <sheetViews>
    <sheetView showGridLines="0" zoomScale="85" zoomScaleNormal="85" workbookViewId="0">
      <pane xSplit="2" ySplit="3" topLeftCell="C23" activePane="bottomRight" state="frozen"/>
      <selection sqref="A1:AB1"/>
      <selection pane="topRight" sqref="A1:AB1"/>
      <selection pane="bottomLeft" sqref="A1:AB1"/>
      <selection pane="bottomRight" sqref="A1:AB1"/>
    </sheetView>
  </sheetViews>
  <sheetFormatPr defaultColWidth="0" defaultRowHeight="14.25" zeroHeight="1" x14ac:dyDescent="0.45"/>
  <cols>
    <col min="1" max="1" width="51.53125" style="38" customWidth="1"/>
    <col min="2" max="2" width="15.46484375" style="20" customWidth="1"/>
    <col min="3" max="3" width="12.796875" customWidth="1"/>
    <col min="4" max="6" width="10.86328125" customWidth="1"/>
    <col min="7" max="7" width="11.796875" customWidth="1"/>
    <col min="8" max="8" width="10.19921875" customWidth="1"/>
    <col min="9" max="9" width="11.86328125" customWidth="1"/>
    <col min="10" max="10" width="12.46484375" customWidth="1"/>
    <col min="11" max="11" width="11.796875" customWidth="1"/>
    <col min="12" max="12" width="12" customWidth="1"/>
    <col min="13" max="16" width="13.86328125" customWidth="1"/>
    <col min="17" max="20" width="13" customWidth="1"/>
    <col min="21" max="21" width="14.53125" customWidth="1"/>
    <col min="22" max="23" width="14.19921875" customWidth="1"/>
    <col min="24" max="25" width="11.796875" customWidth="1"/>
    <col min="26" max="26" width="12.86328125" customWidth="1"/>
    <col min="27" max="27" width="11.796875" customWidth="1"/>
    <col min="28" max="28" width="16.796875" customWidth="1"/>
    <col min="29" max="31" width="0" hidden="1" customWidth="1"/>
    <col min="32" max="16384" width="8.86328125" hidden="1"/>
  </cols>
  <sheetData>
    <row r="1" spans="1:31" s="2037" customFormat="1" ht="18" x14ac:dyDescent="0.55000000000000004">
      <c r="A1" s="2160" t="s">
        <v>3576</v>
      </c>
      <c r="B1" s="2161"/>
      <c r="C1" s="2161"/>
      <c r="D1" s="2161"/>
      <c r="E1" s="2161"/>
      <c r="F1" s="2161"/>
      <c r="G1" s="2161"/>
      <c r="H1" s="2161"/>
      <c r="I1" s="2161"/>
      <c r="J1" s="2161"/>
      <c r="K1" s="2161"/>
      <c r="L1" s="2161"/>
      <c r="M1" s="2161"/>
      <c r="N1" s="2161"/>
      <c r="O1" s="2161"/>
      <c r="P1" s="2161"/>
      <c r="Q1" s="2161"/>
      <c r="R1" s="2161"/>
      <c r="S1" s="2161"/>
      <c r="T1" s="2161"/>
      <c r="U1" s="2161"/>
      <c r="V1" s="2161"/>
      <c r="W1" s="2161"/>
      <c r="X1" s="2161"/>
      <c r="Y1" s="2161"/>
      <c r="Z1" s="2161"/>
      <c r="AA1" s="2161"/>
      <c r="AB1" s="2162"/>
    </row>
    <row r="2" spans="1:31" s="1414" customFormat="1" ht="52.5"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55000000000000004">
      <c r="A3" s="1434" t="s">
        <v>19</v>
      </c>
      <c r="B3" s="1070"/>
      <c r="C3" s="734"/>
      <c r="D3" s="734"/>
      <c r="E3" s="734"/>
      <c r="F3" s="734"/>
      <c r="G3" s="734"/>
      <c r="H3" s="734"/>
      <c r="I3" s="734"/>
      <c r="J3" s="734"/>
      <c r="K3" s="734"/>
      <c r="L3" s="734"/>
      <c r="M3" s="734"/>
      <c r="N3" s="734"/>
      <c r="O3" s="734"/>
      <c r="P3" s="734"/>
      <c r="Q3" s="734"/>
      <c r="R3" s="734"/>
      <c r="S3" s="734"/>
      <c r="T3" s="734"/>
      <c r="U3" s="734"/>
      <c r="V3" s="734"/>
      <c r="W3" s="1478"/>
      <c r="X3" s="734"/>
      <c r="Y3" s="734"/>
      <c r="Z3" s="734"/>
      <c r="AA3" s="734"/>
      <c r="AB3" s="734"/>
    </row>
    <row r="4" spans="1:31" ht="18" x14ac:dyDescent="0.55000000000000004">
      <c r="A4" s="1434"/>
      <c r="B4" s="1070"/>
      <c r="C4" s="734"/>
      <c r="D4" s="734"/>
      <c r="E4" s="734"/>
      <c r="F4" s="734"/>
      <c r="G4" s="734"/>
      <c r="H4" s="734"/>
      <c r="I4" s="734"/>
      <c r="J4" s="734"/>
      <c r="K4" s="734"/>
      <c r="L4" s="734"/>
      <c r="M4" s="734"/>
      <c r="N4" s="734"/>
      <c r="O4" s="734"/>
      <c r="P4" s="734"/>
      <c r="Q4" s="734"/>
      <c r="R4" s="734"/>
      <c r="S4" s="734"/>
      <c r="T4" s="734"/>
      <c r="U4" s="734"/>
      <c r="V4" s="734"/>
      <c r="W4" s="1478"/>
      <c r="X4" s="734"/>
      <c r="Y4" s="734"/>
      <c r="Z4" s="734"/>
      <c r="AA4" s="734"/>
      <c r="AB4" s="734"/>
    </row>
    <row r="5" spans="1:31" x14ac:dyDescent="0.45">
      <c r="A5" s="1435" t="s">
        <v>1073</v>
      </c>
      <c r="B5" s="2038"/>
      <c r="C5" s="2017" t="str">
        <f>'Base inputs'!C6</f>
        <v>Gasoline (Oil)</v>
      </c>
      <c r="D5" s="2017"/>
      <c r="E5" s="2017" t="str">
        <f>'Base inputs'!E6</f>
        <v>Gasoline (Oil)</v>
      </c>
      <c r="F5" s="2017"/>
      <c r="G5" s="2017" t="str">
        <f>'Base inputs'!G6</f>
        <v>Gasoline (Oil)</v>
      </c>
      <c r="H5" s="2017"/>
      <c r="I5" s="2017" t="str">
        <f>'Base inputs'!I6</f>
        <v>Gasoline (Oil)</v>
      </c>
      <c r="J5" s="2017"/>
      <c r="K5" s="2017" t="str">
        <f>'Base inputs'!K6</f>
        <v>Natural Gas (fossil, EU mix)</v>
      </c>
      <c r="L5" s="2017"/>
      <c r="M5" s="2017" t="str">
        <f>'Base inputs'!M6</f>
        <v>Diesel (Oil)</v>
      </c>
      <c r="N5" s="2017" t="str">
        <f>'Base inputs'!N6</f>
        <v>Diesel (Oil)</v>
      </c>
      <c r="O5" s="2017" t="str">
        <f>'Base inputs'!O6</f>
        <v>Diesel (Oil)</v>
      </c>
      <c r="P5" s="2017" t="str">
        <f>'Base inputs'!P6</f>
        <v>Diesel (Oil)</v>
      </c>
      <c r="Q5" s="2017"/>
      <c r="R5" s="2017"/>
      <c r="S5" s="2017"/>
      <c r="T5" s="2017"/>
      <c r="U5" s="2017" t="str">
        <f>'Base inputs'!U6</f>
        <v>Diesel (Oil)</v>
      </c>
      <c r="V5" s="2017"/>
      <c r="W5" s="2017"/>
      <c r="X5" s="2017" t="str">
        <f>'Base inputs'!X6</f>
        <v>Gasoline (Oil)</v>
      </c>
      <c r="Y5" s="2017"/>
      <c r="Z5" s="2017" t="str">
        <f>'Base inputs'!Z6</f>
        <v>Diesel (Oil)</v>
      </c>
      <c r="AA5" s="2017"/>
      <c r="AB5" s="2017"/>
    </row>
    <row r="6" spans="1:31" x14ac:dyDescent="0.45">
      <c r="A6" s="1417" t="s">
        <v>20</v>
      </c>
      <c r="B6" s="2032" t="s">
        <v>21</v>
      </c>
      <c r="C6" s="2024">
        <f>IF(C5="Gasoline (Oil)",100/'Base inputs'!C7,IF(C5="Diesel (Oil)",100*Convert!$E$31/('Base inputs'!C8),IF(C5="Natural Gas (fossil, EU mix)",Convert!$E$32*100/'Base inputs'!C9)))</f>
        <v>2</v>
      </c>
      <c r="D6" s="2024"/>
      <c r="E6" s="2024">
        <f>IF(E5="Gasoline (Oil)",100/'Base inputs'!E7,IF(E5="Diesel (Oil)",Convert!$E$31*100/'Base inputs'!E8,IF(E5="Natural Gas (fossil, EU mix)",Convert!$E$32*100/'Base inputs'!E9)))</f>
        <v>1.6666666666666667</v>
      </c>
      <c r="F6" s="2024"/>
      <c r="G6" s="2024">
        <f>IF(G5="Gasoline (Oil)",100/'Base inputs'!G7,IF(G5="Diesel (Oil)",Convert!$E$31*100/'Base inputs'!G8,IF(G5="Natural Gas (fossil, EU mix)",Convert!$E$32*100/'Base inputs'!G9)))</f>
        <v>2</v>
      </c>
      <c r="H6" s="2024"/>
      <c r="I6" s="2024">
        <f>IF(I5="Gasoline (Oil)",100/'Base inputs'!I7,IF(I5="Diesel (Oil)",Convert!$E$31*100/'Base inputs'!I8,IF(I5="Natural Gas (fossil, EU mix)",Convert!$E$32*100/'Base inputs'!I9)))</f>
        <v>1.6666666666666667</v>
      </c>
      <c r="J6" s="2039"/>
      <c r="K6" s="2024">
        <f>IF(K5="Gasoline (Oil)",100/'Base inputs'!K7,IF(K5="Diesel (Oil)",Convert!$E$31*100/'Base inputs'!K8,IF(K5="Natural Gas (fossil, EU mix)",Convert!$E$32*100/'Base inputs'!K9)))</f>
        <v>4.5652578813964233</v>
      </c>
      <c r="L6" s="2024"/>
      <c r="M6" s="2024">
        <f>IF(M5="Gasoline (Oil)",100/'Base inputs'!M7,IF(M5="Diesel (Oil)",Convert!$E$31*100/'Base inputs'!M8,IF(M5="Natural Gas (fossil, EU mix)",Convert!$E$32*100/'Base inputs'!M9)))</f>
        <v>31.41743313658376</v>
      </c>
      <c r="N6" s="2024">
        <f>IF(N5="Gasoline (Oil)",100/'Base inputs'!N7,IF(N5="Diesel (Oil)",Convert!$E$31*100/'Base inputs'!N8,IF(N5="Natural Gas (fossil, EU mix)",Convert!$E$32*100/'Base inputs'!N9)))</f>
        <v>46.833421186563911</v>
      </c>
      <c r="O6" s="2024">
        <f>IF(O5="Gasoline (Oil)",100/'Base inputs'!O7,IF(O5="Diesel (Oil)",Convert!$E$31*100/'Base inputs'!O8,IF(O5="Natural Gas (fossil, EU mix)",Convert!$E$32*100/'Base inputs'!O9)))</f>
        <v>22.441014318561873</v>
      </c>
      <c r="P6" s="2024">
        <f>IF(P5="Gasoline (Oil)",100/'Base inputs'!P7,IF(P5="Diesel (Oil)",Convert!$E$31*100/'Base inputs'!P8,IF(P5="Natural Gas (fossil, EU mix)",Convert!$E$32*100/'Base inputs'!P9)))</f>
        <v>26.929217182274247</v>
      </c>
      <c r="Q6" s="2024"/>
      <c r="R6" s="2024"/>
      <c r="S6" s="2024"/>
      <c r="T6" s="2024"/>
      <c r="U6" s="2024">
        <f>IF(U5="Gasoline (Oil)",100/'Base inputs'!U7,IF(U5="Diesel (Oil)",Convert!$E$31*100/'Base inputs'!U8,IF(U5="Natural Gas (fossil, EU mix)",Convert!$E$32*100/'Base inputs'!U9)))</f>
        <v>46.833421186563911</v>
      </c>
      <c r="V6" s="2024"/>
      <c r="W6" s="2024"/>
      <c r="X6" s="2024">
        <f>IF(X5="Gasoline (Oil)",100/'Base inputs'!X7,IF(X5="Diesel (Oil)",Convert!$E$31*100/'Base inputs'!X8,IF(X5="Natural Gas (fossil, EU mix)",Convert!$E$32*100/'Base inputs'!X9)))</f>
        <v>6.666666666666667</v>
      </c>
      <c r="Y6" s="2024"/>
      <c r="Z6" s="2024">
        <f>IF(Z5="Gasoline (Oil)",100/'Base inputs'!Z7,IF(Z5="Diesel (Oil)",Convert!$E$31*100/'Base inputs'!Z8,IF(Z5="Natural Gas (fossil, EU mix)",Convert!$E$32*100/'Base inputs'!Z9)))</f>
        <v>7.6940620520783565</v>
      </c>
      <c r="AA6" s="2024"/>
      <c r="AB6" s="2024"/>
    </row>
    <row r="7" spans="1:31" x14ac:dyDescent="0.45">
      <c r="A7" s="1419" t="s">
        <v>22</v>
      </c>
      <c r="B7" s="2030" t="s">
        <v>23</v>
      </c>
      <c r="C7" s="2040"/>
      <c r="D7" s="2040">
        <f>'Base inputs'!D10</f>
        <v>2.8000000000000001E-2</v>
      </c>
      <c r="E7" s="2040"/>
      <c r="F7" s="2040">
        <f>'Base inputs'!F10</f>
        <v>2.8000000000000001E-2</v>
      </c>
      <c r="G7" s="2040"/>
      <c r="H7" s="2040">
        <f>'Base inputs'!H10</f>
        <v>2.8000000000000001E-2</v>
      </c>
      <c r="I7" s="2041"/>
      <c r="J7" s="2041">
        <f>'Base inputs'!J10</f>
        <v>2.8000000000000001E-2</v>
      </c>
      <c r="K7" s="2040"/>
      <c r="L7" s="2040">
        <f>'Base inputs'!L10</f>
        <v>7.8E-2</v>
      </c>
      <c r="M7" s="2040"/>
      <c r="N7" s="2040"/>
      <c r="O7" s="2040"/>
      <c r="P7" s="2040"/>
      <c r="Q7" s="2040">
        <f>'Base inputs'!Q10</f>
        <v>1.1000000000000001</v>
      </c>
      <c r="R7" s="2040">
        <f>'Base inputs'!R10</f>
        <v>1.3</v>
      </c>
      <c r="S7" s="2040">
        <f>'Base inputs'!S10</f>
        <v>0.9</v>
      </c>
      <c r="T7" s="2040">
        <f>'Base inputs'!T10</f>
        <v>1.1000000000000001</v>
      </c>
      <c r="U7" s="2040"/>
      <c r="V7" s="2040">
        <f>'Base inputs'!V10</f>
        <v>1.1000000000000001</v>
      </c>
      <c r="W7" s="2042"/>
      <c r="X7" s="2040"/>
      <c r="Y7" s="2040">
        <f>'Base inputs'!Y10</f>
        <v>0.13800000000000001</v>
      </c>
      <c r="Z7" s="2040"/>
      <c r="AA7" s="2040">
        <f>'Base inputs'!AA10</f>
        <v>0.13800000000000001</v>
      </c>
      <c r="AB7" s="2040">
        <f>'Base inputs'!AB10</f>
        <v>17.72111111111111</v>
      </c>
    </row>
    <row r="8" spans="1:31" x14ac:dyDescent="0.45">
      <c r="A8" s="1419" t="s">
        <v>24</v>
      </c>
      <c r="B8" s="2030" t="s">
        <v>21</v>
      </c>
      <c r="C8" s="2040"/>
      <c r="D8" s="2040"/>
      <c r="E8" s="2040"/>
      <c r="F8" s="2040"/>
      <c r="G8" s="2040"/>
      <c r="H8" s="2040"/>
      <c r="I8" s="2040"/>
      <c r="J8" s="2040"/>
      <c r="K8" s="2040"/>
      <c r="L8" s="2040"/>
      <c r="M8" s="2040"/>
      <c r="N8" s="2040"/>
      <c r="O8" s="2040"/>
      <c r="P8" s="2040"/>
      <c r="Q8" s="2040"/>
      <c r="R8" s="2040"/>
      <c r="S8" s="2040"/>
      <c r="T8" s="2040"/>
      <c r="U8" s="2040"/>
      <c r="V8" s="2040"/>
      <c r="W8" s="2042">
        <f>IF('Base inputs'!W4="FCEV",Convert!$E$33*100/'Base inputs'!W11,0)</f>
        <v>29.886327440675263</v>
      </c>
      <c r="X8" s="2040"/>
      <c r="Y8" s="2040"/>
      <c r="Z8" s="2040"/>
      <c r="AA8" s="2040"/>
      <c r="AB8" s="2040"/>
    </row>
    <row r="9" spans="1:31" x14ac:dyDescent="0.45">
      <c r="A9" s="1419" t="s">
        <v>25</v>
      </c>
      <c r="B9" s="2030" t="s">
        <v>26</v>
      </c>
      <c r="C9" s="2043">
        <f>'Base inputs'!C12</f>
        <v>0</v>
      </c>
      <c r="D9" s="2043">
        <f>'Base inputs'!D12</f>
        <v>1</v>
      </c>
      <c r="E9" s="2043">
        <f>'Base inputs'!E12</f>
        <v>0</v>
      </c>
      <c r="F9" s="2043">
        <f>'Base inputs'!F12</f>
        <v>1</v>
      </c>
      <c r="G9" s="2043">
        <f>'Base inputs'!G12</f>
        <v>0</v>
      </c>
      <c r="H9" s="2043">
        <f>'Base inputs'!H12</f>
        <v>1</v>
      </c>
      <c r="I9" s="2043">
        <f>'Base inputs'!I12</f>
        <v>0</v>
      </c>
      <c r="J9" s="2043">
        <f>'Base inputs'!J12</f>
        <v>1</v>
      </c>
      <c r="K9" s="2043">
        <f>'Base inputs'!K12</f>
        <v>0</v>
      </c>
      <c r="L9" s="2043">
        <f>'Base inputs'!L12</f>
        <v>1</v>
      </c>
      <c r="M9" s="2043">
        <f>'Base inputs'!M12</f>
        <v>0</v>
      </c>
      <c r="N9" s="2043">
        <f>'Base inputs'!N12</f>
        <v>0</v>
      </c>
      <c r="O9" s="2043">
        <f>'Base inputs'!O12</f>
        <v>0</v>
      </c>
      <c r="P9" s="2043">
        <f>'Base inputs'!P12</f>
        <v>0</v>
      </c>
      <c r="Q9" s="2043">
        <f>'Base inputs'!Q12</f>
        <v>1</v>
      </c>
      <c r="R9" s="2043">
        <f>'Base inputs'!R12</f>
        <v>1</v>
      </c>
      <c r="S9" s="2043">
        <f>'Base inputs'!S12</f>
        <v>1</v>
      </c>
      <c r="T9" s="2043">
        <f>'Base inputs'!T12</f>
        <v>1</v>
      </c>
      <c r="U9" s="2043">
        <f>'Base inputs'!U12</f>
        <v>0</v>
      </c>
      <c r="V9" s="2043">
        <f>'Base inputs'!V12</f>
        <v>1</v>
      </c>
      <c r="W9" s="2044"/>
      <c r="X9" s="2043">
        <f>'Base inputs'!X12</f>
        <v>0</v>
      </c>
      <c r="Y9" s="2043">
        <f>'Base inputs'!Y12</f>
        <v>1</v>
      </c>
      <c r="Z9" s="2043">
        <f>'Base inputs'!Z12</f>
        <v>0</v>
      </c>
      <c r="AA9" s="2043">
        <f>'Base inputs'!AA12</f>
        <v>1</v>
      </c>
      <c r="AB9" s="2043">
        <f>'Base inputs'!AB12</f>
        <v>1</v>
      </c>
    </row>
    <row r="10" spans="1:31" x14ac:dyDescent="0.45">
      <c r="A10" s="1416"/>
      <c r="B10" s="2029"/>
      <c r="C10" s="2003"/>
      <c r="D10" s="2003"/>
      <c r="E10" s="2003"/>
      <c r="F10" s="2003"/>
      <c r="G10" s="2003"/>
      <c r="H10" s="2003"/>
      <c r="I10" s="2003"/>
      <c r="J10" s="2003"/>
      <c r="K10" s="1968"/>
      <c r="L10" s="1968"/>
      <c r="M10" s="1968"/>
      <c r="N10" s="1968"/>
      <c r="O10" s="1968"/>
      <c r="P10" s="1968"/>
      <c r="Q10" s="1968"/>
      <c r="R10" s="1968"/>
      <c r="S10" s="1968"/>
      <c r="T10" s="1968"/>
      <c r="U10" s="1968"/>
      <c r="V10" s="1968"/>
      <c r="W10" s="1969"/>
      <c r="X10" s="1968"/>
      <c r="Y10" s="1968"/>
      <c r="Z10" s="1968"/>
      <c r="AA10" s="1968"/>
      <c r="AB10" s="1968"/>
    </row>
    <row r="11" spans="1:31" x14ac:dyDescent="0.45">
      <c r="A11" s="1419" t="s">
        <v>0</v>
      </c>
      <c r="B11" s="2030" t="s">
        <v>1</v>
      </c>
      <c r="C11" s="2040">
        <f>'Base inputs'!C13</f>
        <v>10</v>
      </c>
      <c r="D11" s="2040">
        <f>'Base inputs'!D13</f>
        <v>10</v>
      </c>
      <c r="E11" s="2040">
        <f>'Base inputs'!E13</f>
        <v>10</v>
      </c>
      <c r="F11" s="2040">
        <f>'Base inputs'!F13</f>
        <v>10</v>
      </c>
      <c r="G11" s="2040">
        <f>'Base inputs'!G13</f>
        <v>6</v>
      </c>
      <c r="H11" s="2040">
        <f>'Base inputs'!H13</f>
        <v>6</v>
      </c>
      <c r="I11" s="2040">
        <f>'Base inputs'!I13</f>
        <v>6</v>
      </c>
      <c r="J11" s="2040">
        <f>'Base inputs'!J13</f>
        <v>6</v>
      </c>
      <c r="K11" s="2040">
        <f>'Base inputs'!K13</f>
        <v>8</v>
      </c>
      <c r="L11" s="2040">
        <f>'Base inputs'!L13</f>
        <v>8</v>
      </c>
      <c r="M11" s="2040">
        <f>'Base inputs'!M13</f>
        <v>12</v>
      </c>
      <c r="N11" s="2040">
        <f>'Base inputs'!N13</f>
        <v>12</v>
      </c>
      <c r="O11" s="2040">
        <f>'Base inputs'!O13</f>
        <v>12</v>
      </c>
      <c r="P11" s="2040">
        <f>'Base inputs'!P13</f>
        <v>12</v>
      </c>
      <c r="Q11" s="2040">
        <f>'Base inputs'!Q13</f>
        <v>12</v>
      </c>
      <c r="R11" s="2040">
        <f>'Base inputs'!R13</f>
        <v>12</v>
      </c>
      <c r="S11" s="2040">
        <f>'Base inputs'!S13</f>
        <v>12</v>
      </c>
      <c r="T11" s="2040">
        <f>'Base inputs'!T13</f>
        <v>12</v>
      </c>
      <c r="U11" s="2040">
        <f>'Base inputs'!U13</f>
        <v>12</v>
      </c>
      <c r="V11" s="2040">
        <f>'Base inputs'!V13</f>
        <v>12</v>
      </c>
      <c r="W11" s="2040">
        <f>'Base inputs'!W13</f>
        <v>12</v>
      </c>
      <c r="X11" s="2040">
        <f>'Base inputs'!X13</f>
        <v>15</v>
      </c>
      <c r="Y11" s="2040">
        <f>'Base inputs'!Y13</f>
        <v>15</v>
      </c>
      <c r="Z11" s="2040">
        <f>'Base inputs'!Z13</f>
        <v>10</v>
      </c>
      <c r="AA11" s="2040">
        <f>'Base inputs'!AA13</f>
        <v>10</v>
      </c>
      <c r="AB11" s="2040">
        <f>'Base inputs'!AB13</f>
        <v>40</v>
      </c>
    </row>
    <row r="12" spans="1:31" x14ac:dyDescent="0.45">
      <c r="A12" s="1419" t="s">
        <v>2</v>
      </c>
      <c r="B12" s="2030" t="s">
        <v>3</v>
      </c>
      <c r="C12" s="2040">
        <f>'Base inputs'!C14</f>
        <v>6500</v>
      </c>
      <c r="D12" s="2040">
        <f>'Base inputs'!D14</f>
        <v>6500</v>
      </c>
      <c r="E12" s="2040">
        <f>'Base inputs'!E14</f>
        <v>6500</v>
      </c>
      <c r="F12" s="2040">
        <f>'Base inputs'!F14</f>
        <v>6500</v>
      </c>
      <c r="G12" s="2040">
        <f>'Base inputs'!G14</f>
        <v>18000</v>
      </c>
      <c r="H12" s="2040">
        <f>'Base inputs'!H14</f>
        <v>18000</v>
      </c>
      <c r="I12" s="2040">
        <f>'Base inputs'!I14</f>
        <v>18000</v>
      </c>
      <c r="J12" s="2040">
        <f>'Base inputs'!J14</f>
        <v>18000</v>
      </c>
      <c r="K12" s="2040">
        <f>'Base inputs'!K14</f>
        <v>35000</v>
      </c>
      <c r="L12" s="2040">
        <f>'Base inputs'!L14</f>
        <v>35000</v>
      </c>
      <c r="M12" s="2040">
        <f>'Base inputs'!M14</f>
        <v>60000</v>
      </c>
      <c r="N12" s="2040">
        <f>'Base inputs'!N14</f>
        <v>70000</v>
      </c>
      <c r="O12" s="2040">
        <f>'Base inputs'!O14</f>
        <v>60000</v>
      </c>
      <c r="P12" s="2040">
        <f>'Base inputs'!P14</f>
        <v>70000</v>
      </c>
      <c r="Q12" s="2040">
        <f>'Base inputs'!Q14</f>
        <v>60000</v>
      </c>
      <c r="R12" s="2040">
        <f>'Base inputs'!R14</f>
        <v>70000</v>
      </c>
      <c r="S12" s="2040">
        <f>'Base inputs'!S14</f>
        <v>60000</v>
      </c>
      <c r="T12" s="2040">
        <f>'Base inputs'!T14</f>
        <v>70000</v>
      </c>
      <c r="U12" s="2040">
        <f>'Base inputs'!U14</f>
        <v>122500</v>
      </c>
      <c r="V12" s="2040">
        <f>'Base inputs'!V14</f>
        <v>122500</v>
      </c>
      <c r="W12" s="2040">
        <f>'Base inputs'!W14</f>
        <v>122500</v>
      </c>
      <c r="X12" s="2040">
        <f>'Base inputs'!X14</f>
        <v>12100</v>
      </c>
      <c r="Y12" s="2040">
        <f>'Base inputs'!Y14</f>
        <v>12100</v>
      </c>
      <c r="Z12" s="2040">
        <f>'Base inputs'!Z14</f>
        <v>48000</v>
      </c>
      <c r="AA12" s="2040">
        <f>'Base inputs'!AA14</f>
        <v>48000</v>
      </c>
      <c r="AB12" s="2040">
        <f>'Base inputs'!AB14</f>
        <v>179200</v>
      </c>
    </row>
    <row r="13" spans="1:31" x14ac:dyDescent="0.45">
      <c r="A13" s="1416"/>
      <c r="B13" s="2029"/>
      <c r="C13" s="2003"/>
      <c r="D13" s="2003"/>
      <c r="E13" s="2003"/>
      <c r="F13" s="2003"/>
      <c r="G13" s="2003"/>
      <c r="H13" s="2003"/>
      <c r="I13" s="2003"/>
      <c r="J13" s="2003"/>
      <c r="K13" s="2003"/>
      <c r="L13" s="2003"/>
      <c r="M13" s="2003"/>
      <c r="N13" s="2003"/>
      <c r="O13" s="2003"/>
      <c r="P13" s="2003"/>
      <c r="Q13" s="2003"/>
      <c r="R13" s="2003"/>
      <c r="S13" s="2003"/>
      <c r="T13" s="2003"/>
      <c r="U13" s="2003"/>
      <c r="V13" s="2003"/>
      <c r="W13" s="2003"/>
      <c r="X13" s="2003"/>
      <c r="Y13" s="2003"/>
      <c r="Z13" s="2003"/>
      <c r="AA13" s="2003"/>
      <c r="AB13" s="2003"/>
    </row>
    <row r="14" spans="1:31" x14ac:dyDescent="0.45">
      <c r="A14" s="1419" t="s">
        <v>4</v>
      </c>
      <c r="B14" s="2030" t="s">
        <v>5</v>
      </c>
      <c r="C14" s="2040">
        <f>'Base variables computation'!C7</f>
        <v>17.80821917808219</v>
      </c>
      <c r="D14" s="2040">
        <f>'Base variables computation'!D7</f>
        <v>17.80821917808219</v>
      </c>
      <c r="E14" s="2040">
        <f>'Base variables computation'!E7</f>
        <v>17.80821917808219</v>
      </c>
      <c r="F14" s="2040">
        <f>'Base variables computation'!F7</f>
        <v>17.80821917808219</v>
      </c>
      <c r="G14" s="2040">
        <f>G12/365</f>
        <v>49.315068493150683</v>
      </c>
      <c r="H14" s="2040">
        <f>H12/365</f>
        <v>49.315068493150683</v>
      </c>
      <c r="I14" s="2040">
        <f>'Base variables computation'!I7</f>
        <v>49.315068493150683</v>
      </c>
      <c r="J14" s="2040">
        <f>'Base variables computation'!J7</f>
        <v>49.315068493150683</v>
      </c>
      <c r="K14" s="2040">
        <f t="shared" ref="K14:AB14" si="0">K12/365</f>
        <v>95.890410958904113</v>
      </c>
      <c r="L14" s="2040">
        <f t="shared" si="0"/>
        <v>95.890410958904113</v>
      </c>
      <c r="M14" s="2040">
        <f t="shared" si="0"/>
        <v>164.38356164383561</v>
      </c>
      <c r="N14" s="2040">
        <f t="shared" si="0"/>
        <v>191.78082191780823</v>
      </c>
      <c r="O14" s="2040">
        <f t="shared" si="0"/>
        <v>164.38356164383561</v>
      </c>
      <c r="P14" s="2040">
        <f t="shared" si="0"/>
        <v>191.78082191780823</v>
      </c>
      <c r="Q14" s="2040">
        <f t="shared" si="0"/>
        <v>164.38356164383561</v>
      </c>
      <c r="R14" s="2040">
        <f t="shared" si="0"/>
        <v>191.78082191780823</v>
      </c>
      <c r="S14" s="2040">
        <f t="shared" si="0"/>
        <v>164.38356164383561</v>
      </c>
      <c r="T14" s="2040">
        <f t="shared" si="0"/>
        <v>191.78082191780823</v>
      </c>
      <c r="U14" s="2040">
        <f>U12/365</f>
        <v>335.61643835616439</v>
      </c>
      <c r="V14" s="2040">
        <f>V12/365</f>
        <v>335.61643835616439</v>
      </c>
      <c r="W14" s="2040">
        <f>W12/365</f>
        <v>335.61643835616439</v>
      </c>
      <c r="X14" s="2040">
        <f t="shared" si="0"/>
        <v>33.150684931506852</v>
      </c>
      <c r="Y14" s="2040">
        <f t="shared" si="0"/>
        <v>33.150684931506852</v>
      </c>
      <c r="Z14" s="2040">
        <f t="shared" si="0"/>
        <v>131.50684931506851</v>
      </c>
      <c r="AA14" s="2040">
        <f t="shared" si="0"/>
        <v>131.50684931506851</v>
      </c>
      <c r="AB14" s="2040">
        <f t="shared" si="0"/>
        <v>490.95890410958901</v>
      </c>
    </row>
    <row r="15" spans="1:31" ht="28.5" x14ac:dyDescent="0.45">
      <c r="A15" s="1419" t="s">
        <v>6</v>
      </c>
      <c r="B15" s="2030" t="s">
        <v>7</v>
      </c>
      <c r="C15" s="2040">
        <f>'Base variables computation'!C8</f>
        <v>65000</v>
      </c>
      <c r="D15" s="2040">
        <f>'Base variables computation'!D8</f>
        <v>65000</v>
      </c>
      <c r="E15" s="2040">
        <f>'Base variables computation'!E8</f>
        <v>65000</v>
      </c>
      <c r="F15" s="2040">
        <f>'Base variables computation'!F8</f>
        <v>65000</v>
      </c>
      <c r="G15" s="2040">
        <f>'Base variables computation'!G8</f>
        <v>108000</v>
      </c>
      <c r="H15" s="2040">
        <f>'Base variables computation'!H8</f>
        <v>108000</v>
      </c>
      <c r="I15" s="2040">
        <f>'Base variables computation'!I8</f>
        <v>108000</v>
      </c>
      <c r="J15" s="2040">
        <f>'Base variables computation'!J8</f>
        <v>108000</v>
      </c>
      <c r="K15" s="2040">
        <f>'Base variables computation'!K8</f>
        <v>280000</v>
      </c>
      <c r="L15" s="2040">
        <f>'Base variables computation'!L8</f>
        <v>280000</v>
      </c>
      <c r="M15" s="2040">
        <f>'Base variables computation'!M8</f>
        <v>720000</v>
      </c>
      <c r="N15" s="2040">
        <f>'Base variables computation'!N8</f>
        <v>840000</v>
      </c>
      <c r="O15" s="2040">
        <f>'Base variables computation'!O8</f>
        <v>720000</v>
      </c>
      <c r="P15" s="2040">
        <f>'Base variables computation'!P8</f>
        <v>840000</v>
      </c>
      <c r="Q15" s="2040">
        <f>'Base variables computation'!Q8</f>
        <v>720000</v>
      </c>
      <c r="R15" s="2040">
        <f>'Base variables computation'!R8</f>
        <v>840000</v>
      </c>
      <c r="S15" s="2040">
        <f>'Base variables computation'!S8</f>
        <v>720000</v>
      </c>
      <c r="T15" s="2040">
        <f>'Base variables computation'!T8</f>
        <v>840000</v>
      </c>
      <c r="U15" s="2040">
        <f>'Base variables computation'!U8</f>
        <v>1470000</v>
      </c>
      <c r="V15" s="2040">
        <f>'Base variables computation'!V8</f>
        <v>1470000</v>
      </c>
      <c r="W15" s="2040">
        <f>'Base variables computation'!W8</f>
        <v>1470000</v>
      </c>
      <c r="X15" s="2040">
        <f>'Base variables computation'!X8</f>
        <v>181500</v>
      </c>
      <c r="Y15" s="2040">
        <f>'Base variables computation'!Y8</f>
        <v>181500</v>
      </c>
      <c r="Z15" s="2040">
        <f>'Base variables computation'!Z8</f>
        <v>480000</v>
      </c>
      <c r="AA15" s="2040">
        <f>'Base variables computation'!AA8</f>
        <v>480000</v>
      </c>
      <c r="AB15" s="2040">
        <f>'Base variables computation'!AB8</f>
        <v>7168000</v>
      </c>
    </row>
    <row r="16" spans="1:31" x14ac:dyDescent="0.45">
      <c r="A16" s="1416"/>
      <c r="B16" s="2029"/>
      <c r="C16" s="2003"/>
      <c r="D16" s="2003"/>
      <c r="E16" s="2003"/>
      <c r="F16" s="2003"/>
      <c r="G16" s="2003"/>
      <c r="H16" s="2003"/>
      <c r="I16" s="2003"/>
      <c r="J16" s="2003"/>
      <c r="K16" s="1968"/>
      <c r="L16" s="1968"/>
      <c r="M16" s="1968"/>
      <c r="N16" s="1968"/>
      <c r="O16" s="1968"/>
      <c r="P16" s="1968"/>
      <c r="Q16" s="1968"/>
      <c r="R16" s="1968"/>
      <c r="S16" s="1968"/>
      <c r="T16" s="1968"/>
      <c r="U16" s="1968"/>
      <c r="V16" s="1968"/>
      <c r="W16" s="1969"/>
      <c r="X16" s="1968"/>
      <c r="Y16" s="1968"/>
      <c r="Z16" s="1968"/>
      <c r="AA16" s="1968"/>
      <c r="AB16" s="1968"/>
    </row>
    <row r="17" spans="1:28" x14ac:dyDescent="0.45">
      <c r="A17" s="1416" t="s">
        <v>32</v>
      </c>
      <c r="B17" s="2029"/>
      <c r="C17" s="2003"/>
      <c r="D17" s="2003"/>
      <c r="E17" s="2003"/>
      <c r="F17" s="2003"/>
      <c r="G17" s="2003"/>
      <c r="H17" s="2003"/>
      <c r="I17" s="2003"/>
      <c r="J17" s="2003"/>
      <c r="K17" s="1968"/>
      <c r="L17" s="1968"/>
      <c r="M17" s="1968"/>
      <c r="N17" s="1968"/>
      <c r="O17" s="1968"/>
      <c r="P17" s="1968"/>
      <c r="Q17" s="1968"/>
      <c r="R17" s="1968"/>
      <c r="S17" s="1968"/>
      <c r="T17" s="1968"/>
      <c r="U17" s="1968"/>
      <c r="V17" s="1968"/>
      <c r="W17" s="1969" t="str">
        <f>IF('Base inputs'!W59="","",'Base inputs'!W59)</f>
        <v>Electrolysis (Dedicated renewables)</v>
      </c>
      <c r="X17" s="1968"/>
      <c r="Y17" s="1968"/>
      <c r="Z17" s="1968"/>
      <c r="AA17" s="1968"/>
      <c r="AB17" s="1968"/>
    </row>
    <row r="18" spans="1:28" x14ac:dyDescent="0.45">
      <c r="A18" s="1416"/>
      <c r="B18" s="2029"/>
      <c r="C18" s="2003"/>
      <c r="D18" s="2003"/>
      <c r="E18" s="2003"/>
      <c r="F18" s="2003"/>
      <c r="G18" s="2003"/>
      <c r="H18" s="2003"/>
      <c r="I18" s="2003"/>
      <c r="J18" s="2003"/>
      <c r="K18" s="1968"/>
      <c r="L18" s="1968"/>
      <c r="M18" s="1968"/>
      <c r="N18" s="1968"/>
      <c r="O18" s="1968"/>
      <c r="P18" s="1968"/>
      <c r="Q18" s="1968"/>
      <c r="R18" s="1968"/>
      <c r="S18" s="1968"/>
      <c r="T18" s="1968"/>
      <c r="U18" s="1968"/>
      <c r="V18" s="1968"/>
      <c r="W18" s="1969"/>
      <c r="X18" s="1968"/>
      <c r="Y18" s="1968"/>
      <c r="Z18" s="1968"/>
      <c r="AA18" s="1968"/>
      <c r="AB18" s="1968"/>
    </row>
    <row r="19" spans="1:28" ht="28.5" x14ac:dyDescent="0.45">
      <c r="A19" s="1436" t="s">
        <v>29</v>
      </c>
      <c r="B19" s="2030"/>
      <c r="C19" s="2031" t="str">
        <f>'Base variables computation'!C9</f>
        <v>Region-specific</v>
      </c>
      <c r="D19" s="2031" t="str">
        <f>'Base variables computation'!D9</f>
        <v>Region-specific</v>
      </c>
      <c r="E19" s="2031" t="str">
        <f>'Base variables computation'!E9</f>
        <v>Region-specific</v>
      </c>
      <c r="F19" s="2031" t="str">
        <f>'Base variables computation'!F9</f>
        <v>Region-specific</v>
      </c>
      <c r="G19" s="2031" t="str">
        <f>'Base variables computation'!G9</f>
        <v>Region-specific</v>
      </c>
      <c r="H19" s="2031" t="str">
        <f>'Base variables computation'!H9</f>
        <v>Region-specific</v>
      </c>
      <c r="I19" s="2031" t="str">
        <f>'Base variables computation'!I9</f>
        <v>Region-specific</v>
      </c>
      <c r="J19" s="2031" t="str">
        <f>'Base variables computation'!J9</f>
        <v>Region-specific</v>
      </c>
      <c r="K19" s="2031" t="str">
        <f>'Base variables computation'!K9</f>
        <v>Region-specific</v>
      </c>
      <c r="L19" s="2031" t="str">
        <f>'Base variables computation'!L9</f>
        <v>Region-specific</v>
      </c>
      <c r="M19" s="2031" t="str">
        <f>'Base variables computation'!M9</f>
        <v>Region-specific</v>
      </c>
      <c r="N19" s="2031" t="str">
        <f>'Base variables computation'!N9</f>
        <v>Region-specific</v>
      </c>
      <c r="O19" s="2031" t="str">
        <f>'Base variables computation'!O9</f>
        <v>Region-specific</v>
      </c>
      <c r="P19" s="2031" t="str">
        <f>'Base variables computation'!P9</f>
        <v>Region-specific</v>
      </c>
      <c r="Q19" s="2031" t="str">
        <f>'Base variables computation'!Q9</f>
        <v>Region-specific</v>
      </c>
      <c r="R19" s="2031" t="str">
        <f>'Base variables computation'!R9</f>
        <v>Region-specific</v>
      </c>
      <c r="S19" s="2031" t="str">
        <f>'Base variables computation'!S9</f>
        <v>Region-specific</v>
      </c>
      <c r="T19" s="2031" t="str">
        <f>'Base variables computation'!T9</f>
        <v>Region-specific</v>
      </c>
      <c r="U19" s="2031" t="str">
        <f>'Base variables computation'!U9</f>
        <v>Region-specific</v>
      </c>
      <c r="V19" s="2031" t="str">
        <f>'Base variables computation'!V9</f>
        <v>Region-specific</v>
      </c>
      <c r="W19" s="2031" t="str">
        <f>'Base variables computation'!W9</f>
        <v>Region-specific</v>
      </c>
      <c r="X19" s="2031" t="str">
        <f>'Base variables computation'!X9</f>
        <v>Fuel-specific</v>
      </c>
      <c r="Y19" s="2031" t="str">
        <f>'Base variables computation'!Y9</f>
        <v>Region-specific</v>
      </c>
      <c r="Z19" s="2031" t="str">
        <f>'Base variables computation'!Z9</f>
        <v>Region-specific</v>
      </c>
      <c r="AA19" s="2031" t="str">
        <f>'Base variables computation'!AA9</f>
        <v>Region-specific</v>
      </c>
      <c r="AB19" s="2031" t="str">
        <f>'Base variables computation'!AB9</f>
        <v>Region-specific</v>
      </c>
    </row>
    <row r="20" spans="1:28" ht="28.5" x14ac:dyDescent="0.45">
      <c r="A20" s="1436" t="s">
        <v>45</v>
      </c>
      <c r="B20" s="2030"/>
      <c r="C20" s="2031" t="str">
        <f>'Base variables computation'!C10</f>
        <v>Dedicated renewables</v>
      </c>
      <c r="D20" s="2031" t="str">
        <f>'Base variables computation'!D10</f>
        <v>Dedicated renewables</v>
      </c>
      <c r="E20" s="2031" t="str">
        <f>'Base variables computation'!E10</f>
        <v>Dedicated renewables</v>
      </c>
      <c r="F20" s="2031" t="str">
        <f>'Base variables computation'!F10</f>
        <v>Dedicated renewables</v>
      </c>
      <c r="G20" s="2031" t="str">
        <f>'Base variables computation'!G10</f>
        <v>Dedicated renewables</v>
      </c>
      <c r="H20" s="2031" t="str">
        <f>'Base variables computation'!H10</f>
        <v>Dedicated renewables</v>
      </c>
      <c r="I20" s="2031" t="str">
        <f>'Base variables computation'!I10</f>
        <v>Dedicated renewables</v>
      </c>
      <c r="J20" s="2031" t="str">
        <f>'Base variables computation'!J10</f>
        <v>Dedicated renewables</v>
      </c>
      <c r="K20" s="2031" t="str">
        <f>'Base variables computation'!K10</f>
        <v>Dedicated renewables</v>
      </c>
      <c r="L20" s="2031" t="str">
        <f>'Base variables computation'!L10</f>
        <v>Dedicated renewables</v>
      </c>
      <c r="M20" s="2031" t="str">
        <f>'Base variables computation'!M10</f>
        <v>Dedicated renewables</v>
      </c>
      <c r="N20" s="2031" t="str">
        <f>'Base variables computation'!N10</f>
        <v>Dedicated renewables</v>
      </c>
      <c r="O20" s="2031" t="str">
        <f>'Base variables computation'!O10</f>
        <v>Dedicated renewables</v>
      </c>
      <c r="P20" s="2031" t="str">
        <f>'Base variables computation'!P10</f>
        <v>Dedicated renewables</v>
      </c>
      <c r="Q20" s="2031" t="str">
        <f>'Base variables computation'!Q10</f>
        <v>Dedicated renewables</v>
      </c>
      <c r="R20" s="2031" t="str">
        <f>'Base variables computation'!R10</f>
        <v>Dedicated renewables</v>
      </c>
      <c r="S20" s="2031" t="str">
        <f>'Base variables computation'!S10</f>
        <v>Dedicated renewables</v>
      </c>
      <c r="T20" s="2031" t="str">
        <f>'Base variables computation'!T10</f>
        <v>Dedicated renewables</v>
      </c>
      <c r="U20" s="2031" t="str">
        <f>'Base variables computation'!U10</f>
        <v>Dedicated renewables</v>
      </c>
      <c r="V20" s="2031" t="str">
        <f>'Base variables computation'!V10</f>
        <v>Dedicated renewables</v>
      </c>
      <c r="W20" s="2031" t="str">
        <f>'Base variables computation'!W10</f>
        <v>Dedicated renewables</v>
      </c>
      <c r="X20" s="2031" t="str">
        <f>'Base variables computation'!X10</f>
        <v>Dedicated renewables</v>
      </c>
      <c r="Y20" s="2031" t="str">
        <f>'Base variables computation'!Y10</f>
        <v>Dedicated renewables</v>
      </c>
      <c r="Z20" s="2031" t="str">
        <f>'Base variables computation'!Z10</f>
        <v>Dedicated renewables</v>
      </c>
      <c r="AA20" s="2031" t="str">
        <f>'Base variables computation'!AA10</f>
        <v>Dedicated renewables</v>
      </c>
      <c r="AB20" s="2031" t="str">
        <f>'Base variables computation'!AB10</f>
        <v>Dedicated renewables</v>
      </c>
    </row>
    <row r="21" spans="1:28" x14ac:dyDescent="0.45">
      <c r="A21" s="1437" t="s">
        <v>0</v>
      </c>
      <c r="B21" s="2016" t="s">
        <v>1</v>
      </c>
      <c r="C21" s="2040">
        <f>'Base variables computation'!C5</f>
        <v>10</v>
      </c>
      <c r="D21" s="2040">
        <f>'Base variables computation'!D5</f>
        <v>10</v>
      </c>
      <c r="E21" s="2040">
        <f>'Base variables computation'!E5</f>
        <v>10</v>
      </c>
      <c r="F21" s="2040">
        <f>'Base variables computation'!F5</f>
        <v>10</v>
      </c>
      <c r="G21" s="2040">
        <f>'Base variables computation'!G5</f>
        <v>6</v>
      </c>
      <c r="H21" s="2040">
        <f>'Base variables computation'!H5</f>
        <v>6</v>
      </c>
      <c r="I21" s="2040">
        <f>'Base variables computation'!I5</f>
        <v>6</v>
      </c>
      <c r="J21" s="2040">
        <f>'Base variables computation'!J5</f>
        <v>6</v>
      </c>
      <c r="K21" s="2040">
        <f>'Base variables computation'!K5</f>
        <v>8</v>
      </c>
      <c r="L21" s="2040">
        <f>'Base variables computation'!L5</f>
        <v>8</v>
      </c>
      <c r="M21" s="2040">
        <f>'Base variables computation'!M5</f>
        <v>12</v>
      </c>
      <c r="N21" s="2040">
        <f>'Base variables computation'!N5</f>
        <v>12</v>
      </c>
      <c r="O21" s="2040">
        <f>'Base variables computation'!O5</f>
        <v>12</v>
      </c>
      <c r="P21" s="2040">
        <f>'Base variables computation'!P5</f>
        <v>12</v>
      </c>
      <c r="Q21" s="2040">
        <f>'Base variables computation'!Q5</f>
        <v>12</v>
      </c>
      <c r="R21" s="2040">
        <f>'Base variables computation'!R5</f>
        <v>12</v>
      </c>
      <c r="S21" s="2040">
        <f>'Base variables computation'!S5</f>
        <v>12</v>
      </c>
      <c r="T21" s="2040">
        <f>'Base variables computation'!T5</f>
        <v>12</v>
      </c>
      <c r="U21" s="2040">
        <f>'Base variables computation'!U5</f>
        <v>12</v>
      </c>
      <c r="V21" s="2040">
        <f>'Base variables computation'!V5</f>
        <v>12</v>
      </c>
      <c r="W21" s="2040">
        <f>'Base variables computation'!W5</f>
        <v>12</v>
      </c>
      <c r="X21" s="2040">
        <f>'Base variables computation'!X5</f>
        <v>15</v>
      </c>
      <c r="Y21" s="2040">
        <f>'Base variables computation'!Y5</f>
        <v>15</v>
      </c>
      <c r="Z21" s="2040">
        <f>'Base variables computation'!Z5</f>
        <v>10</v>
      </c>
      <c r="AA21" s="2040">
        <f>'Base variables computation'!AA5</f>
        <v>10</v>
      </c>
      <c r="AB21" s="2040">
        <f>'Base variables computation'!AB5</f>
        <v>40</v>
      </c>
    </row>
    <row r="22" spans="1:28" s="1" customFormat="1" ht="28.5" x14ac:dyDescent="0.45">
      <c r="A22" s="1437" t="s">
        <v>43</v>
      </c>
      <c r="B22" s="2030"/>
      <c r="C22" s="2031" t="str">
        <f>'Base variables computation'!C13</f>
        <v>Switch to Renewables</v>
      </c>
      <c r="D22" s="2031" t="str">
        <f>'Base variables computation'!D13</f>
        <v>Constant</v>
      </c>
      <c r="E22" s="2031" t="str">
        <f>'Base variables computation'!E13</f>
        <v>Switch to Renewables</v>
      </c>
      <c r="F22" s="2031" t="str">
        <f>'Base variables computation'!F13</f>
        <v>Constant</v>
      </c>
      <c r="G22" s="2031" t="str">
        <f>'Base variables computation'!G13</f>
        <v>Switch to Renewables</v>
      </c>
      <c r="H22" s="2031" t="str">
        <f>'Base variables computation'!H13</f>
        <v>Constant</v>
      </c>
      <c r="I22" s="2031" t="str">
        <f>'Base variables computation'!I13</f>
        <v>Switch to Renewables</v>
      </c>
      <c r="J22" s="2031" t="str">
        <f>'Base variables computation'!J13</f>
        <v>Constant</v>
      </c>
      <c r="K22" s="2031" t="str">
        <f>'Base variables computation'!K13</f>
        <v>Switch to Renewables</v>
      </c>
      <c r="L22" s="2031" t="str">
        <f>'Base variables computation'!L13</f>
        <v>Constant</v>
      </c>
      <c r="M22" s="2031" t="str">
        <f>'Base variables computation'!M13</f>
        <v>Switch to Renewables</v>
      </c>
      <c r="N22" s="2031" t="str">
        <f>'Base variables computation'!N13</f>
        <v>Switch to Renewables</v>
      </c>
      <c r="O22" s="2031" t="str">
        <f>'Base variables computation'!O13</f>
        <v>Constant</v>
      </c>
      <c r="P22" s="2031" t="str">
        <f>'Base variables computation'!P13</f>
        <v>Constant</v>
      </c>
      <c r="Q22" s="2031" t="str">
        <f>'Base variables computation'!Q13</f>
        <v>Constant</v>
      </c>
      <c r="R22" s="2031" t="str">
        <f>'Base variables computation'!R13</f>
        <v>Constant</v>
      </c>
      <c r="S22" s="2031" t="str">
        <f>'Base variables computation'!S13</f>
        <v>Constant</v>
      </c>
      <c r="T22" s="2031" t="str">
        <f>'Base variables computation'!T13</f>
        <v>Constant</v>
      </c>
      <c r="U22" s="2031" t="str">
        <f>'Base variables computation'!U13</f>
        <v>Constant</v>
      </c>
      <c r="V22" s="2031" t="str">
        <f>'Base variables computation'!V13</f>
        <v>Constant</v>
      </c>
      <c r="W22" s="2031" t="str">
        <f>'Base variables computation'!W13</f>
        <v>Constant</v>
      </c>
      <c r="X22" s="2031" t="str">
        <f>'Base variables computation'!X13</f>
        <v>Switch to Renewables</v>
      </c>
      <c r="Y22" s="2031" t="str">
        <f>'Base variables computation'!Y13</f>
        <v>Constant</v>
      </c>
      <c r="Z22" s="2031" t="str">
        <f>'Base variables computation'!Z13</f>
        <v>Switch to Renewables</v>
      </c>
      <c r="AA22" s="2031" t="str">
        <f>'Base variables computation'!AA13</f>
        <v>Constant</v>
      </c>
      <c r="AB22" s="2031" t="str">
        <f>'Base variables computation'!AB13</f>
        <v>Constant</v>
      </c>
    </row>
    <row r="23" spans="1:28" x14ac:dyDescent="0.45">
      <c r="A23" s="1437" t="s">
        <v>14</v>
      </c>
      <c r="B23" s="2030"/>
      <c r="C23" s="2045">
        <f>'Base variables computation'!C12</f>
        <v>2022</v>
      </c>
      <c r="D23" s="2045">
        <f>'Base variables computation'!D12</f>
        <v>2022</v>
      </c>
      <c r="E23" s="2045">
        <f>'Base variables computation'!E12</f>
        <v>2022</v>
      </c>
      <c r="F23" s="2045">
        <f>'Base variables computation'!F12</f>
        <v>2022</v>
      </c>
      <c r="G23" s="2045">
        <f>'Base variables computation'!G12</f>
        <v>2022</v>
      </c>
      <c r="H23" s="2045">
        <f>'Base variables computation'!H12</f>
        <v>2022</v>
      </c>
      <c r="I23" s="2045">
        <f>'Base variables computation'!I12</f>
        <v>2022</v>
      </c>
      <c r="J23" s="2045">
        <f>'Base variables computation'!J12</f>
        <v>2022</v>
      </c>
      <c r="K23" s="2045">
        <f>'Base variables computation'!K12</f>
        <v>2022</v>
      </c>
      <c r="L23" s="2045">
        <f>'Base variables computation'!L12</f>
        <v>2022</v>
      </c>
      <c r="M23" s="2045">
        <f>'Base variables computation'!M12</f>
        <v>2022</v>
      </c>
      <c r="N23" s="2045">
        <f>'Base variables computation'!N12</f>
        <v>2022</v>
      </c>
      <c r="O23" s="2045">
        <f>'Base variables computation'!O12</f>
        <v>2022</v>
      </c>
      <c r="P23" s="2045">
        <f>'Base variables computation'!P12</f>
        <v>2022</v>
      </c>
      <c r="Q23" s="2045">
        <f>'Base variables computation'!Q12</f>
        <v>2022</v>
      </c>
      <c r="R23" s="2045">
        <f>'Base variables computation'!R12</f>
        <v>2022</v>
      </c>
      <c r="S23" s="2045">
        <f>'Base variables computation'!S12</f>
        <v>2022</v>
      </c>
      <c r="T23" s="2045">
        <f>'Base variables computation'!T12</f>
        <v>2022</v>
      </c>
      <c r="U23" s="2045">
        <f>'Base variables computation'!U12</f>
        <v>2022</v>
      </c>
      <c r="V23" s="2045">
        <f>'Base variables computation'!V12</f>
        <v>2022</v>
      </c>
      <c r="W23" s="2045">
        <f>'Base variables computation'!W12</f>
        <v>2022</v>
      </c>
      <c r="X23" s="2045">
        <f>'Base variables computation'!X12</f>
        <v>2022</v>
      </c>
      <c r="Y23" s="2045">
        <f>'Base variables computation'!Y12</f>
        <v>2022</v>
      </c>
      <c r="Z23" s="2045">
        <f>'Base variables computation'!Z12</f>
        <v>2022</v>
      </c>
      <c r="AA23" s="2045">
        <f>'Base variables computation'!AA12</f>
        <v>2022</v>
      </c>
      <c r="AB23" s="2045">
        <f>'Base variables computation'!AB12</f>
        <v>2022</v>
      </c>
    </row>
    <row r="24" spans="1:28" x14ac:dyDescent="0.45">
      <c r="A24" s="1420" t="s">
        <v>1149</v>
      </c>
      <c r="B24" s="2029"/>
      <c r="C24" s="2003"/>
      <c r="D24" s="2003"/>
      <c r="E24" s="2003"/>
      <c r="F24" s="2003"/>
      <c r="G24" s="2003"/>
      <c r="H24" s="2003"/>
      <c r="I24" s="2003"/>
      <c r="J24" s="2003"/>
      <c r="K24" s="1968"/>
      <c r="L24" s="1968"/>
      <c r="M24" s="1968"/>
      <c r="N24" s="1968"/>
      <c r="O24" s="1968"/>
      <c r="P24" s="1968"/>
      <c r="Q24" s="1968"/>
      <c r="R24" s="1968"/>
      <c r="S24" s="1968"/>
      <c r="T24" s="1968"/>
      <c r="U24" s="1968"/>
      <c r="V24" s="1968"/>
      <c r="W24" s="1969"/>
      <c r="X24" s="1968"/>
      <c r="Y24" s="1968"/>
      <c r="Z24" s="1968"/>
      <c r="AA24" s="1968"/>
      <c r="AB24" s="1968"/>
    </row>
    <row r="25" spans="1:28" x14ac:dyDescent="0.45">
      <c r="A25" s="1420" t="s">
        <v>1074</v>
      </c>
      <c r="B25" s="2029" t="s">
        <v>26</v>
      </c>
      <c r="C25" s="2003"/>
      <c r="D25" s="2003"/>
      <c r="E25" s="2003"/>
      <c r="F25" s="2003"/>
      <c r="G25" s="2003"/>
      <c r="H25" s="2003"/>
      <c r="I25" s="2003"/>
      <c r="J25" s="2003"/>
      <c r="K25" s="1968"/>
      <c r="L25" s="1968"/>
      <c r="M25" s="1968"/>
      <c r="N25" s="1968"/>
      <c r="O25" s="1968"/>
      <c r="P25" s="1968"/>
      <c r="Q25" s="1968"/>
      <c r="R25" s="1968"/>
      <c r="S25" s="1968"/>
      <c r="T25" s="1968"/>
      <c r="U25" s="1968"/>
      <c r="V25" s="1968"/>
      <c r="W25" s="1969"/>
      <c r="X25" s="1968"/>
      <c r="Y25" s="1968"/>
      <c r="Z25" s="1968"/>
      <c r="AA25" s="1968"/>
      <c r="AB25" s="1968"/>
    </row>
    <row r="26" spans="1:28" x14ac:dyDescent="0.45">
      <c r="A26" s="1421" t="s">
        <v>1075</v>
      </c>
      <c r="B26" s="2035"/>
      <c r="C26" s="2046">
        <f ca="1">IF(C$19=GPG!$A$28,IF(ROW(C26)-ROW(C$26)+1=MATCH(C$20,GPG!$A$5:$A$11,0),1,0),
IF(C$19=GPG!$A$29,
(IF(ROUND(C$11,0)&gt;=1,OFFSET(EM!$B$17,ROW($A26)-ROW($A$26)+(ROW(EM!$C$46)-ROW(EM!$C$14))*(MATCH(C$22,EM!$B$6:$B$9,0)-1),MIN(C$23-EM!$B$16,EM!$AF$16-EM!$B$16)),0)+
IF(ROUND(C$11,0)&gt;=2,OFFSET(EM!$B$17,ROW($A26)-ROW($A$26)+(ROW(EM!$C$46)-ROW(EM!$C$14))*(MATCH(C$22,EM!$B$6:$B$9,0)-1),MIN(C$23-EM!$B$16+1,EM!$AF$16-EM!$B$16)),0)+
IF(ROUND(C$11,0)&gt;=3,OFFSET(EM!$B$17,ROW($A26)-ROW($A$26)+(ROW(EM!$C$46)-ROW(EM!$C$14))*(MATCH(C$22,EM!$B$6:$B$9,0)-1),MIN(C$23-EM!$B$16+2,EM!$AF$16-EM!$B$16)),0)+
IF(ROUND(C$11,0)&gt;=4,OFFSET(EM!$B$17,ROW($A26)-ROW($A$26)+(ROW(EM!$C$46)-ROW(EM!$C$14))*(MATCH(C$22,EM!$B$6:$B$9,0)-1),MIN(C$23-EM!$B$16+3,EM!$AF$16-EM!$B$16)),0)+
IF(ROUND(C$11,0)&gt;=5,OFFSET(EM!$B$17,ROW($A26)-ROW($A$26)+(ROW(EM!$C$46)-ROW(EM!$C$14))*(MATCH(C$22,EM!$B$6:$B$9,0)-1),MIN(C$23-EM!$B$16+4,EM!$AF$16-EM!$B$16)),0)+
IF(ROUND(C$11,0)&gt;=6,OFFSET(EM!$B$17,ROW($A26)-ROW($A$26)+(ROW(EM!$C$46)-ROW(EM!$C$14))*(MATCH(C$22,EM!$B$6:$B$9,0)-1),MIN(C$23-EM!$B$16+5,EM!$AF$16-EM!$B$16)),0)+
IF(ROUND(C$11,0)&gt;=7,OFFSET(EM!$B$17,ROW($A26)-ROW($A$26)+(ROW(EM!$C$46)-ROW(EM!$C$14))*(MATCH(C$22,EM!$B$6:$B$9,0)-1),MIN(C$23-EM!$B$16+6,EM!$AF$16-EM!$B$16)),0)+
IF(ROUND(C$11,0)&gt;=8,OFFSET(EM!$B$17,ROW($A26)-ROW($A$26)+(ROW(EM!$C$46)-ROW(EM!$C$14))*(MATCH(C$22,EM!$B$6:$B$9,0)-1),MIN(C$23-EM!$B$16+7,EM!$AF$16-EM!$B$16)),0)+
IF(ROUND(C$11,0)&gt;=9,OFFSET(EM!$B$17,ROW($A26)-ROW($A$26)+(ROW(EM!$C$46)-ROW(EM!$C$14))*(MATCH(C$22,EM!$B$6:$B$9,0)-1),MIN(C$23-EM!$B$16+8,EM!$AF$16-EM!$B$16)),0)+
IF(ROUND(C$11,0)&gt;=10,OFFSET(EM!$B$17,ROW($A26)-ROW($A$26)+(ROW(EM!$C$46)-ROW(EM!$C$14))*(MATCH(C$22,EM!$B$6:$B$9,0)-1),MIN(C$23-EM!$B$16+9,EM!$AF$16-EM!$B$16)),0)+
IF(ROUND(C$11,0)&gt;=11,OFFSET(EM!$B$17,ROW($A26)-ROW($A$26)+(ROW(EM!$C$46)-ROW(EM!$C$14))*(MATCH(C$22,EM!$B$6:$B$9,0)-1),MIN(C$23-EM!$B$16+10,EM!$AF$16-EM!$B$16)),0)+
IF(ROUND(C$11,0)&gt;=12,OFFSET(EM!$B$17,ROW($A26)-ROW($A$26)+(ROW(EM!$C$46)-ROW(EM!$C$14))*(MATCH(C$22,EM!$B$6:$B$9,0)-1),MIN(C$23-EM!$B$16+11,EM!$AF$16-EM!$B$16)),0)+
IF(ROUND(C$11,0)&gt;=13,OFFSET(EM!$B$17,ROW($A26)-ROW($A$26)+(ROW(EM!$C$46)-ROW(EM!$C$14))*(MATCH(C$22,EM!$B$6:$B$9,0)-1),MIN(C$23-EM!$B$16+12,EM!$AF$16-EM!$B$16)),0)+
IF(ROUND(C$11,0)&gt;=14,OFFSET(EM!$B$17,ROW($A26)-ROW($A$26)+(ROW(EM!$C$46)-ROW(EM!$C$14))*(MATCH(C$22,EM!$B$6:$B$9,0)-1),MIN(C$23-EM!$B$16+13,EM!$AF$16-EM!$B$16)),0)+
IF(ROUND(C$11,0)&gt;=15,OFFSET(EM!$B$17,ROW($A26)-ROW($A$26)+(ROW(EM!$C$46)-ROW(EM!$C$14))*(MATCH(C$22,EM!$B$6:$B$9,0)-1),MIN(C$23-EM!$B$16+14,EM!$AF$16-EM!$B$16)),0)+
IF(ROUND(C$11,0)&gt;=16,OFFSET(EM!$B$17,ROW($A26)-ROW($A$26)+(ROW(EM!$C$46)-ROW(EM!$C$14))*(MATCH(C$22,EM!$B$6:$B$9,0)-1),MIN(C$23-EM!$B$16+15,EM!$AF$16-EM!$B$16)),0)+
IF(ROUND(C$11,0)&gt;=17,OFFSET(EM!$B$17,ROW($A26)-ROW($A$26)+(ROW(EM!$C$46)-ROW(EM!$C$14))*(MATCH(C$22,EM!$B$6:$B$9,0)-1),MIN(C$23-EM!$B$16+16,EM!$AF$16-EM!$B$16)),0)+
IF(ROUND(C$11,0)&gt;=18,OFFSET(EM!$B$17,ROW($A26)-ROW($A$26)+(ROW(EM!$C$46)-ROW(EM!$C$14))*(MATCH(C$22,EM!$B$6:$B$9,0)-1),MIN(C$23-EM!$B$16+17,EM!$AF$16-EM!$B$16)),0)+
IF(ROUND(C$11,0)&gt;=19,OFFSET(EM!$B$17,ROW($A26)-ROW($A$26)+(ROW(EM!$C$46)-ROW(EM!$C$14))*(MATCH(C$22,EM!$B$6:$B$9,0)-1),MIN(C$23-EM!$B$16+18,EM!$AF$16-EM!$B$16)),0)+
IF(ROUND(C$11,0)&gt;=20,OFFSET(EM!$B$17,ROW($A26)-ROW($A$26)+(ROW(EM!$C$46)-ROW(EM!$C$14))*(MATCH(C$22,EM!$B$6:$B$9,0)-1),MIN(C$23-EM!$B$16+19,EM!$AF$16-EM!$B$16)),0)+
IF(ROUND(C$11,0)&gt;=21,OFFSET(EM!$B$17,ROW($A26)-ROW($A$26)+(ROW(EM!$C$46)-ROW(EM!$C$14))*(MATCH(C$22,EM!$B$6:$B$9,0)-1),MIN(C$23-EM!$B$16+20,EM!$AF$16-EM!$B$16)),0)+
IF(ROUND(C$11,0)&gt;=22,OFFSET(EM!$B$17,ROW($A26)-ROW($A$26)+(ROW(EM!$C$46)-ROW(EM!$C$14))*(MATCH(C$22,EM!$B$6:$B$9,0)-1),MIN(C$23-EM!$B$16+21,EM!$AF$16-EM!$B$16)),0)+
IF(ROUND(C$11,0)&gt;=23,OFFSET(EM!$B$17,ROW($A26)-ROW($A$26)+(ROW(EM!$C$46)-ROW(EM!$C$14))*(MATCH(C$22,EM!$B$6:$B$9,0)-1),MIN(C$23-EM!$B$16+22,EM!$AF$16-EM!$B$16)),0)+
IF(ROUND(C$11,0)&gt;=24,OFFSET(EM!$B$17,ROW($A26)-ROW($A$26)+(ROW(EM!$C$46)-ROW(EM!$C$14))*(MATCH(C$22,EM!$B$6:$B$9,0)-1),MIN(C$23-EM!$B$16+23,EM!$AF$16-EM!$B$16)),0)+
IF(ROUND(C$11,0)&gt;=25,OFFSET(EM!$B$17,ROW($A26)-ROW($A$26)+(ROW(EM!$C$46)-ROW(EM!$C$14))*(MATCH(C$22,EM!$B$6:$B$9,0)-1),MIN(C$23-EM!$B$16+24,EM!$AF$16-EM!$B$16)),0)+
IF(ROUND(C$11,0)&gt;=26,OFFSET(EM!$B$17,ROW($A26)-ROW($A$26)+(ROW(EM!$C$46)-ROW(EM!$C$14))*(MATCH(C$22,EM!$B$6:$B$9,0)-1),MIN(C$23-EM!$B$16+25,EM!$AF$16-EM!$B$16)),0)+
IF(ROUND(C$11,0)&gt;=27,OFFSET(EM!$B$17,ROW($A26)-ROW($A$26)+(ROW(EM!$C$46)-ROW(EM!$C$14))*(MATCH(C$22,EM!$B$6:$B$9,0)-1),MIN(C$23-EM!$B$16+26,EM!$AF$16-EM!$B$16)),0)+
IF(ROUND(C$11,0)&gt;=28,OFFSET(EM!$B$17,ROW($A26)-ROW($A$26)+(ROW(EM!$C$46)-ROW(EM!$C$14))*(MATCH(C$22,EM!$B$6:$B$9,0)-1),MIN(C$23-EM!$B$16+27,EM!$AF$16-EM!$B$16)),0)+
IF(ROUND(C$11,0)&gt;=29,OFFSET(EM!$B$17,ROW($A26)-ROW($A$26)+(ROW(EM!$C$46)-ROW(EM!$C$14))*(MATCH(C$22,EM!$B$6:$B$9,0)-1),MIN(C$23-EM!$B$16+28,EM!$AF$16-EM!$B$16)),0)+
IF(ROUND(C$11,0)&gt;=30,OFFSET(EM!$B$17,ROW($A26)-ROW($A$26)+(ROW(EM!$C$46)-ROW(EM!$C$14))*(MATCH(C$22,EM!$B$6:$B$9,0)-1),MIN(C$23-EM!$B$16+29,EM!$AF$16-EM!$B$16)),0)+
IF(ROUND(C$11,0)&gt;=31,OFFSET(EM!$B$17,ROW($A26)-ROW($A$26)+(ROW(EM!$C$46)-ROW(EM!$C$14))*(MATCH(C$22,EM!$B$6:$B$9,0)-1),MIN(C$23-EM!$B$16+30,EM!$AF$16-EM!$B$16)),0)+
IF(ROUND(C$11,0)&gt;=32,OFFSET(EM!$B$17,ROW($A26)-ROW($A$26)+(ROW(EM!$C$46)-ROW(EM!$C$14))*(MATCH(C$22,EM!$B$6:$B$9,0)-1),MIN(C$23-EM!$B$16+31,EM!$AF$16-EM!$B$16)),0)+
IF(ROUND(C$11,0)&gt;=33,OFFSET(EM!$B$17,ROW($A26)-ROW($A$26)+(ROW(EM!$C$46)-ROW(EM!$C$14))*(MATCH(C$22,EM!$B$6:$B$9,0)-1),MIN(C$23-EM!$B$16+32,EM!$AF$16-EM!$B$16)),0)+
IF(ROUND(C$11,0)&gt;=34,OFFSET(EM!$B$17,ROW($A26)-ROW($A$26)+(ROW(EM!$C$46)-ROW(EM!$C$14))*(MATCH(C$22,EM!$B$6:$B$9,0)-1),MIN(C$23-EM!$B$16+33,EM!$AF$16-EM!$B$16)),0)+
IF(ROUND(C$11,0)&gt;=35,OFFSET(EM!$B$17,ROW($A26)-ROW($A$26)+(ROW(EM!$C$46)-ROW(EM!$C$14))*(MATCH(C$22,EM!$B$6:$B$9,0)-1),MIN(C$23-EM!$B$16+34,EM!$AF$16-EM!$B$16)),0)+
IF(ROUND(C$11,0)&gt;=36,OFFSET(EM!$B$17,ROW($A26)-ROW($A$26)+(ROW(EM!$C$46)-ROW(EM!$C$14))*(MATCH(C$22,EM!$B$6:$B$9,0)-1),MIN(C$23-EM!$B$16+35,EM!$AF$16-EM!$B$16)),0)+
IF(ROUND(C$11,0)&gt;=37,OFFSET(EM!$B$17,ROW($A26)-ROW($A$26)+(ROW(EM!$C$46)-ROW(EM!$C$14))*(MATCH(C$22,EM!$B$6:$B$9,0)-1),MIN(C$23-EM!$B$16+36,EM!$AF$16-EM!$B$16)),0)+
IF(ROUND(C$11,0)&gt;=38,OFFSET(EM!$B$17,ROW($A26)-ROW($A$26)+(ROW(EM!$C$46)-ROW(EM!$C$14))*(MATCH(C$22,EM!$B$6:$B$9,0)-1),MIN(C$23-EM!$B$16+37,EM!$AF$16-EM!$B$16)),0)+
IF(ROUND(C$11,0)&gt;=39,OFFSET(EM!$B$17,ROW($A26)-ROW($A$26)+(ROW(EM!$C$46)-ROW(EM!$C$14))*(MATCH(C$22,EM!$B$6:$B$9,0)-1),MIN(C$23-EM!$B$16+38,EM!$AF$16-EM!$B$16)),0)+
IF(ROUND(C$11,0)&gt;=40,OFFSET(EM!$B$17,ROW($A26)-ROW($A$26)+(ROW(EM!$C$46)-ROW(EM!$C$14))*(MATCH(C$22,EM!$B$6:$B$9,0)-1),MIN(C$23-EM!$B$16+39,EM!$AF$16-EM!$B$16)),0)
)/ROUND(C$11,0),NA()))</f>
        <v>7.3086288203473892E-3</v>
      </c>
      <c r="D26" s="2046">
        <f ca="1">IF(D$19=GPG!$A$28,IF(ROW(D26)-ROW(D$26)+1=MATCH(D$20,GPG!$A$5:$A$11,0),1,0),
IF(D$19=GPG!$A$29,
(IF(ROUND(D$11,0)&gt;=1,OFFSET(EM!$B$17,ROW($A26)-ROW($A$26)+(ROW(EM!$C$46)-ROW(EM!$C$14))*(MATCH(D$22,EM!$B$6:$B$9,0)-1),MIN(D$23-EM!$B$16,EM!$AF$16-EM!$B$16)),0)+
IF(ROUND(D$11,0)&gt;=2,OFFSET(EM!$B$17,ROW($A26)-ROW($A$26)+(ROW(EM!$C$46)-ROW(EM!$C$14))*(MATCH(D$22,EM!$B$6:$B$9,0)-1),MIN(D$23-EM!$B$16+1,EM!$AF$16-EM!$B$16)),0)+
IF(ROUND(D$11,0)&gt;=3,OFFSET(EM!$B$17,ROW($A26)-ROW($A$26)+(ROW(EM!$C$46)-ROW(EM!$C$14))*(MATCH(D$22,EM!$B$6:$B$9,0)-1),MIN(D$23-EM!$B$16+2,EM!$AF$16-EM!$B$16)),0)+
IF(ROUND(D$11,0)&gt;=4,OFFSET(EM!$B$17,ROW($A26)-ROW($A$26)+(ROW(EM!$C$46)-ROW(EM!$C$14))*(MATCH(D$22,EM!$B$6:$B$9,0)-1),MIN(D$23-EM!$B$16+3,EM!$AF$16-EM!$B$16)),0)+
IF(ROUND(D$11,0)&gt;=5,OFFSET(EM!$B$17,ROW($A26)-ROW($A$26)+(ROW(EM!$C$46)-ROW(EM!$C$14))*(MATCH(D$22,EM!$B$6:$B$9,0)-1),MIN(D$23-EM!$B$16+4,EM!$AF$16-EM!$B$16)),0)+
IF(ROUND(D$11,0)&gt;=6,OFFSET(EM!$B$17,ROW($A26)-ROW($A$26)+(ROW(EM!$C$46)-ROW(EM!$C$14))*(MATCH(D$22,EM!$B$6:$B$9,0)-1),MIN(D$23-EM!$B$16+5,EM!$AF$16-EM!$B$16)),0)+
IF(ROUND(D$11,0)&gt;=7,OFFSET(EM!$B$17,ROW($A26)-ROW($A$26)+(ROW(EM!$C$46)-ROW(EM!$C$14))*(MATCH(D$22,EM!$B$6:$B$9,0)-1),MIN(D$23-EM!$B$16+6,EM!$AF$16-EM!$B$16)),0)+
IF(ROUND(D$11,0)&gt;=8,OFFSET(EM!$B$17,ROW($A26)-ROW($A$26)+(ROW(EM!$C$46)-ROW(EM!$C$14))*(MATCH(D$22,EM!$B$6:$B$9,0)-1),MIN(D$23-EM!$B$16+7,EM!$AF$16-EM!$B$16)),0)+
IF(ROUND(D$11,0)&gt;=9,OFFSET(EM!$B$17,ROW($A26)-ROW($A$26)+(ROW(EM!$C$46)-ROW(EM!$C$14))*(MATCH(D$22,EM!$B$6:$B$9,0)-1),MIN(D$23-EM!$B$16+8,EM!$AF$16-EM!$B$16)),0)+
IF(ROUND(D$11,0)&gt;=10,OFFSET(EM!$B$17,ROW($A26)-ROW($A$26)+(ROW(EM!$C$46)-ROW(EM!$C$14))*(MATCH(D$22,EM!$B$6:$B$9,0)-1),MIN(D$23-EM!$B$16+9,EM!$AF$16-EM!$B$16)),0)+
IF(ROUND(D$11,0)&gt;=11,OFFSET(EM!$B$17,ROW($A26)-ROW($A$26)+(ROW(EM!$C$46)-ROW(EM!$C$14))*(MATCH(D$22,EM!$B$6:$B$9,0)-1),MIN(D$23-EM!$B$16+10,EM!$AF$16-EM!$B$16)),0)+
IF(ROUND(D$11,0)&gt;=12,OFFSET(EM!$B$17,ROW($A26)-ROW($A$26)+(ROW(EM!$C$46)-ROW(EM!$C$14))*(MATCH(D$22,EM!$B$6:$B$9,0)-1),MIN(D$23-EM!$B$16+11,EM!$AF$16-EM!$B$16)),0)+
IF(ROUND(D$11,0)&gt;=13,OFFSET(EM!$B$17,ROW($A26)-ROW($A$26)+(ROW(EM!$C$46)-ROW(EM!$C$14))*(MATCH(D$22,EM!$B$6:$B$9,0)-1),MIN(D$23-EM!$B$16+12,EM!$AF$16-EM!$B$16)),0)+
IF(ROUND(D$11,0)&gt;=14,OFFSET(EM!$B$17,ROW($A26)-ROW($A$26)+(ROW(EM!$C$46)-ROW(EM!$C$14))*(MATCH(D$22,EM!$B$6:$B$9,0)-1),MIN(D$23-EM!$B$16+13,EM!$AF$16-EM!$B$16)),0)+
IF(ROUND(D$11,0)&gt;=15,OFFSET(EM!$B$17,ROW($A26)-ROW($A$26)+(ROW(EM!$C$46)-ROW(EM!$C$14))*(MATCH(D$22,EM!$B$6:$B$9,0)-1),MIN(D$23-EM!$B$16+14,EM!$AF$16-EM!$B$16)),0)+
IF(ROUND(D$11,0)&gt;=16,OFFSET(EM!$B$17,ROW($A26)-ROW($A$26)+(ROW(EM!$C$46)-ROW(EM!$C$14))*(MATCH(D$22,EM!$B$6:$B$9,0)-1),MIN(D$23-EM!$B$16+15,EM!$AF$16-EM!$B$16)),0)+
IF(ROUND(D$11,0)&gt;=17,OFFSET(EM!$B$17,ROW($A26)-ROW($A$26)+(ROW(EM!$C$46)-ROW(EM!$C$14))*(MATCH(D$22,EM!$B$6:$B$9,0)-1),MIN(D$23-EM!$B$16+16,EM!$AF$16-EM!$B$16)),0)+
IF(ROUND(D$11,0)&gt;=18,OFFSET(EM!$B$17,ROW($A26)-ROW($A$26)+(ROW(EM!$C$46)-ROW(EM!$C$14))*(MATCH(D$22,EM!$B$6:$B$9,0)-1),MIN(D$23-EM!$B$16+17,EM!$AF$16-EM!$B$16)),0)+
IF(ROUND(D$11,0)&gt;=19,OFFSET(EM!$B$17,ROW($A26)-ROW($A$26)+(ROW(EM!$C$46)-ROW(EM!$C$14))*(MATCH(D$22,EM!$B$6:$B$9,0)-1),MIN(D$23-EM!$B$16+18,EM!$AF$16-EM!$B$16)),0)+
IF(ROUND(D$11,0)&gt;=20,OFFSET(EM!$B$17,ROW($A26)-ROW($A$26)+(ROW(EM!$C$46)-ROW(EM!$C$14))*(MATCH(D$22,EM!$B$6:$B$9,0)-1),MIN(D$23-EM!$B$16+19,EM!$AF$16-EM!$B$16)),0)+
IF(ROUND(D$11,0)&gt;=21,OFFSET(EM!$B$17,ROW($A26)-ROW($A$26)+(ROW(EM!$C$46)-ROW(EM!$C$14))*(MATCH(D$22,EM!$B$6:$B$9,0)-1),MIN(D$23-EM!$B$16+20,EM!$AF$16-EM!$B$16)),0)+
IF(ROUND(D$11,0)&gt;=22,OFFSET(EM!$B$17,ROW($A26)-ROW($A$26)+(ROW(EM!$C$46)-ROW(EM!$C$14))*(MATCH(D$22,EM!$B$6:$B$9,0)-1),MIN(D$23-EM!$B$16+21,EM!$AF$16-EM!$B$16)),0)+
IF(ROUND(D$11,0)&gt;=23,OFFSET(EM!$B$17,ROW($A26)-ROW($A$26)+(ROW(EM!$C$46)-ROW(EM!$C$14))*(MATCH(D$22,EM!$B$6:$B$9,0)-1),MIN(D$23-EM!$B$16+22,EM!$AF$16-EM!$B$16)),0)+
IF(ROUND(D$11,0)&gt;=24,OFFSET(EM!$B$17,ROW($A26)-ROW($A$26)+(ROW(EM!$C$46)-ROW(EM!$C$14))*(MATCH(D$22,EM!$B$6:$B$9,0)-1),MIN(D$23-EM!$B$16+23,EM!$AF$16-EM!$B$16)),0)+
IF(ROUND(D$11,0)&gt;=25,OFFSET(EM!$B$17,ROW($A26)-ROW($A$26)+(ROW(EM!$C$46)-ROW(EM!$C$14))*(MATCH(D$22,EM!$B$6:$B$9,0)-1),MIN(D$23-EM!$B$16+24,EM!$AF$16-EM!$B$16)),0)+
IF(ROUND(D$11,0)&gt;=26,OFFSET(EM!$B$17,ROW($A26)-ROW($A$26)+(ROW(EM!$C$46)-ROW(EM!$C$14))*(MATCH(D$22,EM!$B$6:$B$9,0)-1),MIN(D$23-EM!$B$16+25,EM!$AF$16-EM!$B$16)),0)+
IF(ROUND(D$11,0)&gt;=27,OFFSET(EM!$B$17,ROW($A26)-ROW($A$26)+(ROW(EM!$C$46)-ROW(EM!$C$14))*(MATCH(D$22,EM!$B$6:$B$9,0)-1),MIN(D$23-EM!$B$16+26,EM!$AF$16-EM!$B$16)),0)+
IF(ROUND(D$11,0)&gt;=28,OFFSET(EM!$B$17,ROW($A26)-ROW($A$26)+(ROW(EM!$C$46)-ROW(EM!$C$14))*(MATCH(D$22,EM!$B$6:$B$9,0)-1),MIN(D$23-EM!$B$16+27,EM!$AF$16-EM!$B$16)),0)+
IF(ROUND(D$11,0)&gt;=29,OFFSET(EM!$B$17,ROW($A26)-ROW($A$26)+(ROW(EM!$C$46)-ROW(EM!$C$14))*(MATCH(D$22,EM!$B$6:$B$9,0)-1),MIN(D$23-EM!$B$16+28,EM!$AF$16-EM!$B$16)),0)+
IF(ROUND(D$11,0)&gt;=30,OFFSET(EM!$B$17,ROW($A26)-ROW($A$26)+(ROW(EM!$C$46)-ROW(EM!$C$14))*(MATCH(D$22,EM!$B$6:$B$9,0)-1),MIN(D$23-EM!$B$16+29,EM!$AF$16-EM!$B$16)),0)+
IF(ROUND(D$11,0)&gt;=31,OFFSET(EM!$B$17,ROW($A26)-ROW($A$26)+(ROW(EM!$C$46)-ROW(EM!$C$14))*(MATCH(D$22,EM!$B$6:$B$9,0)-1),MIN(D$23-EM!$B$16+30,EM!$AF$16-EM!$B$16)),0)+
IF(ROUND(D$11,0)&gt;=32,OFFSET(EM!$B$17,ROW($A26)-ROW($A$26)+(ROW(EM!$C$46)-ROW(EM!$C$14))*(MATCH(D$22,EM!$B$6:$B$9,0)-1),MIN(D$23-EM!$B$16+31,EM!$AF$16-EM!$B$16)),0)+
IF(ROUND(D$11,0)&gt;=33,OFFSET(EM!$B$17,ROW($A26)-ROW($A$26)+(ROW(EM!$C$46)-ROW(EM!$C$14))*(MATCH(D$22,EM!$B$6:$B$9,0)-1),MIN(D$23-EM!$B$16+32,EM!$AF$16-EM!$B$16)),0)+
IF(ROUND(D$11,0)&gt;=34,OFFSET(EM!$B$17,ROW($A26)-ROW($A$26)+(ROW(EM!$C$46)-ROW(EM!$C$14))*(MATCH(D$22,EM!$B$6:$B$9,0)-1),MIN(D$23-EM!$B$16+33,EM!$AF$16-EM!$B$16)),0)+
IF(ROUND(D$11,0)&gt;=35,OFFSET(EM!$B$17,ROW($A26)-ROW($A$26)+(ROW(EM!$C$46)-ROW(EM!$C$14))*(MATCH(D$22,EM!$B$6:$B$9,0)-1),MIN(D$23-EM!$B$16+34,EM!$AF$16-EM!$B$16)),0)+
IF(ROUND(D$11,0)&gt;=36,OFFSET(EM!$B$17,ROW($A26)-ROW($A$26)+(ROW(EM!$C$46)-ROW(EM!$C$14))*(MATCH(D$22,EM!$B$6:$B$9,0)-1),MIN(D$23-EM!$B$16+35,EM!$AF$16-EM!$B$16)),0)+
IF(ROUND(D$11,0)&gt;=37,OFFSET(EM!$B$17,ROW($A26)-ROW($A$26)+(ROW(EM!$C$46)-ROW(EM!$C$14))*(MATCH(D$22,EM!$B$6:$B$9,0)-1),MIN(D$23-EM!$B$16+36,EM!$AF$16-EM!$B$16)),0)+
IF(ROUND(D$11,0)&gt;=38,OFFSET(EM!$B$17,ROW($A26)-ROW($A$26)+(ROW(EM!$C$46)-ROW(EM!$C$14))*(MATCH(D$22,EM!$B$6:$B$9,0)-1),MIN(D$23-EM!$B$16+37,EM!$AF$16-EM!$B$16)),0)+
IF(ROUND(D$11,0)&gt;=39,OFFSET(EM!$B$17,ROW($A26)-ROW($A$26)+(ROW(EM!$C$46)-ROW(EM!$C$14))*(MATCH(D$22,EM!$B$6:$B$9,0)-1),MIN(D$23-EM!$B$16+38,EM!$AF$16-EM!$B$16)),0)+
IF(ROUND(D$11,0)&gt;=40,OFFSET(EM!$B$17,ROW($A26)-ROW($A$26)+(ROW(EM!$C$46)-ROW(EM!$C$14))*(MATCH(D$22,EM!$B$6:$B$9,0)-1),MIN(D$23-EM!$B$16+39,EM!$AF$16-EM!$B$16)),0)
)/ROUND(D$11,0),NA()))</f>
        <v>5.0412668060949824E-3</v>
      </c>
      <c r="E26" s="2046">
        <f ca="1">IF(E$19=GPG!$A$28,IF(ROW(E26)-ROW(E$26)+1=MATCH(E$20,GPG!$A$5:$A$11,0),1,0),
IF(E$19=GPG!$A$29,
(IF(ROUND(E$11,0)&gt;=1,OFFSET(EM!$B$17,ROW($A26)-ROW($A$26)+(ROW(EM!$C$46)-ROW(EM!$C$14))*(MATCH(E$22,EM!$B$6:$B$9,0)-1),MIN(E$23-EM!$B$16,EM!$AF$16-EM!$B$16)),0)+
IF(ROUND(E$11,0)&gt;=2,OFFSET(EM!$B$17,ROW($A26)-ROW($A$26)+(ROW(EM!$C$46)-ROW(EM!$C$14))*(MATCH(E$22,EM!$B$6:$B$9,0)-1),MIN(E$23-EM!$B$16+1,EM!$AF$16-EM!$B$16)),0)+
IF(ROUND(E$11,0)&gt;=3,OFFSET(EM!$B$17,ROW($A26)-ROW($A$26)+(ROW(EM!$C$46)-ROW(EM!$C$14))*(MATCH(E$22,EM!$B$6:$B$9,0)-1),MIN(E$23-EM!$B$16+2,EM!$AF$16-EM!$B$16)),0)+
IF(ROUND(E$11,0)&gt;=4,OFFSET(EM!$B$17,ROW($A26)-ROW($A$26)+(ROW(EM!$C$46)-ROW(EM!$C$14))*(MATCH(E$22,EM!$B$6:$B$9,0)-1),MIN(E$23-EM!$B$16+3,EM!$AF$16-EM!$B$16)),0)+
IF(ROUND(E$11,0)&gt;=5,OFFSET(EM!$B$17,ROW($A26)-ROW($A$26)+(ROW(EM!$C$46)-ROW(EM!$C$14))*(MATCH(E$22,EM!$B$6:$B$9,0)-1),MIN(E$23-EM!$B$16+4,EM!$AF$16-EM!$B$16)),0)+
IF(ROUND(E$11,0)&gt;=6,OFFSET(EM!$B$17,ROW($A26)-ROW($A$26)+(ROW(EM!$C$46)-ROW(EM!$C$14))*(MATCH(E$22,EM!$B$6:$B$9,0)-1),MIN(E$23-EM!$B$16+5,EM!$AF$16-EM!$B$16)),0)+
IF(ROUND(E$11,0)&gt;=7,OFFSET(EM!$B$17,ROW($A26)-ROW($A$26)+(ROW(EM!$C$46)-ROW(EM!$C$14))*(MATCH(E$22,EM!$B$6:$B$9,0)-1),MIN(E$23-EM!$B$16+6,EM!$AF$16-EM!$B$16)),0)+
IF(ROUND(E$11,0)&gt;=8,OFFSET(EM!$B$17,ROW($A26)-ROW($A$26)+(ROW(EM!$C$46)-ROW(EM!$C$14))*(MATCH(E$22,EM!$B$6:$B$9,0)-1),MIN(E$23-EM!$B$16+7,EM!$AF$16-EM!$B$16)),0)+
IF(ROUND(E$11,0)&gt;=9,OFFSET(EM!$B$17,ROW($A26)-ROW($A$26)+(ROW(EM!$C$46)-ROW(EM!$C$14))*(MATCH(E$22,EM!$B$6:$B$9,0)-1),MIN(E$23-EM!$B$16+8,EM!$AF$16-EM!$B$16)),0)+
IF(ROUND(E$11,0)&gt;=10,OFFSET(EM!$B$17,ROW($A26)-ROW($A$26)+(ROW(EM!$C$46)-ROW(EM!$C$14))*(MATCH(E$22,EM!$B$6:$B$9,0)-1),MIN(E$23-EM!$B$16+9,EM!$AF$16-EM!$B$16)),0)+
IF(ROUND(E$11,0)&gt;=11,OFFSET(EM!$B$17,ROW($A26)-ROW($A$26)+(ROW(EM!$C$46)-ROW(EM!$C$14))*(MATCH(E$22,EM!$B$6:$B$9,0)-1),MIN(E$23-EM!$B$16+10,EM!$AF$16-EM!$B$16)),0)+
IF(ROUND(E$11,0)&gt;=12,OFFSET(EM!$B$17,ROW($A26)-ROW($A$26)+(ROW(EM!$C$46)-ROW(EM!$C$14))*(MATCH(E$22,EM!$B$6:$B$9,0)-1),MIN(E$23-EM!$B$16+11,EM!$AF$16-EM!$B$16)),0)+
IF(ROUND(E$11,0)&gt;=13,OFFSET(EM!$B$17,ROW($A26)-ROW($A$26)+(ROW(EM!$C$46)-ROW(EM!$C$14))*(MATCH(E$22,EM!$B$6:$B$9,0)-1),MIN(E$23-EM!$B$16+12,EM!$AF$16-EM!$B$16)),0)+
IF(ROUND(E$11,0)&gt;=14,OFFSET(EM!$B$17,ROW($A26)-ROW($A$26)+(ROW(EM!$C$46)-ROW(EM!$C$14))*(MATCH(E$22,EM!$B$6:$B$9,0)-1),MIN(E$23-EM!$B$16+13,EM!$AF$16-EM!$B$16)),0)+
IF(ROUND(E$11,0)&gt;=15,OFFSET(EM!$B$17,ROW($A26)-ROW($A$26)+(ROW(EM!$C$46)-ROW(EM!$C$14))*(MATCH(E$22,EM!$B$6:$B$9,0)-1),MIN(E$23-EM!$B$16+14,EM!$AF$16-EM!$B$16)),0)+
IF(ROUND(E$11,0)&gt;=16,OFFSET(EM!$B$17,ROW($A26)-ROW($A$26)+(ROW(EM!$C$46)-ROW(EM!$C$14))*(MATCH(E$22,EM!$B$6:$B$9,0)-1),MIN(E$23-EM!$B$16+15,EM!$AF$16-EM!$B$16)),0)+
IF(ROUND(E$11,0)&gt;=17,OFFSET(EM!$B$17,ROW($A26)-ROW($A$26)+(ROW(EM!$C$46)-ROW(EM!$C$14))*(MATCH(E$22,EM!$B$6:$B$9,0)-1),MIN(E$23-EM!$B$16+16,EM!$AF$16-EM!$B$16)),0)+
IF(ROUND(E$11,0)&gt;=18,OFFSET(EM!$B$17,ROW($A26)-ROW($A$26)+(ROW(EM!$C$46)-ROW(EM!$C$14))*(MATCH(E$22,EM!$B$6:$B$9,0)-1),MIN(E$23-EM!$B$16+17,EM!$AF$16-EM!$B$16)),0)+
IF(ROUND(E$11,0)&gt;=19,OFFSET(EM!$B$17,ROW($A26)-ROW($A$26)+(ROW(EM!$C$46)-ROW(EM!$C$14))*(MATCH(E$22,EM!$B$6:$B$9,0)-1),MIN(E$23-EM!$B$16+18,EM!$AF$16-EM!$B$16)),0)+
IF(ROUND(E$11,0)&gt;=20,OFFSET(EM!$B$17,ROW($A26)-ROW($A$26)+(ROW(EM!$C$46)-ROW(EM!$C$14))*(MATCH(E$22,EM!$B$6:$B$9,0)-1),MIN(E$23-EM!$B$16+19,EM!$AF$16-EM!$B$16)),0)+
IF(ROUND(E$11,0)&gt;=21,OFFSET(EM!$B$17,ROW($A26)-ROW($A$26)+(ROW(EM!$C$46)-ROW(EM!$C$14))*(MATCH(E$22,EM!$B$6:$B$9,0)-1),MIN(E$23-EM!$B$16+20,EM!$AF$16-EM!$B$16)),0)+
IF(ROUND(E$11,0)&gt;=22,OFFSET(EM!$B$17,ROW($A26)-ROW($A$26)+(ROW(EM!$C$46)-ROW(EM!$C$14))*(MATCH(E$22,EM!$B$6:$B$9,0)-1),MIN(E$23-EM!$B$16+21,EM!$AF$16-EM!$B$16)),0)+
IF(ROUND(E$11,0)&gt;=23,OFFSET(EM!$B$17,ROW($A26)-ROW($A$26)+(ROW(EM!$C$46)-ROW(EM!$C$14))*(MATCH(E$22,EM!$B$6:$B$9,0)-1),MIN(E$23-EM!$B$16+22,EM!$AF$16-EM!$B$16)),0)+
IF(ROUND(E$11,0)&gt;=24,OFFSET(EM!$B$17,ROW($A26)-ROW($A$26)+(ROW(EM!$C$46)-ROW(EM!$C$14))*(MATCH(E$22,EM!$B$6:$B$9,0)-1),MIN(E$23-EM!$B$16+23,EM!$AF$16-EM!$B$16)),0)+
IF(ROUND(E$11,0)&gt;=25,OFFSET(EM!$B$17,ROW($A26)-ROW($A$26)+(ROW(EM!$C$46)-ROW(EM!$C$14))*(MATCH(E$22,EM!$B$6:$B$9,0)-1),MIN(E$23-EM!$B$16+24,EM!$AF$16-EM!$B$16)),0)+
IF(ROUND(E$11,0)&gt;=26,OFFSET(EM!$B$17,ROW($A26)-ROW($A$26)+(ROW(EM!$C$46)-ROW(EM!$C$14))*(MATCH(E$22,EM!$B$6:$B$9,0)-1),MIN(E$23-EM!$B$16+25,EM!$AF$16-EM!$B$16)),0)+
IF(ROUND(E$11,0)&gt;=27,OFFSET(EM!$B$17,ROW($A26)-ROW($A$26)+(ROW(EM!$C$46)-ROW(EM!$C$14))*(MATCH(E$22,EM!$B$6:$B$9,0)-1),MIN(E$23-EM!$B$16+26,EM!$AF$16-EM!$B$16)),0)+
IF(ROUND(E$11,0)&gt;=28,OFFSET(EM!$B$17,ROW($A26)-ROW($A$26)+(ROW(EM!$C$46)-ROW(EM!$C$14))*(MATCH(E$22,EM!$B$6:$B$9,0)-1),MIN(E$23-EM!$B$16+27,EM!$AF$16-EM!$B$16)),0)+
IF(ROUND(E$11,0)&gt;=29,OFFSET(EM!$B$17,ROW($A26)-ROW($A$26)+(ROW(EM!$C$46)-ROW(EM!$C$14))*(MATCH(E$22,EM!$B$6:$B$9,0)-1),MIN(E$23-EM!$B$16+28,EM!$AF$16-EM!$B$16)),0)+
IF(ROUND(E$11,0)&gt;=30,OFFSET(EM!$B$17,ROW($A26)-ROW($A$26)+(ROW(EM!$C$46)-ROW(EM!$C$14))*(MATCH(E$22,EM!$B$6:$B$9,0)-1),MIN(E$23-EM!$B$16+29,EM!$AF$16-EM!$B$16)),0)+
IF(ROUND(E$11,0)&gt;=31,OFFSET(EM!$B$17,ROW($A26)-ROW($A$26)+(ROW(EM!$C$46)-ROW(EM!$C$14))*(MATCH(E$22,EM!$B$6:$B$9,0)-1),MIN(E$23-EM!$B$16+30,EM!$AF$16-EM!$B$16)),0)+
IF(ROUND(E$11,0)&gt;=32,OFFSET(EM!$B$17,ROW($A26)-ROW($A$26)+(ROW(EM!$C$46)-ROW(EM!$C$14))*(MATCH(E$22,EM!$B$6:$B$9,0)-1),MIN(E$23-EM!$B$16+31,EM!$AF$16-EM!$B$16)),0)+
IF(ROUND(E$11,0)&gt;=33,OFFSET(EM!$B$17,ROW($A26)-ROW($A$26)+(ROW(EM!$C$46)-ROW(EM!$C$14))*(MATCH(E$22,EM!$B$6:$B$9,0)-1),MIN(E$23-EM!$B$16+32,EM!$AF$16-EM!$B$16)),0)+
IF(ROUND(E$11,0)&gt;=34,OFFSET(EM!$B$17,ROW($A26)-ROW($A$26)+(ROW(EM!$C$46)-ROW(EM!$C$14))*(MATCH(E$22,EM!$B$6:$B$9,0)-1),MIN(E$23-EM!$B$16+33,EM!$AF$16-EM!$B$16)),0)+
IF(ROUND(E$11,0)&gt;=35,OFFSET(EM!$B$17,ROW($A26)-ROW($A$26)+(ROW(EM!$C$46)-ROW(EM!$C$14))*(MATCH(E$22,EM!$B$6:$B$9,0)-1),MIN(E$23-EM!$B$16+34,EM!$AF$16-EM!$B$16)),0)+
IF(ROUND(E$11,0)&gt;=36,OFFSET(EM!$B$17,ROW($A26)-ROW($A$26)+(ROW(EM!$C$46)-ROW(EM!$C$14))*(MATCH(E$22,EM!$B$6:$B$9,0)-1),MIN(E$23-EM!$B$16+35,EM!$AF$16-EM!$B$16)),0)+
IF(ROUND(E$11,0)&gt;=37,OFFSET(EM!$B$17,ROW($A26)-ROW($A$26)+(ROW(EM!$C$46)-ROW(EM!$C$14))*(MATCH(E$22,EM!$B$6:$B$9,0)-1),MIN(E$23-EM!$B$16+36,EM!$AF$16-EM!$B$16)),0)+
IF(ROUND(E$11,0)&gt;=38,OFFSET(EM!$B$17,ROW($A26)-ROW($A$26)+(ROW(EM!$C$46)-ROW(EM!$C$14))*(MATCH(E$22,EM!$B$6:$B$9,0)-1),MIN(E$23-EM!$B$16+37,EM!$AF$16-EM!$B$16)),0)+
IF(ROUND(E$11,0)&gt;=39,OFFSET(EM!$B$17,ROW($A26)-ROW($A$26)+(ROW(EM!$C$46)-ROW(EM!$C$14))*(MATCH(E$22,EM!$B$6:$B$9,0)-1),MIN(E$23-EM!$B$16+38,EM!$AF$16-EM!$B$16)),0)+
IF(ROUND(E$11,0)&gt;=40,OFFSET(EM!$B$17,ROW($A26)-ROW($A$26)+(ROW(EM!$C$46)-ROW(EM!$C$14))*(MATCH(E$22,EM!$B$6:$B$9,0)-1),MIN(E$23-EM!$B$16+39,EM!$AF$16-EM!$B$16)),0)
)/ROUND(E$11,0),NA()))</f>
        <v>7.3086288203473892E-3</v>
      </c>
      <c r="F26" s="2046">
        <f ca="1">IF(F$19=GPG!$A$28,IF(ROW(F26)-ROW(F$26)+1=MATCH(F$20,GPG!$A$5:$A$11,0),1,0),
IF(F$19=GPG!$A$29,
(IF(ROUND(F$11,0)&gt;=1,OFFSET(EM!$B$17,ROW($A26)-ROW($A$26)+(ROW(EM!$C$46)-ROW(EM!$C$14))*(MATCH(F$22,EM!$B$6:$B$9,0)-1),MIN(F$23-EM!$B$16,EM!$AF$16-EM!$B$16)),0)+
IF(ROUND(F$11,0)&gt;=2,OFFSET(EM!$B$17,ROW($A26)-ROW($A$26)+(ROW(EM!$C$46)-ROW(EM!$C$14))*(MATCH(F$22,EM!$B$6:$B$9,0)-1),MIN(F$23-EM!$B$16+1,EM!$AF$16-EM!$B$16)),0)+
IF(ROUND(F$11,0)&gt;=3,OFFSET(EM!$B$17,ROW($A26)-ROW($A$26)+(ROW(EM!$C$46)-ROW(EM!$C$14))*(MATCH(F$22,EM!$B$6:$B$9,0)-1),MIN(F$23-EM!$B$16+2,EM!$AF$16-EM!$B$16)),0)+
IF(ROUND(F$11,0)&gt;=4,OFFSET(EM!$B$17,ROW($A26)-ROW($A$26)+(ROW(EM!$C$46)-ROW(EM!$C$14))*(MATCH(F$22,EM!$B$6:$B$9,0)-1),MIN(F$23-EM!$B$16+3,EM!$AF$16-EM!$B$16)),0)+
IF(ROUND(F$11,0)&gt;=5,OFFSET(EM!$B$17,ROW($A26)-ROW($A$26)+(ROW(EM!$C$46)-ROW(EM!$C$14))*(MATCH(F$22,EM!$B$6:$B$9,0)-1),MIN(F$23-EM!$B$16+4,EM!$AF$16-EM!$B$16)),0)+
IF(ROUND(F$11,0)&gt;=6,OFFSET(EM!$B$17,ROW($A26)-ROW($A$26)+(ROW(EM!$C$46)-ROW(EM!$C$14))*(MATCH(F$22,EM!$B$6:$B$9,0)-1),MIN(F$23-EM!$B$16+5,EM!$AF$16-EM!$B$16)),0)+
IF(ROUND(F$11,0)&gt;=7,OFFSET(EM!$B$17,ROW($A26)-ROW($A$26)+(ROW(EM!$C$46)-ROW(EM!$C$14))*(MATCH(F$22,EM!$B$6:$B$9,0)-1),MIN(F$23-EM!$B$16+6,EM!$AF$16-EM!$B$16)),0)+
IF(ROUND(F$11,0)&gt;=8,OFFSET(EM!$B$17,ROW($A26)-ROW($A$26)+(ROW(EM!$C$46)-ROW(EM!$C$14))*(MATCH(F$22,EM!$B$6:$B$9,0)-1),MIN(F$23-EM!$B$16+7,EM!$AF$16-EM!$B$16)),0)+
IF(ROUND(F$11,0)&gt;=9,OFFSET(EM!$B$17,ROW($A26)-ROW($A$26)+(ROW(EM!$C$46)-ROW(EM!$C$14))*(MATCH(F$22,EM!$B$6:$B$9,0)-1),MIN(F$23-EM!$B$16+8,EM!$AF$16-EM!$B$16)),0)+
IF(ROUND(F$11,0)&gt;=10,OFFSET(EM!$B$17,ROW($A26)-ROW($A$26)+(ROW(EM!$C$46)-ROW(EM!$C$14))*(MATCH(F$22,EM!$B$6:$B$9,0)-1),MIN(F$23-EM!$B$16+9,EM!$AF$16-EM!$B$16)),0)+
IF(ROUND(F$11,0)&gt;=11,OFFSET(EM!$B$17,ROW($A26)-ROW($A$26)+(ROW(EM!$C$46)-ROW(EM!$C$14))*(MATCH(F$22,EM!$B$6:$B$9,0)-1),MIN(F$23-EM!$B$16+10,EM!$AF$16-EM!$B$16)),0)+
IF(ROUND(F$11,0)&gt;=12,OFFSET(EM!$B$17,ROW($A26)-ROW($A$26)+(ROW(EM!$C$46)-ROW(EM!$C$14))*(MATCH(F$22,EM!$B$6:$B$9,0)-1),MIN(F$23-EM!$B$16+11,EM!$AF$16-EM!$B$16)),0)+
IF(ROUND(F$11,0)&gt;=13,OFFSET(EM!$B$17,ROW($A26)-ROW($A$26)+(ROW(EM!$C$46)-ROW(EM!$C$14))*(MATCH(F$22,EM!$B$6:$B$9,0)-1),MIN(F$23-EM!$B$16+12,EM!$AF$16-EM!$B$16)),0)+
IF(ROUND(F$11,0)&gt;=14,OFFSET(EM!$B$17,ROW($A26)-ROW($A$26)+(ROW(EM!$C$46)-ROW(EM!$C$14))*(MATCH(F$22,EM!$B$6:$B$9,0)-1),MIN(F$23-EM!$B$16+13,EM!$AF$16-EM!$B$16)),0)+
IF(ROUND(F$11,0)&gt;=15,OFFSET(EM!$B$17,ROW($A26)-ROW($A$26)+(ROW(EM!$C$46)-ROW(EM!$C$14))*(MATCH(F$22,EM!$B$6:$B$9,0)-1),MIN(F$23-EM!$B$16+14,EM!$AF$16-EM!$B$16)),0)+
IF(ROUND(F$11,0)&gt;=16,OFFSET(EM!$B$17,ROW($A26)-ROW($A$26)+(ROW(EM!$C$46)-ROW(EM!$C$14))*(MATCH(F$22,EM!$B$6:$B$9,0)-1),MIN(F$23-EM!$B$16+15,EM!$AF$16-EM!$B$16)),0)+
IF(ROUND(F$11,0)&gt;=17,OFFSET(EM!$B$17,ROW($A26)-ROW($A$26)+(ROW(EM!$C$46)-ROW(EM!$C$14))*(MATCH(F$22,EM!$B$6:$B$9,0)-1),MIN(F$23-EM!$B$16+16,EM!$AF$16-EM!$B$16)),0)+
IF(ROUND(F$11,0)&gt;=18,OFFSET(EM!$B$17,ROW($A26)-ROW($A$26)+(ROW(EM!$C$46)-ROW(EM!$C$14))*(MATCH(F$22,EM!$B$6:$B$9,0)-1),MIN(F$23-EM!$B$16+17,EM!$AF$16-EM!$B$16)),0)+
IF(ROUND(F$11,0)&gt;=19,OFFSET(EM!$B$17,ROW($A26)-ROW($A$26)+(ROW(EM!$C$46)-ROW(EM!$C$14))*(MATCH(F$22,EM!$B$6:$B$9,0)-1),MIN(F$23-EM!$B$16+18,EM!$AF$16-EM!$B$16)),0)+
IF(ROUND(F$11,0)&gt;=20,OFFSET(EM!$B$17,ROW($A26)-ROW($A$26)+(ROW(EM!$C$46)-ROW(EM!$C$14))*(MATCH(F$22,EM!$B$6:$B$9,0)-1),MIN(F$23-EM!$B$16+19,EM!$AF$16-EM!$B$16)),0)+
IF(ROUND(F$11,0)&gt;=21,OFFSET(EM!$B$17,ROW($A26)-ROW($A$26)+(ROW(EM!$C$46)-ROW(EM!$C$14))*(MATCH(F$22,EM!$B$6:$B$9,0)-1),MIN(F$23-EM!$B$16+20,EM!$AF$16-EM!$B$16)),0)+
IF(ROUND(F$11,0)&gt;=22,OFFSET(EM!$B$17,ROW($A26)-ROW($A$26)+(ROW(EM!$C$46)-ROW(EM!$C$14))*(MATCH(F$22,EM!$B$6:$B$9,0)-1),MIN(F$23-EM!$B$16+21,EM!$AF$16-EM!$B$16)),0)+
IF(ROUND(F$11,0)&gt;=23,OFFSET(EM!$B$17,ROW($A26)-ROW($A$26)+(ROW(EM!$C$46)-ROW(EM!$C$14))*(MATCH(F$22,EM!$B$6:$B$9,0)-1),MIN(F$23-EM!$B$16+22,EM!$AF$16-EM!$B$16)),0)+
IF(ROUND(F$11,0)&gt;=24,OFFSET(EM!$B$17,ROW($A26)-ROW($A$26)+(ROW(EM!$C$46)-ROW(EM!$C$14))*(MATCH(F$22,EM!$B$6:$B$9,0)-1),MIN(F$23-EM!$B$16+23,EM!$AF$16-EM!$B$16)),0)+
IF(ROUND(F$11,0)&gt;=25,OFFSET(EM!$B$17,ROW($A26)-ROW($A$26)+(ROW(EM!$C$46)-ROW(EM!$C$14))*(MATCH(F$22,EM!$B$6:$B$9,0)-1),MIN(F$23-EM!$B$16+24,EM!$AF$16-EM!$B$16)),0)+
IF(ROUND(F$11,0)&gt;=26,OFFSET(EM!$B$17,ROW($A26)-ROW($A$26)+(ROW(EM!$C$46)-ROW(EM!$C$14))*(MATCH(F$22,EM!$B$6:$B$9,0)-1),MIN(F$23-EM!$B$16+25,EM!$AF$16-EM!$B$16)),0)+
IF(ROUND(F$11,0)&gt;=27,OFFSET(EM!$B$17,ROW($A26)-ROW($A$26)+(ROW(EM!$C$46)-ROW(EM!$C$14))*(MATCH(F$22,EM!$B$6:$B$9,0)-1),MIN(F$23-EM!$B$16+26,EM!$AF$16-EM!$B$16)),0)+
IF(ROUND(F$11,0)&gt;=28,OFFSET(EM!$B$17,ROW($A26)-ROW($A$26)+(ROW(EM!$C$46)-ROW(EM!$C$14))*(MATCH(F$22,EM!$B$6:$B$9,0)-1),MIN(F$23-EM!$B$16+27,EM!$AF$16-EM!$B$16)),0)+
IF(ROUND(F$11,0)&gt;=29,OFFSET(EM!$B$17,ROW($A26)-ROW($A$26)+(ROW(EM!$C$46)-ROW(EM!$C$14))*(MATCH(F$22,EM!$B$6:$B$9,0)-1),MIN(F$23-EM!$B$16+28,EM!$AF$16-EM!$B$16)),0)+
IF(ROUND(F$11,0)&gt;=30,OFFSET(EM!$B$17,ROW($A26)-ROW($A$26)+(ROW(EM!$C$46)-ROW(EM!$C$14))*(MATCH(F$22,EM!$B$6:$B$9,0)-1),MIN(F$23-EM!$B$16+29,EM!$AF$16-EM!$B$16)),0)+
IF(ROUND(F$11,0)&gt;=31,OFFSET(EM!$B$17,ROW($A26)-ROW($A$26)+(ROW(EM!$C$46)-ROW(EM!$C$14))*(MATCH(F$22,EM!$B$6:$B$9,0)-1),MIN(F$23-EM!$B$16+30,EM!$AF$16-EM!$B$16)),0)+
IF(ROUND(F$11,0)&gt;=32,OFFSET(EM!$B$17,ROW($A26)-ROW($A$26)+(ROW(EM!$C$46)-ROW(EM!$C$14))*(MATCH(F$22,EM!$B$6:$B$9,0)-1),MIN(F$23-EM!$B$16+31,EM!$AF$16-EM!$B$16)),0)+
IF(ROUND(F$11,0)&gt;=33,OFFSET(EM!$B$17,ROW($A26)-ROW($A$26)+(ROW(EM!$C$46)-ROW(EM!$C$14))*(MATCH(F$22,EM!$B$6:$B$9,0)-1),MIN(F$23-EM!$B$16+32,EM!$AF$16-EM!$B$16)),0)+
IF(ROUND(F$11,0)&gt;=34,OFFSET(EM!$B$17,ROW($A26)-ROW($A$26)+(ROW(EM!$C$46)-ROW(EM!$C$14))*(MATCH(F$22,EM!$B$6:$B$9,0)-1),MIN(F$23-EM!$B$16+33,EM!$AF$16-EM!$B$16)),0)+
IF(ROUND(F$11,0)&gt;=35,OFFSET(EM!$B$17,ROW($A26)-ROW($A$26)+(ROW(EM!$C$46)-ROW(EM!$C$14))*(MATCH(F$22,EM!$B$6:$B$9,0)-1),MIN(F$23-EM!$B$16+34,EM!$AF$16-EM!$B$16)),0)+
IF(ROUND(F$11,0)&gt;=36,OFFSET(EM!$B$17,ROW($A26)-ROW($A$26)+(ROW(EM!$C$46)-ROW(EM!$C$14))*(MATCH(F$22,EM!$B$6:$B$9,0)-1),MIN(F$23-EM!$B$16+35,EM!$AF$16-EM!$B$16)),0)+
IF(ROUND(F$11,0)&gt;=37,OFFSET(EM!$B$17,ROW($A26)-ROW($A$26)+(ROW(EM!$C$46)-ROW(EM!$C$14))*(MATCH(F$22,EM!$B$6:$B$9,0)-1),MIN(F$23-EM!$B$16+36,EM!$AF$16-EM!$B$16)),0)+
IF(ROUND(F$11,0)&gt;=38,OFFSET(EM!$B$17,ROW($A26)-ROW($A$26)+(ROW(EM!$C$46)-ROW(EM!$C$14))*(MATCH(F$22,EM!$B$6:$B$9,0)-1),MIN(F$23-EM!$B$16+37,EM!$AF$16-EM!$B$16)),0)+
IF(ROUND(F$11,0)&gt;=39,OFFSET(EM!$B$17,ROW($A26)-ROW($A$26)+(ROW(EM!$C$46)-ROW(EM!$C$14))*(MATCH(F$22,EM!$B$6:$B$9,0)-1),MIN(F$23-EM!$B$16+38,EM!$AF$16-EM!$B$16)),0)+
IF(ROUND(F$11,0)&gt;=40,OFFSET(EM!$B$17,ROW($A26)-ROW($A$26)+(ROW(EM!$C$46)-ROW(EM!$C$14))*(MATCH(F$22,EM!$B$6:$B$9,0)-1),MIN(F$23-EM!$B$16+39,EM!$AF$16-EM!$B$16)),0)
)/ROUND(F$11,0),NA()))</f>
        <v>5.0412668060949824E-3</v>
      </c>
      <c r="G26" s="2046">
        <f ca="1">IF(G$19=GPG!$A$28,IF(ROW(G26)-ROW(G$26)+1=MATCH(G$20,GPG!$A$5:$A$11,0),1,0),
IF(G$19=GPG!$A$29,
(IF(ROUND(G$11,0)&gt;=1,OFFSET(EM!$B$17,ROW($A26)-ROW($A$26)+(ROW(EM!$C$46)-ROW(EM!$C$14))*(MATCH(G$22,EM!$B$6:$B$9,0)-1),MIN(G$23-EM!$B$16,EM!$AF$16-EM!$B$16)),0)+
IF(ROUND(G$11,0)&gt;=2,OFFSET(EM!$B$17,ROW($A26)-ROW($A$26)+(ROW(EM!$C$46)-ROW(EM!$C$14))*(MATCH(G$22,EM!$B$6:$B$9,0)-1),MIN(G$23-EM!$B$16+1,EM!$AF$16-EM!$B$16)),0)+
IF(ROUND(G$11,0)&gt;=3,OFFSET(EM!$B$17,ROW($A26)-ROW($A$26)+(ROW(EM!$C$46)-ROW(EM!$C$14))*(MATCH(G$22,EM!$B$6:$B$9,0)-1),MIN(G$23-EM!$B$16+2,EM!$AF$16-EM!$B$16)),0)+
IF(ROUND(G$11,0)&gt;=4,OFFSET(EM!$B$17,ROW($A26)-ROW($A$26)+(ROW(EM!$C$46)-ROW(EM!$C$14))*(MATCH(G$22,EM!$B$6:$B$9,0)-1),MIN(G$23-EM!$B$16+3,EM!$AF$16-EM!$B$16)),0)+
IF(ROUND(G$11,0)&gt;=5,OFFSET(EM!$B$17,ROW($A26)-ROW($A$26)+(ROW(EM!$C$46)-ROW(EM!$C$14))*(MATCH(G$22,EM!$B$6:$B$9,0)-1),MIN(G$23-EM!$B$16+4,EM!$AF$16-EM!$B$16)),0)+
IF(ROUND(G$11,0)&gt;=6,OFFSET(EM!$B$17,ROW($A26)-ROW($A$26)+(ROW(EM!$C$46)-ROW(EM!$C$14))*(MATCH(G$22,EM!$B$6:$B$9,0)-1),MIN(G$23-EM!$B$16+5,EM!$AF$16-EM!$B$16)),0)+
IF(ROUND(G$11,0)&gt;=7,OFFSET(EM!$B$17,ROW($A26)-ROW($A$26)+(ROW(EM!$C$46)-ROW(EM!$C$14))*(MATCH(G$22,EM!$B$6:$B$9,0)-1),MIN(G$23-EM!$B$16+6,EM!$AF$16-EM!$B$16)),0)+
IF(ROUND(G$11,0)&gt;=8,OFFSET(EM!$B$17,ROW($A26)-ROW($A$26)+(ROW(EM!$C$46)-ROW(EM!$C$14))*(MATCH(G$22,EM!$B$6:$B$9,0)-1),MIN(G$23-EM!$B$16+7,EM!$AF$16-EM!$B$16)),0)+
IF(ROUND(G$11,0)&gt;=9,OFFSET(EM!$B$17,ROW($A26)-ROW($A$26)+(ROW(EM!$C$46)-ROW(EM!$C$14))*(MATCH(G$22,EM!$B$6:$B$9,0)-1),MIN(G$23-EM!$B$16+8,EM!$AF$16-EM!$B$16)),0)+
IF(ROUND(G$11,0)&gt;=10,OFFSET(EM!$B$17,ROW($A26)-ROW($A$26)+(ROW(EM!$C$46)-ROW(EM!$C$14))*(MATCH(G$22,EM!$B$6:$B$9,0)-1),MIN(G$23-EM!$B$16+9,EM!$AF$16-EM!$B$16)),0)+
IF(ROUND(G$11,0)&gt;=11,OFFSET(EM!$B$17,ROW($A26)-ROW($A$26)+(ROW(EM!$C$46)-ROW(EM!$C$14))*(MATCH(G$22,EM!$B$6:$B$9,0)-1),MIN(G$23-EM!$B$16+10,EM!$AF$16-EM!$B$16)),0)+
IF(ROUND(G$11,0)&gt;=12,OFFSET(EM!$B$17,ROW($A26)-ROW($A$26)+(ROW(EM!$C$46)-ROW(EM!$C$14))*(MATCH(G$22,EM!$B$6:$B$9,0)-1),MIN(G$23-EM!$B$16+11,EM!$AF$16-EM!$B$16)),0)+
IF(ROUND(G$11,0)&gt;=13,OFFSET(EM!$B$17,ROW($A26)-ROW($A$26)+(ROW(EM!$C$46)-ROW(EM!$C$14))*(MATCH(G$22,EM!$B$6:$B$9,0)-1),MIN(G$23-EM!$B$16+12,EM!$AF$16-EM!$B$16)),0)+
IF(ROUND(G$11,0)&gt;=14,OFFSET(EM!$B$17,ROW($A26)-ROW($A$26)+(ROW(EM!$C$46)-ROW(EM!$C$14))*(MATCH(G$22,EM!$B$6:$B$9,0)-1),MIN(G$23-EM!$B$16+13,EM!$AF$16-EM!$B$16)),0)+
IF(ROUND(G$11,0)&gt;=15,OFFSET(EM!$B$17,ROW($A26)-ROW($A$26)+(ROW(EM!$C$46)-ROW(EM!$C$14))*(MATCH(G$22,EM!$B$6:$B$9,0)-1),MIN(G$23-EM!$B$16+14,EM!$AF$16-EM!$B$16)),0)+
IF(ROUND(G$11,0)&gt;=16,OFFSET(EM!$B$17,ROW($A26)-ROW($A$26)+(ROW(EM!$C$46)-ROW(EM!$C$14))*(MATCH(G$22,EM!$B$6:$B$9,0)-1),MIN(G$23-EM!$B$16+15,EM!$AF$16-EM!$B$16)),0)+
IF(ROUND(G$11,0)&gt;=17,OFFSET(EM!$B$17,ROW($A26)-ROW($A$26)+(ROW(EM!$C$46)-ROW(EM!$C$14))*(MATCH(G$22,EM!$B$6:$B$9,0)-1),MIN(G$23-EM!$B$16+16,EM!$AF$16-EM!$B$16)),0)+
IF(ROUND(G$11,0)&gt;=18,OFFSET(EM!$B$17,ROW($A26)-ROW($A$26)+(ROW(EM!$C$46)-ROW(EM!$C$14))*(MATCH(G$22,EM!$B$6:$B$9,0)-1),MIN(G$23-EM!$B$16+17,EM!$AF$16-EM!$B$16)),0)+
IF(ROUND(G$11,0)&gt;=19,OFFSET(EM!$B$17,ROW($A26)-ROW($A$26)+(ROW(EM!$C$46)-ROW(EM!$C$14))*(MATCH(G$22,EM!$B$6:$B$9,0)-1),MIN(G$23-EM!$B$16+18,EM!$AF$16-EM!$B$16)),0)+
IF(ROUND(G$11,0)&gt;=20,OFFSET(EM!$B$17,ROW($A26)-ROW($A$26)+(ROW(EM!$C$46)-ROW(EM!$C$14))*(MATCH(G$22,EM!$B$6:$B$9,0)-1),MIN(G$23-EM!$B$16+19,EM!$AF$16-EM!$B$16)),0)+
IF(ROUND(G$11,0)&gt;=21,OFFSET(EM!$B$17,ROW($A26)-ROW($A$26)+(ROW(EM!$C$46)-ROW(EM!$C$14))*(MATCH(G$22,EM!$B$6:$B$9,0)-1),MIN(G$23-EM!$B$16+20,EM!$AF$16-EM!$B$16)),0)+
IF(ROUND(G$11,0)&gt;=22,OFFSET(EM!$B$17,ROW($A26)-ROW($A$26)+(ROW(EM!$C$46)-ROW(EM!$C$14))*(MATCH(G$22,EM!$B$6:$B$9,0)-1),MIN(G$23-EM!$B$16+21,EM!$AF$16-EM!$B$16)),0)+
IF(ROUND(G$11,0)&gt;=23,OFFSET(EM!$B$17,ROW($A26)-ROW($A$26)+(ROW(EM!$C$46)-ROW(EM!$C$14))*(MATCH(G$22,EM!$B$6:$B$9,0)-1),MIN(G$23-EM!$B$16+22,EM!$AF$16-EM!$B$16)),0)+
IF(ROUND(G$11,0)&gt;=24,OFFSET(EM!$B$17,ROW($A26)-ROW($A$26)+(ROW(EM!$C$46)-ROW(EM!$C$14))*(MATCH(G$22,EM!$B$6:$B$9,0)-1),MIN(G$23-EM!$B$16+23,EM!$AF$16-EM!$B$16)),0)+
IF(ROUND(G$11,0)&gt;=25,OFFSET(EM!$B$17,ROW($A26)-ROW($A$26)+(ROW(EM!$C$46)-ROW(EM!$C$14))*(MATCH(G$22,EM!$B$6:$B$9,0)-1),MIN(G$23-EM!$B$16+24,EM!$AF$16-EM!$B$16)),0)+
IF(ROUND(G$11,0)&gt;=26,OFFSET(EM!$B$17,ROW($A26)-ROW($A$26)+(ROW(EM!$C$46)-ROW(EM!$C$14))*(MATCH(G$22,EM!$B$6:$B$9,0)-1),MIN(G$23-EM!$B$16+25,EM!$AF$16-EM!$B$16)),0)+
IF(ROUND(G$11,0)&gt;=27,OFFSET(EM!$B$17,ROW($A26)-ROW($A$26)+(ROW(EM!$C$46)-ROW(EM!$C$14))*(MATCH(G$22,EM!$B$6:$B$9,0)-1),MIN(G$23-EM!$B$16+26,EM!$AF$16-EM!$B$16)),0)+
IF(ROUND(G$11,0)&gt;=28,OFFSET(EM!$B$17,ROW($A26)-ROW($A$26)+(ROW(EM!$C$46)-ROW(EM!$C$14))*(MATCH(G$22,EM!$B$6:$B$9,0)-1),MIN(G$23-EM!$B$16+27,EM!$AF$16-EM!$B$16)),0)+
IF(ROUND(G$11,0)&gt;=29,OFFSET(EM!$B$17,ROW($A26)-ROW($A$26)+(ROW(EM!$C$46)-ROW(EM!$C$14))*(MATCH(G$22,EM!$B$6:$B$9,0)-1),MIN(G$23-EM!$B$16+28,EM!$AF$16-EM!$B$16)),0)+
IF(ROUND(G$11,0)&gt;=30,OFFSET(EM!$B$17,ROW($A26)-ROW($A$26)+(ROW(EM!$C$46)-ROW(EM!$C$14))*(MATCH(G$22,EM!$B$6:$B$9,0)-1),MIN(G$23-EM!$B$16+29,EM!$AF$16-EM!$B$16)),0)+
IF(ROUND(G$11,0)&gt;=31,OFFSET(EM!$B$17,ROW($A26)-ROW($A$26)+(ROW(EM!$C$46)-ROW(EM!$C$14))*(MATCH(G$22,EM!$B$6:$B$9,0)-1),MIN(G$23-EM!$B$16+30,EM!$AF$16-EM!$B$16)),0)+
IF(ROUND(G$11,0)&gt;=32,OFFSET(EM!$B$17,ROW($A26)-ROW($A$26)+(ROW(EM!$C$46)-ROW(EM!$C$14))*(MATCH(G$22,EM!$B$6:$B$9,0)-1),MIN(G$23-EM!$B$16+31,EM!$AF$16-EM!$B$16)),0)+
IF(ROUND(G$11,0)&gt;=33,OFFSET(EM!$B$17,ROW($A26)-ROW($A$26)+(ROW(EM!$C$46)-ROW(EM!$C$14))*(MATCH(G$22,EM!$B$6:$B$9,0)-1),MIN(G$23-EM!$B$16+32,EM!$AF$16-EM!$B$16)),0)+
IF(ROUND(G$11,0)&gt;=34,OFFSET(EM!$B$17,ROW($A26)-ROW($A$26)+(ROW(EM!$C$46)-ROW(EM!$C$14))*(MATCH(G$22,EM!$B$6:$B$9,0)-1),MIN(G$23-EM!$B$16+33,EM!$AF$16-EM!$B$16)),0)+
IF(ROUND(G$11,0)&gt;=35,OFFSET(EM!$B$17,ROW($A26)-ROW($A$26)+(ROW(EM!$C$46)-ROW(EM!$C$14))*(MATCH(G$22,EM!$B$6:$B$9,0)-1),MIN(G$23-EM!$B$16+34,EM!$AF$16-EM!$B$16)),0)+
IF(ROUND(G$11,0)&gt;=36,OFFSET(EM!$B$17,ROW($A26)-ROW($A$26)+(ROW(EM!$C$46)-ROW(EM!$C$14))*(MATCH(G$22,EM!$B$6:$B$9,0)-1),MIN(G$23-EM!$B$16+35,EM!$AF$16-EM!$B$16)),0)+
IF(ROUND(G$11,0)&gt;=37,OFFSET(EM!$B$17,ROW($A26)-ROW($A$26)+(ROW(EM!$C$46)-ROW(EM!$C$14))*(MATCH(G$22,EM!$B$6:$B$9,0)-1),MIN(G$23-EM!$B$16+36,EM!$AF$16-EM!$B$16)),0)+
IF(ROUND(G$11,0)&gt;=38,OFFSET(EM!$B$17,ROW($A26)-ROW($A$26)+(ROW(EM!$C$46)-ROW(EM!$C$14))*(MATCH(G$22,EM!$B$6:$B$9,0)-1),MIN(G$23-EM!$B$16+37,EM!$AF$16-EM!$B$16)),0)+
IF(ROUND(G$11,0)&gt;=39,OFFSET(EM!$B$17,ROW($A26)-ROW($A$26)+(ROW(EM!$C$46)-ROW(EM!$C$14))*(MATCH(G$22,EM!$B$6:$B$9,0)-1),MIN(G$23-EM!$B$16+38,EM!$AF$16-EM!$B$16)),0)+
IF(ROUND(G$11,0)&gt;=40,OFFSET(EM!$B$17,ROW($A26)-ROW($A$26)+(ROW(EM!$C$46)-ROW(EM!$C$14))*(MATCH(G$22,EM!$B$6:$B$9,0)-1),MIN(G$23-EM!$B$16+39,EM!$AF$16-EM!$B$16)),0)
)/ROUND(G$11,0),NA()))</f>
        <v>5.5691024905939954E-3</v>
      </c>
      <c r="H26" s="2046">
        <f ca="1">IF(H$19=GPG!$A$28,IF(ROW(H26)-ROW(H$26)+1=MATCH(H$20,GPG!$A$5:$A$11,0),1,0),
IF(H$19=GPG!$A$29,
(IF(ROUND(H$11,0)&gt;=1,OFFSET(EM!$B$17,ROW($A26)-ROW($A$26)+(ROW(EM!$C$46)-ROW(EM!$C$14))*(MATCH(H$22,EM!$B$6:$B$9,0)-1),MIN(H$23-EM!$B$16,EM!$AF$16-EM!$B$16)),0)+
IF(ROUND(H$11,0)&gt;=2,OFFSET(EM!$B$17,ROW($A26)-ROW($A$26)+(ROW(EM!$C$46)-ROW(EM!$C$14))*(MATCH(H$22,EM!$B$6:$B$9,0)-1),MIN(H$23-EM!$B$16+1,EM!$AF$16-EM!$B$16)),0)+
IF(ROUND(H$11,0)&gt;=3,OFFSET(EM!$B$17,ROW($A26)-ROW($A$26)+(ROW(EM!$C$46)-ROW(EM!$C$14))*(MATCH(H$22,EM!$B$6:$B$9,0)-1),MIN(H$23-EM!$B$16+2,EM!$AF$16-EM!$B$16)),0)+
IF(ROUND(H$11,0)&gt;=4,OFFSET(EM!$B$17,ROW($A26)-ROW($A$26)+(ROW(EM!$C$46)-ROW(EM!$C$14))*(MATCH(H$22,EM!$B$6:$B$9,0)-1),MIN(H$23-EM!$B$16+3,EM!$AF$16-EM!$B$16)),0)+
IF(ROUND(H$11,0)&gt;=5,OFFSET(EM!$B$17,ROW($A26)-ROW($A$26)+(ROW(EM!$C$46)-ROW(EM!$C$14))*(MATCH(H$22,EM!$B$6:$B$9,0)-1),MIN(H$23-EM!$B$16+4,EM!$AF$16-EM!$B$16)),0)+
IF(ROUND(H$11,0)&gt;=6,OFFSET(EM!$B$17,ROW($A26)-ROW($A$26)+(ROW(EM!$C$46)-ROW(EM!$C$14))*(MATCH(H$22,EM!$B$6:$B$9,0)-1),MIN(H$23-EM!$B$16+5,EM!$AF$16-EM!$B$16)),0)+
IF(ROUND(H$11,0)&gt;=7,OFFSET(EM!$B$17,ROW($A26)-ROW($A$26)+(ROW(EM!$C$46)-ROW(EM!$C$14))*(MATCH(H$22,EM!$B$6:$B$9,0)-1),MIN(H$23-EM!$B$16+6,EM!$AF$16-EM!$B$16)),0)+
IF(ROUND(H$11,0)&gt;=8,OFFSET(EM!$B$17,ROW($A26)-ROW($A$26)+(ROW(EM!$C$46)-ROW(EM!$C$14))*(MATCH(H$22,EM!$B$6:$B$9,0)-1),MIN(H$23-EM!$B$16+7,EM!$AF$16-EM!$B$16)),0)+
IF(ROUND(H$11,0)&gt;=9,OFFSET(EM!$B$17,ROW($A26)-ROW($A$26)+(ROW(EM!$C$46)-ROW(EM!$C$14))*(MATCH(H$22,EM!$B$6:$B$9,0)-1),MIN(H$23-EM!$B$16+8,EM!$AF$16-EM!$B$16)),0)+
IF(ROUND(H$11,0)&gt;=10,OFFSET(EM!$B$17,ROW($A26)-ROW($A$26)+(ROW(EM!$C$46)-ROW(EM!$C$14))*(MATCH(H$22,EM!$B$6:$B$9,0)-1),MIN(H$23-EM!$B$16+9,EM!$AF$16-EM!$B$16)),0)+
IF(ROUND(H$11,0)&gt;=11,OFFSET(EM!$B$17,ROW($A26)-ROW($A$26)+(ROW(EM!$C$46)-ROW(EM!$C$14))*(MATCH(H$22,EM!$B$6:$B$9,0)-1),MIN(H$23-EM!$B$16+10,EM!$AF$16-EM!$B$16)),0)+
IF(ROUND(H$11,0)&gt;=12,OFFSET(EM!$B$17,ROW($A26)-ROW($A$26)+(ROW(EM!$C$46)-ROW(EM!$C$14))*(MATCH(H$22,EM!$B$6:$B$9,0)-1),MIN(H$23-EM!$B$16+11,EM!$AF$16-EM!$B$16)),0)+
IF(ROUND(H$11,0)&gt;=13,OFFSET(EM!$B$17,ROW($A26)-ROW($A$26)+(ROW(EM!$C$46)-ROW(EM!$C$14))*(MATCH(H$22,EM!$B$6:$B$9,0)-1),MIN(H$23-EM!$B$16+12,EM!$AF$16-EM!$B$16)),0)+
IF(ROUND(H$11,0)&gt;=14,OFFSET(EM!$B$17,ROW($A26)-ROW($A$26)+(ROW(EM!$C$46)-ROW(EM!$C$14))*(MATCH(H$22,EM!$B$6:$B$9,0)-1),MIN(H$23-EM!$B$16+13,EM!$AF$16-EM!$B$16)),0)+
IF(ROUND(H$11,0)&gt;=15,OFFSET(EM!$B$17,ROW($A26)-ROW($A$26)+(ROW(EM!$C$46)-ROW(EM!$C$14))*(MATCH(H$22,EM!$B$6:$B$9,0)-1),MIN(H$23-EM!$B$16+14,EM!$AF$16-EM!$B$16)),0)+
IF(ROUND(H$11,0)&gt;=16,OFFSET(EM!$B$17,ROW($A26)-ROW($A$26)+(ROW(EM!$C$46)-ROW(EM!$C$14))*(MATCH(H$22,EM!$B$6:$B$9,0)-1),MIN(H$23-EM!$B$16+15,EM!$AF$16-EM!$B$16)),0)+
IF(ROUND(H$11,0)&gt;=17,OFFSET(EM!$B$17,ROW($A26)-ROW($A$26)+(ROW(EM!$C$46)-ROW(EM!$C$14))*(MATCH(H$22,EM!$B$6:$B$9,0)-1),MIN(H$23-EM!$B$16+16,EM!$AF$16-EM!$B$16)),0)+
IF(ROUND(H$11,0)&gt;=18,OFFSET(EM!$B$17,ROW($A26)-ROW($A$26)+(ROW(EM!$C$46)-ROW(EM!$C$14))*(MATCH(H$22,EM!$B$6:$B$9,0)-1),MIN(H$23-EM!$B$16+17,EM!$AF$16-EM!$B$16)),0)+
IF(ROUND(H$11,0)&gt;=19,OFFSET(EM!$B$17,ROW($A26)-ROW($A$26)+(ROW(EM!$C$46)-ROW(EM!$C$14))*(MATCH(H$22,EM!$B$6:$B$9,0)-1),MIN(H$23-EM!$B$16+18,EM!$AF$16-EM!$B$16)),0)+
IF(ROUND(H$11,0)&gt;=20,OFFSET(EM!$B$17,ROW($A26)-ROW($A$26)+(ROW(EM!$C$46)-ROW(EM!$C$14))*(MATCH(H$22,EM!$B$6:$B$9,0)-1),MIN(H$23-EM!$B$16+19,EM!$AF$16-EM!$B$16)),0)+
IF(ROUND(H$11,0)&gt;=21,OFFSET(EM!$B$17,ROW($A26)-ROW($A$26)+(ROW(EM!$C$46)-ROW(EM!$C$14))*(MATCH(H$22,EM!$B$6:$B$9,0)-1),MIN(H$23-EM!$B$16+20,EM!$AF$16-EM!$B$16)),0)+
IF(ROUND(H$11,0)&gt;=22,OFFSET(EM!$B$17,ROW($A26)-ROW($A$26)+(ROW(EM!$C$46)-ROW(EM!$C$14))*(MATCH(H$22,EM!$B$6:$B$9,0)-1),MIN(H$23-EM!$B$16+21,EM!$AF$16-EM!$B$16)),0)+
IF(ROUND(H$11,0)&gt;=23,OFFSET(EM!$B$17,ROW($A26)-ROW($A$26)+(ROW(EM!$C$46)-ROW(EM!$C$14))*(MATCH(H$22,EM!$B$6:$B$9,0)-1),MIN(H$23-EM!$B$16+22,EM!$AF$16-EM!$B$16)),0)+
IF(ROUND(H$11,0)&gt;=24,OFFSET(EM!$B$17,ROW($A26)-ROW($A$26)+(ROW(EM!$C$46)-ROW(EM!$C$14))*(MATCH(H$22,EM!$B$6:$B$9,0)-1),MIN(H$23-EM!$B$16+23,EM!$AF$16-EM!$B$16)),0)+
IF(ROUND(H$11,0)&gt;=25,OFFSET(EM!$B$17,ROW($A26)-ROW($A$26)+(ROW(EM!$C$46)-ROW(EM!$C$14))*(MATCH(H$22,EM!$B$6:$B$9,0)-1),MIN(H$23-EM!$B$16+24,EM!$AF$16-EM!$B$16)),0)+
IF(ROUND(H$11,0)&gt;=26,OFFSET(EM!$B$17,ROW($A26)-ROW($A$26)+(ROW(EM!$C$46)-ROW(EM!$C$14))*(MATCH(H$22,EM!$B$6:$B$9,0)-1),MIN(H$23-EM!$B$16+25,EM!$AF$16-EM!$B$16)),0)+
IF(ROUND(H$11,0)&gt;=27,OFFSET(EM!$B$17,ROW($A26)-ROW($A$26)+(ROW(EM!$C$46)-ROW(EM!$C$14))*(MATCH(H$22,EM!$B$6:$B$9,0)-1),MIN(H$23-EM!$B$16+26,EM!$AF$16-EM!$B$16)),0)+
IF(ROUND(H$11,0)&gt;=28,OFFSET(EM!$B$17,ROW($A26)-ROW($A$26)+(ROW(EM!$C$46)-ROW(EM!$C$14))*(MATCH(H$22,EM!$B$6:$B$9,0)-1),MIN(H$23-EM!$B$16+27,EM!$AF$16-EM!$B$16)),0)+
IF(ROUND(H$11,0)&gt;=29,OFFSET(EM!$B$17,ROW($A26)-ROW($A$26)+(ROW(EM!$C$46)-ROW(EM!$C$14))*(MATCH(H$22,EM!$B$6:$B$9,0)-1),MIN(H$23-EM!$B$16+28,EM!$AF$16-EM!$B$16)),0)+
IF(ROUND(H$11,0)&gt;=30,OFFSET(EM!$B$17,ROW($A26)-ROW($A$26)+(ROW(EM!$C$46)-ROW(EM!$C$14))*(MATCH(H$22,EM!$B$6:$B$9,0)-1),MIN(H$23-EM!$B$16+29,EM!$AF$16-EM!$B$16)),0)+
IF(ROUND(H$11,0)&gt;=31,OFFSET(EM!$B$17,ROW($A26)-ROW($A$26)+(ROW(EM!$C$46)-ROW(EM!$C$14))*(MATCH(H$22,EM!$B$6:$B$9,0)-1),MIN(H$23-EM!$B$16+30,EM!$AF$16-EM!$B$16)),0)+
IF(ROUND(H$11,0)&gt;=32,OFFSET(EM!$B$17,ROW($A26)-ROW($A$26)+(ROW(EM!$C$46)-ROW(EM!$C$14))*(MATCH(H$22,EM!$B$6:$B$9,0)-1),MIN(H$23-EM!$B$16+31,EM!$AF$16-EM!$B$16)),0)+
IF(ROUND(H$11,0)&gt;=33,OFFSET(EM!$B$17,ROW($A26)-ROW($A$26)+(ROW(EM!$C$46)-ROW(EM!$C$14))*(MATCH(H$22,EM!$B$6:$B$9,0)-1),MIN(H$23-EM!$B$16+32,EM!$AF$16-EM!$B$16)),0)+
IF(ROUND(H$11,0)&gt;=34,OFFSET(EM!$B$17,ROW($A26)-ROW($A$26)+(ROW(EM!$C$46)-ROW(EM!$C$14))*(MATCH(H$22,EM!$B$6:$B$9,0)-1),MIN(H$23-EM!$B$16+33,EM!$AF$16-EM!$B$16)),0)+
IF(ROUND(H$11,0)&gt;=35,OFFSET(EM!$B$17,ROW($A26)-ROW($A$26)+(ROW(EM!$C$46)-ROW(EM!$C$14))*(MATCH(H$22,EM!$B$6:$B$9,0)-1),MIN(H$23-EM!$B$16+34,EM!$AF$16-EM!$B$16)),0)+
IF(ROUND(H$11,0)&gt;=36,OFFSET(EM!$B$17,ROW($A26)-ROW($A$26)+(ROW(EM!$C$46)-ROW(EM!$C$14))*(MATCH(H$22,EM!$B$6:$B$9,0)-1),MIN(H$23-EM!$B$16+35,EM!$AF$16-EM!$B$16)),0)+
IF(ROUND(H$11,0)&gt;=37,OFFSET(EM!$B$17,ROW($A26)-ROW($A$26)+(ROW(EM!$C$46)-ROW(EM!$C$14))*(MATCH(H$22,EM!$B$6:$B$9,0)-1),MIN(H$23-EM!$B$16+36,EM!$AF$16-EM!$B$16)),0)+
IF(ROUND(H$11,0)&gt;=38,OFFSET(EM!$B$17,ROW($A26)-ROW($A$26)+(ROW(EM!$C$46)-ROW(EM!$C$14))*(MATCH(H$22,EM!$B$6:$B$9,0)-1),MIN(H$23-EM!$B$16+37,EM!$AF$16-EM!$B$16)),0)+
IF(ROUND(H$11,0)&gt;=39,OFFSET(EM!$B$17,ROW($A26)-ROW($A$26)+(ROW(EM!$C$46)-ROW(EM!$C$14))*(MATCH(H$22,EM!$B$6:$B$9,0)-1),MIN(H$23-EM!$B$16+38,EM!$AF$16-EM!$B$16)),0)+
IF(ROUND(H$11,0)&gt;=40,OFFSET(EM!$B$17,ROW($A26)-ROW($A$26)+(ROW(EM!$C$46)-ROW(EM!$C$14))*(MATCH(H$22,EM!$B$6:$B$9,0)-1),MIN(H$23-EM!$B$16+39,EM!$AF$16-EM!$B$16)),0)
)/ROUND(H$11,0),NA()))</f>
        <v>5.0412668060949815E-3</v>
      </c>
      <c r="I26" s="2046">
        <f ca="1">IF(I$19=GPG!$A$28,IF(ROW(I26)-ROW(I$26)+1=MATCH(I$20,GPG!$A$5:$A$11,0),1,0),
IF(I$19=GPG!$A$29,
(IF(ROUND(I$11,0)&gt;=1,OFFSET(EM!$B$17,ROW($A26)-ROW($A$26)+(ROW(EM!$C$46)-ROW(EM!$C$14))*(MATCH(I$22,EM!$B$6:$B$9,0)-1),MIN(I$23-EM!$B$16,EM!$AF$16-EM!$B$16)),0)+
IF(ROUND(I$11,0)&gt;=2,OFFSET(EM!$B$17,ROW($A26)-ROW($A$26)+(ROW(EM!$C$46)-ROW(EM!$C$14))*(MATCH(I$22,EM!$B$6:$B$9,0)-1),MIN(I$23-EM!$B$16+1,EM!$AF$16-EM!$B$16)),0)+
IF(ROUND(I$11,0)&gt;=3,OFFSET(EM!$B$17,ROW($A26)-ROW($A$26)+(ROW(EM!$C$46)-ROW(EM!$C$14))*(MATCH(I$22,EM!$B$6:$B$9,0)-1),MIN(I$23-EM!$B$16+2,EM!$AF$16-EM!$B$16)),0)+
IF(ROUND(I$11,0)&gt;=4,OFFSET(EM!$B$17,ROW($A26)-ROW($A$26)+(ROW(EM!$C$46)-ROW(EM!$C$14))*(MATCH(I$22,EM!$B$6:$B$9,0)-1),MIN(I$23-EM!$B$16+3,EM!$AF$16-EM!$B$16)),0)+
IF(ROUND(I$11,0)&gt;=5,OFFSET(EM!$B$17,ROW($A26)-ROW($A$26)+(ROW(EM!$C$46)-ROW(EM!$C$14))*(MATCH(I$22,EM!$B$6:$B$9,0)-1),MIN(I$23-EM!$B$16+4,EM!$AF$16-EM!$B$16)),0)+
IF(ROUND(I$11,0)&gt;=6,OFFSET(EM!$B$17,ROW($A26)-ROW($A$26)+(ROW(EM!$C$46)-ROW(EM!$C$14))*(MATCH(I$22,EM!$B$6:$B$9,0)-1),MIN(I$23-EM!$B$16+5,EM!$AF$16-EM!$B$16)),0)+
IF(ROUND(I$11,0)&gt;=7,OFFSET(EM!$B$17,ROW($A26)-ROW($A$26)+(ROW(EM!$C$46)-ROW(EM!$C$14))*(MATCH(I$22,EM!$B$6:$B$9,0)-1),MIN(I$23-EM!$B$16+6,EM!$AF$16-EM!$B$16)),0)+
IF(ROUND(I$11,0)&gt;=8,OFFSET(EM!$B$17,ROW($A26)-ROW($A$26)+(ROW(EM!$C$46)-ROW(EM!$C$14))*(MATCH(I$22,EM!$B$6:$B$9,0)-1),MIN(I$23-EM!$B$16+7,EM!$AF$16-EM!$B$16)),0)+
IF(ROUND(I$11,0)&gt;=9,OFFSET(EM!$B$17,ROW($A26)-ROW($A$26)+(ROW(EM!$C$46)-ROW(EM!$C$14))*(MATCH(I$22,EM!$B$6:$B$9,0)-1),MIN(I$23-EM!$B$16+8,EM!$AF$16-EM!$B$16)),0)+
IF(ROUND(I$11,0)&gt;=10,OFFSET(EM!$B$17,ROW($A26)-ROW($A$26)+(ROW(EM!$C$46)-ROW(EM!$C$14))*(MATCH(I$22,EM!$B$6:$B$9,0)-1),MIN(I$23-EM!$B$16+9,EM!$AF$16-EM!$B$16)),0)+
IF(ROUND(I$11,0)&gt;=11,OFFSET(EM!$B$17,ROW($A26)-ROW($A$26)+(ROW(EM!$C$46)-ROW(EM!$C$14))*(MATCH(I$22,EM!$B$6:$B$9,0)-1),MIN(I$23-EM!$B$16+10,EM!$AF$16-EM!$B$16)),0)+
IF(ROUND(I$11,0)&gt;=12,OFFSET(EM!$B$17,ROW($A26)-ROW($A$26)+(ROW(EM!$C$46)-ROW(EM!$C$14))*(MATCH(I$22,EM!$B$6:$B$9,0)-1),MIN(I$23-EM!$B$16+11,EM!$AF$16-EM!$B$16)),0)+
IF(ROUND(I$11,0)&gt;=13,OFFSET(EM!$B$17,ROW($A26)-ROW($A$26)+(ROW(EM!$C$46)-ROW(EM!$C$14))*(MATCH(I$22,EM!$B$6:$B$9,0)-1),MIN(I$23-EM!$B$16+12,EM!$AF$16-EM!$B$16)),0)+
IF(ROUND(I$11,0)&gt;=14,OFFSET(EM!$B$17,ROW($A26)-ROW($A$26)+(ROW(EM!$C$46)-ROW(EM!$C$14))*(MATCH(I$22,EM!$B$6:$B$9,0)-1),MIN(I$23-EM!$B$16+13,EM!$AF$16-EM!$B$16)),0)+
IF(ROUND(I$11,0)&gt;=15,OFFSET(EM!$B$17,ROW($A26)-ROW($A$26)+(ROW(EM!$C$46)-ROW(EM!$C$14))*(MATCH(I$22,EM!$B$6:$B$9,0)-1),MIN(I$23-EM!$B$16+14,EM!$AF$16-EM!$B$16)),0)+
IF(ROUND(I$11,0)&gt;=16,OFFSET(EM!$B$17,ROW($A26)-ROW($A$26)+(ROW(EM!$C$46)-ROW(EM!$C$14))*(MATCH(I$22,EM!$B$6:$B$9,0)-1),MIN(I$23-EM!$B$16+15,EM!$AF$16-EM!$B$16)),0)+
IF(ROUND(I$11,0)&gt;=17,OFFSET(EM!$B$17,ROW($A26)-ROW($A$26)+(ROW(EM!$C$46)-ROW(EM!$C$14))*(MATCH(I$22,EM!$B$6:$B$9,0)-1),MIN(I$23-EM!$B$16+16,EM!$AF$16-EM!$B$16)),0)+
IF(ROUND(I$11,0)&gt;=18,OFFSET(EM!$B$17,ROW($A26)-ROW($A$26)+(ROW(EM!$C$46)-ROW(EM!$C$14))*(MATCH(I$22,EM!$B$6:$B$9,0)-1),MIN(I$23-EM!$B$16+17,EM!$AF$16-EM!$B$16)),0)+
IF(ROUND(I$11,0)&gt;=19,OFFSET(EM!$B$17,ROW($A26)-ROW($A$26)+(ROW(EM!$C$46)-ROW(EM!$C$14))*(MATCH(I$22,EM!$B$6:$B$9,0)-1),MIN(I$23-EM!$B$16+18,EM!$AF$16-EM!$B$16)),0)+
IF(ROUND(I$11,0)&gt;=20,OFFSET(EM!$B$17,ROW($A26)-ROW($A$26)+(ROW(EM!$C$46)-ROW(EM!$C$14))*(MATCH(I$22,EM!$B$6:$B$9,0)-1),MIN(I$23-EM!$B$16+19,EM!$AF$16-EM!$B$16)),0)+
IF(ROUND(I$11,0)&gt;=21,OFFSET(EM!$B$17,ROW($A26)-ROW($A$26)+(ROW(EM!$C$46)-ROW(EM!$C$14))*(MATCH(I$22,EM!$B$6:$B$9,0)-1),MIN(I$23-EM!$B$16+20,EM!$AF$16-EM!$B$16)),0)+
IF(ROUND(I$11,0)&gt;=22,OFFSET(EM!$B$17,ROW($A26)-ROW($A$26)+(ROW(EM!$C$46)-ROW(EM!$C$14))*(MATCH(I$22,EM!$B$6:$B$9,0)-1),MIN(I$23-EM!$B$16+21,EM!$AF$16-EM!$B$16)),0)+
IF(ROUND(I$11,0)&gt;=23,OFFSET(EM!$B$17,ROW($A26)-ROW($A$26)+(ROW(EM!$C$46)-ROW(EM!$C$14))*(MATCH(I$22,EM!$B$6:$B$9,0)-1),MIN(I$23-EM!$B$16+22,EM!$AF$16-EM!$B$16)),0)+
IF(ROUND(I$11,0)&gt;=24,OFFSET(EM!$B$17,ROW($A26)-ROW($A$26)+(ROW(EM!$C$46)-ROW(EM!$C$14))*(MATCH(I$22,EM!$B$6:$B$9,0)-1),MIN(I$23-EM!$B$16+23,EM!$AF$16-EM!$B$16)),0)+
IF(ROUND(I$11,0)&gt;=25,OFFSET(EM!$B$17,ROW($A26)-ROW($A$26)+(ROW(EM!$C$46)-ROW(EM!$C$14))*(MATCH(I$22,EM!$B$6:$B$9,0)-1),MIN(I$23-EM!$B$16+24,EM!$AF$16-EM!$B$16)),0)+
IF(ROUND(I$11,0)&gt;=26,OFFSET(EM!$B$17,ROW($A26)-ROW($A$26)+(ROW(EM!$C$46)-ROW(EM!$C$14))*(MATCH(I$22,EM!$B$6:$B$9,0)-1),MIN(I$23-EM!$B$16+25,EM!$AF$16-EM!$B$16)),0)+
IF(ROUND(I$11,0)&gt;=27,OFFSET(EM!$B$17,ROW($A26)-ROW($A$26)+(ROW(EM!$C$46)-ROW(EM!$C$14))*(MATCH(I$22,EM!$B$6:$B$9,0)-1),MIN(I$23-EM!$B$16+26,EM!$AF$16-EM!$B$16)),0)+
IF(ROUND(I$11,0)&gt;=28,OFFSET(EM!$B$17,ROW($A26)-ROW($A$26)+(ROW(EM!$C$46)-ROW(EM!$C$14))*(MATCH(I$22,EM!$B$6:$B$9,0)-1),MIN(I$23-EM!$B$16+27,EM!$AF$16-EM!$B$16)),0)+
IF(ROUND(I$11,0)&gt;=29,OFFSET(EM!$B$17,ROW($A26)-ROW($A$26)+(ROW(EM!$C$46)-ROW(EM!$C$14))*(MATCH(I$22,EM!$B$6:$B$9,0)-1),MIN(I$23-EM!$B$16+28,EM!$AF$16-EM!$B$16)),0)+
IF(ROUND(I$11,0)&gt;=30,OFFSET(EM!$B$17,ROW($A26)-ROW($A$26)+(ROW(EM!$C$46)-ROW(EM!$C$14))*(MATCH(I$22,EM!$B$6:$B$9,0)-1),MIN(I$23-EM!$B$16+29,EM!$AF$16-EM!$B$16)),0)+
IF(ROUND(I$11,0)&gt;=31,OFFSET(EM!$B$17,ROW($A26)-ROW($A$26)+(ROW(EM!$C$46)-ROW(EM!$C$14))*(MATCH(I$22,EM!$B$6:$B$9,0)-1),MIN(I$23-EM!$B$16+30,EM!$AF$16-EM!$B$16)),0)+
IF(ROUND(I$11,0)&gt;=32,OFFSET(EM!$B$17,ROW($A26)-ROW($A$26)+(ROW(EM!$C$46)-ROW(EM!$C$14))*(MATCH(I$22,EM!$B$6:$B$9,0)-1),MIN(I$23-EM!$B$16+31,EM!$AF$16-EM!$B$16)),0)+
IF(ROUND(I$11,0)&gt;=33,OFFSET(EM!$B$17,ROW($A26)-ROW($A$26)+(ROW(EM!$C$46)-ROW(EM!$C$14))*(MATCH(I$22,EM!$B$6:$B$9,0)-1),MIN(I$23-EM!$B$16+32,EM!$AF$16-EM!$B$16)),0)+
IF(ROUND(I$11,0)&gt;=34,OFFSET(EM!$B$17,ROW($A26)-ROW($A$26)+(ROW(EM!$C$46)-ROW(EM!$C$14))*(MATCH(I$22,EM!$B$6:$B$9,0)-1),MIN(I$23-EM!$B$16+33,EM!$AF$16-EM!$B$16)),0)+
IF(ROUND(I$11,0)&gt;=35,OFFSET(EM!$B$17,ROW($A26)-ROW($A$26)+(ROW(EM!$C$46)-ROW(EM!$C$14))*(MATCH(I$22,EM!$B$6:$B$9,0)-1),MIN(I$23-EM!$B$16+34,EM!$AF$16-EM!$B$16)),0)+
IF(ROUND(I$11,0)&gt;=36,OFFSET(EM!$B$17,ROW($A26)-ROW($A$26)+(ROW(EM!$C$46)-ROW(EM!$C$14))*(MATCH(I$22,EM!$B$6:$B$9,0)-1),MIN(I$23-EM!$B$16+35,EM!$AF$16-EM!$B$16)),0)+
IF(ROUND(I$11,0)&gt;=37,OFFSET(EM!$B$17,ROW($A26)-ROW($A$26)+(ROW(EM!$C$46)-ROW(EM!$C$14))*(MATCH(I$22,EM!$B$6:$B$9,0)-1),MIN(I$23-EM!$B$16+36,EM!$AF$16-EM!$B$16)),0)+
IF(ROUND(I$11,0)&gt;=38,OFFSET(EM!$B$17,ROW($A26)-ROW($A$26)+(ROW(EM!$C$46)-ROW(EM!$C$14))*(MATCH(I$22,EM!$B$6:$B$9,0)-1),MIN(I$23-EM!$B$16+37,EM!$AF$16-EM!$B$16)),0)+
IF(ROUND(I$11,0)&gt;=39,OFFSET(EM!$B$17,ROW($A26)-ROW($A$26)+(ROW(EM!$C$46)-ROW(EM!$C$14))*(MATCH(I$22,EM!$B$6:$B$9,0)-1),MIN(I$23-EM!$B$16+38,EM!$AF$16-EM!$B$16)),0)+
IF(ROUND(I$11,0)&gt;=40,OFFSET(EM!$B$17,ROW($A26)-ROW($A$26)+(ROW(EM!$C$46)-ROW(EM!$C$14))*(MATCH(I$22,EM!$B$6:$B$9,0)-1),MIN(I$23-EM!$B$16+39,EM!$AF$16-EM!$B$16)),0)
)/ROUND(I$11,0),NA()))</f>
        <v>5.5691024905939954E-3</v>
      </c>
      <c r="J26" s="2046">
        <f ca="1">IF(J$19=GPG!$A$28,IF(ROW(J26)-ROW(J$26)+1=MATCH(J$20,GPG!$A$5:$A$11,0),1,0),
IF(J$19=GPG!$A$29,
(IF(ROUND(J$11,0)&gt;=1,OFFSET(EM!$B$17,ROW($A26)-ROW($A$26)+(ROW(EM!$C$46)-ROW(EM!$C$14))*(MATCH(J$22,EM!$B$6:$B$9,0)-1),MIN(J$23-EM!$B$16,EM!$AF$16-EM!$B$16)),0)+
IF(ROUND(J$11,0)&gt;=2,OFFSET(EM!$B$17,ROW($A26)-ROW($A$26)+(ROW(EM!$C$46)-ROW(EM!$C$14))*(MATCH(J$22,EM!$B$6:$B$9,0)-1),MIN(J$23-EM!$B$16+1,EM!$AF$16-EM!$B$16)),0)+
IF(ROUND(J$11,0)&gt;=3,OFFSET(EM!$B$17,ROW($A26)-ROW($A$26)+(ROW(EM!$C$46)-ROW(EM!$C$14))*(MATCH(J$22,EM!$B$6:$B$9,0)-1),MIN(J$23-EM!$B$16+2,EM!$AF$16-EM!$B$16)),0)+
IF(ROUND(J$11,0)&gt;=4,OFFSET(EM!$B$17,ROW($A26)-ROW($A$26)+(ROW(EM!$C$46)-ROW(EM!$C$14))*(MATCH(J$22,EM!$B$6:$B$9,0)-1),MIN(J$23-EM!$B$16+3,EM!$AF$16-EM!$B$16)),0)+
IF(ROUND(J$11,0)&gt;=5,OFFSET(EM!$B$17,ROW($A26)-ROW($A$26)+(ROW(EM!$C$46)-ROW(EM!$C$14))*(MATCH(J$22,EM!$B$6:$B$9,0)-1),MIN(J$23-EM!$B$16+4,EM!$AF$16-EM!$B$16)),0)+
IF(ROUND(J$11,0)&gt;=6,OFFSET(EM!$B$17,ROW($A26)-ROW($A$26)+(ROW(EM!$C$46)-ROW(EM!$C$14))*(MATCH(J$22,EM!$B$6:$B$9,0)-1),MIN(J$23-EM!$B$16+5,EM!$AF$16-EM!$B$16)),0)+
IF(ROUND(J$11,0)&gt;=7,OFFSET(EM!$B$17,ROW($A26)-ROW($A$26)+(ROW(EM!$C$46)-ROW(EM!$C$14))*(MATCH(J$22,EM!$B$6:$B$9,0)-1),MIN(J$23-EM!$B$16+6,EM!$AF$16-EM!$B$16)),0)+
IF(ROUND(J$11,0)&gt;=8,OFFSET(EM!$B$17,ROW($A26)-ROW($A$26)+(ROW(EM!$C$46)-ROW(EM!$C$14))*(MATCH(J$22,EM!$B$6:$B$9,0)-1),MIN(J$23-EM!$B$16+7,EM!$AF$16-EM!$B$16)),0)+
IF(ROUND(J$11,0)&gt;=9,OFFSET(EM!$B$17,ROW($A26)-ROW($A$26)+(ROW(EM!$C$46)-ROW(EM!$C$14))*(MATCH(J$22,EM!$B$6:$B$9,0)-1),MIN(J$23-EM!$B$16+8,EM!$AF$16-EM!$B$16)),0)+
IF(ROUND(J$11,0)&gt;=10,OFFSET(EM!$B$17,ROW($A26)-ROW($A$26)+(ROW(EM!$C$46)-ROW(EM!$C$14))*(MATCH(J$22,EM!$B$6:$B$9,0)-1),MIN(J$23-EM!$B$16+9,EM!$AF$16-EM!$B$16)),0)+
IF(ROUND(J$11,0)&gt;=11,OFFSET(EM!$B$17,ROW($A26)-ROW($A$26)+(ROW(EM!$C$46)-ROW(EM!$C$14))*(MATCH(J$22,EM!$B$6:$B$9,0)-1),MIN(J$23-EM!$B$16+10,EM!$AF$16-EM!$B$16)),0)+
IF(ROUND(J$11,0)&gt;=12,OFFSET(EM!$B$17,ROW($A26)-ROW($A$26)+(ROW(EM!$C$46)-ROW(EM!$C$14))*(MATCH(J$22,EM!$B$6:$B$9,0)-1),MIN(J$23-EM!$B$16+11,EM!$AF$16-EM!$B$16)),0)+
IF(ROUND(J$11,0)&gt;=13,OFFSET(EM!$B$17,ROW($A26)-ROW($A$26)+(ROW(EM!$C$46)-ROW(EM!$C$14))*(MATCH(J$22,EM!$B$6:$B$9,0)-1),MIN(J$23-EM!$B$16+12,EM!$AF$16-EM!$B$16)),0)+
IF(ROUND(J$11,0)&gt;=14,OFFSET(EM!$B$17,ROW($A26)-ROW($A$26)+(ROW(EM!$C$46)-ROW(EM!$C$14))*(MATCH(J$22,EM!$B$6:$B$9,0)-1),MIN(J$23-EM!$B$16+13,EM!$AF$16-EM!$B$16)),0)+
IF(ROUND(J$11,0)&gt;=15,OFFSET(EM!$B$17,ROW($A26)-ROW($A$26)+(ROW(EM!$C$46)-ROW(EM!$C$14))*(MATCH(J$22,EM!$B$6:$B$9,0)-1),MIN(J$23-EM!$B$16+14,EM!$AF$16-EM!$B$16)),0)+
IF(ROUND(J$11,0)&gt;=16,OFFSET(EM!$B$17,ROW($A26)-ROW($A$26)+(ROW(EM!$C$46)-ROW(EM!$C$14))*(MATCH(J$22,EM!$B$6:$B$9,0)-1),MIN(J$23-EM!$B$16+15,EM!$AF$16-EM!$B$16)),0)+
IF(ROUND(J$11,0)&gt;=17,OFFSET(EM!$B$17,ROW($A26)-ROW($A$26)+(ROW(EM!$C$46)-ROW(EM!$C$14))*(MATCH(J$22,EM!$B$6:$B$9,0)-1),MIN(J$23-EM!$B$16+16,EM!$AF$16-EM!$B$16)),0)+
IF(ROUND(J$11,0)&gt;=18,OFFSET(EM!$B$17,ROW($A26)-ROW($A$26)+(ROW(EM!$C$46)-ROW(EM!$C$14))*(MATCH(J$22,EM!$B$6:$B$9,0)-1),MIN(J$23-EM!$B$16+17,EM!$AF$16-EM!$B$16)),0)+
IF(ROUND(J$11,0)&gt;=19,OFFSET(EM!$B$17,ROW($A26)-ROW($A$26)+(ROW(EM!$C$46)-ROW(EM!$C$14))*(MATCH(J$22,EM!$B$6:$B$9,0)-1),MIN(J$23-EM!$B$16+18,EM!$AF$16-EM!$B$16)),0)+
IF(ROUND(J$11,0)&gt;=20,OFFSET(EM!$B$17,ROW($A26)-ROW($A$26)+(ROW(EM!$C$46)-ROW(EM!$C$14))*(MATCH(J$22,EM!$B$6:$B$9,0)-1),MIN(J$23-EM!$B$16+19,EM!$AF$16-EM!$B$16)),0)+
IF(ROUND(J$11,0)&gt;=21,OFFSET(EM!$B$17,ROW($A26)-ROW($A$26)+(ROW(EM!$C$46)-ROW(EM!$C$14))*(MATCH(J$22,EM!$B$6:$B$9,0)-1),MIN(J$23-EM!$B$16+20,EM!$AF$16-EM!$B$16)),0)+
IF(ROUND(J$11,0)&gt;=22,OFFSET(EM!$B$17,ROW($A26)-ROW($A$26)+(ROW(EM!$C$46)-ROW(EM!$C$14))*(MATCH(J$22,EM!$B$6:$B$9,0)-1),MIN(J$23-EM!$B$16+21,EM!$AF$16-EM!$B$16)),0)+
IF(ROUND(J$11,0)&gt;=23,OFFSET(EM!$B$17,ROW($A26)-ROW($A$26)+(ROW(EM!$C$46)-ROW(EM!$C$14))*(MATCH(J$22,EM!$B$6:$B$9,0)-1),MIN(J$23-EM!$B$16+22,EM!$AF$16-EM!$B$16)),0)+
IF(ROUND(J$11,0)&gt;=24,OFFSET(EM!$B$17,ROW($A26)-ROW($A$26)+(ROW(EM!$C$46)-ROW(EM!$C$14))*(MATCH(J$22,EM!$B$6:$B$9,0)-1),MIN(J$23-EM!$B$16+23,EM!$AF$16-EM!$B$16)),0)+
IF(ROUND(J$11,0)&gt;=25,OFFSET(EM!$B$17,ROW($A26)-ROW($A$26)+(ROW(EM!$C$46)-ROW(EM!$C$14))*(MATCH(J$22,EM!$B$6:$B$9,0)-1),MIN(J$23-EM!$B$16+24,EM!$AF$16-EM!$B$16)),0)+
IF(ROUND(J$11,0)&gt;=26,OFFSET(EM!$B$17,ROW($A26)-ROW($A$26)+(ROW(EM!$C$46)-ROW(EM!$C$14))*(MATCH(J$22,EM!$B$6:$B$9,0)-1),MIN(J$23-EM!$B$16+25,EM!$AF$16-EM!$B$16)),0)+
IF(ROUND(J$11,0)&gt;=27,OFFSET(EM!$B$17,ROW($A26)-ROW($A$26)+(ROW(EM!$C$46)-ROW(EM!$C$14))*(MATCH(J$22,EM!$B$6:$B$9,0)-1),MIN(J$23-EM!$B$16+26,EM!$AF$16-EM!$B$16)),0)+
IF(ROUND(J$11,0)&gt;=28,OFFSET(EM!$B$17,ROW($A26)-ROW($A$26)+(ROW(EM!$C$46)-ROW(EM!$C$14))*(MATCH(J$22,EM!$B$6:$B$9,0)-1),MIN(J$23-EM!$B$16+27,EM!$AF$16-EM!$B$16)),0)+
IF(ROUND(J$11,0)&gt;=29,OFFSET(EM!$B$17,ROW($A26)-ROW($A$26)+(ROW(EM!$C$46)-ROW(EM!$C$14))*(MATCH(J$22,EM!$B$6:$B$9,0)-1),MIN(J$23-EM!$B$16+28,EM!$AF$16-EM!$B$16)),0)+
IF(ROUND(J$11,0)&gt;=30,OFFSET(EM!$B$17,ROW($A26)-ROW($A$26)+(ROW(EM!$C$46)-ROW(EM!$C$14))*(MATCH(J$22,EM!$B$6:$B$9,0)-1),MIN(J$23-EM!$B$16+29,EM!$AF$16-EM!$B$16)),0)+
IF(ROUND(J$11,0)&gt;=31,OFFSET(EM!$B$17,ROW($A26)-ROW($A$26)+(ROW(EM!$C$46)-ROW(EM!$C$14))*(MATCH(J$22,EM!$B$6:$B$9,0)-1),MIN(J$23-EM!$B$16+30,EM!$AF$16-EM!$B$16)),0)+
IF(ROUND(J$11,0)&gt;=32,OFFSET(EM!$B$17,ROW($A26)-ROW($A$26)+(ROW(EM!$C$46)-ROW(EM!$C$14))*(MATCH(J$22,EM!$B$6:$B$9,0)-1),MIN(J$23-EM!$B$16+31,EM!$AF$16-EM!$B$16)),0)+
IF(ROUND(J$11,0)&gt;=33,OFFSET(EM!$B$17,ROW($A26)-ROW($A$26)+(ROW(EM!$C$46)-ROW(EM!$C$14))*(MATCH(J$22,EM!$B$6:$B$9,0)-1),MIN(J$23-EM!$B$16+32,EM!$AF$16-EM!$B$16)),0)+
IF(ROUND(J$11,0)&gt;=34,OFFSET(EM!$B$17,ROW($A26)-ROW($A$26)+(ROW(EM!$C$46)-ROW(EM!$C$14))*(MATCH(J$22,EM!$B$6:$B$9,0)-1),MIN(J$23-EM!$B$16+33,EM!$AF$16-EM!$B$16)),0)+
IF(ROUND(J$11,0)&gt;=35,OFFSET(EM!$B$17,ROW($A26)-ROW($A$26)+(ROW(EM!$C$46)-ROW(EM!$C$14))*(MATCH(J$22,EM!$B$6:$B$9,0)-1),MIN(J$23-EM!$B$16+34,EM!$AF$16-EM!$B$16)),0)+
IF(ROUND(J$11,0)&gt;=36,OFFSET(EM!$B$17,ROW($A26)-ROW($A$26)+(ROW(EM!$C$46)-ROW(EM!$C$14))*(MATCH(J$22,EM!$B$6:$B$9,0)-1),MIN(J$23-EM!$B$16+35,EM!$AF$16-EM!$B$16)),0)+
IF(ROUND(J$11,0)&gt;=37,OFFSET(EM!$B$17,ROW($A26)-ROW($A$26)+(ROW(EM!$C$46)-ROW(EM!$C$14))*(MATCH(J$22,EM!$B$6:$B$9,0)-1),MIN(J$23-EM!$B$16+36,EM!$AF$16-EM!$B$16)),0)+
IF(ROUND(J$11,0)&gt;=38,OFFSET(EM!$B$17,ROW($A26)-ROW($A$26)+(ROW(EM!$C$46)-ROW(EM!$C$14))*(MATCH(J$22,EM!$B$6:$B$9,0)-1),MIN(J$23-EM!$B$16+37,EM!$AF$16-EM!$B$16)),0)+
IF(ROUND(J$11,0)&gt;=39,OFFSET(EM!$B$17,ROW($A26)-ROW($A$26)+(ROW(EM!$C$46)-ROW(EM!$C$14))*(MATCH(J$22,EM!$B$6:$B$9,0)-1),MIN(J$23-EM!$B$16+38,EM!$AF$16-EM!$B$16)),0)+
IF(ROUND(J$11,0)&gt;=40,OFFSET(EM!$B$17,ROW($A26)-ROW($A$26)+(ROW(EM!$C$46)-ROW(EM!$C$14))*(MATCH(J$22,EM!$B$6:$B$9,0)-1),MIN(J$23-EM!$B$16+39,EM!$AF$16-EM!$B$16)),0)
)/ROUND(J$11,0),NA()))</f>
        <v>5.0412668060949815E-3</v>
      </c>
      <c r="K26" s="2046">
        <f ca="1">IF(K$19=GPG!$A$28,IF(ROW(K26)-ROW(K$26)+1=MATCH(K$20,GPG!$A$5:$A$11,0),1,0),
IF(K$19=GPG!$A$29,
(IF(ROUND(K$11,0)&gt;=1,OFFSET(EM!$B$17,ROW($A26)-ROW($A$26)+(ROW(EM!$C$46)-ROW(EM!$C$14))*(MATCH(K$22,EM!$B$6:$B$9,0)-1),MIN(K$23-EM!$B$16,EM!$AF$16-EM!$B$16)),0)+
IF(ROUND(K$11,0)&gt;=2,OFFSET(EM!$B$17,ROW($A26)-ROW($A$26)+(ROW(EM!$C$46)-ROW(EM!$C$14))*(MATCH(K$22,EM!$B$6:$B$9,0)-1),MIN(K$23-EM!$B$16+1,EM!$AF$16-EM!$B$16)),0)+
IF(ROUND(K$11,0)&gt;=3,OFFSET(EM!$B$17,ROW($A26)-ROW($A$26)+(ROW(EM!$C$46)-ROW(EM!$C$14))*(MATCH(K$22,EM!$B$6:$B$9,0)-1),MIN(K$23-EM!$B$16+2,EM!$AF$16-EM!$B$16)),0)+
IF(ROUND(K$11,0)&gt;=4,OFFSET(EM!$B$17,ROW($A26)-ROW($A$26)+(ROW(EM!$C$46)-ROW(EM!$C$14))*(MATCH(K$22,EM!$B$6:$B$9,0)-1),MIN(K$23-EM!$B$16+3,EM!$AF$16-EM!$B$16)),0)+
IF(ROUND(K$11,0)&gt;=5,OFFSET(EM!$B$17,ROW($A26)-ROW($A$26)+(ROW(EM!$C$46)-ROW(EM!$C$14))*(MATCH(K$22,EM!$B$6:$B$9,0)-1),MIN(K$23-EM!$B$16+4,EM!$AF$16-EM!$B$16)),0)+
IF(ROUND(K$11,0)&gt;=6,OFFSET(EM!$B$17,ROW($A26)-ROW($A$26)+(ROW(EM!$C$46)-ROW(EM!$C$14))*(MATCH(K$22,EM!$B$6:$B$9,0)-1),MIN(K$23-EM!$B$16+5,EM!$AF$16-EM!$B$16)),0)+
IF(ROUND(K$11,0)&gt;=7,OFFSET(EM!$B$17,ROW($A26)-ROW($A$26)+(ROW(EM!$C$46)-ROW(EM!$C$14))*(MATCH(K$22,EM!$B$6:$B$9,0)-1),MIN(K$23-EM!$B$16+6,EM!$AF$16-EM!$B$16)),0)+
IF(ROUND(K$11,0)&gt;=8,OFFSET(EM!$B$17,ROW($A26)-ROW($A$26)+(ROW(EM!$C$46)-ROW(EM!$C$14))*(MATCH(K$22,EM!$B$6:$B$9,0)-1),MIN(K$23-EM!$B$16+7,EM!$AF$16-EM!$B$16)),0)+
IF(ROUND(K$11,0)&gt;=9,OFFSET(EM!$B$17,ROW($A26)-ROW($A$26)+(ROW(EM!$C$46)-ROW(EM!$C$14))*(MATCH(K$22,EM!$B$6:$B$9,0)-1),MIN(K$23-EM!$B$16+8,EM!$AF$16-EM!$B$16)),0)+
IF(ROUND(K$11,0)&gt;=10,OFFSET(EM!$B$17,ROW($A26)-ROW($A$26)+(ROW(EM!$C$46)-ROW(EM!$C$14))*(MATCH(K$22,EM!$B$6:$B$9,0)-1),MIN(K$23-EM!$B$16+9,EM!$AF$16-EM!$B$16)),0)+
IF(ROUND(K$11,0)&gt;=11,OFFSET(EM!$B$17,ROW($A26)-ROW($A$26)+(ROW(EM!$C$46)-ROW(EM!$C$14))*(MATCH(K$22,EM!$B$6:$B$9,0)-1),MIN(K$23-EM!$B$16+10,EM!$AF$16-EM!$B$16)),0)+
IF(ROUND(K$11,0)&gt;=12,OFFSET(EM!$B$17,ROW($A26)-ROW($A$26)+(ROW(EM!$C$46)-ROW(EM!$C$14))*(MATCH(K$22,EM!$B$6:$B$9,0)-1),MIN(K$23-EM!$B$16+11,EM!$AF$16-EM!$B$16)),0)+
IF(ROUND(K$11,0)&gt;=13,OFFSET(EM!$B$17,ROW($A26)-ROW($A$26)+(ROW(EM!$C$46)-ROW(EM!$C$14))*(MATCH(K$22,EM!$B$6:$B$9,0)-1),MIN(K$23-EM!$B$16+12,EM!$AF$16-EM!$B$16)),0)+
IF(ROUND(K$11,0)&gt;=14,OFFSET(EM!$B$17,ROW($A26)-ROW($A$26)+(ROW(EM!$C$46)-ROW(EM!$C$14))*(MATCH(K$22,EM!$B$6:$B$9,0)-1),MIN(K$23-EM!$B$16+13,EM!$AF$16-EM!$B$16)),0)+
IF(ROUND(K$11,0)&gt;=15,OFFSET(EM!$B$17,ROW($A26)-ROW($A$26)+(ROW(EM!$C$46)-ROW(EM!$C$14))*(MATCH(K$22,EM!$B$6:$B$9,0)-1),MIN(K$23-EM!$B$16+14,EM!$AF$16-EM!$B$16)),0)+
IF(ROUND(K$11,0)&gt;=16,OFFSET(EM!$B$17,ROW($A26)-ROW($A$26)+(ROW(EM!$C$46)-ROW(EM!$C$14))*(MATCH(K$22,EM!$B$6:$B$9,0)-1),MIN(K$23-EM!$B$16+15,EM!$AF$16-EM!$B$16)),0)+
IF(ROUND(K$11,0)&gt;=17,OFFSET(EM!$B$17,ROW($A26)-ROW($A$26)+(ROW(EM!$C$46)-ROW(EM!$C$14))*(MATCH(K$22,EM!$B$6:$B$9,0)-1),MIN(K$23-EM!$B$16+16,EM!$AF$16-EM!$B$16)),0)+
IF(ROUND(K$11,0)&gt;=18,OFFSET(EM!$B$17,ROW($A26)-ROW($A$26)+(ROW(EM!$C$46)-ROW(EM!$C$14))*(MATCH(K$22,EM!$B$6:$B$9,0)-1),MIN(K$23-EM!$B$16+17,EM!$AF$16-EM!$B$16)),0)+
IF(ROUND(K$11,0)&gt;=19,OFFSET(EM!$B$17,ROW($A26)-ROW($A$26)+(ROW(EM!$C$46)-ROW(EM!$C$14))*(MATCH(K$22,EM!$B$6:$B$9,0)-1),MIN(K$23-EM!$B$16+18,EM!$AF$16-EM!$B$16)),0)+
IF(ROUND(K$11,0)&gt;=20,OFFSET(EM!$B$17,ROW($A26)-ROW($A$26)+(ROW(EM!$C$46)-ROW(EM!$C$14))*(MATCH(K$22,EM!$B$6:$B$9,0)-1),MIN(K$23-EM!$B$16+19,EM!$AF$16-EM!$B$16)),0)+
IF(ROUND(K$11,0)&gt;=21,OFFSET(EM!$B$17,ROW($A26)-ROW($A$26)+(ROW(EM!$C$46)-ROW(EM!$C$14))*(MATCH(K$22,EM!$B$6:$B$9,0)-1),MIN(K$23-EM!$B$16+20,EM!$AF$16-EM!$B$16)),0)+
IF(ROUND(K$11,0)&gt;=22,OFFSET(EM!$B$17,ROW($A26)-ROW($A$26)+(ROW(EM!$C$46)-ROW(EM!$C$14))*(MATCH(K$22,EM!$B$6:$B$9,0)-1),MIN(K$23-EM!$B$16+21,EM!$AF$16-EM!$B$16)),0)+
IF(ROUND(K$11,0)&gt;=23,OFFSET(EM!$B$17,ROW($A26)-ROW($A$26)+(ROW(EM!$C$46)-ROW(EM!$C$14))*(MATCH(K$22,EM!$B$6:$B$9,0)-1),MIN(K$23-EM!$B$16+22,EM!$AF$16-EM!$B$16)),0)+
IF(ROUND(K$11,0)&gt;=24,OFFSET(EM!$B$17,ROW($A26)-ROW($A$26)+(ROW(EM!$C$46)-ROW(EM!$C$14))*(MATCH(K$22,EM!$B$6:$B$9,0)-1),MIN(K$23-EM!$B$16+23,EM!$AF$16-EM!$B$16)),0)+
IF(ROUND(K$11,0)&gt;=25,OFFSET(EM!$B$17,ROW($A26)-ROW($A$26)+(ROW(EM!$C$46)-ROW(EM!$C$14))*(MATCH(K$22,EM!$B$6:$B$9,0)-1),MIN(K$23-EM!$B$16+24,EM!$AF$16-EM!$B$16)),0)+
IF(ROUND(K$11,0)&gt;=26,OFFSET(EM!$B$17,ROW($A26)-ROW($A$26)+(ROW(EM!$C$46)-ROW(EM!$C$14))*(MATCH(K$22,EM!$B$6:$B$9,0)-1),MIN(K$23-EM!$B$16+25,EM!$AF$16-EM!$B$16)),0)+
IF(ROUND(K$11,0)&gt;=27,OFFSET(EM!$B$17,ROW($A26)-ROW($A$26)+(ROW(EM!$C$46)-ROW(EM!$C$14))*(MATCH(K$22,EM!$B$6:$B$9,0)-1),MIN(K$23-EM!$B$16+26,EM!$AF$16-EM!$B$16)),0)+
IF(ROUND(K$11,0)&gt;=28,OFFSET(EM!$B$17,ROW($A26)-ROW($A$26)+(ROW(EM!$C$46)-ROW(EM!$C$14))*(MATCH(K$22,EM!$B$6:$B$9,0)-1),MIN(K$23-EM!$B$16+27,EM!$AF$16-EM!$B$16)),0)+
IF(ROUND(K$11,0)&gt;=29,OFFSET(EM!$B$17,ROW($A26)-ROW($A$26)+(ROW(EM!$C$46)-ROW(EM!$C$14))*(MATCH(K$22,EM!$B$6:$B$9,0)-1),MIN(K$23-EM!$B$16+28,EM!$AF$16-EM!$B$16)),0)+
IF(ROUND(K$11,0)&gt;=30,OFFSET(EM!$B$17,ROW($A26)-ROW($A$26)+(ROW(EM!$C$46)-ROW(EM!$C$14))*(MATCH(K$22,EM!$B$6:$B$9,0)-1),MIN(K$23-EM!$B$16+29,EM!$AF$16-EM!$B$16)),0)+
IF(ROUND(K$11,0)&gt;=31,OFFSET(EM!$B$17,ROW($A26)-ROW($A$26)+(ROW(EM!$C$46)-ROW(EM!$C$14))*(MATCH(K$22,EM!$B$6:$B$9,0)-1),MIN(K$23-EM!$B$16+30,EM!$AF$16-EM!$B$16)),0)+
IF(ROUND(K$11,0)&gt;=32,OFFSET(EM!$B$17,ROW($A26)-ROW($A$26)+(ROW(EM!$C$46)-ROW(EM!$C$14))*(MATCH(K$22,EM!$B$6:$B$9,0)-1),MIN(K$23-EM!$B$16+31,EM!$AF$16-EM!$B$16)),0)+
IF(ROUND(K$11,0)&gt;=33,OFFSET(EM!$B$17,ROW($A26)-ROW($A$26)+(ROW(EM!$C$46)-ROW(EM!$C$14))*(MATCH(K$22,EM!$B$6:$B$9,0)-1),MIN(K$23-EM!$B$16+32,EM!$AF$16-EM!$B$16)),0)+
IF(ROUND(K$11,0)&gt;=34,OFFSET(EM!$B$17,ROW($A26)-ROW($A$26)+(ROW(EM!$C$46)-ROW(EM!$C$14))*(MATCH(K$22,EM!$B$6:$B$9,0)-1),MIN(K$23-EM!$B$16+33,EM!$AF$16-EM!$B$16)),0)+
IF(ROUND(K$11,0)&gt;=35,OFFSET(EM!$B$17,ROW($A26)-ROW($A$26)+(ROW(EM!$C$46)-ROW(EM!$C$14))*(MATCH(K$22,EM!$B$6:$B$9,0)-1),MIN(K$23-EM!$B$16+34,EM!$AF$16-EM!$B$16)),0)+
IF(ROUND(K$11,0)&gt;=36,OFFSET(EM!$B$17,ROW($A26)-ROW($A$26)+(ROW(EM!$C$46)-ROW(EM!$C$14))*(MATCH(K$22,EM!$B$6:$B$9,0)-1),MIN(K$23-EM!$B$16+35,EM!$AF$16-EM!$B$16)),0)+
IF(ROUND(K$11,0)&gt;=37,OFFSET(EM!$B$17,ROW($A26)-ROW($A$26)+(ROW(EM!$C$46)-ROW(EM!$C$14))*(MATCH(K$22,EM!$B$6:$B$9,0)-1),MIN(K$23-EM!$B$16+36,EM!$AF$16-EM!$B$16)),0)+
IF(ROUND(K$11,0)&gt;=38,OFFSET(EM!$B$17,ROW($A26)-ROW($A$26)+(ROW(EM!$C$46)-ROW(EM!$C$14))*(MATCH(K$22,EM!$B$6:$B$9,0)-1),MIN(K$23-EM!$B$16+37,EM!$AF$16-EM!$B$16)),0)+
IF(ROUND(K$11,0)&gt;=39,OFFSET(EM!$B$17,ROW($A26)-ROW($A$26)+(ROW(EM!$C$46)-ROW(EM!$C$14))*(MATCH(K$22,EM!$B$6:$B$9,0)-1),MIN(K$23-EM!$B$16+38,EM!$AF$16-EM!$B$16)),0)+
IF(ROUND(K$11,0)&gt;=40,OFFSET(EM!$B$17,ROW($A26)-ROW($A$26)+(ROW(EM!$C$46)-ROW(EM!$C$14))*(MATCH(K$22,EM!$B$6:$B$9,0)-1),MIN(K$23-EM!$B$16+39,EM!$AF$16-EM!$B$16)),0)
)/ROUND(K$11,0),NA()))</f>
        <v>6.4097721383332227E-3</v>
      </c>
      <c r="L26" s="2046">
        <f ca="1">IF(L$19=GPG!$A$28,IF(ROW(L26)-ROW(L$26)+1=MATCH(L$20,GPG!$A$5:$A$11,0),1,0),
IF(L$19=GPG!$A$29,
(IF(ROUND(L$11,0)&gt;=1,OFFSET(EM!$B$17,ROW($A26)-ROW($A$26)+(ROW(EM!$C$46)-ROW(EM!$C$14))*(MATCH(L$22,EM!$B$6:$B$9,0)-1),MIN(L$23-EM!$B$16,EM!$AF$16-EM!$B$16)),0)+
IF(ROUND(L$11,0)&gt;=2,OFFSET(EM!$B$17,ROW($A26)-ROW($A$26)+(ROW(EM!$C$46)-ROW(EM!$C$14))*(MATCH(L$22,EM!$B$6:$B$9,0)-1),MIN(L$23-EM!$B$16+1,EM!$AF$16-EM!$B$16)),0)+
IF(ROUND(L$11,0)&gt;=3,OFFSET(EM!$B$17,ROW($A26)-ROW($A$26)+(ROW(EM!$C$46)-ROW(EM!$C$14))*(MATCH(L$22,EM!$B$6:$B$9,0)-1),MIN(L$23-EM!$B$16+2,EM!$AF$16-EM!$B$16)),0)+
IF(ROUND(L$11,0)&gt;=4,OFFSET(EM!$B$17,ROW($A26)-ROW($A$26)+(ROW(EM!$C$46)-ROW(EM!$C$14))*(MATCH(L$22,EM!$B$6:$B$9,0)-1),MIN(L$23-EM!$B$16+3,EM!$AF$16-EM!$B$16)),0)+
IF(ROUND(L$11,0)&gt;=5,OFFSET(EM!$B$17,ROW($A26)-ROW($A$26)+(ROW(EM!$C$46)-ROW(EM!$C$14))*(MATCH(L$22,EM!$B$6:$B$9,0)-1),MIN(L$23-EM!$B$16+4,EM!$AF$16-EM!$B$16)),0)+
IF(ROUND(L$11,0)&gt;=6,OFFSET(EM!$B$17,ROW($A26)-ROW($A$26)+(ROW(EM!$C$46)-ROW(EM!$C$14))*(MATCH(L$22,EM!$B$6:$B$9,0)-1),MIN(L$23-EM!$B$16+5,EM!$AF$16-EM!$B$16)),0)+
IF(ROUND(L$11,0)&gt;=7,OFFSET(EM!$B$17,ROW($A26)-ROW($A$26)+(ROW(EM!$C$46)-ROW(EM!$C$14))*(MATCH(L$22,EM!$B$6:$B$9,0)-1),MIN(L$23-EM!$B$16+6,EM!$AF$16-EM!$B$16)),0)+
IF(ROUND(L$11,0)&gt;=8,OFFSET(EM!$B$17,ROW($A26)-ROW($A$26)+(ROW(EM!$C$46)-ROW(EM!$C$14))*(MATCH(L$22,EM!$B$6:$B$9,0)-1),MIN(L$23-EM!$B$16+7,EM!$AF$16-EM!$B$16)),0)+
IF(ROUND(L$11,0)&gt;=9,OFFSET(EM!$B$17,ROW($A26)-ROW($A$26)+(ROW(EM!$C$46)-ROW(EM!$C$14))*(MATCH(L$22,EM!$B$6:$B$9,0)-1),MIN(L$23-EM!$B$16+8,EM!$AF$16-EM!$B$16)),0)+
IF(ROUND(L$11,0)&gt;=10,OFFSET(EM!$B$17,ROW($A26)-ROW($A$26)+(ROW(EM!$C$46)-ROW(EM!$C$14))*(MATCH(L$22,EM!$B$6:$B$9,0)-1),MIN(L$23-EM!$B$16+9,EM!$AF$16-EM!$B$16)),0)+
IF(ROUND(L$11,0)&gt;=11,OFFSET(EM!$B$17,ROW($A26)-ROW($A$26)+(ROW(EM!$C$46)-ROW(EM!$C$14))*(MATCH(L$22,EM!$B$6:$B$9,0)-1),MIN(L$23-EM!$B$16+10,EM!$AF$16-EM!$B$16)),0)+
IF(ROUND(L$11,0)&gt;=12,OFFSET(EM!$B$17,ROW($A26)-ROW($A$26)+(ROW(EM!$C$46)-ROW(EM!$C$14))*(MATCH(L$22,EM!$B$6:$B$9,0)-1),MIN(L$23-EM!$B$16+11,EM!$AF$16-EM!$B$16)),0)+
IF(ROUND(L$11,0)&gt;=13,OFFSET(EM!$B$17,ROW($A26)-ROW($A$26)+(ROW(EM!$C$46)-ROW(EM!$C$14))*(MATCH(L$22,EM!$B$6:$B$9,0)-1),MIN(L$23-EM!$B$16+12,EM!$AF$16-EM!$B$16)),0)+
IF(ROUND(L$11,0)&gt;=14,OFFSET(EM!$B$17,ROW($A26)-ROW($A$26)+(ROW(EM!$C$46)-ROW(EM!$C$14))*(MATCH(L$22,EM!$B$6:$B$9,0)-1),MIN(L$23-EM!$B$16+13,EM!$AF$16-EM!$B$16)),0)+
IF(ROUND(L$11,0)&gt;=15,OFFSET(EM!$B$17,ROW($A26)-ROW($A$26)+(ROW(EM!$C$46)-ROW(EM!$C$14))*(MATCH(L$22,EM!$B$6:$B$9,0)-1),MIN(L$23-EM!$B$16+14,EM!$AF$16-EM!$B$16)),0)+
IF(ROUND(L$11,0)&gt;=16,OFFSET(EM!$B$17,ROW($A26)-ROW($A$26)+(ROW(EM!$C$46)-ROW(EM!$C$14))*(MATCH(L$22,EM!$B$6:$B$9,0)-1),MIN(L$23-EM!$B$16+15,EM!$AF$16-EM!$B$16)),0)+
IF(ROUND(L$11,0)&gt;=17,OFFSET(EM!$B$17,ROW($A26)-ROW($A$26)+(ROW(EM!$C$46)-ROW(EM!$C$14))*(MATCH(L$22,EM!$B$6:$B$9,0)-1),MIN(L$23-EM!$B$16+16,EM!$AF$16-EM!$B$16)),0)+
IF(ROUND(L$11,0)&gt;=18,OFFSET(EM!$B$17,ROW($A26)-ROW($A$26)+(ROW(EM!$C$46)-ROW(EM!$C$14))*(MATCH(L$22,EM!$B$6:$B$9,0)-1),MIN(L$23-EM!$B$16+17,EM!$AF$16-EM!$B$16)),0)+
IF(ROUND(L$11,0)&gt;=19,OFFSET(EM!$B$17,ROW($A26)-ROW($A$26)+(ROW(EM!$C$46)-ROW(EM!$C$14))*(MATCH(L$22,EM!$B$6:$B$9,0)-1),MIN(L$23-EM!$B$16+18,EM!$AF$16-EM!$B$16)),0)+
IF(ROUND(L$11,0)&gt;=20,OFFSET(EM!$B$17,ROW($A26)-ROW($A$26)+(ROW(EM!$C$46)-ROW(EM!$C$14))*(MATCH(L$22,EM!$B$6:$B$9,0)-1),MIN(L$23-EM!$B$16+19,EM!$AF$16-EM!$B$16)),0)+
IF(ROUND(L$11,0)&gt;=21,OFFSET(EM!$B$17,ROW($A26)-ROW($A$26)+(ROW(EM!$C$46)-ROW(EM!$C$14))*(MATCH(L$22,EM!$B$6:$B$9,0)-1),MIN(L$23-EM!$B$16+20,EM!$AF$16-EM!$B$16)),0)+
IF(ROUND(L$11,0)&gt;=22,OFFSET(EM!$B$17,ROW($A26)-ROW($A$26)+(ROW(EM!$C$46)-ROW(EM!$C$14))*(MATCH(L$22,EM!$B$6:$B$9,0)-1),MIN(L$23-EM!$B$16+21,EM!$AF$16-EM!$B$16)),0)+
IF(ROUND(L$11,0)&gt;=23,OFFSET(EM!$B$17,ROW($A26)-ROW($A$26)+(ROW(EM!$C$46)-ROW(EM!$C$14))*(MATCH(L$22,EM!$B$6:$B$9,0)-1),MIN(L$23-EM!$B$16+22,EM!$AF$16-EM!$B$16)),0)+
IF(ROUND(L$11,0)&gt;=24,OFFSET(EM!$B$17,ROW($A26)-ROW($A$26)+(ROW(EM!$C$46)-ROW(EM!$C$14))*(MATCH(L$22,EM!$B$6:$B$9,0)-1),MIN(L$23-EM!$B$16+23,EM!$AF$16-EM!$B$16)),0)+
IF(ROUND(L$11,0)&gt;=25,OFFSET(EM!$B$17,ROW($A26)-ROW($A$26)+(ROW(EM!$C$46)-ROW(EM!$C$14))*(MATCH(L$22,EM!$B$6:$B$9,0)-1),MIN(L$23-EM!$B$16+24,EM!$AF$16-EM!$B$16)),0)+
IF(ROUND(L$11,0)&gt;=26,OFFSET(EM!$B$17,ROW($A26)-ROW($A$26)+(ROW(EM!$C$46)-ROW(EM!$C$14))*(MATCH(L$22,EM!$B$6:$B$9,0)-1),MIN(L$23-EM!$B$16+25,EM!$AF$16-EM!$B$16)),0)+
IF(ROUND(L$11,0)&gt;=27,OFFSET(EM!$B$17,ROW($A26)-ROW($A$26)+(ROW(EM!$C$46)-ROW(EM!$C$14))*(MATCH(L$22,EM!$B$6:$B$9,0)-1),MIN(L$23-EM!$B$16+26,EM!$AF$16-EM!$B$16)),0)+
IF(ROUND(L$11,0)&gt;=28,OFFSET(EM!$B$17,ROW($A26)-ROW($A$26)+(ROW(EM!$C$46)-ROW(EM!$C$14))*(MATCH(L$22,EM!$B$6:$B$9,0)-1),MIN(L$23-EM!$B$16+27,EM!$AF$16-EM!$B$16)),0)+
IF(ROUND(L$11,0)&gt;=29,OFFSET(EM!$B$17,ROW($A26)-ROW($A$26)+(ROW(EM!$C$46)-ROW(EM!$C$14))*(MATCH(L$22,EM!$B$6:$B$9,0)-1),MIN(L$23-EM!$B$16+28,EM!$AF$16-EM!$B$16)),0)+
IF(ROUND(L$11,0)&gt;=30,OFFSET(EM!$B$17,ROW($A26)-ROW($A$26)+(ROW(EM!$C$46)-ROW(EM!$C$14))*(MATCH(L$22,EM!$B$6:$B$9,0)-1),MIN(L$23-EM!$B$16+29,EM!$AF$16-EM!$B$16)),0)+
IF(ROUND(L$11,0)&gt;=31,OFFSET(EM!$B$17,ROW($A26)-ROW($A$26)+(ROW(EM!$C$46)-ROW(EM!$C$14))*(MATCH(L$22,EM!$B$6:$B$9,0)-1),MIN(L$23-EM!$B$16+30,EM!$AF$16-EM!$B$16)),0)+
IF(ROUND(L$11,0)&gt;=32,OFFSET(EM!$B$17,ROW($A26)-ROW($A$26)+(ROW(EM!$C$46)-ROW(EM!$C$14))*(MATCH(L$22,EM!$B$6:$B$9,0)-1),MIN(L$23-EM!$B$16+31,EM!$AF$16-EM!$B$16)),0)+
IF(ROUND(L$11,0)&gt;=33,OFFSET(EM!$B$17,ROW($A26)-ROW($A$26)+(ROW(EM!$C$46)-ROW(EM!$C$14))*(MATCH(L$22,EM!$B$6:$B$9,0)-1),MIN(L$23-EM!$B$16+32,EM!$AF$16-EM!$B$16)),0)+
IF(ROUND(L$11,0)&gt;=34,OFFSET(EM!$B$17,ROW($A26)-ROW($A$26)+(ROW(EM!$C$46)-ROW(EM!$C$14))*(MATCH(L$22,EM!$B$6:$B$9,0)-1),MIN(L$23-EM!$B$16+33,EM!$AF$16-EM!$B$16)),0)+
IF(ROUND(L$11,0)&gt;=35,OFFSET(EM!$B$17,ROW($A26)-ROW($A$26)+(ROW(EM!$C$46)-ROW(EM!$C$14))*(MATCH(L$22,EM!$B$6:$B$9,0)-1),MIN(L$23-EM!$B$16+34,EM!$AF$16-EM!$B$16)),0)+
IF(ROUND(L$11,0)&gt;=36,OFFSET(EM!$B$17,ROW($A26)-ROW($A$26)+(ROW(EM!$C$46)-ROW(EM!$C$14))*(MATCH(L$22,EM!$B$6:$B$9,0)-1),MIN(L$23-EM!$B$16+35,EM!$AF$16-EM!$B$16)),0)+
IF(ROUND(L$11,0)&gt;=37,OFFSET(EM!$B$17,ROW($A26)-ROW($A$26)+(ROW(EM!$C$46)-ROW(EM!$C$14))*(MATCH(L$22,EM!$B$6:$B$9,0)-1),MIN(L$23-EM!$B$16+36,EM!$AF$16-EM!$B$16)),0)+
IF(ROUND(L$11,0)&gt;=38,OFFSET(EM!$B$17,ROW($A26)-ROW($A$26)+(ROW(EM!$C$46)-ROW(EM!$C$14))*(MATCH(L$22,EM!$B$6:$B$9,0)-1),MIN(L$23-EM!$B$16+37,EM!$AF$16-EM!$B$16)),0)+
IF(ROUND(L$11,0)&gt;=39,OFFSET(EM!$B$17,ROW($A26)-ROW($A$26)+(ROW(EM!$C$46)-ROW(EM!$C$14))*(MATCH(L$22,EM!$B$6:$B$9,0)-1),MIN(L$23-EM!$B$16+38,EM!$AF$16-EM!$B$16)),0)+
IF(ROUND(L$11,0)&gt;=40,OFFSET(EM!$B$17,ROW($A26)-ROW($A$26)+(ROW(EM!$C$46)-ROW(EM!$C$14))*(MATCH(L$22,EM!$B$6:$B$9,0)-1),MIN(L$23-EM!$B$16+39,EM!$AF$16-EM!$B$16)),0)
)/ROUND(L$11,0),NA()))</f>
        <v>5.0412668060949815E-3</v>
      </c>
      <c r="M26" s="2046">
        <f ca="1">IF(M$19=GPG!$A$28,IF(ROW(M26)-ROW(M$26)+1=MATCH(M$20,GPG!$A$5:$A$11,0),1,0),
IF(M$19=GPG!$A$29,
(IF(ROUND(M$11,0)&gt;=1,OFFSET(EM!$B$17,ROW($A26)-ROW($A$26)+(ROW(EM!$C$46)-ROW(EM!$C$14))*(MATCH(M$22,EM!$B$6:$B$9,0)-1),MIN(M$23-EM!$B$16,EM!$AF$16-EM!$B$16)),0)+
IF(ROUND(M$11,0)&gt;=2,OFFSET(EM!$B$17,ROW($A26)-ROW($A$26)+(ROW(EM!$C$46)-ROW(EM!$C$14))*(MATCH(M$22,EM!$B$6:$B$9,0)-1),MIN(M$23-EM!$B$16+1,EM!$AF$16-EM!$B$16)),0)+
IF(ROUND(M$11,0)&gt;=3,OFFSET(EM!$B$17,ROW($A26)-ROW($A$26)+(ROW(EM!$C$46)-ROW(EM!$C$14))*(MATCH(M$22,EM!$B$6:$B$9,0)-1),MIN(M$23-EM!$B$16+2,EM!$AF$16-EM!$B$16)),0)+
IF(ROUND(M$11,0)&gt;=4,OFFSET(EM!$B$17,ROW($A26)-ROW($A$26)+(ROW(EM!$C$46)-ROW(EM!$C$14))*(MATCH(M$22,EM!$B$6:$B$9,0)-1),MIN(M$23-EM!$B$16+3,EM!$AF$16-EM!$B$16)),0)+
IF(ROUND(M$11,0)&gt;=5,OFFSET(EM!$B$17,ROW($A26)-ROW($A$26)+(ROW(EM!$C$46)-ROW(EM!$C$14))*(MATCH(M$22,EM!$B$6:$B$9,0)-1),MIN(M$23-EM!$B$16+4,EM!$AF$16-EM!$B$16)),0)+
IF(ROUND(M$11,0)&gt;=6,OFFSET(EM!$B$17,ROW($A26)-ROW($A$26)+(ROW(EM!$C$46)-ROW(EM!$C$14))*(MATCH(M$22,EM!$B$6:$B$9,0)-1),MIN(M$23-EM!$B$16+5,EM!$AF$16-EM!$B$16)),0)+
IF(ROUND(M$11,0)&gt;=7,OFFSET(EM!$B$17,ROW($A26)-ROW($A$26)+(ROW(EM!$C$46)-ROW(EM!$C$14))*(MATCH(M$22,EM!$B$6:$B$9,0)-1),MIN(M$23-EM!$B$16+6,EM!$AF$16-EM!$B$16)),0)+
IF(ROUND(M$11,0)&gt;=8,OFFSET(EM!$B$17,ROW($A26)-ROW($A$26)+(ROW(EM!$C$46)-ROW(EM!$C$14))*(MATCH(M$22,EM!$B$6:$B$9,0)-1),MIN(M$23-EM!$B$16+7,EM!$AF$16-EM!$B$16)),0)+
IF(ROUND(M$11,0)&gt;=9,OFFSET(EM!$B$17,ROW($A26)-ROW($A$26)+(ROW(EM!$C$46)-ROW(EM!$C$14))*(MATCH(M$22,EM!$B$6:$B$9,0)-1),MIN(M$23-EM!$B$16+8,EM!$AF$16-EM!$B$16)),0)+
IF(ROUND(M$11,0)&gt;=10,OFFSET(EM!$B$17,ROW($A26)-ROW($A$26)+(ROW(EM!$C$46)-ROW(EM!$C$14))*(MATCH(M$22,EM!$B$6:$B$9,0)-1),MIN(M$23-EM!$B$16+9,EM!$AF$16-EM!$B$16)),0)+
IF(ROUND(M$11,0)&gt;=11,OFFSET(EM!$B$17,ROW($A26)-ROW($A$26)+(ROW(EM!$C$46)-ROW(EM!$C$14))*(MATCH(M$22,EM!$B$6:$B$9,0)-1),MIN(M$23-EM!$B$16+10,EM!$AF$16-EM!$B$16)),0)+
IF(ROUND(M$11,0)&gt;=12,OFFSET(EM!$B$17,ROW($A26)-ROW($A$26)+(ROW(EM!$C$46)-ROW(EM!$C$14))*(MATCH(M$22,EM!$B$6:$B$9,0)-1),MIN(M$23-EM!$B$16+11,EM!$AF$16-EM!$B$16)),0)+
IF(ROUND(M$11,0)&gt;=13,OFFSET(EM!$B$17,ROW($A26)-ROW($A$26)+(ROW(EM!$C$46)-ROW(EM!$C$14))*(MATCH(M$22,EM!$B$6:$B$9,0)-1),MIN(M$23-EM!$B$16+12,EM!$AF$16-EM!$B$16)),0)+
IF(ROUND(M$11,0)&gt;=14,OFFSET(EM!$B$17,ROW($A26)-ROW($A$26)+(ROW(EM!$C$46)-ROW(EM!$C$14))*(MATCH(M$22,EM!$B$6:$B$9,0)-1),MIN(M$23-EM!$B$16+13,EM!$AF$16-EM!$B$16)),0)+
IF(ROUND(M$11,0)&gt;=15,OFFSET(EM!$B$17,ROW($A26)-ROW($A$26)+(ROW(EM!$C$46)-ROW(EM!$C$14))*(MATCH(M$22,EM!$B$6:$B$9,0)-1),MIN(M$23-EM!$B$16+14,EM!$AF$16-EM!$B$16)),0)+
IF(ROUND(M$11,0)&gt;=16,OFFSET(EM!$B$17,ROW($A26)-ROW($A$26)+(ROW(EM!$C$46)-ROW(EM!$C$14))*(MATCH(M$22,EM!$B$6:$B$9,0)-1),MIN(M$23-EM!$B$16+15,EM!$AF$16-EM!$B$16)),0)+
IF(ROUND(M$11,0)&gt;=17,OFFSET(EM!$B$17,ROW($A26)-ROW($A$26)+(ROW(EM!$C$46)-ROW(EM!$C$14))*(MATCH(M$22,EM!$B$6:$B$9,0)-1),MIN(M$23-EM!$B$16+16,EM!$AF$16-EM!$B$16)),0)+
IF(ROUND(M$11,0)&gt;=18,OFFSET(EM!$B$17,ROW($A26)-ROW($A$26)+(ROW(EM!$C$46)-ROW(EM!$C$14))*(MATCH(M$22,EM!$B$6:$B$9,0)-1),MIN(M$23-EM!$B$16+17,EM!$AF$16-EM!$B$16)),0)+
IF(ROUND(M$11,0)&gt;=19,OFFSET(EM!$B$17,ROW($A26)-ROW($A$26)+(ROW(EM!$C$46)-ROW(EM!$C$14))*(MATCH(M$22,EM!$B$6:$B$9,0)-1),MIN(M$23-EM!$B$16+18,EM!$AF$16-EM!$B$16)),0)+
IF(ROUND(M$11,0)&gt;=20,OFFSET(EM!$B$17,ROW($A26)-ROW($A$26)+(ROW(EM!$C$46)-ROW(EM!$C$14))*(MATCH(M$22,EM!$B$6:$B$9,0)-1),MIN(M$23-EM!$B$16+19,EM!$AF$16-EM!$B$16)),0)+
IF(ROUND(M$11,0)&gt;=21,OFFSET(EM!$B$17,ROW($A26)-ROW($A$26)+(ROW(EM!$C$46)-ROW(EM!$C$14))*(MATCH(M$22,EM!$B$6:$B$9,0)-1),MIN(M$23-EM!$B$16+20,EM!$AF$16-EM!$B$16)),0)+
IF(ROUND(M$11,0)&gt;=22,OFFSET(EM!$B$17,ROW($A26)-ROW($A$26)+(ROW(EM!$C$46)-ROW(EM!$C$14))*(MATCH(M$22,EM!$B$6:$B$9,0)-1),MIN(M$23-EM!$B$16+21,EM!$AF$16-EM!$B$16)),0)+
IF(ROUND(M$11,0)&gt;=23,OFFSET(EM!$B$17,ROW($A26)-ROW($A$26)+(ROW(EM!$C$46)-ROW(EM!$C$14))*(MATCH(M$22,EM!$B$6:$B$9,0)-1),MIN(M$23-EM!$B$16+22,EM!$AF$16-EM!$B$16)),0)+
IF(ROUND(M$11,0)&gt;=24,OFFSET(EM!$B$17,ROW($A26)-ROW($A$26)+(ROW(EM!$C$46)-ROW(EM!$C$14))*(MATCH(M$22,EM!$B$6:$B$9,0)-1),MIN(M$23-EM!$B$16+23,EM!$AF$16-EM!$B$16)),0)+
IF(ROUND(M$11,0)&gt;=25,OFFSET(EM!$B$17,ROW($A26)-ROW($A$26)+(ROW(EM!$C$46)-ROW(EM!$C$14))*(MATCH(M$22,EM!$B$6:$B$9,0)-1),MIN(M$23-EM!$B$16+24,EM!$AF$16-EM!$B$16)),0)+
IF(ROUND(M$11,0)&gt;=26,OFFSET(EM!$B$17,ROW($A26)-ROW($A$26)+(ROW(EM!$C$46)-ROW(EM!$C$14))*(MATCH(M$22,EM!$B$6:$B$9,0)-1),MIN(M$23-EM!$B$16+25,EM!$AF$16-EM!$B$16)),0)+
IF(ROUND(M$11,0)&gt;=27,OFFSET(EM!$B$17,ROW($A26)-ROW($A$26)+(ROW(EM!$C$46)-ROW(EM!$C$14))*(MATCH(M$22,EM!$B$6:$B$9,0)-1),MIN(M$23-EM!$B$16+26,EM!$AF$16-EM!$B$16)),0)+
IF(ROUND(M$11,0)&gt;=28,OFFSET(EM!$B$17,ROW($A26)-ROW($A$26)+(ROW(EM!$C$46)-ROW(EM!$C$14))*(MATCH(M$22,EM!$B$6:$B$9,0)-1),MIN(M$23-EM!$B$16+27,EM!$AF$16-EM!$B$16)),0)+
IF(ROUND(M$11,0)&gt;=29,OFFSET(EM!$B$17,ROW($A26)-ROW($A$26)+(ROW(EM!$C$46)-ROW(EM!$C$14))*(MATCH(M$22,EM!$B$6:$B$9,0)-1),MIN(M$23-EM!$B$16+28,EM!$AF$16-EM!$B$16)),0)+
IF(ROUND(M$11,0)&gt;=30,OFFSET(EM!$B$17,ROW($A26)-ROW($A$26)+(ROW(EM!$C$46)-ROW(EM!$C$14))*(MATCH(M$22,EM!$B$6:$B$9,0)-1),MIN(M$23-EM!$B$16+29,EM!$AF$16-EM!$B$16)),0)+
IF(ROUND(M$11,0)&gt;=31,OFFSET(EM!$B$17,ROW($A26)-ROW($A$26)+(ROW(EM!$C$46)-ROW(EM!$C$14))*(MATCH(M$22,EM!$B$6:$B$9,0)-1),MIN(M$23-EM!$B$16+30,EM!$AF$16-EM!$B$16)),0)+
IF(ROUND(M$11,0)&gt;=32,OFFSET(EM!$B$17,ROW($A26)-ROW($A$26)+(ROW(EM!$C$46)-ROW(EM!$C$14))*(MATCH(M$22,EM!$B$6:$B$9,0)-1),MIN(M$23-EM!$B$16+31,EM!$AF$16-EM!$B$16)),0)+
IF(ROUND(M$11,0)&gt;=33,OFFSET(EM!$B$17,ROW($A26)-ROW($A$26)+(ROW(EM!$C$46)-ROW(EM!$C$14))*(MATCH(M$22,EM!$B$6:$B$9,0)-1),MIN(M$23-EM!$B$16+32,EM!$AF$16-EM!$B$16)),0)+
IF(ROUND(M$11,0)&gt;=34,OFFSET(EM!$B$17,ROW($A26)-ROW($A$26)+(ROW(EM!$C$46)-ROW(EM!$C$14))*(MATCH(M$22,EM!$B$6:$B$9,0)-1),MIN(M$23-EM!$B$16+33,EM!$AF$16-EM!$B$16)),0)+
IF(ROUND(M$11,0)&gt;=35,OFFSET(EM!$B$17,ROW($A26)-ROW($A$26)+(ROW(EM!$C$46)-ROW(EM!$C$14))*(MATCH(M$22,EM!$B$6:$B$9,0)-1),MIN(M$23-EM!$B$16+34,EM!$AF$16-EM!$B$16)),0)+
IF(ROUND(M$11,0)&gt;=36,OFFSET(EM!$B$17,ROW($A26)-ROW($A$26)+(ROW(EM!$C$46)-ROW(EM!$C$14))*(MATCH(M$22,EM!$B$6:$B$9,0)-1),MIN(M$23-EM!$B$16+35,EM!$AF$16-EM!$B$16)),0)+
IF(ROUND(M$11,0)&gt;=37,OFFSET(EM!$B$17,ROW($A26)-ROW($A$26)+(ROW(EM!$C$46)-ROW(EM!$C$14))*(MATCH(M$22,EM!$B$6:$B$9,0)-1),MIN(M$23-EM!$B$16+36,EM!$AF$16-EM!$B$16)),0)+
IF(ROUND(M$11,0)&gt;=38,OFFSET(EM!$B$17,ROW($A26)-ROW($A$26)+(ROW(EM!$C$46)-ROW(EM!$C$14))*(MATCH(M$22,EM!$B$6:$B$9,0)-1),MIN(M$23-EM!$B$16+37,EM!$AF$16-EM!$B$16)),0)+
IF(ROUND(M$11,0)&gt;=39,OFFSET(EM!$B$17,ROW($A26)-ROW($A$26)+(ROW(EM!$C$46)-ROW(EM!$C$14))*(MATCH(M$22,EM!$B$6:$B$9,0)-1),MIN(M$23-EM!$B$16+38,EM!$AF$16-EM!$B$16)),0)+
IF(ROUND(M$11,0)&gt;=40,OFFSET(EM!$B$17,ROW($A26)-ROW($A$26)+(ROW(EM!$C$46)-ROW(EM!$C$14))*(MATCH(M$22,EM!$B$6:$B$9,0)-1),MIN(M$23-EM!$B$16+39,EM!$AF$16-EM!$B$16)),0)
)/ROUND(M$11,0),NA()))</f>
        <v>8.2561460407359205E-3</v>
      </c>
      <c r="N26" s="2046">
        <f ca="1">IF(N$19=GPG!$A$28,IF(ROW(N26)-ROW(N$26)+1=MATCH(N$20,GPG!$A$5:$A$11,0),1,0),
IF(N$19=GPG!$A$29,
(IF(ROUND(N$11,0)&gt;=1,OFFSET(EM!$B$17,ROW($A26)-ROW($A$26)+(ROW(EM!$C$46)-ROW(EM!$C$14))*(MATCH(N$22,EM!$B$6:$B$9,0)-1),MIN(N$23-EM!$B$16,EM!$AF$16-EM!$B$16)),0)+
IF(ROUND(N$11,0)&gt;=2,OFFSET(EM!$B$17,ROW($A26)-ROW($A$26)+(ROW(EM!$C$46)-ROW(EM!$C$14))*(MATCH(N$22,EM!$B$6:$B$9,0)-1),MIN(N$23-EM!$B$16+1,EM!$AF$16-EM!$B$16)),0)+
IF(ROUND(N$11,0)&gt;=3,OFFSET(EM!$B$17,ROW($A26)-ROW($A$26)+(ROW(EM!$C$46)-ROW(EM!$C$14))*(MATCH(N$22,EM!$B$6:$B$9,0)-1),MIN(N$23-EM!$B$16+2,EM!$AF$16-EM!$B$16)),0)+
IF(ROUND(N$11,0)&gt;=4,OFFSET(EM!$B$17,ROW($A26)-ROW($A$26)+(ROW(EM!$C$46)-ROW(EM!$C$14))*(MATCH(N$22,EM!$B$6:$B$9,0)-1),MIN(N$23-EM!$B$16+3,EM!$AF$16-EM!$B$16)),0)+
IF(ROUND(N$11,0)&gt;=5,OFFSET(EM!$B$17,ROW($A26)-ROW($A$26)+(ROW(EM!$C$46)-ROW(EM!$C$14))*(MATCH(N$22,EM!$B$6:$B$9,0)-1),MIN(N$23-EM!$B$16+4,EM!$AF$16-EM!$B$16)),0)+
IF(ROUND(N$11,0)&gt;=6,OFFSET(EM!$B$17,ROW($A26)-ROW($A$26)+(ROW(EM!$C$46)-ROW(EM!$C$14))*(MATCH(N$22,EM!$B$6:$B$9,0)-1),MIN(N$23-EM!$B$16+5,EM!$AF$16-EM!$B$16)),0)+
IF(ROUND(N$11,0)&gt;=7,OFFSET(EM!$B$17,ROW($A26)-ROW($A$26)+(ROW(EM!$C$46)-ROW(EM!$C$14))*(MATCH(N$22,EM!$B$6:$B$9,0)-1),MIN(N$23-EM!$B$16+6,EM!$AF$16-EM!$B$16)),0)+
IF(ROUND(N$11,0)&gt;=8,OFFSET(EM!$B$17,ROW($A26)-ROW($A$26)+(ROW(EM!$C$46)-ROW(EM!$C$14))*(MATCH(N$22,EM!$B$6:$B$9,0)-1),MIN(N$23-EM!$B$16+7,EM!$AF$16-EM!$B$16)),0)+
IF(ROUND(N$11,0)&gt;=9,OFFSET(EM!$B$17,ROW($A26)-ROW($A$26)+(ROW(EM!$C$46)-ROW(EM!$C$14))*(MATCH(N$22,EM!$B$6:$B$9,0)-1),MIN(N$23-EM!$B$16+8,EM!$AF$16-EM!$B$16)),0)+
IF(ROUND(N$11,0)&gt;=10,OFFSET(EM!$B$17,ROW($A26)-ROW($A$26)+(ROW(EM!$C$46)-ROW(EM!$C$14))*(MATCH(N$22,EM!$B$6:$B$9,0)-1),MIN(N$23-EM!$B$16+9,EM!$AF$16-EM!$B$16)),0)+
IF(ROUND(N$11,0)&gt;=11,OFFSET(EM!$B$17,ROW($A26)-ROW($A$26)+(ROW(EM!$C$46)-ROW(EM!$C$14))*(MATCH(N$22,EM!$B$6:$B$9,0)-1),MIN(N$23-EM!$B$16+10,EM!$AF$16-EM!$B$16)),0)+
IF(ROUND(N$11,0)&gt;=12,OFFSET(EM!$B$17,ROW($A26)-ROW($A$26)+(ROW(EM!$C$46)-ROW(EM!$C$14))*(MATCH(N$22,EM!$B$6:$B$9,0)-1),MIN(N$23-EM!$B$16+11,EM!$AF$16-EM!$B$16)),0)+
IF(ROUND(N$11,0)&gt;=13,OFFSET(EM!$B$17,ROW($A26)-ROW($A$26)+(ROW(EM!$C$46)-ROW(EM!$C$14))*(MATCH(N$22,EM!$B$6:$B$9,0)-1),MIN(N$23-EM!$B$16+12,EM!$AF$16-EM!$B$16)),0)+
IF(ROUND(N$11,0)&gt;=14,OFFSET(EM!$B$17,ROW($A26)-ROW($A$26)+(ROW(EM!$C$46)-ROW(EM!$C$14))*(MATCH(N$22,EM!$B$6:$B$9,0)-1),MIN(N$23-EM!$B$16+13,EM!$AF$16-EM!$B$16)),0)+
IF(ROUND(N$11,0)&gt;=15,OFFSET(EM!$B$17,ROW($A26)-ROW($A$26)+(ROW(EM!$C$46)-ROW(EM!$C$14))*(MATCH(N$22,EM!$B$6:$B$9,0)-1),MIN(N$23-EM!$B$16+14,EM!$AF$16-EM!$B$16)),0)+
IF(ROUND(N$11,0)&gt;=16,OFFSET(EM!$B$17,ROW($A26)-ROW($A$26)+(ROW(EM!$C$46)-ROW(EM!$C$14))*(MATCH(N$22,EM!$B$6:$B$9,0)-1),MIN(N$23-EM!$B$16+15,EM!$AF$16-EM!$B$16)),0)+
IF(ROUND(N$11,0)&gt;=17,OFFSET(EM!$B$17,ROW($A26)-ROW($A$26)+(ROW(EM!$C$46)-ROW(EM!$C$14))*(MATCH(N$22,EM!$B$6:$B$9,0)-1),MIN(N$23-EM!$B$16+16,EM!$AF$16-EM!$B$16)),0)+
IF(ROUND(N$11,0)&gt;=18,OFFSET(EM!$B$17,ROW($A26)-ROW($A$26)+(ROW(EM!$C$46)-ROW(EM!$C$14))*(MATCH(N$22,EM!$B$6:$B$9,0)-1),MIN(N$23-EM!$B$16+17,EM!$AF$16-EM!$B$16)),0)+
IF(ROUND(N$11,0)&gt;=19,OFFSET(EM!$B$17,ROW($A26)-ROW($A$26)+(ROW(EM!$C$46)-ROW(EM!$C$14))*(MATCH(N$22,EM!$B$6:$B$9,0)-1),MIN(N$23-EM!$B$16+18,EM!$AF$16-EM!$B$16)),0)+
IF(ROUND(N$11,0)&gt;=20,OFFSET(EM!$B$17,ROW($A26)-ROW($A$26)+(ROW(EM!$C$46)-ROW(EM!$C$14))*(MATCH(N$22,EM!$B$6:$B$9,0)-1),MIN(N$23-EM!$B$16+19,EM!$AF$16-EM!$B$16)),0)+
IF(ROUND(N$11,0)&gt;=21,OFFSET(EM!$B$17,ROW($A26)-ROW($A$26)+(ROW(EM!$C$46)-ROW(EM!$C$14))*(MATCH(N$22,EM!$B$6:$B$9,0)-1),MIN(N$23-EM!$B$16+20,EM!$AF$16-EM!$B$16)),0)+
IF(ROUND(N$11,0)&gt;=22,OFFSET(EM!$B$17,ROW($A26)-ROW($A$26)+(ROW(EM!$C$46)-ROW(EM!$C$14))*(MATCH(N$22,EM!$B$6:$B$9,0)-1),MIN(N$23-EM!$B$16+21,EM!$AF$16-EM!$B$16)),0)+
IF(ROUND(N$11,0)&gt;=23,OFFSET(EM!$B$17,ROW($A26)-ROW($A$26)+(ROW(EM!$C$46)-ROW(EM!$C$14))*(MATCH(N$22,EM!$B$6:$B$9,0)-1),MIN(N$23-EM!$B$16+22,EM!$AF$16-EM!$B$16)),0)+
IF(ROUND(N$11,0)&gt;=24,OFFSET(EM!$B$17,ROW($A26)-ROW($A$26)+(ROW(EM!$C$46)-ROW(EM!$C$14))*(MATCH(N$22,EM!$B$6:$B$9,0)-1),MIN(N$23-EM!$B$16+23,EM!$AF$16-EM!$B$16)),0)+
IF(ROUND(N$11,0)&gt;=25,OFFSET(EM!$B$17,ROW($A26)-ROW($A$26)+(ROW(EM!$C$46)-ROW(EM!$C$14))*(MATCH(N$22,EM!$B$6:$B$9,0)-1),MIN(N$23-EM!$B$16+24,EM!$AF$16-EM!$B$16)),0)+
IF(ROUND(N$11,0)&gt;=26,OFFSET(EM!$B$17,ROW($A26)-ROW($A$26)+(ROW(EM!$C$46)-ROW(EM!$C$14))*(MATCH(N$22,EM!$B$6:$B$9,0)-1),MIN(N$23-EM!$B$16+25,EM!$AF$16-EM!$B$16)),0)+
IF(ROUND(N$11,0)&gt;=27,OFFSET(EM!$B$17,ROW($A26)-ROW($A$26)+(ROW(EM!$C$46)-ROW(EM!$C$14))*(MATCH(N$22,EM!$B$6:$B$9,0)-1),MIN(N$23-EM!$B$16+26,EM!$AF$16-EM!$B$16)),0)+
IF(ROUND(N$11,0)&gt;=28,OFFSET(EM!$B$17,ROW($A26)-ROW($A$26)+(ROW(EM!$C$46)-ROW(EM!$C$14))*(MATCH(N$22,EM!$B$6:$B$9,0)-1),MIN(N$23-EM!$B$16+27,EM!$AF$16-EM!$B$16)),0)+
IF(ROUND(N$11,0)&gt;=29,OFFSET(EM!$B$17,ROW($A26)-ROW($A$26)+(ROW(EM!$C$46)-ROW(EM!$C$14))*(MATCH(N$22,EM!$B$6:$B$9,0)-1),MIN(N$23-EM!$B$16+28,EM!$AF$16-EM!$B$16)),0)+
IF(ROUND(N$11,0)&gt;=30,OFFSET(EM!$B$17,ROW($A26)-ROW($A$26)+(ROW(EM!$C$46)-ROW(EM!$C$14))*(MATCH(N$22,EM!$B$6:$B$9,0)-1),MIN(N$23-EM!$B$16+29,EM!$AF$16-EM!$B$16)),0)+
IF(ROUND(N$11,0)&gt;=31,OFFSET(EM!$B$17,ROW($A26)-ROW($A$26)+(ROW(EM!$C$46)-ROW(EM!$C$14))*(MATCH(N$22,EM!$B$6:$B$9,0)-1),MIN(N$23-EM!$B$16+30,EM!$AF$16-EM!$B$16)),0)+
IF(ROUND(N$11,0)&gt;=32,OFFSET(EM!$B$17,ROW($A26)-ROW($A$26)+(ROW(EM!$C$46)-ROW(EM!$C$14))*(MATCH(N$22,EM!$B$6:$B$9,0)-1),MIN(N$23-EM!$B$16+31,EM!$AF$16-EM!$B$16)),0)+
IF(ROUND(N$11,0)&gt;=33,OFFSET(EM!$B$17,ROW($A26)-ROW($A$26)+(ROW(EM!$C$46)-ROW(EM!$C$14))*(MATCH(N$22,EM!$B$6:$B$9,0)-1),MIN(N$23-EM!$B$16+32,EM!$AF$16-EM!$B$16)),0)+
IF(ROUND(N$11,0)&gt;=34,OFFSET(EM!$B$17,ROW($A26)-ROW($A$26)+(ROW(EM!$C$46)-ROW(EM!$C$14))*(MATCH(N$22,EM!$B$6:$B$9,0)-1),MIN(N$23-EM!$B$16+33,EM!$AF$16-EM!$B$16)),0)+
IF(ROUND(N$11,0)&gt;=35,OFFSET(EM!$B$17,ROW($A26)-ROW($A$26)+(ROW(EM!$C$46)-ROW(EM!$C$14))*(MATCH(N$22,EM!$B$6:$B$9,0)-1),MIN(N$23-EM!$B$16+34,EM!$AF$16-EM!$B$16)),0)+
IF(ROUND(N$11,0)&gt;=36,OFFSET(EM!$B$17,ROW($A26)-ROW($A$26)+(ROW(EM!$C$46)-ROW(EM!$C$14))*(MATCH(N$22,EM!$B$6:$B$9,0)-1),MIN(N$23-EM!$B$16+35,EM!$AF$16-EM!$B$16)),0)+
IF(ROUND(N$11,0)&gt;=37,OFFSET(EM!$B$17,ROW($A26)-ROW($A$26)+(ROW(EM!$C$46)-ROW(EM!$C$14))*(MATCH(N$22,EM!$B$6:$B$9,0)-1),MIN(N$23-EM!$B$16+36,EM!$AF$16-EM!$B$16)),0)+
IF(ROUND(N$11,0)&gt;=38,OFFSET(EM!$B$17,ROW($A26)-ROW($A$26)+(ROW(EM!$C$46)-ROW(EM!$C$14))*(MATCH(N$22,EM!$B$6:$B$9,0)-1),MIN(N$23-EM!$B$16+37,EM!$AF$16-EM!$B$16)),0)+
IF(ROUND(N$11,0)&gt;=39,OFFSET(EM!$B$17,ROW($A26)-ROW($A$26)+(ROW(EM!$C$46)-ROW(EM!$C$14))*(MATCH(N$22,EM!$B$6:$B$9,0)-1),MIN(N$23-EM!$B$16+38,EM!$AF$16-EM!$B$16)),0)+
IF(ROUND(N$11,0)&gt;=40,OFFSET(EM!$B$17,ROW($A26)-ROW($A$26)+(ROW(EM!$C$46)-ROW(EM!$C$14))*(MATCH(N$22,EM!$B$6:$B$9,0)-1),MIN(N$23-EM!$B$16+39,EM!$AF$16-EM!$B$16)),0)
)/ROUND(N$11,0),NA()))</f>
        <v>8.2561460407359205E-3</v>
      </c>
      <c r="O26" s="2046">
        <f ca="1">IF(O$19=GPG!$A$28,IF(ROW(O26)-ROW(O$26)+1=MATCH(O$20,GPG!$A$5:$A$11,0),1,0),
IF(O$19=GPG!$A$29,
(IF(ROUND(O$11,0)&gt;=1,OFFSET(EM!$B$17,ROW($A26)-ROW($A$26)+(ROW(EM!$C$46)-ROW(EM!$C$14))*(MATCH(O$22,EM!$B$6:$B$9,0)-1),MIN(O$23-EM!$B$16,EM!$AF$16-EM!$B$16)),0)+
IF(ROUND(O$11,0)&gt;=2,OFFSET(EM!$B$17,ROW($A26)-ROW($A$26)+(ROW(EM!$C$46)-ROW(EM!$C$14))*(MATCH(O$22,EM!$B$6:$B$9,0)-1),MIN(O$23-EM!$B$16+1,EM!$AF$16-EM!$B$16)),0)+
IF(ROUND(O$11,0)&gt;=3,OFFSET(EM!$B$17,ROW($A26)-ROW($A$26)+(ROW(EM!$C$46)-ROW(EM!$C$14))*(MATCH(O$22,EM!$B$6:$B$9,0)-1),MIN(O$23-EM!$B$16+2,EM!$AF$16-EM!$B$16)),0)+
IF(ROUND(O$11,0)&gt;=4,OFFSET(EM!$B$17,ROW($A26)-ROW($A$26)+(ROW(EM!$C$46)-ROW(EM!$C$14))*(MATCH(O$22,EM!$B$6:$B$9,0)-1),MIN(O$23-EM!$B$16+3,EM!$AF$16-EM!$B$16)),0)+
IF(ROUND(O$11,0)&gt;=5,OFFSET(EM!$B$17,ROW($A26)-ROW($A$26)+(ROW(EM!$C$46)-ROW(EM!$C$14))*(MATCH(O$22,EM!$B$6:$B$9,0)-1),MIN(O$23-EM!$B$16+4,EM!$AF$16-EM!$B$16)),0)+
IF(ROUND(O$11,0)&gt;=6,OFFSET(EM!$B$17,ROW($A26)-ROW($A$26)+(ROW(EM!$C$46)-ROW(EM!$C$14))*(MATCH(O$22,EM!$B$6:$B$9,0)-1),MIN(O$23-EM!$B$16+5,EM!$AF$16-EM!$B$16)),0)+
IF(ROUND(O$11,0)&gt;=7,OFFSET(EM!$B$17,ROW($A26)-ROW($A$26)+(ROW(EM!$C$46)-ROW(EM!$C$14))*(MATCH(O$22,EM!$B$6:$B$9,0)-1),MIN(O$23-EM!$B$16+6,EM!$AF$16-EM!$B$16)),0)+
IF(ROUND(O$11,0)&gt;=8,OFFSET(EM!$B$17,ROW($A26)-ROW($A$26)+(ROW(EM!$C$46)-ROW(EM!$C$14))*(MATCH(O$22,EM!$B$6:$B$9,0)-1),MIN(O$23-EM!$B$16+7,EM!$AF$16-EM!$B$16)),0)+
IF(ROUND(O$11,0)&gt;=9,OFFSET(EM!$B$17,ROW($A26)-ROW($A$26)+(ROW(EM!$C$46)-ROW(EM!$C$14))*(MATCH(O$22,EM!$B$6:$B$9,0)-1),MIN(O$23-EM!$B$16+8,EM!$AF$16-EM!$B$16)),0)+
IF(ROUND(O$11,0)&gt;=10,OFFSET(EM!$B$17,ROW($A26)-ROW($A$26)+(ROW(EM!$C$46)-ROW(EM!$C$14))*(MATCH(O$22,EM!$B$6:$B$9,0)-1),MIN(O$23-EM!$B$16+9,EM!$AF$16-EM!$B$16)),0)+
IF(ROUND(O$11,0)&gt;=11,OFFSET(EM!$B$17,ROW($A26)-ROW($A$26)+(ROW(EM!$C$46)-ROW(EM!$C$14))*(MATCH(O$22,EM!$B$6:$B$9,0)-1),MIN(O$23-EM!$B$16+10,EM!$AF$16-EM!$B$16)),0)+
IF(ROUND(O$11,0)&gt;=12,OFFSET(EM!$B$17,ROW($A26)-ROW($A$26)+(ROW(EM!$C$46)-ROW(EM!$C$14))*(MATCH(O$22,EM!$B$6:$B$9,0)-1),MIN(O$23-EM!$B$16+11,EM!$AF$16-EM!$B$16)),0)+
IF(ROUND(O$11,0)&gt;=13,OFFSET(EM!$B$17,ROW($A26)-ROW($A$26)+(ROW(EM!$C$46)-ROW(EM!$C$14))*(MATCH(O$22,EM!$B$6:$B$9,0)-1),MIN(O$23-EM!$B$16+12,EM!$AF$16-EM!$B$16)),0)+
IF(ROUND(O$11,0)&gt;=14,OFFSET(EM!$B$17,ROW($A26)-ROW($A$26)+(ROW(EM!$C$46)-ROW(EM!$C$14))*(MATCH(O$22,EM!$B$6:$B$9,0)-1),MIN(O$23-EM!$B$16+13,EM!$AF$16-EM!$B$16)),0)+
IF(ROUND(O$11,0)&gt;=15,OFFSET(EM!$B$17,ROW($A26)-ROW($A$26)+(ROW(EM!$C$46)-ROW(EM!$C$14))*(MATCH(O$22,EM!$B$6:$B$9,0)-1),MIN(O$23-EM!$B$16+14,EM!$AF$16-EM!$B$16)),0)+
IF(ROUND(O$11,0)&gt;=16,OFFSET(EM!$B$17,ROW($A26)-ROW($A$26)+(ROW(EM!$C$46)-ROW(EM!$C$14))*(MATCH(O$22,EM!$B$6:$B$9,0)-1),MIN(O$23-EM!$B$16+15,EM!$AF$16-EM!$B$16)),0)+
IF(ROUND(O$11,0)&gt;=17,OFFSET(EM!$B$17,ROW($A26)-ROW($A$26)+(ROW(EM!$C$46)-ROW(EM!$C$14))*(MATCH(O$22,EM!$B$6:$B$9,0)-1),MIN(O$23-EM!$B$16+16,EM!$AF$16-EM!$B$16)),0)+
IF(ROUND(O$11,0)&gt;=18,OFFSET(EM!$B$17,ROW($A26)-ROW($A$26)+(ROW(EM!$C$46)-ROW(EM!$C$14))*(MATCH(O$22,EM!$B$6:$B$9,0)-1),MIN(O$23-EM!$B$16+17,EM!$AF$16-EM!$B$16)),0)+
IF(ROUND(O$11,0)&gt;=19,OFFSET(EM!$B$17,ROW($A26)-ROW($A$26)+(ROW(EM!$C$46)-ROW(EM!$C$14))*(MATCH(O$22,EM!$B$6:$B$9,0)-1),MIN(O$23-EM!$B$16+18,EM!$AF$16-EM!$B$16)),0)+
IF(ROUND(O$11,0)&gt;=20,OFFSET(EM!$B$17,ROW($A26)-ROW($A$26)+(ROW(EM!$C$46)-ROW(EM!$C$14))*(MATCH(O$22,EM!$B$6:$B$9,0)-1),MIN(O$23-EM!$B$16+19,EM!$AF$16-EM!$B$16)),0)+
IF(ROUND(O$11,0)&gt;=21,OFFSET(EM!$B$17,ROW($A26)-ROW($A$26)+(ROW(EM!$C$46)-ROW(EM!$C$14))*(MATCH(O$22,EM!$B$6:$B$9,0)-1),MIN(O$23-EM!$B$16+20,EM!$AF$16-EM!$B$16)),0)+
IF(ROUND(O$11,0)&gt;=22,OFFSET(EM!$B$17,ROW($A26)-ROW($A$26)+(ROW(EM!$C$46)-ROW(EM!$C$14))*(MATCH(O$22,EM!$B$6:$B$9,0)-1),MIN(O$23-EM!$B$16+21,EM!$AF$16-EM!$B$16)),0)+
IF(ROUND(O$11,0)&gt;=23,OFFSET(EM!$B$17,ROW($A26)-ROW($A$26)+(ROW(EM!$C$46)-ROW(EM!$C$14))*(MATCH(O$22,EM!$B$6:$B$9,0)-1),MIN(O$23-EM!$B$16+22,EM!$AF$16-EM!$B$16)),0)+
IF(ROUND(O$11,0)&gt;=24,OFFSET(EM!$B$17,ROW($A26)-ROW($A$26)+(ROW(EM!$C$46)-ROW(EM!$C$14))*(MATCH(O$22,EM!$B$6:$B$9,0)-1),MIN(O$23-EM!$B$16+23,EM!$AF$16-EM!$B$16)),0)+
IF(ROUND(O$11,0)&gt;=25,OFFSET(EM!$B$17,ROW($A26)-ROW($A$26)+(ROW(EM!$C$46)-ROW(EM!$C$14))*(MATCH(O$22,EM!$B$6:$B$9,0)-1),MIN(O$23-EM!$B$16+24,EM!$AF$16-EM!$B$16)),0)+
IF(ROUND(O$11,0)&gt;=26,OFFSET(EM!$B$17,ROW($A26)-ROW($A$26)+(ROW(EM!$C$46)-ROW(EM!$C$14))*(MATCH(O$22,EM!$B$6:$B$9,0)-1),MIN(O$23-EM!$B$16+25,EM!$AF$16-EM!$B$16)),0)+
IF(ROUND(O$11,0)&gt;=27,OFFSET(EM!$B$17,ROW($A26)-ROW($A$26)+(ROW(EM!$C$46)-ROW(EM!$C$14))*(MATCH(O$22,EM!$B$6:$B$9,0)-1),MIN(O$23-EM!$B$16+26,EM!$AF$16-EM!$B$16)),0)+
IF(ROUND(O$11,0)&gt;=28,OFFSET(EM!$B$17,ROW($A26)-ROW($A$26)+(ROW(EM!$C$46)-ROW(EM!$C$14))*(MATCH(O$22,EM!$B$6:$B$9,0)-1),MIN(O$23-EM!$B$16+27,EM!$AF$16-EM!$B$16)),0)+
IF(ROUND(O$11,0)&gt;=29,OFFSET(EM!$B$17,ROW($A26)-ROW($A$26)+(ROW(EM!$C$46)-ROW(EM!$C$14))*(MATCH(O$22,EM!$B$6:$B$9,0)-1),MIN(O$23-EM!$B$16+28,EM!$AF$16-EM!$B$16)),0)+
IF(ROUND(O$11,0)&gt;=30,OFFSET(EM!$B$17,ROW($A26)-ROW($A$26)+(ROW(EM!$C$46)-ROW(EM!$C$14))*(MATCH(O$22,EM!$B$6:$B$9,0)-1),MIN(O$23-EM!$B$16+29,EM!$AF$16-EM!$B$16)),0)+
IF(ROUND(O$11,0)&gt;=31,OFFSET(EM!$B$17,ROW($A26)-ROW($A$26)+(ROW(EM!$C$46)-ROW(EM!$C$14))*(MATCH(O$22,EM!$B$6:$B$9,0)-1),MIN(O$23-EM!$B$16+30,EM!$AF$16-EM!$B$16)),0)+
IF(ROUND(O$11,0)&gt;=32,OFFSET(EM!$B$17,ROW($A26)-ROW($A$26)+(ROW(EM!$C$46)-ROW(EM!$C$14))*(MATCH(O$22,EM!$B$6:$B$9,0)-1),MIN(O$23-EM!$B$16+31,EM!$AF$16-EM!$B$16)),0)+
IF(ROUND(O$11,0)&gt;=33,OFFSET(EM!$B$17,ROW($A26)-ROW($A$26)+(ROW(EM!$C$46)-ROW(EM!$C$14))*(MATCH(O$22,EM!$B$6:$B$9,0)-1),MIN(O$23-EM!$B$16+32,EM!$AF$16-EM!$B$16)),0)+
IF(ROUND(O$11,0)&gt;=34,OFFSET(EM!$B$17,ROW($A26)-ROW($A$26)+(ROW(EM!$C$46)-ROW(EM!$C$14))*(MATCH(O$22,EM!$B$6:$B$9,0)-1),MIN(O$23-EM!$B$16+33,EM!$AF$16-EM!$B$16)),0)+
IF(ROUND(O$11,0)&gt;=35,OFFSET(EM!$B$17,ROW($A26)-ROW($A$26)+(ROW(EM!$C$46)-ROW(EM!$C$14))*(MATCH(O$22,EM!$B$6:$B$9,0)-1),MIN(O$23-EM!$B$16+34,EM!$AF$16-EM!$B$16)),0)+
IF(ROUND(O$11,0)&gt;=36,OFFSET(EM!$B$17,ROW($A26)-ROW($A$26)+(ROW(EM!$C$46)-ROW(EM!$C$14))*(MATCH(O$22,EM!$B$6:$B$9,0)-1),MIN(O$23-EM!$B$16+35,EM!$AF$16-EM!$B$16)),0)+
IF(ROUND(O$11,0)&gt;=37,OFFSET(EM!$B$17,ROW($A26)-ROW($A$26)+(ROW(EM!$C$46)-ROW(EM!$C$14))*(MATCH(O$22,EM!$B$6:$B$9,0)-1),MIN(O$23-EM!$B$16+36,EM!$AF$16-EM!$B$16)),0)+
IF(ROUND(O$11,0)&gt;=38,OFFSET(EM!$B$17,ROW($A26)-ROW($A$26)+(ROW(EM!$C$46)-ROW(EM!$C$14))*(MATCH(O$22,EM!$B$6:$B$9,0)-1),MIN(O$23-EM!$B$16+37,EM!$AF$16-EM!$B$16)),0)+
IF(ROUND(O$11,0)&gt;=39,OFFSET(EM!$B$17,ROW($A26)-ROW($A$26)+(ROW(EM!$C$46)-ROW(EM!$C$14))*(MATCH(O$22,EM!$B$6:$B$9,0)-1),MIN(O$23-EM!$B$16+38,EM!$AF$16-EM!$B$16)),0)+
IF(ROUND(O$11,0)&gt;=40,OFFSET(EM!$B$17,ROW($A26)-ROW($A$26)+(ROW(EM!$C$46)-ROW(EM!$C$14))*(MATCH(O$22,EM!$B$6:$B$9,0)-1),MIN(O$23-EM!$B$16+39,EM!$AF$16-EM!$B$16)),0)
)/ROUND(O$11,0),NA()))</f>
        <v>5.0412668060949824E-3</v>
      </c>
      <c r="P26" s="2046">
        <f ca="1">IF(P$19=GPG!$A$28,IF(ROW(P26)-ROW(P$26)+1=MATCH(P$20,GPG!$A$5:$A$11,0),1,0),
IF(P$19=GPG!$A$29,
(IF(ROUND(P$11,0)&gt;=1,OFFSET(EM!$B$17,ROW($A26)-ROW($A$26)+(ROW(EM!$C$46)-ROW(EM!$C$14))*(MATCH(P$22,EM!$B$6:$B$9,0)-1),MIN(P$23-EM!$B$16,EM!$AF$16-EM!$B$16)),0)+
IF(ROUND(P$11,0)&gt;=2,OFFSET(EM!$B$17,ROW($A26)-ROW($A$26)+(ROW(EM!$C$46)-ROW(EM!$C$14))*(MATCH(P$22,EM!$B$6:$B$9,0)-1),MIN(P$23-EM!$B$16+1,EM!$AF$16-EM!$B$16)),0)+
IF(ROUND(P$11,0)&gt;=3,OFFSET(EM!$B$17,ROW($A26)-ROW($A$26)+(ROW(EM!$C$46)-ROW(EM!$C$14))*(MATCH(P$22,EM!$B$6:$B$9,0)-1),MIN(P$23-EM!$B$16+2,EM!$AF$16-EM!$B$16)),0)+
IF(ROUND(P$11,0)&gt;=4,OFFSET(EM!$B$17,ROW($A26)-ROW($A$26)+(ROW(EM!$C$46)-ROW(EM!$C$14))*(MATCH(P$22,EM!$B$6:$B$9,0)-1),MIN(P$23-EM!$B$16+3,EM!$AF$16-EM!$B$16)),0)+
IF(ROUND(P$11,0)&gt;=5,OFFSET(EM!$B$17,ROW($A26)-ROW($A$26)+(ROW(EM!$C$46)-ROW(EM!$C$14))*(MATCH(P$22,EM!$B$6:$B$9,0)-1),MIN(P$23-EM!$B$16+4,EM!$AF$16-EM!$B$16)),0)+
IF(ROUND(P$11,0)&gt;=6,OFFSET(EM!$B$17,ROW($A26)-ROW($A$26)+(ROW(EM!$C$46)-ROW(EM!$C$14))*(MATCH(P$22,EM!$B$6:$B$9,0)-1),MIN(P$23-EM!$B$16+5,EM!$AF$16-EM!$B$16)),0)+
IF(ROUND(P$11,0)&gt;=7,OFFSET(EM!$B$17,ROW($A26)-ROW($A$26)+(ROW(EM!$C$46)-ROW(EM!$C$14))*(MATCH(P$22,EM!$B$6:$B$9,0)-1),MIN(P$23-EM!$B$16+6,EM!$AF$16-EM!$B$16)),0)+
IF(ROUND(P$11,0)&gt;=8,OFFSET(EM!$B$17,ROW($A26)-ROW($A$26)+(ROW(EM!$C$46)-ROW(EM!$C$14))*(MATCH(P$22,EM!$B$6:$B$9,0)-1),MIN(P$23-EM!$B$16+7,EM!$AF$16-EM!$B$16)),0)+
IF(ROUND(P$11,0)&gt;=9,OFFSET(EM!$B$17,ROW($A26)-ROW($A$26)+(ROW(EM!$C$46)-ROW(EM!$C$14))*(MATCH(P$22,EM!$B$6:$B$9,0)-1),MIN(P$23-EM!$B$16+8,EM!$AF$16-EM!$B$16)),0)+
IF(ROUND(P$11,0)&gt;=10,OFFSET(EM!$B$17,ROW($A26)-ROW($A$26)+(ROW(EM!$C$46)-ROW(EM!$C$14))*(MATCH(P$22,EM!$B$6:$B$9,0)-1),MIN(P$23-EM!$B$16+9,EM!$AF$16-EM!$B$16)),0)+
IF(ROUND(P$11,0)&gt;=11,OFFSET(EM!$B$17,ROW($A26)-ROW($A$26)+(ROW(EM!$C$46)-ROW(EM!$C$14))*(MATCH(P$22,EM!$B$6:$B$9,0)-1),MIN(P$23-EM!$B$16+10,EM!$AF$16-EM!$B$16)),0)+
IF(ROUND(P$11,0)&gt;=12,OFFSET(EM!$B$17,ROW($A26)-ROW($A$26)+(ROW(EM!$C$46)-ROW(EM!$C$14))*(MATCH(P$22,EM!$B$6:$B$9,0)-1),MIN(P$23-EM!$B$16+11,EM!$AF$16-EM!$B$16)),0)+
IF(ROUND(P$11,0)&gt;=13,OFFSET(EM!$B$17,ROW($A26)-ROW($A$26)+(ROW(EM!$C$46)-ROW(EM!$C$14))*(MATCH(P$22,EM!$B$6:$B$9,0)-1),MIN(P$23-EM!$B$16+12,EM!$AF$16-EM!$B$16)),0)+
IF(ROUND(P$11,0)&gt;=14,OFFSET(EM!$B$17,ROW($A26)-ROW($A$26)+(ROW(EM!$C$46)-ROW(EM!$C$14))*(MATCH(P$22,EM!$B$6:$B$9,0)-1),MIN(P$23-EM!$B$16+13,EM!$AF$16-EM!$B$16)),0)+
IF(ROUND(P$11,0)&gt;=15,OFFSET(EM!$B$17,ROW($A26)-ROW($A$26)+(ROW(EM!$C$46)-ROW(EM!$C$14))*(MATCH(P$22,EM!$B$6:$B$9,0)-1),MIN(P$23-EM!$B$16+14,EM!$AF$16-EM!$B$16)),0)+
IF(ROUND(P$11,0)&gt;=16,OFFSET(EM!$B$17,ROW($A26)-ROW($A$26)+(ROW(EM!$C$46)-ROW(EM!$C$14))*(MATCH(P$22,EM!$B$6:$B$9,0)-1),MIN(P$23-EM!$B$16+15,EM!$AF$16-EM!$B$16)),0)+
IF(ROUND(P$11,0)&gt;=17,OFFSET(EM!$B$17,ROW($A26)-ROW($A$26)+(ROW(EM!$C$46)-ROW(EM!$C$14))*(MATCH(P$22,EM!$B$6:$B$9,0)-1),MIN(P$23-EM!$B$16+16,EM!$AF$16-EM!$B$16)),0)+
IF(ROUND(P$11,0)&gt;=18,OFFSET(EM!$B$17,ROW($A26)-ROW($A$26)+(ROW(EM!$C$46)-ROW(EM!$C$14))*(MATCH(P$22,EM!$B$6:$B$9,0)-1),MIN(P$23-EM!$B$16+17,EM!$AF$16-EM!$B$16)),0)+
IF(ROUND(P$11,0)&gt;=19,OFFSET(EM!$B$17,ROW($A26)-ROW($A$26)+(ROW(EM!$C$46)-ROW(EM!$C$14))*(MATCH(P$22,EM!$B$6:$B$9,0)-1),MIN(P$23-EM!$B$16+18,EM!$AF$16-EM!$B$16)),0)+
IF(ROUND(P$11,0)&gt;=20,OFFSET(EM!$B$17,ROW($A26)-ROW($A$26)+(ROW(EM!$C$46)-ROW(EM!$C$14))*(MATCH(P$22,EM!$B$6:$B$9,0)-1),MIN(P$23-EM!$B$16+19,EM!$AF$16-EM!$B$16)),0)+
IF(ROUND(P$11,0)&gt;=21,OFFSET(EM!$B$17,ROW($A26)-ROW($A$26)+(ROW(EM!$C$46)-ROW(EM!$C$14))*(MATCH(P$22,EM!$B$6:$B$9,0)-1),MIN(P$23-EM!$B$16+20,EM!$AF$16-EM!$B$16)),0)+
IF(ROUND(P$11,0)&gt;=22,OFFSET(EM!$B$17,ROW($A26)-ROW($A$26)+(ROW(EM!$C$46)-ROW(EM!$C$14))*(MATCH(P$22,EM!$B$6:$B$9,0)-1),MIN(P$23-EM!$B$16+21,EM!$AF$16-EM!$B$16)),0)+
IF(ROUND(P$11,0)&gt;=23,OFFSET(EM!$B$17,ROW($A26)-ROW($A$26)+(ROW(EM!$C$46)-ROW(EM!$C$14))*(MATCH(P$22,EM!$B$6:$B$9,0)-1),MIN(P$23-EM!$B$16+22,EM!$AF$16-EM!$B$16)),0)+
IF(ROUND(P$11,0)&gt;=24,OFFSET(EM!$B$17,ROW($A26)-ROW($A$26)+(ROW(EM!$C$46)-ROW(EM!$C$14))*(MATCH(P$22,EM!$B$6:$B$9,0)-1),MIN(P$23-EM!$B$16+23,EM!$AF$16-EM!$B$16)),0)+
IF(ROUND(P$11,0)&gt;=25,OFFSET(EM!$B$17,ROW($A26)-ROW($A$26)+(ROW(EM!$C$46)-ROW(EM!$C$14))*(MATCH(P$22,EM!$B$6:$B$9,0)-1),MIN(P$23-EM!$B$16+24,EM!$AF$16-EM!$B$16)),0)+
IF(ROUND(P$11,0)&gt;=26,OFFSET(EM!$B$17,ROW($A26)-ROW($A$26)+(ROW(EM!$C$46)-ROW(EM!$C$14))*(MATCH(P$22,EM!$B$6:$B$9,0)-1),MIN(P$23-EM!$B$16+25,EM!$AF$16-EM!$B$16)),0)+
IF(ROUND(P$11,0)&gt;=27,OFFSET(EM!$B$17,ROW($A26)-ROW($A$26)+(ROW(EM!$C$46)-ROW(EM!$C$14))*(MATCH(P$22,EM!$B$6:$B$9,0)-1),MIN(P$23-EM!$B$16+26,EM!$AF$16-EM!$B$16)),0)+
IF(ROUND(P$11,0)&gt;=28,OFFSET(EM!$B$17,ROW($A26)-ROW($A$26)+(ROW(EM!$C$46)-ROW(EM!$C$14))*(MATCH(P$22,EM!$B$6:$B$9,0)-1),MIN(P$23-EM!$B$16+27,EM!$AF$16-EM!$B$16)),0)+
IF(ROUND(P$11,0)&gt;=29,OFFSET(EM!$B$17,ROW($A26)-ROW($A$26)+(ROW(EM!$C$46)-ROW(EM!$C$14))*(MATCH(P$22,EM!$B$6:$B$9,0)-1),MIN(P$23-EM!$B$16+28,EM!$AF$16-EM!$B$16)),0)+
IF(ROUND(P$11,0)&gt;=30,OFFSET(EM!$B$17,ROW($A26)-ROW($A$26)+(ROW(EM!$C$46)-ROW(EM!$C$14))*(MATCH(P$22,EM!$B$6:$B$9,0)-1),MIN(P$23-EM!$B$16+29,EM!$AF$16-EM!$B$16)),0)+
IF(ROUND(P$11,0)&gt;=31,OFFSET(EM!$B$17,ROW($A26)-ROW($A$26)+(ROW(EM!$C$46)-ROW(EM!$C$14))*(MATCH(P$22,EM!$B$6:$B$9,0)-1),MIN(P$23-EM!$B$16+30,EM!$AF$16-EM!$B$16)),0)+
IF(ROUND(P$11,0)&gt;=32,OFFSET(EM!$B$17,ROW($A26)-ROW($A$26)+(ROW(EM!$C$46)-ROW(EM!$C$14))*(MATCH(P$22,EM!$B$6:$B$9,0)-1),MIN(P$23-EM!$B$16+31,EM!$AF$16-EM!$B$16)),0)+
IF(ROUND(P$11,0)&gt;=33,OFFSET(EM!$B$17,ROW($A26)-ROW($A$26)+(ROW(EM!$C$46)-ROW(EM!$C$14))*(MATCH(P$22,EM!$B$6:$B$9,0)-1),MIN(P$23-EM!$B$16+32,EM!$AF$16-EM!$B$16)),0)+
IF(ROUND(P$11,0)&gt;=34,OFFSET(EM!$B$17,ROW($A26)-ROW($A$26)+(ROW(EM!$C$46)-ROW(EM!$C$14))*(MATCH(P$22,EM!$B$6:$B$9,0)-1),MIN(P$23-EM!$B$16+33,EM!$AF$16-EM!$B$16)),0)+
IF(ROUND(P$11,0)&gt;=35,OFFSET(EM!$B$17,ROW($A26)-ROW($A$26)+(ROW(EM!$C$46)-ROW(EM!$C$14))*(MATCH(P$22,EM!$B$6:$B$9,0)-1),MIN(P$23-EM!$B$16+34,EM!$AF$16-EM!$B$16)),0)+
IF(ROUND(P$11,0)&gt;=36,OFFSET(EM!$B$17,ROW($A26)-ROW($A$26)+(ROW(EM!$C$46)-ROW(EM!$C$14))*(MATCH(P$22,EM!$B$6:$B$9,0)-1),MIN(P$23-EM!$B$16+35,EM!$AF$16-EM!$B$16)),0)+
IF(ROUND(P$11,0)&gt;=37,OFFSET(EM!$B$17,ROW($A26)-ROW($A$26)+(ROW(EM!$C$46)-ROW(EM!$C$14))*(MATCH(P$22,EM!$B$6:$B$9,0)-1),MIN(P$23-EM!$B$16+36,EM!$AF$16-EM!$B$16)),0)+
IF(ROUND(P$11,0)&gt;=38,OFFSET(EM!$B$17,ROW($A26)-ROW($A$26)+(ROW(EM!$C$46)-ROW(EM!$C$14))*(MATCH(P$22,EM!$B$6:$B$9,0)-1),MIN(P$23-EM!$B$16+37,EM!$AF$16-EM!$B$16)),0)+
IF(ROUND(P$11,0)&gt;=39,OFFSET(EM!$B$17,ROW($A26)-ROW($A$26)+(ROW(EM!$C$46)-ROW(EM!$C$14))*(MATCH(P$22,EM!$B$6:$B$9,0)-1),MIN(P$23-EM!$B$16+38,EM!$AF$16-EM!$B$16)),0)+
IF(ROUND(P$11,0)&gt;=40,OFFSET(EM!$B$17,ROW($A26)-ROW($A$26)+(ROW(EM!$C$46)-ROW(EM!$C$14))*(MATCH(P$22,EM!$B$6:$B$9,0)-1),MIN(P$23-EM!$B$16+39,EM!$AF$16-EM!$B$16)),0)
)/ROUND(P$11,0),NA()))</f>
        <v>5.0412668060949824E-3</v>
      </c>
      <c r="Q26" s="2046">
        <f ca="1">IF(Q$19=GPG!$A$28,IF(ROW(Q26)-ROW(Q$26)+1=MATCH(Q$20,GPG!$A$5:$A$11,0),1,0),
IF(Q$19=GPG!$A$29,
(IF(ROUND(Q$11,0)&gt;=1,OFFSET(EM!$B$17,ROW($A26)-ROW($A$26)+(ROW(EM!$C$46)-ROW(EM!$C$14))*(MATCH(Q$22,EM!$B$6:$B$9,0)-1),MIN(Q$23-EM!$B$16,EM!$AF$16-EM!$B$16)),0)+
IF(ROUND(Q$11,0)&gt;=2,OFFSET(EM!$B$17,ROW($A26)-ROW($A$26)+(ROW(EM!$C$46)-ROW(EM!$C$14))*(MATCH(Q$22,EM!$B$6:$B$9,0)-1),MIN(Q$23-EM!$B$16+1,EM!$AF$16-EM!$B$16)),0)+
IF(ROUND(Q$11,0)&gt;=3,OFFSET(EM!$B$17,ROW($A26)-ROW($A$26)+(ROW(EM!$C$46)-ROW(EM!$C$14))*(MATCH(Q$22,EM!$B$6:$B$9,0)-1),MIN(Q$23-EM!$B$16+2,EM!$AF$16-EM!$B$16)),0)+
IF(ROUND(Q$11,0)&gt;=4,OFFSET(EM!$B$17,ROW($A26)-ROW($A$26)+(ROW(EM!$C$46)-ROW(EM!$C$14))*(MATCH(Q$22,EM!$B$6:$B$9,0)-1),MIN(Q$23-EM!$B$16+3,EM!$AF$16-EM!$B$16)),0)+
IF(ROUND(Q$11,0)&gt;=5,OFFSET(EM!$B$17,ROW($A26)-ROW($A$26)+(ROW(EM!$C$46)-ROW(EM!$C$14))*(MATCH(Q$22,EM!$B$6:$B$9,0)-1),MIN(Q$23-EM!$B$16+4,EM!$AF$16-EM!$B$16)),0)+
IF(ROUND(Q$11,0)&gt;=6,OFFSET(EM!$B$17,ROW($A26)-ROW($A$26)+(ROW(EM!$C$46)-ROW(EM!$C$14))*(MATCH(Q$22,EM!$B$6:$B$9,0)-1),MIN(Q$23-EM!$B$16+5,EM!$AF$16-EM!$B$16)),0)+
IF(ROUND(Q$11,0)&gt;=7,OFFSET(EM!$B$17,ROW($A26)-ROW($A$26)+(ROW(EM!$C$46)-ROW(EM!$C$14))*(MATCH(Q$22,EM!$B$6:$B$9,0)-1),MIN(Q$23-EM!$B$16+6,EM!$AF$16-EM!$B$16)),0)+
IF(ROUND(Q$11,0)&gt;=8,OFFSET(EM!$B$17,ROW($A26)-ROW($A$26)+(ROW(EM!$C$46)-ROW(EM!$C$14))*(MATCH(Q$22,EM!$B$6:$B$9,0)-1),MIN(Q$23-EM!$B$16+7,EM!$AF$16-EM!$B$16)),0)+
IF(ROUND(Q$11,0)&gt;=9,OFFSET(EM!$B$17,ROW($A26)-ROW($A$26)+(ROW(EM!$C$46)-ROW(EM!$C$14))*(MATCH(Q$22,EM!$B$6:$B$9,0)-1),MIN(Q$23-EM!$B$16+8,EM!$AF$16-EM!$B$16)),0)+
IF(ROUND(Q$11,0)&gt;=10,OFFSET(EM!$B$17,ROW($A26)-ROW($A$26)+(ROW(EM!$C$46)-ROW(EM!$C$14))*(MATCH(Q$22,EM!$B$6:$B$9,0)-1),MIN(Q$23-EM!$B$16+9,EM!$AF$16-EM!$B$16)),0)+
IF(ROUND(Q$11,0)&gt;=11,OFFSET(EM!$B$17,ROW($A26)-ROW($A$26)+(ROW(EM!$C$46)-ROW(EM!$C$14))*(MATCH(Q$22,EM!$B$6:$B$9,0)-1),MIN(Q$23-EM!$B$16+10,EM!$AF$16-EM!$B$16)),0)+
IF(ROUND(Q$11,0)&gt;=12,OFFSET(EM!$B$17,ROW($A26)-ROW($A$26)+(ROW(EM!$C$46)-ROW(EM!$C$14))*(MATCH(Q$22,EM!$B$6:$B$9,0)-1),MIN(Q$23-EM!$B$16+11,EM!$AF$16-EM!$B$16)),0)+
IF(ROUND(Q$11,0)&gt;=13,OFFSET(EM!$B$17,ROW($A26)-ROW($A$26)+(ROW(EM!$C$46)-ROW(EM!$C$14))*(MATCH(Q$22,EM!$B$6:$B$9,0)-1),MIN(Q$23-EM!$B$16+12,EM!$AF$16-EM!$B$16)),0)+
IF(ROUND(Q$11,0)&gt;=14,OFFSET(EM!$B$17,ROW($A26)-ROW($A$26)+(ROW(EM!$C$46)-ROW(EM!$C$14))*(MATCH(Q$22,EM!$B$6:$B$9,0)-1),MIN(Q$23-EM!$B$16+13,EM!$AF$16-EM!$B$16)),0)+
IF(ROUND(Q$11,0)&gt;=15,OFFSET(EM!$B$17,ROW($A26)-ROW($A$26)+(ROW(EM!$C$46)-ROW(EM!$C$14))*(MATCH(Q$22,EM!$B$6:$B$9,0)-1),MIN(Q$23-EM!$B$16+14,EM!$AF$16-EM!$B$16)),0)+
IF(ROUND(Q$11,0)&gt;=16,OFFSET(EM!$B$17,ROW($A26)-ROW($A$26)+(ROW(EM!$C$46)-ROW(EM!$C$14))*(MATCH(Q$22,EM!$B$6:$B$9,0)-1),MIN(Q$23-EM!$B$16+15,EM!$AF$16-EM!$B$16)),0)+
IF(ROUND(Q$11,0)&gt;=17,OFFSET(EM!$B$17,ROW($A26)-ROW($A$26)+(ROW(EM!$C$46)-ROW(EM!$C$14))*(MATCH(Q$22,EM!$B$6:$B$9,0)-1),MIN(Q$23-EM!$B$16+16,EM!$AF$16-EM!$B$16)),0)+
IF(ROUND(Q$11,0)&gt;=18,OFFSET(EM!$B$17,ROW($A26)-ROW($A$26)+(ROW(EM!$C$46)-ROW(EM!$C$14))*(MATCH(Q$22,EM!$B$6:$B$9,0)-1),MIN(Q$23-EM!$B$16+17,EM!$AF$16-EM!$B$16)),0)+
IF(ROUND(Q$11,0)&gt;=19,OFFSET(EM!$B$17,ROW($A26)-ROW($A$26)+(ROW(EM!$C$46)-ROW(EM!$C$14))*(MATCH(Q$22,EM!$B$6:$B$9,0)-1),MIN(Q$23-EM!$B$16+18,EM!$AF$16-EM!$B$16)),0)+
IF(ROUND(Q$11,0)&gt;=20,OFFSET(EM!$B$17,ROW($A26)-ROW($A$26)+(ROW(EM!$C$46)-ROW(EM!$C$14))*(MATCH(Q$22,EM!$B$6:$B$9,0)-1),MIN(Q$23-EM!$B$16+19,EM!$AF$16-EM!$B$16)),0)+
IF(ROUND(Q$11,0)&gt;=21,OFFSET(EM!$B$17,ROW($A26)-ROW($A$26)+(ROW(EM!$C$46)-ROW(EM!$C$14))*(MATCH(Q$22,EM!$B$6:$B$9,0)-1),MIN(Q$23-EM!$B$16+20,EM!$AF$16-EM!$B$16)),0)+
IF(ROUND(Q$11,0)&gt;=22,OFFSET(EM!$B$17,ROW($A26)-ROW($A$26)+(ROW(EM!$C$46)-ROW(EM!$C$14))*(MATCH(Q$22,EM!$B$6:$B$9,0)-1),MIN(Q$23-EM!$B$16+21,EM!$AF$16-EM!$B$16)),0)+
IF(ROUND(Q$11,0)&gt;=23,OFFSET(EM!$B$17,ROW($A26)-ROW($A$26)+(ROW(EM!$C$46)-ROW(EM!$C$14))*(MATCH(Q$22,EM!$B$6:$B$9,0)-1),MIN(Q$23-EM!$B$16+22,EM!$AF$16-EM!$B$16)),0)+
IF(ROUND(Q$11,0)&gt;=24,OFFSET(EM!$B$17,ROW($A26)-ROW($A$26)+(ROW(EM!$C$46)-ROW(EM!$C$14))*(MATCH(Q$22,EM!$B$6:$B$9,0)-1),MIN(Q$23-EM!$B$16+23,EM!$AF$16-EM!$B$16)),0)+
IF(ROUND(Q$11,0)&gt;=25,OFFSET(EM!$B$17,ROW($A26)-ROW($A$26)+(ROW(EM!$C$46)-ROW(EM!$C$14))*(MATCH(Q$22,EM!$B$6:$B$9,0)-1),MIN(Q$23-EM!$B$16+24,EM!$AF$16-EM!$B$16)),0)+
IF(ROUND(Q$11,0)&gt;=26,OFFSET(EM!$B$17,ROW($A26)-ROW($A$26)+(ROW(EM!$C$46)-ROW(EM!$C$14))*(MATCH(Q$22,EM!$B$6:$B$9,0)-1),MIN(Q$23-EM!$B$16+25,EM!$AF$16-EM!$B$16)),0)+
IF(ROUND(Q$11,0)&gt;=27,OFFSET(EM!$B$17,ROW($A26)-ROW($A$26)+(ROW(EM!$C$46)-ROW(EM!$C$14))*(MATCH(Q$22,EM!$B$6:$B$9,0)-1),MIN(Q$23-EM!$B$16+26,EM!$AF$16-EM!$B$16)),0)+
IF(ROUND(Q$11,0)&gt;=28,OFFSET(EM!$B$17,ROW($A26)-ROW($A$26)+(ROW(EM!$C$46)-ROW(EM!$C$14))*(MATCH(Q$22,EM!$B$6:$B$9,0)-1),MIN(Q$23-EM!$B$16+27,EM!$AF$16-EM!$B$16)),0)+
IF(ROUND(Q$11,0)&gt;=29,OFFSET(EM!$B$17,ROW($A26)-ROW($A$26)+(ROW(EM!$C$46)-ROW(EM!$C$14))*(MATCH(Q$22,EM!$B$6:$B$9,0)-1),MIN(Q$23-EM!$B$16+28,EM!$AF$16-EM!$B$16)),0)+
IF(ROUND(Q$11,0)&gt;=30,OFFSET(EM!$B$17,ROW($A26)-ROW($A$26)+(ROW(EM!$C$46)-ROW(EM!$C$14))*(MATCH(Q$22,EM!$B$6:$B$9,0)-1),MIN(Q$23-EM!$B$16+29,EM!$AF$16-EM!$B$16)),0)+
IF(ROUND(Q$11,0)&gt;=31,OFFSET(EM!$B$17,ROW($A26)-ROW($A$26)+(ROW(EM!$C$46)-ROW(EM!$C$14))*(MATCH(Q$22,EM!$B$6:$B$9,0)-1),MIN(Q$23-EM!$B$16+30,EM!$AF$16-EM!$B$16)),0)+
IF(ROUND(Q$11,0)&gt;=32,OFFSET(EM!$B$17,ROW($A26)-ROW($A$26)+(ROW(EM!$C$46)-ROW(EM!$C$14))*(MATCH(Q$22,EM!$B$6:$B$9,0)-1),MIN(Q$23-EM!$B$16+31,EM!$AF$16-EM!$B$16)),0)+
IF(ROUND(Q$11,0)&gt;=33,OFFSET(EM!$B$17,ROW($A26)-ROW($A$26)+(ROW(EM!$C$46)-ROW(EM!$C$14))*(MATCH(Q$22,EM!$B$6:$B$9,0)-1),MIN(Q$23-EM!$B$16+32,EM!$AF$16-EM!$B$16)),0)+
IF(ROUND(Q$11,0)&gt;=34,OFFSET(EM!$B$17,ROW($A26)-ROW($A$26)+(ROW(EM!$C$46)-ROW(EM!$C$14))*(MATCH(Q$22,EM!$B$6:$B$9,0)-1),MIN(Q$23-EM!$B$16+33,EM!$AF$16-EM!$B$16)),0)+
IF(ROUND(Q$11,0)&gt;=35,OFFSET(EM!$B$17,ROW($A26)-ROW($A$26)+(ROW(EM!$C$46)-ROW(EM!$C$14))*(MATCH(Q$22,EM!$B$6:$B$9,0)-1),MIN(Q$23-EM!$B$16+34,EM!$AF$16-EM!$B$16)),0)+
IF(ROUND(Q$11,0)&gt;=36,OFFSET(EM!$B$17,ROW($A26)-ROW($A$26)+(ROW(EM!$C$46)-ROW(EM!$C$14))*(MATCH(Q$22,EM!$B$6:$B$9,0)-1),MIN(Q$23-EM!$B$16+35,EM!$AF$16-EM!$B$16)),0)+
IF(ROUND(Q$11,0)&gt;=37,OFFSET(EM!$B$17,ROW($A26)-ROW($A$26)+(ROW(EM!$C$46)-ROW(EM!$C$14))*(MATCH(Q$22,EM!$B$6:$B$9,0)-1),MIN(Q$23-EM!$B$16+36,EM!$AF$16-EM!$B$16)),0)+
IF(ROUND(Q$11,0)&gt;=38,OFFSET(EM!$B$17,ROW($A26)-ROW($A$26)+(ROW(EM!$C$46)-ROW(EM!$C$14))*(MATCH(Q$22,EM!$B$6:$B$9,0)-1),MIN(Q$23-EM!$B$16+37,EM!$AF$16-EM!$B$16)),0)+
IF(ROUND(Q$11,0)&gt;=39,OFFSET(EM!$B$17,ROW($A26)-ROW($A$26)+(ROW(EM!$C$46)-ROW(EM!$C$14))*(MATCH(Q$22,EM!$B$6:$B$9,0)-1),MIN(Q$23-EM!$B$16+38,EM!$AF$16-EM!$B$16)),0)+
IF(ROUND(Q$11,0)&gt;=40,OFFSET(EM!$B$17,ROW($A26)-ROW($A$26)+(ROW(EM!$C$46)-ROW(EM!$C$14))*(MATCH(Q$22,EM!$B$6:$B$9,0)-1),MIN(Q$23-EM!$B$16+39,EM!$AF$16-EM!$B$16)),0)
)/ROUND(Q$11,0),NA()))</f>
        <v>5.0412668060949824E-3</v>
      </c>
      <c r="R26" s="2046">
        <f ca="1">IF(R$19=GPG!$A$28,IF(ROW(R26)-ROW(R$26)+1=MATCH(R$20,GPG!$A$5:$A$11,0),1,0),
IF(R$19=GPG!$A$29,
(IF(ROUND(R$11,0)&gt;=1,OFFSET(EM!$B$17,ROW($A26)-ROW($A$26)+(ROW(EM!$C$46)-ROW(EM!$C$14))*(MATCH(R$22,EM!$B$6:$B$9,0)-1),MIN(R$23-EM!$B$16,EM!$AF$16-EM!$B$16)),0)+
IF(ROUND(R$11,0)&gt;=2,OFFSET(EM!$B$17,ROW($A26)-ROW($A$26)+(ROW(EM!$C$46)-ROW(EM!$C$14))*(MATCH(R$22,EM!$B$6:$B$9,0)-1),MIN(R$23-EM!$B$16+1,EM!$AF$16-EM!$B$16)),0)+
IF(ROUND(R$11,0)&gt;=3,OFFSET(EM!$B$17,ROW($A26)-ROW($A$26)+(ROW(EM!$C$46)-ROW(EM!$C$14))*(MATCH(R$22,EM!$B$6:$B$9,0)-1),MIN(R$23-EM!$B$16+2,EM!$AF$16-EM!$B$16)),0)+
IF(ROUND(R$11,0)&gt;=4,OFFSET(EM!$B$17,ROW($A26)-ROW($A$26)+(ROW(EM!$C$46)-ROW(EM!$C$14))*(MATCH(R$22,EM!$B$6:$B$9,0)-1),MIN(R$23-EM!$B$16+3,EM!$AF$16-EM!$B$16)),0)+
IF(ROUND(R$11,0)&gt;=5,OFFSET(EM!$B$17,ROW($A26)-ROW($A$26)+(ROW(EM!$C$46)-ROW(EM!$C$14))*(MATCH(R$22,EM!$B$6:$B$9,0)-1),MIN(R$23-EM!$B$16+4,EM!$AF$16-EM!$B$16)),0)+
IF(ROUND(R$11,0)&gt;=6,OFFSET(EM!$B$17,ROW($A26)-ROW($A$26)+(ROW(EM!$C$46)-ROW(EM!$C$14))*(MATCH(R$22,EM!$B$6:$B$9,0)-1),MIN(R$23-EM!$B$16+5,EM!$AF$16-EM!$B$16)),0)+
IF(ROUND(R$11,0)&gt;=7,OFFSET(EM!$B$17,ROW($A26)-ROW($A$26)+(ROW(EM!$C$46)-ROW(EM!$C$14))*(MATCH(R$22,EM!$B$6:$B$9,0)-1),MIN(R$23-EM!$B$16+6,EM!$AF$16-EM!$B$16)),0)+
IF(ROUND(R$11,0)&gt;=8,OFFSET(EM!$B$17,ROW($A26)-ROW($A$26)+(ROW(EM!$C$46)-ROW(EM!$C$14))*(MATCH(R$22,EM!$B$6:$B$9,0)-1),MIN(R$23-EM!$B$16+7,EM!$AF$16-EM!$B$16)),0)+
IF(ROUND(R$11,0)&gt;=9,OFFSET(EM!$B$17,ROW($A26)-ROW($A$26)+(ROW(EM!$C$46)-ROW(EM!$C$14))*(MATCH(R$22,EM!$B$6:$B$9,0)-1),MIN(R$23-EM!$B$16+8,EM!$AF$16-EM!$B$16)),0)+
IF(ROUND(R$11,0)&gt;=10,OFFSET(EM!$B$17,ROW($A26)-ROW($A$26)+(ROW(EM!$C$46)-ROW(EM!$C$14))*(MATCH(R$22,EM!$B$6:$B$9,0)-1),MIN(R$23-EM!$B$16+9,EM!$AF$16-EM!$B$16)),0)+
IF(ROUND(R$11,0)&gt;=11,OFFSET(EM!$B$17,ROW($A26)-ROW($A$26)+(ROW(EM!$C$46)-ROW(EM!$C$14))*(MATCH(R$22,EM!$B$6:$B$9,0)-1),MIN(R$23-EM!$B$16+10,EM!$AF$16-EM!$B$16)),0)+
IF(ROUND(R$11,0)&gt;=12,OFFSET(EM!$B$17,ROW($A26)-ROW($A$26)+(ROW(EM!$C$46)-ROW(EM!$C$14))*(MATCH(R$22,EM!$B$6:$B$9,0)-1),MIN(R$23-EM!$B$16+11,EM!$AF$16-EM!$B$16)),0)+
IF(ROUND(R$11,0)&gt;=13,OFFSET(EM!$B$17,ROW($A26)-ROW($A$26)+(ROW(EM!$C$46)-ROW(EM!$C$14))*(MATCH(R$22,EM!$B$6:$B$9,0)-1),MIN(R$23-EM!$B$16+12,EM!$AF$16-EM!$B$16)),0)+
IF(ROUND(R$11,0)&gt;=14,OFFSET(EM!$B$17,ROW($A26)-ROW($A$26)+(ROW(EM!$C$46)-ROW(EM!$C$14))*(MATCH(R$22,EM!$B$6:$B$9,0)-1),MIN(R$23-EM!$B$16+13,EM!$AF$16-EM!$B$16)),0)+
IF(ROUND(R$11,0)&gt;=15,OFFSET(EM!$B$17,ROW($A26)-ROW($A$26)+(ROW(EM!$C$46)-ROW(EM!$C$14))*(MATCH(R$22,EM!$B$6:$B$9,0)-1),MIN(R$23-EM!$B$16+14,EM!$AF$16-EM!$B$16)),0)+
IF(ROUND(R$11,0)&gt;=16,OFFSET(EM!$B$17,ROW($A26)-ROW($A$26)+(ROW(EM!$C$46)-ROW(EM!$C$14))*(MATCH(R$22,EM!$B$6:$B$9,0)-1),MIN(R$23-EM!$B$16+15,EM!$AF$16-EM!$B$16)),0)+
IF(ROUND(R$11,0)&gt;=17,OFFSET(EM!$B$17,ROW($A26)-ROW($A$26)+(ROW(EM!$C$46)-ROW(EM!$C$14))*(MATCH(R$22,EM!$B$6:$B$9,0)-1),MIN(R$23-EM!$B$16+16,EM!$AF$16-EM!$B$16)),0)+
IF(ROUND(R$11,0)&gt;=18,OFFSET(EM!$B$17,ROW($A26)-ROW($A$26)+(ROW(EM!$C$46)-ROW(EM!$C$14))*(MATCH(R$22,EM!$B$6:$B$9,0)-1),MIN(R$23-EM!$B$16+17,EM!$AF$16-EM!$B$16)),0)+
IF(ROUND(R$11,0)&gt;=19,OFFSET(EM!$B$17,ROW($A26)-ROW($A$26)+(ROW(EM!$C$46)-ROW(EM!$C$14))*(MATCH(R$22,EM!$B$6:$B$9,0)-1),MIN(R$23-EM!$B$16+18,EM!$AF$16-EM!$B$16)),0)+
IF(ROUND(R$11,0)&gt;=20,OFFSET(EM!$B$17,ROW($A26)-ROW($A$26)+(ROW(EM!$C$46)-ROW(EM!$C$14))*(MATCH(R$22,EM!$B$6:$B$9,0)-1),MIN(R$23-EM!$B$16+19,EM!$AF$16-EM!$B$16)),0)+
IF(ROUND(R$11,0)&gt;=21,OFFSET(EM!$B$17,ROW($A26)-ROW($A$26)+(ROW(EM!$C$46)-ROW(EM!$C$14))*(MATCH(R$22,EM!$B$6:$B$9,0)-1),MIN(R$23-EM!$B$16+20,EM!$AF$16-EM!$B$16)),0)+
IF(ROUND(R$11,0)&gt;=22,OFFSET(EM!$B$17,ROW($A26)-ROW($A$26)+(ROW(EM!$C$46)-ROW(EM!$C$14))*(MATCH(R$22,EM!$B$6:$B$9,0)-1),MIN(R$23-EM!$B$16+21,EM!$AF$16-EM!$B$16)),0)+
IF(ROUND(R$11,0)&gt;=23,OFFSET(EM!$B$17,ROW($A26)-ROW($A$26)+(ROW(EM!$C$46)-ROW(EM!$C$14))*(MATCH(R$22,EM!$B$6:$B$9,0)-1),MIN(R$23-EM!$B$16+22,EM!$AF$16-EM!$B$16)),0)+
IF(ROUND(R$11,0)&gt;=24,OFFSET(EM!$B$17,ROW($A26)-ROW($A$26)+(ROW(EM!$C$46)-ROW(EM!$C$14))*(MATCH(R$22,EM!$B$6:$B$9,0)-1),MIN(R$23-EM!$B$16+23,EM!$AF$16-EM!$B$16)),0)+
IF(ROUND(R$11,0)&gt;=25,OFFSET(EM!$B$17,ROW($A26)-ROW($A$26)+(ROW(EM!$C$46)-ROW(EM!$C$14))*(MATCH(R$22,EM!$B$6:$B$9,0)-1),MIN(R$23-EM!$B$16+24,EM!$AF$16-EM!$B$16)),0)+
IF(ROUND(R$11,0)&gt;=26,OFFSET(EM!$B$17,ROW($A26)-ROW($A$26)+(ROW(EM!$C$46)-ROW(EM!$C$14))*(MATCH(R$22,EM!$B$6:$B$9,0)-1),MIN(R$23-EM!$B$16+25,EM!$AF$16-EM!$B$16)),0)+
IF(ROUND(R$11,0)&gt;=27,OFFSET(EM!$B$17,ROW($A26)-ROW($A$26)+(ROW(EM!$C$46)-ROW(EM!$C$14))*(MATCH(R$22,EM!$B$6:$B$9,0)-1),MIN(R$23-EM!$B$16+26,EM!$AF$16-EM!$B$16)),0)+
IF(ROUND(R$11,0)&gt;=28,OFFSET(EM!$B$17,ROW($A26)-ROW($A$26)+(ROW(EM!$C$46)-ROW(EM!$C$14))*(MATCH(R$22,EM!$B$6:$B$9,0)-1),MIN(R$23-EM!$B$16+27,EM!$AF$16-EM!$B$16)),0)+
IF(ROUND(R$11,0)&gt;=29,OFFSET(EM!$B$17,ROW($A26)-ROW($A$26)+(ROW(EM!$C$46)-ROW(EM!$C$14))*(MATCH(R$22,EM!$B$6:$B$9,0)-1),MIN(R$23-EM!$B$16+28,EM!$AF$16-EM!$B$16)),0)+
IF(ROUND(R$11,0)&gt;=30,OFFSET(EM!$B$17,ROW($A26)-ROW($A$26)+(ROW(EM!$C$46)-ROW(EM!$C$14))*(MATCH(R$22,EM!$B$6:$B$9,0)-1),MIN(R$23-EM!$B$16+29,EM!$AF$16-EM!$B$16)),0)+
IF(ROUND(R$11,0)&gt;=31,OFFSET(EM!$B$17,ROW($A26)-ROW($A$26)+(ROW(EM!$C$46)-ROW(EM!$C$14))*(MATCH(R$22,EM!$B$6:$B$9,0)-1),MIN(R$23-EM!$B$16+30,EM!$AF$16-EM!$B$16)),0)+
IF(ROUND(R$11,0)&gt;=32,OFFSET(EM!$B$17,ROW($A26)-ROW($A$26)+(ROW(EM!$C$46)-ROW(EM!$C$14))*(MATCH(R$22,EM!$B$6:$B$9,0)-1),MIN(R$23-EM!$B$16+31,EM!$AF$16-EM!$B$16)),0)+
IF(ROUND(R$11,0)&gt;=33,OFFSET(EM!$B$17,ROW($A26)-ROW($A$26)+(ROW(EM!$C$46)-ROW(EM!$C$14))*(MATCH(R$22,EM!$B$6:$B$9,0)-1),MIN(R$23-EM!$B$16+32,EM!$AF$16-EM!$B$16)),0)+
IF(ROUND(R$11,0)&gt;=34,OFFSET(EM!$B$17,ROW($A26)-ROW($A$26)+(ROW(EM!$C$46)-ROW(EM!$C$14))*(MATCH(R$22,EM!$B$6:$B$9,0)-1),MIN(R$23-EM!$B$16+33,EM!$AF$16-EM!$B$16)),0)+
IF(ROUND(R$11,0)&gt;=35,OFFSET(EM!$B$17,ROW($A26)-ROW($A$26)+(ROW(EM!$C$46)-ROW(EM!$C$14))*(MATCH(R$22,EM!$B$6:$B$9,0)-1),MIN(R$23-EM!$B$16+34,EM!$AF$16-EM!$B$16)),0)+
IF(ROUND(R$11,0)&gt;=36,OFFSET(EM!$B$17,ROW($A26)-ROW($A$26)+(ROW(EM!$C$46)-ROW(EM!$C$14))*(MATCH(R$22,EM!$B$6:$B$9,0)-1),MIN(R$23-EM!$B$16+35,EM!$AF$16-EM!$B$16)),0)+
IF(ROUND(R$11,0)&gt;=37,OFFSET(EM!$B$17,ROW($A26)-ROW($A$26)+(ROW(EM!$C$46)-ROW(EM!$C$14))*(MATCH(R$22,EM!$B$6:$B$9,0)-1),MIN(R$23-EM!$B$16+36,EM!$AF$16-EM!$B$16)),0)+
IF(ROUND(R$11,0)&gt;=38,OFFSET(EM!$B$17,ROW($A26)-ROW($A$26)+(ROW(EM!$C$46)-ROW(EM!$C$14))*(MATCH(R$22,EM!$B$6:$B$9,0)-1),MIN(R$23-EM!$B$16+37,EM!$AF$16-EM!$B$16)),0)+
IF(ROUND(R$11,0)&gt;=39,OFFSET(EM!$B$17,ROW($A26)-ROW($A$26)+(ROW(EM!$C$46)-ROW(EM!$C$14))*(MATCH(R$22,EM!$B$6:$B$9,0)-1),MIN(R$23-EM!$B$16+38,EM!$AF$16-EM!$B$16)),0)+
IF(ROUND(R$11,0)&gt;=40,OFFSET(EM!$B$17,ROW($A26)-ROW($A$26)+(ROW(EM!$C$46)-ROW(EM!$C$14))*(MATCH(R$22,EM!$B$6:$B$9,0)-1),MIN(R$23-EM!$B$16+39,EM!$AF$16-EM!$B$16)),0)
)/ROUND(R$11,0),NA()))</f>
        <v>5.0412668060949824E-3</v>
      </c>
      <c r="S26" s="2046">
        <f ca="1">IF(S$19=GPG!$A$28,IF(ROW(S26)-ROW(S$26)+1=MATCH(S$20,GPG!$A$5:$A$11,0),1,0),
IF(S$19=GPG!$A$29,
(IF(ROUND(S$11,0)&gt;=1,OFFSET(EM!$B$17,ROW($A26)-ROW($A$26)+(ROW(EM!$C$46)-ROW(EM!$C$14))*(MATCH(S$22,EM!$B$6:$B$9,0)-1),MIN(S$23-EM!$B$16,EM!$AF$16-EM!$B$16)),0)+
IF(ROUND(S$11,0)&gt;=2,OFFSET(EM!$B$17,ROW($A26)-ROW($A$26)+(ROW(EM!$C$46)-ROW(EM!$C$14))*(MATCH(S$22,EM!$B$6:$B$9,0)-1),MIN(S$23-EM!$B$16+1,EM!$AF$16-EM!$B$16)),0)+
IF(ROUND(S$11,0)&gt;=3,OFFSET(EM!$B$17,ROW($A26)-ROW($A$26)+(ROW(EM!$C$46)-ROW(EM!$C$14))*(MATCH(S$22,EM!$B$6:$B$9,0)-1),MIN(S$23-EM!$B$16+2,EM!$AF$16-EM!$B$16)),0)+
IF(ROUND(S$11,0)&gt;=4,OFFSET(EM!$B$17,ROW($A26)-ROW($A$26)+(ROW(EM!$C$46)-ROW(EM!$C$14))*(MATCH(S$22,EM!$B$6:$B$9,0)-1),MIN(S$23-EM!$B$16+3,EM!$AF$16-EM!$B$16)),0)+
IF(ROUND(S$11,0)&gt;=5,OFFSET(EM!$B$17,ROW($A26)-ROW($A$26)+(ROW(EM!$C$46)-ROW(EM!$C$14))*(MATCH(S$22,EM!$B$6:$B$9,0)-1),MIN(S$23-EM!$B$16+4,EM!$AF$16-EM!$B$16)),0)+
IF(ROUND(S$11,0)&gt;=6,OFFSET(EM!$B$17,ROW($A26)-ROW($A$26)+(ROW(EM!$C$46)-ROW(EM!$C$14))*(MATCH(S$22,EM!$B$6:$B$9,0)-1),MIN(S$23-EM!$B$16+5,EM!$AF$16-EM!$B$16)),0)+
IF(ROUND(S$11,0)&gt;=7,OFFSET(EM!$B$17,ROW($A26)-ROW($A$26)+(ROW(EM!$C$46)-ROW(EM!$C$14))*(MATCH(S$22,EM!$B$6:$B$9,0)-1),MIN(S$23-EM!$B$16+6,EM!$AF$16-EM!$B$16)),0)+
IF(ROUND(S$11,0)&gt;=8,OFFSET(EM!$B$17,ROW($A26)-ROW($A$26)+(ROW(EM!$C$46)-ROW(EM!$C$14))*(MATCH(S$22,EM!$B$6:$B$9,0)-1),MIN(S$23-EM!$B$16+7,EM!$AF$16-EM!$B$16)),0)+
IF(ROUND(S$11,0)&gt;=9,OFFSET(EM!$B$17,ROW($A26)-ROW($A$26)+(ROW(EM!$C$46)-ROW(EM!$C$14))*(MATCH(S$22,EM!$B$6:$B$9,0)-1),MIN(S$23-EM!$B$16+8,EM!$AF$16-EM!$B$16)),0)+
IF(ROUND(S$11,0)&gt;=10,OFFSET(EM!$B$17,ROW($A26)-ROW($A$26)+(ROW(EM!$C$46)-ROW(EM!$C$14))*(MATCH(S$22,EM!$B$6:$B$9,0)-1),MIN(S$23-EM!$B$16+9,EM!$AF$16-EM!$B$16)),0)+
IF(ROUND(S$11,0)&gt;=11,OFFSET(EM!$B$17,ROW($A26)-ROW($A$26)+(ROW(EM!$C$46)-ROW(EM!$C$14))*(MATCH(S$22,EM!$B$6:$B$9,0)-1),MIN(S$23-EM!$B$16+10,EM!$AF$16-EM!$B$16)),0)+
IF(ROUND(S$11,0)&gt;=12,OFFSET(EM!$B$17,ROW($A26)-ROW($A$26)+(ROW(EM!$C$46)-ROW(EM!$C$14))*(MATCH(S$22,EM!$B$6:$B$9,0)-1),MIN(S$23-EM!$B$16+11,EM!$AF$16-EM!$B$16)),0)+
IF(ROUND(S$11,0)&gt;=13,OFFSET(EM!$B$17,ROW($A26)-ROW($A$26)+(ROW(EM!$C$46)-ROW(EM!$C$14))*(MATCH(S$22,EM!$B$6:$B$9,0)-1),MIN(S$23-EM!$B$16+12,EM!$AF$16-EM!$B$16)),0)+
IF(ROUND(S$11,0)&gt;=14,OFFSET(EM!$B$17,ROW($A26)-ROW($A$26)+(ROW(EM!$C$46)-ROW(EM!$C$14))*(MATCH(S$22,EM!$B$6:$B$9,0)-1),MIN(S$23-EM!$B$16+13,EM!$AF$16-EM!$B$16)),0)+
IF(ROUND(S$11,0)&gt;=15,OFFSET(EM!$B$17,ROW($A26)-ROW($A$26)+(ROW(EM!$C$46)-ROW(EM!$C$14))*(MATCH(S$22,EM!$B$6:$B$9,0)-1),MIN(S$23-EM!$B$16+14,EM!$AF$16-EM!$B$16)),0)+
IF(ROUND(S$11,0)&gt;=16,OFFSET(EM!$B$17,ROW($A26)-ROW($A$26)+(ROW(EM!$C$46)-ROW(EM!$C$14))*(MATCH(S$22,EM!$B$6:$B$9,0)-1),MIN(S$23-EM!$B$16+15,EM!$AF$16-EM!$B$16)),0)+
IF(ROUND(S$11,0)&gt;=17,OFFSET(EM!$B$17,ROW($A26)-ROW($A$26)+(ROW(EM!$C$46)-ROW(EM!$C$14))*(MATCH(S$22,EM!$B$6:$B$9,0)-1),MIN(S$23-EM!$B$16+16,EM!$AF$16-EM!$B$16)),0)+
IF(ROUND(S$11,0)&gt;=18,OFFSET(EM!$B$17,ROW($A26)-ROW($A$26)+(ROW(EM!$C$46)-ROW(EM!$C$14))*(MATCH(S$22,EM!$B$6:$B$9,0)-1),MIN(S$23-EM!$B$16+17,EM!$AF$16-EM!$B$16)),0)+
IF(ROUND(S$11,0)&gt;=19,OFFSET(EM!$B$17,ROW($A26)-ROW($A$26)+(ROW(EM!$C$46)-ROW(EM!$C$14))*(MATCH(S$22,EM!$B$6:$B$9,0)-1),MIN(S$23-EM!$B$16+18,EM!$AF$16-EM!$B$16)),0)+
IF(ROUND(S$11,0)&gt;=20,OFFSET(EM!$B$17,ROW($A26)-ROW($A$26)+(ROW(EM!$C$46)-ROW(EM!$C$14))*(MATCH(S$22,EM!$B$6:$B$9,0)-1),MIN(S$23-EM!$B$16+19,EM!$AF$16-EM!$B$16)),0)+
IF(ROUND(S$11,0)&gt;=21,OFFSET(EM!$B$17,ROW($A26)-ROW($A$26)+(ROW(EM!$C$46)-ROW(EM!$C$14))*(MATCH(S$22,EM!$B$6:$B$9,0)-1),MIN(S$23-EM!$B$16+20,EM!$AF$16-EM!$B$16)),0)+
IF(ROUND(S$11,0)&gt;=22,OFFSET(EM!$B$17,ROW($A26)-ROW($A$26)+(ROW(EM!$C$46)-ROW(EM!$C$14))*(MATCH(S$22,EM!$B$6:$B$9,0)-1),MIN(S$23-EM!$B$16+21,EM!$AF$16-EM!$B$16)),0)+
IF(ROUND(S$11,0)&gt;=23,OFFSET(EM!$B$17,ROW($A26)-ROW($A$26)+(ROW(EM!$C$46)-ROW(EM!$C$14))*(MATCH(S$22,EM!$B$6:$B$9,0)-1),MIN(S$23-EM!$B$16+22,EM!$AF$16-EM!$B$16)),0)+
IF(ROUND(S$11,0)&gt;=24,OFFSET(EM!$B$17,ROW($A26)-ROW($A$26)+(ROW(EM!$C$46)-ROW(EM!$C$14))*(MATCH(S$22,EM!$B$6:$B$9,0)-1),MIN(S$23-EM!$B$16+23,EM!$AF$16-EM!$B$16)),0)+
IF(ROUND(S$11,0)&gt;=25,OFFSET(EM!$B$17,ROW($A26)-ROW($A$26)+(ROW(EM!$C$46)-ROW(EM!$C$14))*(MATCH(S$22,EM!$B$6:$B$9,0)-1),MIN(S$23-EM!$B$16+24,EM!$AF$16-EM!$B$16)),0)+
IF(ROUND(S$11,0)&gt;=26,OFFSET(EM!$B$17,ROW($A26)-ROW($A$26)+(ROW(EM!$C$46)-ROW(EM!$C$14))*(MATCH(S$22,EM!$B$6:$B$9,0)-1),MIN(S$23-EM!$B$16+25,EM!$AF$16-EM!$B$16)),0)+
IF(ROUND(S$11,0)&gt;=27,OFFSET(EM!$B$17,ROW($A26)-ROW($A$26)+(ROW(EM!$C$46)-ROW(EM!$C$14))*(MATCH(S$22,EM!$B$6:$B$9,0)-1),MIN(S$23-EM!$B$16+26,EM!$AF$16-EM!$B$16)),0)+
IF(ROUND(S$11,0)&gt;=28,OFFSET(EM!$B$17,ROW($A26)-ROW($A$26)+(ROW(EM!$C$46)-ROW(EM!$C$14))*(MATCH(S$22,EM!$B$6:$B$9,0)-1),MIN(S$23-EM!$B$16+27,EM!$AF$16-EM!$B$16)),0)+
IF(ROUND(S$11,0)&gt;=29,OFFSET(EM!$B$17,ROW($A26)-ROW($A$26)+(ROW(EM!$C$46)-ROW(EM!$C$14))*(MATCH(S$22,EM!$B$6:$B$9,0)-1),MIN(S$23-EM!$B$16+28,EM!$AF$16-EM!$B$16)),0)+
IF(ROUND(S$11,0)&gt;=30,OFFSET(EM!$B$17,ROW($A26)-ROW($A$26)+(ROW(EM!$C$46)-ROW(EM!$C$14))*(MATCH(S$22,EM!$B$6:$B$9,0)-1),MIN(S$23-EM!$B$16+29,EM!$AF$16-EM!$B$16)),0)+
IF(ROUND(S$11,0)&gt;=31,OFFSET(EM!$B$17,ROW($A26)-ROW($A$26)+(ROW(EM!$C$46)-ROW(EM!$C$14))*(MATCH(S$22,EM!$B$6:$B$9,0)-1),MIN(S$23-EM!$B$16+30,EM!$AF$16-EM!$B$16)),0)+
IF(ROUND(S$11,0)&gt;=32,OFFSET(EM!$B$17,ROW($A26)-ROW($A$26)+(ROW(EM!$C$46)-ROW(EM!$C$14))*(MATCH(S$22,EM!$B$6:$B$9,0)-1),MIN(S$23-EM!$B$16+31,EM!$AF$16-EM!$B$16)),0)+
IF(ROUND(S$11,0)&gt;=33,OFFSET(EM!$B$17,ROW($A26)-ROW($A$26)+(ROW(EM!$C$46)-ROW(EM!$C$14))*(MATCH(S$22,EM!$B$6:$B$9,0)-1),MIN(S$23-EM!$B$16+32,EM!$AF$16-EM!$B$16)),0)+
IF(ROUND(S$11,0)&gt;=34,OFFSET(EM!$B$17,ROW($A26)-ROW($A$26)+(ROW(EM!$C$46)-ROW(EM!$C$14))*(MATCH(S$22,EM!$B$6:$B$9,0)-1),MIN(S$23-EM!$B$16+33,EM!$AF$16-EM!$B$16)),0)+
IF(ROUND(S$11,0)&gt;=35,OFFSET(EM!$B$17,ROW($A26)-ROW($A$26)+(ROW(EM!$C$46)-ROW(EM!$C$14))*(MATCH(S$22,EM!$B$6:$B$9,0)-1),MIN(S$23-EM!$B$16+34,EM!$AF$16-EM!$B$16)),0)+
IF(ROUND(S$11,0)&gt;=36,OFFSET(EM!$B$17,ROW($A26)-ROW($A$26)+(ROW(EM!$C$46)-ROW(EM!$C$14))*(MATCH(S$22,EM!$B$6:$B$9,0)-1),MIN(S$23-EM!$B$16+35,EM!$AF$16-EM!$B$16)),0)+
IF(ROUND(S$11,0)&gt;=37,OFFSET(EM!$B$17,ROW($A26)-ROW($A$26)+(ROW(EM!$C$46)-ROW(EM!$C$14))*(MATCH(S$22,EM!$B$6:$B$9,0)-1),MIN(S$23-EM!$B$16+36,EM!$AF$16-EM!$B$16)),0)+
IF(ROUND(S$11,0)&gt;=38,OFFSET(EM!$B$17,ROW($A26)-ROW($A$26)+(ROW(EM!$C$46)-ROW(EM!$C$14))*(MATCH(S$22,EM!$B$6:$B$9,0)-1),MIN(S$23-EM!$B$16+37,EM!$AF$16-EM!$B$16)),0)+
IF(ROUND(S$11,0)&gt;=39,OFFSET(EM!$B$17,ROW($A26)-ROW($A$26)+(ROW(EM!$C$46)-ROW(EM!$C$14))*(MATCH(S$22,EM!$B$6:$B$9,0)-1),MIN(S$23-EM!$B$16+38,EM!$AF$16-EM!$B$16)),0)+
IF(ROUND(S$11,0)&gt;=40,OFFSET(EM!$B$17,ROW($A26)-ROW($A$26)+(ROW(EM!$C$46)-ROW(EM!$C$14))*(MATCH(S$22,EM!$B$6:$B$9,0)-1),MIN(S$23-EM!$B$16+39,EM!$AF$16-EM!$B$16)),0)
)/ROUND(S$11,0),NA()))</f>
        <v>5.0412668060949824E-3</v>
      </c>
      <c r="T26" s="2046">
        <f ca="1">IF(T$19=GPG!$A$28,IF(ROW(T26)-ROW(T$26)+1=MATCH(T$20,GPG!$A$5:$A$11,0),1,0),
IF(T$19=GPG!$A$29,
(IF(ROUND(T$11,0)&gt;=1,OFFSET(EM!$B$17,ROW($A26)-ROW($A$26)+(ROW(EM!$C$46)-ROW(EM!$C$14))*(MATCH(T$22,EM!$B$6:$B$9,0)-1),MIN(T$23-EM!$B$16,EM!$AF$16-EM!$B$16)),0)+
IF(ROUND(T$11,0)&gt;=2,OFFSET(EM!$B$17,ROW($A26)-ROW($A$26)+(ROW(EM!$C$46)-ROW(EM!$C$14))*(MATCH(T$22,EM!$B$6:$B$9,0)-1),MIN(T$23-EM!$B$16+1,EM!$AF$16-EM!$B$16)),0)+
IF(ROUND(T$11,0)&gt;=3,OFFSET(EM!$B$17,ROW($A26)-ROW($A$26)+(ROW(EM!$C$46)-ROW(EM!$C$14))*(MATCH(T$22,EM!$B$6:$B$9,0)-1),MIN(T$23-EM!$B$16+2,EM!$AF$16-EM!$B$16)),0)+
IF(ROUND(T$11,0)&gt;=4,OFFSET(EM!$B$17,ROW($A26)-ROW($A$26)+(ROW(EM!$C$46)-ROW(EM!$C$14))*(MATCH(T$22,EM!$B$6:$B$9,0)-1),MIN(T$23-EM!$B$16+3,EM!$AF$16-EM!$B$16)),0)+
IF(ROUND(T$11,0)&gt;=5,OFFSET(EM!$B$17,ROW($A26)-ROW($A$26)+(ROW(EM!$C$46)-ROW(EM!$C$14))*(MATCH(T$22,EM!$B$6:$B$9,0)-1),MIN(T$23-EM!$B$16+4,EM!$AF$16-EM!$B$16)),0)+
IF(ROUND(T$11,0)&gt;=6,OFFSET(EM!$B$17,ROW($A26)-ROW($A$26)+(ROW(EM!$C$46)-ROW(EM!$C$14))*(MATCH(T$22,EM!$B$6:$B$9,0)-1),MIN(T$23-EM!$B$16+5,EM!$AF$16-EM!$B$16)),0)+
IF(ROUND(T$11,0)&gt;=7,OFFSET(EM!$B$17,ROW($A26)-ROW($A$26)+(ROW(EM!$C$46)-ROW(EM!$C$14))*(MATCH(T$22,EM!$B$6:$B$9,0)-1),MIN(T$23-EM!$B$16+6,EM!$AF$16-EM!$B$16)),0)+
IF(ROUND(T$11,0)&gt;=8,OFFSET(EM!$B$17,ROW($A26)-ROW($A$26)+(ROW(EM!$C$46)-ROW(EM!$C$14))*(MATCH(T$22,EM!$B$6:$B$9,0)-1),MIN(T$23-EM!$B$16+7,EM!$AF$16-EM!$B$16)),0)+
IF(ROUND(T$11,0)&gt;=9,OFFSET(EM!$B$17,ROW($A26)-ROW($A$26)+(ROW(EM!$C$46)-ROW(EM!$C$14))*(MATCH(T$22,EM!$B$6:$B$9,0)-1),MIN(T$23-EM!$B$16+8,EM!$AF$16-EM!$B$16)),0)+
IF(ROUND(T$11,0)&gt;=10,OFFSET(EM!$B$17,ROW($A26)-ROW($A$26)+(ROW(EM!$C$46)-ROW(EM!$C$14))*(MATCH(T$22,EM!$B$6:$B$9,0)-1),MIN(T$23-EM!$B$16+9,EM!$AF$16-EM!$B$16)),0)+
IF(ROUND(T$11,0)&gt;=11,OFFSET(EM!$B$17,ROW($A26)-ROW($A$26)+(ROW(EM!$C$46)-ROW(EM!$C$14))*(MATCH(T$22,EM!$B$6:$B$9,0)-1),MIN(T$23-EM!$B$16+10,EM!$AF$16-EM!$B$16)),0)+
IF(ROUND(T$11,0)&gt;=12,OFFSET(EM!$B$17,ROW($A26)-ROW($A$26)+(ROW(EM!$C$46)-ROW(EM!$C$14))*(MATCH(T$22,EM!$B$6:$B$9,0)-1),MIN(T$23-EM!$B$16+11,EM!$AF$16-EM!$B$16)),0)+
IF(ROUND(T$11,0)&gt;=13,OFFSET(EM!$B$17,ROW($A26)-ROW($A$26)+(ROW(EM!$C$46)-ROW(EM!$C$14))*(MATCH(T$22,EM!$B$6:$B$9,0)-1),MIN(T$23-EM!$B$16+12,EM!$AF$16-EM!$B$16)),0)+
IF(ROUND(T$11,0)&gt;=14,OFFSET(EM!$B$17,ROW($A26)-ROW($A$26)+(ROW(EM!$C$46)-ROW(EM!$C$14))*(MATCH(T$22,EM!$B$6:$B$9,0)-1),MIN(T$23-EM!$B$16+13,EM!$AF$16-EM!$B$16)),0)+
IF(ROUND(T$11,0)&gt;=15,OFFSET(EM!$B$17,ROW($A26)-ROW($A$26)+(ROW(EM!$C$46)-ROW(EM!$C$14))*(MATCH(T$22,EM!$B$6:$B$9,0)-1),MIN(T$23-EM!$B$16+14,EM!$AF$16-EM!$B$16)),0)+
IF(ROUND(T$11,0)&gt;=16,OFFSET(EM!$B$17,ROW($A26)-ROW($A$26)+(ROW(EM!$C$46)-ROW(EM!$C$14))*(MATCH(T$22,EM!$B$6:$B$9,0)-1),MIN(T$23-EM!$B$16+15,EM!$AF$16-EM!$B$16)),0)+
IF(ROUND(T$11,0)&gt;=17,OFFSET(EM!$B$17,ROW($A26)-ROW($A$26)+(ROW(EM!$C$46)-ROW(EM!$C$14))*(MATCH(T$22,EM!$B$6:$B$9,0)-1),MIN(T$23-EM!$B$16+16,EM!$AF$16-EM!$B$16)),0)+
IF(ROUND(T$11,0)&gt;=18,OFFSET(EM!$B$17,ROW($A26)-ROW($A$26)+(ROW(EM!$C$46)-ROW(EM!$C$14))*(MATCH(T$22,EM!$B$6:$B$9,0)-1),MIN(T$23-EM!$B$16+17,EM!$AF$16-EM!$B$16)),0)+
IF(ROUND(T$11,0)&gt;=19,OFFSET(EM!$B$17,ROW($A26)-ROW($A$26)+(ROW(EM!$C$46)-ROW(EM!$C$14))*(MATCH(T$22,EM!$B$6:$B$9,0)-1),MIN(T$23-EM!$B$16+18,EM!$AF$16-EM!$B$16)),0)+
IF(ROUND(T$11,0)&gt;=20,OFFSET(EM!$B$17,ROW($A26)-ROW($A$26)+(ROW(EM!$C$46)-ROW(EM!$C$14))*(MATCH(T$22,EM!$B$6:$B$9,0)-1),MIN(T$23-EM!$B$16+19,EM!$AF$16-EM!$B$16)),0)+
IF(ROUND(T$11,0)&gt;=21,OFFSET(EM!$B$17,ROW($A26)-ROW($A$26)+(ROW(EM!$C$46)-ROW(EM!$C$14))*(MATCH(T$22,EM!$B$6:$B$9,0)-1),MIN(T$23-EM!$B$16+20,EM!$AF$16-EM!$B$16)),0)+
IF(ROUND(T$11,0)&gt;=22,OFFSET(EM!$B$17,ROW($A26)-ROW($A$26)+(ROW(EM!$C$46)-ROW(EM!$C$14))*(MATCH(T$22,EM!$B$6:$B$9,0)-1),MIN(T$23-EM!$B$16+21,EM!$AF$16-EM!$B$16)),0)+
IF(ROUND(T$11,0)&gt;=23,OFFSET(EM!$B$17,ROW($A26)-ROW($A$26)+(ROW(EM!$C$46)-ROW(EM!$C$14))*(MATCH(T$22,EM!$B$6:$B$9,0)-1),MIN(T$23-EM!$B$16+22,EM!$AF$16-EM!$B$16)),0)+
IF(ROUND(T$11,0)&gt;=24,OFFSET(EM!$B$17,ROW($A26)-ROW($A$26)+(ROW(EM!$C$46)-ROW(EM!$C$14))*(MATCH(T$22,EM!$B$6:$B$9,0)-1),MIN(T$23-EM!$B$16+23,EM!$AF$16-EM!$B$16)),0)+
IF(ROUND(T$11,0)&gt;=25,OFFSET(EM!$B$17,ROW($A26)-ROW($A$26)+(ROW(EM!$C$46)-ROW(EM!$C$14))*(MATCH(T$22,EM!$B$6:$B$9,0)-1),MIN(T$23-EM!$B$16+24,EM!$AF$16-EM!$B$16)),0)+
IF(ROUND(T$11,0)&gt;=26,OFFSET(EM!$B$17,ROW($A26)-ROW($A$26)+(ROW(EM!$C$46)-ROW(EM!$C$14))*(MATCH(T$22,EM!$B$6:$B$9,0)-1),MIN(T$23-EM!$B$16+25,EM!$AF$16-EM!$B$16)),0)+
IF(ROUND(T$11,0)&gt;=27,OFFSET(EM!$B$17,ROW($A26)-ROW($A$26)+(ROW(EM!$C$46)-ROW(EM!$C$14))*(MATCH(T$22,EM!$B$6:$B$9,0)-1),MIN(T$23-EM!$B$16+26,EM!$AF$16-EM!$B$16)),0)+
IF(ROUND(T$11,0)&gt;=28,OFFSET(EM!$B$17,ROW($A26)-ROW($A$26)+(ROW(EM!$C$46)-ROW(EM!$C$14))*(MATCH(T$22,EM!$B$6:$B$9,0)-1),MIN(T$23-EM!$B$16+27,EM!$AF$16-EM!$B$16)),0)+
IF(ROUND(T$11,0)&gt;=29,OFFSET(EM!$B$17,ROW($A26)-ROW($A$26)+(ROW(EM!$C$46)-ROW(EM!$C$14))*(MATCH(T$22,EM!$B$6:$B$9,0)-1),MIN(T$23-EM!$B$16+28,EM!$AF$16-EM!$B$16)),0)+
IF(ROUND(T$11,0)&gt;=30,OFFSET(EM!$B$17,ROW($A26)-ROW($A$26)+(ROW(EM!$C$46)-ROW(EM!$C$14))*(MATCH(T$22,EM!$B$6:$B$9,0)-1),MIN(T$23-EM!$B$16+29,EM!$AF$16-EM!$B$16)),0)+
IF(ROUND(T$11,0)&gt;=31,OFFSET(EM!$B$17,ROW($A26)-ROW($A$26)+(ROW(EM!$C$46)-ROW(EM!$C$14))*(MATCH(T$22,EM!$B$6:$B$9,0)-1),MIN(T$23-EM!$B$16+30,EM!$AF$16-EM!$B$16)),0)+
IF(ROUND(T$11,0)&gt;=32,OFFSET(EM!$B$17,ROW($A26)-ROW($A$26)+(ROW(EM!$C$46)-ROW(EM!$C$14))*(MATCH(T$22,EM!$B$6:$B$9,0)-1),MIN(T$23-EM!$B$16+31,EM!$AF$16-EM!$B$16)),0)+
IF(ROUND(T$11,0)&gt;=33,OFFSET(EM!$B$17,ROW($A26)-ROW($A$26)+(ROW(EM!$C$46)-ROW(EM!$C$14))*(MATCH(T$22,EM!$B$6:$B$9,0)-1),MIN(T$23-EM!$B$16+32,EM!$AF$16-EM!$B$16)),0)+
IF(ROUND(T$11,0)&gt;=34,OFFSET(EM!$B$17,ROW($A26)-ROW($A$26)+(ROW(EM!$C$46)-ROW(EM!$C$14))*(MATCH(T$22,EM!$B$6:$B$9,0)-1),MIN(T$23-EM!$B$16+33,EM!$AF$16-EM!$B$16)),0)+
IF(ROUND(T$11,0)&gt;=35,OFFSET(EM!$B$17,ROW($A26)-ROW($A$26)+(ROW(EM!$C$46)-ROW(EM!$C$14))*(MATCH(T$22,EM!$B$6:$B$9,0)-1),MIN(T$23-EM!$B$16+34,EM!$AF$16-EM!$B$16)),0)+
IF(ROUND(T$11,0)&gt;=36,OFFSET(EM!$B$17,ROW($A26)-ROW($A$26)+(ROW(EM!$C$46)-ROW(EM!$C$14))*(MATCH(T$22,EM!$B$6:$B$9,0)-1),MIN(T$23-EM!$B$16+35,EM!$AF$16-EM!$B$16)),0)+
IF(ROUND(T$11,0)&gt;=37,OFFSET(EM!$B$17,ROW($A26)-ROW($A$26)+(ROW(EM!$C$46)-ROW(EM!$C$14))*(MATCH(T$22,EM!$B$6:$B$9,0)-1),MIN(T$23-EM!$B$16+36,EM!$AF$16-EM!$B$16)),0)+
IF(ROUND(T$11,0)&gt;=38,OFFSET(EM!$B$17,ROW($A26)-ROW($A$26)+(ROW(EM!$C$46)-ROW(EM!$C$14))*(MATCH(T$22,EM!$B$6:$B$9,0)-1),MIN(T$23-EM!$B$16+37,EM!$AF$16-EM!$B$16)),0)+
IF(ROUND(T$11,0)&gt;=39,OFFSET(EM!$B$17,ROW($A26)-ROW($A$26)+(ROW(EM!$C$46)-ROW(EM!$C$14))*(MATCH(T$22,EM!$B$6:$B$9,0)-1),MIN(T$23-EM!$B$16+38,EM!$AF$16-EM!$B$16)),0)+
IF(ROUND(T$11,0)&gt;=40,OFFSET(EM!$B$17,ROW($A26)-ROW($A$26)+(ROW(EM!$C$46)-ROW(EM!$C$14))*(MATCH(T$22,EM!$B$6:$B$9,0)-1),MIN(T$23-EM!$B$16+39,EM!$AF$16-EM!$B$16)),0)
)/ROUND(T$11,0),NA()))</f>
        <v>5.0412668060949824E-3</v>
      </c>
      <c r="U26" s="2046">
        <f ca="1">IF(U$19=GPG!$A$28,IF(ROW(U26)-ROW(U$26)+1=MATCH(U$20,GPG!$A$5:$A$11,0),1,0),
IF(U$19=GPG!$A$29,
(IF(ROUND(U$11,0)&gt;=1,OFFSET(EM!$B$17,ROW($A26)-ROW($A$26)+(ROW(EM!$C$46)-ROW(EM!$C$14))*(MATCH(U$22,EM!$B$6:$B$9,0)-1),MIN(U$23-EM!$B$16,EM!$AF$16-EM!$B$16)),0)+
IF(ROUND(U$11,0)&gt;=2,OFFSET(EM!$B$17,ROW($A26)-ROW($A$26)+(ROW(EM!$C$46)-ROW(EM!$C$14))*(MATCH(U$22,EM!$B$6:$B$9,0)-1),MIN(U$23-EM!$B$16+1,EM!$AF$16-EM!$B$16)),0)+
IF(ROUND(U$11,0)&gt;=3,OFFSET(EM!$B$17,ROW($A26)-ROW($A$26)+(ROW(EM!$C$46)-ROW(EM!$C$14))*(MATCH(U$22,EM!$B$6:$B$9,0)-1),MIN(U$23-EM!$B$16+2,EM!$AF$16-EM!$B$16)),0)+
IF(ROUND(U$11,0)&gt;=4,OFFSET(EM!$B$17,ROW($A26)-ROW($A$26)+(ROW(EM!$C$46)-ROW(EM!$C$14))*(MATCH(U$22,EM!$B$6:$B$9,0)-1),MIN(U$23-EM!$B$16+3,EM!$AF$16-EM!$B$16)),0)+
IF(ROUND(U$11,0)&gt;=5,OFFSET(EM!$B$17,ROW($A26)-ROW($A$26)+(ROW(EM!$C$46)-ROW(EM!$C$14))*(MATCH(U$22,EM!$B$6:$B$9,0)-1),MIN(U$23-EM!$B$16+4,EM!$AF$16-EM!$B$16)),0)+
IF(ROUND(U$11,0)&gt;=6,OFFSET(EM!$B$17,ROW($A26)-ROW($A$26)+(ROW(EM!$C$46)-ROW(EM!$C$14))*(MATCH(U$22,EM!$B$6:$B$9,0)-1),MIN(U$23-EM!$B$16+5,EM!$AF$16-EM!$B$16)),0)+
IF(ROUND(U$11,0)&gt;=7,OFFSET(EM!$B$17,ROW($A26)-ROW($A$26)+(ROW(EM!$C$46)-ROW(EM!$C$14))*(MATCH(U$22,EM!$B$6:$B$9,0)-1),MIN(U$23-EM!$B$16+6,EM!$AF$16-EM!$B$16)),0)+
IF(ROUND(U$11,0)&gt;=8,OFFSET(EM!$B$17,ROW($A26)-ROW($A$26)+(ROW(EM!$C$46)-ROW(EM!$C$14))*(MATCH(U$22,EM!$B$6:$B$9,0)-1),MIN(U$23-EM!$B$16+7,EM!$AF$16-EM!$B$16)),0)+
IF(ROUND(U$11,0)&gt;=9,OFFSET(EM!$B$17,ROW($A26)-ROW($A$26)+(ROW(EM!$C$46)-ROW(EM!$C$14))*(MATCH(U$22,EM!$B$6:$B$9,0)-1),MIN(U$23-EM!$B$16+8,EM!$AF$16-EM!$B$16)),0)+
IF(ROUND(U$11,0)&gt;=10,OFFSET(EM!$B$17,ROW($A26)-ROW($A$26)+(ROW(EM!$C$46)-ROW(EM!$C$14))*(MATCH(U$22,EM!$B$6:$B$9,0)-1),MIN(U$23-EM!$B$16+9,EM!$AF$16-EM!$B$16)),0)+
IF(ROUND(U$11,0)&gt;=11,OFFSET(EM!$B$17,ROW($A26)-ROW($A$26)+(ROW(EM!$C$46)-ROW(EM!$C$14))*(MATCH(U$22,EM!$B$6:$B$9,0)-1),MIN(U$23-EM!$B$16+10,EM!$AF$16-EM!$B$16)),0)+
IF(ROUND(U$11,0)&gt;=12,OFFSET(EM!$B$17,ROW($A26)-ROW($A$26)+(ROW(EM!$C$46)-ROW(EM!$C$14))*(MATCH(U$22,EM!$B$6:$B$9,0)-1),MIN(U$23-EM!$B$16+11,EM!$AF$16-EM!$B$16)),0)+
IF(ROUND(U$11,0)&gt;=13,OFFSET(EM!$B$17,ROW($A26)-ROW($A$26)+(ROW(EM!$C$46)-ROW(EM!$C$14))*(MATCH(U$22,EM!$B$6:$B$9,0)-1),MIN(U$23-EM!$B$16+12,EM!$AF$16-EM!$B$16)),0)+
IF(ROUND(U$11,0)&gt;=14,OFFSET(EM!$B$17,ROW($A26)-ROW($A$26)+(ROW(EM!$C$46)-ROW(EM!$C$14))*(MATCH(U$22,EM!$B$6:$B$9,0)-1),MIN(U$23-EM!$B$16+13,EM!$AF$16-EM!$B$16)),0)+
IF(ROUND(U$11,0)&gt;=15,OFFSET(EM!$B$17,ROW($A26)-ROW($A$26)+(ROW(EM!$C$46)-ROW(EM!$C$14))*(MATCH(U$22,EM!$B$6:$B$9,0)-1),MIN(U$23-EM!$B$16+14,EM!$AF$16-EM!$B$16)),0)+
IF(ROUND(U$11,0)&gt;=16,OFFSET(EM!$B$17,ROW($A26)-ROW($A$26)+(ROW(EM!$C$46)-ROW(EM!$C$14))*(MATCH(U$22,EM!$B$6:$B$9,0)-1),MIN(U$23-EM!$B$16+15,EM!$AF$16-EM!$B$16)),0)+
IF(ROUND(U$11,0)&gt;=17,OFFSET(EM!$B$17,ROW($A26)-ROW($A$26)+(ROW(EM!$C$46)-ROW(EM!$C$14))*(MATCH(U$22,EM!$B$6:$B$9,0)-1),MIN(U$23-EM!$B$16+16,EM!$AF$16-EM!$B$16)),0)+
IF(ROUND(U$11,0)&gt;=18,OFFSET(EM!$B$17,ROW($A26)-ROW($A$26)+(ROW(EM!$C$46)-ROW(EM!$C$14))*(MATCH(U$22,EM!$B$6:$B$9,0)-1),MIN(U$23-EM!$B$16+17,EM!$AF$16-EM!$B$16)),0)+
IF(ROUND(U$11,0)&gt;=19,OFFSET(EM!$B$17,ROW($A26)-ROW($A$26)+(ROW(EM!$C$46)-ROW(EM!$C$14))*(MATCH(U$22,EM!$B$6:$B$9,0)-1),MIN(U$23-EM!$B$16+18,EM!$AF$16-EM!$B$16)),0)+
IF(ROUND(U$11,0)&gt;=20,OFFSET(EM!$B$17,ROW($A26)-ROW($A$26)+(ROW(EM!$C$46)-ROW(EM!$C$14))*(MATCH(U$22,EM!$B$6:$B$9,0)-1),MIN(U$23-EM!$B$16+19,EM!$AF$16-EM!$B$16)),0)+
IF(ROUND(U$11,0)&gt;=21,OFFSET(EM!$B$17,ROW($A26)-ROW($A$26)+(ROW(EM!$C$46)-ROW(EM!$C$14))*(MATCH(U$22,EM!$B$6:$B$9,0)-1),MIN(U$23-EM!$B$16+20,EM!$AF$16-EM!$B$16)),0)+
IF(ROUND(U$11,0)&gt;=22,OFFSET(EM!$B$17,ROW($A26)-ROW($A$26)+(ROW(EM!$C$46)-ROW(EM!$C$14))*(MATCH(U$22,EM!$B$6:$B$9,0)-1),MIN(U$23-EM!$B$16+21,EM!$AF$16-EM!$B$16)),0)+
IF(ROUND(U$11,0)&gt;=23,OFFSET(EM!$B$17,ROW($A26)-ROW($A$26)+(ROW(EM!$C$46)-ROW(EM!$C$14))*(MATCH(U$22,EM!$B$6:$B$9,0)-1),MIN(U$23-EM!$B$16+22,EM!$AF$16-EM!$B$16)),0)+
IF(ROUND(U$11,0)&gt;=24,OFFSET(EM!$B$17,ROW($A26)-ROW($A$26)+(ROW(EM!$C$46)-ROW(EM!$C$14))*(MATCH(U$22,EM!$B$6:$B$9,0)-1),MIN(U$23-EM!$B$16+23,EM!$AF$16-EM!$B$16)),0)+
IF(ROUND(U$11,0)&gt;=25,OFFSET(EM!$B$17,ROW($A26)-ROW($A$26)+(ROW(EM!$C$46)-ROW(EM!$C$14))*(MATCH(U$22,EM!$B$6:$B$9,0)-1),MIN(U$23-EM!$B$16+24,EM!$AF$16-EM!$B$16)),0)+
IF(ROUND(U$11,0)&gt;=26,OFFSET(EM!$B$17,ROW($A26)-ROW($A$26)+(ROW(EM!$C$46)-ROW(EM!$C$14))*(MATCH(U$22,EM!$B$6:$B$9,0)-1),MIN(U$23-EM!$B$16+25,EM!$AF$16-EM!$B$16)),0)+
IF(ROUND(U$11,0)&gt;=27,OFFSET(EM!$B$17,ROW($A26)-ROW($A$26)+(ROW(EM!$C$46)-ROW(EM!$C$14))*(MATCH(U$22,EM!$B$6:$B$9,0)-1),MIN(U$23-EM!$B$16+26,EM!$AF$16-EM!$B$16)),0)+
IF(ROUND(U$11,0)&gt;=28,OFFSET(EM!$B$17,ROW($A26)-ROW($A$26)+(ROW(EM!$C$46)-ROW(EM!$C$14))*(MATCH(U$22,EM!$B$6:$B$9,0)-1),MIN(U$23-EM!$B$16+27,EM!$AF$16-EM!$B$16)),0)+
IF(ROUND(U$11,0)&gt;=29,OFFSET(EM!$B$17,ROW($A26)-ROW($A$26)+(ROW(EM!$C$46)-ROW(EM!$C$14))*(MATCH(U$22,EM!$B$6:$B$9,0)-1),MIN(U$23-EM!$B$16+28,EM!$AF$16-EM!$B$16)),0)+
IF(ROUND(U$11,0)&gt;=30,OFFSET(EM!$B$17,ROW($A26)-ROW($A$26)+(ROW(EM!$C$46)-ROW(EM!$C$14))*(MATCH(U$22,EM!$B$6:$B$9,0)-1),MIN(U$23-EM!$B$16+29,EM!$AF$16-EM!$B$16)),0)+
IF(ROUND(U$11,0)&gt;=31,OFFSET(EM!$B$17,ROW($A26)-ROW($A$26)+(ROW(EM!$C$46)-ROW(EM!$C$14))*(MATCH(U$22,EM!$B$6:$B$9,0)-1),MIN(U$23-EM!$B$16+30,EM!$AF$16-EM!$B$16)),0)+
IF(ROUND(U$11,0)&gt;=32,OFFSET(EM!$B$17,ROW($A26)-ROW($A$26)+(ROW(EM!$C$46)-ROW(EM!$C$14))*(MATCH(U$22,EM!$B$6:$B$9,0)-1),MIN(U$23-EM!$B$16+31,EM!$AF$16-EM!$B$16)),0)+
IF(ROUND(U$11,0)&gt;=33,OFFSET(EM!$B$17,ROW($A26)-ROW($A$26)+(ROW(EM!$C$46)-ROW(EM!$C$14))*(MATCH(U$22,EM!$B$6:$B$9,0)-1),MIN(U$23-EM!$B$16+32,EM!$AF$16-EM!$B$16)),0)+
IF(ROUND(U$11,0)&gt;=34,OFFSET(EM!$B$17,ROW($A26)-ROW($A$26)+(ROW(EM!$C$46)-ROW(EM!$C$14))*(MATCH(U$22,EM!$B$6:$B$9,0)-1),MIN(U$23-EM!$B$16+33,EM!$AF$16-EM!$B$16)),0)+
IF(ROUND(U$11,0)&gt;=35,OFFSET(EM!$B$17,ROW($A26)-ROW($A$26)+(ROW(EM!$C$46)-ROW(EM!$C$14))*(MATCH(U$22,EM!$B$6:$B$9,0)-1),MIN(U$23-EM!$B$16+34,EM!$AF$16-EM!$B$16)),0)+
IF(ROUND(U$11,0)&gt;=36,OFFSET(EM!$B$17,ROW($A26)-ROW($A$26)+(ROW(EM!$C$46)-ROW(EM!$C$14))*(MATCH(U$22,EM!$B$6:$B$9,0)-1),MIN(U$23-EM!$B$16+35,EM!$AF$16-EM!$B$16)),0)+
IF(ROUND(U$11,0)&gt;=37,OFFSET(EM!$B$17,ROW($A26)-ROW($A$26)+(ROW(EM!$C$46)-ROW(EM!$C$14))*(MATCH(U$22,EM!$B$6:$B$9,0)-1),MIN(U$23-EM!$B$16+36,EM!$AF$16-EM!$B$16)),0)+
IF(ROUND(U$11,0)&gt;=38,OFFSET(EM!$B$17,ROW($A26)-ROW($A$26)+(ROW(EM!$C$46)-ROW(EM!$C$14))*(MATCH(U$22,EM!$B$6:$B$9,0)-1),MIN(U$23-EM!$B$16+37,EM!$AF$16-EM!$B$16)),0)+
IF(ROUND(U$11,0)&gt;=39,OFFSET(EM!$B$17,ROW($A26)-ROW($A$26)+(ROW(EM!$C$46)-ROW(EM!$C$14))*(MATCH(U$22,EM!$B$6:$B$9,0)-1),MIN(U$23-EM!$B$16+38,EM!$AF$16-EM!$B$16)),0)+
IF(ROUND(U$11,0)&gt;=40,OFFSET(EM!$B$17,ROW($A26)-ROW($A$26)+(ROW(EM!$C$46)-ROW(EM!$C$14))*(MATCH(U$22,EM!$B$6:$B$9,0)-1),MIN(U$23-EM!$B$16+39,EM!$AF$16-EM!$B$16)),0)
)/ROUND(U$11,0),NA()))</f>
        <v>5.0412668060949824E-3</v>
      </c>
      <c r="V26" s="2046">
        <f ca="1">IF(V$19=GPG!$A$28,IF(ROW(V26)-ROW(V$26)+1=MATCH(V$20,GPG!$A$5:$A$11,0),1,0),
IF(V$19=GPG!$A$29,
(IF(ROUND(V$11,0)&gt;=1,OFFSET(EM!$B$17,ROW($A26)-ROW($A$26)+(ROW(EM!$C$46)-ROW(EM!$C$14))*(MATCH(V$22,EM!$B$6:$B$9,0)-1),MIN(V$23-EM!$B$16,EM!$AF$16-EM!$B$16)),0)+
IF(ROUND(V$11,0)&gt;=2,OFFSET(EM!$B$17,ROW($A26)-ROW($A$26)+(ROW(EM!$C$46)-ROW(EM!$C$14))*(MATCH(V$22,EM!$B$6:$B$9,0)-1),MIN(V$23-EM!$B$16+1,EM!$AF$16-EM!$B$16)),0)+
IF(ROUND(V$11,0)&gt;=3,OFFSET(EM!$B$17,ROW($A26)-ROW($A$26)+(ROW(EM!$C$46)-ROW(EM!$C$14))*(MATCH(V$22,EM!$B$6:$B$9,0)-1),MIN(V$23-EM!$B$16+2,EM!$AF$16-EM!$B$16)),0)+
IF(ROUND(V$11,0)&gt;=4,OFFSET(EM!$B$17,ROW($A26)-ROW($A$26)+(ROW(EM!$C$46)-ROW(EM!$C$14))*(MATCH(V$22,EM!$B$6:$B$9,0)-1),MIN(V$23-EM!$B$16+3,EM!$AF$16-EM!$B$16)),0)+
IF(ROUND(V$11,0)&gt;=5,OFFSET(EM!$B$17,ROW($A26)-ROW($A$26)+(ROW(EM!$C$46)-ROW(EM!$C$14))*(MATCH(V$22,EM!$B$6:$B$9,0)-1),MIN(V$23-EM!$B$16+4,EM!$AF$16-EM!$B$16)),0)+
IF(ROUND(V$11,0)&gt;=6,OFFSET(EM!$B$17,ROW($A26)-ROW($A$26)+(ROW(EM!$C$46)-ROW(EM!$C$14))*(MATCH(V$22,EM!$B$6:$B$9,0)-1),MIN(V$23-EM!$B$16+5,EM!$AF$16-EM!$B$16)),0)+
IF(ROUND(V$11,0)&gt;=7,OFFSET(EM!$B$17,ROW($A26)-ROW($A$26)+(ROW(EM!$C$46)-ROW(EM!$C$14))*(MATCH(V$22,EM!$B$6:$B$9,0)-1),MIN(V$23-EM!$B$16+6,EM!$AF$16-EM!$B$16)),0)+
IF(ROUND(V$11,0)&gt;=8,OFFSET(EM!$B$17,ROW($A26)-ROW($A$26)+(ROW(EM!$C$46)-ROW(EM!$C$14))*(MATCH(V$22,EM!$B$6:$B$9,0)-1),MIN(V$23-EM!$B$16+7,EM!$AF$16-EM!$B$16)),0)+
IF(ROUND(V$11,0)&gt;=9,OFFSET(EM!$B$17,ROW($A26)-ROW($A$26)+(ROW(EM!$C$46)-ROW(EM!$C$14))*(MATCH(V$22,EM!$B$6:$B$9,0)-1),MIN(V$23-EM!$B$16+8,EM!$AF$16-EM!$B$16)),0)+
IF(ROUND(V$11,0)&gt;=10,OFFSET(EM!$B$17,ROW($A26)-ROW($A$26)+(ROW(EM!$C$46)-ROW(EM!$C$14))*(MATCH(V$22,EM!$B$6:$B$9,0)-1),MIN(V$23-EM!$B$16+9,EM!$AF$16-EM!$B$16)),0)+
IF(ROUND(V$11,0)&gt;=11,OFFSET(EM!$B$17,ROW($A26)-ROW($A$26)+(ROW(EM!$C$46)-ROW(EM!$C$14))*(MATCH(V$22,EM!$B$6:$B$9,0)-1),MIN(V$23-EM!$B$16+10,EM!$AF$16-EM!$B$16)),0)+
IF(ROUND(V$11,0)&gt;=12,OFFSET(EM!$B$17,ROW($A26)-ROW($A$26)+(ROW(EM!$C$46)-ROW(EM!$C$14))*(MATCH(V$22,EM!$B$6:$B$9,0)-1),MIN(V$23-EM!$B$16+11,EM!$AF$16-EM!$B$16)),0)+
IF(ROUND(V$11,0)&gt;=13,OFFSET(EM!$B$17,ROW($A26)-ROW($A$26)+(ROW(EM!$C$46)-ROW(EM!$C$14))*(MATCH(V$22,EM!$B$6:$B$9,0)-1),MIN(V$23-EM!$B$16+12,EM!$AF$16-EM!$B$16)),0)+
IF(ROUND(V$11,0)&gt;=14,OFFSET(EM!$B$17,ROW($A26)-ROW($A$26)+(ROW(EM!$C$46)-ROW(EM!$C$14))*(MATCH(V$22,EM!$B$6:$B$9,0)-1),MIN(V$23-EM!$B$16+13,EM!$AF$16-EM!$B$16)),0)+
IF(ROUND(V$11,0)&gt;=15,OFFSET(EM!$B$17,ROW($A26)-ROW($A$26)+(ROW(EM!$C$46)-ROW(EM!$C$14))*(MATCH(V$22,EM!$B$6:$B$9,0)-1),MIN(V$23-EM!$B$16+14,EM!$AF$16-EM!$B$16)),0)+
IF(ROUND(V$11,0)&gt;=16,OFFSET(EM!$B$17,ROW($A26)-ROW($A$26)+(ROW(EM!$C$46)-ROW(EM!$C$14))*(MATCH(V$22,EM!$B$6:$B$9,0)-1),MIN(V$23-EM!$B$16+15,EM!$AF$16-EM!$B$16)),0)+
IF(ROUND(V$11,0)&gt;=17,OFFSET(EM!$B$17,ROW($A26)-ROW($A$26)+(ROW(EM!$C$46)-ROW(EM!$C$14))*(MATCH(V$22,EM!$B$6:$B$9,0)-1),MIN(V$23-EM!$B$16+16,EM!$AF$16-EM!$B$16)),0)+
IF(ROUND(V$11,0)&gt;=18,OFFSET(EM!$B$17,ROW($A26)-ROW($A$26)+(ROW(EM!$C$46)-ROW(EM!$C$14))*(MATCH(V$22,EM!$B$6:$B$9,0)-1),MIN(V$23-EM!$B$16+17,EM!$AF$16-EM!$B$16)),0)+
IF(ROUND(V$11,0)&gt;=19,OFFSET(EM!$B$17,ROW($A26)-ROW($A$26)+(ROW(EM!$C$46)-ROW(EM!$C$14))*(MATCH(V$22,EM!$B$6:$B$9,0)-1),MIN(V$23-EM!$B$16+18,EM!$AF$16-EM!$B$16)),0)+
IF(ROUND(V$11,0)&gt;=20,OFFSET(EM!$B$17,ROW($A26)-ROW($A$26)+(ROW(EM!$C$46)-ROW(EM!$C$14))*(MATCH(V$22,EM!$B$6:$B$9,0)-1),MIN(V$23-EM!$B$16+19,EM!$AF$16-EM!$B$16)),0)+
IF(ROUND(V$11,0)&gt;=21,OFFSET(EM!$B$17,ROW($A26)-ROW($A$26)+(ROW(EM!$C$46)-ROW(EM!$C$14))*(MATCH(V$22,EM!$B$6:$B$9,0)-1),MIN(V$23-EM!$B$16+20,EM!$AF$16-EM!$B$16)),0)+
IF(ROUND(V$11,0)&gt;=22,OFFSET(EM!$B$17,ROW($A26)-ROW($A$26)+(ROW(EM!$C$46)-ROW(EM!$C$14))*(MATCH(V$22,EM!$B$6:$B$9,0)-1),MIN(V$23-EM!$B$16+21,EM!$AF$16-EM!$B$16)),0)+
IF(ROUND(V$11,0)&gt;=23,OFFSET(EM!$B$17,ROW($A26)-ROW($A$26)+(ROW(EM!$C$46)-ROW(EM!$C$14))*(MATCH(V$22,EM!$B$6:$B$9,0)-1),MIN(V$23-EM!$B$16+22,EM!$AF$16-EM!$B$16)),0)+
IF(ROUND(V$11,0)&gt;=24,OFFSET(EM!$B$17,ROW($A26)-ROW($A$26)+(ROW(EM!$C$46)-ROW(EM!$C$14))*(MATCH(V$22,EM!$B$6:$B$9,0)-1),MIN(V$23-EM!$B$16+23,EM!$AF$16-EM!$B$16)),0)+
IF(ROUND(V$11,0)&gt;=25,OFFSET(EM!$B$17,ROW($A26)-ROW($A$26)+(ROW(EM!$C$46)-ROW(EM!$C$14))*(MATCH(V$22,EM!$B$6:$B$9,0)-1),MIN(V$23-EM!$B$16+24,EM!$AF$16-EM!$B$16)),0)+
IF(ROUND(V$11,0)&gt;=26,OFFSET(EM!$B$17,ROW($A26)-ROW($A$26)+(ROW(EM!$C$46)-ROW(EM!$C$14))*(MATCH(V$22,EM!$B$6:$B$9,0)-1),MIN(V$23-EM!$B$16+25,EM!$AF$16-EM!$B$16)),0)+
IF(ROUND(V$11,0)&gt;=27,OFFSET(EM!$B$17,ROW($A26)-ROW($A$26)+(ROW(EM!$C$46)-ROW(EM!$C$14))*(MATCH(V$22,EM!$B$6:$B$9,0)-1),MIN(V$23-EM!$B$16+26,EM!$AF$16-EM!$B$16)),0)+
IF(ROUND(V$11,0)&gt;=28,OFFSET(EM!$B$17,ROW($A26)-ROW($A$26)+(ROW(EM!$C$46)-ROW(EM!$C$14))*(MATCH(V$22,EM!$B$6:$B$9,0)-1),MIN(V$23-EM!$B$16+27,EM!$AF$16-EM!$B$16)),0)+
IF(ROUND(V$11,0)&gt;=29,OFFSET(EM!$B$17,ROW($A26)-ROW($A$26)+(ROW(EM!$C$46)-ROW(EM!$C$14))*(MATCH(V$22,EM!$B$6:$B$9,0)-1),MIN(V$23-EM!$B$16+28,EM!$AF$16-EM!$B$16)),0)+
IF(ROUND(V$11,0)&gt;=30,OFFSET(EM!$B$17,ROW($A26)-ROW($A$26)+(ROW(EM!$C$46)-ROW(EM!$C$14))*(MATCH(V$22,EM!$B$6:$B$9,0)-1),MIN(V$23-EM!$B$16+29,EM!$AF$16-EM!$B$16)),0)+
IF(ROUND(V$11,0)&gt;=31,OFFSET(EM!$B$17,ROW($A26)-ROW($A$26)+(ROW(EM!$C$46)-ROW(EM!$C$14))*(MATCH(V$22,EM!$B$6:$B$9,0)-1),MIN(V$23-EM!$B$16+30,EM!$AF$16-EM!$B$16)),0)+
IF(ROUND(V$11,0)&gt;=32,OFFSET(EM!$B$17,ROW($A26)-ROW($A$26)+(ROW(EM!$C$46)-ROW(EM!$C$14))*(MATCH(V$22,EM!$B$6:$B$9,0)-1),MIN(V$23-EM!$B$16+31,EM!$AF$16-EM!$B$16)),0)+
IF(ROUND(V$11,0)&gt;=33,OFFSET(EM!$B$17,ROW($A26)-ROW($A$26)+(ROW(EM!$C$46)-ROW(EM!$C$14))*(MATCH(V$22,EM!$B$6:$B$9,0)-1),MIN(V$23-EM!$B$16+32,EM!$AF$16-EM!$B$16)),0)+
IF(ROUND(V$11,0)&gt;=34,OFFSET(EM!$B$17,ROW($A26)-ROW($A$26)+(ROW(EM!$C$46)-ROW(EM!$C$14))*(MATCH(V$22,EM!$B$6:$B$9,0)-1),MIN(V$23-EM!$B$16+33,EM!$AF$16-EM!$B$16)),0)+
IF(ROUND(V$11,0)&gt;=35,OFFSET(EM!$B$17,ROW($A26)-ROW($A$26)+(ROW(EM!$C$46)-ROW(EM!$C$14))*(MATCH(V$22,EM!$B$6:$B$9,0)-1),MIN(V$23-EM!$B$16+34,EM!$AF$16-EM!$B$16)),0)+
IF(ROUND(V$11,0)&gt;=36,OFFSET(EM!$B$17,ROW($A26)-ROW($A$26)+(ROW(EM!$C$46)-ROW(EM!$C$14))*(MATCH(V$22,EM!$B$6:$B$9,0)-1),MIN(V$23-EM!$B$16+35,EM!$AF$16-EM!$B$16)),0)+
IF(ROUND(V$11,0)&gt;=37,OFFSET(EM!$B$17,ROW($A26)-ROW($A$26)+(ROW(EM!$C$46)-ROW(EM!$C$14))*(MATCH(V$22,EM!$B$6:$B$9,0)-1),MIN(V$23-EM!$B$16+36,EM!$AF$16-EM!$B$16)),0)+
IF(ROUND(V$11,0)&gt;=38,OFFSET(EM!$B$17,ROW($A26)-ROW($A$26)+(ROW(EM!$C$46)-ROW(EM!$C$14))*(MATCH(V$22,EM!$B$6:$B$9,0)-1),MIN(V$23-EM!$B$16+37,EM!$AF$16-EM!$B$16)),0)+
IF(ROUND(V$11,0)&gt;=39,OFFSET(EM!$B$17,ROW($A26)-ROW($A$26)+(ROW(EM!$C$46)-ROW(EM!$C$14))*(MATCH(V$22,EM!$B$6:$B$9,0)-1),MIN(V$23-EM!$B$16+38,EM!$AF$16-EM!$B$16)),0)+
IF(ROUND(V$11,0)&gt;=40,OFFSET(EM!$B$17,ROW($A26)-ROW($A$26)+(ROW(EM!$C$46)-ROW(EM!$C$14))*(MATCH(V$22,EM!$B$6:$B$9,0)-1),MIN(V$23-EM!$B$16+39,EM!$AF$16-EM!$B$16)),0)
)/ROUND(V$11,0),NA()))</f>
        <v>5.0412668060949824E-3</v>
      </c>
      <c r="W26" s="2046">
        <f ca="1">IF(W$19=GPG!$A$28,IF(ROW(W26)-ROW(W$26)+1=MATCH(W$20,GPG!$A$5:$A$11,0),1,0),
IF(W$19=GPG!$A$29,
(IF(ROUND(W$11,0)&gt;=1,OFFSET(EM!$B$17,ROW($A26)-ROW($A$26)+(ROW(EM!$C$46)-ROW(EM!$C$14))*(MATCH(W$22,EM!$B$6:$B$9,0)-1),MIN(W$23-EM!$B$16,EM!$AF$16-EM!$B$16)),0)+
IF(ROUND(W$11,0)&gt;=2,OFFSET(EM!$B$17,ROW($A26)-ROW($A$26)+(ROW(EM!$C$46)-ROW(EM!$C$14))*(MATCH(W$22,EM!$B$6:$B$9,0)-1),MIN(W$23-EM!$B$16+1,EM!$AF$16-EM!$B$16)),0)+
IF(ROUND(W$11,0)&gt;=3,OFFSET(EM!$B$17,ROW($A26)-ROW($A$26)+(ROW(EM!$C$46)-ROW(EM!$C$14))*(MATCH(W$22,EM!$B$6:$B$9,0)-1),MIN(W$23-EM!$B$16+2,EM!$AF$16-EM!$B$16)),0)+
IF(ROUND(W$11,0)&gt;=4,OFFSET(EM!$B$17,ROW($A26)-ROW($A$26)+(ROW(EM!$C$46)-ROW(EM!$C$14))*(MATCH(W$22,EM!$B$6:$B$9,0)-1),MIN(W$23-EM!$B$16+3,EM!$AF$16-EM!$B$16)),0)+
IF(ROUND(W$11,0)&gt;=5,OFFSET(EM!$B$17,ROW($A26)-ROW($A$26)+(ROW(EM!$C$46)-ROW(EM!$C$14))*(MATCH(W$22,EM!$B$6:$B$9,0)-1),MIN(W$23-EM!$B$16+4,EM!$AF$16-EM!$B$16)),0)+
IF(ROUND(W$11,0)&gt;=6,OFFSET(EM!$B$17,ROW($A26)-ROW($A$26)+(ROW(EM!$C$46)-ROW(EM!$C$14))*(MATCH(W$22,EM!$B$6:$B$9,0)-1),MIN(W$23-EM!$B$16+5,EM!$AF$16-EM!$B$16)),0)+
IF(ROUND(W$11,0)&gt;=7,OFFSET(EM!$B$17,ROW($A26)-ROW($A$26)+(ROW(EM!$C$46)-ROW(EM!$C$14))*(MATCH(W$22,EM!$B$6:$B$9,0)-1),MIN(W$23-EM!$B$16+6,EM!$AF$16-EM!$B$16)),0)+
IF(ROUND(W$11,0)&gt;=8,OFFSET(EM!$B$17,ROW($A26)-ROW($A$26)+(ROW(EM!$C$46)-ROW(EM!$C$14))*(MATCH(W$22,EM!$B$6:$B$9,0)-1),MIN(W$23-EM!$B$16+7,EM!$AF$16-EM!$B$16)),0)+
IF(ROUND(W$11,0)&gt;=9,OFFSET(EM!$B$17,ROW($A26)-ROW($A$26)+(ROW(EM!$C$46)-ROW(EM!$C$14))*(MATCH(W$22,EM!$B$6:$B$9,0)-1),MIN(W$23-EM!$B$16+8,EM!$AF$16-EM!$B$16)),0)+
IF(ROUND(W$11,0)&gt;=10,OFFSET(EM!$B$17,ROW($A26)-ROW($A$26)+(ROW(EM!$C$46)-ROW(EM!$C$14))*(MATCH(W$22,EM!$B$6:$B$9,0)-1),MIN(W$23-EM!$B$16+9,EM!$AF$16-EM!$B$16)),0)+
IF(ROUND(W$11,0)&gt;=11,OFFSET(EM!$B$17,ROW($A26)-ROW($A$26)+(ROW(EM!$C$46)-ROW(EM!$C$14))*(MATCH(W$22,EM!$B$6:$B$9,0)-1),MIN(W$23-EM!$B$16+10,EM!$AF$16-EM!$B$16)),0)+
IF(ROUND(W$11,0)&gt;=12,OFFSET(EM!$B$17,ROW($A26)-ROW($A$26)+(ROW(EM!$C$46)-ROW(EM!$C$14))*(MATCH(W$22,EM!$B$6:$B$9,0)-1),MIN(W$23-EM!$B$16+11,EM!$AF$16-EM!$B$16)),0)+
IF(ROUND(W$11,0)&gt;=13,OFFSET(EM!$B$17,ROW($A26)-ROW($A$26)+(ROW(EM!$C$46)-ROW(EM!$C$14))*(MATCH(W$22,EM!$B$6:$B$9,0)-1),MIN(W$23-EM!$B$16+12,EM!$AF$16-EM!$B$16)),0)+
IF(ROUND(W$11,0)&gt;=14,OFFSET(EM!$B$17,ROW($A26)-ROW($A$26)+(ROW(EM!$C$46)-ROW(EM!$C$14))*(MATCH(W$22,EM!$B$6:$B$9,0)-1),MIN(W$23-EM!$B$16+13,EM!$AF$16-EM!$B$16)),0)+
IF(ROUND(W$11,0)&gt;=15,OFFSET(EM!$B$17,ROW($A26)-ROW($A$26)+(ROW(EM!$C$46)-ROW(EM!$C$14))*(MATCH(W$22,EM!$B$6:$B$9,0)-1),MIN(W$23-EM!$B$16+14,EM!$AF$16-EM!$B$16)),0)+
IF(ROUND(W$11,0)&gt;=16,OFFSET(EM!$B$17,ROW($A26)-ROW($A$26)+(ROW(EM!$C$46)-ROW(EM!$C$14))*(MATCH(W$22,EM!$B$6:$B$9,0)-1),MIN(W$23-EM!$B$16+15,EM!$AF$16-EM!$B$16)),0)+
IF(ROUND(W$11,0)&gt;=17,OFFSET(EM!$B$17,ROW($A26)-ROW($A$26)+(ROW(EM!$C$46)-ROW(EM!$C$14))*(MATCH(W$22,EM!$B$6:$B$9,0)-1),MIN(W$23-EM!$B$16+16,EM!$AF$16-EM!$B$16)),0)+
IF(ROUND(W$11,0)&gt;=18,OFFSET(EM!$B$17,ROW($A26)-ROW($A$26)+(ROW(EM!$C$46)-ROW(EM!$C$14))*(MATCH(W$22,EM!$B$6:$B$9,0)-1),MIN(W$23-EM!$B$16+17,EM!$AF$16-EM!$B$16)),0)+
IF(ROUND(W$11,0)&gt;=19,OFFSET(EM!$B$17,ROW($A26)-ROW($A$26)+(ROW(EM!$C$46)-ROW(EM!$C$14))*(MATCH(W$22,EM!$B$6:$B$9,0)-1),MIN(W$23-EM!$B$16+18,EM!$AF$16-EM!$B$16)),0)+
IF(ROUND(W$11,0)&gt;=20,OFFSET(EM!$B$17,ROW($A26)-ROW($A$26)+(ROW(EM!$C$46)-ROW(EM!$C$14))*(MATCH(W$22,EM!$B$6:$B$9,0)-1),MIN(W$23-EM!$B$16+19,EM!$AF$16-EM!$B$16)),0)+
IF(ROUND(W$11,0)&gt;=21,OFFSET(EM!$B$17,ROW($A26)-ROW($A$26)+(ROW(EM!$C$46)-ROW(EM!$C$14))*(MATCH(W$22,EM!$B$6:$B$9,0)-1),MIN(W$23-EM!$B$16+20,EM!$AF$16-EM!$B$16)),0)+
IF(ROUND(W$11,0)&gt;=22,OFFSET(EM!$B$17,ROW($A26)-ROW($A$26)+(ROW(EM!$C$46)-ROW(EM!$C$14))*(MATCH(W$22,EM!$B$6:$B$9,0)-1),MIN(W$23-EM!$B$16+21,EM!$AF$16-EM!$B$16)),0)+
IF(ROUND(W$11,0)&gt;=23,OFFSET(EM!$B$17,ROW($A26)-ROW($A$26)+(ROW(EM!$C$46)-ROW(EM!$C$14))*(MATCH(W$22,EM!$B$6:$B$9,0)-1),MIN(W$23-EM!$B$16+22,EM!$AF$16-EM!$B$16)),0)+
IF(ROUND(W$11,0)&gt;=24,OFFSET(EM!$B$17,ROW($A26)-ROW($A$26)+(ROW(EM!$C$46)-ROW(EM!$C$14))*(MATCH(W$22,EM!$B$6:$B$9,0)-1),MIN(W$23-EM!$B$16+23,EM!$AF$16-EM!$B$16)),0)+
IF(ROUND(W$11,0)&gt;=25,OFFSET(EM!$B$17,ROW($A26)-ROW($A$26)+(ROW(EM!$C$46)-ROW(EM!$C$14))*(MATCH(W$22,EM!$B$6:$B$9,0)-1),MIN(W$23-EM!$B$16+24,EM!$AF$16-EM!$B$16)),0)+
IF(ROUND(W$11,0)&gt;=26,OFFSET(EM!$B$17,ROW($A26)-ROW($A$26)+(ROW(EM!$C$46)-ROW(EM!$C$14))*(MATCH(W$22,EM!$B$6:$B$9,0)-1),MIN(W$23-EM!$B$16+25,EM!$AF$16-EM!$B$16)),0)+
IF(ROUND(W$11,0)&gt;=27,OFFSET(EM!$B$17,ROW($A26)-ROW($A$26)+(ROW(EM!$C$46)-ROW(EM!$C$14))*(MATCH(W$22,EM!$B$6:$B$9,0)-1),MIN(W$23-EM!$B$16+26,EM!$AF$16-EM!$B$16)),0)+
IF(ROUND(W$11,0)&gt;=28,OFFSET(EM!$B$17,ROW($A26)-ROW($A$26)+(ROW(EM!$C$46)-ROW(EM!$C$14))*(MATCH(W$22,EM!$B$6:$B$9,0)-1),MIN(W$23-EM!$B$16+27,EM!$AF$16-EM!$B$16)),0)+
IF(ROUND(W$11,0)&gt;=29,OFFSET(EM!$B$17,ROW($A26)-ROW($A$26)+(ROW(EM!$C$46)-ROW(EM!$C$14))*(MATCH(W$22,EM!$B$6:$B$9,0)-1),MIN(W$23-EM!$B$16+28,EM!$AF$16-EM!$B$16)),0)+
IF(ROUND(W$11,0)&gt;=30,OFFSET(EM!$B$17,ROW($A26)-ROW($A$26)+(ROW(EM!$C$46)-ROW(EM!$C$14))*(MATCH(W$22,EM!$B$6:$B$9,0)-1),MIN(W$23-EM!$B$16+29,EM!$AF$16-EM!$B$16)),0)+
IF(ROUND(W$11,0)&gt;=31,OFFSET(EM!$B$17,ROW($A26)-ROW($A$26)+(ROW(EM!$C$46)-ROW(EM!$C$14))*(MATCH(W$22,EM!$B$6:$B$9,0)-1),MIN(W$23-EM!$B$16+30,EM!$AF$16-EM!$B$16)),0)+
IF(ROUND(W$11,0)&gt;=32,OFFSET(EM!$B$17,ROW($A26)-ROW($A$26)+(ROW(EM!$C$46)-ROW(EM!$C$14))*(MATCH(W$22,EM!$B$6:$B$9,0)-1),MIN(W$23-EM!$B$16+31,EM!$AF$16-EM!$B$16)),0)+
IF(ROUND(W$11,0)&gt;=33,OFFSET(EM!$B$17,ROW($A26)-ROW($A$26)+(ROW(EM!$C$46)-ROW(EM!$C$14))*(MATCH(W$22,EM!$B$6:$B$9,0)-1),MIN(W$23-EM!$B$16+32,EM!$AF$16-EM!$B$16)),0)+
IF(ROUND(W$11,0)&gt;=34,OFFSET(EM!$B$17,ROW($A26)-ROW($A$26)+(ROW(EM!$C$46)-ROW(EM!$C$14))*(MATCH(W$22,EM!$B$6:$B$9,0)-1),MIN(W$23-EM!$B$16+33,EM!$AF$16-EM!$B$16)),0)+
IF(ROUND(W$11,0)&gt;=35,OFFSET(EM!$B$17,ROW($A26)-ROW($A$26)+(ROW(EM!$C$46)-ROW(EM!$C$14))*(MATCH(W$22,EM!$B$6:$B$9,0)-1),MIN(W$23-EM!$B$16+34,EM!$AF$16-EM!$B$16)),0)+
IF(ROUND(W$11,0)&gt;=36,OFFSET(EM!$B$17,ROW($A26)-ROW($A$26)+(ROW(EM!$C$46)-ROW(EM!$C$14))*(MATCH(W$22,EM!$B$6:$B$9,0)-1),MIN(W$23-EM!$B$16+35,EM!$AF$16-EM!$B$16)),0)+
IF(ROUND(W$11,0)&gt;=37,OFFSET(EM!$B$17,ROW($A26)-ROW($A$26)+(ROW(EM!$C$46)-ROW(EM!$C$14))*(MATCH(W$22,EM!$B$6:$B$9,0)-1),MIN(W$23-EM!$B$16+36,EM!$AF$16-EM!$B$16)),0)+
IF(ROUND(W$11,0)&gt;=38,OFFSET(EM!$B$17,ROW($A26)-ROW($A$26)+(ROW(EM!$C$46)-ROW(EM!$C$14))*(MATCH(W$22,EM!$B$6:$B$9,0)-1),MIN(W$23-EM!$B$16+37,EM!$AF$16-EM!$B$16)),0)+
IF(ROUND(W$11,0)&gt;=39,OFFSET(EM!$B$17,ROW($A26)-ROW($A$26)+(ROW(EM!$C$46)-ROW(EM!$C$14))*(MATCH(W$22,EM!$B$6:$B$9,0)-1),MIN(W$23-EM!$B$16+38,EM!$AF$16-EM!$B$16)),0)+
IF(ROUND(W$11,0)&gt;=40,OFFSET(EM!$B$17,ROW($A26)-ROW($A$26)+(ROW(EM!$C$46)-ROW(EM!$C$14))*(MATCH(W$22,EM!$B$6:$B$9,0)-1),MIN(W$23-EM!$B$16+39,EM!$AF$16-EM!$B$16)),0)
)/ROUND(W$11,0),NA()))</f>
        <v>5.0412668060949824E-3</v>
      </c>
      <c r="X26" s="2046">
        <f ca="1">IF(X$19=GPG!$A$28,IF(ROW(X26)-ROW(X$26)+1=MATCH(X$20,GPG!$A$5:$A$11,0),1,0),
IF(X$19=GPG!$A$29,
(IF(ROUND(X$11,0)&gt;=1,OFFSET(EM!$B$17,ROW($A26)-ROW($A$26)+(ROW(EM!$C$46)-ROW(EM!$C$14))*(MATCH(X$22,EM!$B$6:$B$9,0)-1),MIN(X$23-EM!$B$16,EM!$AF$16-EM!$B$16)),0)+
IF(ROUND(X$11,0)&gt;=2,OFFSET(EM!$B$17,ROW($A26)-ROW($A$26)+(ROW(EM!$C$46)-ROW(EM!$C$14))*(MATCH(X$22,EM!$B$6:$B$9,0)-1),MIN(X$23-EM!$B$16+1,EM!$AF$16-EM!$B$16)),0)+
IF(ROUND(X$11,0)&gt;=3,OFFSET(EM!$B$17,ROW($A26)-ROW($A$26)+(ROW(EM!$C$46)-ROW(EM!$C$14))*(MATCH(X$22,EM!$B$6:$B$9,0)-1),MIN(X$23-EM!$B$16+2,EM!$AF$16-EM!$B$16)),0)+
IF(ROUND(X$11,0)&gt;=4,OFFSET(EM!$B$17,ROW($A26)-ROW($A$26)+(ROW(EM!$C$46)-ROW(EM!$C$14))*(MATCH(X$22,EM!$B$6:$B$9,0)-1),MIN(X$23-EM!$B$16+3,EM!$AF$16-EM!$B$16)),0)+
IF(ROUND(X$11,0)&gt;=5,OFFSET(EM!$B$17,ROW($A26)-ROW($A$26)+(ROW(EM!$C$46)-ROW(EM!$C$14))*(MATCH(X$22,EM!$B$6:$B$9,0)-1),MIN(X$23-EM!$B$16+4,EM!$AF$16-EM!$B$16)),0)+
IF(ROUND(X$11,0)&gt;=6,OFFSET(EM!$B$17,ROW($A26)-ROW($A$26)+(ROW(EM!$C$46)-ROW(EM!$C$14))*(MATCH(X$22,EM!$B$6:$B$9,0)-1),MIN(X$23-EM!$B$16+5,EM!$AF$16-EM!$B$16)),0)+
IF(ROUND(X$11,0)&gt;=7,OFFSET(EM!$B$17,ROW($A26)-ROW($A$26)+(ROW(EM!$C$46)-ROW(EM!$C$14))*(MATCH(X$22,EM!$B$6:$B$9,0)-1),MIN(X$23-EM!$B$16+6,EM!$AF$16-EM!$B$16)),0)+
IF(ROUND(X$11,0)&gt;=8,OFFSET(EM!$B$17,ROW($A26)-ROW($A$26)+(ROW(EM!$C$46)-ROW(EM!$C$14))*(MATCH(X$22,EM!$B$6:$B$9,0)-1),MIN(X$23-EM!$B$16+7,EM!$AF$16-EM!$B$16)),0)+
IF(ROUND(X$11,0)&gt;=9,OFFSET(EM!$B$17,ROW($A26)-ROW($A$26)+(ROW(EM!$C$46)-ROW(EM!$C$14))*(MATCH(X$22,EM!$B$6:$B$9,0)-1),MIN(X$23-EM!$B$16+8,EM!$AF$16-EM!$B$16)),0)+
IF(ROUND(X$11,0)&gt;=10,OFFSET(EM!$B$17,ROW($A26)-ROW($A$26)+(ROW(EM!$C$46)-ROW(EM!$C$14))*(MATCH(X$22,EM!$B$6:$B$9,0)-1),MIN(X$23-EM!$B$16+9,EM!$AF$16-EM!$B$16)),0)+
IF(ROUND(X$11,0)&gt;=11,OFFSET(EM!$B$17,ROW($A26)-ROW($A$26)+(ROW(EM!$C$46)-ROW(EM!$C$14))*(MATCH(X$22,EM!$B$6:$B$9,0)-1),MIN(X$23-EM!$B$16+10,EM!$AF$16-EM!$B$16)),0)+
IF(ROUND(X$11,0)&gt;=12,OFFSET(EM!$B$17,ROW($A26)-ROW($A$26)+(ROW(EM!$C$46)-ROW(EM!$C$14))*(MATCH(X$22,EM!$B$6:$B$9,0)-1),MIN(X$23-EM!$B$16+11,EM!$AF$16-EM!$B$16)),0)+
IF(ROUND(X$11,0)&gt;=13,OFFSET(EM!$B$17,ROW($A26)-ROW($A$26)+(ROW(EM!$C$46)-ROW(EM!$C$14))*(MATCH(X$22,EM!$B$6:$B$9,0)-1),MIN(X$23-EM!$B$16+12,EM!$AF$16-EM!$B$16)),0)+
IF(ROUND(X$11,0)&gt;=14,OFFSET(EM!$B$17,ROW($A26)-ROW($A$26)+(ROW(EM!$C$46)-ROW(EM!$C$14))*(MATCH(X$22,EM!$B$6:$B$9,0)-1),MIN(X$23-EM!$B$16+13,EM!$AF$16-EM!$B$16)),0)+
IF(ROUND(X$11,0)&gt;=15,OFFSET(EM!$B$17,ROW($A26)-ROW($A$26)+(ROW(EM!$C$46)-ROW(EM!$C$14))*(MATCH(X$22,EM!$B$6:$B$9,0)-1),MIN(X$23-EM!$B$16+14,EM!$AF$16-EM!$B$16)),0)+
IF(ROUND(X$11,0)&gt;=16,OFFSET(EM!$B$17,ROW($A26)-ROW($A$26)+(ROW(EM!$C$46)-ROW(EM!$C$14))*(MATCH(X$22,EM!$B$6:$B$9,0)-1),MIN(X$23-EM!$B$16+15,EM!$AF$16-EM!$B$16)),0)+
IF(ROUND(X$11,0)&gt;=17,OFFSET(EM!$B$17,ROW($A26)-ROW($A$26)+(ROW(EM!$C$46)-ROW(EM!$C$14))*(MATCH(X$22,EM!$B$6:$B$9,0)-1),MIN(X$23-EM!$B$16+16,EM!$AF$16-EM!$B$16)),0)+
IF(ROUND(X$11,0)&gt;=18,OFFSET(EM!$B$17,ROW($A26)-ROW($A$26)+(ROW(EM!$C$46)-ROW(EM!$C$14))*(MATCH(X$22,EM!$B$6:$B$9,0)-1),MIN(X$23-EM!$B$16+17,EM!$AF$16-EM!$B$16)),0)+
IF(ROUND(X$11,0)&gt;=19,OFFSET(EM!$B$17,ROW($A26)-ROW($A$26)+(ROW(EM!$C$46)-ROW(EM!$C$14))*(MATCH(X$22,EM!$B$6:$B$9,0)-1),MIN(X$23-EM!$B$16+18,EM!$AF$16-EM!$B$16)),0)+
IF(ROUND(X$11,0)&gt;=20,OFFSET(EM!$B$17,ROW($A26)-ROW($A$26)+(ROW(EM!$C$46)-ROW(EM!$C$14))*(MATCH(X$22,EM!$B$6:$B$9,0)-1),MIN(X$23-EM!$B$16+19,EM!$AF$16-EM!$B$16)),0)+
IF(ROUND(X$11,0)&gt;=21,OFFSET(EM!$B$17,ROW($A26)-ROW($A$26)+(ROW(EM!$C$46)-ROW(EM!$C$14))*(MATCH(X$22,EM!$B$6:$B$9,0)-1),MIN(X$23-EM!$B$16+20,EM!$AF$16-EM!$B$16)),0)+
IF(ROUND(X$11,0)&gt;=22,OFFSET(EM!$B$17,ROW($A26)-ROW($A$26)+(ROW(EM!$C$46)-ROW(EM!$C$14))*(MATCH(X$22,EM!$B$6:$B$9,0)-1),MIN(X$23-EM!$B$16+21,EM!$AF$16-EM!$B$16)),0)+
IF(ROUND(X$11,0)&gt;=23,OFFSET(EM!$B$17,ROW($A26)-ROW($A$26)+(ROW(EM!$C$46)-ROW(EM!$C$14))*(MATCH(X$22,EM!$B$6:$B$9,0)-1),MIN(X$23-EM!$B$16+22,EM!$AF$16-EM!$B$16)),0)+
IF(ROUND(X$11,0)&gt;=24,OFFSET(EM!$B$17,ROW($A26)-ROW($A$26)+(ROW(EM!$C$46)-ROW(EM!$C$14))*(MATCH(X$22,EM!$B$6:$B$9,0)-1),MIN(X$23-EM!$B$16+23,EM!$AF$16-EM!$B$16)),0)+
IF(ROUND(X$11,0)&gt;=25,OFFSET(EM!$B$17,ROW($A26)-ROW($A$26)+(ROW(EM!$C$46)-ROW(EM!$C$14))*(MATCH(X$22,EM!$B$6:$B$9,0)-1),MIN(X$23-EM!$B$16+24,EM!$AF$16-EM!$B$16)),0)+
IF(ROUND(X$11,0)&gt;=26,OFFSET(EM!$B$17,ROW($A26)-ROW($A$26)+(ROW(EM!$C$46)-ROW(EM!$C$14))*(MATCH(X$22,EM!$B$6:$B$9,0)-1),MIN(X$23-EM!$B$16+25,EM!$AF$16-EM!$B$16)),0)+
IF(ROUND(X$11,0)&gt;=27,OFFSET(EM!$B$17,ROW($A26)-ROW($A$26)+(ROW(EM!$C$46)-ROW(EM!$C$14))*(MATCH(X$22,EM!$B$6:$B$9,0)-1),MIN(X$23-EM!$B$16+26,EM!$AF$16-EM!$B$16)),0)+
IF(ROUND(X$11,0)&gt;=28,OFFSET(EM!$B$17,ROW($A26)-ROW($A$26)+(ROW(EM!$C$46)-ROW(EM!$C$14))*(MATCH(X$22,EM!$B$6:$B$9,0)-1),MIN(X$23-EM!$B$16+27,EM!$AF$16-EM!$B$16)),0)+
IF(ROUND(X$11,0)&gt;=29,OFFSET(EM!$B$17,ROW($A26)-ROW($A$26)+(ROW(EM!$C$46)-ROW(EM!$C$14))*(MATCH(X$22,EM!$B$6:$B$9,0)-1),MIN(X$23-EM!$B$16+28,EM!$AF$16-EM!$B$16)),0)+
IF(ROUND(X$11,0)&gt;=30,OFFSET(EM!$B$17,ROW($A26)-ROW($A$26)+(ROW(EM!$C$46)-ROW(EM!$C$14))*(MATCH(X$22,EM!$B$6:$B$9,0)-1),MIN(X$23-EM!$B$16+29,EM!$AF$16-EM!$B$16)),0)+
IF(ROUND(X$11,0)&gt;=31,OFFSET(EM!$B$17,ROW($A26)-ROW($A$26)+(ROW(EM!$C$46)-ROW(EM!$C$14))*(MATCH(X$22,EM!$B$6:$B$9,0)-1),MIN(X$23-EM!$B$16+30,EM!$AF$16-EM!$B$16)),0)+
IF(ROUND(X$11,0)&gt;=32,OFFSET(EM!$B$17,ROW($A26)-ROW($A$26)+(ROW(EM!$C$46)-ROW(EM!$C$14))*(MATCH(X$22,EM!$B$6:$B$9,0)-1),MIN(X$23-EM!$B$16+31,EM!$AF$16-EM!$B$16)),0)+
IF(ROUND(X$11,0)&gt;=33,OFFSET(EM!$B$17,ROW($A26)-ROW($A$26)+(ROW(EM!$C$46)-ROW(EM!$C$14))*(MATCH(X$22,EM!$B$6:$B$9,0)-1),MIN(X$23-EM!$B$16+32,EM!$AF$16-EM!$B$16)),0)+
IF(ROUND(X$11,0)&gt;=34,OFFSET(EM!$B$17,ROW($A26)-ROW($A$26)+(ROW(EM!$C$46)-ROW(EM!$C$14))*(MATCH(X$22,EM!$B$6:$B$9,0)-1),MIN(X$23-EM!$B$16+33,EM!$AF$16-EM!$B$16)),0)+
IF(ROUND(X$11,0)&gt;=35,OFFSET(EM!$B$17,ROW($A26)-ROW($A$26)+(ROW(EM!$C$46)-ROW(EM!$C$14))*(MATCH(X$22,EM!$B$6:$B$9,0)-1),MIN(X$23-EM!$B$16+34,EM!$AF$16-EM!$B$16)),0)+
IF(ROUND(X$11,0)&gt;=36,OFFSET(EM!$B$17,ROW($A26)-ROW($A$26)+(ROW(EM!$C$46)-ROW(EM!$C$14))*(MATCH(X$22,EM!$B$6:$B$9,0)-1),MIN(X$23-EM!$B$16+35,EM!$AF$16-EM!$B$16)),0)+
IF(ROUND(X$11,0)&gt;=37,OFFSET(EM!$B$17,ROW($A26)-ROW($A$26)+(ROW(EM!$C$46)-ROW(EM!$C$14))*(MATCH(X$22,EM!$B$6:$B$9,0)-1),MIN(X$23-EM!$B$16+36,EM!$AF$16-EM!$B$16)),0)+
IF(ROUND(X$11,0)&gt;=38,OFFSET(EM!$B$17,ROW($A26)-ROW($A$26)+(ROW(EM!$C$46)-ROW(EM!$C$14))*(MATCH(X$22,EM!$B$6:$B$9,0)-1),MIN(X$23-EM!$B$16+37,EM!$AF$16-EM!$B$16)),0)+
IF(ROUND(X$11,0)&gt;=39,OFFSET(EM!$B$17,ROW($A26)-ROW($A$26)+(ROW(EM!$C$46)-ROW(EM!$C$14))*(MATCH(X$22,EM!$B$6:$B$9,0)-1),MIN(X$23-EM!$B$16+38,EM!$AF$16-EM!$B$16)),0)+
IF(ROUND(X$11,0)&gt;=40,OFFSET(EM!$B$17,ROW($A26)-ROW($A$26)+(ROW(EM!$C$46)-ROW(EM!$C$14))*(MATCH(X$22,EM!$B$6:$B$9,0)-1),MIN(X$23-EM!$B$16+39,EM!$AF$16-EM!$B$16)),0)
)/ROUND(X$11,0),NA()))</f>
        <v>0</v>
      </c>
      <c r="Y26" s="2046">
        <f ca="1">IF(Y$19=GPG!$A$28,IF(ROW(Y26)-ROW(Y$26)+1=MATCH(Y$20,GPG!$A$5:$A$11,0),1,0),
IF(Y$19=GPG!$A$29,
(IF(ROUND(Y$11,0)&gt;=1,OFFSET(EM!$B$17,ROW($A26)-ROW($A$26)+(ROW(EM!$C$46)-ROW(EM!$C$14))*(MATCH(Y$22,EM!$B$6:$B$9,0)-1),MIN(Y$23-EM!$B$16,EM!$AF$16-EM!$B$16)),0)+
IF(ROUND(Y$11,0)&gt;=2,OFFSET(EM!$B$17,ROW($A26)-ROW($A$26)+(ROW(EM!$C$46)-ROW(EM!$C$14))*(MATCH(Y$22,EM!$B$6:$B$9,0)-1),MIN(Y$23-EM!$B$16+1,EM!$AF$16-EM!$B$16)),0)+
IF(ROUND(Y$11,0)&gt;=3,OFFSET(EM!$B$17,ROW($A26)-ROW($A$26)+(ROW(EM!$C$46)-ROW(EM!$C$14))*(MATCH(Y$22,EM!$B$6:$B$9,0)-1),MIN(Y$23-EM!$B$16+2,EM!$AF$16-EM!$B$16)),0)+
IF(ROUND(Y$11,0)&gt;=4,OFFSET(EM!$B$17,ROW($A26)-ROW($A$26)+(ROW(EM!$C$46)-ROW(EM!$C$14))*(MATCH(Y$22,EM!$B$6:$B$9,0)-1),MIN(Y$23-EM!$B$16+3,EM!$AF$16-EM!$B$16)),0)+
IF(ROUND(Y$11,0)&gt;=5,OFFSET(EM!$B$17,ROW($A26)-ROW($A$26)+(ROW(EM!$C$46)-ROW(EM!$C$14))*(MATCH(Y$22,EM!$B$6:$B$9,0)-1),MIN(Y$23-EM!$B$16+4,EM!$AF$16-EM!$B$16)),0)+
IF(ROUND(Y$11,0)&gt;=6,OFFSET(EM!$B$17,ROW($A26)-ROW($A$26)+(ROW(EM!$C$46)-ROW(EM!$C$14))*(MATCH(Y$22,EM!$B$6:$B$9,0)-1),MIN(Y$23-EM!$B$16+5,EM!$AF$16-EM!$B$16)),0)+
IF(ROUND(Y$11,0)&gt;=7,OFFSET(EM!$B$17,ROW($A26)-ROW($A$26)+(ROW(EM!$C$46)-ROW(EM!$C$14))*(MATCH(Y$22,EM!$B$6:$B$9,0)-1),MIN(Y$23-EM!$B$16+6,EM!$AF$16-EM!$B$16)),0)+
IF(ROUND(Y$11,0)&gt;=8,OFFSET(EM!$B$17,ROW($A26)-ROW($A$26)+(ROW(EM!$C$46)-ROW(EM!$C$14))*(MATCH(Y$22,EM!$B$6:$B$9,0)-1),MIN(Y$23-EM!$B$16+7,EM!$AF$16-EM!$B$16)),0)+
IF(ROUND(Y$11,0)&gt;=9,OFFSET(EM!$B$17,ROW($A26)-ROW($A$26)+(ROW(EM!$C$46)-ROW(EM!$C$14))*(MATCH(Y$22,EM!$B$6:$B$9,0)-1),MIN(Y$23-EM!$B$16+8,EM!$AF$16-EM!$B$16)),0)+
IF(ROUND(Y$11,0)&gt;=10,OFFSET(EM!$B$17,ROW($A26)-ROW($A$26)+(ROW(EM!$C$46)-ROW(EM!$C$14))*(MATCH(Y$22,EM!$B$6:$B$9,0)-1),MIN(Y$23-EM!$B$16+9,EM!$AF$16-EM!$B$16)),0)+
IF(ROUND(Y$11,0)&gt;=11,OFFSET(EM!$B$17,ROW($A26)-ROW($A$26)+(ROW(EM!$C$46)-ROW(EM!$C$14))*(MATCH(Y$22,EM!$B$6:$B$9,0)-1),MIN(Y$23-EM!$B$16+10,EM!$AF$16-EM!$B$16)),0)+
IF(ROUND(Y$11,0)&gt;=12,OFFSET(EM!$B$17,ROW($A26)-ROW($A$26)+(ROW(EM!$C$46)-ROW(EM!$C$14))*(MATCH(Y$22,EM!$B$6:$B$9,0)-1),MIN(Y$23-EM!$B$16+11,EM!$AF$16-EM!$B$16)),0)+
IF(ROUND(Y$11,0)&gt;=13,OFFSET(EM!$B$17,ROW($A26)-ROW($A$26)+(ROW(EM!$C$46)-ROW(EM!$C$14))*(MATCH(Y$22,EM!$B$6:$B$9,0)-1),MIN(Y$23-EM!$B$16+12,EM!$AF$16-EM!$B$16)),0)+
IF(ROUND(Y$11,0)&gt;=14,OFFSET(EM!$B$17,ROW($A26)-ROW($A$26)+(ROW(EM!$C$46)-ROW(EM!$C$14))*(MATCH(Y$22,EM!$B$6:$B$9,0)-1),MIN(Y$23-EM!$B$16+13,EM!$AF$16-EM!$B$16)),0)+
IF(ROUND(Y$11,0)&gt;=15,OFFSET(EM!$B$17,ROW($A26)-ROW($A$26)+(ROW(EM!$C$46)-ROW(EM!$C$14))*(MATCH(Y$22,EM!$B$6:$B$9,0)-1),MIN(Y$23-EM!$B$16+14,EM!$AF$16-EM!$B$16)),0)+
IF(ROUND(Y$11,0)&gt;=16,OFFSET(EM!$B$17,ROW($A26)-ROW($A$26)+(ROW(EM!$C$46)-ROW(EM!$C$14))*(MATCH(Y$22,EM!$B$6:$B$9,0)-1),MIN(Y$23-EM!$B$16+15,EM!$AF$16-EM!$B$16)),0)+
IF(ROUND(Y$11,0)&gt;=17,OFFSET(EM!$B$17,ROW($A26)-ROW($A$26)+(ROW(EM!$C$46)-ROW(EM!$C$14))*(MATCH(Y$22,EM!$B$6:$B$9,0)-1),MIN(Y$23-EM!$B$16+16,EM!$AF$16-EM!$B$16)),0)+
IF(ROUND(Y$11,0)&gt;=18,OFFSET(EM!$B$17,ROW($A26)-ROW($A$26)+(ROW(EM!$C$46)-ROW(EM!$C$14))*(MATCH(Y$22,EM!$B$6:$B$9,0)-1),MIN(Y$23-EM!$B$16+17,EM!$AF$16-EM!$B$16)),0)+
IF(ROUND(Y$11,0)&gt;=19,OFFSET(EM!$B$17,ROW($A26)-ROW($A$26)+(ROW(EM!$C$46)-ROW(EM!$C$14))*(MATCH(Y$22,EM!$B$6:$B$9,0)-1),MIN(Y$23-EM!$B$16+18,EM!$AF$16-EM!$B$16)),0)+
IF(ROUND(Y$11,0)&gt;=20,OFFSET(EM!$B$17,ROW($A26)-ROW($A$26)+(ROW(EM!$C$46)-ROW(EM!$C$14))*(MATCH(Y$22,EM!$B$6:$B$9,0)-1),MIN(Y$23-EM!$B$16+19,EM!$AF$16-EM!$B$16)),0)+
IF(ROUND(Y$11,0)&gt;=21,OFFSET(EM!$B$17,ROW($A26)-ROW($A$26)+(ROW(EM!$C$46)-ROW(EM!$C$14))*(MATCH(Y$22,EM!$B$6:$B$9,0)-1),MIN(Y$23-EM!$B$16+20,EM!$AF$16-EM!$B$16)),0)+
IF(ROUND(Y$11,0)&gt;=22,OFFSET(EM!$B$17,ROW($A26)-ROW($A$26)+(ROW(EM!$C$46)-ROW(EM!$C$14))*(MATCH(Y$22,EM!$B$6:$B$9,0)-1),MIN(Y$23-EM!$B$16+21,EM!$AF$16-EM!$B$16)),0)+
IF(ROUND(Y$11,0)&gt;=23,OFFSET(EM!$B$17,ROW($A26)-ROW($A$26)+(ROW(EM!$C$46)-ROW(EM!$C$14))*(MATCH(Y$22,EM!$B$6:$B$9,0)-1),MIN(Y$23-EM!$B$16+22,EM!$AF$16-EM!$B$16)),0)+
IF(ROUND(Y$11,0)&gt;=24,OFFSET(EM!$B$17,ROW($A26)-ROW($A$26)+(ROW(EM!$C$46)-ROW(EM!$C$14))*(MATCH(Y$22,EM!$B$6:$B$9,0)-1),MIN(Y$23-EM!$B$16+23,EM!$AF$16-EM!$B$16)),0)+
IF(ROUND(Y$11,0)&gt;=25,OFFSET(EM!$B$17,ROW($A26)-ROW($A$26)+(ROW(EM!$C$46)-ROW(EM!$C$14))*(MATCH(Y$22,EM!$B$6:$B$9,0)-1),MIN(Y$23-EM!$B$16+24,EM!$AF$16-EM!$B$16)),0)+
IF(ROUND(Y$11,0)&gt;=26,OFFSET(EM!$B$17,ROW($A26)-ROW($A$26)+(ROW(EM!$C$46)-ROW(EM!$C$14))*(MATCH(Y$22,EM!$B$6:$B$9,0)-1),MIN(Y$23-EM!$B$16+25,EM!$AF$16-EM!$B$16)),0)+
IF(ROUND(Y$11,0)&gt;=27,OFFSET(EM!$B$17,ROW($A26)-ROW($A$26)+(ROW(EM!$C$46)-ROW(EM!$C$14))*(MATCH(Y$22,EM!$B$6:$B$9,0)-1),MIN(Y$23-EM!$B$16+26,EM!$AF$16-EM!$B$16)),0)+
IF(ROUND(Y$11,0)&gt;=28,OFFSET(EM!$B$17,ROW($A26)-ROW($A$26)+(ROW(EM!$C$46)-ROW(EM!$C$14))*(MATCH(Y$22,EM!$B$6:$B$9,0)-1),MIN(Y$23-EM!$B$16+27,EM!$AF$16-EM!$B$16)),0)+
IF(ROUND(Y$11,0)&gt;=29,OFFSET(EM!$B$17,ROW($A26)-ROW($A$26)+(ROW(EM!$C$46)-ROW(EM!$C$14))*(MATCH(Y$22,EM!$B$6:$B$9,0)-1),MIN(Y$23-EM!$B$16+28,EM!$AF$16-EM!$B$16)),0)+
IF(ROUND(Y$11,0)&gt;=30,OFFSET(EM!$B$17,ROW($A26)-ROW($A$26)+(ROW(EM!$C$46)-ROW(EM!$C$14))*(MATCH(Y$22,EM!$B$6:$B$9,0)-1),MIN(Y$23-EM!$B$16+29,EM!$AF$16-EM!$B$16)),0)+
IF(ROUND(Y$11,0)&gt;=31,OFFSET(EM!$B$17,ROW($A26)-ROW($A$26)+(ROW(EM!$C$46)-ROW(EM!$C$14))*(MATCH(Y$22,EM!$B$6:$B$9,0)-1),MIN(Y$23-EM!$B$16+30,EM!$AF$16-EM!$B$16)),0)+
IF(ROUND(Y$11,0)&gt;=32,OFFSET(EM!$B$17,ROW($A26)-ROW($A$26)+(ROW(EM!$C$46)-ROW(EM!$C$14))*(MATCH(Y$22,EM!$B$6:$B$9,0)-1),MIN(Y$23-EM!$B$16+31,EM!$AF$16-EM!$B$16)),0)+
IF(ROUND(Y$11,0)&gt;=33,OFFSET(EM!$B$17,ROW($A26)-ROW($A$26)+(ROW(EM!$C$46)-ROW(EM!$C$14))*(MATCH(Y$22,EM!$B$6:$B$9,0)-1),MIN(Y$23-EM!$B$16+32,EM!$AF$16-EM!$B$16)),0)+
IF(ROUND(Y$11,0)&gt;=34,OFFSET(EM!$B$17,ROW($A26)-ROW($A$26)+(ROW(EM!$C$46)-ROW(EM!$C$14))*(MATCH(Y$22,EM!$B$6:$B$9,0)-1),MIN(Y$23-EM!$B$16+33,EM!$AF$16-EM!$B$16)),0)+
IF(ROUND(Y$11,0)&gt;=35,OFFSET(EM!$B$17,ROW($A26)-ROW($A$26)+(ROW(EM!$C$46)-ROW(EM!$C$14))*(MATCH(Y$22,EM!$B$6:$B$9,0)-1),MIN(Y$23-EM!$B$16+34,EM!$AF$16-EM!$B$16)),0)+
IF(ROUND(Y$11,0)&gt;=36,OFFSET(EM!$B$17,ROW($A26)-ROW($A$26)+(ROW(EM!$C$46)-ROW(EM!$C$14))*(MATCH(Y$22,EM!$B$6:$B$9,0)-1),MIN(Y$23-EM!$B$16+35,EM!$AF$16-EM!$B$16)),0)+
IF(ROUND(Y$11,0)&gt;=37,OFFSET(EM!$B$17,ROW($A26)-ROW($A$26)+(ROW(EM!$C$46)-ROW(EM!$C$14))*(MATCH(Y$22,EM!$B$6:$B$9,0)-1),MIN(Y$23-EM!$B$16+36,EM!$AF$16-EM!$B$16)),0)+
IF(ROUND(Y$11,0)&gt;=38,OFFSET(EM!$B$17,ROW($A26)-ROW($A$26)+(ROW(EM!$C$46)-ROW(EM!$C$14))*(MATCH(Y$22,EM!$B$6:$B$9,0)-1),MIN(Y$23-EM!$B$16+37,EM!$AF$16-EM!$B$16)),0)+
IF(ROUND(Y$11,0)&gt;=39,OFFSET(EM!$B$17,ROW($A26)-ROW($A$26)+(ROW(EM!$C$46)-ROW(EM!$C$14))*(MATCH(Y$22,EM!$B$6:$B$9,0)-1),MIN(Y$23-EM!$B$16+38,EM!$AF$16-EM!$B$16)),0)+
IF(ROUND(Y$11,0)&gt;=40,OFFSET(EM!$B$17,ROW($A26)-ROW($A$26)+(ROW(EM!$C$46)-ROW(EM!$C$14))*(MATCH(Y$22,EM!$B$6:$B$9,0)-1),MIN(Y$23-EM!$B$16+39,EM!$AF$16-EM!$B$16)),0)
)/ROUND(Y$11,0),NA()))</f>
        <v>5.0412668060949833E-3</v>
      </c>
      <c r="Z26" s="2046">
        <f ca="1">IF(Z$19=GPG!$A$28,IF(ROW(Z26)-ROW(Z$26)+1=MATCH(Z$20,GPG!$A$5:$A$11,0),1,0),
IF(Z$19=GPG!$A$29,
(IF(ROUND(Z$11,0)&gt;=1,OFFSET(EM!$B$17,ROW($A26)-ROW($A$26)+(ROW(EM!$C$46)-ROW(EM!$C$14))*(MATCH(Z$22,EM!$B$6:$B$9,0)-1),MIN(Z$23-EM!$B$16,EM!$AF$16-EM!$B$16)),0)+
IF(ROUND(Z$11,0)&gt;=2,OFFSET(EM!$B$17,ROW($A26)-ROW($A$26)+(ROW(EM!$C$46)-ROW(EM!$C$14))*(MATCH(Z$22,EM!$B$6:$B$9,0)-1),MIN(Z$23-EM!$B$16+1,EM!$AF$16-EM!$B$16)),0)+
IF(ROUND(Z$11,0)&gt;=3,OFFSET(EM!$B$17,ROW($A26)-ROW($A$26)+(ROW(EM!$C$46)-ROW(EM!$C$14))*(MATCH(Z$22,EM!$B$6:$B$9,0)-1),MIN(Z$23-EM!$B$16+2,EM!$AF$16-EM!$B$16)),0)+
IF(ROUND(Z$11,0)&gt;=4,OFFSET(EM!$B$17,ROW($A26)-ROW($A$26)+(ROW(EM!$C$46)-ROW(EM!$C$14))*(MATCH(Z$22,EM!$B$6:$B$9,0)-1),MIN(Z$23-EM!$B$16+3,EM!$AF$16-EM!$B$16)),0)+
IF(ROUND(Z$11,0)&gt;=5,OFFSET(EM!$B$17,ROW($A26)-ROW($A$26)+(ROW(EM!$C$46)-ROW(EM!$C$14))*(MATCH(Z$22,EM!$B$6:$B$9,0)-1),MIN(Z$23-EM!$B$16+4,EM!$AF$16-EM!$B$16)),0)+
IF(ROUND(Z$11,0)&gt;=6,OFFSET(EM!$B$17,ROW($A26)-ROW($A$26)+(ROW(EM!$C$46)-ROW(EM!$C$14))*(MATCH(Z$22,EM!$B$6:$B$9,0)-1),MIN(Z$23-EM!$B$16+5,EM!$AF$16-EM!$B$16)),0)+
IF(ROUND(Z$11,0)&gt;=7,OFFSET(EM!$B$17,ROW($A26)-ROW($A$26)+(ROW(EM!$C$46)-ROW(EM!$C$14))*(MATCH(Z$22,EM!$B$6:$B$9,0)-1),MIN(Z$23-EM!$B$16+6,EM!$AF$16-EM!$B$16)),0)+
IF(ROUND(Z$11,0)&gt;=8,OFFSET(EM!$B$17,ROW($A26)-ROW($A$26)+(ROW(EM!$C$46)-ROW(EM!$C$14))*(MATCH(Z$22,EM!$B$6:$B$9,0)-1),MIN(Z$23-EM!$B$16+7,EM!$AF$16-EM!$B$16)),0)+
IF(ROUND(Z$11,0)&gt;=9,OFFSET(EM!$B$17,ROW($A26)-ROW($A$26)+(ROW(EM!$C$46)-ROW(EM!$C$14))*(MATCH(Z$22,EM!$B$6:$B$9,0)-1),MIN(Z$23-EM!$B$16+8,EM!$AF$16-EM!$B$16)),0)+
IF(ROUND(Z$11,0)&gt;=10,OFFSET(EM!$B$17,ROW($A26)-ROW($A$26)+(ROW(EM!$C$46)-ROW(EM!$C$14))*(MATCH(Z$22,EM!$B$6:$B$9,0)-1),MIN(Z$23-EM!$B$16+9,EM!$AF$16-EM!$B$16)),0)+
IF(ROUND(Z$11,0)&gt;=11,OFFSET(EM!$B$17,ROW($A26)-ROW($A$26)+(ROW(EM!$C$46)-ROW(EM!$C$14))*(MATCH(Z$22,EM!$B$6:$B$9,0)-1),MIN(Z$23-EM!$B$16+10,EM!$AF$16-EM!$B$16)),0)+
IF(ROUND(Z$11,0)&gt;=12,OFFSET(EM!$B$17,ROW($A26)-ROW($A$26)+(ROW(EM!$C$46)-ROW(EM!$C$14))*(MATCH(Z$22,EM!$B$6:$B$9,0)-1),MIN(Z$23-EM!$B$16+11,EM!$AF$16-EM!$B$16)),0)+
IF(ROUND(Z$11,0)&gt;=13,OFFSET(EM!$B$17,ROW($A26)-ROW($A$26)+(ROW(EM!$C$46)-ROW(EM!$C$14))*(MATCH(Z$22,EM!$B$6:$B$9,0)-1),MIN(Z$23-EM!$B$16+12,EM!$AF$16-EM!$B$16)),0)+
IF(ROUND(Z$11,0)&gt;=14,OFFSET(EM!$B$17,ROW($A26)-ROW($A$26)+(ROW(EM!$C$46)-ROW(EM!$C$14))*(MATCH(Z$22,EM!$B$6:$B$9,0)-1),MIN(Z$23-EM!$B$16+13,EM!$AF$16-EM!$B$16)),0)+
IF(ROUND(Z$11,0)&gt;=15,OFFSET(EM!$B$17,ROW($A26)-ROW($A$26)+(ROW(EM!$C$46)-ROW(EM!$C$14))*(MATCH(Z$22,EM!$B$6:$B$9,0)-1),MIN(Z$23-EM!$B$16+14,EM!$AF$16-EM!$B$16)),0)+
IF(ROUND(Z$11,0)&gt;=16,OFFSET(EM!$B$17,ROW($A26)-ROW($A$26)+(ROW(EM!$C$46)-ROW(EM!$C$14))*(MATCH(Z$22,EM!$B$6:$B$9,0)-1),MIN(Z$23-EM!$B$16+15,EM!$AF$16-EM!$B$16)),0)+
IF(ROUND(Z$11,0)&gt;=17,OFFSET(EM!$B$17,ROW($A26)-ROW($A$26)+(ROW(EM!$C$46)-ROW(EM!$C$14))*(MATCH(Z$22,EM!$B$6:$B$9,0)-1),MIN(Z$23-EM!$B$16+16,EM!$AF$16-EM!$B$16)),0)+
IF(ROUND(Z$11,0)&gt;=18,OFFSET(EM!$B$17,ROW($A26)-ROW($A$26)+(ROW(EM!$C$46)-ROW(EM!$C$14))*(MATCH(Z$22,EM!$B$6:$B$9,0)-1),MIN(Z$23-EM!$B$16+17,EM!$AF$16-EM!$B$16)),0)+
IF(ROUND(Z$11,0)&gt;=19,OFFSET(EM!$B$17,ROW($A26)-ROW($A$26)+(ROW(EM!$C$46)-ROW(EM!$C$14))*(MATCH(Z$22,EM!$B$6:$B$9,0)-1),MIN(Z$23-EM!$B$16+18,EM!$AF$16-EM!$B$16)),0)+
IF(ROUND(Z$11,0)&gt;=20,OFFSET(EM!$B$17,ROW($A26)-ROW($A$26)+(ROW(EM!$C$46)-ROW(EM!$C$14))*(MATCH(Z$22,EM!$B$6:$B$9,0)-1),MIN(Z$23-EM!$B$16+19,EM!$AF$16-EM!$B$16)),0)+
IF(ROUND(Z$11,0)&gt;=21,OFFSET(EM!$B$17,ROW($A26)-ROW($A$26)+(ROW(EM!$C$46)-ROW(EM!$C$14))*(MATCH(Z$22,EM!$B$6:$B$9,0)-1),MIN(Z$23-EM!$B$16+20,EM!$AF$16-EM!$B$16)),0)+
IF(ROUND(Z$11,0)&gt;=22,OFFSET(EM!$B$17,ROW($A26)-ROW($A$26)+(ROW(EM!$C$46)-ROW(EM!$C$14))*(MATCH(Z$22,EM!$B$6:$B$9,0)-1),MIN(Z$23-EM!$B$16+21,EM!$AF$16-EM!$B$16)),0)+
IF(ROUND(Z$11,0)&gt;=23,OFFSET(EM!$B$17,ROW($A26)-ROW($A$26)+(ROW(EM!$C$46)-ROW(EM!$C$14))*(MATCH(Z$22,EM!$B$6:$B$9,0)-1),MIN(Z$23-EM!$B$16+22,EM!$AF$16-EM!$B$16)),0)+
IF(ROUND(Z$11,0)&gt;=24,OFFSET(EM!$B$17,ROW($A26)-ROW($A$26)+(ROW(EM!$C$46)-ROW(EM!$C$14))*(MATCH(Z$22,EM!$B$6:$B$9,0)-1),MIN(Z$23-EM!$B$16+23,EM!$AF$16-EM!$B$16)),0)+
IF(ROUND(Z$11,0)&gt;=25,OFFSET(EM!$B$17,ROW($A26)-ROW($A$26)+(ROW(EM!$C$46)-ROW(EM!$C$14))*(MATCH(Z$22,EM!$B$6:$B$9,0)-1),MIN(Z$23-EM!$B$16+24,EM!$AF$16-EM!$B$16)),0)+
IF(ROUND(Z$11,0)&gt;=26,OFFSET(EM!$B$17,ROW($A26)-ROW($A$26)+(ROW(EM!$C$46)-ROW(EM!$C$14))*(MATCH(Z$22,EM!$B$6:$B$9,0)-1),MIN(Z$23-EM!$B$16+25,EM!$AF$16-EM!$B$16)),0)+
IF(ROUND(Z$11,0)&gt;=27,OFFSET(EM!$B$17,ROW($A26)-ROW($A$26)+(ROW(EM!$C$46)-ROW(EM!$C$14))*(MATCH(Z$22,EM!$B$6:$B$9,0)-1),MIN(Z$23-EM!$B$16+26,EM!$AF$16-EM!$B$16)),0)+
IF(ROUND(Z$11,0)&gt;=28,OFFSET(EM!$B$17,ROW($A26)-ROW($A$26)+(ROW(EM!$C$46)-ROW(EM!$C$14))*(MATCH(Z$22,EM!$B$6:$B$9,0)-1),MIN(Z$23-EM!$B$16+27,EM!$AF$16-EM!$B$16)),0)+
IF(ROUND(Z$11,0)&gt;=29,OFFSET(EM!$B$17,ROW($A26)-ROW($A$26)+(ROW(EM!$C$46)-ROW(EM!$C$14))*(MATCH(Z$22,EM!$B$6:$B$9,0)-1),MIN(Z$23-EM!$B$16+28,EM!$AF$16-EM!$B$16)),0)+
IF(ROUND(Z$11,0)&gt;=30,OFFSET(EM!$B$17,ROW($A26)-ROW($A$26)+(ROW(EM!$C$46)-ROW(EM!$C$14))*(MATCH(Z$22,EM!$B$6:$B$9,0)-1),MIN(Z$23-EM!$B$16+29,EM!$AF$16-EM!$B$16)),0)+
IF(ROUND(Z$11,0)&gt;=31,OFFSET(EM!$B$17,ROW($A26)-ROW($A$26)+(ROW(EM!$C$46)-ROW(EM!$C$14))*(MATCH(Z$22,EM!$B$6:$B$9,0)-1),MIN(Z$23-EM!$B$16+30,EM!$AF$16-EM!$B$16)),0)+
IF(ROUND(Z$11,0)&gt;=32,OFFSET(EM!$B$17,ROW($A26)-ROW($A$26)+(ROW(EM!$C$46)-ROW(EM!$C$14))*(MATCH(Z$22,EM!$B$6:$B$9,0)-1),MIN(Z$23-EM!$B$16+31,EM!$AF$16-EM!$B$16)),0)+
IF(ROUND(Z$11,0)&gt;=33,OFFSET(EM!$B$17,ROW($A26)-ROW($A$26)+(ROW(EM!$C$46)-ROW(EM!$C$14))*(MATCH(Z$22,EM!$B$6:$B$9,0)-1),MIN(Z$23-EM!$B$16+32,EM!$AF$16-EM!$B$16)),0)+
IF(ROUND(Z$11,0)&gt;=34,OFFSET(EM!$B$17,ROW($A26)-ROW($A$26)+(ROW(EM!$C$46)-ROW(EM!$C$14))*(MATCH(Z$22,EM!$B$6:$B$9,0)-1),MIN(Z$23-EM!$B$16+33,EM!$AF$16-EM!$B$16)),0)+
IF(ROUND(Z$11,0)&gt;=35,OFFSET(EM!$B$17,ROW($A26)-ROW($A$26)+(ROW(EM!$C$46)-ROW(EM!$C$14))*(MATCH(Z$22,EM!$B$6:$B$9,0)-1),MIN(Z$23-EM!$B$16+34,EM!$AF$16-EM!$B$16)),0)+
IF(ROUND(Z$11,0)&gt;=36,OFFSET(EM!$B$17,ROW($A26)-ROW($A$26)+(ROW(EM!$C$46)-ROW(EM!$C$14))*(MATCH(Z$22,EM!$B$6:$B$9,0)-1),MIN(Z$23-EM!$B$16+35,EM!$AF$16-EM!$B$16)),0)+
IF(ROUND(Z$11,0)&gt;=37,OFFSET(EM!$B$17,ROW($A26)-ROW($A$26)+(ROW(EM!$C$46)-ROW(EM!$C$14))*(MATCH(Z$22,EM!$B$6:$B$9,0)-1),MIN(Z$23-EM!$B$16+36,EM!$AF$16-EM!$B$16)),0)+
IF(ROUND(Z$11,0)&gt;=38,OFFSET(EM!$B$17,ROW($A26)-ROW($A$26)+(ROW(EM!$C$46)-ROW(EM!$C$14))*(MATCH(Z$22,EM!$B$6:$B$9,0)-1),MIN(Z$23-EM!$B$16+37,EM!$AF$16-EM!$B$16)),0)+
IF(ROUND(Z$11,0)&gt;=39,OFFSET(EM!$B$17,ROW($A26)-ROW($A$26)+(ROW(EM!$C$46)-ROW(EM!$C$14))*(MATCH(Z$22,EM!$B$6:$B$9,0)-1),MIN(Z$23-EM!$B$16+38,EM!$AF$16-EM!$B$16)),0)+
IF(ROUND(Z$11,0)&gt;=40,OFFSET(EM!$B$17,ROW($A26)-ROW($A$26)+(ROW(EM!$C$46)-ROW(EM!$C$14))*(MATCH(Z$22,EM!$B$6:$B$9,0)-1),MIN(Z$23-EM!$B$16+39,EM!$AF$16-EM!$B$16)),0)
)/ROUND(Z$11,0),NA()))</f>
        <v>7.3086288203473892E-3</v>
      </c>
      <c r="AA26" s="2046">
        <f ca="1">IF(AA$19=GPG!$A$28,IF(ROW(AA26)-ROW(AA$26)+1=MATCH(AA$20,GPG!$A$5:$A$11,0),1,0),
IF(AA$19=GPG!$A$29,
(IF(ROUND(AA$11,0)&gt;=1,OFFSET(EM!$B$17,ROW($A26)-ROW($A$26)+(ROW(EM!$C$46)-ROW(EM!$C$14))*(MATCH(AA$22,EM!$B$6:$B$9,0)-1),MIN(AA$23-EM!$B$16,EM!$AF$16-EM!$B$16)),0)+
IF(ROUND(AA$11,0)&gt;=2,OFFSET(EM!$B$17,ROW($A26)-ROW($A$26)+(ROW(EM!$C$46)-ROW(EM!$C$14))*(MATCH(AA$22,EM!$B$6:$B$9,0)-1),MIN(AA$23-EM!$B$16+1,EM!$AF$16-EM!$B$16)),0)+
IF(ROUND(AA$11,0)&gt;=3,OFFSET(EM!$B$17,ROW($A26)-ROW($A$26)+(ROW(EM!$C$46)-ROW(EM!$C$14))*(MATCH(AA$22,EM!$B$6:$B$9,0)-1),MIN(AA$23-EM!$B$16+2,EM!$AF$16-EM!$B$16)),0)+
IF(ROUND(AA$11,0)&gt;=4,OFFSET(EM!$B$17,ROW($A26)-ROW($A$26)+(ROW(EM!$C$46)-ROW(EM!$C$14))*(MATCH(AA$22,EM!$B$6:$B$9,0)-1),MIN(AA$23-EM!$B$16+3,EM!$AF$16-EM!$B$16)),0)+
IF(ROUND(AA$11,0)&gt;=5,OFFSET(EM!$B$17,ROW($A26)-ROW($A$26)+(ROW(EM!$C$46)-ROW(EM!$C$14))*(MATCH(AA$22,EM!$B$6:$B$9,0)-1),MIN(AA$23-EM!$B$16+4,EM!$AF$16-EM!$B$16)),0)+
IF(ROUND(AA$11,0)&gt;=6,OFFSET(EM!$B$17,ROW($A26)-ROW($A$26)+(ROW(EM!$C$46)-ROW(EM!$C$14))*(MATCH(AA$22,EM!$B$6:$B$9,0)-1),MIN(AA$23-EM!$B$16+5,EM!$AF$16-EM!$B$16)),0)+
IF(ROUND(AA$11,0)&gt;=7,OFFSET(EM!$B$17,ROW($A26)-ROW($A$26)+(ROW(EM!$C$46)-ROW(EM!$C$14))*(MATCH(AA$22,EM!$B$6:$B$9,0)-1),MIN(AA$23-EM!$B$16+6,EM!$AF$16-EM!$B$16)),0)+
IF(ROUND(AA$11,0)&gt;=8,OFFSET(EM!$B$17,ROW($A26)-ROW($A$26)+(ROW(EM!$C$46)-ROW(EM!$C$14))*(MATCH(AA$22,EM!$B$6:$B$9,0)-1),MIN(AA$23-EM!$B$16+7,EM!$AF$16-EM!$B$16)),0)+
IF(ROUND(AA$11,0)&gt;=9,OFFSET(EM!$B$17,ROW($A26)-ROW($A$26)+(ROW(EM!$C$46)-ROW(EM!$C$14))*(MATCH(AA$22,EM!$B$6:$B$9,0)-1),MIN(AA$23-EM!$B$16+8,EM!$AF$16-EM!$B$16)),0)+
IF(ROUND(AA$11,0)&gt;=10,OFFSET(EM!$B$17,ROW($A26)-ROW($A$26)+(ROW(EM!$C$46)-ROW(EM!$C$14))*(MATCH(AA$22,EM!$B$6:$B$9,0)-1),MIN(AA$23-EM!$B$16+9,EM!$AF$16-EM!$B$16)),0)+
IF(ROUND(AA$11,0)&gt;=11,OFFSET(EM!$B$17,ROW($A26)-ROW($A$26)+(ROW(EM!$C$46)-ROW(EM!$C$14))*(MATCH(AA$22,EM!$B$6:$B$9,0)-1),MIN(AA$23-EM!$B$16+10,EM!$AF$16-EM!$B$16)),0)+
IF(ROUND(AA$11,0)&gt;=12,OFFSET(EM!$B$17,ROW($A26)-ROW($A$26)+(ROW(EM!$C$46)-ROW(EM!$C$14))*(MATCH(AA$22,EM!$B$6:$B$9,0)-1),MIN(AA$23-EM!$B$16+11,EM!$AF$16-EM!$B$16)),0)+
IF(ROUND(AA$11,0)&gt;=13,OFFSET(EM!$B$17,ROW($A26)-ROW($A$26)+(ROW(EM!$C$46)-ROW(EM!$C$14))*(MATCH(AA$22,EM!$B$6:$B$9,0)-1),MIN(AA$23-EM!$B$16+12,EM!$AF$16-EM!$B$16)),0)+
IF(ROUND(AA$11,0)&gt;=14,OFFSET(EM!$B$17,ROW($A26)-ROW($A$26)+(ROW(EM!$C$46)-ROW(EM!$C$14))*(MATCH(AA$22,EM!$B$6:$B$9,0)-1),MIN(AA$23-EM!$B$16+13,EM!$AF$16-EM!$B$16)),0)+
IF(ROUND(AA$11,0)&gt;=15,OFFSET(EM!$B$17,ROW($A26)-ROW($A$26)+(ROW(EM!$C$46)-ROW(EM!$C$14))*(MATCH(AA$22,EM!$B$6:$B$9,0)-1),MIN(AA$23-EM!$B$16+14,EM!$AF$16-EM!$B$16)),0)+
IF(ROUND(AA$11,0)&gt;=16,OFFSET(EM!$B$17,ROW($A26)-ROW($A$26)+(ROW(EM!$C$46)-ROW(EM!$C$14))*(MATCH(AA$22,EM!$B$6:$B$9,0)-1),MIN(AA$23-EM!$B$16+15,EM!$AF$16-EM!$B$16)),0)+
IF(ROUND(AA$11,0)&gt;=17,OFFSET(EM!$B$17,ROW($A26)-ROW($A$26)+(ROW(EM!$C$46)-ROW(EM!$C$14))*(MATCH(AA$22,EM!$B$6:$B$9,0)-1),MIN(AA$23-EM!$B$16+16,EM!$AF$16-EM!$B$16)),0)+
IF(ROUND(AA$11,0)&gt;=18,OFFSET(EM!$B$17,ROW($A26)-ROW($A$26)+(ROW(EM!$C$46)-ROW(EM!$C$14))*(MATCH(AA$22,EM!$B$6:$B$9,0)-1),MIN(AA$23-EM!$B$16+17,EM!$AF$16-EM!$B$16)),0)+
IF(ROUND(AA$11,0)&gt;=19,OFFSET(EM!$B$17,ROW($A26)-ROW($A$26)+(ROW(EM!$C$46)-ROW(EM!$C$14))*(MATCH(AA$22,EM!$B$6:$B$9,0)-1),MIN(AA$23-EM!$B$16+18,EM!$AF$16-EM!$B$16)),0)+
IF(ROUND(AA$11,0)&gt;=20,OFFSET(EM!$B$17,ROW($A26)-ROW($A$26)+(ROW(EM!$C$46)-ROW(EM!$C$14))*(MATCH(AA$22,EM!$B$6:$B$9,0)-1),MIN(AA$23-EM!$B$16+19,EM!$AF$16-EM!$B$16)),0)+
IF(ROUND(AA$11,0)&gt;=21,OFFSET(EM!$B$17,ROW($A26)-ROW($A$26)+(ROW(EM!$C$46)-ROW(EM!$C$14))*(MATCH(AA$22,EM!$B$6:$B$9,0)-1),MIN(AA$23-EM!$B$16+20,EM!$AF$16-EM!$B$16)),0)+
IF(ROUND(AA$11,0)&gt;=22,OFFSET(EM!$B$17,ROW($A26)-ROW($A$26)+(ROW(EM!$C$46)-ROW(EM!$C$14))*(MATCH(AA$22,EM!$B$6:$B$9,0)-1),MIN(AA$23-EM!$B$16+21,EM!$AF$16-EM!$B$16)),0)+
IF(ROUND(AA$11,0)&gt;=23,OFFSET(EM!$B$17,ROW($A26)-ROW($A$26)+(ROW(EM!$C$46)-ROW(EM!$C$14))*(MATCH(AA$22,EM!$B$6:$B$9,0)-1),MIN(AA$23-EM!$B$16+22,EM!$AF$16-EM!$B$16)),0)+
IF(ROUND(AA$11,0)&gt;=24,OFFSET(EM!$B$17,ROW($A26)-ROW($A$26)+(ROW(EM!$C$46)-ROW(EM!$C$14))*(MATCH(AA$22,EM!$B$6:$B$9,0)-1),MIN(AA$23-EM!$B$16+23,EM!$AF$16-EM!$B$16)),0)+
IF(ROUND(AA$11,0)&gt;=25,OFFSET(EM!$B$17,ROW($A26)-ROW($A$26)+(ROW(EM!$C$46)-ROW(EM!$C$14))*(MATCH(AA$22,EM!$B$6:$B$9,0)-1),MIN(AA$23-EM!$B$16+24,EM!$AF$16-EM!$B$16)),0)+
IF(ROUND(AA$11,0)&gt;=26,OFFSET(EM!$B$17,ROW($A26)-ROW($A$26)+(ROW(EM!$C$46)-ROW(EM!$C$14))*(MATCH(AA$22,EM!$B$6:$B$9,0)-1),MIN(AA$23-EM!$B$16+25,EM!$AF$16-EM!$B$16)),0)+
IF(ROUND(AA$11,0)&gt;=27,OFFSET(EM!$B$17,ROW($A26)-ROW($A$26)+(ROW(EM!$C$46)-ROW(EM!$C$14))*(MATCH(AA$22,EM!$B$6:$B$9,0)-1),MIN(AA$23-EM!$B$16+26,EM!$AF$16-EM!$B$16)),0)+
IF(ROUND(AA$11,0)&gt;=28,OFFSET(EM!$B$17,ROW($A26)-ROW($A$26)+(ROW(EM!$C$46)-ROW(EM!$C$14))*(MATCH(AA$22,EM!$B$6:$B$9,0)-1),MIN(AA$23-EM!$B$16+27,EM!$AF$16-EM!$B$16)),0)+
IF(ROUND(AA$11,0)&gt;=29,OFFSET(EM!$B$17,ROW($A26)-ROW($A$26)+(ROW(EM!$C$46)-ROW(EM!$C$14))*(MATCH(AA$22,EM!$B$6:$B$9,0)-1),MIN(AA$23-EM!$B$16+28,EM!$AF$16-EM!$B$16)),0)+
IF(ROUND(AA$11,0)&gt;=30,OFFSET(EM!$B$17,ROW($A26)-ROW($A$26)+(ROW(EM!$C$46)-ROW(EM!$C$14))*(MATCH(AA$22,EM!$B$6:$B$9,0)-1),MIN(AA$23-EM!$B$16+29,EM!$AF$16-EM!$B$16)),0)+
IF(ROUND(AA$11,0)&gt;=31,OFFSET(EM!$B$17,ROW($A26)-ROW($A$26)+(ROW(EM!$C$46)-ROW(EM!$C$14))*(MATCH(AA$22,EM!$B$6:$B$9,0)-1),MIN(AA$23-EM!$B$16+30,EM!$AF$16-EM!$B$16)),0)+
IF(ROUND(AA$11,0)&gt;=32,OFFSET(EM!$B$17,ROW($A26)-ROW($A$26)+(ROW(EM!$C$46)-ROW(EM!$C$14))*(MATCH(AA$22,EM!$B$6:$B$9,0)-1),MIN(AA$23-EM!$B$16+31,EM!$AF$16-EM!$B$16)),0)+
IF(ROUND(AA$11,0)&gt;=33,OFFSET(EM!$B$17,ROW($A26)-ROW($A$26)+(ROW(EM!$C$46)-ROW(EM!$C$14))*(MATCH(AA$22,EM!$B$6:$B$9,0)-1),MIN(AA$23-EM!$B$16+32,EM!$AF$16-EM!$B$16)),0)+
IF(ROUND(AA$11,0)&gt;=34,OFFSET(EM!$B$17,ROW($A26)-ROW($A$26)+(ROW(EM!$C$46)-ROW(EM!$C$14))*(MATCH(AA$22,EM!$B$6:$B$9,0)-1),MIN(AA$23-EM!$B$16+33,EM!$AF$16-EM!$B$16)),0)+
IF(ROUND(AA$11,0)&gt;=35,OFFSET(EM!$B$17,ROW($A26)-ROW($A$26)+(ROW(EM!$C$46)-ROW(EM!$C$14))*(MATCH(AA$22,EM!$B$6:$B$9,0)-1),MIN(AA$23-EM!$B$16+34,EM!$AF$16-EM!$B$16)),0)+
IF(ROUND(AA$11,0)&gt;=36,OFFSET(EM!$B$17,ROW($A26)-ROW($A$26)+(ROW(EM!$C$46)-ROW(EM!$C$14))*(MATCH(AA$22,EM!$B$6:$B$9,0)-1),MIN(AA$23-EM!$B$16+35,EM!$AF$16-EM!$B$16)),0)+
IF(ROUND(AA$11,0)&gt;=37,OFFSET(EM!$B$17,ROW($A26)-ROW($A$26)+(ROW(EM!$C$46)-ROW(EM!$C$14))*(MATCH(AA$22,EM!$B$6:$B$9,0)-1),MIN(AA$23-EM!$B$16+36,EM!$AF$16-EM!$B$16)),0)+
IF(ROUND(AA$11,0)&gt;=38,OFFSET(EM!$B$17,ROW($A26)-ROW($A$26)+(ROW(EM!$C$46)-ROW(EM!$C$14))*(MATCH(AA$22,EM!$B$6:$B$9,0)-1),MIN(AA$23-EM!$B$16+37,EM!$AF$16-EM!$B$16)),0)+
IF(ROUND(AA$11,0)&gt;=39,OFFSET(EM!$B$17,ROW($A26)-ROW($A$26)+(ROW(EM!$C$46)-ROW(EM!$C$14))*(MATCH(AA$22,EM!$B$6:$B$9,0)-1),MIN(AA$23-EM!$B$16+38,EM!$AF$16-EM!$B$16)),0)+
IF(ROUND(AA$11,0)&gt;=40,OFFSET(EM!$B$17,ROW($A26)-ROW($A$26)+(ROW(EM!$C$46)-ROW(EM!$C$14))*(MATCH(AA$22,EM!$B$6:$B$9,0)-1),MIN(AA$23-EM!$B$16+39,EM!$AF$16-EM!$B$16)),0)
)/ROUND(AA$11,0),NA()))</f>
        <v>5.0412668060949824E-3</v>
      </c>
      <c r="AB26" s="2046">
        <f ca="1">IF(AB$19=GPG!$A$28,IF(ROW(AB26)-ROW(AB$26)+1=MATCH(AB$20,GPG!$A$5:$A$11,0),1,0),
IF(AB$19=GPG!$A$29,
(IF(ROUND(AB$11,0)&gt;=1,OFFSET(EM!$B$17,ROW($A26)-ROW($A$26)+(ROW(EM!$C$46)-ROW(EM!$C$14))*(MATCH(AB$22,EM!$B$6:$B$9,0)-1),MIN(AB$23-EM!$B$16,EM!$AF$16-EM!$B$16)),0)+
IF(ROUND(AB$11,0)&gt;=2,OFFSET(EM!$B$17,ROW($A26)-ROW($A$26)+(ROW(EM!$C$46)-ROW(EM!$C$14))*(MATCH(AB$22,EM!$B$6:$B$9,0)-1),MIN(AB$23-EM!$B$16+1,EM!$AF$16-EM!$B$16)),0)+
IF(ROUND(AB$11,0)&gt;=3,OFFSET(EM!$B$17,ROW($A26)-ROW($A$26)+(ROW(EM!$C$46)-ROW(EM!$C$14))*(MATCH(AB$22,EM!$B$6:$B$9,0)-1),MIN(AB$23-EM!$B$16+2,EM!$AF$16-EM!$B$16)),0)+
IF(ROUND(AB$11,0)&gt;=4,OFFSET(EM!$B$17,ROW($A26)-ROW($A$26)+(ROW(EM!$C$46)-ROW(EM!$C$14))*(MATCH(AB$22,EM!$B$6:$B$9,0)-1),MIN(AB$23-EM!$B$16+3,EM!$AF$16-EM!$B$16)),0)+
IF(ROUND(AB$11,0)&gt;=5,OFFSET(EM!$B$17,ROW($A26)-ROW($A$26)+(ROW(EM!$C$46)-ROW(EM!$C$14))*(MATCH(AB$22,EM!$B$6:$B$9,0)-1),MIN(AB$23-EM!$B$16+4,EM!$AF$16-EM!$B$16)),0)+
IF(ROUND(AB$11,0)&gt;=6,OFFSET(EM!$B$17,ROW($A26)-ROW($A$26)+(ROW(EM!$C$46)-ROW(EM!$C$14))*(MATCH(AB$22,EM!$B$6:$B$9,0)-1),MIN(AB$23-EM!$B$16+5,EM!$AF$16-EM!$B$16)),0)+
IF(ROUND(AB$11,0)&gt;=7,OFFSET(EM!$B$17,ROW($A26)-ROW($A$26)+(ROW(EM!$C$46)-ROW(EM!$C$14))*(MATCH(AB$22,EM!$B$6:$B$9,0)-1),MIN(AB$23-EM!$B$16+6,EM!$AF$16-EM!$B$16)),0)+
IF(ROUND(AB$11,0)&gt;=8,OFFSET(EM!$B$17,ROW($A26)-ROW($A$26)+(ROW(EM!$C$46)-ROW(EM!$C$14))*(MATCH(AB$22,EM!$B$6:$B$9,0)-1),MIN(AB$23-EM!$B$16+7,EM!$AF$16-EM!$B$16)),0)+
IF(ROUND(AB$11,0)&gt;=9,OFFSET(EM!$B$17,ROW($A26)-ROW($A$26)+(ROW(EM!$C$46)-ROW(EM!$C$14))*(MATCH(AB$22,EM!$B$6:$B$9,0)-1),MIN(AB$23-EM!$B$16+8,EM!$AF$16-EM!$B$16)),0)+
IF(ROUND(AB$11,0)&gt;=10,OFFSET(EM!$B$17,ROW($A26)-ROW($A$26)+(ROW(EM!$C$46)-ROW(EM!$C$14))*(MATCH(AB$22,EM!$B$6:$B$9,0)-1),MIN(AB$23-EM!$B$16+9,EM!$AF$16-EM!$B$16)),0)+
IF(ROUND(AB$11,0)&gt;=11,OFFSET(EM!$B$17,ROW($A26)-ROW($A$26)+(ROW(EM!$C$46)-ROW(EM!$C$14))*(MATCH(AB$22,EM!$B$6:$B$9,0)-1),MIN(AB$23-EM!$B$16+10,EM!$AF$16-EM!$B$16)),0)+
IF(ROUND(AB$11,0)&gt;=12,OFFSET(EM!$B$17,ROW($A26)-ROW($A$26)+(ROW(EM!$C$46)-ROW(EM!$C$14))*(MATCH(AB$22,EM!$B$6:$B$9,0)-1),MIN(AB$23-EM!$B$16+11,EM!$AF$16-EM!$B$16)),0)+
IF(ROUND(AB$11,0)&gt;=13,OFFSET(EM!$B$17,ROW($A26)-ROW($A$26)+(ROW(EM!$C$46)-ROW(EM!$C$14))*(MATCH(AB$22,EM!$B$6:$B$9,0)-1),MIN(AB$23-EM!$B$16+12,EM!$AF$16-EM!$B$16)),0)+
IF(ROUND(AB$11,0)&gt;=14,OFFSET(EM!$B$17,ROW($A26)-ROW($A$26)+(ROW(EM!$C$46)-ROW(EM!$C$14))*(MATCH(AB$22,EM!$B$6:$B$9,0)-1),MIN(AB$23-EM!$B$16+13,EM!$AF$16-EM!$B$16)),0)+
IF(ROUND(AB$11,0)&gt;=15,OFFSET(EM!$B$17,ROW($A26)-ROW($A$26)+(ROW(EM!$C$46)-ROW(EM!$C$14))*(MATCH(AB$22,EM!$B$6:$B$9,0)-1),MIN(AB$23-EM!$B$16+14,EM!$AF$16-EM!$B$16)),0)+
IF(ROUND(AB$11,0)&gt;=16,OFFSET(EM!$B$17,ROW($A26)-ROW($A$26)+(ROW(EM!$C$46)-ROW(EM!$C$14))*(MATCH(AB$22,EM!$B$6:$B$9,0)-1),MIN(AB$23-EM!$B$16+15,EM!$AF$16-EM!$B$16)),0)+
IF(ROUND(AB$11,0)&gt;=17,OFFSET(EM!$B$17,ROW($A26)-ROW($A$26)+(ROW(EM!$C$46)-ROW(EM!$C$14))*(MATCH(AB$22,EM!$B$6:$B$9,0)-1),MIN(AB$23-EM!$B$16+16,EM!$AF$16-EM!$B$16)),0)+
IF(ROUND(AB$11,0)&gt;=18,OFFSET(EM!$B$17,ROW($A26)-ROW($A$26)+(ROW(EM!$C$46)-ROW(EM!$C$14))*(MATCH(AB$22,EM!$B$6:$B$9,0)-1),MIN(AB$23-EM!$B$16+17,EM!$AF$16-EM!$B$16)),0)+
IF(ROUND(AB$11,0)&gt;=19,OFFSET(EM!$B$17,ROW($A26)-ROW($A$26)+(ROW(EM!$C$46)-ROW(EM!$C$14))*(MATCH(AB$22,EM!$B$6:$B$9,0)-1),MIN(AB$23-EM!$B$16+18,EM!$AF$16-EM!$B$16)),0)+
IF(ROUND(AB$11,0)&gt;=20,OFFSET(EM!$B$17,ROW($A26)-ROW($A$26)+(ROW(EM!$C$46)-ROW(EM!$C$14))*(MATCH(AB$22,EM!$B$6:$B$9,0)-1),MIN(AB$23-EM!$B$16+19,EM!$AF$16-EM!$B$16)),0)+
IF(ROUND(AB$11,0)&gt;=21,OFFSET(EM!$B$17,ROW($A26)-ROW($A$26)+(ROW(EM!$C$46)-ROW(EM!$C$14))*(MATCH(AB$22,EM!$B$6:$B$9,0)-1),MIN(AB$23-EM!$B$16+20,EM!$AF$16-EM!$B$16)),0)+
IF(ROUND(AB$11,0)&gt;=22,OFFSET(EM!$B$17,ROW($A26)-ROW($A$26)+(ROW(EM!$C$46)-ROW(EM!$C$14))*(MATCH(AB$22,EM!$B$6:$B$9,0)-1),MIN(AB$23-EM!$B$16+21,EM!$AF$16-EM!$B$16)),0)+
IF(ROUND(AB$11,0)&gt;=23,OFFSET(EM!$B$17,ROW($A26)-ROW($A$26)+(ROW(EM!$C$46)-ROW(EM!$C$14))*(MATCH(AB$22,EM!$B$6:$B$9,0)-1),MIN(AB$23-EM!$B$16+22,EM!$AF$16-EM!$B$16)),0)+
IF(ROUND(AB$11,0)&gt;=24,OFFSET(EM!$B$17,ROW($A26)-ROW($A$26)+(ROW(EM!$C$46)-ROW(EM!$C$14))*(MATCH(AB$22,EM!$B$6:$B$9,0)-1),MIN(AB$23-EM!$B$16+23,EM!$AF$16-EM!$B$16)),0)+
IF(ROUND(AB$11,0)&gt;=25,OFFSET(EM!$B$17,ROW($A26)-ROW($A$26)+(ROW(EM!$C$46)-ROW(EM!$C$14))*(MATCH(AB$22,EM!$B$6:$B$9,0)-1),MIN(AB$23-EM!$B$16+24,EM!$AF$16-EM!$B$16)),0)+
IF(ROUND(AB$11,0)&gt;=26,OFFSET(EM!$B$17,ROW($A26)-ROW($A$26)+(ROW(EM!$C$46)-ROW(EM!$C$14))*(MATCH(AB$22,EM!$B$6:$B$9,0)-1),MIN(AB$23-EM!$B$16+25,EM!$AF$16-EM!$B$16)),0)+
IF(ROUND(AB$11,0)&gt;=27,OFFSET(EM!$B$17,ROW($A26)-ROW($A$26)+(ROW(EM!$C$46)-ROW(EM!$C$14))*(MATCH(AB$22,EM!$B$6:$B$9,0)-1),MIN(AB$23-EM!$B$16+26,EM!$AF$16-EM!$B$16)),0)+
IF(ROUND(AB$11,0)&gt;=28,OFFSET(EM!$B$17,ROW($A26)-ROW($A$26)+(ROW(EM!$C$46)-ROW(EM!$C$14))*(MATCH(AB$22,EM!$B$6:$B$9,0)-1),MIN(AB$23-EM!$B$16+27,EM!$AF$16-EM!$B$16)),0)+
IF(ROUND(AB$11,0)&gt;=29,OFFSET(EM!$B$17,ROW($A26)-ROW($A$26)+(ROW(EM!$C$46)-ROW(EM!$C$14))*(MATCH(AB$22,EM!$B$6:$B$9,0)-1),MIN(AB$23-EM!$B$16+28,EM!$AF$16-EM!$B$16)),0)+
IF(ROUND(AB$11,0)&gt;=30,OFFSET(EM!$B$17,ROW($A26)-ROW($A$26)+(ROW(EM!$C$46)-ROW(EM!$C$14))*(MATCH(AB$22,EM!$B$6:$B$9,0)-1),MIN(AB$23-EM!$B$16+29,EM!$AF$16-EM!$B$16)),0)+
IF(ROUND(AB$11,0)&gt;=31,OFFSET(EM!$B$17,ROW($A26)-ROW($A$26)+(ROW(EM!$C$46)-ROW(EM!$C$14))*(MATCH(AB$22,EM!$B$6:$B$9,0)-1),MIN(AB$23-EM!$B$16+30,EM!$AF$16-EM!$B$16)),0)+
IF(ROUND(AB$11,0)&gt;=32,OFFSET(EM!$B$17,ROW($A26)-ROW($A$26)+(ROW(EM!$C$46)-ROW(EM!$C$14))*(MATCH(AB$22,EM!$B$6:$B$9,0)-1),MIN(AB$23-EM!$B$16+31,EM!$AF$16-EM!$B$16)),0)+
IF(ROUND(AB$11,0)&gt;=33,OFFSET(EM!$B$17,ROW($A26)-ROW($A$26)+(ROW(EM!$C$46)-ROW(EM!$C$14))*(MATCH(AB$22,EM!$B$6:$B$9,0)-1),MIN(AB$23-EM!$B$16+32,EM!$AF$16-EM!$B$16)),0)+
IF(ROUND(AB$11,0)&gt;=34,OFFSET(EM!$B$17,ROW($A26)-ROW($A$26)+(ROW(EM!$C$46)-ROW(EM!$C$14))*(MATCH(AB$22,EM!$B$6:$B$9,0)-1),MIN(AB$23-EM!$B$16+33,EM!$AF$16-EM!$B$16)),0)+
IF(ROUND(AB$11,0)&gt;=35,OFFSET(EM!$B$17,ROW($A26)-ROW($A$26)+(ROW(EM!$C$46)-ROW(EM!$C$14))*(MATCH(AB$22,EM!$B$6:$B$9,0)-1),MIN(AB$23-EM!$B$16+34,EM!$AF$16-EM!$B$16)),0)+
IF(ROUND(AB$11,0)&gt;=36,OFFSET(EM!$B$17,ROW($A26)-ROW($A$26)+(ROW(EM!$C$46)-ROW(EM!$C$14))*(MATCH(AB$22,EM!$B$6:$B$9,0)-1),MIN(AB$23-EM!$B$16+35,EM!$AF$16-EM!$B$16)),0)+
IF(ROUND(AB$11,0)&gt;=37,OFFSET(EM!$B$17,ROW($A26)-ROW($A$26)+(ROW(EM!$C$46)-ROW(EM!$C$14))*(MATCH(AB$22,EM!$B$6:$B$9,0)-1),MIN(AB$23-EM!$B$16+36,EM!$AF$16-EM!$B$16)),0)+
IF(ROUND(AB$11,0)&gt;=38,OFFSET(EM!$B$17,ROW($A26)-ROW($A$26)+(ROW(EM!$C$46)-ROW(EM!$C$14))*(MATCH(AB$22,EM!$B$6:$B$9,0)-1),MIN(AB$23-EM!$B$16+37,EM!$AF$16-EM!$B$16)),0)+
IF(ROUND(AB$11,0)&gt;=39,OFFSET(EM!$B$17,ROW($A26)-ROW($A$26)+(ROW(EM!$C$46)-ROW(EM!$C$14))*(MATCH(AB$22,EM!$B$6:$B$9,0)-1),MIN(AB$23-EM!$B$16+38,EM!$AF$16-EM!$B$16)),0)+
IF(ROUND(AB$11,0)&gt;=40,OFFSET(EM!$B$17,ROW($A26)-ROW($A$26)+(ROW(EM!$C$46)-ROW(EM!$C$14))*(MATCH(AB$22,EM!$B$6:$B$9,0)-1),MIN(AB$23-EM!$B$16+39,EM!$AF$16-EM!$B$16)),0)
)/ROUND(AB$11,0),NA()))</f>
        <v>5.0412668060949841E-3</v>
      </c>
    </row>
    <row r="27" spans="1:28" x14ac:dyDescent="0.45">
      <c r="A27" s="1421" t="s">
        <v>1076</v>
      </c>
      <c r="B27" s="2035"/>
      <c r="C27" s="2046">
        <f ca="1">IF(C$19=GPG!$A$28,IF(ROW(C27)-ROW(C$26)+1=MATCH(C$20,GPG!$A$5:$A$11,0),1,0),
IF(C$19=GPG!$A$29,
(IF(ROUND(C$11,0)&gt;=1,OFFSET(EM!$B$17,ROW($A27)-ROW($A$26)+(ROW(EM!$C$46)-ROW(EM!$C$14))*(MATCH(C$22,EM!$B$6:$B$9,0)-1),MIN(C$23-EM!$B$16,EM!$AF$16-EM!$B$16)),0)+
IF(ROUND(C$11,0)&gt;=2,OFFSET(EM!$B$17,ROW($A27)-ROW($A$26)+(ROW(EM!$C$46)-ROW(EM!$C$14))*(MATCH(C$22,EM!$B$6:$B$9,0)-1),MIN(C$23-EM!$B$16+1,EM!$AF$16-EM!$B$16)),0)+
IF(ROUND(C$11,0)&gt;=3,OFFSET(EM!$B$17,ROW($A27)-ROW($A$26)+(ROW(EM!$C$46)-ROW(EM!$C$14))*(MATCH(C$22,EM!$B$6:$B$9,0)-1),MIN(C$23-EM!$B$16+2,EM!$AF$16-EM!$B$16)),0)+
IF(ROUND(C$11,0)&gt;=4,OFFSET(EM!$B$17,ROW($A27)-ROW($A$26)+(ROW(EM!$C$46)-ROW(EM!$C$14))*(MATCH(C$22,EM!$B$6:$B$9,0)-1),MIN(C$23-EM!$B$16+3,EM!$AF$16-EM!$B$16)),0)+
IF(ROUND(C$11,0)&gt;=5,OFFSET(EM!$B$17,ROW($A27)-ROW($A$26)+(ROW(EM!$C$46)-ROW(EM!$C$14))*(MATCH(C$22,EM!$B$6:$B$9,0)-1),MIN(C$23-EM!$B$16+4,EM!$AF$16-EM!$B$16)),0)+
IF(ROUND(C$11,0)&gt;=6,OFFSET(EM!$B$17,ROW($A27)-ROW($A$26)+(ROW(EM!$C$46)-ROW(EM!$C$14))*(MATCH(C$22,EM!$B$6:$B$9,0)-1),MIN(C$23-EM!$B$16+5,EM!$AF$16-EM!$B$16)),0)+
IF(ROUND(C$11,0)&gt;=7,OFFSET(EM!$B$17,ROW($A27)-ROW($A$26)+(ROW(EM!$C$46)-ROW(EM!$C$14))*(MATCH(C$22,EM!$B$6:$B$9,0)-1),MIN(C$23-EM!$B$16+6,EM!$AF$16-EM!$B$16)),0)+
IF(ROUND(C$11,0)&gt;=8,OFFSET(EM!$B$17,ROW($A27)-ROW($A$26)+(ROW(EM!$C$46)-ROW(EM!$C$14))*(MATCH(C$22,EM!$B$6:$B$9,0)-1),MIN(C$23-EM!$B$16+7,EM!$AF$16-EM!$B$16)),0)+
IF(ROUND(C$11,0)&gt;=9,OFFSET(EM!$B$17,ROW($A27)-ROW($A$26)+(ROW(EM!$C$46)-ROW(EM!$C$14))*(MATCH(C$22,EM!$B$6:$B$9,0)-1),MIN(C$23-EM!$B$16+8,EM!$AF$16-EM!$B$16)),0)+
IF(ROUND(C$11,0)&gt;=10,OFFSET(EM!$B$17,ROW($A27)-ROW($A$26)+(ROW(EM!$C$46)-ROW(EM!$C$14))*(MATCH(C$22,EM!$B$6:$B$9,0)-1),MIN(C$23-EM!$B$16+9,EM!$AF$16-EM!$B$16)),0)+
IF(ROUND(C$11,0)&gt;=11,OFFSET(EM!$B$17,ROW($A27)-ROW($A$26)+(ROW(EM!$C$46)-ROW(EM!$C$14))*(MATCH(C$22,EM!$B$6:$B$9,0)-1),MIN(C$23-EM!$B$16+10,EM!$AF$16-EM!$B$16)),0)+
IF(ROUND(C$11,0)&gt;=12,OFFSET(EM!$B$17,ROW($A27)-ROW($A$26)+(ROW(EM!$C$46)-ROW(EM!$C$14))*(MATCH(C$22,EM!$B$6:$B$9,0)-1),MIN(C$23-EM!$B$16+11,EM!$AF$16-EM!$B$16)),0)+
IF(ROUND(C$11,0)&gt;=13,OFFSET(EM!$B$17,ROW($A27)-ROW($A$26)+(ROW(EM!$C$46)-ROW(EM!$C$14))*(MATCH(C$22,EM!$B$6:$B$9,0)-1),MIN(C$23-EM!$B$16+12,EM!$AF$16-EM!$B$16)),0)+
IF(ROUND(C$11,0)&gt;=14,OFFSET(EM!$B$17,ROW($A27)-ROW($A$26)+(ROW(EM!$C$46)-ROW(EM!$C$14))*(MATCH(C$22,EM!$B$6:$B$9,0)-1),MIN(C$23-EM!$B$16+13,EM!$AF$16-EM!$B$16)),0)+
IF(ROUND(C$11,0)&gt;=15,OFFSET(EM!$B$17,ROW($A27)-ROW($A$26)+(ROW(EM!$C$46)-ROW(EM!$C$14))*(MATCH(C$22,EM!$B$6:$B$9,0)-1),MIN(C$23-EM!$B$16+14,EM!$AF$16-EM!$B$16)),0)+
IF(ROUND(C$11,0)&gt;=16,OFFSET(EM!$B$17,ROW($A27)-ROW($A$26)+(ROW(EM!$C$46)-ROW(EM!$C$14))*(MATCH(C$22,EM!$B$6:$B$9,0)-1),MIN(C$23-EM!$B$16+15,EM!$AF$16-EM!$B$16)),0)+
IF(ROUND(C$11,0)&gt;=17,OFFSET(EM!$B$17,ROW($A27)-ROW($A$26)+(ROW(EM!$C$46)-ROW(EM!$C$14))*(MATCH(C$22,EM!$B$6:$B$9,0)-1),MIN(C$23-EM!$B$16+16,EM!$AF$16-EM!$B$16)),0)+
IF(ROUND(C$11,0)&gt;=18,OFFSET(EM!$B$17,ROW($A27)-ROW($A$26)+(ROW(EM!$C$46)-ROW(EM!$C$14))*(MATCH(C$22,EM!$B$6:$B$9,0)-1),MIN(C$23-EM!$B$16+17,EM!$AF$16-EM!$B$16)),0)+
IF(ROUND(C$11,0)&gt;=19,OFFSET(EM!$B$17,ROW($A27)-ROW($A$26)+(ROW(EM!$C$46)-ROW(EM!$C$14))*(MATCH(C$22,EM!$B$6:$B$9,0)-1),MIN(C$23-EM!$B$16+18,EM!$AF$16-EM!$B$16)),0)+
IF(ROUND(C$11,0)&gt;=20,OFFSET(EM!$B$17,ROW($A27)-ROW($A$26)+(ROW(EM!$C$46)-ROW(EM!$C$14))*(MATCH(C$22,EM!$B$6:$B$9,0)-1),MIN(C$23-EM!$B$16+19,EM!$AF$16-EM!$B$16)),0)+
IF(ROUND(C$11,0)&gt;=21,OFFSET(EM!$B$17,ROW($A27)-ROW($A$26)+(ROW(EM!$C$46)-ROW(EM!$C$14))*(MATCH(C$22,EM!$B$6:$B$9,0)-1),MIN(C$23-EM!$B$16+20,EM!$AF$16-EM!$B$16)),0)+
IF(ROUND(C$11,0)&gt;=22,OFFSET(EM!$B$17,ROW($A27)-ROW($A$26)+(ROW(EM!$C$46)-ROW(EM!$C$14))*(MATCH(C$22,EM!$B$6:$B$9,0)-1),MIN(C$23-EM!$B$16+21,EM!$AF$16-EM!$B$16)),0)+
IF(ROUND(C$11,0)&gt;=23,OFFSET(EM!$B$17,ROW($A27)-ROW($A$26)+(ROW(EM!$C$46)-ROW(EM!$C$14))*(MATCH(C$22,EM!$B$6:$B$9,0)-1),MIN(C$23-EM!$B$16+22,EM!$AF$16-EM!$B$16)),0)+
IF(ROUND(C$11,0)&gt;=24,OFFSET(EM!$B$17,ROW($A27)-ROW($A$26)+(ROW(EM!$C$46)-ROW(EM!$C$14))*(MATCH(C$22,EM!$B$6:$B$9,0)-1),MIN(C$23-EM!$B$16+23,EM!$AF$16-EM!$B$16)),0)+
IF(ROUND(C$11,0)&gt;=25,OFFSET(EM!$B$17,ROW($A27)-ROW($A$26)+(ROW(EM!$C$46)-ROW(EM!$C$14))*(MATCH(C$22,EM!$B$6:$B$9,0)-1),MIN(C$23-EM!$B$16+24,EM!$AF$16-EM!$B$16)),0)+
IF(ROUND(C$11,0)&gt;=26,OFFSET(EM!$B$17,ROW($A27)-ROW($A$26)+(ROW(EM!$C$46)-ROW(EM!$C$14))*(MATCH(C$22,EM!$B$6:$B$9,0)-1),MIN(C$23-EM!$B$16+25,EM!$AF$16-EM!$B$16)),0)+
IF(ROUND(C$11,0)&gt;=27,OFFSET(EM!$B$17,ROW($A27)-ROW($A$26)+(ROW(EM!$C$46)-ROW(EM!$C$14))*(MATCH(C$22,EM!$B$6:$B$9,0)-1),MIN(C$23-EM!$B$16+26,EM!$AF$16-EM!$B$16)),0)+
IF(ROUND(C$11,0)&gt;=28,OFFSET(EM!$B$17,ROW($A27)-ROW($A$26)+(ROW(EM!$C$46)-ROW(EM!$C$14))*(MATCH(C$22,EM!$B$6:$B$9,0)-1),MIN(C$23-EM!$B$16+27,EM!$AF$16-EM!$B$16)),0)+
IF(ROUND(C$11,0)&gt;=29,OFFSET(EM!$B$17,ROW($A27)-ROW($A$26)+(ROW(EM!$C$46)-ROW(EM!$C$14))*(MATCH(C$22,EM!$B$6:$B$9,0)-1),MIN(C$23-EM!$B$16+28,EM!$AF$16-EM!$B$16)),0)+
IF(ROUND(C$11,0)&gt;=30,OFFSET(EM!$B$17,ROW($A27)-ROW($A$26)+(ROW(EM!$C$46)-ROW(EM!$C$14))*(MATCH(C$22,EM!$B$6:$B$9,0)-1),MIN(C$23-EM!$B$16+29,EM!$AF$16-EM!$B$16)),0)+
IF(ROUND(C$11,0)&gt;=31,OFFSET(EM!$B$17,ROW($A27)-ROW($A$26)+(ROW(EM!$C$46)-ROW(EM!$C$14))*(MATCH(C$22,EM!$B$6:$B$9,0)-1),MIN(C$23-EM!$B$16+30,EM!$AF$16-EM!$B$16)),0)+
IF(ROUND(C$11,0)&gt;=32,OFFSET(EM!$B$17,ROW($A27)-ROW($A$26)+(ROW(EM!$C$46)-ROW(EM!$C$14))*(MATCH(C$22,EM!$B$6:$B$9,0)-1),MIN(C$23-EM!$B$16+31,EM!$AF$16-EM!$B$16)),0)+
IF(ROUND(C$11,0)&gt;=33,OFFSET(EM!$B$17,ROW($A27)-ROW($A$26)+(ROW(EM!$C$46)-ROW(EM!$C$14))*(MATCH(C$22,EM!$B$6:$B$9,0)-1),MIN(C$23-EM!$B$16+32,EM!$AF$16-EM!$B$16)),0)+
IF(ROUND(C$11,0)&gt;=34,OFFSET(EM!$B$17,ROW($A27)-ROW($A$26)+(ROW(EM!$C$46)-ROW(EM!$C$14))*(MATCH(C$22,EM!$B$6:$B$9,0)-1),MIN(C$23-EM!$B$16+33,EM!$AF$16-EM!$B$16)),0)+
IF(ROUND(C$11,0)&gt;=35,OFFSET(EM!$B$17,ROW($A27)-ROW($A$26)+(ROW(EM!$C$46)-ROW(EM!$C$14))*(MATCH(C$22,EM!$B$6:$B$9,0)-1),MIN(C$23-EM!$B$16+34,EM!$AF$16-EM!$B$16)),0)+
IF(ROUND(C$11,0)&gt;=36,OFFSET(EM!$B$17,ROW($A27)-ROW($A$26)+(ROW(EM!$C$46)-ROW(EM!$C$14))*(MATCH(C$22,EM!$B$6:$B$9,0)-1),MIN(C$23-EM!$B$16+35,EM!$AF$16-EM!$B$16)),0)+
IF(ROUND(C$11,0)&gt;=37,OFFSET(EM!$B$17,ROW($A27)-ROW($A$26)+(ROW(EM!$C$46)-ROW(EM!$C$14))*(MATCH(C$22,EM!$B$6:$B$9,0)-1),MIN(C$23-EM!$B$16+36,EM!$AF$16-EM!$B$16)),0)+
IF(ROUND(C$11,0)&gt;=38,OFFSET(EM!$B$17,ROW($A27)-ROW($A$26)+(ROW(EM!$C$46)-ROW(EM!$C$14))*(MATCH(C$22,EM!$B$6:$B$9,0)-1),MIN(C$23-EM!$B$16+37,EM!$AF$16-EM!$B$16)),0)+
IF(ROUND(C$11,0)&gt;=39,OFFSET(EM!$B$17,ROW($A27)-ROW($A$26)+(ROW(EM!$C$46)-ROW(EM!$C$14))*(MATCH(C$22,EM!$B$6:$B$9,0)-1),MIN(C$23-EM!$B$16+38,EM!$AF$16-EM!$B$16)),0)+
IF(ROUND(C$11,0)&gt;=40,OFFSET(EM!$B$17,ROW($A27)-ROW($A$26)+(ROW(EM!$C$46)-ROW(EM!$C$14))*(MATCH(C$22,EM!$B$6:$B$9,0)-1),MIN(C$23-EM!$B$16+39,EM!$AF$16-EM!$B$16)),0)
)/ROUND(C$11,0),NA()))</f>
        <v>1.6374028134476214E-2</v>
      </c>
      <c r="D27" s="2046">
        <f ca="1">IF(D$19=GPG!$A$28,IF(ROW(D27)-ROW(D$26)+1=MATCH(D$20,GPG!$A$5:$A$11,0),1,0),
IF(D$19=GPG!$A$29,
(IF(ROUND(D$11,0)&gt;=1,OFFSET(EM!$B$17,ROW($A27)-ROW($A$26)+(ROW(EM!$C$46)-ROW(EM!$C$14))*(MATCH(D$22,EM!$B$6:$B$9,0)-1),MIN(D$23-EM!$B$16,EM!$AF$16-EM!$B$16)),0)+
IF(ROUND(D$11,0)&gt;=2,OFFSET(EM!$B$17,ROW($A27)-ROW($A$26)+(ROW(EM!$C$46)-ROW(EM!$C$14))*(MATCH(D$22,EM!$B$6:$B$9,0)-1),MIN(D$23-EM!$B$16+1,EM!$AF$16-EM!$B$16)),0)+
IF(ROUND(D$11,0)&gt;=3,OFFSET(EM!$B$17,ROW($A27)-ROW($A$26)+(ROW(EM!$C$46)-ROW(EM!$C$14))*(MATCH(D$22,EM!$B$6:$B$9,0)-1),MIN(D$23-EM!$B$16+2,EM!$AF$16-EM!$B$16)),0)+
IF(ROUND(D$11,0)&gt;=4,OFFSET(EM!$B$17,ROW($A27)-ROW($A$26)+(ROW(EM!$C$46)-ROW(EM!$C$14))*(MATCH(D$22,EM!$B$6:$B$9,0)-1),MIN(D$23-EM!$B$16+3,EM!$AF$16-EM!$B$16)),0)+
IF(ROUND(D$11,0)&gt;=5,OFFSET(EM!$B$17,ROW($A27)-ROW($A$26)+(ROW(EM!$C$46)-ROW(EM!$C$14))*(MATCH(D$22,EM!$B$6:$B$9,0)-1),MIN(D$23-EM!$B$16+4,EM!$AF$16-EM!$B$16)),0)+
IF(ROUND(D$11,0)&gt;=6,OFFSET(EM!$B$17,ROW($A27)-ROW($A$26)+(ROW(EM!$C$46)-ROW(EM!$C$14))*(MATCH(D$22,EM!$B$6:$B$9,0)-1),MIN(D$23-EM!$B$16+5,EM!$AF$16-EM!$B$16)),0)+
IF(ROUND(D$11,0)&gt;=7,OFFSET(EM!$B$17,ROW($A27)-ROW($A$26)+(ROW(EM!$C$46)-ROW(EM!$C$14))*(MATCH(D$22,EM!$B$6:$B$9,0)-1),MIN(D$23-EM!$B$16+6,EM!$AF$16-EM!$B$16)),0)+
IF(ROUND(D$11,0)&gt;=8,OFFSET(EM!$B$17,ROW($A27)-ROW($A$26)+(ROW(EM!$C$46)-ROW(EM!$C$14))*(MATCH(D$22,EM!$B$6:$B$9,0)-1),MIN(D$23-EM!$B$16+7,EM!$AF$16-EM!$B$16)),0)+
IF(ROUND(D$11,0)&gt;=9,OFFSET(EM!$B$17,ROW($A27)-ROW($A$26)+(ROW(EM!$C$46)-ROW(EM!$C$14))*(MATCH(D$22,EM!$B$6:$B$9,0)-1),MIN(D$23-EM!$B$16+8,EM!$AF$16-EM!$B$16)),0)+
IF(ROUND(D$11,0)&gt;=10,OFFSET(EM!$B$17,ROW($A27)-ROW($A$26)+(ROW(EM!$C$46)-ROW(EM!$C$14))*(MATCH(D$22,EM!$B$6:$B$9,0)-1),MIN(D$23-EM!$B$16+9,EM!$AF$16-EM!$B$16)),0)+
IF(ROUND(D$11,0)&gt;=11,OFFSET(EM!$B$17,ROW($A27)-ROW($A$26)+(ROW(EM!$C$46)-ROW(EM!$C$14))*(MATCH(D$22,EM!$B$6:$B$9,0)-1),MIN(D$23-EM!$B$16+10,EM!$AF$16-EM!$B$16)),0)+
IF(ROUND(D$11,0)&gt;=12,OFFSET(EM!$B$17,ROW($A27)-ROW($A$26)+(ROW(EM!$C$46)-ROW(EM!$C$14))*(MATCH(D$22,EM!$B$6:$B$9,0)-1),MIN(D$23-EM!$B$16+11,EM!$AF$16-EM!$B$16)),0)+
IF(ROUND(D$11,0)&gt;=13,OFFSET(EM!$B$17,ROW($A27)-ROW($A$26)+(ROW(EM!$C$46)-ROW(EM!$C$14))*(MATCH(D$22,EM!$B$6:$B$9,0)-1),MIN(D$23-EM!$B$16+12,EM!$AF$16-EM!$B$16)),0)+
IF(ROUND(D$11,0)&gt;=14,OFFSET(EM!$B$17,ROW($A27)-ROW($A$26)+(ROW(EM!$C$46)-ROW(EM!$C$14))*(MATCH(D$22,EM!$B$6:$B$9,0)-1),MIN(D$23-EM!$B$16+13,EM!$AF$16-EM!$B$16)),0)+
IF(ROUND(D$11,0)&gt;=15,OFFSET(EM!$B$17,ROW($A27)-ROW($A$26)+(ROW(EM!$C$46)-ROW(EM!$C$14))*(MATCH(D$22,EM!$B$6:$B$9,0)-1),MIN(D$23-EM!$B$16+14,EM!$AF$16-EM!$B$16)),0)+
IF(ROUND(D$11,0)&gt;=16,OFFSET(EM!$B$17,ROW($A27)-ROW($A$26)+(ROW(EM!$C$46)-ROW(EM!$C$14))*(MATCH(D$22,EM!$B$6:$B$9,0)-1),MIN(D$23-EM!$B$16+15,EM!$AF$16-EM!$B$16)),0)+
IF(ROUND(D$11,0)&gt;=17,OFFSET(EM!$B$17,ROW($A27)-ROW($A$26)+(ROW(EM!$C$46)-ROW(EM!$C$14))*(MATCH(D$22,EM!$B$6:$B$9,0)-1),MIN(D$23-EM!$B$16+16,EM!$AF$16-EM!$B$16)),0)+
IF(ROUND(D$11,0)&gt;=18,OFFSET(EM!$B$17,ROW($A27)-ROW($A$26)+(ROW(EM!$C$46)-ROW(EM!$C$14))*(MATCH(D$22,EM!$B$6:$B$9,0)-1),MIN(D$23-EM!$B$16+17,EM!$AF$16-EM!$B$16)),0)+
IF(ROUND(D$11,0)&gt;=19,OFFSET(EM!$B$17,ROW($A27)-ROW($A$26)+(ROW(EM!$C$46)-ROW(EM!$C$14))*(MATCH(D$22,EM!$B$6:$B$9,0)-1),MIN(D$23-EM!$B$16+18,EM!$AF$16-EM!$B$16)),0)+
IF(ROUND(D$11,0)&gt;=20,OFFSET(EM!$B$17,ROW($A27)-ROW($A$26)+(ROW(EM!$C$46)-ROW(EM!$C$14))*(MATCH(D$22,EM!$B$6:$B$9,0)-1),MIN(D$23-EM!$B$16+19,EM!$AF$16-EM!$B$16)),0)+
IF(ROUND(D$11,0)&gt;=21,OFFSET(EM!$B$17,ROW($A27)-ROW($A$26)+(ROW(EM!$C$46)-ROW(EM!$C$14))*(MATCH(D$22,EM!$B$6:$B$9,0)-1),MIN(D$23-EM!$B$16+20,EM!$AF$16-EM!$B$16)),0)+
IF(ROUND(D$11,0)&gt;=22,OFFSET(EM!$B$17,ROW($A27)-ROW($A$26)+(ROW(EM!$C$46)-ROW(EM!$C$14))*(MATCH(D$22,EM!$B$6:$B$9,0)-1),MIN(D$23-EM!$B$16+21,EM!$AF$16-EM!$B$16)),0)+
IF(ROUND(D$11,0)&gt;=23,OFFSET(EM!$B$17,ROW($A27)-ROW($A$26)+(ROW(EM!$C$46)-ROW(EM!$C$14))*(MATCH(D$22,EM!$B$6:$B$9,0)-1),MIN(D$23-EM!$B$16+22,EM!$AF$16-EM!$B$16)),0)+
IF(ROUND(D$11,0)&gt;=24,OFFSET(EM!$B$17,ROW($A27)-ROW($A$26)+(ROW(EM!$C$46)-ROW(EM!$C$14))*(MATCH(D$22,EM!$B$6:$B$9,0)-1),MIN(D$23-EM!$B$16+23,EM!$AF$16-EM!$B$16)),0)+
IF(ROUND(D$11,0)&gt;=25,OFFSET(EM!$B$17,ROW($A27)-ROW($A$26)+(ROW(EM!$C$46)-ROW(EM!$C$14))*(MATCH(D$22,EM!$B$6:$B$9,0)-1),MIN(D$23-EM!$B$16+24,EM!$AF$16-EM!$B$16)),0)+
IF(ROUND(D$11,0)&gt;=26,OFFSET(EM!$B$17,ROW($A27)-ROW($A$26)+(ROW(EM!$C$46)-ROW(EM!$C$14))*(MATCH(D$22,EM!$B$6:$B$9,0)-1),MIN(D$23-EM!$B$16+25,EM!$AF$16-EM!$B$16)),0)+
IF(ROUND(D$11,0)&gt;=27,OFFSET(EM!$B$17,ROW($A27)-ROW($A$26)+(ROW(EM!$C$46)-ROW(EM!$C$14))*(MATCH(D$22,EM!$B$6:$B$9,0)-1),MIN(D$23-EM!$B$16+26,EM!$AF$16-EM!$B$16)),0)+
IF(ROUND(D$11,0)&gt;=28,OFFSET(EM!$B$17,ROW($A27)-ROW($A$26)+(ROW(EM!$C$46)-ROW(EM!$C$14))*(MATCH(D$22,EM!$B$6:$B$9,0)-1),MIN(D$23-EM!$B$16+27,EM!$AF$16-EM!$B$16)),0)+
IF(ROUND(D$11,0)&gt;=29,OFFSET(EM!$B$17,ROW($A27)-ROW($A$26)+(ROW(EM!$C$46)-ROW(EM!$C$14))*(MATCH(D$22,EM!$B$6:$B$9,0)-1),MIN(D$23-EM!$B$16+28,EM!$AF$16-EM!$B$16)),0)+
IF(ROUND(D$11,0)&gt;=30,OFFSET(EM!$B$17,ROW($A27)-ROW($A$26)+(ROW(EM!$C$46)-ROW(EM!$C$14))*(MATCH(D$22,EM!$B$6:$B$9,0)-1),MIN(D$23-EM!$B$16+29,EM!$AF$16-EM!$B$16)),0)+
IF(ROUND(D$11,0)&gt;=31,OFFSET(EM!$B$17,ROW($A27)-ROW($A$26)+(ROW(EM!$C$46)-ROW(EM!$C$14))*(MATCH(D$22,EM!$B$6:$B$9,0)-1),MIN(D$23-EM!$B$16+30,EM!$AF$16-EM!$B$16)),0)+
IF(ROUND(D$11,0)&gt;=32,OFFSET(EM!$B$17,ROW($A27)-ROW($A$26)+(ROW(EM!$C$46)-ROW(EM!$C$14))*(MATCH(D$22,EM!$B$6:$B$9,0)-1),MIN(D$23-EM!$B$16+31,EM!$AF$16-EM!$B$16)),0)+
IF(ROUND(D$11,0)&gt;=33,OFFSET(EM!$B$17,ROW($A27)-ROW($A$26)+(ROW(EM!$C$46)-ROW(EM!$C$14))*(MATCH(D$22,EM!$B$6:$B$9,0)-1),MIN(D$23-EM!$B$16+32,EM!$AF$16-EM!$B$16)),0)+
IF(ROUND(D$11,0)&gt;=34,OFFSET(EM!$B$17,ROW($A27)-ROW($A$26)+(ROW(EM!$C$46)-ROW(EM!$C$14))*(MATCH(D$22,EM!$B$6:$B$9,0)-1),MIN(D$23-EM!$B$16+33,EM!$AF$16-EM!$B$16)),0)+
IF(ROUND(D$11,0)&gt;=35,OFFSET(EM!$B$17,ROW($A27)-ROW($A$26)+(ROW(EM!$C$46)-ROW(EM!$C$14))*(MATCH(D$22,EM!$B$6:$B$9,0)-1),MIN(D$23-EM!$B$16+34,EM!$AF$16-EM!$B$16)),0)+
IF(ROUND(D$11,0)&gt;=36,OFFSET(EM!$B$17,ROW($A27)-ROW($A$26)+(ROW(EM!$C$46)-ROW(EM!$C$14))*(MATCH(D$22,EM!$B$6:$B$9,0)-1),MIN(D$23-EM!$B$16+35,EM!$AF$16-EM!$B$16)),0)+
IF(ROUND(D$11,0)&gt;=37,OFFSET(EM!$B$17,ROW($A27)-ROW($A$26)+(ROW(EM!$C$46)-ROW(EM!$C$14))*(MATCH(D$22,EM!$B$6:$B$9,0)-1),MIN(D$23-EM!$B$16+36,EM!$AF$16-EM!$B$16)),0)+
IF(ROUND(D$11,0)&gt;=38,OFFSET(EM!$B$17,ROW($A27)-ROW($A$26)+(ROW(EM!$C$46)-ROW(EM!$C$14))*(MATCH(D$22,EM!$B$6:$B$9,0)-1),MIN(D$23-EM!$B$16+37,EM!$AF$16-EM!$B$16)),0)+
IF(ROUND(D$11,0)&gt;=39,OFFSET(EM!$B$17,ROW($A27)-ROW($A$26)+(ROW(EM!$C$46)-ROW(EM!$C$14))*(MATCH(D$22,EM!$B$6:$B$9,0)-1),MIN(D$23-EM!$B$16+38,EM!$AF$16-EM!$B$16)),0)+
IF(ROUND(D$11,0)&gt;=40,OFFSET(EM!$B$17,ROW($A27)-ROW($A$26)+(ROW(EM!$C$46)-ROW(EM!$C$14))*(MATCH(D$22,EM!$B$6:$B$9,0)-1),MIN(D$23-EM!$B$16+39,EM!$AF$16-EM!$B$16)),0)
)/ROUND(D$11,0),NA()))</f>
        <v>2.4786228463300329E-2</v>
      </c>
      <c r="E27" s="2046">
        <f ca="1">IF(E$19=GPG!$A$28,IF(ROW(E27)-ROW(E$26)+1=MATCH(E$20,GPG!$A$5:$A$11,0),1,0),
IF(E$19=GPG!$A$29,
(IF(ROUND(E$11,0)&gt;=1,OFFSET(EM!$B$17,ROW($A27)-ROW($A$26)+(ROW(EM!$C$46)-ROW(EM!$C$14))*(MATCH(E$22,EM!$B$6:$B$9,0)-1),MIN(E$23-EM!$B$16,EM!$AF$16-EM!$B$16)),0)+
IF(ROUND(E$11,0)&gt;=2,OFFSET(EM!$B$17,ROW($A27)-ROW($A$26)+(ROW(EM!$C$46)-ROW(EM!$C$14))*(MATCH(E$22,EM!$B$6:$B$9,0)-1),MIN(E$23-EM!$B$16+1,EM!$AF$16-EM!$B$16)),0)+
IF(ROUND(E$11,0)&gt;=3,OFFSET(EM!$B$17,ROW($A27)-ROW($A$26)+(ROW(EM!$C$46)-ROW(EM!$C$14))*(MATCH(E$22,EM!$B$6:$B$9,0)-1),MIN(E$23-EM!$B$16+2,EM!$AF$16-EM!$B$16)),0)+
IF(ROUND(E$11,0)&gt;=4,OFFSET(EM!$B$17,ROW($A27)-ROW($A$26)+(ROW(EM!$C$46)-ROW(EM!$C$14))*(MATCH(E$22,EM!$B$6:$B$9,0)-1),MIN(E$23-EM!$B$16+3,EM!$AF$16-EM!$B$16)),0)+
IF(ROUND(E$11,0)&gt;=5,OFFSET(EM!$B$17,ROW($A27)-ROW($A$26)+(ROW(EM!$C$46)-ROW(EM!$C$14))*(MATCH(E$22,EM!$B$6:$B$9,0)-1),MIN(E$23-EM!$B$16+4,EM!$AF$16-EM!$B$16)),0)+
IF(ROUND(E$11,0)&gt;=6,OFFSET(EM!$B$17,ROW($A27)-ROW($A$26)+(ROW(EM!$C$46)-ROW(EM!$C$14))*(MATCH(E$22,EM!$B$6:$B$9,0)-1),MIN(E$23-EM!$B$16+5,EM!$AF$16-EM!$B$16)),0)+
IF(ROUND(E$11,0)&gt;=7,OFFSET(EM!$B$17,ROW($A27)-ROW($A$26)+(ROW(EM!$C$46)-ROW(EM!$C$14))*(MATCH(E$22,EM!$B$6:$B$9,0)-1),MIN(E$23-EM!$B$16+6,EM!$AF$16-EM!$B$16)),0)+
IF(ROUND(E$11,0)&gt;=8,OFFSET(EM!$B$17,ROW($A27)-ROW($A$26)+(ROW(EM!$C$46)-ROW(EM!$C$14))*(MATCH(E$22,EM!$B$6:$B$9,0)-1),MIN(E$23-EM!$B$16+7,EM!$AF$16-EM!$B$16)),0)+
IF(ROUND(E$11,0)&gt;=9,OFFSET(EM!$B$17,ROW($A27)-ROW($A$26)+(ROW(EM!$C$46)-ROW(EM!$C$14))*(MATCH(E$22,EM!$B$6:$B$9,0)-1),MIN(E$23-EM!$B$16+8,EM!$AF$16-EM!$B$16)),0)+
IF(ROUND(E$11,0)&gt;=10,OFFSET(EM!$B$17,ROW($A27)-ROW($A$26)+(ROW(EM!$C$46)-ROW(EM!$C$14))*(MATCH(E$22,EM!$B$6:$B$9,0)-1),MIN(E$23-EM!$B$16+9,EM!$AF$16-EM!$B$16)),0)+
IF(ROUND(E$11,0)&gt;=11,OFFSET(EM!$B$17,ROW($A27)-ROW($A$26)+(ROW(EM!$C$46)-ROW(EM!$C$14))*(MATCH(E$22,EM!$B$6:$B$9,0)-1),MIN(E$23-EM!$B$16+10,EM!$AF$16-EM!$B$16)),0)+
IF(ROUND(E$11,0)&gt;=12,OFFSET(EM!$B$17,ROW($A27)-ROW($A$26)+(ROW(EM!$C$46)-ROW(EM!$C$14))*(MATCH(E$22,EM!$B$6:$B$9,0)-1),MIN(E$23-EM!$B$16+11,EM!$AF$16-EM!$B$16)),0)+
IF(ROUND(E$11,0)&gt;=13,OFFSET(EM!$B$17,ROW($A27)-ROW($A$26)+(ROW(EM!$C$46)-ROW(EM!$C$14))*(MATCH(E$22,EM!$B$6:$B$9,0)-1),MIN(E$23-EM!$B$16+12,EM!$AF$16-EM!$B$16)),0)+
IF(ROUND(E$11,0)&gt;=14,OFFSET(EM!$B$17,ROW($A27)-ROW($A$26)+(ROW(EM!$C$46)-ROW(EM!$C$14))*(MATCH(E$22,EM!$B$6:$B$9,0)-1),MIN(E$23-EM!$B$16+13,EM!$AF$16-EM!$B$16)),0)+
IF(ROUND(E$11,0)&gt;=15,OFFSET(EM!$B$17,ROW($A27)-ROW($A$26)+(ROW(EM!$C$46)-ROW(EM!$C$14))*(MATCH(E$22,EM!$B$6:$B$9,0)-1),MIN(E$23-EM!$B$16+14,EM!$AF$16-EM!$B$16)),0)+
IF(ROUND(E$11,0)&gt;=16,OFFSET(EM!$B$17,ROW($A27)-ROW($A$26)+(ROW(EM!$C$46)-ROW(EM!$C$14))*(MATCH(E$22,EM!$B$6:$B$9,0)-1),MIN(E$23-EM!$B$16+15,EM!$AF$16-EM!$B$16)),0)+
IF(ROUND(E$11,0)&gt;=17,OFFSET(EM!$B$17,ROW($A27)-ROW($A$26)+(ROW(EM!$C$46)-ROW(EM!$C$14))*(MATCH(E$22,EM!$B$6:$B$9,0)-1),MIN(E$23-EM!$B$16+16,EM!$AF$16-EM!$B$16)),0)+
IF(ROUND(E$11,0)&gt;=18,OFFSET(EM!$B$17,ROW($A27)-ROW($A$26)+(ROW(EM!$C$46)-ROW(EM!$C$14))*(MATCH(E$22,EM!$B$6:$B$9,0)-1),MIN(E$23-EM!$B$16+17,EM!$AF$16-EM!$B$16)),0)+
IF(ROUND(E$11,0)&gt;=19,OFFSET(EM!$B$17,ROW($A27)-ROW($A$26)+(ROW(EM!$C$46)-ROW(EM!$C$14))*(MATCH(E$22,EM!$B$6:$B$9,0)-1),MIN(E$23-EM!$B$16+18,EM!$AF$16-EM!$B$16)),0)+
IF(ROUND(E$11,0)&gt;=20,OFFSET(EM!$B$17,ROW($A27)-ROW($A$26)+(ROW(EM!$C$46)-ROW(EM!$C$14))*(MATCH(E$22,EM!$B$6:$B$9,0)-1),MIN(E$23-EM!$B$16+19,EM!$AF$16-EM!$B$16)),0)+
IF(ROUND(E$11,0)&gt;=21,OFFSET(EM!$B$17,ROW($A27)-ROW($A$26)+(ROW(EM!$C$46)-ROW(EM!$C$14))*(MATCH(E$22,EM!$B$6:$B$9,0)-1),MIN(E$23-EM!$B$16+20,EM!$AF$16-EM!$B$16)),0)+
IF(ROUND(E$11,0)&gt;=22,OFFSET(EM!$B$17,ROW($A27)-ROW($A$26)+(ROW(EM!$C$46)-ROW(EM!$C$14))*(MATCH(E$22,EM!$B$6:$B$9,0)-1),MIN(E$23-EM!$B$16+21,EM!$AF$16-EM!$B$16)),0)+
IF(ROUND(E$11,0)&gt;=23,OFFSET(EM!$B$17,ROW($A27)-ROW($A$26)+(ROW(EM!$C$46)-ROW(EM!$C$14))*(MATCH(E$22,EM!$B$6:$B$9,0)-1),MIN(E$23-EM!$B$16+22,EM!$AF$16-EM!$B$16)),0)+
IF(ROUND(E$11,0)&gt;=24,OFFSET(EM!$B$17,ROW($A27)-ROW($A$26)+(ROW(EM!$C$46)-ROW(EM!$C$14))*(MATCH(E$22,EM!$B$6:$B$9,0)-1),MIN(E$23-EM!$B$16+23,EM!$AF$16-EM!$B$16)),0)+
IF(ROUND(E$11,0)&gt;=25,OFFSET(EM!$B$17,ROW($A27)-ROW($A$26)+(ROW(EM!$C$46)-ROW(EM!$C$14))*(MATCH(E$22,EM!$B$6:$B$9,0)-1),MIN(E$23-EM!$B$16+24,EM!$AF$16-EM!$B$16)),0)+
IF(ROUND(E$11,0)&gt;=26,OFFSET(EM!$B$17,ROW($A27)-ROW($A$26)+(ROW(EM!$C$46)-ROW(EM!$C$14))*(MATCH(E$22,EM!$B$6:$B$9,0)-1),MIN(E$23-EM!$B$16+25,EM!$AF$16-EM!$B$16)),0)+
IF(ROUND(E$11,0)&gt;=27,OFFSET(EM!$B$17,ROW($A27)-ROW($A$26)+(ROW(EM!$C$46)-ROW(EM!$C$14))*(MATCH(E$22,EM!$B$6:$B$9,0)-1),MIN(E$23-EM!$B$16+26,EM!$AF$16-EM!$B$16)),0)+
IF(ROUND(E$11,0)&gt;=28,OFFSET(EM!$B$17,ROW($A27)-ROW($A$26)+(ROW(EM!$C$46)-ROW(EM!$C$14))*(MATCH(E$22,EM!$B$6:$B$9,0)-1),MIN(E$23-EM!$B$16+27,EM!$AF$16-EM!$B$16)),0)+
IF(ROUND(E$11,0)&gt;=29,OFFSET(EM!$B$17,ROW($A27)-ROW($A$26)+(ROW(EM!$C$46)-ROW(EM!$C$14))*(MATCH(E$22,EM!$B$6:$B$9,0)-1),MIN(E$23-EM!$B$16+28,EM!$AF$16-EM!$B$16)),0)+
IF(ROUND(E$11,0)&gt;=30,OFFSET(EM!$B$17,ROW($A27)-ROW($A$26)+(ROW(EM!$C$46)-ROW(EM!$C$14))*(MATCH(E$22,EM!$B$6:$B$9,0)-1),MIN(E$23-EM!$B$16+29,EM!$AF$16-EM!$B$16)),0)+
IF(ROUND(E$11,0)&gt;=31,OFFSET(EM!$B$17,ROW($A27)-ROW($A$26)+(ROW(EM!$C$46)-ROW(EM!$C$14))*(MATCH(E$22,EM!$B$6:$B$9,0)-1),MIN(E$23-EM!$B$16+30,EM!$AF$16-EM!$B$16)),0)+
IF(ROUND(E$11,0)&gt;=32,OFFSET(EM!$B$17,ROW($A27)-ROW($A$26)+(ROW(EM!$C$46)-ROW(EM!$C$14))*(MATCH(E$22,EM!$B$6:$B$9,0)-1),MIN(E$23-EM!$B$16+31,EM!$AF$16-EM!$B$16)),0)+
IF(ROUND(E$11,0)&gt;=33,OFFSET(EM!$B$17,ROW($A27)-ROW($A$26)+(ROW(EM!$C$46)-ROW(EM!$C$14))*(MATCH(E$22,EM!$B$6:$B$9,0)-1),MIN(E$23-EM!$B$16+32,EM!$AF$16-EM!$B$16)),0)+
IF(ROUND(E$11,0)&gt;=34,OFFSET(EM!$B$17,ROW($A27)-ROW($A$26)+(ROW(EM!$C$46)-ROW(EM!$C$14))*(MATCH(E$22,EM!$B$6:$B$9,0)-1),MIN(E$23-EM!$B$16+33,EM!$AF$16-EM!$B$16)),0)+
IF(ROUND(E$11,0)&gt;=35,OFFSET(EM!$B$17,ROW($A27)-ROW($A$26)+(ROW(EM!$C$46)-ROW(EM!$C$14))*(MATCH(E$22,EM!$B$6:$B$9,0)-1),MIN(E$23-EM!$B$16+34,EM!$AF$16-EM!$B$16)),0)+
IF(ROUND(E$11,0)&gt;=36,OFFSET(EM!$B$17,ROW($A27)-ROW($A$26)+(ROW(EM!$C$46)-ROW(EM!$C$14))*(MATCH(E$22,EM!$B$6:$B$9,0)-1),MIN(E$23-EM!$B$16+35,EM!$AF$16-EM!$B$16)),0)+
IF(ROUND(E$11,0)&gt;=37,OFFSET(EM!$B$17,ROW($A27)-ROW($A$26)+(ROW(EM!$C$46)-ROW(EM!$C$14))*(MATCH(E$22,EM!$B$6:$B$9,0)-1),MIN(E$23-EM!$B$16+36,EM!$AF$16-EM!$B$16)),0)+
IF(ROUND(E$11,0)&gt;=38,OFFSET(EM!$B$17,ROW($A27)-ROW($A$26)+(ROW(EM!$C$46)-ROW(EM!$C$14))*(MATCH(E$22,EM!$B$6:$B$9,0)-1),MIN(E$23-EM!$B$16+37,EM!$AF$16-EM!$B$16)),0)+
IF(ROUND(E$11,0)&gt;=39,OFFSET(EM!$B$17,ROW($A27)-ROW($A$26)+(ROW(EM!$C$46)-ROW(EM!$C$14))*(MATCH(E$22,EM!$B$6:$B$9,0)-1),MIN(E$23-EM!$B$16+38,EM!$AF$16-EM!$B$16)),0)+
IF(ROUND(E$11,0)&gt;=40,OFFSET(EM!$B$17,ROW($A27)-ROW($A$26)+(ROW(EM!$C$46)-ROW(EM!$C$14))*(MATCH(E$22,EM!$B$6:$B$9,0)-1),MIN(E$23-EM!$B$16+39,EM!$AF$16-EM!$B$16)),0)
)/ROUND(E$11,0),NA()))</f>
        <v>1.6374028134476214E-2</v>
      </c>
      <c r="F27" s="2046">
        <f ca="1">IF(F$19=GPG!$A$28,IF(ROW(F27)-ROW(F$26)+1=MATCH(F$20,GPG!$A$5:$A$11,0),1,0),
IF(F$19=GPG!$A$29,
(IF(ROUND(F$11,0)&gt;=1,OFFSET(EM!$B$17,ROW($A27)-ROW($A$26)+(ROW(EM!$C$46)-ROW(EM!$C$14))*(MATCH(F$22,EM!$B$6:$B$9,0)-1),MIN(F$23-EM!$B$16,EM!$AF$16-EM!$B$16)),0)+
IF(ROUND(F$11,0)&gt;=2,OFFSET(EM!$B$17,ROW($A27)-ROW($A$26)+(ROW(EM!$C$46)-ROW(EM!$C$14))*(MATCH(F$22,EM!$B$6:$B$9,0)-1),MIN(F$23-EM!$B$16+1,EM!$AF$16-EM!$B$16)),0)+
IF(ROUND(F$11,0)&gt;=3,OFFSET(EM!$B$17,ROW($A27)-ROW($A$26)+(ROW(EM!$C$46)-ROW(EM!$C$14))*(MATCH(F$22,EM!$B$6:$B$9,0)-1),MIN(F$23-EM!$B$16+2,EM!$AF$16-EM!$B$16)),0)+
IF(ROUND(F$11,0)&gt;=4,OFFSET(EM!$B$17,ROW($A27)-ROW($A$26)+(ROW(EM!$C$46)-ROW(EM!$C$14))*(MATCH(F$22,EM!$B$6:$B$9,0)-1),MIN(F$23-EM!$B$16+3,EM!$AF$16-EM!$B$16)),0)+
IF(ROUND(F$11,0)&gt;=5,OFFSET(EM!$B$17,ROW($A27)-ROW($A$26)+(ROW(EM!$C$46)-ROW(EM!$C$14))*(MATCH(F$22,EM!$B$6:$B$9,0)-1),MIN(F$23-EM!$B$16+4,EM!$AF$16-EM!$B$16)),0)+
IF(ROUND(F$11,0)&gt;=6,OFFSET(EM!$B$17,ROW($A27)-ROW($A$26)+(ROW(EM!$C$46)-ROW(EM!$C$14))*(MATCH(F$22,EM!$B$6:$B$9,0)-1),MIN(F$23-EM!$B$16+5,EM!$AF$16-EM!$B$16)),0)+
IF(ROUND(F$11,0)&gt;=7,OFFSET(EM!$B$17,ROW($A27)-ROW($A$26)+(ROW(EM!$C$46)-ROW(EM!$C$14))*(MATCH(F$22,EM!$B$6:$B$9,0)-1),MIN(F$23-EM!$B$16+6,EM!$AF$16-EM!$B$16)),0)+
IF(ROUND(F$11,0)&gt;=8,OFFSET(EM!$B$17,ROW($A27)-ROW($A$26)+(ROW(EM!$C$46)-ROW(EM!$C$14))*(MATCH(F$22,EM!$B$6:$B$9,0)-1),MIN(F$23-EM!$B$16+7,EM!$AF$16-EM!$B$16)),0)+
IF(ROUND(F$11,0)&gt;=9,OFFSET(EM!$B$17,ROW($A27)-ROW($A$26)+(ROW(EM!$C$46)-ROW(EM!$C$14))*(MATCH(F$22,EM!$B$6:$B$9,0)-1),MIN(F$23-EM!$B$16+8,EM!$AF$16-EM!$B$16)),0)+
IF(ROUND(F$11,0)&gt;=10,OFFSET(EM!$B$17,ROW($A27)-ROW($A$26)+(ROW(EM!$C$46)-ROW(EM!$C$14))*(MATCH(F$22,EM!$B$6:$B$9,0)-1),MIN(F$23-EM!$B$16+9,EM!$AF$16-EM!$B$16)),0)+
IF(ROUND(F$11,0)&gt;=11,OFFSET(EM!$B$17,ROW($A27)-ROW($A$26)+(ROW(EM!$C$46)-ROW(EM!$C$14))*(MATCH(F$22,EM!$B$6:$B$9,0)-1),MIN(F$23-EM!$B$16+10,EM!$AF$16-EM!$B$16)),0)+
IF(ROUND(F$11,0)&gt;=12,OFFSET(EM!$B$17,ROW($A27)-ROW($A$26)+(ROW(EM!$C$46)-ROW(EM!$C$14))*(MATCH(F$22,EM!$B$6:$B$9,0)-1),MIN(F$23-EM!$B$16+11,EM!$AF$16-EM!$B$16)),0)+
IF(ROUND(F$11,0)&gt;=13,OFFSET(EM!$B$17,ROW($A27)-ROW($A$26)+(ROW(EM!$C$46)-ROW(EM!$C$14))*(MATCH(F$22,EM!$B$6:$B$9,0)-1),MIN(F$23-EM!$B$16+12,EM!$AF$16-EM!$B$16)),0)+
IF(ROUND(F$11,0)&gt;=14,OFFSET(EM!$B$17,ROW($A27)-ROW($A$26)+(ROW(EM!$C$46)-ROW(EM!$C$14))*(MATCH(F$22,EM!$B$6:$B$9,0)-1),MIN(F$23-EM!$B$16+13,EM!$AF$16-EM!$B$16)),0)+
IF(ROUND(F$11,0)&gt;=15,OFFSET(EM!$B$17,ROW($A27)-ROW($A$26)+(ROW(EM!$C$46)-ROW(EM!$C$14))*(MATCH(F$22,EM!$B$6:$B$9,0)-1),MIN(F$23-EM!$B$16+14,EM!$AF$16-EM!$B$16)),0)+
IF(ROUND(F$11,0)&gt;=16,OFFSET(EM!$B$17,ROW($A27)-ROW($A$26)+(ROW(EM!$C$46)-ROW(EM!$C$14))*(MATCH(F$22,EM!$B$6:$B$9,0)-1),MIN(F$23-EM!$B$16+15,EM!$AF$16-EM!$B$16)),0)+
IF(ROUND(F$11,0)&gt;=17,OFFSET(EM!$B$17,ROW($A27)-ROW($A$26)+(ROW(EM!$C$46)-ROW(EM!$C$14))*(MATCH(F$22,EM!$B$6:$B$9,0)-1),MIN(F$23-EM!$B$16+16,EM!$AF$16-EM!$B$16)),0)+
IF(ROUND(F$11,0)&gt;=18,OFFSET(EM!$B$17,ROW($A27)-ROW($A$26)+(ROW(EM!$C$46)-ROW(EM!$C$14))*(MATCH(F$22,EM!$B$6:$B$9,0)-1),MIN(F$23-EM!$B$16+17,EM!$AF$16-EM!$B$16)),0)+
IF(ROUND(F$11,0)&gt;=19,OFFSET(EM!$B$17,ROW($A27)-ROW($A$26)+(ROW(EM!$C$46)-ROW(EM!$C$14))*(MATCH(F$22,EM!$B$6:$B$9,0)-1),MIN(F$23-EM!$B$16+18,EM!$AF$16-EM!$B$16)),0)+
IF(ROUND(F$11,0)&gt;=20,OFFSET(EM!$B$17,ROW($A27)-ROW($A$26)+(ROW(EM!$C$46)-ROW(EM!$C$14))*(MATCH(F$22,EM!$B$6:$B$9,0)-1),MIN(F$23-EM!$B$16+19,EM!$AF$16-EM!$B$16)),0)+
IF(ROUND(F$11,0)&gt;=21,OFFSET(EM!$B$17,ROW($A27)-ROW($A$26)+(ROW(EM!$C$46)-ROW(EM!$C$14))*(MATCH(F$22,EM!$B$6:$B$9,0)-1),MIN(F$23-EM!$B$16+20,EM!$AF$16-EM!$B$16)),0)+
IF(ROUND(F$11,0)&gt;=22,OFFSET(EM!$B$17,ROW($A27)-ROW($A$26)+(ROW(EM!$C$46)-ROW(EM!$C$14))*(MATCH(F$22,EM!$B$6:$B$9,0)-1),MIN(F$23-EM!$B$16+21,EM!$AF$16-EM!$B$16)),0)+
IF(ROUND(F$11,0)&gt;=23,OFFSET(EM!$B$17,ROW($A27)-ROW($A$26)+(ROW(EM!$C$46)-ROW(EM!$C$14))*(MATCH(F$22,EM!$B$6:$B$9,0)-1),MIN(F$23-EM!$B$16+22,EM!$AF$16-EM!$B$16)),0)+
IF(ROUND(F$11,0)&gt;=24,OFFSET(EM!$B$17,ROW($A27)-ROW($A$26)+(ROW(EM!$C$46)-ROW(EM!$C$14))*(MATCH(F$22,EM!$B$6:$B$9,0)-1),MIN(F$23-EM!$B$16+23,EM!$AF$16-EM!$B$16)),0)+
IF(ROUND(F$11,0)&gt;=25,OFFSET(EM!$B$17,ROW($A27)-ROW($A$26)+(ROW(EM!$C$46)-ROW(EM!$C$14))*(MATCH(F$22,EM!$B$6:$B$9,0)-1),MIN(F$23-EM!$B$16+24,EM!$AF$16-EM!$B$16)),0)+
IF(ROUND(F$11,0)&gt;=26,OFFSET(EM!$B$17,ROW($A27)-ROW($A$26)+(ROW(EM!$C$46)-ROW(EM!$C$14))*(MATCH(F$22,EM!$B$6:$B$9,0)-1),MIN(F$23-EM!$B$16+25,EM!$AF$16-EM!$B$16)),0)+
IF(ROUND(F$11,0)&gt;=27,OFFSET(EM!$B$17,ROW($A27)-ROW($A$26)+(ROW(EM!$C$46)-ROW(EM!$C$14))*(MATCH(F$22,EM!$B$6:$B$9,0)-1),MIN(F$23-EM!$B$16+26,EM!$AF$16-EM!$B$16)),0)+
IF(ROUND(F$11,0)&gt;=28,OFFSET(EM!$B$17,ROW($A27)-ROW($A$26)+(ROW(EM!$C$46)-ROW(EM!$C$14))*(MATCH(F$22,EM!$B$6:$B$9,0)-1),MIN(F$23-EM!$B$16+27,EM!$AF$16-EM!$B$16)),0)+
IF(ROUND(F$11,0)&gt;=29,OFFSET(EM!$B$17,ROW($A27)-ROW($A$26)+(ROW(EM!$C$46)-ROW(EM!$C$14))*(MATCH(F$22,EM!$B$6:$B$9,0)-1),MIN(F$23-EM!$B$16+28,EM!$AF$16-EM!$B$16)),0)+
IF(ROUND(F$11,0)&gt;=30,OFFSET(EM!$B$17,ROW($A27)-ROW($A$26)+(ROW(EM!$C$46)-ROW(EM!$C$14))*(MATCH(F$22,EM!$B$6:$B$9,0)-1),MIN(F$23-EM!$B$16+29,EM!$AF$16-EM!$B$16)),0)+
IF(ROUND(F$11,0)&gt;=31,OFFSET(EM!$B$17,ROW($A27)-ROW($A$26)+(ROW(EM!$C$46)-ROW(EM!$C$14))*(MATCH(F$22,EM!$B$6:$B$9,0)-1),MIN(F$23-EM!$B$16+30,EM!$AF$16-EM!$B$16)),0)+
IF(ROUND(F$11,0)&gt;=32,OFFSET(EM!$B$17,ROW($A27)-ROW($A$26)+(ROW(EM!$C$46)-ROW(EM!$C$14))*(MATCH(F$22,EM!$B$6:$B$9,0)-1),MIN(F$23-EM!$B$16+31,EM!$AF$16-EM!$B$16)),0)+
IF(ROUND(F$11,0)&gt;=33,OFFSET(EM!$B$17,ROW($A27)-ROW($A$26)+(ROW(EM!$C$46)-ROW(EM!$C$14))*(MATCH(F$22,EM!$B$6:$B$9,0)-1),MIN(F$23-EM!$B$16+32,EM!$AF$16-EM!$B$16)),0)+
IF(ROUND(F$11,0)&gt;=34,OFFSET(EM!$B$17,ROW($A27)-ROW($A$26)+(ROW(EM!$C$46)-ROW(EM!$C$14))*(MATCH(F$22,EM!$B$6:$B$9,0)-1),MIN(F$23-EM!$B$16+33,EM!$AF$16-EM!$B$16)),0)+
IF(ROUND(F$11,0)&gt;=35,OFFSET(EM!$B$17,ROW($A27)-ROW($A$26)+(ROW(EM!$C$46)-ROW(EM!$C$14))*(MATCH(F$22,EM!$B$6:$B$9,0)-1),MIN(F$23-EM!$B$16+34,EM!$AF$16-EM!$B$16)),0)+
IF(ROUND(F$11,0)&gt;=36,OFFSET(EM!$B$17,ROW($A27)-ROW($A$26)+(ROW(EM!$C$46)-ROW(EM!$C$14))*(MATCH(F$22,EM!$B$6:$B$9,0)-1),MIN(F$23-EM!$B$16+35,EM!$AF$16-EM!$B$16)),0)+
IF(ROUND(F$11,0)&gt;=37,OFFSET(EM!$B$17,ROW($A27)-ROW($A$26)+(ROW(EM!$C$46)-ROW(EM!$C$14))*(MATCH(F$22,EM!$B$6:$B$9,0)-1),MIN(F$23-EM!$B$16+36,EM!$AF$16-EM!$B$16)),0)+
IF(ROUND(F$11,0)&gt;=38,OFFSET(EM!$B$17,ROW($A27)-ROW($A$26)+(ROW(EM!$C$46)-ROW(EM!$C$14))*(MATCH(F$22,EM!$B$6:$B$9,0)-1),MIN(F$23-EM!$B$16+37,EM!$AF$16-EM!$B$16)),0)+
IF(ROUND(F$11,0)&gt;=39,OFFSET(EM!$B$17,ROW($A27)-ROW($A$26)+(ROW(EM!$C$46)-ROW(EM!$C$14))*(MATCH(F$22,EM!$B$6:$B$9,0)-1),MIN(F$23-EM!$B$16+38,EM!$AF$16-EM!$B$16)),0)+
IF(ROUND(F$11,0)&gt;=40,OFFSET(EM!$B$17,ROW($A27)-ROW($A$26)+(ROW(EM!$C$46)-ROW(EM!$C$14))*(MATCH(F$22,EM!$B$6:$B$9,0)-1),MIN(F$23-EM!$B$16+39,EM!$AF$16-EM!$B$16)),0)
)/ROUND(F$11,0),NA()))</f>
        <v>2.4786228463300329E-2</v>
      </c>
      <c r="G27" s="2046">
        <f ca="1">IF(G$19=GPG!$A$28,IF(ROW(G27)-ROW(G$26)+1=MATCH(G$20,GPG!$A$5:$A$11,0),1,0),
IF(G$19=GPG!$A$29,
(IF(ROUND(G$11,0)&gt;=1,OFFSET(EM!$B$17,ROW($A27)-ROW($A$26)+(ROW(EM!$C$46)-ROW(EM!$C$14))*(MATCH(G$22,EM!$B$6:$B$9,0)-1),MIN(G$23-EM!$B$16,EM!$AF$16-EM!$B$16)),0)+
IF(ROUND(G$11,0)&gt;=2,OFFSET(EM!$B$17,ROW($A27)-ROW($A$26)+(ROW(EM!$C$46)-ROW(EM!$C$14))*(MATCH(G$22,EM!$B$6:$B$9,0)-1),MIN(G$23-EM!$B$16+1,EM!$AF$16-EM!$B$16)),0)+
IF(ROUND(G$11,0)&gt;=3,OFFSET(EM!$B$17,ROW($A27)-ROW($A$26)+(ROW(EM!$C$46)-ROW(EM!$C$14))*(MATCH(G$22,EM!$B$6:$B$9,0)-1),MIN(G$23-EM!$B$16+2,EM!$AF$16-EM!$B$16)),0)+
IF(ROUND(G$11,0)&gt;=4,OFFSET(EM!$B$17,ROW($A27)-ROW($A$26)+(ROW(EM!$C$46)-ROW(EM!$C$14))*(MATCH(G$22,EM!$B$6:$B$9,0)-1),MIN(G$23-EM!$B$16+3,EM!$AF$16-EM!$B$16)),0)+
IF(ROUND(G$11,0)&gt;=5,OFFSET(EM!$B$17,ROW($A27)-ROW($A$26)+(ROW(EM!$C$46)-ROW(EM!$C$14))*(MATCH(G$22,EM!$B$6:$B$9,0)-1),MIN(G$23-EM!$B$16+4,EM!$AF$16-EM!$B$16)),0)+
IF(ROUND(G$11,0)&gt;=6,OFFSET(EM!$B$17,ROW($A27)-ROW($A$26)+(ROW(EM!$C$46)-ROW(EM!$C$14))*(MATCH(G$22,EM!$B$6:$B$9,0)-1),MIN(G$23-EM!$B$16+5,EM!$AF$16-EM!$B$16)),0)+
IF(ROUND(G$11,0)&gt;=7,OFFSET(EM!$B$17,ROW($A27)-ROW($A$26)+(ROW(EM!$C$46)-ROW(EM!$C$14))*(MATCH(G$22,EM!$B$6:$B$9,0)-1),MIN(G$23-EM!$B$16+6,EM!$AF$16-EM!$B$16)),0)+
IF(ROUND(G$11,0)&gt;=8,OFFSET(EM!$B$17,ROW($A27)-ROW($A$26)+(ROW(EM!$C$46)-ROW(EM!$C$14))*(MATCH(G$22,EM!$B$6:$B$9,0)-1),MIN(G$23-EM!$B$16+7,EM!$AF$16-EM!$B$16)),0)+
IF(ROUND(G$11,0)&gt;=9,OFFSET(EM!$B$17,ROW($A27)-ROW($A$26)+(ROW(EM!$C$46)-ROW(EM!$C$14))*(MATCH(G$22,EM!$B$6:$B$9,0)-1),MIN(G$23-EM!$B$16+8,EM!$AF$16-EM!$B$16)),0)+
IF(ROUND(G$11,0)&gt;=10,OFFSET(EM!$B$17,ROW($A27)-ROW($A$26)+(ROW(EM!$C$46)-ROW(EM!$C$14))*(MATCH(G$22,EM!$B$6:$B$9,0)-1),MIN(G$23-EM!$B$16+9,EM!$AF$16-EM!$B$16)),0)+
IF(ROUND(G$11,0)&gt;=11,OFFSET(EM!$B$17,ROW($A27)-ROW($A$26)+(ROW(EM!$C$46)-ROW(EM!$C$14))*(MATCH(G$22,EM!$B$6:$B$9,0)-1),MIN(G$23-EM!$B$16+10,EM!$AF$16-EM!$B$16)),0)+
IF(ROUND(G$11,0)&gt;=12,OFFSET(EM!$B$17,ROW($A27)-ROW($A$26)+(ROW(EM!$C$46)-ROW(EM!$C$14))*(MATCH(G$22,EM!$B$6:$B$9,0)-1),MIN(G$23-EM!$B$16+11,EM!$AF$16-EM!$B$16)),0)+
IF(ROUND(G$11,0)&gt;=13,OFFSET(EM!$B$17,ROW($A27)-ROW($A$26)+(ROW(EM!$C$46)-ROW(EM!$C$14))*(MATCH(G$22,EM!$B$6:$B$9,0)-1),MIN(G$23-EM!$B$16+12,EM!$AF$16-EM!$B$16)),0)+
IF(ROUND(G$11,0)&gt;=14,OFFSET(EM!$B$17,ROW($A27)-ROW($A$26)+(ROW(EM!$C$46)-ROW(EM!$C$14))*(MATCH(G$22,EM!$B$6:$B$9,0)-1),MIN(G$23-EM!$B$16+13,EM!$AF$16-EM!$B$16)),0)+
IF(ROUND(G$11,0)&gt;=15,OFFSET(EM!$B$17,ROW($A27)-ROW($A$26)+(ROW(EM!$C$46)-ROW(EM!$C$14))*(MATCH(G$22,EM!$B$6:$B$9,0)-1),MIN(G$23-EM!$B$16+14,EM!$AF$16-EM!$B$16)),0)+
IF(ROUND(G$11,0)&gt;=16,OFFSET(EM!$B$17,ROW($A27)-ROW($A$26)+(ROW(EM!$C$46)-ROW(EM!$C$14))*(MATCH(G$22,EM!$B$6:$B$9,0)-1),MIN(G$23-EM!$B$16+15,EM!$AF$16-EM!$B$16)),0)+
IF(ROUND(G$11,0)&gt;=17,OFFSET(EM!$B$17,ROW($A27)-ROW($A$26)+(ROW(EM!$C$46)-ROW(EM!$C$14))*(MATCH(G$22,EM!$B$6:$B$9,0)-1),MIN(G$23-EM!$B$16+16,EM!$AF$16-EM!$B$16)),0)+
IF(ROUND(G$11,0)&gt;=18,OFFSET(EM!$B$17,ROW($A27)-ROW($A$26)+(ROW(EM!$C$46)-ROW(EM!$C$14))*(MATCH(G$22,EM!$B$6:$B$9,0)-1),MIN(G$23-EM!$B$16+17,EM!$AF$16-EM!$B$16)),0)+
IF(ROUND(G$11,0)&gt;=19,OFFSET(EM!$B$17,ROW($A27)-ROW($A$26)+(ROW(EM!$C$46)-ROW(EM!$C$14))*(MATCH(G$22,EM!$B$6:$B$9,0)-1),MIN(G$23-EM!$B$16+18,EM!$AF$16-EM!$B$16)),0)+
IF(ROUND(G$11,0)&gt;=20,OFFSET(EM!$B$17,ROW($A27)-ROW($A$26)+(ROW(EM!$C$46)-ROW(EM!$C$14))*(MATCH(G$22,EM!$B$6:$B$9,0)-1),MIN(G$23-EM!$B$16+19,EM!$AF$16-EM!$B$16)),0)+
IF(ROUND(G$11,0)&gt;=21,OFFSET(EM!$B$17,ROW($A27)-ROW($A$26)+(ROW(EM!$C$46)-ROW(EM!$C$14))*(MATCH(G$22,EM!$B$6:$B$9,0)-1),MIN(G$23-EM!$B$16+20,EM!$AF$16-EM!$B$16)),0)+
IF(ROUND(G$11,0)&gt;=22,OFFSET(EM!$B$17,ROW($A27)-ROW($A$26)+(ROW(EM!$C$46)-ROW(EM!$C$14))*(MATCH(G$22,EM!$B$6:$B$9,0)-1),MIN(G$23-EM!$B$16+21,EM!$AF$16-EM!$B$16)),0)+
IF(ROUND(G$11,0)&gt;=23,OFFSET(EM!$B$17,ROW($A27)-ROW($A$26)+(ROW(EM!$C$46)-ROW(EM!$C$14))*(MATCH(G$22,EM!$B$6:$B$9,0)-1),MIN(G$23-EM!$B$16+22,EM!$AF$16-EM!$B$16)),0)+
IF(ROUND(G$11,0)&gt;=24,OFFSET(EM!$B$17,ROW($A27)-ROW($A$26)+(ROW(EM!$C$46)-ROW(EM!$C$14))*(MATCH(G$22,EM!$B$6:$B$9,0)-1),MIN(G$23-EM!$B$16+23,EM!$AF$16-EM!$B$16)),0)+
IF(ROUND(G$11,0)&gt;=25,OFFSET(EM!$B$17,ROW($A27)-ROW($A$26)+(ROW(EM!$C$46)-ROW(EM!$C$14))*(MATCH(G$22,EM!$B$6:$B$9,0)-1),MIN(G$23-EM!$B$16+24,EM!$AF$16-EM!$B$16)),0)+
IF(ROUND(G$11,0)&gt;=26,OFFSET(EM!$B$17,ROW($A27)-ROW($A$26)+(ROW(EM!$C$46)-ROW(EM!$C$14))*(MATCH(G$22,EM!$B$6:$B$9,0)-1),MIN(G$23-EM!$B$16+25,EM!$AF$16-EM!$B$16)),0)+
IF(ROUND(G$11,0)&gt;=27,OFFSET(EM!$B$17,ROW($A27)-ROW($A$26)+(ROW(EM!$C$46)-ROW(EM!$C$14))*(MATCH(G$22,EM!$B$6:$B$9,0)-1),MIN(G$23-EM!$B$16+26,EM!$AF$16-EM!$B$16)),0)+
IF(ROUND(G$11,0)&gt;=28,OFFSET(EM!$B$17,ROW($A27)-ROW($A$26)+(ROW(EM!$C$46)-ROW(EM!$C$14))*(MATCH(G$22,EM!$B$6:$B$9,0)-1),MIN(G$23-EM!$B$16+27,EM!$AF$16-EM!$B$16)),0)+
IF(ROUND(G$11,0)&gt;=29,OFFSET(EM!$B$17,ROW($A27)-ROW($A$26)+(ROW(EM!$C$46)-ROW(EM!$C$14))*(MATCH(G$22,EM!$B$6:$B$9,0)-1),MIN(G$23-EM!$B$16+28,EM!$AF$16-EM!$B$16)),0)+
IF(ROUND(G$11,0)&gt;=30,OFFSET(EM!$B$17,ROW($A27)-ROW($A$26)+(ROW(EM!$C$46)-ROW(EM!$C$14))*(MATCH(G$22,EM!$B$6:$B$9,0)-1),MIN(G$23-EM!$B$16+29,EM!$AF$16-EM!$B$16)),0)+
IF(ROUND(G$11,0)&gt;=31,OFFSET(EM!$B$17,ROW($A27)-ROW($A$26)+(ROW(EM!$C$46)-ROW(EM!$C$14))*(MATCH(G$22,EM!$B$6:$B$9,0)-1),MIN(G$23-EM!$B$16+30,EM!$AF$16-EM!$B$16)),0)+
IF(ROUND(G$11,0)&gt;=32,OFFSET(EM!$B$17,ROW($A27)-ROW($A$26)+(ROW(EM!$C$46)-ROW(EM!$C$14))*(MATCH(G$22,EM!$B$6:$B$9,0)-1),MIN(G$23-EM!$B$16+31,EM!$AF$16-EM!$B$16)),0)+
IF(ROUND(G$11,0)&gt;=33,OFFSET(EM!$B$17,ROW($A27)-ROW($A$26)+(ROW(EM!$C$46)-ROW(EM!$C$14))*(MATCH(G$22,EM!$B$6:$B$9,0)-1),MIN(G$23-EM!$B$16+32,EM!$AF$16-EM!$B$16)),0)+
IF(ROUND(G$11,0)&gt;=34,OFFSET(EM!$B$17,ROW($A27)-ROW($A$26)+(ROW(EM!$C$46)-ROW(EM!$C$14))*(MATCH(G$22,EM!$B$6:$B$9,0)-1),MIN(G$23-EM!$B$16+33,EM!$AF$16-EM!$B$16)),0)+
IF(ROUND(G$11,0)&gt;=35,OFFSET(EM!$B$17,ROW($A27)-ROW($A$26)+(ROW(EM!$C$46)-ROW(EM!$C$14))*(MATCH(G$22,EM!$B$6:$B$9,0)-1),MIN(G$23-EM!$B$16+34,EM!$AF$16-EM!$B$16)),0)+
IF(ROUND(G$11,0)&gt;=36,OFFSET(EM!$B$17,ROW($A27)-ROW($A$26)+(ROW(EM!$C$46)-ROW(EM!$C$14))*(MATCH(G$22,EM!$B$6:$B$9,0)-1),MIN(G$23-EM!$B$16+35,EM!$AF$16-EM!$B$16)),0)+
IF(ROUND(G$11,0)&gt;=37,OFFSET(EM!$B$17,ROW($A27)-ROW($A$26)+(ROW(EM!$C$46)-ROW(EM!$C$14))*(MATCH(G$22,EM!$B$6:$B$9,0)-1),MIN(G$23-EM!$B$16+36,EM!$AF$16-EM!$B$16)),0)+
IF(ROUND(G$11,0)&gt;=38,OFFSET(EM!$B$17,ROW($A27)-ROW($A$26)+(ROW(EM!$C$46)-ROW(EM!$C$14))*(MATCH(G$22,EM!$B$6:$B$9,0)-1),MIN(G$23-EM!$B$16+37,EM!$AF$16-EM!$B$16)),0)+
IF(ROUND(G$11,0)&gt;=39,OFFSET(EM!$B$17,ROW($A27)-ROW($A$26)+(ROW(EM!$C$46)-ROW(EM!$C$14))*(MATCH(G$22,EM!$B$6:$B$9,0)-1),MIN(G$23-EM!$B$16+38,EM!$AF$16-EM!$B$16)),0)+
IF(ROUND(G$11,0)&gt;=40,OFFSET(EM!$B$17,ROW($A27)-ROW($A$26)+(ROW(EM!$C$46)-ROW(EM!$C$14))*(MATCH(G$22,EM!$B$6:$B$9,0)-1),MIN(G$23-EM!$B$16+39,EM!$AF$16-EM!$B$16)),0)
)/ROUND(G$11,0),NA()))</f>
        <v>1.9154847475665426E-2</v>
      </c>
      <c r="H27" s="2046">
        <f ca="1">IF(H$19=GPG!$A$28,IF(ROW(H27)-ROW(H$26)+1=MATCH(H$20,GPG!$A$5:$A$11,0),1,0),
IF(H$19=GPG!$A$29,
(IF(ROUND(H$11,0)&gt;=1,OFFSET(EM!$B$17,ROW($A27)-ROW($A$26)+(ROW(EM!$C$46)-ROW(EM!$C$14))*(MATCH(H$22,EM!$B$6:$B$9,0)-1),MIN(H$23-EM!$B$16,EM!$AF$16-EM!$B$16)),0)+
IF(ROUND(H$11,0)&gt;=2,OFFSET(EM!$B$17,ROW($A27)-ROW($A$26)+(ROW(EM!$C$46)-ROW(EM!$C$14))*(MATCH(H$22,EM!$B$6:$B$9,0)-1),MIN(H$23-EM!$B$16+1,EM!$AF$16-EM!$B$16)),0)+
IF(ROUND(H$11,0)&gt;=3,OFFSET(EM!$B$17,ROW($A27)-ROW($A$26)+(ROW(EM!$C$46)-ROW(EM!$C$14))*(MATCH(H$22,EM!$B$6:$B$9,0)-1),MIN(H$23-EM!$B$16+2,EM!$AF$16-EM!$B$16)),0)+
IF(ROUND(H$11,0)&gt;=4,OFFSET(EM!$B$17,ROW($A27)-ROW($A$26)+(ROW(EM!$C$46)-ROW(EM!$C$14))*(MATCH(H$22,EM!$B$6:$B$9,0)-1),MIN(H$23-EM!$B$16+3,EM!$AF$16-EM!$B$16)),0)+
IF(ROUND(H$11,0)&gt;=5,OFFSET(EM!$B$17,ROW($A27)-ROW($A$26)+(ROW(EM!$C$46)-ROW(EM!$C$14))*(MATCH(H$22,EM!$B$6:$B$9,0)-1),MIN(H$23-EM!$B$16+4,EM!$AF$16-EM!$B$16)),0)+
IF(ROUND(H$11,0)&gt;=6,OFFSET(EM!$B$17,ROW($A27)-ROW($A$26)+(ROW(EM!$C$46)-ROW(EM!$C$14))*(MATCH(H$22,EM!$B$6:$B$9,0)-1),MIN(H$23-EM!$B$16+5,EM!$AF$16-EM!$B$16)),0)+
IF(ROUND(H$11,0)&gt;=7,OFFSET(EM!$B$17,ROW($A27)-ROW($A$26)+(ROW(EM!$C$46)-ROW(EM!$C$14))*(MATCH(H$22,EM!$B$6:$B$9,0)-1),MIN(H$23-EM!$B$16+6,EM!$AF$16-EM!$B$16)),0)+
IF(ROUND(H$11,0)&gt;=8,OFFSET(EM!$B$17,ROW($A27)-ROW($A$26)+(ROW(EM!$C$46)-ROW(EM!$C$14))*(MATCH(H$22,EM!$B$6:$B$9,0)-1),MIN(H$23-EM!$B$16+7,EM!$AF$16-EM!$B$16)),0)+
IF(ROUND(H$11,0)&gt;=9,OFFSET(EM!$B$17,ROW($A27)-ROW($A$26)+(ROW(EM!$C$46)-ROW(EM!$C$14))*(MATCH(H$22,EM!$B$6:$B$9,0)-1),MIN(H$23-EM!$B$16+8,EM!$AF$16-EM!$B$16)),0)+
IF(ROUND(H$11,0)&gt;=10,OFFSET(EM!$B$17,ROW($A27)-ROW($A$26)+(ROW(EM!$C$46)-ROW(EM!$C$14))*(MATCH(H$22,EM!$B$6:$B$9,0)-1),MIN(H$23-EM!$B$16+9,EM!$AF$16-EM!$B$16)),0)+
IF(ROUND(H$11,0)&gt;=11,OFFSET(EM!$B$17,ROW($A27)-ROW($A$26)+(ROW(EM!$C$46)-ROW(EM!$C$14))*(MATCH(H$22,EM!$B$6:$B$9,0)-1),MIN(H$23-EM!$B$16+10,EM!$AF$16-EM!$B$16)),0)+
IF(ROUND(H$11,0)&gt;=12,OFFSET(EM!$B$17,ROW($A27)-ROW($A$26)+(ROW(EM!$C$46)-ROW(EM!$C$14))*(MATCH(H$22,EM!$B$6:$B$9,0)-1),MIN(H$23-EM!$B$16+11,EM!$AF$16-EM!$B$16)),0)+
IF(ROUND(H$11,0)&gt;=13,OFFSET(EM!$B$17,ROW($A27)-ROW($A$26)+(ROW(EM!$C$46)-ROW(EM!$C$14))*(MATCH(H$22,EM!$B$6:$B$9,0)-1),MIN(H$23-EM!$B$16+12,EM!$AF$16-EM!$B$16)),0)+
IF(ROUND(H$11,0)&gt;=14,OFFSET(EM!$B$17,ROW($A27)-ROW($A$26)+(ROW(EM!$C$46)-ROW(EM!$C$14))*(MATCH(H$22,EM!$B$6:$B$9,0)-1),MIN(H$23-EM!$B$16+13,EM!$AF$16-EM!$B$16)),0)+
IF(ROUND(H$11,0)&gt;=15,OFFSET(EM!$B$17,ROW($A27)-ROW($A$26)+(ROW(EM!$C$46)-ROW(EM!$C$14))*(MATCH(H$22,EM!$B$6:$B$9,0)-1),MIN(H$23-EM!$B$16+14,EM!$AF$16-EM!$B$16)),0)+
IF(ROUND(H$11,0)&gt;=16,OFFSET(EM!$B$17,ROW($A27)-ROW($A$26)+(ROW(EM!$C$46)-ROW(EM!$C$14))*(MATCH(H$22,EM!$B$6:$B$9,0)-1),MIN(H$23-EM!$B$16+15,EM!$AF$16-EM!$B$16)),0)+
IF(ROUND(H$11,0)&gt;=17,OFFSET(EM!$B$17,ROW($A27)-ROW($A$26)+(ROW(EM!$C$46)-ROW(EM!$C$14))*(MATCH(H$22,EM!$B$6:$B$9,0)-1),MIN(H$23-EM!$B$16+16,EM!$AF$16-EM!$B$16)),0)+
IF(ROUND(H$11,0)&gt;=18,OFFSET(EM!$B$17,ROW($A27)-ROW($A$26)+(ROW(EM!$C$46)-ROW(EM!$C$14))*(MATCH(H$22,EM!$B$6:$B$9,0)-1),MIN(H$23-EM!$B$16+17,EM!$AF$16-EM!$B$16)),0)+
IF(ROUND(H$11,0)&gt;=19,OFFSET(EM!$B$17,ROW($A27)-ROW($A$26)+(ROW(EM!$C$46)-ROW(EM!$C$14))*(MATCH(H$22,EM!$B$6:$B$9,0)-1),MIN(H$23-EM!$B$16+18,EM!$AF$16-EM!$B$16)),0)+
IF(ROUND(H$11,0)&gt;=20,OFFSET(EM!$B$17,ROW($A27)-ROW($A$26)+(ROW(EM!$C$46)-ROW(EM!$C$14))*(MATCH(H$22,EM!$B$6:$B$9,0)-1),MIN(H$23-EM!$B$16+19,EM!$AF$16-EM!$B$16)),0)+
IF(ROUND(H$11,0)&gt;=21,OFFSET(EM!$B$17,ROW($A27)-ROW($A$26)+(ROW(EM!$C$46)-ROW(EM!$C$14))*(MATCH(H$22,EM!$B$6:$B$9,0)-1),MIN(H$23-EM!$B$16+20,EM!$AF$16-EM!$B$16)),0)+
IF(ROUND(H$11,0)&gt;=22,OFFSET(EM!$B$17,ROW($A27)-ROW($A$26)+(ROW(EM!$C$46)-ROW(EM!$C$14))*(MATCH(H$22,EM!$B$6:$B$9,0)-1),MIN(H$23-EM!$B$16+21,EM!$AF$16-EM!$B$16)),0)+
IF(ROUND(H$11,0)&gt;=23,OFFSET(EM!$B$17,ROW($A27)-ROW($A$26)+(ROW(EM!$C$46)-ROW(EM!$C$14))*(MATCH(H$22,EM!$B$6:$B$9,0)-1),MIN(H$23-EM!$B$16+22,EM!$AF$16-EM!$B$16)),0)+
IF(ROUND(H$11,0)&gt;=24,OFFSET(EM!$B$17,ROW($A27)-ROW($A$26)+(ROW(EM!$C$46)-ROW(EM!$C$14))*(MATCH(H$22,EM!$B$6:$B$9,0)-1),MIN(H$23-EM!$B$16+23,EM!$AF$16-EM!$B$16)),0)+
IF(ROUND(H$11,0)&gt;=25,OFFSET(EM!$B$17,ROW($A27)-ROW($A$26)+(ROW(EM!$C$46)-ROW(EM!$C$14))*(MATCH(H$22,EM!$B$6:$B$9,0)-1),MIN(H$23-EM!$B$16+24,EM!$AF$16-EM!$B$16)),0)+
IF(ROUND(H$11,0)&gt;=26,OFFSET(EM!$B$17,ROW($A27)-ROW($A$26)+(ROW(EM!$C$46)-ROW(EM!$C$14))*(MATCH(H$22,EM!$B$6:$B$9,0)-1),MIN(H$23-EM!$B$16+25,EM!$AF$16-EM!$B$16)),0)+
IF(ROUND(H$11,0)&gt;=27,OFFSET(EM!$B$17,ROW($A27)-ROW($A$26)+(ROW(EM!$C$46)-ROW(EM!$C$14))*(MATCH(H$22,EM!$B$6:$B$9,0)-1),MIN(H$23-EM!$B$16+26,EM!$AF$16-EM!$B$16)),0)+
IF(ROUND(H$11,0)&gt;=28,OFFSET(EM!$B$17,ROW($A27)-ROW($A$26)+(ROW(EM!$C$46)-ROW(EM!$C$14))*(MATCH(H$22,EM!$B$6:$B$9,0)-1),MIN(H$23-EM!$B$16+27,EM!$AF$16-EM!$B$16)),0)+
IF(ROUND(H$11,0)&gt;=29,OFFSET(EM!$B$17,ROW($A27)-ROW($A$26)+(ROW(EM!$C$46)-ROW(EM!$C$14))*(MATCH(H$22,EM!$B$6:$B$9,0)-1),MIN(H$23-EM!$B$16+28,EM!$AF$16-EM!$B$16)),0)+
IF(ROUND(H$11,0)&gt;=30,OFFSET(EM!$B$17,ROW($A27)-ROW($A$26)+(ROW(EM!$C$46)-ROW(EM!$C$14))*(MATCH(H$22,EM!$B$6:$B$9,0)-1),MIN(H$23-EM!$B$16+29,EM!$AF$16-EM!$B$16)),0)+
IF(ROUND(H$11,0)&gt;=31,OFFSET(EM!$B$17,ROW($A27)-ROW($A$26)+(ROW(EM!$C$46)-ROW(EM!$C$14))*(MATCH(H$22,EM!$B$6:$B$9,0)-1),MIN(H$23-EM!$B$16+30,EM!$AF$16-EM!$B$16)),0)+
IF(ROUND(H$11,0)&gt;=32,OFFSET(EM!$B$17,ROW($A27)-ROW($A$26)+(ROW(EM!$C$46)-ROW(EM!$C$14))*(MATCH(H$22,EM!$B$6:$B$9,0)-1),MIN(H$23-EM!$B$16+31,EM!$AF$16-EM!$B$16)),0)+
IF(ROUND(H$11,0)&gt;=33,OFFSET(EM!$B$17,ROW($A27)-ROW($A$26)+(ROW(EM!$C$46)-ROW(EM!$C$14))*(MATCH(H$22,EM!$B$6:$B$9,0)-1),MIN(H$23-EM!$B$16+32,EM!$AF$16-EM!$B$16)),0)+
IF(ROUND(H$11,0)&gt;=34,OFFSET(EM!$B$17,ROW($A27)-ROW($A$26)+(ROW(EM!$C$46)-ROW(EM!$C$14))*(MATCH(H$22,EM!$B$6:$B$9,0)-1),MIN(H$23-EM!$B$16+33,EM!$AF$16-EM!$B$16)),0)+
IF(ROUND(H$11,0)&gt;=35,OFFSET(EM!$B$17,ROW($A27)-ROW($A$26)+(ROW(EM!$C$46)-ROW(EM!$C$14))*(MATCH(H$22,EM!$B$6:$B$9,0)-1),MIN(H$23-EM!$B$16+34,EM!$AF$16-EM!$B$16)),0)+
IF(ROUND(H$11,0)&gt;=36,OFFSET(EM!$B$17,ROW($A27)-ROW($A$26)+(ROW(EM!$C$46)-ROW(EM!$C$14))*(MATCH(H$22,EM!$B$6:$B$9,0)-1),MIN(H$23-EM!$B$16+35,EM!$AF$16-EM!$B$16)),0)+
IF(ROUND(H$11,0)&gt;=37,OFFSET(EM!$B$17,ROW($A27)-ROW($A$26)+(ROW(EM!$C$46)-ROW(EM!$C$14))*(MATCH(H$22,EM!$B$6:$B$9,0)-1),MIN(H$23-EM!$B$16+36,EM!$AF$16-EM!$B$16)),0)+
IF(ROUND(H$11,0)&gt;=38,OFFSET(EM!$B$17,ROW($A27)-ROW($A$26)+(ROW(EM!$C$46)-ROW(EM!$C$14))*(MATCH(H$22,EM!$B$6:$B$9,0)-1),MIN(H$23-EM!$B$16+37,EM!$AF$16-EM!$B$16)),0)+
IF(ROUND(H$11,0)&gt;=39,OFFSET(EM!$B$17,ROW($A27)-ROW($A$26)+(ROW(EM!$C$46)-ROW(EM!$C$14))*(MATCH(H$22,EM!$B$6:$B$9,0)-1),MIN(H$23-EM!$B$16+38,EM!$AF$16-EM!$B$16)),0)+
IF(ROUND(H$11,0)&gt;=40,OFFSET(EM!$B$17,ROW($A27)-ROW($A$26)+(ROW(EM!$C$46)-ROW(EM!$C$14))*(MATCH(H$22,EM!$B$6:$B$9,0)-1),MIN(H$23-EM!$B$16+39,EM!$AF$16-EM!$B$16)),0)
)/ROUND(H$11,0),NA()))</f>
        <v>2.4786228463300326E-2</v>
      </c>
      <c r="I27" s="2046">
        <f ca="1">IF(I$19=GPG!$A$28,IF(ROW(I27)-ROW(I$26)+1=MATCH(I$20,GPG!$A$5:$A$11,0),1,0),
IF(I$19=GPG!$A$29,
(IF(ROUND(I$11,0)&gt;=1,OFFSET(EM!$B$17,ROW($A27)-ROW($A$26)+(ROW(EM!$C$46)-ROW(EM!$C$14))*(MATCH(I$22,EM!$B$6:$B$9,0)-1),MIN(I$23-EM!$B$16,EM!$AF$16-EM!$B$16)),0)+
IF(ROUND(I$11,0)&gt;=2,OFFSET(EM!$B$17,ROW($A27)-ROW($A$26)+(ROW(EM!$C$46)-ROW(EM!$C$14))*(MATCH(I$22,EM!$B$6:$B$9,0)-1),MIN(I$23-EM!$B$16+1,EM!$AF$16-EM!$B$16)),0)+
IF(ROUND(I$11,0)&gt;=3,OFFSET(EM!$B$17,ROW($A27)-ROW($A$26)+(ROW(EM!$C$46)-ROW(EM!$C$14))*(MATCH(I$22,EM!$B$6:$B$9,0)-1),MIN(I$23-EM!$B$16+2,EM!$AF$16-EM!$B$16)),0)+
IF(ROUND(I$11,0)&gt;=4,OFFSET(EM!$B$17,ROW($A27)-ROW($A$26)+(ROW(EM!$C$46)-ROW(EM!$C$14))*(MATCH(I$22,EM!$B$6:$B$9,0)-1),MIN(I$23-EM!$B$16+3,EM!$AF$16-EM!$B$16)),0)+
IF(ROUND(I$11,0)&gt;=5,OFFSET(EM!$B$17,ROW($A27)-ROW($A$26)+(ROW(EM!$C$46)-ROW(EM!$C$14))*(MATCH(I$22,EM!$B$6:$B$9,0)-1),MIN(I$23-EM!$B$16+4,EM!$AF$16-EM!$B$16)),0)+
IF(ROUND(I$11,0)&gt;=6,OFFSET(EM!$B$17,ROW($A27)-ROW($A$26)+(ROW(EM!$C$46)-ROW(EM!$C$14))*(MATCH(I$22,EM!$B$6:$B$9,0)-1),MIN(I$23-EM!$B$16+5,EM!$AF$16-EM!$B$16)),0)+
IF(ROUND(I$11,0)&gt;=7,OFFSET(EM!$B$17,ROW($A27)-ROW($A$26)+(ROW(EM!$C$46)-ROW(EM!$C$14))*(MATCH(I$22,EM!$B$6:$B$9,0)-1),MIN(I$23-EM!$B$16+6,EM!$AF$16-EM!$B$16)),0)+
IF(ROUND(I$11,0)&gt;=8,OFFSET(EM!$B$17,ROW($A27)-ROW($A$26)+(ROW(EM!$C$46)-ROW(EM!$C$14))*(MATCH(I$22,EM!$B$6:$B$9,0)-1),MIN(I$23-EM!$B$16+7,EM!$AF$16-EM!$B$16)),0)+
IF(ROUND(I$11,0)&gt;=9,OFFSET(EM!$B$17,ROW($A27)-ROW($A$26)+(ROW(EM!$C$46)-ROW(EM!$C$14))*(MATCH(I$22,EM!$B$6:$B$9,0)-1),MIN(I$23-EM!$B$16+8,EM!$AF$16-EM!$B$16)),0)+
IF(ROUND(I$11,0)&gt;=10,OFFSET(EM!$B$17,ROW($A27)-ROW($A$26)+(ROW(EM!$C$46)-ROW(EM!$C$14))*(MATCH(I$22,EM!$B$6:$B$9,0)-1),MIN(I$23-EM!$B$16+9,EM!$AF$16-EM!$B$16)),0)+
IF(ROUND(I$11,0)&gt;=11,OFFSET(EM!$B$17,ROW($A27)-ROW($A$26)+(ROW(EM!$C$46)-ROW(EM!$C$14))*(MATCH(I$22,EM!$B$6:$B$9,0)-1),MIN(I$23-EM!$B$16+10,EM!$AF$16-EM!$B$16)),0)+
IF(ROUND(I$11,0)&gt;=12,OFFSET(EM!$B$17,ROW($A27)-ROW($A$26)+(ROW(EM!$C$46)-ROW(EM!$C$14))*(MATCH(I$22,EM!$B$6:$B$9,0)-1),MIN(I$23-EM!$B$16+11,EM!$AF$16-EM!$B$16)),0)+
IF(ROUND(I$11,0)&gt;=13,OFFSET(EM!$B$17,ROW($A27)-ROW($A$26)+(ROW(EM!$C$46)-ROW(EM!$C$14))*(MATCH(I$22,EM!$B$6:$B$9,0)-1),MIN(I$23-EM!$B$16+12,EM!$AF$16-EM!$B$16)),0)+
IF(ROUND(I$11,0)&gt;=14,OFFSET(EM!$B$17,ROW($A27)-ROW($A$26)+(ROW(EM!$C$46)-ROW(EM!$C$14))*(MATCH(I$22,EM!$B$6:$B$9,0)-1),MIN(I$23-EM!$B$16+13,EM!$AF$16-EM!$B$16)),0)+
IF(ROUND(I$11,0)&gt;=15,OFFSET(EM!$B$17,ROW($A27)-ROW($A$26)+(ROW(EM!$C$46)-ROW(EM!$C$14))*(MATCH(I$22,EM!$B$6:$B$9,0)-1),MIN(I$23-EM!$B$16+14,EM!$AF$16-EM!$B$16)),0)+
IF(ROUND(I$11,0)&gt;=16,OFFSET(EM!$B$17,ROW($A27)-ROW($A$26)+(ROW(EM!$C$46)-ROW(EM!$C$14))*(MATCH(I$22,EM!$B$6:$B$9,0)-1),MIN(I$23-EM!$B$16+15,EM!$AF$16-EM!$B$16)),0)+
IF(ROUND(I$11,0)&gt;=17,OFFSET(EM!$B$17,ROW($A27)-ROW($A$26)+(ROW(EM!$C$46)-ROW(EM!$C$14))*(MATCH(I$22,EM!$B$6:$B$9,0)-1),MIN(I$23-EM!$B$16+16,EM!$AF$16-EM!$B$16)),0)+
IF(ROUND(I$11,0)&gt;=18,OFFSET(EM!$B$17,ROW($A27)-ROW($A$26)+(ROW(EM!$C$46)-ROW(EM!$C$14))*(MATCH(I$22,EM!$B$6:$B$9,0)-1),MIN(I$23-EM!$B$16+17,EM!$AF$16-EM!$B$16)),0)+
IF(ROUND(I$11,0)&gt;=19,OFFSET(EM!$B$17,ROW($A27)-ROW($A$26)+(ROW(EM!$C$46)-ROW(EM!$C$14))*(MATCH(I$22,EM!$B$6:$B$9,0)-1),MIN(I$23-EM!$B$16+18,EM!$AF$16-EM!$B$16)),0)+
IF(ROUND(I$11,0)&gt;=20,OFFSET(EM!$B$17,ROW($A27)-ROW($A$26)+(ROW(EM!$C$46)-ROW(EM!$C$14))*(MATCH(I$22,EM!$B$6:$B$9,0)-1),MIN(I$23-EM!$B$16+19,EM!$AF$16-EM!$B$16)),0)+
IF(ROUND(I$11,0)&gt;=21,OFFSET(EM!$B$17,ROW($A27)-ROW($A$26)+(ROW(EM!$C$46)-ROW(EM!$C$14))*(MATCH(I$22,EM!$B$6:$B$9,0)-1),MIN(I$23-EM!$B$16+20,EM!$AF$16-EM!$B$16)),0)+
IF(ROUND(I$11,0)&gt;=22,OFFSET(EM!$B$17,ROW($A27)-ROW($A$26)+(ROW(EM!$C$46)-ROW(EM!$C$14))*(MATCH(I$22,EM!$B$6:$B$9,0)-1),MIN(I$23-EM!$B$16+21,EM!$AF$16-EM!$B$16)),0)+
IF(ROUND(I$11,0)&gt;=23,OFFSET(EM!$B$17,ROW($A27)-ROW($A$26)+(ROW(EM!$C$46)-ROW(EM!$C$14))*(MATCH(I$22,EM!$B$6:$B$9,0)-1),MIN(I$23-EM!$B$16+22,EM!$AF$16-EM!$B$16)),0)+
IF(ROUND(I$11,0)&gt;=24,OFFSET(EM!$B$17,ROW($A27)-ROW($A$26)+(ROW(EM!$C$46)-ROW(EM!$C$14))*(MATCH(I$22,EM!$B$6:$B$9,0)-1),MIN(I$23-EM!$B$16+23,EM!$AF$16-EM!$B$16)),0)+
IF(ROUND(I$11,0)&gt;=25,OFFSET(EM!$B$17,ROW($A27)-ROW($A$26)+(ROW(EM!$C$46)-ROW(EM!$C$14))*(MATCH(I$22,EM!$B$6:$B$9,0)-1),MIN(I$23-EM!$B$16+24,EM!$AF$16-EM!$B$16)),0)+
IF(ROUND(I$11,0)&gt;=26,OFFSET(EM!$B$17,ROW($A27)-ROW($A$26)+(ROW(EM!$C$46)-ROW(EM!$C$14))*(MATCH(I$22,EM!$B$6:$B$9,0)-1),MIN(I$23-EM!$B$16+25,EM!$AF$16-EM!$B$16)),0)+
IF(ROUND(I$11,0)&gt;=27,OFFSET(EM!$B$17,ROW($A27)-ROW($A$26)+(ROW(EM!$C$46)-ROW(EM!$C$14))*(MATCH(I$22,EM!$B$6:$B$9,0)-1),MIN(I$23-EM!$B$16+26,EM!$AF$16-EM!$B$16)),0)+
IF(ROUND(I$11,0)&gt;=28,OFFSET(EM!$B$17,ROW($A27)-ROW($A$26)+(ROW(EM!$C$46)-ROW(EM!$C$14))*(MATCH(I$22,EM!$B$6:$B$9,0)-1),MIN(I$23-EM!$B$16+27,EM!$AF$16-EM!$B$16)),0)+
IF(ROUND(I$11,0)&gt;=29,OFFSET(EM!$B$17,ROW($A27)-ROW($A$26)+(ROW(EM!$C$46)-ROW(EM!$C$14))*(MATCH(I$22,EM!$B$6:$B$9,0)-1),MIN(I$23-EM!$B$16+28,EM!$AF$16-EM!$B$16)),0)+
IF(ROUND(I$11,0)&gt;=30,OFFSET(EM!$B$17,ROW($A27)-ROW($A$26)+(ROW(EM!$C$46)-ROW(EM!$C$14))*(MATCH(I$22,EM!$B$6:$B$9,0)-1),MIN(I$23-EM!$B$16+29,EM!$AF$16-EM!$B$16)),0)+
IF(ROUND(I$11,0)&gt;=31,OFFSET(EM!$B$17,ROW($A27)-ROW($A$26)+(ROW(EM!$C$46)-ROW(EM!$C$14))*(MATCH(I$22,EM!$B$6:$B$9,0)-1),MIN(I$23-EM!$B$16+30,EM!$AF$16-EM!$B$16)),0)+
IF(ROUND(I$11,0)&gt;=32,OFFSET(EM!$B$17,ROW($A27)-ROW($A$26)+(ROW(EM!$C$46)-ROW(EM!$C$14))*(MATCH(I$22,EM!$B$6:$B$9,0)-1),MIN(I$23-EM!$B$16+31,EM!$AF$16-EM!$B$16)),0)+
IF(ROUND(I$11,0)&gt;=33,OFFSET(EM!$B$17,ROW($A27)-ROW($A$26)+(ROW(EM!$C$46)-ROW(EM!$C$14))*(MATCH(I$22,EM!$B$6:$B$9,0)-1),MIN(I$23-EM!$B$16+32,EM!$AF$16-EM!$B$16)),0)+
IF(ROUND(I$11,0)&gt;=34,OFFSET(EM!$B$17,ROW($A27)-ROW($A$26)+(ROW(EM!$C$46)-ROW(EM!$C$14))*(MATCH(I$22,EM!$B$6:$B$9,0)-1),MIN(I$23-EM!$B$16+33,EM!$AF$16-EM!$B$16)),0)+
IF(ROUND(I$11,0)&gt;=35,OFFSET(EM!$B$17,ROW($A27)-ROW($A$26)+(ROW(EM!$C$46)-ROW(EM!$C$14))*(MATCH(I$22,EM!$B$6:$B$9,0)-1),MIN(I$23-EM!$B$16+34,EM!$AF$16-EM!$B$16)),0)+
IF(ROUND(I$11,0)&gt;=36,OFFSET(EM!$B$17,ROW($A27)-ROW($A$26)+(ROW(EM!$C$46)-ROW(EM!$C$14))*(MATCH(I$22,EM!$B$6:$B$9,0)-1),MIN(I$23-EM!$B$16+35,EM!$AF$16-EM!$B$16)),0)+
IF(ROUND(I$11,0)&gt;=37,OFFSET(EM!$B$17,ROW($A27)-ROW($A$26)+(ROW(EM!$C$46)-ROW(EM!$C$14))*(MATCH(I$22,EM!$B$6:$B$9,0)-1),MIN(I$23-EM!$B$16+36,EM!$AF$16-EM!$B$16)),0)+
IF(ROUND(I$11,0)&gt;=38,OFFSET(EM!$B$17,ROW($A27)-ROW($A$26)+(ROW(EM!$C$46)-ROW(EM!$C$14))*(MATCH(I$22,EM!$B$6:$B$9,0)-1),MIN(I$23-EM!$B$16+37,EM!$AF$16-EM!$B$16)),0)+
IF(ROUND(I$11,0)&gt;=39,OFFSET(EM!$B$17,ROW($A27)-ROW($A$26)+(ROW(EM!$C$46)-ROW(EM!$C$14))*(MATCH(I$22,EM!$B$6:$B$9,0)-1),MIN(I$23-EM!$B$16+38,EM!$AF$16-EM!$B$16)),0)+
IF(ROUND(I$11,0)&gt;=40,OFFSET(EM!$B$17,ROW($A27)-ROW($A$26)+(ROW(EM!$C$46)-ROW(EM!$C$14))*(MATCH(I$22,EM!$B$6:$B$9,0)-1),MIN(I$23-EM!$B$16+39,EM!$AF$16-EM!$B$16)),0)
)/ROUND(I$11,0),NA()))</f>
        <v>1.9154847475665426E-2</v>
      </c>
      <c r="J27" s="2046">
        <f ca="1">IF(J$19=GPG!$A$28,IF(ROW(J27)-ROW(J$26)+1=MATCH(J$20,GPG!$A$5:$A$11,0),1,0),
IF(J$19=GPG!$A$29,
(IF(ROUND(J$11,0)&gt;=1,OFFSET(EM!$B$17,ROW($A27)-ROW($A$26)+(ROW(EM!$C$46)-ROW(EM!$C$14))*(MATCH(J$22,EM!$B$6:$B$9,0)-1),MIN(J$23-EM!$B$16,EM!$AF$16-EM!$B$16)),0)+
IF(ROUND(J$11,0)&gt;=2,OFFSET(EM!$B$17,ROW($A27)-ROW($A$26)+(ROW(EM!$C$46)-ROW(EM!$C$14))*(MATCH(J$22,EM!$B$6:$B$9,0)-1),MIN(J$23-EM!$B$16+1,EM!$AF$16-EM!$B$16)),0)+
IF(ROUND(J$11,0)&gt;=3,OFFSET(EM!$B$17,ROW($A27)-ROW($A$26)+(ROW(EM!$C$46)-ROW(EM!$C$14))*(MATCH(J$22,EM!$B$6:$B$9,0)-1),MIN(J$23-EM!$B$16+2,EM!$AF$16-EM!$B$16)),0)+
IF(ROUND(J$11,0)&gt;=4,OFFSET(EM!$B$17,ROW($A27)-ROW($A$26)+(ROW(EM!$C$46)-ROW(EM!$C$14))*(MATCH(J$22,EM!$B$6:$B$9,0)-1),MIN(J$23-EM!$B$16+3,EM!$AF$16-EM!$B$16)),0)+
IF(ROUND(J$11,0)&gt;=5,OFFSET(EM!$B$17,ROW($A27)-ROW($A$26)+(ROW(EM!$C$46)-ROW(EM!$C$14))*(MATCH(J$22,EM!$B$6:$B$9,0)-1),MIN(J$23-EM!$B$16+4,EM!$AF$16-EM!$B$16)),0)+
IF(ROUND(J$11,0)&gt;=6,OFFSET(EM!$B$17,ROW($A27)-ROW($A$26)+(ROW(EM!$C$46)-ROW(EM!$C$14))*(MATCH(J$22,EM!$B$6:$B$9,0)-1),MIN(J$23-EM!$B$16+5,EM!$AF$16-EM!$B$16)),0)+
IF(ROUND(J$11,0)&gt;=7,OFFSET(EM!$B$17,ROW($A27)-ROW($A$26)+(ROW(EM!$C$46)-ROW(EM!$C$14))*(MATCH(J$22,EM!$B$6:$B$9,0)-1),MIN(J$23-EM!$B$16+6,EM!$AF$16-EM!$B$16)),0)+
IF(ROUND(J$11,0)&gt;=8,OFFSET(EM!$B$17,ROW($A27)-ROW($A$26)+(ROW(EM!$C$46)-ROW(EM!$C$14))*(MATCH(J$22,EM!$B$6:$B$9,0)-1),MIN(J$23-EM!$B$16+7,EM!$AF$16-EM!$B$16)),0)+
IF(ROUND(J$11,0)&gt;=9,OFFSET(EM!$B$17,ROW($A27)-ROW($A$26)+(ROW(EM!$C$46)-ROW(EM!$C$14))*(MATCH(J$22,EM!$B$6:$B$9,0)-1),MIN(J$23-EM!$B$16+8,EM!$AF$16-EM!$B$16)),0)+
IF(ROUND(J$11,0)&gt;=10,OFFSET(EM!$B$17,ROW($A27)-ROW($A$26)+(ROW(EM!$C$46)-ROW(EM!$C$14))*(MATCH(J$22,EM!$B$6:$B$9,0)-1),MIN(J$23-EM!$B$16+9,EM!$AF$16-EM!$B$16)),0)+
IF(ROUND(J$11,0)&gt;=11,OFFSET(EM!$B$17,ROW($A27)-ROW($A$26)+(ROW(EM!$C$46)-ROW(EM!$C$14))*(MATCH(J$22,EM!$B$6:$B$9,0)-1),MIN(J$23-EM!$B$16+10,EM!$AF$16-EM!$B$16)),0)+
IF(ROUND(J$11,0)&gt;=12,OFFSET(EM!$B$17,ROW($A27)-ROW($A$26)+(ROW(EM!$C$46)-ROW(EM!$C$14))*(MATCH(J$22,EM!$B$6:$B$9,0)-1),MIN(J$23-EM!$B$16+11,EM!$AF$16-EM!$B$16)),0)+
IF(ROUND(J$11,0)&gt;=13,OFFSET(EM!$B$17,ROW($A27)-ROW($A$26)+(ROW(EM!$C$46)-ROW(EM!$C$14))*(MATCH(J$22,EM!$B$6:$B$9,0)-1),MIN(J$23-EM!$B$16+12,EM!$AF$16-EM!$B$16)),0)+
IF(ROUND(J$11,0)&gt;=14,OFFSET(EM!$B$17,ROW($A27)-ROW($A$26)+(ROW(EM!$C$46)-ROW(EM!$C$14))*(MATCH(J$22,EM!$B$6:$B$9,0)-1),MIN(J$23-EM!$B$16+13,EM!$AF$16-EM!$B$16)),0)+
IF(ROUND(J$11,0)&gt;=15,OFFSET(EM!$B$17,ROW($A27)-ROW($A$26)+(ROW(EM!$C$46)-ROW(EM!$C$14))*(MATCH(J$22,EM!$B$6:$B$9,0)-1),MIN(J$23-EM!$B$16+14,EM!$AF$16-EM!$B$16)),0)+
IF(ROUND(J$11,0)&gt;=16,OFFSET(EM!$B$17,ROW($A27)-ROW($A$26)+(ROW(EM!$C$46)-ROW(EM!$C$14))*(MATCH(J$22,EM!$B$6:$B$9,0)-1),MIN(J$23-EM!$B$16+15,EM!$AF$16-EM!$B$16)),0)+
IF(ROUND(J$11,0)&gt;=17,OFFSET(EM!$B$17,ROW($A27)-ROW($A$26)+(ROW(EM!$C$46)-ROW(EM!$C$14))*(MATCH(J$22,EM!$B$6:$B$9,0)-1),MIN(J$23-EM!$B$16+16,EM!$AF$16-EM!$B$16)),0)+
IF(ROUND(J$11,0)&gt;=18,OFFSET(EM!$B$17,ROW($A27)-ROW($A$26)+(ROW(EM!$C$46)-ROW(EM!$C$14))*(MATCH(J$22,EM!$B$6:$B$9,0)-1),MIN(J$23-EM!$B$16+17,EM!$AF$16-EM!$B$16)),0)+
IF(ROUND(J$11,0)&gt;=19,OFFSET(EM!$B$17,ROW($A27)-ROW($A$26)+(ROW(EM!$C$46)-ROW(EM!$C$14))*(MATCH(J$22,EM!$B$6:$B$9,0)-1),MIN(J$23-EM!$B$16+18,EM!$AF$16-EM!$B$16)),0)+
IF(ROUND(J$11,0)&gt;=20,OFFSET(EM!$B$17,ROW($A27)-ROW($A$26)+(ROW(EM!$C$46)-ROW(EM!$C$14))*(MATCH(J$22,EM!$B$6:$B$9,0)-1),MIN(J$23-EM!$B$16+19,EM!$AF$16-EM!$B$16)),0)+
IF(ROUND(J$11,0)&gt;=21,OFFSET(EM!$B$17,ROW($A27)-ROW($A$26)+(ROW(EM!$C$46)-ROW(EM!$C$14))*(MATCH(J$22,EM!$B$6:$B$9,0)-1),MIN(J$23-EM!$B$16+20,EM!$AF$16-EM!$B$16)),0)+
IF(ROUND(J$11,0)&gt;=22,OFFSET(EM!$B$17,ROW($A27)-ROW($A$26)+(ROW(EM!$C$46)-ROW(EM!$C$14))*(MATCH(J$22,EM!$B$6:$B$9,0)-1),MIN(J$23-EM!$B$16+21,EM!$AF$16-EM!$B$16)),0)+
IF(ROUND(J$11,0)&gt;=23,OFFSET(EM!$B$17,ROW($A27)-ROW($A$26)+(ROW(EM!$C$46)-ROW(EM!$C$14))*(MATCH(J$22,EM!$B$6:$B$9,0)-1),MIN(J$23-EM!$B$16+22,EM!$AF$16-EM!$B$16)),0)+
IF(ROUND(J$11,0)&gt;=24,OFFSET(EM!$B$17,ROW($A27)-ROW($A$26)+(ROW(EM!$C$46)-ROW(EM!$C$14))*(MATCH(J$22,EM!$B$6:$B$9,0)-1),MIN(J$23-EM!$B$16+23,EM!$AF$16-EM!$B$16)),0)+
IF(ROUND(J$11,0)&gt;=25,OFFSET(EM!$B$17,ROW($A27)-ROW($A$26)+(ROW(EM!$C$46)-ROW(EM!$C$14))*(MATCH(J$22,EM!$B$6:$B$9,0)-1),MIN(J$23-EM!$B$16+24,EM!$AF$16-EM!$B$16)),0)+
IF(ROUND(J$11,0)&gt;=26,OFFSET(EM!$B$17,ROW($A27)-ROW($A$26)+(ROW(EM!$C$46)-ROW(EM!$C$14))*(MATCH(J$22,EM!$B$6:$B$9,0)-1),MIN(J$23-EM!$B$16+25,EM!$AF$16-EM!$B$16)),0)+
IF(ROUND(J$11,0)&gt;=27,OFFSET(EM!$B$17,ROW($A27)-ROW($A$26)+(ROW(EM!$C$46)-ROW(EM!$C$14))*(MATCH(J$22,EM!$B$6:$B$9,0)-1),MIN(J$23-EM!$B$16+26,EM!$AF$16-EM!$B$16)),0)+
IF(ROUND(J$11,0)&gt;=28,OFFSET(EM!$B$17,ROW($A27)-ROW($A$26)+(ROW(EM!$C$46)-ROW(EM!$C$14))*(MATCH(J$22,EM!$B$6:$B$9,0)-1),MIN(J$23-EM!$B$16+27,EM!$AF$16-EM!$B$16)),0)+
IF(ROUND(J$11,0)&gt;=29,OFFSET(EM!$B$17,ROW($A27)-ROW($A$26)+(ROW(EM!$C$46)-ROW(EM!$C$14))*(MATCH(J$22,EM!$B$6:$B$9,0)-1),MIN(J$23-EM!$B$16+28,EM!$AF$16-EM!$B$16)),0)+
IF(ROUND(J$11,0)&gt;=30,OFFSET(EM!$B$17,ROW($A27)-ROW($A$26)+(ROW(EM!$C$46)-ROW(EM!$C$14))*(MATCH(J$22,EM!$B$6:$B$9,0)-1),MIN(J$23-EM!$B$16+29,EM!$AF$16-EM!$B$16)),0)+
IF(ROUND(J$11,0)&gt;=31,OFFSET(EM!$B$17,ROW($A27)-ROW($A$26)+(ROW(EM!$C$46)-ROW(EM!$C$14))*(MATCH(J$22,EM!$B$6:$B$9,0)-1),MIN(J$23-EM!$B$16+30,EM!$AF$16-EM!$B$16)),0)+
IF(ROUND(J$11,0)&gt;=32,OFFSET(EM!$B$17,ROW($A27)-ROW($A$26)+(ROW(EM!$C$46)-ROW(EM!$C$14))*(MATCH(J$22,EM!$B$6:$B$9,0)-1),MIN(J$23-EM!$B$16+31,EM!$AF$16-EM!$B$16)),0)+
IF(ROUND(J$11,0)&gt;=33,OFFSET(EM!$B$17,ROW($A27)-ROW($A$26)+(ROW(EM!$C$46)-ROW(EM!$C$14))*(MATCH(J$22,EM!$B$6:$B$9,0)-1),MIN(J$23-EM!$B$16+32,EM!$AF$16-EM!$B$16)),0)+
IF(ROUND(J$11,0)&gt;=34,OFFSET(EM!$B$17,ROW($A27)-ROW($A$26)+(ROW(EM!$C$46)-ROW(EM!$C$14))*(MATCH(J$22,EM!$B$6:$B$9,0)-1),MIN(J$23-EM!$B$16+33,EM!$AF$16-EM!$B$16)),0)+
IF(ROUND(J$11,0)&gt;=35,OFFSET(EM!$B$17,ROW($A27)-ROW($A$26)+(ROW(EM!$C$46)-ROW(EM!$C$14))*(MATCH(J$22,EM!$B$6:$B$9,0)-1),MIN(J$23-EM!$B$16+34,EM!$AF$16-EM!$B$16)),0)+
IF(ROUND(J$11,0)&gt;=36,OFFSET(EM!$B$17,ROW($A27)-ROW($A$26)+(ROW(EM!$C$46)-ROW(EM!$C$14))*(MATCH(J$22,EM!$B$6:$B$9,0)-1),MIN(J$23-EM!$B$16+35,EM!$AF$16-EM!$B$16)),0)+
IF(ROUND(J$11,0)&gt;=37,OFFSET(EM!$B$17,ROW($A27)-ROW($A$26)+(ROW(EM!$C$46)-ROW(EM!$C$14))*(MATCH(J$22,EM!$B$6:$B$9,0)-1),MIN(J$23-EM!$B$16+36,EM!$AF$16-EM!$B$16)),0)+
IF(ROUND(J$11,0)&gt;=38,OFFSET(EM!$B$17,ROW($A27)-ROW($A$26)+(ROW(EM!$C$46)-ROW(EM!$C$14))*(MATCH(J$22,EM!$B$6:$B$9,0)-1),MIN(J$23-EM!$B$16+37,EM!$AF$16-EM!$B$16)),0)+
IF(ROUND(J$11,0)&gt;=39,OFFSET(EM!$B$17,ROW($A27)-ROW($A$26)+(ROW(EM!$C$46)-ROW(EM!$C$14))*(MATCH(J$22,EM!$B$6:$B$9,0)-1),MIN(J$23-EM!$B$16+38,EM!$AF$16-EM!$B$16)),0)+
IF(ROUND(J$11,0)&gt;=40,OFFSET(EM!$B$17,ROW($A27)-ROW($A$26)+(ROW(EM!$C$46)-ROW(EM!$C$14))*(MATCH(J$22,EM!$B$6:$B$9,0)-1),MIN(J$23-EM!$B$16+39,EM!$AF$16-EM!$B$16)),0)
)/ROUND(J$11,0),NA()))</f>
        <v>2.4786228463300326E-2</v>
      </c>
      <c r="K27" s="2046">
        <f ca="1">IF(K$19=GPG!$A$28,IF(ROW(K27)-ROW(K$26)+1=MATCH(K$20,GPG!$A$5:$A$11,0),1,0),
IF(K$19=GPG!$A$29,
(IF(ROUND(K$11,0)&gt;=1,OFFSET(EM!$B$17,ROW($A27)-ROW($A$26)+(ROW(EM!$C$46)-ROW(EM!$C$14))*(MATCH(K$22,EM!$B$6:$B$9,0)-1),MIN(K$23-EM!$B$16,EM!$AF$16-EM!$B$16)),0)+
IF(ROUND(K$11,0)&gt;=2,OFFSET(EM!$B$17,ROW($A27)-ROW($A$26)+(ROW(EM!$C$46)-ROW(EM!$C$14))*(MATCH(K$22,EM!$B$6:$B$9,0)-1),MIN(K$23-EM!$B$16+1,EM!$AF$16-EM!$B$16)),0)+
IF(ROUND(K$11,0)&gt;=3,OFFSET(EM!$B$17,ROW($A27)-ROW($A$26)+(ROW(EM!$C$46)-ROW(EM!$C$14))*(MATCH(K$22,EM!$B$6:$B$9,0)-1),MIN(K$23-EM!$B$16+2,EM!$AF$16-EM!$B$16)),0)+
IF(ROUND(K$11,0)&gt;=4,OFFSET(EM!$B$17,ROW($A27)-ROW($A$26)+(ROW(EM!$C$46)-ROW(EM!$C$14))*(MATCH(K$22,EM!$B$6:$B$9,0)-1),MIN(K$23-EM!$B$16+3,EM!$AF$16-EM!$B$16)),0)+
IF(ROUND(K$11,0)&gt;=5,OFFSET(EM!$B$17,ROW($A27)-ROW($A$26)+(ROW(EM!$C$46)-ROW(EM!$C$14))*(MATCH(K$22,EM!$B$6:$B$9,0)-1),MIN(K$23-EM!$B$16+4,EM!$AF$16-EM!$B$16)),0)+
IF(ROUND(K$11,0)&gt;=6,OFFSET(EM!$B$17,ROW($A27)-ROW($A$26)+(ROW(EM!$C$46)-ROW(EM!$C$14))*(MATCH(K$22,EM!$B$6:$B$9,0)-1),MIN(K$23-EM!$B$16+5,EM!$AF$16-EM!$B$16)),0)+
IF(ROUND(K$11,0)&gt;=7,OFFSET(EM!$B$17,ROW($A27)-ROW($A$26)+(ROW(EM!$C$46)-ROW(EM!$C$14))*(MATCH(K$22,EM!$B$6:$B$9,0)-1),MIN(K$23-EM!$B$16+6,EM!$AF$16-EM!$B$16)),0)+
IF(ROUND(K$11,0)&gt;=8,OFFSET(EM!$B$17,ROW($A27)-ROW($A$26)+(ROW(EM!$C$46)-ROW(EM!$C$14))*(MATCH(K$22,EM!$B$6:$B$9,0)-1),MIN(K$23-EM!$B$16+7,EM!$AF$16-EM!$B$16)),0)+
IF(ROUND(K$11,0)&gt;=9,OFFSET(EM!$B$17,ROW($A27)-ROW($A$26)+(ROW(EM!$C$46)-ROW(EM!$C$14))*(MATCH(K$22,EM!$B$6:$B$9,0)-1),MIN(K$23-EM!$B$16+8,EM!$AF$16-EM!$B$16)),0)+
IF(ROUND(K$11,0)&gt;=10,OFFSET(EM!$B$17,ROW($A27)-ROW($A$26)+(ROW(EM!$C$46)-ROW(EM!$C$14))*(MATCH(K$22,EM!$B$6:$B$9,0)-1),MIN(K$23-EM!$B$16+9,EM!$AF$16-EM!$B$16)),0)+
IF(ROUND(K$11,0)&gt;=11,OFFSET(EM!$B$17,ROW($A27)-ROW($A$26)+(ROW(EM!$C$46)-ROW(EM!$C$14))*(MATCH(K$22,EM!$B$6:$B$9,0)-1),MIN(K$23-EM!$B$16+10,EM!$AF$16-EM!$B$16)),0)+
IF(ROUND(K$11,0)&gt;=12,OFFSET(EM!$B$17,ROW($A27)-ROW($A$26)+(ROW(EM!$C$46)-ROW(EM!$C$14))*(MATCH(K$22,EM!$B$6:$B$9,0)-1),MIN(K$23-EM!$B$16+11,EM!$AF$16-EM!$B$16)),0)+
IF(ROUND(K$11,0)&gt;=13,OFFSET(EM!$B$17,ROW($A27)-ROW($A$26)+(ROW(EM!$C$46)-ROW(EM!$C$14))*(MATCH(K$22,EM!$B$6:$B$9,0)-1),MIN(K$23-EM!$B$16+12,EM!$AF$16-EM!$B$16)),0)+
IF(ROUND(K$11,0)&gt;=14,OFFSET(EM!$B$17,ROW($A27)-ROW($A$26)+(ROW(EM!$C$46)-ROW(EM!$C$14))*(MATCH(K$22,EM!$B$6:$B$9,0)-1),MIN(K$23-EM!$B$16+13,EM!$AF$16-EM!$B$16)),0)+
IF(ROUND(K$11,0)&gt;=15,OFFSET(EM!$B$17,ROW($A27)-ROW($A$26)+(ROW(EM!$C$46)-ROW(EM!$C$14))*(MATCH(K$22,EM!$B$6:$B$9,0)-1),MIN(K$23-EM!$B$16+14,EM!$AF$16-EM!$B$16)),0)+
IF(ROUND(K$11,0)&gt;=16,OFFSET(EM!$B$17,ROW($A27)-ROW($A$26)+(ROW(EM!$C$46)-ROW(EM!$C$14))*(MATCH(K$22,EM!$B$6:$B$9,0)-1),MIN(K$23-EM!$B$16+15,EM!$AF$16-EM!$B$16)),0)+
IF(ROUND(K$11,0)&gt;=17,OFFSET(EM!$B$17,ROW($A27)-ROW($A$26)+(ROW(EM!$C$46)-ROW(EM!$C$14))*(MATCH(K$22,EM!$B$6:$B$9,0)-1),MIN(K$23-EM!$B$16+16,EM!$AF$16-EM!$B$16)),0)+
IF(ROUND(K$11,0)&gt;=18,OFFSET(EM!$B$17,ROW($A27)-ROW($A$26)+(ROW(EM!$C$46)-ROW(EM!$C$14))*(MATCH(K$22,EM!$B$6:$B$9,0)-1),MIN(K$23-EM!$B$16+17,EM!$AF$16-EM!$B$16)),0)+
IF(ROUND(K$11,0)&gt;=19,OFFSET(EM!$B$17,ROW($A27)-ROW($A$26)+(ROW(EM!$C$46)-ROW(EM!$C$14))*(MATCH(K$22,EM!$B$6:$B$9,0)-1),MIN(K$23-EM!$B$16+18,EM!$AF$16-EM!$B$16)),0)+
IF(ROUND(K$11,0)&gt;=20,OFFSET(EM!$B$17,ROW($A27)-ROW($A$26)+(ROW(EM!$C$46)-ROW(EM!$C$14))*(MATCH(K$22,EM!$B$6:$B$9,0)-1),MIN(K$23-EM!$B$16+19,EM!$AF$16-EM!$B$16)),0)+
IF(ROUND(K$11,0)&gt;=21,OFFSET(EM!$B$17,ROW($A27)-ROW($A$26)+(ROW(EM!$C$46)-ROW(EM!$C$14))*(MATCH(K$22,EM!$B$6:$B$9,0)-1),MIN(K$23-EM!$B$16+20,EM!$AF$16-EM!$B$16)),0)+
IF(ROUND(K$11,0)&gt;=22,OFFSET(EM!$B$17,ROW($A27)-ROW($A$26)+(ROW(EM!$C$46)-ROW(EM!$C$14))*(MATCH(K$22,EM!$B$6:$B$9,0)-1),MIN(K$23-EM!$B$16+21,EM!$AF$16-EM!$B$16)),0)+
IF(ROUND(K$11,0)&gt;=23,OFFSET(EM!$B$17,ROW($A27)-ROW($A$26)+(ROW(EM!$C$46)-ROW(EM!$C$14))*(MATCH(K$22,EM!$B$6:$B$9,0)-1),MIN(K$23-EM!$B$16+22,EM!$AF$16-EM!$B$16)),0)+
IF(ROUND(K$11,0)&gt;=24,OFFSET(EM!$B$17,ROW($A27)-ROW($A$26)+(ROW(EM!$C$46)-ROW(EM!$C$14))*(MATCH(K$22,EM!$B$6:$B$9,0)-1),MIN(K$23-EM!$B$16+23,EM!$AF$16-EM!$B$16)),0)+
IF(ROUND(K$11,0)&gt;=25,OFFSET(EM!$B$17,ROW($A27)-ROW($A$26)+(ROW(EM!$C$46)-ROW(EM!$C$14))*(MATCH(K$22,EM!$B$6:$B$9,0)-1),MIN(K$23-EM!$B$16+24,EM!$AF$16-EM!$B$16)),0)+
IF(ROUND(K$11,0)&gt;=26,OFFSET(EM!$B$17,ROW($A27)-ROW($A$26)+(ROW(EM!$C$46)-ROW(EM!$C$14))*(MATCH(K$22,EM!$B$6:$B$9,0)-1),MIN(K$23-EM!$B$16+25,EM!$AF$16-EM!$B$16)),0)+
IF(ROUND(K$11,0)&gt;=27,OFFSET(EM!$B$17,ROW($A27)-ROW($A$26)+(ROW(EM!$C$46)-ROW(EM!$C$14))*(MATCH(K$22,EM!$B$6:$B$9,0)-1),MIN(K$23-EM!$B$16+26,EM!$AF$16-EM!$B$16)),0)+
IF(ROUND(K$11,0)&gt;=28,OFFSET(EM!$B$17,ROW($A27)-ROW($A$26)+(ROW(EM!$C$46)-ROW(EM!$C$14))*(MATCH(K$22,EM!$B$6:$B$9,0)-1),MIN(K$23-EM!$B$16+27,EM!$AF$16-EM!$B$16)),0)+
IF(ROUND(K$11,0)&gt;=29,OFFSET(EM!$B$17,ROW($A27)-ROW($A$26)+(ROW(EM!$C$46)-ROW(EM!$C$14))*(MATCH(K$22,EM!$B$6:$B$9,0)-1),MIN(K$23-EM!$B$16+28,EM!$AF$16-EM!$B$16)),0)+
IF(ROUND(K$11,0)&gt;=30,OFFSET(EM!$B$17,ROW($A27)-ROW($A$26)+(ROW(EM!$C$46)-ROW(EM!$C$14))*(MATCH(K$22,EM!$B$6:$B$9,0)-1),MIN(K$23-EM!$B$16+29,EM!$AF$16-EM!$B$16)),0)+
IF(ROUND(K$11,0)&gt;=31,OFFSET(EM!$B$17,ROW($A27)-ROW($A$26)+(ROW(EM!$C$46)-ROW(EM!$C$14))*(MATCH(K$22,EM!$B$6:$B$9,0)-1),MIN(K$23-EM!$B$16+30,EM!$AF$16-EM!$B$16)),0)+
IF(ROUND(K$11,0)&gt;=32,OFFSET(EM!$B$17,ROW($A27)-ROW($A$26)+(ROW(EM!$C$46)-ROW(EM!$C$14))*(MATCH(K$22,EM!$B$6:$B$9,0)-1),MIN(K$23-EM!$B$16+31,EM!$AF$16-EM!$B$16)),0)+
IF(ROUND(K$11,0)&gt;=33,OFFSET(EM!$B$17,ROW($A27)-ROW($A$26)+(ROW(EM!$C$46)-ROW(EM!$C$14))*(MATCH(K$22,EM!$B$6:$B$9,0)-1),MIN(K$23-EM!$B$16+32,EM!$AF$16-EM!$B$16)),0)+
IF(ROUND(K$11,0)&gt;=34,OFFSET(EM!$B$17,ROW($A27)-ROW($A$26)+(ROW(EM!$C$46)-ROW(EM!$C$14))*(MATCH(K$22,EM!$B$6:$B$9,0)-1),MIN(K$23-EM!$B$16+33,EM!$AF$16-EM!$B$16)),0)+
IF(ROUND(K$11,0)&gt;=35,OFFSET(EM!$B$17,ROW($A27)-ROW($A$26)+(ROW(EM!$C$46)-ROW(EM!$C$14))*(MATCH(K$22,EM!$B$6:$B$9,0)-1),MIN(K$23-EM!$B$16+34,EM!$AF$16-EM!$B$16)),0)+
IF(ROUND(K$11,0)&gt;=36,OFFSET(EM!$B$17,ROW($A27)-ROW($A$26)+(ROW(EM!$C$46)-ROW(EM!$C$14))*(MATCH(K$22,EM!$B$6:$B$9,0)-1),MIN(K$23-EM!$B$16+35,EM!$AF$16-EM!$B$16)),0)+
IF(ROUND(K$11,0)&gt;=37,OFFSET(EM!$B$17,ROW($A27)-ROW($A$26)+(ROW(EM!$C$46)-ROW(EM!$C$14))*(MATCH(K$22,EM!$B$6:$B$9,0)-1),MIN(K$23-EM!$B$16+36,EM!$AF$16-EM!$B$16)),0)+
IF(ROUND(K$11,0)&gt;=38,OFFSET(EM!$B$17,ROW($A27)-ROW($A$26)+(ROW(EM!$C$46)-ROW(EM!$C$14))*(MATCH(K$22,EM!$B$6:$B$9,0)-1),MIN(K$23-EM!$B$16+37,EM!$AF$16-EM!$B$16)),0)+
IF(ROUND(K$11,0)&gt;=39,OFFSET(EM!$B$17,ROW($A27)-ROW($A$26)+(ROW(EM!$C$46)-ROW(EM!$C$14))*(MATCH(K$22,EM!$B$6:$B$9,0)-1),MIN(K$23-EM!$B$16+38,EM!$AF$16-EM!$B$16)),0)+
IF(ROUND(K$11,0)&gt;=40,OFFSET(EM!$B$17,ROW($A27)-ROW($A$26)+(ROW(EM!$C$46)-ROW(EM!$C$14))*(MATCH(K$22,EM!$B$6:$B$9,0)-1),MIN(K$23-EM!$B$16+39,EM!$AF$16-EM!$B$16)),0)
)/ROUND(K$11,0),NA()))</f>
        <v>1.7785427621781775E-2</v>
      </c>
      <c r="L27" s="2046">
        <f ca="1">IF(L$19=GPG!$A$28,IF(ROW(L27)-ROW(L$26)+1=MATCH(L$20,GPG!$A$5:$A$11,0),1,0),
IF(L$19=GPG!$A$29,
(IF(ROUND(L$11,0)&gt;=1,OFFSET(EM!$B$17,ROW($A27)-ROW($A$26)+(ROW(EM!$C$46)-ROW(EM!$C$14))*(MATCH(L$22,EM!$B$6:$B$9,0)-1),MIN(L$23-EM!$B$16,EM!$AF$16-EM!$B$16)),0)+
IF(ROUND(L$11,0)&gt;=2,OFFSET(EM!$B$17,ROW($A27)-ROW($A$26)+(ROW(EM!$C$46)-ROW(EM!$C$14))*(MATCH(L$22,EM!$B$6:$B$9,0)-1),MIN(L$23-EM!$B$16+1,EM!$AF$16-EM!$B$16)),0)+
IF(ROUND(L$11,0)&gt;=3,OFFSET(EM!$B$17,ROW($A27)-ROW($A$26)+(ROW(EM!$C$46)-ROW(EM!$C$14))*(MATCH(L$22,EM!$B$6:$B$9,0)-1),MIN(L$23-EM!$B$16+2,EM!$AF$16-EM!$B$16)),0)+
IF(ROUND(L$11,0)&gt;=4,OFFSET(EM!$B$17,ROW($A27)-ROW($A$26)+(ROW(EM!$C$46)-ROW(EM!$C$14))*(MATCH(L$22,EM!$B$6:$B$9,0)-1),MIN(L$23-EM!$B$16+3,EM!$AF$16-EM!$B$16)),0)+
IF(ROUND(L$11,0)&gt;=5,OFFSET(EM!$B$17,ROW($A27)-ROW($A$26)+(ROW(EM!$C$46)-ROW(EM!$C$14))*(MATCH(L$22,EM!$B$6:$B$9,0)-1),MIN(L$23-EM!$B$16+4,EM!$AF$16-EM!$B$16)),0)+
IF(ROUND(L$11,0)&gt;=6,OFFSET(EM!$B$17,ROW($A27)-ROW($A$26)+(ROW(EM!$C$46)-ROW(EM!$C$14))*(MATCH(L$22,EM!$B$6:$B$9,0)-1),MIN(L$23-EM!$B$16+5,EM!$AF$16-EM!$B$16)),0)+
IF(ROUND(L$11,0)&gt;=7,OFFSET(EM!$B$17,ROW($A27)-ROW($A$26)+(ROW(EM!$C$46)-ROW(EM!$C$14))*(MATCH(L$22,EM!$B$6:$B$9,0)-1),MIN(L$23-EM!$B$16+6,EM!$AF$16-EM!$B$16)),0)+
IF(ROUND(L$11,0)&gt;=8,OFFSET(EM!$B$17,ROW($A27)-ROW($A$26)+(ROW(EM!$C$46)-ROW(EM!$C$14))*(MATCH(L$22,EM!$B$6:$B$9,0)-1),MIN(L$23-EM!$B$16+7,EM!$AF$16-EM!$B$16)),0)+
IF(ROUND(L$11,0)&gt;=9,OFFSET(EM!$B$17,ROW($A27)-ROW($A$26)+(ROW(EM!$C$46)-ROW(EM!$C$14))*(MATCH(L$22,EM!$B$6:$B$9,0)-1),MIN(L$23-EM!$B$16+8,EM!$AF$16-EM!$B$16)),0)+
IF(ROUND(L$11,0)&gt;=10,OFFSET(EM!$B$17,ROW($A27)-ROW($A$26)+(ROW(EM!$C$46)-ROW(EM!$C$14))*(MATCH(L$22,EM!$B$6:$B$9,0)-1),MIN(L$23-EM!$B$16+9,EM!$AF$16-EM!$B$16)),0)+
IF(ROUND(L$11,0)&gt;=11,OFFSET(EM!$B$17,ROW($A27)-ROW($A$26)+(ROW(EM!$C$46)-ROW(EM!$C$14))*(MATCH(L$22,EM!$B$6:$B$9,0)-1),MIN(L$23-EM!$B$16+10,EM!$AF$16-EM!$B$16)),0)+
IF(ROUND(L$11,0)&gt;=12,OFFSET(EM!$B$17,ROW($A27)-ROW($A$26)+(ROW(EM!$C$46)-ROW(EM!$C$14))*(MATCH(L$22,EM!$B$6:$B$9,0)-1),MIN(L$23-EM!$B$16+11,EM!$AF$16-EM!$B$16)),0)+
IF(ROUND(L$11,0)&gt;=13,OFFSET(EM!$B$17,ROW($A27)-ROW($A$26)+(ROW(EM!$C$46)-ROW(EM!$C$14))*(MATCH(L$22,EM!$B$6:$B$9,0)-1),MIN(L$23-EM!$B$16+12,EM!$AF$16-EM!$B$16)),0)+
IF(ROUND(L$11,0)&gt;=14,OFFSET(EM!$B$17,ROW($A27)-ROW($A$26)+(ROW(EM!$C$46)-ROW(EM!$C$14))*(MATCH(L$22,EM!$B$6:$B$9,0)-1),MIN(L$23-EM!$B$16+13,EM!$AF$16-EM!$B$16)),0)+
IF(ROUND(L$11,0)&gt;=15,OFFSET(EM!$B$17,ROW($A27)-ROW($A$26)+(ROW(EM!$C$46)-ROW(EM!$C$14))*(MATCH(L$22,EM!$B$6:$B$9,0)-1),MIN(L$23-EM!$B$16+14,EM!$AF$16-EM!$B$16)),0)+
IF(ROUND(L$11,0)&gt;=16,OFFSET(EM!$B$17,ROW($A27)-ROW($A$26)+(ROW(EM!$C$46)-ROW(EM!$C$14))*(MATCH(L$22,EM!$B$6:$B$9,0)-1),MIN(L$23-EM!$B$16+15,EM!$AF$16-EM!$B$16)),0)+
IF(ROUND(L$11,0)&gt;=17,OFFSET(EM!$B$17,ROW($A27)-ROW($A$26)+(ROW(EM!$C$46)-ROW(EM!$C$14))*(MATCH(L$22,EM!$B$6:$B$9,0)-1),MIN(L$23-EM!$B$16+16,EM!$AF$16-EM!$B$16)),0)+
IF(ROUND(L$11,0)&gt;=18,OFFSET(EM!$B$17,ROW($A27)-ROW($A$26)+(ROW(EM!$C$46)-ROW(EM!$C$14))*(MATCH(L$22,EM!$B$6:$B$9,0)-1),MIN(L$23-EM!$B$16+17,EM!$AF$16-EM!$B$16)),0)+
IF(ROUND(L$11,0)&gt;=19,OFFSET(EM!$B$17,ROW($A27)-ROW($A$26)+(ROW(EM!$C$46)-ROW(EM!$C$14))*(MATCH(L$22,EM!$B$6:$B$9,0)-1),MIN(L$23-EM!$B$16+18,EM!$AF$16-EM!$B$16)),0)+
IF(ROUND(L$11,0)&gt;=20,OFFSET(EM!$B$17,ROW($A27)-ROW($A$26)+(ROW(EM!$C$46)-ROW(EM!$C$14))*(MATCH(L$22,EM!$B$6:$B$9,0)-1),MIN(L$23-EM!$B$16+19,EM!$AF$16-EM!$B$16)),0)+
IF(ROUND(L$11,0)&gt;=21,OFFSET(EM!$B$17,ROW($A27)-ROW($A$26)+(ROW(EM!$C$46)-ROW(EM!$C$14))*(MATCH(L$22,EM!$B$6:$B$9,0)-1),MIN(L$23-EM!$B$16+20,EM!$AF$16-EM!$B$16)),0)+
IF(ROUND(L$11,0)&gt;=22,OFFSET(EM!$B$17,ROW($A27)-ROW($A$26)+(ROW(EM!$C$46)-ROW(EM!$C$14))*(MATCH(L$22,EM!$B$6:$B$9,0)-1),MIN(L$23-EM!$B$16+21,EM!$AF$16-EM!$B$16)),0)+
IF(ROUND(L$11,0)&gt;=23,OFFSET(EM!$B$17,ROW($A27)-ROW($A$26)+(ROW(EM!$C$46)-ROW(EM!$C$14))*(MATCH(L$22,EM!$B$6:$B$9,0)-1),MIN(L$23-EM!$B$16+22,EM!$AF$16-EM!$B$16)),0)+
IF(ROUND(L$11,0)&gt;=24,OFFSET(EM!$B$17,ROW($A27)-ROW($A$26)+(ROW(EM!$C$46)-ROW(EM!$C$14))*(MATCH(L$22,EM!$B$6:$B$9,0)-1),MIN(L$23-EM!$B$16+23,EM!$AF$16-EM!$B$16)),0)+
IF(ROUND(L$11,0)&gt;=25,OFFSET(EM!$B$17,ROW($A27)-ROW($A$26)+(ROW(EM!$C$46)-ROW(EM!$C$14))*(MATCH(L$22,EM!$B$6:$B$9,0)-1),MIN(L$23-EM!$B$16+24,EM!$AF$16-EM!$B$16)),0)+
IF(ROUND(L$11,0)&gt;=26,OFFSET(EM!$B$17,ROW($A27)-ROW($A$26)+(ROW(EM!$C$46)-ROW(EM!$C$14))*(MATCH(L$22,EM!$B$6:$B$9,0)-1),MIN(L$23-EM!$B$16+25,EM!$AF$16-EM!$B$16)),0)+
IF(ROUND(L$11,0)&gt;=27,OFFSET(EM!$B$17,ROW($A27)-ROW($A$26)+(ROW(EM!$C$46)-ROW(EM!$C$14))*(MATCH(L$22,EM!$B$6:$B$9,0)-1),MIN(L$23-EM!$B$16+26,EM!$AF$16-EM!$B$16)),0)+
IF(ROUND(L$11,0)&gt;=28,OFFSET(EM!$B$17,ROW($A27)-ROW($A$26)+(ROW(EM!$C$46)-ROW(EM!$C$14))*(MATCH(L$22,EM!$B$6:$B$9,0)-1),MIN(L$23-EM!$B$16+27,EM!$AF$16-EM!$B$16)),0)+
IF(ROUND(L$11,0)&gt;=29,OFFSET(EM!$B$17,ROW($A27)-ROW($A$26)+(ROW(EM!$C$46)-ROW(EM!$C$14))*(MATCH(L$22,EM!$B$6:$B$9,0)-1),MIN(L$23-EM!$B$16+28,EM!$AF$16-EM!$B$16)),0)+
IF(ROUND(L$11,0)&gt;=30,OFFSET(EM!$B$17,ROW($A27)-ROW($A$26)+(ROW(EM!$C$46)-ROW(EM!$C$14))*(MATCH(L$22,EM!$B$6:$B$9,0)-1),MIN(L$23-EM!$B$16+29,EM!$AF$16-EM!$B$16)),0)+
IF(ROUND(L$11,0)&gt;=31,OFFSET(EM!$B$17,ROW($A27)-ROW($A$26)+(ROW(EM!$C$46)-ROW(EM!$C$14))*(MATCH(L$22,EM!$B$6:$B$9,0)-1),MIN(L$23-EM!$B$16+30,EM!$AF$16-EM!$B$16)),0)+
IF(ROUND(L$11,0)&gt;=32,OFFSET(EM!$B$17,ROW($A27)-ROW($A$26)+(ROW(EM!$C$46)-ROW(EM!$C$14))*(MATCH(L$22,EM!$B$6:$B$9,0)-1),MIN(L$23-EM!$B$16+31,EM!$AF$16-EM!$B$16)),0)+
IF(ROUND(L$11,0)&gt;=33,OFFSET(EM!$B$17,ROW($A27)-ROW($A$26)+(ROW(EM!$C$46)-ROW(EM!$C$14))*(MATCH(L$22,EM!$B$6:$B$9,0)-1),MIN(L$23-EM!$B$16+32,EM!$AF$16-EM!$B$16)),0)+
IF(ROUND(L$11,0)&gt;=34,OFFSET(EM!$B$17,ROW($A27)-ROW($A$26)+(ROW(EM!$C$46)-ROW(EM!$C$14))*(MATCH(L$22,EM!$B$6:$B$9,0)-1),MIN(L$23-EM!$B$16+33,EM!$AF$16-EM!$B$16)),0)+
IF(ROUND(L$11,0)&gt;=35,OFFSET(EM!$B$17,ROW($A27)-ROW($A$26)+(ROW(EM!$C$46)-ROW(EM!$C$14))*(MATCH(L$22,EM!$B$6:$B$9,0)-1),MIN(L$23-EM!$B$16+34,EM!$AF$16-EM!$B$16)),0)+
IF(ROUND(L$11,0)&gt;=36,OFFSET(EM!$B$17,ROW($A27)-ROW($A$26)+(ROW(EM!$C$46)-ROW(EM!$C$14))*(MATCH(L$22,EM!$B$6:$B$9,0)-1),MIN(L$23-EM!$B$16+35,EM!$AF$16-EM!$B$16)),0)+
IF(ROUND(L$11,0)&gt;=37,OFFSET(EM!$B$17,ROW($A27)-ROW($A$26)+(ROW(EM!$C$46)-ROW(EM!$C$14))*(MATCH(L$22,EM!$B$6:$B$9,0)-1),MIN(L$23-EM!$B$16+36,EM!$AF$16-EM!$B$16)),0)+
IF(ROUND(L$11,0)&gt;=38,OFFSET(EM!$B$17,ROW($A27)-ROW($A$26)+(ROW(EM!$C$46)-ROW(EM!$C$14))*(MATCH(L$22,EM!$B$6:$B$9,0)-1),MIN(L$23-EM!$B$16+37,EM!$AF$16-EM!$B$16)),0)+
IF(ROUND(L$11,0)&gt;=39,OFFSET(EM!$B$17,ROW($A27)-ROW($A$26)+(ROW(EM!$C$46)-ROW(EM!$C$14))*(MATCH(L$22,EM!$B$6:$B$9,0)-1),MIN(L$23-EM!$B$16+38,EM!$AF$16-EM!$B$16)),0)+
IF(ROUND(L$11,0)&gt;=40,OFFSET(EM!$B$17,ROW($A27)-ROW($A$26)+(ROW(EM!$C$46)-ROW(EM!$C$14))*(MATCH(L$22,EM!$B$6:$B$9,0)-1),MIN(L$23-EM!$B$16+39,EM!$AF$16-EM!$B$16)),0)
)/ROUND(L$11,0),NA()))</f>
        <v>2.4786228463300329E-2</v>
      </c>
      <c r="M27" s="2046">
        <f ca="1">IF(M$19=GPG!$A$28,IF(ROW(M27)-ROW(M$26)+1=MATCH(M$20,GPG!$A$5:$A$11,0),1,0),
IF(M$19=GPG!$A$29,
(IF(ROUND(M$11,0)&gt;=1,OFFSET(EM!$B$17,ROW($A27)-ROW($A$26)+(ROW(EM!$C$46)-ROW(EM!$C$14))*(MATCH(M$22,EM!$B$6:$B$9,0)-1),MIN(M$23-EM!$B$16,EM!$AF$16-EM!$B$16)),0)+
IF(ROUND(M$11,0)&gt;=2,OFFSET(EM!$B$17,ROW($A27)-ROW($A$26)+(ROW(EM!$C$46)-ROW(EM!$C$14))*(MATCH(M$22,EM!$B$6:$B$9,0)-1),MIN(M$23-EM!$B$16+1,EM!$AF$16-EM!$B$16)),0)+
IF(ROUND(M$11,0)&gt;=3,OFFSET(EM!$B$17,ROW($A27)-ROW($A$26)+(ROW(EM!$C$46)-ROW(EM!$C$14))*(MATCH(M$22,EM!$B$6:$B$9,0)-1),MIN(M$23-EM!$B$16+2,EM!$AF$16-EM!$B$16)),0)+
IF(ROUND(M$11,0)&gt;=4,OFFSET(EM!$B$17,ROW($A27)-ROW($A$26)+(ROW(EM!$C$46)-ROW(EM!$C$14))*(MATCH(M$22,EM!$B$6:$B$9,0)-1),MIN(M$23-EM!$B$16+3,EM!$AF$16-EM!$B$16)),0)+
IF(ROUND(M$11,0)&gt;=5,OFFSET(EM!$B$17,ROW($A27)-ROW($A$26)+(ROW(EM!$C$46)-ROW(EM!$C$14))*(MATCH(M$22,EM!$B$6:$B$9,0)-1),MIN(M$23-EM!$B$16+4,EM!$AF$16-EM!$B$16)),0)+
IF(ROUND(M$11,0)&gt;=6,OFFSET(EM!$B$17,ROW($A27)-ROW($A$26)+(ROW(EM!$C$46)-ROW(EM!$C$14))*(MATCH(M$22,EM!$B$6:$B$9,0)-1),MIN(M$23-EM!$B$16+5,EM!$AF$16-EM!$B$16)),0)+
IF(ROUND(M$11,0)&gt;=7,OFFSET(EM!$B$17,ROW($A27)-ROW($A$26)+(ROW(EM!$C$46)-ROW(EM!$C$14))*(MATCH(M$22,EM!$B$6:$B$9,0)-1),MIN(M$23-EM!$B$16+6,EM!$AF$16-EM!$B$16)),0)+
IF(ROUND(M$11,0)&gt;=8,OFFSET(EM!$B$17,ROW($A27)-ROW($A$26)+(ROW(EM!$C$46)-ROW(EM!$C$14))*(MATCH(M$22,EM!$B$6:$B$9,0)-1),MIN(M$23-EM!$B$16+7,EM!$AF$16-EM!$B$16)),0)+
IF(ROUND(M$11,0)&gt;=9,OFFSET(EM!$B$17,ROW($A27)-ROW($A$26)+(ROW(EM!$C$46)-ROW(EM!$C$14))*(MATCH(M$22,EM!$B$6:$B$9,0)-1),MIN(M$23-EM!$B$16+8,EM!$AF$16-EM!$B$16)),0)+
IF(ROUND(M$11,0)&gt;=10,OFFSET(EM!$B$17,ROW($A27)-ROW($A$26)+(ROW(EM!$C$46)-ROW(EM!$C$14))*(MATCH(M$22,EM!$B$6:$B$9,0)-1),MIN(M$23-EM!$B$16+9,EM!$AF$16-EM!$B$16)),0)+
IF(ROUND(M$11,0)&gt;=11,OFFSET(EM!$B$17,ROW($A27)-ROW($A$26)+(ROW(EM!$C$46)-ROW(EM!$C$14))*(MATCH(M$22,EM!$B$6:$B$9,0)-1),MIN(M$23-EM!$B$16+10,EM!$AF$16-EM!$B$16)),0)+
IF(ROUND(M$11,0)&gt;=12,OFFSET(EM!$B$17,ROW($A27)-ROW($A$26)+(ROW(EM!$C$46)-ROW(EM!$C$14))*(MATCH(M$22,EM!$B$6:$B$9,0)-1),MIN(M$23-EM!$B$16+11,EM!$AF$16-EM!$B$16)),0)+
IF(ROUND(M$11,0)&gt;=13,OFFSET(EM!$B$17,ROW($A27)-ROW($A$26)+(ROW(EM!$C$46)-ROW(EM!$C$14))*(MATCH(M$22,EM!$B$6:$B$9,0)-1),MIN(M$23-EM!$B$16+12,EM!$AF$16-EM!$B$16)),0)+
IF(ROUND(M$11,0)&gt;=14,OFFSET(EM!$B$17,ROW($A27)-ROW($A$26)+(ROW(EM!$C$46)-ROW(EM!$C$14))*(MATCH(M$22,EM!$B$6:$B$9,0)-1),MIN(M$23-EM!$B$16+13,EM!$AF$16-EM!$B$16)),0)+
IF(ROUND(M$11,0)&gt;=15,OFFSET(EM!$B$17,ROW($A27)-ROW($A$26)+(ROW(EM!$C$46)-ROW(EM!$C$14))*(MATCH(M$22,EM!$B$6:$B$9,0)-1),MIN(M$23-EM!$B$16+14,EM!$AF$16-EM!$B$16)),0)+
IF(ROUND(M$11,0)&gt;=16,OFFSET(EM!$B$17,ROW($A27)-ROW($A$26)+(ROW(EM!$C$46)-ROW(EM!$C$14))*(MATCH(M$22,EM!$B$6:$B$9,0)-1),MIN(M$23-EM!$B$16+15,EM!$AF$16-EM!$B$16)),0)+
IF(ROUND(M$11,0)&gt;=17,OFFSET(EM!$B$17,ROW($A27)-ROW($A$26)+(ROW(EM!$C$46)-ROW(EM!$C$14))*(MATCH(M$22,EM!$B$6:$B$9,0)-1),MIN(M$23-EM!$B$16+16,EM!$AF$16-EM!$B$16)),0)+
IF(ROUND(M$11,0)&gt;=18,OFFSET(EM!$B$17,ROW($A27)-ROW($A$26)+(ROW(EM!$C$46)-ROW(EM!$C$14))*(MATCH(M$22,EM!$B$6:$B$9,0)-1),MIN(M$23-EM!$B$16+17,EM!$AF$16-EM!$B$16)),0)+
IF(ROUND(M$11,0)&gt;=19,OFFSET(EM!$B$17,ROW($A27)-ROW($A$26)+(ROW(EM!$C$46)-ROW(EM!$C$14))*(MATCH(M$22,EM!$B$6:$B$9,0)-1),MIN(M$23-EM!$B$16+18,EM!$AF$16-EM!$B$16)),0)+
IF(ROUND(M$11,0)&gt;=20,OFFSET(EM!$B$17,ROW($A27)-ROW($A$26)+(ROW(EM!$C$46)-ROW(EM!$C$14))*(MATCH(M$22,EM!$B$6:$B$9,0)-1),MIN(M$23-EM!$B$16+19,EM!$AF$16-EM!$B$16)),0)+
IF(ROUND(M$11,0)&gt;=21,OFFSET(EM!$B$17,ROW($A27)-ROW($A$26)+(ROW(EM!$C$46)-ROW(EM!$C$14))*(MATCH(M$22,EM!$B$6:$B$9,0)-1),MIN(M$23-EM!$B$16+20,EM!$AF$16-EM!$B$16)),0)+
IF(ROUND(M$11,0)&gt;=22,OFFSET(EM!$B$17,ROW($A27)-ROW($A$26)+(ROW(EM!$C$46)-ROW(EM!$C$14))*(MATCH(M$22,EM!$B$6:$B$9,0)-1),MIN(M$23-EM!$B$16+21,EM!$AF$16-EM!$B$16)),0)+
IF(ROUND(M$11,0)&gt;=23,OFFSET(EM!$B$17,ROW($A27)-ROW($A$26)+(ROW(EM!$C$46)-ROW(EM!$C$14))*(MATCH(M$22,EM!$B$6:$B$9,0)-1),MIN(M$23-EM!$B$16+22,EM!$AF$16-EM!$B$16)),0)+
IF(ROUND(M$11,0)&gt;=24,OFFSET(EM!$B$17,ROW($A27)-ROW($A$26)+(ROW(EM!$C$46)-ROW(EM!$C$14))*(MATCH(M$22,EM!$B$6:$B$9,0)-1),MIN(M$23-EM!$B$16+23,EM!$AF$16-EM!$B$16)),0)+
IF(ROUND(M$11,0)&gt;=25,OFFSET(EM!$B$17,ROW($A27)-ROW($A$26)+(ROW(EM!$C$46)-ROW(EM!$C$14))*(MATCH(M$22,EM!$B$6:$B$9,0)-1),MIN(M$23-EM!$B$16+24,EM!$AF$16-EM!$B$16)),0)+
IF(ROUND(M$11,0)&gt;=26,OFFSET(EM!$B$17,ROW($A27)-ROW($A$26)+(ROW(EM!$C$46)-ROW(EM!$C$14))*(MATCH(M$22,EM!$B$6:$B$9,0)-1),MIN(M$23-EM!$B$16+25,EM!$AF$16-EM!$B$16)),0)+
IF(ROUND(M$11,0)&gt;=27,OFFSET(EM!$B$17,ROW($A27)-ROW($A$26)+(ROW(EM!$C$46)-ROW(EM!$C$14))*(MATCH(M$22,EM!$B$6:$B$9,0)-1),MIN(M$23-EM!$B$16+26,EM!$AF$16-EM!$B$16)),0)+
IF(ROUND(M$11,0)&gt;=28,OFFSET(EM!$B$17,ROW($A27)-ROW($A$26)+(ROW(EM!$C$46)-ROW(EM!$C$14))*(MATCH(M$22,EM!$B$6:$B$9,0)-1),MIN(M$23-EM!$B$16+27,EM!$AF$16-EM!$B$16)),0)+
IF(ROUND(M$11,0)&gt;=29,OFFSET(EM!$B$17,ROW($A27)-ROW($A$26)+(ROW(EM!$C$46)-ROW(EM!$C$14))*(MATCH(M$22,EM!$B$6:$B$9,0)-1),MIN(M$23-EM!$B$16+28,EM!$AF$16-EM!$B$16)),0)+
IF(ROUND(M$11,0)&gt;=30,OFFSET(EM!$B$17,ROW($A27)-ROW($A$26)+(ROW(EM!$C$46)-ROW(EM!$C$14))*(MATCH(M$22,EM!$B$6:$B$9,0)-1),MIN(M$23-EM!$B$16+29,EM!$AF$16-EM!$B$16)),0)+
IF(ROUND(M$11,0)&gt;=31,OFFSET(EM!$B$17,ROW($A27)-ROW($A$26)+(ROW(EM!$C$46)-ROW(EM!$C$14))*(MATCH(M$22,EM!$B$6:$B$9,0)-1),MIN(M$23-EM!$B$16+30,EM!$AF$16-EM!$B$16)),0)+
IF(ROUND(M$11,0)&gt;=32,OFFSET(EM!$B$17,ROW($A27)-ROW($A$26)+(ROW(EM!$C$46)-ROW(EM!$C$14))*(MATCH(M$22,EM!$B$6:$B$9,0)-1),MIN(M$23-EM!$B$16+31,EM!$AF$16-EM!$B$16)),0)+
IF(ROUND(M$11,0)&gt;=33,OFFSET(EM!$B$17,ROW($A27)-ROW($A$26)+(ROW(EM!$C$46)-ROW(EM!$C$14))*(MATCH(M$22,EM!$B$6:$B$9,0)-1),MIN(M$23-EM!$B$16+32,EM!$AF$16-EM!$B$16)),0)+
IF(ROUND(M$11,0)&gt;=34,OFFSET(EM!$B$17,ROW($A27)-ROW($A$26)+(ROW(EM!$C$46)-ROW(EM!$C$14))*(MATCH(M$22,EM!$B$6:$B$9,0)-1),MIN(M$23-EM!$B$16+33,EM!$AF$16-EM!$B$16)),0)+
IF(ROUND(M$11,0)&gt;=35,OFFSET(EM!$B$17,ROW($A27)-ROW($A$26)+(ROW(EM!$C$46)-ROW(EM!$C$14))*(MATCH(M$22,EM!$B$6:$B$9,0)-1),MIN(M$23-EM!$B$16+34,EM!$AF$16-EM!$B$16)),0)+
IF(ROUND(M$11,0)&gt;=36,OFFSET(EM!$B$17,ROW($A27)-ROW($A$26)+(ROW(EM!$C$46)-ROW(EM!$C$14))*(MATCH(M$22,EM!$B$6:$B$9,0)-1),MIN(M$23-EM!$B$16+35,EM!$AF$16-EM!$B$16)),0)+
IF(ROUND(M$11,0)&gt;=37,OFFSET(EM!$B$17,ROW($A27)-ROW($A$26)+(ROW(EM!$C$46)-ROW(EM!$C$14))*(MATCH(M$22,EM!$B$6:$B$9,0)-1),MIN(M$23-EM!$B$16+36,EM!$AF$16-EM!$B$16)),0)+
IF(ROUND(M$11,0)&gt;=38,OFFSET(EM!$B$17,ROW($A27)-ROW($A$26)+(ROW(EM!$C$46)-ROW(EM!$C$14))*(MATCH(M$22,EM!$B$6:$B$9,0)-1),MIN(M$23-EM!$B$16+37,EM!$AF$16-EM!$B$16)),0)+
IF(ROUND(M$11,0)&gt;=39,OFFSET(EM!$B$17,ROW($A27)-ROW($A$26)+(ROW(EM!$C$46)-ROW(EM!$C$14))*(MATCH(M$22,EM!$B$6:$B$9,0)-1),MIN(M$23-EM!$B$16+38,EM!$AF$16-EM!$B$16)),0)+
IF(ROUND(M$11,0)&gt;=40,OFFSET(EM!$B$17,ROW($A27)-ROW($A$26)+(ROW(EM!$C$46)-ROW(EM!$C$14))*(MATCH(M$22,EM!$B$6:$B$9,0)-1),MIN(M$23-EM!$B$16+39,EM!$AF$16-EM!$B$16)),0)
)/ROUND(M$11,0),NA()))</f>
        <v>1.4926372532259334E-2</v>
      </c>
      <c r="N27" s="2046">
        <f ca="1">IF(N$19=GPG!$A$28,IF(ROW(N27)-ROW(N$26)+1=MATCH(N$20,GPG!$A$5:$A$11,0),1,0),
IF(N$19=GPG!$A$29,
(IF(ROUND(N$11,0)&gt;=1,OFFSET(EM!$B$17,ROW($A27)-ROW($A$26)+(ROW(EM!$C$46)-ROW(EM!$C$14))*(MATCH(N$22,EM!$B$6:$B$9,0)-1),MIN(N$23-EM!$B$16,EM!$AF$16-EM!$B$16)),0)+
IF(ROUND(N$11,0)&gt;=2,OFFSET(EM!$B$17,ROW($A27)-ROW($A$26)+(ROW(EM!$C$46)-ROW(EM!$C$14))*(MATCH(N$22,EM!$B$6:$B$9,0)-1),MIN(N$23-EM!$B$16+1,EM!$AF$16-EM!$B$16)),0)+
IF(ROUND(N$11,0)&gt;=3,OFFSET(EM!$B$17,ROW($A27)-ROW($A$26)+(ROW(EM!$C$46)-ROW(EM!$C$14))*(MATCH(N$22,EM!$B$6:$B$9,0)-1),MIN(N$23-EM!$B$16+2,EM!$AF$16-EM!$B$16)),0)+
IF(ROUND(N$11,0)&gt;=4,OFFSET(EM!$B$17,ROW($A27)-ROW($A$26)+(ROW(EM!$C$46)-ROW(EM!$C$14))*(MATCH(N$22,EM!$B$6:$B$9,0)-1),MIN(N$23-EM!$B$16+3,EM!$AF$16-EM!$B$16)),0)+
IF(ROUND(N$11,0)&gt;=5,OFFSET(EM!$B$17,ROW($A27)-ROW($A$26)+(ROW(EM!$C$46)-ROW(EM!$C$14))*(MATCH(N$22,EM!$B$6:$B$9,0)-1),MIN(N$23-EM!$B$16+4,EM!$AF$16-EM!$B$16)),0)+
IF(ROUND(N$11,0)&gt;=6,OFFSET(EM!$B$17,ROW($A27)-ROW($A$26)+(ROW(EM!$C$46)-ROW(EM!$C$14))*(MATCH(N$22,EM!$B$6:$B$9,0)-1),MIN(N$23-EM!$B$16+5,EM!$AF$16-EM!$B$16)),0)+
IF(ROUND(N$11,0)&gt;=7,OFFSET(EM!$B$17,ROW($A27)-ROW($A$26)+(ROW(EM!$C$46)-ROW(EM!$C$14))*(MATCH(N$22,EM!$B$6:$B$9,0)-1),MIN(N$23-EM!$B$16+6,EM!$AF$16-EM!$B$16)),0)+
IF(ROUND(N$11,0)&gt;=8,OFFSET(EM!$B$17,ROW($A27)-ROW($A$26)+(ROW(EM!$C$46)-ROW(EM!$C$14))*(MATCH(N$22,EM!$B$6:$B$9,0)-1),MIN(N$23-EM!$B$16+7,EM!$AF$16-EM!$B$16)),0)+
IF(ROUND(N$11,0)&gt;=9,OFFSET(EM!$B$17,ROW($A27)-ROW($A$26)+(ROW(EM!$C$46)-ROW(EM!$C$14))*(MATCH(N$22,EM!$B$6:$B$9,0)-1),MIN(N$23-EM!$B$16+8,EM!$AF$16-EM!$B$16)),0)+
IF(ROUND(N$11,0)&gt;=10,OFFSET(EM!$B$17,ROW($A27)-ROW($A$26)+(ROW(EM!$C$46)-ROW(EM!$C$14))*(MATCH(N$22,EM!$B$6:$B$9,0)-1),MIN(N$23-EM!$B$16+9,EM!$AF$16-EM!$B$16)),0)+
IF(ROUND(N$11,0)&gt;=11,OFFSET(EM!$B$17,ROW($A27)-ROW($A$26)+(ROW(EM!$C$46)-ROW(EM!$C$14))*(MATCH(N$22,EM!$B$6:$B$9,0)-1),MIN(N$23-EM!$B$16+10,EM!$AF$16-EM!$B$16)),0)+
IF(ROUND(N$11,0)&gt;=12,OFFSET(EM!$B$17,ROW($A27)-ROW($A$26)+(ROW(EM!$C$46)-ROW(EM!$C$14))*(MATCH(N$22,EM!$B$6:$B$9,0)-1),MIN(N$23-EM!$B$16+11,EM!$AF$16-EM!$B$16)),0)+
IF(ROUND(N$11,0)&gt;=13,OFFSET(EM!$B$17,ROW($A27)-ROW($A$26)+(ROW(EM!$C$46)-ROW(EM!$C$14))*(MATCH(N$22,EM!$B$6:$B$9,0)-1),MIN(N$23-EM!$B$16+12,EM!$AF$16-EM!$B$16)),0)+
IF(ROUND(N$11,0)&gt;=14,OFFSET(EM!$B$17,ROW($A27)-ROW($A$26)+(ROW(EM!$C$46)-ROW(EM!$C$14))*(MATCH(N$22,EM!$B$6:$B$9,0)-1),MIN(N$23-EM!$B$16+13,EM!$AF$16-EM!$B$16)),0)+
IF(ROUND(N$11,0)&gt;=15,OFFSET(EM!$B$17,ROW($A27)-ROW($A$26)+(ROW(EM!$C$46)-ROW(EM!$C$14))*(MATCH(N$22,EM!$B$6:$B$9,0)-1),MIN(N$23-EM!$B$16+14,EM!$AF$16-EM!$B$16)),0)+
IF(ROUND(N$11,0)&gt;=16,OFFSET(EM!$B$17,ROW($A27)-ROW($A$26)+(ROW(EM!$C$46)-ROW(EM!$C$14))*(MATCH(N$22,EM!$B$6:$B$9,0)-1),MIN(N$23-EM!$B$16+15,EM!$AF$16-EM!$B$16)),0)+
IF(ROUND(N$11,0)&gt;=17,OFFSET(EM!$B$17,ROW($A27)-ROW($A$26)+(ROW(EM!$C$46)-ROW(EM!$C$14))*(MATCH(N$22,EM!$B$6:$B$9,0)-1),MIN(N$23-EM!$B$16+16,EM!$AF$16-EM!$B$16)),0)+
IF(ROUND(N$11,0)&gt;=18,OFFSET(EM!$B$17,ROW($A27)-ROW($A$26)+(ROW(EM!$C$46)-ROW(EM!$C$14))*(MATCH(N$22,EM!$B$6:$B$9,0)-1),MIN(N$23-EM!$B$16+17,EM!$AF$16-EM!$B$16)),0)+
IF(ROUND(N$11,0)&gt;=19,OFFSET(EM!$B$17,ROW($A27)-ROW($A$26)+(ROW(EM!$C$46)-ROW(EM!$C$14))*(MATCH(N$22,EM!$B$6:$B$9,0)-1),MIN(N$23-EM!$B$16+18,EM!$AF$16-EM!$B$16)),0)+
IF(ROUND(N$11,0)&gt;=20,OFFSET(EM!$B$17,ROW($A27)-ROW($A$26)+(ROW(EM!$C$46)-ROW(EM!$C$14))*(MATCH(N$22,EM!$B$6:$B$9,0)-1),MIN(N$23-EM!$B$16+19,EM!$AF$16-EM!$B$16)),0)+
IF(ROUND(N$11,0)&gt;=21,OFFSET(EM!$B$17,ROW($A27)-ROW($A$26)+(ROW(EM!$C$46)-ROW(EM!$C$14))*(MATCH(N$22,EM!$B$6:$B$9,0)-1),MIN(N$23-EM!$B$16+20,EM!$AF$16-EM!$B$16)),0)+
IF(ROUND(N$11,0)&gt;=22,OFFSET(EM!$B$17,ROW($A27)-ROW($A$26)+(ROW(EM!$C$46)-ROW(EM!$C$14))*(MATCH(N$22,EM!$B$6:$B$9,0)-1),MIN(N$23-EM!$B$16+21,EM!$AF$16-EM!$B$16)),0)+
IF(ROUND(N$11,0)&gt;=23,OFFSET(EM!$B$17,ROW($A27)-ROW($A$26)+(ROW(EM!$C$46)-ROW(EM!$C$14))*(MATCH(N$22,EM!$B$6:$B$9,0)-1),MIN(N$23-EM!$B$16+22,EM!$AF$16-EM!$B$16)),0)+
IF(ROUND(N$11,0)&gt;=24,OFFSET(EM!$B$17,ROW($A27)-ROW($A$26)+(ROW(EM!$C$46)-ROW(EM!$C$14))*(MATCH(N$22,EM!$B$6:$B$9,0)-1),MIN(N$23-EM!$B$16+23,EM!$AF$16-EM!$B$16)),0)+
IF(ROUND(N$11,0)&gt;=25,OFFSET(EM!$B$17,ROW($A27)-ROW($A$26)+(ROW(EM!$C$46)-ROW(EM!$C$14))*(MATCH(N$22,EM!$B$6:$B$9,0)-1),MIN(N$23-EM!$B$16+24,EM!$AF$16-EM!$B$16)),0)+
IF(ROUND(N$11,0)&gt;=26,OFFSET(EM!$B$17,ROW($A27)-ROW($A$26)+(ROW(EM!$C$46)-ROW(EM!$C$14))*(MATCH(N$22,EM!$B$6:$B$9,0)-1),MIN(N$23-EM!$B$16+25,EM!$AF$16-EM!$B$16)),0)+
IF(ROUND(N$11,0)&gt;=27,OFFSET(EM!$B$17,ROW($A27)-ROW($A$26)+(ROW(EM!$C$46)-ROW(EM!$C$14))*(MATCH(N$22,EM!$B$6:$B$9,0)-1),MIN(N$23-EM!$B$16+26,EM!$AF$16-EM!$B$16)),0)+
IF(ROUND(N$11,0)&gt;=28,OFFSET(EM!$B$17,ROW($A27)-ROW($A$26)+(ROW(EM!$C$46)-ROW(EM!$C$14))*(MATCH(N$22,EM!$B$6:$B$9,0)-1),MIN(N$23-EM!$B$16+27,EM!$AF$16-EM!$B$16)),0)+
IF(ROUND(N$11,0)&gt;=29,OFFSET(EM!$B$17,ROW($A27)-ROW($A$26)+(ROW(EM!$C$46)-ROW(EM!$C$14))*(MATCH(N$22,EM!$B$6:$B$9,0)-1),MIN(N$23-EM!$B$16+28,EM!$AF$16-EM!$B$16)),0)+
IF(ROUND(N$11,0)&gt;=30,OFFSET(EM!$B$17,ROW($A27)-ROW($A$26)+(ROW(EM!$C$46)-ROW(EM!$C$14))*(MATCH(N$22,EM!$B$6:$B$9,0)-1),MIN(N$23-EM!$B$16+29,EM!$AF$16-EM!$B$16)),0)+
IF(ROUND(N$11,0)&gt;=31,OFFSET(EM!$B$17,ROW($A27)-ROW($A$26)+(ROW(EM!$C$46)-ROW(EM!$C$14))*(MATCH(N$22,EM!$B$6:$B$9,0)-1),MIN(N$23-EM!$B$16+30,EM!$AF$16-EM!$B$16)),0)+
IF(ROUND(N$11,0)&gt;=32,OFFSET(EM!$B$17,ROW($A27)-ROW($A$26)+(ROW(EM!$C$46)-ROW(EM!$C$14))*(MATCH(N$22,EM!$B$6:$B$9,0)-1),MIN(N$23-EM!$B$16+31,EM!$AF$16-EM!$B$16)),0)+
IF(ROUND(N$11,0)&gt;=33,OFFSET(EM!$B$17,ROW($A27)-ROW($A$26)+(ROW(EM!$C$46)-ROW(EM!$C$14))*(MATCH(N$22,EM!$B$6:$B$9,0)-1),MIN(N$23-EM!$B$16+32,EM!$AF$16-EM!$B$16)),0)+
IF(ROUND(N$11,0)&gt;=34,OFFSET(EM!$B$17,ROW($A27)-ROW($A$26)+(ROW(EM!$C$46)-ROW(EM!$C$14))*(MATCH(N$22,EM!$B$6:$B$9,0)-1),MIN(N$23-EM!$B$16+33,EM!$AF$16-EM!$B$16)),0)+
IF(ROUND(N$11,0)&gt;=35,OFFSET(EM!$B$17,ROW($A27)-ROW($A$26)+(ROW(EM!$C$46)-ROW(EM!$C$14))*(MATCH(N$22,EM!$B$6:$B$9,0)-1),MIN(N$23-EM!$B$16+34,EM!$AF$16-EM!$B$16)),0)+
IF(ROUND(N$11,0)&gt;=36,OFFSET(EM!$B$17,ROW($A27)-ROW($A$26)+(ROW(EM!$C$46)-ROW(EM!$C$14))*(MATCH(N$22,EM!$B$6:$B$9,0)-1),MIN(N$23-EM!$B$16+35,EM!$AF$16-EM!$B$16)),0)+
IF(ROUND(N$11,0)&gt;=37,OFFSET(EM!$B$17,ROW($A27)-ROW($A$26)+(ROW(EM!$C$46)-ROW(EM!$C$14))*(MATCH(N$22,EM!$B$6:$B$9,0)-1),MIN(N$23-EM!$B$16+36,EM!$AF$16-EM!$B$16)),0)+
IF(ROUND(N$11,0)&gt;=38,OFFSET(EM!$B$17,ROW($A27)-ROW($A$26)+(ROW(EM!$C$46)-ROW(EM!$C$14))*(MATCH(N$22,EM!$B$6:$B$9,0)-1),MIN(N$23-EM!$B$16+37,EM!$AF$16-EM!$B$16)),0)+
IF(ROUND(N$11,0)&gt;=39,OFFSET(EM!$B$17,ROW($A27)-ROW($A$26)+(ROW(EM!$C$46)-ROW(EM!$C$14))*(MATCH(N$22,EM!$B$6:$B$9,0)-1),MIN(N$23-EM!$B$16+38,EM!$AF$16-EM!$B$16)),0)+
IF(ROUND(N$11,0)&gt;=40,OFFSET(EM!$B$17,ROW($A27)-ROW($A$26)+(ROW(EM!$C$46)-ROW(EM!$C$14))*(MATCH(N$22,EM!$B$6:$B$9,0)-1),MIN(N$23-EM!$B$16+39,EM!$AF$16-EM!$B$16)),0)
)/ROUND(N$11,0),NA()))</f>
        <v>1.4926372532259334E-2</v>
      </c>
      <c r="O27" s="2046">
        <f ca="1">IF(O$19=GPG!$A$28,IF(ROW(O27)-ROW(O$26)+1=MATCH(O$20,GPG!$A$5:$A$11,0),1,0),
IF(O$19=GPG!$A$29,
(IF(ROUND(O$11,0)&gt;=1,OFFSET(EM!$B$17,ROW($A27)-ROW($A$26)+(ROW(EM!$C$46)-ROW(EM!$C$14))*(MATCH(O$22,EM!$B$6:$B$9,0)-1),MIN(O$23-EM!$B$16,EM!$AF$16-EM!$B$16)),0)+
IF(ROUND(O$11,0)&gt;=2,OFFSET(EM!$B$17,ROW($A27)-ROW($A$26)+(ROW(EM!$C$46)-ROW(EM!$C$14))*(MATCH(O$22,EM!$B$6:$B$9,0)-1),MIN(O$23-EM!$B$16+1,EM!$AF$16-EM!$B$16)),0)+
IF(ROUND(O$11,0)&gt;=3,OFFSET(EM!$B$17,ROW($A27)-ROW($A$26)+(ROW(EM!$C$46)-ROW(EM!$C$14))*(MATCH(O$22,EM!$B$6:$B$9,0)-1),MIN(O$23-EM!$B$16+2,EM!$AF$16-EM!$B$16)),0)+
IF(ROUND(O$11,0)&gt;=4,OFFSET(EM!$B$17,ROW($A27)-ROW($A$26)+(ROW(EM!$C$46)-ROW(EM!$C$14))*(MATCH(O$22,EM!$B$6:$B$9,0)-1),MIN(O$23-EM!$B$16+3,EM!$AF$16-EM!$B$16)),0)+
IF(ROUND(O$11,0)&gt;=5,OFFSET(EM!$B$17,ROW($A27)-ROW($A$26)+(ROW(EM!$C$46)-ROW(EM!$C$14))*(MATCH(O$22,EM!$B$6:$B$9,0)-1),MIN(O$23-EM!$B$16+4,EM!$AF$16-EM!$B$16)),0)+
IF(ROUND(O$11,0)&gt;=6,OFFSET(EM!$B$17,ROW($A27)-ROW($A$26)+(ROW(EM!$C$46)-ROW(EM!$C$14))*(MATCH(O$22,EM!$B$6:$B$9,0)-1),MIN(O$23-EM!$B$16+5,EM!$AF$16-EM!$B$16)),0)+
IF(ROUND(O$11,0)&gt;=7,OFFSET(EM!$B$17,ROW($A27)-ROW($A$26)+(ROW(EM!$C$46)-ROW(EM!$C$14))*(MATCH(O$22,EM!$B$6:$B$9,0)-1),MIN(O$23-EM!$B$16+6,EM!$AF$16-EM!$B$16)),0)+
IF(ROUND(O$11,0)&gt;=8,OFFSET(EM!$B$17,ROW($A27)-ROW($A$26)+(ROW(EM!$C$46)-ROW(EM!$C$14))*(MATCH(O$22,EM!$B$6:$B$9,0)-1),MIN(O$23-EM!$B$16+7,EM!$AF$16-EM!$B$16)),0)+
IF(ROUND(O$11,0)&gt;=9,OFFSET(EM!$B$17,ROW($A27)-ROW($A$26)+(ROW(EM!$C$46)-ROW(EM!$C$14))*(MATCH(O$22,EM!$B$6:$B$9,0)-1),MIN(O$23-EM!$B$16+8,EM!$AF$16-EM!$B$16)),0)+
IF(ROUND(O$11,0)&gt;=10,OFFSET(EM!$B$17,ROW($A27)-ROW($A$26)+(ROW(EM!$C$46)-ROW(EM!$C$14))*(MATCH(O$22,EM!$B$6:$B$9,0)-1),MIN(O$23-EM!$B$16+9,EM!$AF$16-EM!$B$16)),0)+
IF(ROUND(O$11,0)&gt;=11,OFFSET(EM!$B$17,ROW($A27)-ROW($A$26)+(ROW(EM!$C$46)-ROW(EM!$C$14))*(MATCH(O$22,EM!$B$6:$B$9,0)-1),MIN(O$23-EM!$B$16+10,EM!$AF$16-EM!$B$16)),0)+
IF(ROUND(O$11,0)&gt;=12,OFFSET(EM!$B$17,ROW($A27)-ROW($A$26)+(ROW(EM!$C$46)-ROW(EM!$C$14))*(MATCH(O$22,EM!$B$6:$B$9,0)-1),MIN(O$23-EM!$B$16+11,EM!$AF$16-EM!$B$16)),0)+
IF(ROUND(O$11,0)&gt;=13,OFFSET(EM!$B$17,ROW($A27)-ROW($A$26)+(ROW(EM!$C$46)-ROW(EM!$C$14))*(MATCH(O$22,EM!$B$6:$B$9,0)-1),MIN(O$23-EM!$B$16+12,EM!$AF$16-EM!$B$16)),0)+
IF(ROUND(O$11,0)&gt;=14,OFFSET(EM!$B$17,ROW($A27)-ROW($A$26)+(ROW(EM!$C$46)-ROW(EM!$C$14))*(MATCH(O$22,EM!$B$6:$B$9,0)-1),MIN(O$23-EM!$B$16+13,EM!$AF$16-EM!$B$16)),0)+
IF(ROUND(O$11,0)&gt;=15,OFFSET(EM!$B$17,ROW($A27)-ROW($A$26)+(ROW(EM!$C$46)-ROW(EM!$C$14))*(MATCH(O$22,EM!$B$6:$B$9,0)-1),MIN(O$23-EM!$B$16+14,EM!$AF$16-EM!$B$16)),0)+
IF(ROUND(O$11,0)&gt;=16,OFFSET(EM!$B$17,ROW($A27)-ROW($A$26)+(ROW(EM!$C$46)-ROW(EM!$C$14))*(MATCH(O$22,EM!$B$6:$B$9,0)-1),MIN(O$23-EM!$B$16+15,EM!$AF$16-EM!$B$16)),0)+
IF(ROUND(O$11,0)&gt;=17,OFFSET(EM!$B$17,ROW($A27)-ROW($A$26)+(ROW(EM!$C$46)-ROW(EM!$C$14))*(MATCH(O$22,EM!$B$6:$B$9,0)-1),MIN(O$23-EM!$B$16+16,EM!$AF$16-EM!$B$16)),0)+
IF(ROUND(O$11,0)&gt;=18,OFFSET(EM!$B$17,ROW($A27)-ROW($A$26)+(ROW(EM!$C$46)-ROW(EM!$C$14))*(MATCH(O$22,EM!$B$6:$B$9,0)-1),MIN(O$23-EM!$B$16+17,EM!$AF$16-EM!$B$16)),0)+
IF(ROUND(O$11,0)&gt;=19,OFFSET(EM!$B$17,ROW($A27)-ROW($A$26)+(ROW(EM!$C$46)-ROW(EM!$C$14))*(MATCH(O$22,EM!$B$6:$B$9,0)-1),MIN(O$23-EM!$B$16+18,EM!$AF$16-EM!$B$16)),0)+
IF(ROUND(O$11,0)&gt;=20,OFFSET(EM!$B$17,ROW($A27)-ROW($A$26)+(ROW(EM!$C$46)-ROW(EM!$C$14))*(MATCH(O$22,EM!$B$6:$B$9,0)-1),MIN(O$23-EM!$B$16+19,EM!$AF$16-EM!$B$16)),0)+
IF(ROUND(O$11,0)&gt;=21,OFFSET(EM!$B$17,ROW($A27)-ROW($A$26)+(ROW(EM!$C$46)-ROW(EM!$C$14))*(MATCH(O$22,EM!$B$6:$B$9,0)-1),MIN(O$23-EM!$B$16+20,EM!$AF$16-EM!$B$16)),0)+
IF(ROUND(O$11,0)&gt;=22,OFFSET(EM!$B$17,ROW($A27)-ROW($A$26)+(ROW(EM!$C$46)-ROW(EM!$C$14))*(MATCH(O$22,EM!$B$6:$B$9,0)-1),MIN(O$23-EM!$B$16+21,EM!$AF$16-EM!$B$16)),0)+
IF(ROUND(O$11,0)&gt;=23,OFFSET(EM!$B$17,ROW($A27)-ROW($A$26)+(ROW(EM!$C$46)-ROW(EM!$C$14))*(MATCH(O$22,EM!$B$6:$B$9,0)-1),MIN(O$23-EM!$B$16+22,EM!$AF$16-EM!$B$16)),0)+
IF(ROUND(O$11,0)&gt;=24,OFFSET(EM!$B$17,ROW($A27)-ROW($A$26)+(ROW(EM!$C$46)-ROW(EM!$C$14))*(MATCH(O$22,EM!$B$6:$B$9,0)-1),MIN(O$23-EM!$B$16+23,EM!$AF$16-EM!$B$16)),0)+
IF(ROUND(O$11,0)&gt;=25,OFFSET(EM!$B$17,ROW($A27)-ROW($A$26)+(ROW(EM!$C$46)-ROW(EM!$C$14))*(MATCH(O$22,EM!$B$6:$B$9,0)-1),MIN(O$23-EM!$B$16+24,EM!$AF$16-EM!$B$16)),0)+
IF(ROUND(O$11,0)&gt;=26,OFFSET(EM!$B$17,ROW($A27)-ROW($A$26)+(ROW(EM!$C$46)-ROW(EM!$C$14))*(MATCH(O$22,EM!$B$6:$B$9,0)-1),MIN(O$23-EM!$B$16+25,EM!$AF$16-EM!$B$16)),0)+
IF(ROUND(O$11,0)&gt;=27,OFFSET(EM!$B$17,ROW($A27)-ROW($A$26)+(ROW(EM!$C$46)-ROW(EM!$C$14))*(MATCH(O$22,EM!$B$6:$B$9,0)-1),MIN(O$23-EM!$B$16+26,EM!$AF$16-EM!$B$16)),0)+
IF(ROUND(O$11,0)&gt;=28,OFFSET(EM!$B$17,ROW($A27)-ROW($A$26)+(ROW(EM!$C$46)-ROW(EM!$C$14))*(MATCH(O$22,EM!$B$6:$B$9,0)-1),MIN(O$23-EM!$B$16+27,EM!$AF$16-EM!$B$16)),0)+
IF(ROUND(O$11,0)&gt;=29,OFFSET(EM!$B$17,ROW($A27)-ROW($A$26)+(ROW(EM!$C$46)-ROW(EM!$C$14))*(MATCH(O$22,EM!$B$6:$B$9,0)-1),MIN(O$23-EM!$B$16+28,EM!$AF$16-EM!$B$16)),0)+
IF(ROUND(O$11,0)&gt;=30,OFFSET(EM!$B$17,ROW($A27)-ROW($A$26)+(ROW(EM!$C$46)-ROW(EM!$C$14))*(MATCH(O$22,EM!$B$6:$B$9,0)-1),MIN(O$23-EM!$B$16+29,EM!$AF$16-EM!$B$16)),0)+
IF(ROUND(O$11,0)&gt;=31,OFFSET(EM!$B$17,ROW($A27)-ROW($A$26)+(ROW(EM!$C$46)-ROW(EM!$C$14))*(MATCH(O$22,EM!$B$6:$B$9,0)-1),MIN(O$23-EM!$B$16+30,EM!$AF$16-EM!$B$16)),0)+
IF(ROUND(O$11,0)&gt;=32,OFFSET(EM!$B$17,ROW($A27)-ROW($A$26)+(ROW(EM!$C$46)-ROW(EM!$C$14))*(MATCH(O$22,EM!$B$6:$B$9,0)-1),MIN(O$23-EM!$B$16+31,EM!$AF$16-EM!$B$16)),0)+
IF(ROUND(O$11,0)&gt;=33,OFFSET(EM!$B$17,ROW($A27)-ROW($A$26)+(ROW(EM!$C$46)-ROW(EM!$C$14))*(MATCH(O$22,EM!$B$6:$B$9,0)-1),MIN(O$23-EM!$B$16+32,EM!$AF$16-EM!$B$16)),0)+
IF(ROUND(O$11,0)&gt;=34,OFFSET(EM!$B$17,ROW($A27)-ROW($A$26)+(ROW(EM!$C$46)-ROW(EM!$C$14))*(MATCH(O$22,EM!$B$6:$B$9,0)-1),MIN(O$23-EM!$B$16+33,EM!$AF$16-EM!$B$16)),0)+
IF(ROUND(O$11,0)&gt;=35,OFFSET(EM!$B$17,ROW($A27)-ROW($A$26)+(ROW(EM!$C$46)-ROW(EM!$C$14))*(MATCH(O$22,EM!$B$6:$B$9,0)-1),MIN(O$23-EM!$B$16+34,EM!$AF$16-EM!$B$16)),0)+
IF(ROUND(O$11,0)&gt;=36,OFFSET(EM!$B$17,ROW($A27)-ROW($A$26)+(ROW(EM!$C$46)-ROW(EM!$C$14))*(MATCH(O$22,EM!$B$6:$B$9,0)-1),MIN(O$23-EM!$B$16+35,EM!$AF$16-EM!$B$16)),0)+
IF(ROUND(O$11,0)&gt;=37,OFFSET(EM!$B$17,ROW($A27)-ROW($A$26)+(ROW(EM!$C$46)-ROW(EM!$C$14))*(MATCH(O$22,EM!$B$6:$B$9,0)-1),MIN(O$23-EM!$B$16+36,EM!$AF$16-EM!$B$16)),0)+
IF(ROUND(O$11,0)&gt;=38,OFFSET(EM!$B$17,ROW($A27)-ROW($A$26)+(ROW(EM!$C$46)-ROW(EM!$C$14))*(MATCH(O$22,EM!$B$6:$B$9,0)-1),MIN(O$23-EM!$B$16+37,EM!$AF$16-EM!$B$16)),0)+
IF(ROUND(O$11,0)&gt;=39,OFFSET(EM!$B$17,ROW($A27)-ROW($A$26)+(ROW(EM!$C$46)-ROW(EM!$C$14))*(MATCH(O$22,EM!$B$6:$B$9,0)-1),MIN(O$23-EM!$B$16+38,EM!$AF$16-EM!$B$16)),0)+
IF(ROUND(O$11,0)&gt;=40,OFFSET(EM!$B$17,ROW($A27)-ROW($A$26)+(ROW(EM!$C$46)-ROW(EM!$C$14))*(MATCH(O$22,EM!$B$6:$B$9,0)-1),MIN(O$23-EM!$B$16+39,EM!$AF$16-EM!$B$16)),0)
)/ROUND(O$11,0),NA()))</f>
        <v>2.4786228463300326E-2</v>
      </c>
      <c r="P27" s="2046">
        <f ca="1">IF(P$19=GPG!$A$28,IF(ROW(P27)-ROW(P$26)+1=MATCH(P$20,GPG!$A$5:$A$11,0),1,0),
IF(P$19=GPG!$A$29,
(IF(ROUND(P$11,0)&gt;=1,OFFSET(EM!$B$17,ROW($A27)-ROW($A$26)+(ROW(EM!$C$46)-ROW(EM!$C$14))*(MATCH(P$22,EM!$B$6:$B$9,0)-1),MIN(P$23-EM!$B$16,EM!$AF$16-EM!$B$16)),0)+
IF(ROUND(P$11,0)&gt;=2,OFFSET(EM!$B$17,ROW($A27)-ROW($A$26)+(ROW(EM!$C$46)-ROW(EM!$C$14))*(MATCH(P$22,EM!$B$6:$B$9,0)-1),MIN(P$23-EM!$B$16+1,EM!$AF$16-EM!$B$16)),0)+
IF(ROUND(P$11,0)&gt;=3,OFFSET(EM!$B$17,ROW($A27)-ROW($A$26)+(ROW(EM!$C$46)-ROW(EM!$C$14))*(MATCH(P$22,EM!$B$6:$B$9,0)-1),MIN(P$23-EM!$B$16+2,EM!$AF$16-EM!$B$16)),0)+
IF(ROUND(P$11,0)&gt;=4,OFFSET(EM!$B$17,ROW($A27)-ROW($A$26)+(ROW(EM!$C$46)-ROW(EM!$C$14))*(MATCH(P$22,EM!$B$6:$B$9,0)-1),MIN(P$23-EM!$B$16+3,EM!$AF$16-EM!$B$16)),0)+
IF(ROUND(P$11,0)&gt;=5,OFFSET(EM!$B$17,ROW($A27)-ROW($A$26)+(ROW(EM!$C$46)-ROW(EM!$C$14))*(MATCH(P$22,EM!$B$6:$B$9,0)-1),MIN(P$23-EM!$B$16+4,EM!$AF$16-EM!$B$16)),0)+
IF(ROUND(P$11,0)&gt;=6,OFFSET(EM!$B$17,ROW($A27)-ROW($A$26)+(ROW(EM!$C$46)-ROW(EM!$C$14))*(MATCH(P$22,EM!$B$6:$B$9,0)-1),MIN(P$23-EM!$B$16+5,EM!$AF$16-EM!$B$16)),0)+
IF(ROUND(P$11,0)&gt;=7,OFFSET(EM!$B$17,ROW($A27)-ROW($A$26)+(ROW(EM!$C$46)-ROW(EM!$C$14))*(MATCH(P$22,EM!$B$6:$B$9,0)-1),MIN(P$23-EM!$B$16+6,EM!$AF$16-EM!$B$16)),0)+
IF(ROUND(P$11,0)&gt;=8,OFFSET(EM!$B$17,ROW($A27)-ROW($A$26)+(ROW(EM!$C$46)-ROW(EM!$C$14))*(MATCH(P$22,EM!$B$6:$B$9,0)-1),MIN(P$23-EM!$B$16+7,EM!$AF$16-EM!$B$16)),0)+
IF(ROUND(P$11,0)&gt;=9,OFFSET(EM!$B$17,ROW($A27)-ROW($A$26)+(ROW(EM!$C$46)-ROW(EM!$C$14))*(MATCH(P$22,EM!$B$6:$B$9,0)-1),MIN(P$23-EM!$B$16+8,EM!$AF$16-EM!$B$16)),0)+
IF(ROUND(P$11,0)&gt;=10,OFFSET(EM!$B$17,ROW($A27)-ROW($A$26)+(ROW(EM!$C$46)-ROW(EM!$C$14))*(MATCH(P$22,EM!$B$6:$B$9,0)-1),MIN(P$23-EM!$B$16+9,EM!$AF$16-EM!$B$16)),0)+
IF(ROUND(P$11,0)&gt;=11,OFFSET(EM!$B$17,ROW($A27)-ROW($A$26)+(ROW(EM!$C$46)-ROW(EM!$C$14))*(MATCH(P$22,EM!$B$6:$B$9,0)-1),MIN(P$23-EM!$B$16+10,EM!$AF$16-EM!$B$16)),0)+
IF(ROUND(P$11,0)&gt;=12,OFFSET(EM!$B$17,ROW($A27)-ROW($A$26)+(ROW(EM!$C$46)-ROW(EM!$C$14))*(MATCH(P$22,EM!$B$6:$B$9,0)-1),MIN(P$23-EM!$B$16+11,EM!$AF$16-EM!$B$16)),0)+
IF(ROUND(P$11,0)&gt;=13,OFFSET(EM!$B$17,ROW($A27)-ROW($A$26)+(ROW(EM!$C$46)-ROW(EM!$C$14))*(MATCH(P$22,EM!$B$6:$B$9,0)-1),MIN(P$23-EM!$B$16+12,EM!$AF$16-EM!$B$16)),0)+
IF(ROUND(P$11,0)&gt;=14,OFFSET(EM!$B$17,ROW($A27)-ROW($A$26)+(ROW(EM!$C$46)-ROW(EM!$C$14))*(MATCH(P$22,EM!$B$6:$B$9,0)-1),MIN(P$23-EM!$B$16+13,EM!$AF$16-EM!$B$16)),0)+
IF(ROUND(P$11,0)&gt;=15,OFFSET(EM!$B$17,ROW($A27)-ROW($A$26)+(ROW(EM!$C$46)-ROW(EM!$C$14))*(MATCH(P$22,EM!$B$6:$B$9,0)-1),MIN(P$23-EM!$B$16+14,EM!$AF$16-EM!$B$16)),0)+
IF(ROUND(P$11,0)&gt;=16,OFFSET(EM!$B$17,ROW($A27)-ROW($A$26)+(ROW(EM!$C$46)-ROW(EM!$C$14))*(MATCH(P$22,EM!$B$6:$B$9,0)-1),MIN(P$23-EM!$B$16+15,EM!$AF$16-EM!$B$16)),0)+
IF(ROUND(P$11,0)&gt;=17,OFFSET(EM!$B$17,ROW($A27)-ROW($A$26)+(ROW(EM!$C$46)-ROW(EM!$C$14))*(MATCH(P$22,EM!$B$6:$B$9,0)-1),MIN(P$23-EM!$B$16+16,EM!$AF$16-EM!$B$16)),0)+
IF(ROUND(P$11,0)&gt;=18,OFFSET(EM!$B$17,ROW($A27)-ROW($A$26)+(ROW(EM!$C$46)-ROW(EM!$C$14))*(MATCH(P$22,EM!$B$6:$B$9,0)-1),MIN(P$23-EM!$B$16+17,EM!$AF$16-EM!$B$16)),0)+
IF(ROUND(P$11,0)&gt;=19,OFFSET(EM!$B$17,ROW($A27)-ROW($A$26)+(ROW(EM!$C$46)-ROW(EM!$C$14))*(MATCH(P$22,EM!$B$6:$B$9,0)-1),MIN(P$23-EM!$B$16+18,EM!$AF$16-EM!$B$16)),0)+
IF(ROUND(P$11,0)&gt;=20,OFFSET(EM!$B$17,ROW($A27)-ROW($A$26)+(ROW(EM!$C$46)-ROW(EM!$C$14))*(MATCH(P$22,EM!$B$6:$B$9,0)-1),MIN(P$23-EM!$B$16+19,EM!$AF$16-EM!$B$16)),0)+
IF(ROUND(P$11,0)&gt;=21,OFFSET(EM!$B$17,ROW($A27)-ROW($A$26)+(ROW(EM!$C$46)-ROW(EM!$C$14))*(MATCH(P$22,EM!$B$6:$B$9,0)-1),MIN(P$23-EM!$B$16+20,EM!$AF$16-EM!$B$16)),0)+
IF(ROUND(P$11,0)&gt;=22,OFFSET(EM!$B$17,ROW($A27)-ROW($A$26)+(ROW(EM!$C$46)-ROW(EM!$C$14))*(MATCH(P$22,EM!$B$6:$B$9,0)-1),MIN(P$23-EM!$B$16+21,EM!$AF$16-EM!$B$16)),0)+
IF(ROUND(P$11,0)&gt;=23,OFFSET(EM!$B$17,ROW($A27)-ROW($A$26)+(ROW(EM!$C$46)-ROW(EM!$C$14))*(MATCH(P$22,EM!$B$6:$B$9,0)-1),MIN(P$23-EM!$B$16+22,EM!$AF$16-EM!$B$16)),0)+
IF(ROUND(P$11,0)&gt;=24,OFFSET(EM!$B$17,ROW($A27)-ROW($A$26)+(ROW(EM!$C$46)-ROW(EM!$C$14))*(MATCH(P$22,EM!$B$6:$B$9,0)-1),MIN(P$23-EM!$B$16+23,EM!$AF$16-EM!$B$16)),0)+
IF(ROUND(P$11,0)&gt;=25,OFFSET(EM!$B$17,ROW($A27)-ROW($A$26)+(ROW(EM!$C$46)-ROW(EM!$C$14))*(MATCH(P$22,EM!$B$6:$B$9,0)-1),MIN(P$23-EM!$B$16+24,EM!$AF$16-EM!$B$16)),0)+
IF(ROUND(P$11,0)&gt;=26,OFFSET(EM!$B$17,ROW($A27)-ROW($A$26)+(ROW(EM!$C$46)-ROW(EM!$C$14))*(MATCH(P$22,EM!$B$6:$B$9,0)-1),MIN(P$23-EM!$B$16+25,EM!$AF$16-EM!$B$16)),0)+
IF(ROUND(P$11,0)&gt;=27,OFFSET(EM!$B$17,ROW($A27)-ROW($A$26)+(ROW(EM!$C$46)-ROW(EM!$C$14))*(MATCH(P$22,EM!$B$6:$B$9,0)-1),MIN(P$23-EM!$B$16+26,EM!$AF$16-EM!$B$16)),0)+
IF(ROUND(P$11,0)&gt;=28,OFFSET(EM!$B$17,ROW($A27)-ROW($A$26)+(ROW(EM!$C$46)-ROW(EM!$C$14))*(MATCH(P$22,EM!$B$6:$B$9,0)-1),MIN(P$23-EM!$B$16+27,EM!$AF$16-EM!$B$16)),0)+
IF(ROUND(P$11,0)&gt;=29,OFFSET(EM!$B$17,ROW($A27)-ROW($A$26)+(ROW(EM!$C$46)-ROW(EM!$C$14))*(MATCH(P$22,EM!$B$6:$B$9,0)-1),MIN(P$23-EM!$B$16+28,EM!$AF$16-EM!$B$16)),0)+
IF(ROUND(P$11,0)&gt;=30,OFFSET(EM!$B$17,ROW($A27)-ROW($A$26)+(ROW(EM!$C$46)-ROW(EM!$C$14))*(MATCH(P$22,EM!$B$6:$B$9,0)-1),MIN(P$23-EM!$B$16+29,EM!$AF$16-EM!$B$16)),0)+
IF(ROUND(P$11,0)&gt;=31,OFFSET(EM!$B$17,ROW($A27)-ROW($A$26)+(ROW(EM!$C$46)-ROW(EM!$C$14))*(MATCH(P$22,EM!$B$6:$B$9,0)-1),MIN(P$23-EM!$B$16+30,EM!$AF$16-EM!$B$16)),0)+
IF(ROUND(P$11,0)&gt;=32,OFFSET(EM!$B$17,ROW($A27)-ROW($A$26)+(ROW(EM!$C$46)-ROW(EM!$C$14))*(MATCH(P$22,EM!$B$6:$B$9,0)-1),MIN(P$23-EM!$B$16+31,EM!$AF$16-EM!$B$16)),0)+
IF(ROUND(P$11,0)&gt;=33,OFFSET(EM!$B$17,ROW($A27)-ROW($A$26)+(ROW(EM!$C$46)-ROW(EM!$C$14))*(MATCH(P$22,EM!$B$6:$B$9,0)-1),MIN(P$23-EM!$B$16+32,EM!$AF$16-EM!$B$16)),0)+
IF(ROUND(P$11,0)&gt;=34,OFFSET(EM!$B$17,ROW($A27)-ROW($A$26)+(ROW(EM!$C$46)-ROW(EM!$C$14))*(MATCH(P$22,EM!$B$6:$B$9,0)-1),MIN(P$23-EM!$B$16+33,EM!$AF$16-EM!$B$16)),0)+
IF(ROUND(P$11,0)&gt;=35,OFFSET(EM!$B$17,ROW($A27)-ROW($A$26)+(ROW(EM!$C$46)-ROW(EM!$C$14))*(MATCH(P$22,EM!$B$6:$B$9,0)-1),MIN(P$23-EM!$B$16+34,EM!$AF$16-EM!$B$16)),0)+
IF(ROUND(P$11,0)&gt;=36,OFFSET(EM!$B$17,ROW($A27)-ROW($A$26)+(ROW(EM!$C$46)-ROW(EM!$C$14))*(MATCH(P$22,EM!$B$6:$B$9,0)-1),MIN(P$23-EM!$B$16+35,EM!$AF$16-EM!$B$16)),0)+
IF(ROUND(P$11,0)&gt;=37,OFFSET(EM!$B$17,ROW($A27)-ROW($A$26)+(ROW(EM!$C$46)-ROW(EM!$C$14))*(MATCH(P$22,EM!$B$6:$B$9,0)-1),MIN(P$23-EM!$B$16+36,EM!$AF$16-EM!$B$16)),0)+
IF(ROUND(P$11,0)&gt;=38,OFFSET(EM!$B$17,ROW($A27)-ROW($A$26)+(ROW(EM!$C$46)-ROW(EM!$C$14))*(MATCH(P$22,EM!$B$6:$B$9,0)-1),MIN(P$23-EM!$B$16+37,EM!$AF$16-EM!$B$16)),0)+
IF(ROUND(P$11,0)&gt;=39,OFFSET(EM!$B$17,ROW($A27)-ROW($A$26)+(ROW(EM!$C$46)-ROW(EM!$C$14))*(MATCH(P$22,EM!$B$6:$B$9,0)-1),MIN(P$23-EM!$B$16+38,EM!$AF$16-EM!$B$16)),0)+
IF(ROUND(P$11,0)&gt;=40,OFFSET(EM!$B$17,ROW($A27)-ROW($A$26)+(ROW(EM!$C$46)-ROW(EM!$C$14))*(MATCH(P$22,EM!$B$6:$B$9,0)-1),MIN(P$23-EM!$B$16+39,EM!$AF$16-EM!$B$16)),0)
)/ROUND(P$11,0),NA()))</f>
        <v>2.4786228463300326E-2</v>
      </c>
      <c r="Q27" s="2046">
        <f ca="1">IF(Q$19=GPG!$A$28,IF(ROW(Q27)-ROW(Q$26)+1=MATCH(Q$20,GPG!$A$5:$A$11,0),1,0),
IF(Q$19=GPG!$A$29,
(IF(ROUND(Q$11,0)&gt;=1,OFFSET(EM!$B$17,ROW($A27)-ROW($A$26)+(ROW(EM!$C$46)-ROW(EM!$C$14))*(MATCH(Q$22,EM!$B$6:$B$9,0)-1),MIN(Q$23-EM!$B$16,EM!$AF$16-EM!$B$16)),0)+
IF(ROUND(Q$11,0)&gt;=2,OFFSET(EM!$B$17,ROW($A27)-ROW($A$26)+(ROW(EM!$C$46)-ROW(EM!$C$14))*(MATCH(Q$22,EM!$B$6:$B$9,0)-1),MIN(Q$23-EM!$B$16+1,EM!$AF$16-EM!$B$16)),0)+
IF(ROUND(Q$11,0)&gt;=3,OFFSET(EM!$B$17,ROW($A27)-ROW($A$26)+(ROW(EM!$C$46)-ROW(EM!$C$14))*(MATCH(Q$22,EM!$B$6:$B$9,0)-1),MIN(Q$23-EM!$B$16+2,EM!$AF$16-EM!$B$16)),0)+
IF(ROUND(Q$11,0)&gt;=4,OFFSET(EM!$B$17,ROW($A27)-ROW($A$26)+(ROW(EM!$C$46)-ROW(EM!$C$14))*(MATCH(Q$22,EM!$B$6:$B$9,0)-1),MIN(Q$23-EM!$B$16+3,EM!$AF$16-EM!$B$16)),0)+
IF(ROUND(Q$11,0)&gt;=5,OFFSET(EM!$B$17,ROW($A27)-ROW($A$26)+(ROW(EM!$C$46)-ROW(EM!$C$14))*(MATCH(Q$22,EM!$B$6:$B$9,0)-1),MIN(Q$23-EM!$B$16+4,EM!$AF$16-EM!$B$16)),0)+
IF(ROUND(Q$11,0)&gt;=6,OFFSET(EM!$B$17,ROW($A27)-ROW($A$26)+(ROW(EM!$C$46)-ROW(EM!$C$14))*(MATCH(Q$22,EM!$B$6:$B$9,0)-1),MIN(Q$23-EM!$B$16+5,EM!$AF$16-EM!$B$16)),0)+
IF(ROUND(Q$11,0)&gt;=7,OFFSET(EM!$B$17,ROW($A27)-ROW($A$26)+(ROW(EM!$C$46)-ROW(EM!$C$14))*(MATCH(Q$22,EM!$B$6:$B$9,0)-1),MIN(Q$23-EM!$B$16+6,EM!$AF$16-EM!$B$16)),0)+
IF(ROUND(Q$11,0)&gt;=8,OFFSET(EM!$B$17,ROW($A27)-ROW($A$26)+(ROW(EM!$C$46)-ROW(EM!$C$14))*(MATCH(Q$22,EM!$B$6:$B$9,0)-1),MIN(Q$23-EM!$B$16+7,EM!$AF$16-EM!$B$16)),0)+
IF(ROUND(Q$11,0)&gt;=9,OFFSET(EM!$B$17,ROW($A27)-ROW($A$26)+(ROW(EM!$C$46)-ROW(EM!$C$14))*(MATCH(Q$22,EM!$B$6:$B$9,0)-1),MIN(Q$23-EM!$B$16+8,EM!$AF$16-EM!$B$16)),0)+
IF(ROUND(Q$11,0)&gt;=10,OFFSET(EM!$B$17,ROW($A27)-ROW($A$26)+(ROW(EM!$C$46)-ROW(EM!$C$14))*(MATCH(Q$22,EM!$B$6:$B$9,0)-1),MIN(Q$23-EM!$B$16+9,EM!$AF$16-EM!$B$16)),0)+
IF(ROUND(Q$11,0)&gt;=11,OFFSET(EM!$B$17,ROW($A27)-ROW($A$26)+(ROW(EM!$C$46)-ROW(EM!$C$14))*(MATCH(Q$22,EM!$B$6:$B$9,0)-1),MIN(Q$23-EM!$B$16+10,EM!$AF$16-EM!$B$16)),0)+
IF(ROUND(Q$11,0)&gt;=12,OFFSET(EM!$B$17,ROW($A27)-ROW($A$26)+(ROW(EM!$C$46)-ROW(EM!$C$14))*(MATCH(Q$22,EM!$B$6:$B$9,0)-1),MIN(Q$23-EM!$B$16+11,EM!$AF$16-EM!$B$16)),0)+
IF(ROUND(Q$11,0)&gt;=13,OFFSET(EM!$B$17,ROW($A27)-ROW($A$26)+(ROW(EM!$C$46)-ROW(EM!$C$14))*(MATCH(Q$22,EM!$B$6:$B$9,0)-1),MIN(Q$23-EM!$B$16+12,EM!$AF$16-EM!$B$16)),0)+
IF(ROUND(Q$11,0)&gt;=14,OFFSET(EM!$B$17,ROW($A27)-ROW($A$26)+(ROW(EM!$C$46)-ROW(EM!$C$14))*(MATCH(Q$22,EM!$B$6:$B$9,0)-1),MIN(Q$23-EM!$B$16+13,EM!$AF$16-EM!$B$16)),0)+
IF(ROUND(Q$11,0)&gt;=15,OFFSET(EM!$B$17,ROW($A27)-ROW($A$26)+(ROW(EM!$C$46)-ROW(EM!$C$14))*(MATCH(Q$22,EM!$B$6:$B$9,0)-1),MIN(Q$23-EM!$B$16+14,EM!$AF$16-EM!$B$16)),0)+
IF(ROUND(Q$11,0)&gt;=16,OFFSET(EM!$B$17,ROW($A27)-ROW($A$26)+(ROW(EM!$C$46)-ROW(EM!$C$14))*(MATCH(Q$22,EM!$B$6:$B$9,0)-1),MIN(Q$23-EM!$B$16+15,EM!$AF$16-EM!$B$16)),0)+
IF(ROUND(Q$11,0)&gt;=17,OFFSET(EM!$B$17,ROW($A27)-ROW($A$26)+(ROW(EM!$C$46)-ROW(EM!$C$14))*(MATCH(Q$22,EM!$B$6:$B$9,0)-1),MIN(Q$23-EM!$B$16+16,EM!$AF$16-EM!$B$16)),0)+
IF(ROUND(Q$11,0)&gt;=18,OFFSET(EM!$B$17,ROW($A27)-ROW($A$26)+(ROW(EM!$C$46)-ROW(EM!$C$14))*(MATCH(Q$22,EM!$B$6:$B$9,0)-1),MIN(Q$23-EM!$B$16+17,EM!$AF$16-EM!$B$16)),0)+
IF(ROUND(Q$11,0)&gt;=19,OFFSET(EM!$B$17,ROW($A27)-ROW($A$26)+(ROW(EM!$C$46)-ROW(EM!$C$14))*(MATCH(Q$22,EM!$B$6:$B$9,0)-1),MIN(Q$23-EM!$B$16+18,EM!$AF$16-EM!$B$16)),0)+
IF(ROUND(Q$11,0)&gt;=20,OFFSET(EM!$B$17,ROW($A27)-ROW($A$26)+(ROW(EM!$C$46)-ROW(EM!$C$14))*(MATCH(Q$22,EM!$B$6:$B$9,0)-1),MIN(Q$23-EM!$B$16+19,EM!$AF$16-EM!$B$16)),0)+
IF(ROUND(Q$11,0)&gt;=21,OFFSET(EM!$B$17,ROW($A27)-ROW($A$26)+(ROW(EM!$C$46)-ROW(EM!$C$14))*(MATCH(Q$22,EM!$B$6:$B$9,0)-1),MIN(Q$23-EM!$B$16+20,EM!$AF$16-EM!$B$16)),0)+
IF(ROUND(Q$11,0)&gt;=22,OFFSET(EM!$B$17,ROW($A27)-ROW($A$26)+(ROW(EM!$C$46)-ROW(EM!$C$14))*(MATCH(Q$22,EM!$B$6:$B$9,0)-1),MIN(Q$23-EM!$B$16+21,EM!$AF$16-EM!$B$16)),0)+
IF(ROUND(Q$11,0)&gt;=23,OFFSET(EM!$B$17,ROW($A27)-ROW($A$26)+(ROW(EM!$C$46)-ROW(EM!$C$14))*(MATCH(Q$22,EM!$B$6:$B$9,0)-1),MIN(Q$23-EM!$B$16+22,EM!$AF$16-EM!$B$16)),0)+
IF(ROUND(Q$11,0)&gt;=24,OFFSET(EM!$B$17,ROW($A27)-ROW($A$26)+(ROW(EM!$C$46)-ROW(EM!$C$14))*(MATCH(Q$22,EM!$B$6:$B$9,0)-1),MIN(Q$23-EM!$B$16+23,EM!$AF$16-EM!$B$16)),0)+
IF(ROUND(Q$11,0)&gt;=25,OFFSET(EM!$B$17,ROW($A27)-ROW($A$26)+(ROW(EM!$C$46)-ROW(EM!$C$14))*(MATCH(Q$22,EM!$B$6:$B$9,0)-1),MIN(Q$23-EM!$B$16+24,EM!$AF$16-EM!$B$16)),0)+
IF(ROUND(Q$11,0)&gt;=26,OFFSET(EM!$B$17,ROW($A27)-ROW($A$26)+(ROW(EM!$C$46)-ROW(EM!$C$14))*(MATCH(Q$22,EM!$B$6:$B$9,0)-1),MIN(Q$23-EM!$B$16+25,EM!$AF$16-EM!$B$16)),0)+
IF(ROUND(Q$11,0)&gt;=27,OFFSET(EM!$B$17,ROW($A27)-ROW($A$26)+(ROW(EM!$C$46)-ROW(EM!$C$14))*(MATCH(Q$22,EM!$B$6:$B$9,0)-1),MIN(Q$23-EM!$B$16+26,EM!$AF$16-EM!$B$16)),0)+
IF(ROUND(Q$11,0)&gt;=28,OFFSET(EM!$B$17,ROW($A27)-ROW($A$26)+(ROW(EM!$C$46)-ROW(EM!$C$14))*(MATCH(Q$22,EM!$B$6:$B$9,0)-1),MIN(Q$23-EM!$B$16+27,EM!$AF$16-EM!$B$16)),0)+
IF(ROUND(Q$11,0)&gt;=29,OFFSET(EM!$B$17,ROW($A27)-ROW($A$26)+(ROW(EM!$C$46)-ROW(EM!$C$14))*(MATCH(Q$22,EM!$B$6:$B$9,0)-1),MIN(Q$23-EM!$B$16+28,EM!$AF$16-EM!$B$16)),0)+
IF(ROUND(Q$11,0)&gt;=30,OFFSET(EM!$B$17,ROW($A27)-ROW($A$26)+(ROW(EM!$C$46)-ROW(EM!$C$14))*(MATCH(Q$22,EM!$B$6:$B$9,0)-1),MIN(Q$23-EM!$B$16+29,EM!$AF$16-EM!$B$16)),0)+
IF(ROUND(Q$11,0)&gt;=31,OFFSET(EM!$B$17,ROW($A27)-ROW($A$26)+(ROW(EM!$C$46)-ROW(EM!$C$14))*(MATCH(Q$22,EM!$B$6:$B$9,0)-1),MIN(Q$23-EM!$B$16+30,EM!$AF$16-EM!$B$16)),0)+
IF(ROUND(Q$11,0)&gt;=32,OFFSET(EM!$B$17,ROW($A27)-ROW($A$26)+(ROW(EM!$C$46)-ROW(EM!$C$14))*(MATCH(Q$22,EM!$B$6:$B$9,0)-1),MIN(Q$23-EM!$B$16+31,EM!$AF$16-EM!$B$16)),0)+
IF(ROUND(Q$11,0)&gt;=33,OFFSET(EM!$B$17,ROW($A27)-ROW($A$26)+(ROW(EM!$C$46)-ROW(EM!$C$14))*(MATCH(Q$22,EM!$B$6:$B$9,0)-1),MIN(Q$23-EM!$B$16+32,EM!$AF$16-EM!$B$16)),0)+
IF(ROUND(Q$11,0)&gt;=34,OFFSET(EM!$B$17,ROW($A27)-ROW($A$26)+(ROW(EM!$C$46)-ROW(EM!$C$14))*(MATCH(Q$22,EM!$B$6:$B$9,0)-1),MIN(Q$23-EM!$B$16+33,EM!$AF$16-EM!$B$16)),0)+
IF(ROUND(Q$11,0)&gt;=35,OFFSET(EM!$B$17,ROW($A27)-ROW($A$26)+(ROW(EM!$C$46)-ROW(EM!$C$14))*(MATCH(Q$22,EM!$B$6:$B$9,0)-1),MIN(Q$23-EM!$B$16+34,EM!$AF$16-EM!$B$16)),0)+
IF(ROUND(Q$11,0)&gt;=36,OFFSET(EM!$B$17,ROW($A27)-ROW($A$26)+(ROW(EM!$C$46)-ROW(EM!$C$14))*(MATCH(Q$22,EM!$B$6:$B$9,0)-1),MIN(Q$23-EM!$B$16+35,EM!$AF$16-EM!$B$16)),0)+
IF(ROUND(Q$11,0)&gt;=37,OFFSET(EM!$B$17,ROW($A27)-ROW($A$26)+(ROW(EM!$C$46)-ROW(EM!$C$14))*(MATCH(Q$22,EM!$B$6:$B$9,0)-1),MIN(Q$23-EM!$B$16+36,EM!$AF$16-EM!$B$16)),0)+
IF(ROUND(Q$11,0)&gt;=38,OFFSET(EM!$B$17,ROW($A27)-ROW($A$26)+(ROW(EM!$C$46)-ROW(EM!$C$14))*(MATCH(Q$22,EM!$B$6:$B$9,0)-1),MIN(Q$23-EM!$B$16+37,EM!$AF$16-EM!$B$16)),0)+
IF(ROUND(Q$11,0)&gt;=39,OFFSET(EM!$B$17,ROW($A27)-ROW($A$26)+(ROW(EM!$C$46)-ROW(EM!$C$14))*(MATCH(Q$22,EM!$B$6:$B$9,0)-1),MIN(Q$23-EM!$B$16+38,EM!$AF$16-EM!$B$16)),0)+
IF(ROUND(Q$11,0)&gt;=40,OFFSET(EM!$B$17,ROW($A27)-ROW($A$26)+(ROW(EM!$C$46)-ROW(EM!$C$14))*(MATCH(Q$22,EM!$B$6:$B$9,0)-1),MIN(Q$23-EM!$B$16+39,EM!$AF$16-EM!$B$16)),0)
)/ROUND(Q$11,0),NA()))</f>
        <v>2.4786228463300326E-2</v>
      </c>
      <c r="R27" s="2046">
        <f ca="1">IF(R$19=GPG!$A$28,IF(ROW(R27)-ROW(R$26)+1=MATCH(R$20,GPG!$A$5:$A$11,0),1,0),
IF(R$19=GPG!$A$29,
(IF(ROUND(R$11,0)&gt;=1,OFFSET(EM!$B$17,ROW($A27)-ROW($A$26)+(ROW(EM!$C$46)-ROW(EM!$C$14))*(MATCH(R$22,EM!$B$6:$B$9,0)-1),MIN(R$23-EM!$B$16,EM!$AF$16-EM!$B$16)),0)+
IF(ROUND(R$11,0)&gt;=2,OFFSET(EM!$B$17,ROW($A27)-ROW($A$26)+(ROW(EM!$C$46)-ROW(EM!$C$14))*(MATCH(R$22,EM!$B$6:$B$9,0)-1),MIN(R$23-EM!$B$16+1,EM!$AF$16-EM!$B$16)),0)+
IF(ROUND(R$11,0)&gt;=3,OFFSET(EM!$B$17,ROW($A27)-ROW($A$26)+(ROW(EM!$C$46)-ROW(EM!$C$14))*(MATCH(R$22,EM!$B$6:$B$9,0)-1),MIN(R$23-EM!$B$16+2,EM!$AF$16-EM!$B$16)),0)+
IF(ROUND(R$11,0)&gt;=4,OFFSET(EM!$B$17,ROW($A27)-ROW($A$26)+(ROW(EM!$C$46)-ROW(EM!$C$14))*(MATCH(R$22,EM!$B$6:$B$9,0)-1),MIN(R$23-EM!$B$16+3,EM!$AF$16-EM!$B$16)),0)+
IF(ROUND(R$11,0)&gt;=5,OFFSET(EM!$B$17,ROW($A27)-ROW($A$26)+(ROW(EM!$C$46)-ROW(EM!$C$14))*(MATCH(R$22,EM!$B$6:$B$9,0)-1),MIN(R$23-EM!$B$16+4,EM!$AF$16-EM!$B$16)),0)+
IF(ROUND(R$11,0)&gt;=6,OFFSET(EM!$B$17,ROW($A27)-ROW($A$26)+(ROW(EM!$C$46)-ROW(EM!$C$14))*(MATCH(R$22,EM!$B$6:$B$9,0)-1),MIN(R$23-EM!$B$16+5,EM!$AF$16-EM!$B$16)),0)+
IF(ROUND(R$11,0)&gt;=7,OFFSET(EM!$B$17,ROW($A27)-ROW($A$26)+(ROW(EM!$C$46)-ROW(EM!$C$14))*(MATCH(R$22,EM!$B$6:$B$9,0)-1),MIN(R$23-EM!$B$16+6,EM!$AF$16-EM!$B$16)),0)+
IF(ROUND(R$11,0)&gt;=8,OFFSET(EM!$B$17,ROW($A27)-ROW($A$26)+(ROW(EM!$C$46)-ROW(EM!$C$14))*(MATCH(R$22,EM!$B$6:$B$9,0)-1),MIN(R$23-EM!$B$16+7,EM!$AF$16-EM!$B$16)),0)+
IF(ROUND(R$11,0)&gt;=9,OFFSET(EM!$B$17,ROW($A27)-ROW($A$26)+(ROW(EM!$C$46)-ROW(EM!$C$14))*(MATCH(R$22,EM!$B$6:$B$9,0)-1),MIN(R$23-EM!$B$16+8,EM!$AF$16-EM!$B$16)),0)+
IF(ROUND(R$11,0)&gt;=10,OFFSET(EM!$B$17,ROW($A27)-ROW($A$26)+(ROW(EM!$C$46)-ROW(EM!$C$14))*(MATCH(R$22,EM!$B$6:$B$9,0)-1),MIN(R$23-EM!$B$16+9,EM!$AF$16-EM!$B$16)),0)+
IF(ROUND(R$11,0)&gt;=11,OFFSET(EM!$B$17,ROW($A27)-ROW($A$26)+(ROW(EM!$C$46)-ROW(EM!$C$14))*(MATCH(R$22,EM!$B$6:$B$9,0)-1),MIN(R$23-EM!$B$16+10,EM!$AF$16-EM!$B$16)),0)+
IF(ROUND(R$11,0)&gt;=12,OFFSET(EM!$B$17,ROW($A27)-ROW($A$26)+(ROW(EM!$C$46)-ROW(EM!$C$14))*(MATCH(R$22,EM!$B$6:$B$9,0)-1),MIN(R$23-EM!$B$16+11,EM!$AF$16-EM!$B$16)),0)+
IF(ROUND(R$11,0)&gt;=13,OFFSET(EM!$B$17,ROW($A27)-ROW($A$26)+(ROW(EM!$C$46)-ROW(EM!$C$14))*(MATCH(R$22,EM!$B$6:$B$9,0)-1),MIN(R$23-EM!$B$16+12,EM!$AF$16-EM!$B$16)),0)+
IF(ROUND(R$11,0)&gt;=14,OFFSET(EM!$B$17,ROW($A27)-ROW($A$26)+(ROW(EM!$C$46)-ROW(EM!$C$14))*(MATCH(R$22,EM!$B$6:$B$9,0)-1),MIN(R$23-EM!$B$16+13,EM!$AF$16-EM!$B$16)),0)+
IF(ROUND(R$11,0)&gt;=15,OFFSET(EM!$B$17,ROW($A27)-ROW($A$26)+(ROW(EM!$C$46)-ROW(EM!$C$14))*(MATCH(R$22,EM!$B$6:$B$9,0)-1),MIN(R$23-EM!$B$16+14,EM!$AF$16-EM!$B$16)),0)+
IF(ROUND(R$11,0)&gt;=16,OFFSET(EM!$B$17,ROW($A27)-ROW($A$26)+(ROW(EM!$C$46)-ROW(EM!$C$14))*(MATCH(R$22,EM!$B$6:$B$9,0)-1),MIN(R$23-EM!$B$16+15,EM!$AF$16-EM!$B$16)),0)+
IF(ROUND(R$11,0)&gt;=17,OFFSET(EM!$B$17,ROW($A27)-ROW($A$26)+(ROW(EM!$C$46)-ROW(EM!$C$14))*(MATCH(R$22,EM!$B$6:$B$9,0)-1),MIN(R$23-EM!$B$16+16,EM!$AF$16-EM!$B$16)),0)+
IF(ROUND(R$11,0)&gt;=18,OFFSET(EM!$B$17,ROW($A27)-ROW($A$26)+(ROW(EM!$C$46)-ROW(EM!$C$14))*(MATCH(R$22,EM!$B$6:$B$9,0)-1),MIN(R$23-EM!$B$16+17,EM!$AF$16-EM!$B$16)),0)+
IF(ROUND(R$11,0)&gt;=19,OFFSET(EM!$B$17,ROW($A27)-ROW($A$26)+(ROW(EM!$C$46)-ROW(EM!$C$14))*(MATCH(R$22,EM!$B$6:$B$9,0)-1),MIN(R$23-EM!$B$16+18,EM!$AF$16-EM!$B$16)),0)+
IF(ROUND(R$11,0)&gt;=20,OFFSET(EM!$B$17,ROW($A27)-ROW($A$26)+(ROW(EM!$C$46)-ROW(EM!$C$14))*(MATCH(R$22,EM!$B$6:$B$9,0)-1),MIN(R$23-EM!$B$16+19,EM!$AF$16-EM!$B$16)),0)+
IF(ROUND(R$11,0)&gt;=21,OFFSET(EM!$B$17,ROW($A27)-ROW($A$26)+(ROW(EM!$C$46)-ROW(EM!$C$14))*(MATCH(R$22,EM!$B$6:$B$9,0)-1),MIN(R$23-EM!$B$16+20,EM!$AF$16-EM!$B$16)),0)+
IF(ROUND(R$11,0)&gt;=22,OFFSET(EM!$B$17,ROW($A27)-ROW($A$26)+(ROW(EM!$C$46)-ROW(EM!$C$14))*(MATCH(R$22,EM!$B$6:$B$9,0)-1),MIN(R$23-EM!$B$16+21,EM!$AF$16-EM!$B$16)),0)+
IF(ROUND(R$11,0)&gt;=23,OFFSET(EM!$B$17,ROW($A27)-ROW($A$26)+(ROW(EM!$C$46)-ROW(EM!$C$14))*(MATCH(R$22,EM!$B$6:$B$9,0)-1),MIN(R$23-EM!$B$16+22,EM!$AF$16-EM!$B$16)),0)+
IF(ROUND(R$11,0)&gt;=24,OFFSET(EM!$B$17,ROW($A27)-ROW($A$26)+(ROW(EM!$C$46)-ROW(EM!$C$14))*(MATCH(R$22,EM!$B$6:$B$9,0)-1),MIN(R$23-EM!$B$16+23,EM!$AF$16-EM!$B$16)),0)+
IF(ROUND(R$11,0)&gt;=25,OFFSET(EM!$B$17,ROW($A27)-ROW($A$26)+(ROW(EM!$C$46)-ROW(EM!$C$14))*(MATCH(R$22,EM!$B$6:$B$9,0)-1),MIN(R$23-EM!$B$16+24,EM!$AF$16-EM!$B$16)),0)+
IF(ROUND(R$11,0)&gt;=26,OFFSET(EM!$B$17,ROW($A27)-ROW($A$26)+(ROW(EM!$C$46)-ROW(EM!$C$14))*(MATCH(R$22,EM!$B$6:$B$9,0)-1),MIN(R$23-EM!$B$16+25,EM!$AF$16-EM!$B$16)),0)+
IF(ROUND(R$11,0)&gt;=27,OFFSET(EM!$B$17,ROW($A27)-ROW($A$26)+(ROW(EM!$C$46)-ROW(EM!$C$14))*(MATCH(R$22,EM!$B$6:$B$9,0)-1),MIN(R$23-EM!$B$16+26,EM!$AF$16-EM!$B$16)),0)+
IF(ROUND(R$11,0)&gt;=28,OFFSET(EM!$B$17,ROW($A27)-ROW($A$26)+(ROW(EM!$C$46)-ROW(EM!$C$14))*(MATCH(R$22,EM!$B$6:$B$9,0)-1),MIN(R$23-EM!$B$16+27,EM!$AF$16-EM!$B$16)),0)+
IF(ROUND(R$11,0)&gt;=29,OFFSET(EM!$B$17,ROW($A27)-ROW($A$26)+(ROW(EM!$C$46)-ROW(EM!$C$14))*(MATCH(R$22,EM!$B$6:$B$9,0)-1),MIN(R$23-EM!$B$16+28,EM!$AF$16-EM!$B$16)),0)+
IF(ROUND(R$11,0)&gt;=30,OFFSET(EM!$B$17,ROW($A27)-ROW($A$26)+(ROW(EM!$C$46)-ROW(EM!$C$14))*(MATCH(R$22,EM!$B$6:$B$9,0)-1),MIN(R$23-EM!$B$16+29,EM!$AF$16-EM!$B$16)),0)+
IF(ROUND(R$11,0)&gt;=31,OFFSET(EM!$B$17,ROW($A27)-ROW($A$26)+(ROW(EM!$C$46)-ROW(EM!$C$14))*(MATCH(R$22,EM!$B$6:$B$9,0)-1),MIN(R$23-EM!$B$16+30,EM!$AF$16-EM!$B$16)),0)+
IF(ROUND(R$11,0)&gt;=32,OFFSET(EM!$B$17,ROW($A27)-ROW($A$26)+(ROW(EM!$C$46)-ROW(EM!$C$14))*(MATCH(R$22,EM!$B$6:$B$9,0)-1),MIN(R$23-EM!$B$16+31,EM!$AF$16-EM!$B$16)),0)+
IF(ROUND(R$11,0)&gt;=33,OFFSET(EM!$B$17,ROW($A27)-ROW($A$26)+(ROW(EM!$C$46)-ROW(EM!$C$14))*(MATCH(R$22,EM!$B$6:$B$9,0)-1),MIN(R$23-EM!$B$16+32,EM!$AF$16-EM!$B$16)),0)+
IF(ROUND(R$11,0)&gt;=34,OFFSET(EM!$B$17,ROW($A27)-ROW($A$26)+(ROW(EM!$C$46)-ROW(EM!$C$14))*(MATCH(R$22,EM!$B$6:$B$9,0)-1),MIN(R$23-EM!$B$16+33,EM!$AF$16-EM!$B$16)),0)+
IF(ROUND(R$11,0)&gt;=35,OFFSET(EM!$B$17,ROW($A27)-ROW($A$26)+(ROW(EM!$C$46)-ROW(EM!$C$14))*(MATCH(R$22,EM!$B$6:$B$9,0)-1),MIN(R$23-EM!$B$16+34,EM!$AF$16-EM!$B$16)),0)+
IF(ROUND(R$11,0)&gt;=36,OFFSET(EM!$B$17,ROW($A27)-ROW($A$26)+(ROW(EM!$C$46)-ROW(EM!$C$14))*(MATCH(R$22,EM!$B$6:$B$9,0)-1),MIN(R$23-EM!$B$16+35,EM!$AF$16-EM!$B$16)),0)+
IF(ROUND(R$11,0)&gt;=37,OFFSET(EM!$B$17,ROW($A27)-ROW($A$26)+(ROW(EM!$C$46)-ROW(EM!$C$14))*(MATCH(R$22,EM!$B$6:$B$9,0)-1),MIN(R$23-EM!$B$16+36,EM!$AF$16-EM!$B$16)),0)+
IF(ROUND(R$11,0)&gt;=38,OFFSET(EM!$B$17,ROW($A27)-ROW($A$26)+(ROW(EM!$C$46)-ROW(EM!$C$14))*(MATCH(R$22,EM!$B$6:$B$9,0)-1),MIN(R$23-EM!$B$16+37,EM!$AF$16-EM!$B$16)),0)+
IF(ROUND(R$11,0)&gt;=39,OFFSET(EM!$B$17,ROW($A27)-ROW($A$26)+(ROW(EM!$C$46)-ROW(EM!$C$14))*(MATCH(R$22,EM!$B$6:$B$9,0)-1),MIN(R$23-EM!$B$16+38,EM!$AF$16-EM!$B$16)),0)+
IF(ROUND(R$11,0)&gt;=40,OFFSET(EM!$B$17,ROW($A27)-ROW($A$26)+(ROW(EM!$C$46)-ROW(EM!$C$14))*(MATCH(R$22,EM!$B$6:$B$9,0)-1),MIN(R$23-EM!$B$16+39,EM!$AF$16-EM!$B$16)),0)
)/ROUND(R$11,0),NA()))</f>
        <v>2.4786228463300326E-2</v>
      </c>
      <c r="S27" s="2046">
        <f ca="1">IF(S$19=GPG!$A$28,IF(ROW(S27)-ROW(S$26)+1=MATCH(S$20,GPG!$A$5:$A$11,0),1,0),
IF(S$19=GPG!$A$29,
(IF(ROUND(S$11,0)&gt;=1,OFFSET(EM!$B$17,ROW($A27)-ROW($A$26)+(ROW(EM!$C$46)-ROW(EM!$C$14))*(MATCH(S$22,EM!$B$6:$B$9,0)-1),MIN(S$23-EM!$B$16,EM!$AF$16-EM!$B$16)),0)+
IF(ROUND(S$11,0)&gt;=2,OFFSET(EM!$B$17,ROW($A27)-ROW($A$26)+(ROW(EM!$C$46)-ROW(EM!$C$14))*(MATCH(S$22,EM!$B$6:$B$9,0)-1),MIN(S$23-EM!$B$16+1,EM!$AF$16-EM!$B$16)),0)+
IF(ROUND(S$11,0)&gt;=3,OFFSET(EM!$B$17,ROW($A27)-ROW($A$26)+(ROW(EM!$C$46)-ROW(EM!$C$14))*(MATCH(S$22,EM!$B$6:$B$9,0)-1),MIN(S$23-EM!$B$16+2,EM!$AF$16-EM!$B$16)),0)+
IF(ROUND(S$11,0)&gt;=4,OFFSET(EM!$B$17,ROW($A27)-ROW($A$26)+(ROW(EM!$C$46)-ROW(EM!$C$14))*(MATCH(S$22,EM!$B$6:$B$9,0)-1),MIN(S$23-EM!$B$16+3,EM!$AF$16-EM!$B$16)),0)+
IF(ROUND(S$11,0)&gt;=5,OFFSET(EM!$B$17,ROW($A27)-ROW($A$26)+(ROW(EM!$C$46)-ROW(EM!$C$14))*(MATCH(S$22,EM!$B$6:$B$9,0)-1),MIN(S$23-EM!$B$16+4,EM!$AF$16-EM!$B$16)),0)+
IF(ROUND(S$11,0)&gt;=6,OFFSET(EM!$B$17,ROW($A27)-ROW($A$26)+(ROW(EM!$C$46)-ROW(EM!$C$14))*(MATCH(S$22,EM!$B$6:$B$9,0)-1),MIN(S$23-EM!$B$16+5,EM!$AF$16-EM!$B$16)),0)+
IF(ROUND(S$11,0)&gt;=7,OFFSET(EM!$B$17,ROW($A27)-ROW($A$26)+(ROW(EM!$C$46)-ROW(EM!$C$14))*(MATCH(S$22,EM!$B$6:$B$9,0)-1),MIN(S$23-EM!$B$16+6,EM!$AF$16-EM!$B$16)),0)+
IF(ROUND(S$11,0)&gt;=8,OFFSET(EM!$B$17,ROW($A27)-ROW($A$26)+(ROW(EM!$C$46)-ROW(EM!$C$14))*(MATCH(S$22,EM!$B$6:$B$9,0)-1),MIN(S$23-EM!$B$16+7,EM!$AF$16-EM!$B$16)),0)+
IF(ROUND(S$11,0)&gt;=9,OFFSET(EM!$B$17,ROW($A27)-ROW($A$26)+(ROW(EM!$C$46)-ROW(EM!$C$14))*(MATCH(S$22,EM!$B$6:$B$9,0)-1),MIN(S$23-EM!$B$16+8,EM!$AF$16-EM!$B$16)),0)+
IF(ROUND(S$11,0)&gt;=10,OFFSET(EM!$B$17,ROW($A27)-ROW($A$26)+(ROW(EM!$C$46)-ROW(EM!$C$14))*(MATCH(S$22,EM!$B$6:$B$9,0)-1),MIN(S$23-EM!$B$16+9,EM!$AF$16-EM!$B$16)),0)+
IF(ROUND(S$11,0)&gt;=11,OFFSET(EM!$B$17,ROW($A27)-ROW($A$26)+(ROW(EM!$C$46)-ROW(EM!$C$14))*(MATCH(S$22,EM!$B$6:$B$9,0)-1),MIN(S$23-EM!$B$16+10,EM!$AF$16-EM!$B$16)),0)+
IF(ROUND(S$11,0)&gt;=12,OFFSET(EM!$B$17,ROW($A27)-ROW($A$26)+(ROW(EM!$C$46)-ROW(EM!$C$14))*(MATCH(S$22,EM!$B$6:$B$9,0)-1),MIN(S$23-EM!$B$16+11,EM!$AF$16-EM!$B$16)),0)+
IF(ROUND(S$11,0)&gt;=13,OFFSET(EM!$B$17,ROW($A27)-ROW($A$26)+(ROW(EM!$C$46)-ROW(EM!$C$14))*(MATCH(S$22,EM!$B$6:$B$9,0)-1),MIN(S$23-EM!$B$16+12,EM!$AF$16-EM!$B$16)),0)+
IF(ROUND(S$11,0)&gt;=14,OFFSET(EM!$B$17,ROW($A27)-ROW($A$26)+(ROW(EM!$C$46)-ROW(EM!$C$14))*(MATCH(S$22,EM!$B$6:$B$9,0)-1),MIN(S$23-EM!$B$16+13,EM!$AF$16-EM!$B$16)),0)+
IF(ROUND(S$11,0)&gt;=15,OFFSET(EM!$B$17,ROW($A27)-ROW($A$26)+(ROW(EM!$C$46)-ROW(EM!$C$14))*(MATCH(S$22,EM!$B$6:$B$9,0)-1),MIN(S$23-EM!$B$16+14,EM!$AF$16-EM!$B$16)),0)+
IF(ROUND(S$11,0)&gt;=16,OFFSET(EM!$B$17,ROW($A27)-ROW($A$26)+(ROW(EM!$C$46)-ROW(EM!$C$14))*(MATCH(S$22,EM!$B$6:$B$9,0)-1),MIN(S$23-EM!$B$16+15,EM!$AF$16-EM!$B$16)),0)+
IF(ROUND(S$11,0)&gt;=17,OFFSET(EM!$B$17,ROW($A27)-ROW($A$26)+(ROW(EM!$C$46)-ROW(EM!$C$14))*(MATCH(S$22,EM!$B$6:$B$9,0)-1),MIN(S$23-EM!$B$16+16,EM!$AF$16-EM!$B$16)),0)+
IF(ROUND(S$11,0)&gt;=18,OFFSET(EM!$B$17,ROW($A27)-ROW($A$26)+(ROW(EM!$C$46)-ROW(EM!$C$14))*(MATCH(S$22,EM!$B$6:$B$9,0)-1),MIN(S$23-EM!$B$16+17,EM!$AF$16-EM!$B$16)),0)+
IF(ROUND(S$11,0)&gt;=19,OFFSET(EM!$B$17,ROW($A27)-ROW($A$26)+(ROW(EM!$C$46)-ROW(EM!$C$14))*(MATCH(S$22,EM!$B$6:$B$9,0)-1),MIN(S$23-EM!$B$16+18,EM!$AF$16-EM!$B$16)),0)+
IF(ROUND(S$11,0)&gt;=20,OFFSET(EM!$B$17,ROW($A27)-ROW($A$26)+(ROW(EM!$C$46)-ROW(EM!$C$14))*(MATCH(S$22,EM!$B$6:$B$9,0)-1),MIN(S$23-EM!$B$16+19,EM!$AF$16-EM!$B$16)),0)+
IF(ROUND(S$11,0)&gt;=21,OFFSET(EM!$B$17,ROW($A27)-ROW($A$26)+(ROW(EM!$C$46)-ROW(EM!$C$14))*(MATCH(S$22,EM!$B$6:$B$9,0)-1),MIN(S$23-EM!$B$16+20,EM!$AF$16-EM!$B$16)),0)+
IF(ROUND(S$11,0)&gt;=22,OFFSET(EM!$B$17,ROW($A27)-ROW($A$26)+(ROW(EM!$C$46)-ROW(EM!$C$14))*(MATCH(S$22,EM!$B$6:$B$9,0)-1),MIN(S$23-EM!$B$16+21,EM!$AF$16-EM!$B$16)),0)+
IF(ROUND(S$11,0)&gt;=23,OFFSET(EM!$B$17,ROW($A27)-ROW($A$26)+(ROW(EM!$C$46)-ROW(EM!$C$14))*(MATCH(S$22,EM!$B$6:$B$9,0)-1),MIN(S$23-EM!$B$16+22,EM!$AF$16-EM!$B$16)),0)+
IF(ROUND(S$11,0)&gt;=24,OFFSET(EM!$B$17,ROW($A27)-ROW($A$26)+(ROW(EM!$C$46)-ROW(EM!$C$14))*(MATCH(S$22,EM!$B$6:$B$9,0)-1),MIN(S$23-EM!$B$16+23,EM!$AF$16-EM!$B$16)),0)+
IF(ROUND(S$11,0)&gt;=25,OFFSET(EM!$B$17,ROW($A27)-ROW($A$26)+(ROW(EM!$C$46)-ROW(EM!$C$14))*(MATCH(S$22,EM!$B$6:$B$9,0)-1),MIN(S$23-EM!$B$16+24,EM!$AF$16-EM!$B$16)),0)+
IF(ROUND(S$11,0)&gt;=26,OFFSET(EM!$B$17,ROW($A27)-ROW($A$26)+(ROW(EM!$C$46)-ROW(EM!$C$14))*(MATCH(S$22,EM!$B$6:$B$9,0)-1),MIN(S$23-EM!$B$16+25,EM!$AF$16-EM!$B$16)),0)+
IF(ROUND(S$11,0)&gt;=27,OFFSET(EM!$B$17,ROW($A27)-ROW($A$26)+(ROW(EM!$C$46)-ROW(EM!$C$14))*(MATCH(S$22,EM!$B$6:$B$9,0)-1),MIN(S$23-EM!$B$16+26,EM!$AF$16-EM!$B$16)),0)+
IF(ROUND(S$11,0)&gt;=28,OFFSET(EM!$B$17,ROW($A27)-ROW($A$26)+(ROW(EM!$C$46)-ROW(EM!$C$14))*(MATCH(S$22,EM!$B$6:$B$9,0)-1),MIN(S$23-EM!$B$16+27,EM!$AF$16-EM!$B$16)),0)+
IF(ROUND(S$11,0)&gt;=29,OFFSET(EM!$B$17,ROW($A27)-ROW($A$26)+(ROW(EM!$C$46)-ROW(EM!$C$14))*(MATCH(S$22,EM!$B$6:$B$9,0)-1),MIN(S$23-EM!$B$16+28,EM!$AF$16-EM!$B$16)),0)+
IF(ROUND(S$11,0)&gt;=30,OFFSET(EM!$B$17,ROW($A27)-ROW($A$26)+(ROW(EM!$C$46)-ROW(EM!$C$14))*(MATCH(S$22,EM!$B$6:$B$9,0)-1),MIN(S$23-EM!$B$16+29,EM!$AF$16-EM!$B$16)),0)+
IF(ROUND(S$11,0)&gt;=31,OFFSET(EM!$B$17,ROW($A27)-ROW($A$26)+(ROW(EM!$C$46)-ROW(EM!$C$14))*(MATCH(S$22,EM!$B$6:$B$9,0)-1),MIN(S$23-EM!$B$16+30,EM!$AF$16-EM!$B$16)),0)+
IF(ROUND(S$11,0)&gt;=32,OFFSET(EM!$B$17,ROW($A27)-ROW($A$26)+(ROW(EM!$C$46)-ROW(EM!$C$14))*(MATCH(S$22,EM!$B$6:$B$9,0)-1),MIN(S$23-EM!$B$16+31,EM!$AF$16-EM!$B$16)),0)+
IF(ROUND(S$11,0)&gt;=33,OFFSET(EM!$B$17,ROW($A27)-ROW($A$26)+(ROW(EM!$C$46)-ROW(EM!$C$14))*(MATCH(S$22,EM!$B$6:$B$9,0)-1),MIN(S$23-EM!$B$16+32,EM!$AF$16-EM!$B$16)),0)+
IF(ROUND(S$11,0)&gt;=34,OFFSET(EM!$B$17,ROW($A27)-ROW($A$26)+(ROW(EM!$C$46)-ROW(EM!$C$14))*(MATCH(S$22,EM!$B$6:$B$9,0)-1),MIN(S$23-EM!$B$16+33,EM!$AF$16-EM!$B$16)),0)+
IF(ROUND(S$11,0)&gt;=35,OFFSET(EM!$B$17,ROW($A27)-ROW($A$26)+(ROW(EM!$C$46)-ROW(EM!$C$14))*(MATCH(S$22,EM!$B$6:$B$9,0)-1),MIN(S$23-EM!$B$16+34,EM!$AF$16-EM!$B$16)),0)+
IF(ROUND(S$11,0)&gt;=36,OFFSET(EM!$B$17,ROW($A27)-ROW($A$26)+(ROW(EM!$C$46)-ROW(EM!$C$14))*(MATCH(S$22,EM!$B$6:$B$9,0)-1),MIN(S$23-EM!$B$16+35,EM!$AF$16-EM!$B$16)),0)+
IF(ROUND(S$11,0)&gt;=37,OFFSET(EM!$B$17,ROW($A27)-ROW($A$26)+(ROW(EM!$C$46)-ROW(EM!$C$14))*(MATCH(S$22,EM!$B$6:$B$9,0)-1),MIN(S$23-EM!$B$16+36,EM!$AF$16-EM!$B$16)),0)+
IF(ROUND(S$11,0)&gt;=38,OFFSET(EM!$B$17,ROW($A27)-ROW($A$26)+(ROW(EM!$C$46)-ROW(EM!$C$14))*(MATCH(S$22,EM!$B$6:$B$9,0)-1),MIN(S$23-EM!$B$16+37,EM!$AF$16-EM!$B$16)),0)+
IF(ROUND(S$11,0)&gt;=39,OFFSET(EM!$B$17,ROW($A27)-ROW($A$26)+(ROW(EM!$C$46)-ROW(EM!$C$14))*(MATCH(S$22,EM!$B$6:$B$9,0)-1),MIN(S$23-EM!$B$16+38,EM!$AF$16-EM!$B$16)),0)+
IF(ROUND(S$11,0)&gt;=40,OFFSET(EM!$B$17,ROW($A27)-ROW($A$26)+(ROW(EM!$C$46)-ROW(EM!$C$14))*(MATCH(S$22,EM!$B$6:$B$9,0)-1),MIN(S$23-EM!$B$16+39,EM!$AF$16-EM!$B$16)),0)
)/ROUND(S$11,0),NA()))</f>
        <v>2.4786228463300326E-2</v>
      </c>
      <c r="T27" s="2046">
        <f ca="1">IF(T$19=GPG!$A$28,IF(ROW(T27)-ROW(T$26)+1=MATCH(T$20,GPG!$A$5:$A$11,0),1,0),
IF(T$19=GPG!$A$29,
(IF(ROUND(T$11,0)&gt;=1,OFFSET(EM!$B$17,ROW($A27)-ROW($A$26)+(ROW(EM!$C$46)-ROW(EM!$C$14))*(MATCH(T$22,EM!$B$6:$B$9,0)-1),MIN(T$23-EM!$B$16,EM!$AF$16-EM!$B$16)),0)+
IF(ROUND(T$11,0)&gt;=2,OFFSET(EM!$B$17,ROW($A27)-ROW($A$26)+(ROW(EM!$C$46)-ROW(EM!$C$14))*(MATCH(T$22,EM!$B$6:$B$9,0)-1),MIN(T$23-EM!$B$16+1,EM!$AF$16-EM!$B$16)),0)+
IF(ROUND(T$11,0)&gt;=3,OFFSET(EM!$B$17,ROW($A27)-ROW($A$26)+(ROW(EM!$C$46)-ROW(EM!$C$14))*(MATCH(T$22,EM!$B$6:$B$9,0)-1),MIN(T$23-EM!$B$16+2,EM!$AF$16-EM!$B$16)),0)+
IF(ROUND(T$11,0)&gt;=4,OFFSET(EM!$B$17,ROW($A27)-ROW($A$26)+(ROW(EM!$C$46)-ROW(EM!$C$14))*(MATCH(T$22,EM!$B$6:$B$9,0)-1),MIN(T$23-EM!$B$16+3,EM!$AF$16-EM!$B$16)),0)+
IF(ROUND(T$11,0)&gt;=5,OFFSET(EM!$B$17,ROW($A27)-ROW($A$26)+(ROW(EM!$C$46)-ROW(EM!$C$14))*(MATCH(T$22,EM!$B$6:$B$9,0)-1),MIN(T$23-EM!$B$16+4,EM!$AF$16-EM!$B$16)),0)+
IF(ROUND(T$11,0)&gt;=6,OFFSET(EM!$B$17,ROW($A27)-ROW($A$26)+(ROW(EM!$C$46)-ROW(EM!$C$14))*(MATCH(T$22,EM!$B$6:$B$9,0)-1),MIN(T$23-EM!$B$16+5,EM!$AF$16-EM!$B$16)),0)+
IF(ROUND(T$11,0)&gt;=7,OFFSET(EM!$B$17,ROW($A27)-ROW($A$26)+(ROW(EM!$C$46)-ROW(EM!$C$14))*(MATCH(T$22,EM!$B$6:$B$9,0)-1),MIN(T$23-EM!$B$16+6,EM!$AF$16-EM!$B$16)),0)+
IF(ROUND(T$11,0)&gt;=8,OFFSET(EM!$B$17,ROW($A27)-ROW($A$26)+(ROW(EM!$C$46)-ROW(EM!$C$14))*(MATCH(T$22,EM!$B$6:$B$9,0)-1),MIN(T$23-EM!$B$16+7,EM!$AF$16-EM!$B$16)),0)+
IF(ROUND(T$11,0)&gt;=9,OFFSET(EM!$B$17,ROW($A27)-ROW($A$26)+(ROW(EM!$C$46)-ROW(EM!$C$14))*(MATCH(T$22,EM!$B$6:$B$9,0)-1),MIN(T$23-EM!$B$16+8,EM!$AF$16-EM!$B$16)),0)+
IF(ROUND(T$11,0)&gt;=10,OFFSET(EM!$B$17,ROW($A27)-ROW($A$26)+(ROW(EM!$C$46)-ROW(EM!$C$14))*(MATCH(T$22,EM!$B$6:$B$9,0)-1),MIN(T$23-EM!$B$16+9,EM!$AF$16-EM!$B$16)),0)+
IF(ROUND(T$11,0)&gt;=11,OFFSET(EM!$B$17,ROW($A27)-ROW($A$26)+(ROW(EM!$C$46)-ROW(EM!$C$14))*(MATCH(T$22,EM!$B$6:$B$9,0)-1),MIN(T$23-EM!$B$16+10,EM!$AF$16-EM!$B$16)),0)+
IF(ROUND(T$11,0)&gt;=12,OFFSET(EM!$B$17,ROW($A27)-ROW($A$26)+(ROW(EM!$C$46)-ROW(EM!$C$14))*(MATCH(T$22,EM!$B$6:$B$9,0)-1),MIN(T$23-EM!$B$16+11,EM!$AF$16-EM!$B$16)),0)+
IF(ROUND(T$11,0)&gt;=13,OFFSET(EM!$B$17,ROW($A27)-ROW($A$26)+(ROW(EM!$C$46)-ROW(EM!$C$14))*(MATCH(T$22,EM!$B$6:$B$9,0)-1),MIN(T$23-EM!$B$16+12,EM!$AF$16-EM!$B$16)),0)+
IF(ROUND(T$11,0)&gt;=14,OFFSET(EM!$B$17,ROW($A27)-ROW($A$26)+(ROW(EM!$C$46)-ROW(EM!$C$14))*(MATCH(T$22,EM!$B$6:$B$9,0)-1),MIN(T$23-EM!$B$16+13,EM!$AF$16-EM!$B$16)),0)+
IF(ROUND(T$11,0)&gt;=15,OFFSET(EM!$B$17,ROW($A27)-ROW($A$26)+(ROW(EM!$C$46)-ROW(EM!$C$14))*(MATCH(T$22,EM!$B$6:$B$9,0)-1),MIN(T$23-EM!$B$16+14,EM!$AF$16-EM!$B$16)),0)+
IF(ROUND(T$11,0)&gt;=16,OFFSET(EM!$B$17,ROW($A27)-ROW($A$26)+(ROW(EM!$C$46)-ROW(EM!$C$14))*(MATCH(T$22,EM!$B$6:$B$9,0)-1),MIN(T$23-EM!$B$16+15,EM!$AF$16-EM!$B$16)),0)+
IF(ROUND(T$11,0)&gt;=17,OFFSET(EM!$B$17,ROW($A27)-ROW($A$26)+(ROW(EM!$C$46)-ROW(EM!$C$14))*(MATCH(T$22,EM!$B$6:$B$9,0)-1),MIN(T$23-EM!$B$16+16,EM!$AF$16-EM!$B$16)),0)+
IF(ROUND(T$11,0)&gt;=18,OFFSET(EM!$B$17,ROW($A27)-ROW($A$26)+(ROW(EM!$C$46)-ROW(EM!$C$14))*(MATCH(T$22,EM!$B$6:$B$9,0)-1),MIN(T$23-EM!$B$16+17,EM!$AF$16-EM!$B$16)),0)+
IF(ROUND(T$11,0)&gt;=19,OFFSET(EM!$B$17,ROW($A27)-ROW($A$26)+(ROW(EM!$C$46)-ROW(EM!$C$14))*(MATCH(T$22,EM!$B$6:$B$9,0)-1),MIN(T$23-EM!$B$16+18,EM!$AF$16-EM!$B$16)),0)+
IF(ROUND(T$11,0)&gt;=20,OFFSET(EM!$B$17,ROW($A27)-ROW($A$26)+(ROW(EM!$C$46)-ROW(EM!$C$14))*(MATCH(T$22,EM!$B$6:$B$9,0)-1),MIN(T$23-EM!$B$16+19,EM!$AF$16-EM!$B$16)),0)+
IF(ROUND(T$11,0)&gt;=21,OFFSET(EM!$B$17,ROW($A27)-ROW($A$26)+(ROW(EM!$C$46)-ROW(EM!$C$14))*(MATCH(T$22,EM!$B$6:$B$9,0)-1),MIN(T$23-EM!$B$16+20,EM!$AF$16-EM!$B$16)),0)+
IF(ROUND(T$11,0)&gt;=22,OFFSET(EM!$B$17,ROW($A27)-ROW($A$26)+(ROW(EM!$C$46)-ROW(EM!$C$14))*(MATCH(T$22,EM!$B$6:$B$9,0)-1),MIN(T$23-EM!$B$16+21,EM!$AF$16-EM!$B$16)),0)+
IF(ROUND(T$11,0)&gt;=23,OFFSET(EM!$B$17,ROW($A27)-ROW($A$26)+(ROW(EM!$C$46)-ROW(EM!$C$14))*(MATCH(T$22,EM!$B$6:$B$9,0)-1),MIN(T$23-EM!$B$16+22,EM!$AF$16-EM!$B$16)),0)+
IF(ROUND(T$11,0)&gt;=24,OFFSET(EM!$B$17,ROW($A27)-ROW($A$26)+(ROW(EM!$C$46)-ROW(EM!$C$14))*(MATCH(T$22,EM!$B$6:$B$9,0)-1),MIN(T$23-EM!$B$16+23,EM!$AF$16-EM!$B$16)),0)+
IF(ROUND(T$11,0)&gt;=25,OFFSET(EM!$B$17,ROW($A27)-ROW($A$26)+(ROW(EM!$C$46)-ROW(EM!$C$14))*(MATCH(T$22,EM!$B$6:$B$9,0)-1),MIN(T$23-EM!$B$16+24,EM!$AF$16-EM!$B$16)),0)+
IF(ROUND(T$11,0)&gt;=26,OFFSET(EM!$B$17,ROW($A27)-ROW($A$26)+(ROW(EM!$C$46)-ROW(EM!$C$14))*(MATCH(T$22,EM!$B$6:$B$9,0)-1),MIN(T$23-EM!$B$16+25,EM!$AF$16-EM!$B$16)),0)+
IF(ROUND(T$11,0)&gt;=27,OFFSET(EM!$B$17,ROW($A27)-ROW($A$26)+(ROW(EM!$C$46)-ROW(EM!$C$14))*(MATCH(T$22,EM!$B$6:$B$9,0)-1),MIN(T$23-EM!$B$16+26,EM!$AF$16-EM!$B$16)),0)+
IF(ROUND(T$11,0)&gt;=28,OFFSET(EM!$B$17,ROW($A27)-ROW($A$26)+(ROW(EM!$C$46)-ROW(EM!$C$14))*(MATCH(T$22,EM!$B$6:$B$9,0)-1),MIN(T$23-EM!$B$16+27,EM!$AF$16-EM!$B$16)),0)+
IF(ROUND(T$11,0)&gt;=29,OFFSET(EM!$B$17,ROW($A27)-ROW($A$26)+(ROW(EM!$C$46)-ROW(EM!$C$14))*(MATCH(T$22,EM!$B$6:$B$9,0)-1),MIN(T$23-EM!$B$16+28,EM!$AF$16-EM!$B$16)),0)+
IF(ROUND(T$11,0)&gt;=30,OFFSET(EM!$B$17,ROW($A27)-ROW($A$26)+(ROW(EM!$C$46)-ROW(EM!$C$14))*(MATCH(T$22,EM!$B$6:$B$9,0)-1),MIN(T$23-EM!$B$16+29,EM!$AF$16-EM!$B$16)),0)+
IF(ROUND(T$11,0)&gt;=31,OFFSET(EM!$B$17,ROW($A27)-ROW($A$26)+(ROW(EM!$C$46)-ROW(EM!$C$14))*(MATCH(T$22,EM!$B$6:$B$9,0)-1),MIN(T$23-EM!$B$16+30,EM!$AF$16-EM!$B$16)),0)+
IF(ROUND(T$11,0)&gt;=32,OFFSET(EM!$B$17,ROW($A27)-ROW($A$26)+(ROW(EM!$C$46)-ROW(EM!$C$14))*(MATCH(T$22,EM!$B$6:$B$9,0)-1),MIN(T$23-EM!$B$16+31,EM!$AF$16-EM!$B$16)),0)+
IF(ROUND(T$11,0)&gt;=33,OFFSET(EM!$B$17,ROW($A27)-ROW($A$26)+(ROW(EM!$C$46)-ROW(EM!$C$14))*(MATCH(T$22,EM!$B$6:$B$9,0)-1),MIN(T$23-EM!$B$16+32,EM!$AF$16-EM!$B$16)),0)+
IF(ROUND(T$11,0)&gt;=34,OFFSET(EM!$B$17,ROW($A27)-ROW($A$26)+(ROW(EM!$C$46)-ROW(EM!$C$14))*(MATCH(T$22,EM!$B$6:$B$9,0)-1),MIN(T$23-EM!$B$16+33,EM!$AF$16-EM!$B$16)),0)+
IF(ROUND(T$11,0)&gt;=35,OFFSET(EM!$B$17,ROW($A27)-ROW($A$26)+(ROW(EM!$C$46)-ROW(EM!$C$14))*(MATCH(T$22,EM!$B$6:$B$9,0)-1),MIN(T$23-EM!$B$16+34,EM!$AF$16-EM!$B$16)),0)+
IF(ROUND(T$11,0)&gt;=36,OFFSET(EM!$B$17,ROW($A27)-ROW($A$26)+(ROW(EM!$C$46)-ROW(EM!$C$14))*(MATCH(T$22,EM!$B$6:$B$9,0)-1),MIN(T$23-EM!$B$16+35,EM!$AF$16-EM!$B$16)),0)+
IF(ROUND(T$11,0)&gt;=37,OFFSET(EM!$B$17,ROW($A27)-ROW($A$26)+(ROW(EM!$C$46)-ROW(EM!$C$14))*(MATCH(T$22,EM!$B$6:$B$9,0)-1),MIN(T$23-EM!$B$16+36,EM!$AF$16-EM!$B$16)),0)+
IF(ROUND(T$11,0)&gt;=38,OFFSET(EM!$B$17,ROW($A27)-ROW($A$26)+(ROW(EM!$C$46)-ROW(EM!$C$14))*(MATCH(T$22,EM!$B$6:$B$9,0)-1),MIN(T$23-EM!$B$16+37,EM!$AF$16-EM!$B$16)),0)+
IF(ROUND(T$11,0)&gt;=39,OFFSET(EM!$B$17,ROW($A27)-ROW($A$26)+(ROW(EM!$C$46)-ROW(EM!$C$14))*(MATCH(T$22,EM!$B$6:$B$9,0)-1),MIN(T$23-EM!$B$16+38,EM!$AF$16-EM!$B$16)),0)+
IF(ROUND(T$11,0)&gt;=40,OFFSET(EM!$B$17,ROW($A27)-ROW($A$26)+(ROW(EM!$C$46)-ROW(EM!$C$14))*(MATCH(T$22,EM!$B$6:$B$9,0)-1),MIN(T$23-EM!$B$16+39,EM!$AF$16-EM!$B$16)),0)
)/ROUND(T$11,0),NA()))</f>
        <v>2.4786228463300326E-2</v>
      </c>
      <c r="U27" s="2046">
        <f ca="1">IF(U$19=GPG!$A$28,IF(ROW(U27)-ROW(U$26)+1=MATCH(U$20,GPG!$A$5:$A$11,0),1,0),
IF(U$19=GPG!$A$29,
(IF(ROUND(U$11,0)&gt;=1,OFFSET(EM!$B$17,ROW($A27)-ROW($A$26)+(ROW(EM!$C$46)-ROW(EM!$C$14))*(MATCH(U$22,EM!$B$6:$B$9,0)-1),MIN(U$23-EM!$B$16,EM!$AF$16-EM!$B$16)),0)+
IF(ROUND(U$11,0)&gt;=2,OFFSET(EM!$B$17,ROW($A27)-ROW($A$26)+(ROW(EM!$C$46)-ROW(EM!$C$14))*(MATCH(U$22,EM!$B$6:$B$9,0)-1),MIN(U$23-EM!$B$16+1,EM!$AF$16-EM!$B$16)),0)+
IF(ROUND(U$11,0)&gt;=3,OFFSET(EM!$B$17,ROW($A27)-ROW($A$26)+(ROW(EM!$C$46)-ROW(EM!$C$14))*(MATCH(U$22,EM!$B$6:$B$9,0)-1),MIN(U$23-EM!$B$16+2,EM!$AF$16-EM!$B$16)),0)+
IF(ROUND(U$11,0)&gt;=4,OFFSET(EM!$B$17,ROW($A27)-ROW($A$26)+(ROW(EM!$C$46)-ROW(EM!$C$14))*(MATCH(U$22,EM!$B$6:$B$9,0)-1),MIN(U$23-EM!$B$16+3,EM!$AF$16-EM!$B$16)),0)+
IF(ROUND(U$11,0)&gt;=5,OFFSET(EM!$B$17,ROW($A27)-ROW($A$26)+(ROW(EM!$C$46)-ROW(EM!$C$14))*(MATCH(U$22,EM!$B$6:$B$9,0)-1),MIN(U$23-EM!$B$16+4,EM!$AF$16-EM!$B$16)),0)+
IF(ROUND(U$11,0)&gt;=6,OFFSET(EM!$B$17,ROW($A27)-ROW($A$26)+(ROW(EM!$C$46)-ROW(EM!$C$14))*(MATCH(U$22,EM!$B$6:$B$9,0)-1),MIN(U$23-EM!$B$16+5,EM!$AF$16-EM!$B$16)),0)+
IF(ROUND(U$11,0)&gt;=7,OFFSET(EM!$B$17,ROW($A27)-ROW($A$26)+(ROW(EM!$C$46)-ROW(EM!$C$14))*(MATCH(U$22,EM!$B$6:$B$9,0)-1),MIN(U$23-EM!$B$16+6,EM!$AF$16-EM!$B$16)),0)+
IF(ROUND(U$11,0)&gt;=8,OFFSET(EM!$B$17,ROW($A27)-ROW($A$26)+(ROW(EM!$C$46)-ROW(EM!$C$14))*(MATCH(U$22,EM!$B$6:$B$9,0)-1),MIN(U$23-EM!$B$16+7,EM!$AF$16-EM!$B$16)),0)+
IF(ROUND(U$11,0)&gt;=9,OFFSET(EM!$B$17,ROW($A27)-ROW($A$26)+(ROW(EM!$C$46)-ROW(EM!$C$14))*(MATCH(U$22,EM!$B$6:$B$9,0)-1),MIN(U$23-EM!$B$16+8,EM!$AF$16-EM!$B$16)),0)+
IF(ROUND(U$11,0)&gt;=10,OFFSET(EM!$B$17,ROW($A27)-ROW($A$26)+(ROW(EM!$C$46)-ROW(EM!$C$14))*(MATCH(U$22,EM!$B$6:$B$9,0)-1),MIN(U$23-EM!$B$16+9,EM!$AF$16-EM!$B$16)),0)+
IF(ROUND(U$11,0)&gt;=11,OFFSET(EM!$B$17,ROW($A27)-ROW($A$26)+(ROW(EM!$C$46)-ROW(EM!$C$14))*(MATCH(U$22,EM!$B$6:$B$9,0)-1),MIN(U$23-EM!$B$16+10,EM!$AF$16-EM!$B$16)),0)+
IF(ROUND(U$11,0)&gt;=12,OFFSET(EM!$B$17,ROW($A27)-ROW($A$26)+(ROW(EM!$C$46)-ROW(EM!$C$14))*(MATCH(U$22,EM!$B$6:$B$9,0)-1),MIN(U$23-EM!$B$16+11,EM!$AF$16-EM!$B$16)),0)+
IF(ROUND(U$11,0)&gt;=13,OFFSET(EM!$B$17,ROW($A27)-ROW($A$26)+(ROW(EM!$C$46)-ROW(EM!$C$14))*(MATCH(U$22,EM!$B$6:$B$9,0)-1),MIN(U$23-EM!$B$16+12,EM!$AF$16-EM!$B$16)),0)+
IF(ROUND(U$11,0)&gt;=14,OFFSET(EM!$B$17,ROW($A27)-ROW($A$26)+(ROW(EM!$C$46)-ROW(EM!$C$14))*(MATCH(U$22,EM!$B$6:$B$9,0)-1),MIN(U$23-EM!$B$16+13,EM!$AF$16-EM!$B$16)),0)+
IF(ROUND(U$11,0)&gt;=15,OFFSET(EM!$B$17,ROW($A27)-ROW($A$26)+(ROW(EM!$C$46)-ROW(EM!$C$14))*(MATCH(U$22,EM!$B$6:$B$9,0)-1),MIN(U$23-EM!$B$16+14,EM!$AF$16-EM!$B$16)),0)+
IF(ROUND(U$11,0)&gt;=16,OFFSET(EM!$B$17,ROW($A27)-ROW($A$26)+(ROW(EM!$C$46)-ROW(EM!$C$14))*(MATCH(U$22,EM!$B$6:$B$9,0)-1),MIN(U$23-EM!$B$16+15,EM!$AF$16-EM!$B$16)),0)+
IF(ROUND(U$11,0)&gt;=17,OFFSET(EM!$B$17,ROW($A27)-ROW($A$26)+(ROW(EM!$C$46)-ROW(EM!$C$14))*(MATCH(U$22,EM!$B$6:$B$9,0)-1),MIN(U$23-EM!$B$16+16,EM!$AF$16-EM!$B$16)),0)+
IF(ROUND(U$11,0)&gt;=18,OFFSET(EM!$B$17,ROW($A27)-ROW($A$26)+(ROW(EM!$C$46)-ROW(EM!$C$14))*(MATCH(U$22,EM!$B$6:$B$9,0)-1),MIN(U$23-EM!$B$16+17,EM!$AF$16-EM!$B$16)),0)+
IF(ROUND(U$11,0)&gt;=19,OFFSET(EM!$B$17,ROW($A27)-ROW($A$26)+(ROW(EM!$C$46)-ROW(EM!$C$14))*(MATCH(U$22,EM!$B$6:$B$9,0)-1),MIN(U$23-EM!$B$16+18,EM!$AF$16-EM!$B$16)),0)+
IF(ROUND(U$11,0)&gt;=20,OFFSET(EM!$B$17,ROW($A27)-ROW($A$26)+(ROW(EM!$C$46)-ROW(EM!$C$14))*(MATCH(U$22,EM!$B$6:$B$9,0)-1),MIN(U$23-EM!$B$16+19,EM!$AF$16-EM!$B$16)),0)+
IF(ROUND(U$11,0)&gt;=21,OFFSET(EM!$B$17,ROW($A27)-ROW($A$26)+(ROW(EM!$C$46)-ROW(EM!$C$14))*(MATCH(U$22,EM!$B$6:$B$9,0)-1),MIN(U$23-EM!$B$16+20,EM!$AF$16-EM!$B$16)),0)+
IF(ROUND(U$11,0)&gt;=22,OFFSET(EM!$B$17,ROW($A27)-ROW($A$26)+(ROW(EM!$C$46)-ROW(EM!$C$14))*(MATCH(U$22,EM!$B$6:$B$9,0)-1),MIN(U$23-EM!$B$16+21,EM!$AF$16-EM!$B$16)),0)+
IF(ROUND(U$11,0)&gt;=23,OFFSET(EM!$B$17,ROW($A27)-ROW($A$26)+(ROW(EM!$C$46)-ROW(EM!$C$14))*(MATCH(U$22,EM!$B$6:$B$9,0)-1),MIN(U$23-EM!$B$16+22,EM!$AF$16-EM!$B$16)),0)+
IF(ROUND(U$11,0)&gt;=24,OFFSET(EM!$B$17,ROW($A27)-ROW($A$26)+(ROW(EM!$C$46)-ROW(EM!$C$14))*(MATCH(U$22,EM!$B$6:$B$9,0)-1),MIN(U$23-EM!$B$16+23,EM!$AF$16-EM!$B$16)),0)+
IF(ROUND(U$11,0)&gt;=25,OFFSET(EM!$B$17,ROW($A27)-ROW($A$26)+(ROW(EM!$C$46)-ROW(EM!$C$14))*(MATCH(U$22,EM!$B$6:$B$9,0)-1),MIN(U$23-EM!$B$16+24,EM!$AF$16-EM!$B$16)),0)+
IF(ROUND(U$11,0)&gt;=26,OFFSET(EM!$B$17,ROW($A27)-ROW($A$26)+(ROW(EM!$C$46)-ROW(EM!$C$14))*(MATCH(U$22,EM!$B$6:$B$9,0)-1),MIN(U$23-EM!$B$16+25,EM!$AF$16-EM!$B$16)),0)+
IF(ROUND(U$11,0)&gt;=27,OFFSET(EM!$B$17,ROW($A27)-ROW($A$26)+(ROW(EM!$C$46)-ROW(EM!$C$14))*(MATCH(U$22,EM!$B$6:$B$9,0)-1),MIN(U$23-EM!$B$16+26,EM!$AF$16-EM!$B$16)),0)+
IF(ROUND(U$11,0)&gt;=28,OFFSET(EM!$B$17,ROW($A27)-ROW($A$26)+(ROW(EM!$C$46)-ROW(EM!$C$14))*(MATCH(U$22,EM!$B$6:$B$9,0)-1),MIN(U$23-EM!$B$16+27,EM!$AF$16-EM!$B$16)),0)+
IF(ROUND(U$11,0)&gt;=29,OFFSET(EM!$B$17,ROW($A27)-ROW($A$26)+(ROW(EM!$C$46)-ROW(EM!$C$14))*(MATCH(U$22,EM!$B$6:$B$9,0)-1),MIN(U$23-EM!$B$16+28,EM!$AF$16-EM!$B$16)),0)+
IF(ROUND(U$11,0)&gt;=30,OFFSET(EM!$B$17,ROW($A27)-ROW($A$26)+(ROW(EM!$C$46)-ROW(EM!$C$14))*(MATCH(U$22,EM!$B$6:$B$9,0)-1),MIN(U$23-EM!$B$16+29,EM!$AF$16-EM!$B$16)),0)+
IF(ROUND(U$11,0)&gt;=31,OFFSET(EM!$B$17,ROW($A27)-ROW($A$26)+(ROW(EM!$C$46)-ROW(EM!$C$14))*(MATCH(U$22,EM!$B$6:$B$9,0)-1),MIN(U$23-EM!$B$16+30,EM!$AF$16-EM!$B$16)),0)+
IF(ROUND(U$11,0)&gt;=32,OFFSET(EM!$B$17,ROW($A27)-ROW($A$26)+(ROW(EM!$C$46)-ROW(EM!$C$14))*(MATCH(U$22,EM!$B$6:$B$9,0)-1),MIN(U$23-EM!$B$16+31,EM!$AF$16-EM!$B$16)),0)+
IF(ROUND(U$11,0)&gt;=33,OFFSET(EM!$B$17,ROW($A27)-ROW($A$26)+(ROW(EM!$C$46)-ROW(EM!$C$14))*(MATCH(U$22,EM!$B$6:$B$9,0)-1),MIN(U$23-EM!$B$16+32,EM!$AF$16-EM!$B$16)),0)+
IF(ROUND(U$11,0)&gt;=34,OFFSET(EM!$B$17,ROW($A27)-ROW($A$26)+(ROW(EM!$C$46)-ROW(EM!$C$14))*(MATCH(U$22,EM!$B$6:$B$9,0)-1),MIN(U$23-EM!$B$16+33,EM!$AF$16-EM!$B$16)),0)+
IF(ROUND(U$11,0)&gt;=35,OFFSET(EM!$B$17,ROW($A27)-ROW($A$26)+(ROW(EM!$C$46)-ROW(EM!$C$14))*(MATCH(U$22,EM!$B$6:$B$9,0)-1),MIN(U$23-EM!$B$16+34,EM!$AF$16-EM!$B$16)),0)+
IF(ROUND(U$11,0)&gt;=36,OFFSET(EM!$B$17,ROW($A27)-ROW($A$26)+(ROW(EM!$C$46)-ROW(EM!$C$14))*(MATCH(U$22,EM!$B$6:$B$9,0)-1),MIN(U$23-EM!$B$16+35,EM!$AF$16-EM!$B$16)),0)+
IF(ROUND(U$11,0)&gt;=37,OFFSET(EM!$B$17,ROW($A27)-ROW($A$26)+(ROW(EM!$C$46)-ROW(EM!$C$14))*(MATCH(U$22,EM!$B$6:$B$9,0)-1),MIN(U$23-EM!$B$16+36,EM!$AF$16-EM!$B$16)),0)+
IF(ROUND(U$11,0)&gt;=38,OFFSET(EM!$B$17,ROW($A27)-ROW($A$26)+(ROW(EM!$C$46)-ROW(EM!$C$14))*(MATCH(U$22,EM!$B$6:$B$9,0)-1),MIN(U$23-EM!$B$16+37,EM!$AF$16-EM!$B$16)),0)+
IF(ROUND(U$11,0)&gt;=39,OFFSET(EM!$B$17,ROW($A27)-ROW($A$26)+(ROW(EM!$C$46)-ROW(EM!$C$14))*(MATCH(U$22,EM!$B$6:$B$9,0)-1),MIN(U$23-EM!$B$16+38,EM!$AF$16-EM!$B$16)),0)+
IF(ROUND(U$11,0)&gt;=40,OFFSET(EM!$B$17,ROW($A27)-ROW($A$26)+(ROW(EM!$C$46)-ROW(EM!$C$14))*(MATCH(U$22,EM!$B$6:$B$9,0)-1),MIN(U$23-EM!$B$16+39,EM!$AF$16-EM!$B$16)),0)
)/ROUND(U$11,0),NA()))</f>
        <v>2.4786228463300326E-2</v>
      </c>
      <c r="V27" s="2046">
        <f ca="1">IF(V$19=GPG!$A$28,IF(ROW(V27)-ROW(V$26)+1=MATCH(V$20,GPG!$A$5:$A$11,0),1,0),
IF(V$19=GPG!$A$29,
(IF(ROUND(V$11,0)&gt;=1,OFFSET(EM!$B$17,ROW($A27)-ROW($A$26)+(ROW(EM!$C$46)-ROW(EM!$C$14))*(MATCH(V$22,EM!$B$6:$B$9,0)-1),MIN(V$23-EM!$B$16,EM!$AF$16-EM!$B$16)),0)+
IF(ROUND(V$11,0)&gt;=2,OFFSET(EM!$B$17,ROW($A27)-ROW($A$26)+(ROW(EM!$C$46)-ROW(EM!$C$14))*(MATCH(V$22,EM!$B$6:$B$9,0)-1),MIN(V$23-EM!$B$16+1,EM!$AF$16-EM!$B$16)),0)+
IF(ROUND(V$11,0)&gt;=3,OFFSET(EM!$B$17,ROW($A27)-ROW($A$26)+(ROW(EM!$C$46)-ROW(EM!$C$14))*(MATCH(V$22,EM!$B$6:$B$9,0)-1),MIN(V$23-EM!$B$16+2,EM!$AF$16-EM!$B$16)),0)+
IF(ROUND(V$11,0)&gt;=4,OFFSET(EM!$B$17,ROW($A27)-ROW($A$26)+(ROW(EM!$C$46)-ROW(EM!$C$14))*(MATCH(V$22,EM!$B$6:$B$9,0)-1),MIN(V$23-EM!$B$16+3,EM!$AF$16-EM!$B$16)),0)+
IF(ROUND(V$11,0)&gt;=5,OFFSET(EM!$B$17,ROW($A27)-ROW($A$26)+(ROW(EM!$C$46)-ROW(EM!$C$14))*(MATCH(V$22,EM!$B$6:$B$9,0)-1),MIN(V$23-EM!$B$16+4,EM!$AF$16-EM!$B$16)),0)+
IF(ROUND(V$11,0)&gt;=6,OFFSET(EM!$B$17,ROW($A27)-ROW($A$26)+(ROW(EM!$C$46)-ROW(EM!$C$14))*(MATCH(V$22,EM!$B$6:$B$9,0)-1),MIN(V$23-EM!$B$16+5,EM!$AF$16-EM!$B$16)),0)+
IF(ROUND(V$11,0)&gt;=7,OFFSET(EM!$B$17,ROW($A27)-ROW($A$26)+(ROW(EM!$C$46)-ROW(EM!$C$14))*(MATCH(V$22,EM!$B$6:$B$9,0)-1),MIN(V$23-EM!$B$16+6,EM!$AF$16-EM!$B$16)),0)+
IF(ROUND(V$11,0)&gt;=8,OFFSET(EM!$B$17,ROW($A27)-ROW($A$26)+(ROW(EM!$C$46)-ROW(EM!$C$14))*(MATCH(V$22,EM!$B$6:$B$9,0)-1),MIN(V$23-EM!$B$16+7,EM!$AF$16-EM!$B$16)),0)+
IF(ROUND(V$11,0)&gt;=9,OFFSET(EM!$B$17,ROW($A27)-ROW($A$26)+(ROW(EM!$C$46)-ROW(EM!$C$14))*(MATCH(V$22,EM!$B$6:$B$9,0)-1),MIN(V$23-EM!$B$16+8,EM!$AF$16-EM!$B$16)),0)+
IF(ROUND(V$11,0)&gt;=10,OFFSET(EM!$B$17,ROW($A27)-ROW($A$26)+(ROW(EM!$C$46)-ROW(EM!$C$14))*(MATCH(V$22,EM!$B$6:$B$9,0)-1),MIN(V$23-EM!$B$16+9,EM!$AF$16-EM!$B$16)),0)+
IF(ROUND(V$11,0)&gt;=11,OFFSET(EM!$B$17,ROW($A27)-ROW($A$26)+(ROW(EM!$C$46)-ROW(EM!$C$14))*(MATCH(V$22,EM!$B$6:$B$9,0)-1),MIN(V$23-EM!$B$16+10,EM!$AF$16-EM!$B$16)),0)+
IF(ROUND(V$11,0)&gt;=12,OFFSET(EM!$B$17,ROW($A27)-ROW($A$26)+(ROW(EM!$C$46)-ROW(EM!$C$14))*(MATCH(V$22,EM!$B$6:$B$9,0)-1),MIN(V$23-EM!$B$16+11,EM!$AF$16-EM!$B$16)),0)+
IF(ROUND(V$11,0)&gt;=13,OFFSET(EM!$B$17,ROW($A27)-ROW($A$26)+(ROW(EM!$C$46)-ROW(EM!$C$14))*(MATCH(V$22,EM!$B$6:$B$9,0)-1),MIN(V$23-EM!$B$16+12,EM!$AF$16-EM!$B$16)),0)+
IF(ROUND(V$11,0)&gt;=14,OFFSET(EM!$B$17,ROW($A27)-ROW($A$26)+(ROW(EM!$C$46)-ROW(EM!$C$14))*(MATCH(V$22,EM!$B$6:$B$9,0)-1),MIN(V$23-EM!$B$16+13,EM!$AF$16-EM!$B$16)),0)+
IF(ROUND(V$11,0)&gt;=15,OFFSET(EM!$B$17,ROW($A27)-ROW($A$26)+(ROW(EM!$C$46)-ROW(EM!$C$14))*(MATCH(V$22,EM!$B$6:$B$9,0)-1),MIN(V$23-EM!$B$16+14,EM!$AF$16-EM!$B$16)),0)+
IF(ROUND(V$11,0)&gt;=16,OFFSET(EM!$B$17,ROW($A27)-ROW($A$26)+(ROW(EM!$C$46)-ROW(EM!$C$14))*(MATCH(V$22,EM!$B$6:$B$9,0)-1),MIN(V$23-EM!$B$16+15,EM!$AF$16-EM!$B$16)),0)+
IF(ROUND(V$11,0)&gt;=17,OFFSET(EM!$B$17,ROW($A27)-ROW($A$26)+(ROW(EM!$C$46)-ROW(EM!$C$14))*(MATCH(V$22,EM!$B$6:$B$9,0)-1),MIN(V$23-EM!$B$16+16,EM!$AF$16-EM!$B$16)),0)+
IF(ROUND(V$11,0)&gt;=18,OFFSET(EM!$B$17,ROW($A27)-ROW($A$26)+(ROW(EM!$C$46)-ROW(EM!$C$14))*(MATCH(V$22,EM!$B$6:$B$9,0)-1),MIN(V$23-EM!$B$16+17,EM!$AF$16-EM!$B$16)),0)+
IF(ROUND(V$11,0)&gt;=19,OFFSET(EM!$B$17,ROW($A27)-ROW($A$26)+(ROW(EM!$C$46)-ROW(EM!$C$14))*(MATCH(V$22,EM!$B$6:$B$9,0)-1),MIN(V$23-EM!$B$16+18,EM!$AF$16-EM!$B$16)),0)+
IF(ROUND(V$11,0)&gt;=20,OFFSET(EM!$B$17,ROW($A27)-ROW($A$26)+(ROW(EM!$C$46)-ROW(EM!$C$14))*(MATCH(V$22,EM!$B$6:$B$9,0)-1),MIN(V$23-EM!$B$16+19,EM!$AF$16-EM!$B$16)),0)+
IF(ROUND(V$11,0)&gt;=21,OFFSET(EM!$B$17,ROW($A27)-ROW($A$26)+(ROW(EM!$C$46)-ROW(EM!$C$14))*(MATCH(V$22,EM!$B$6:$B$9,0)-1),MIN(V$23-EM!$B$16+20,EM!$AF$16-EM!$B$16)),0)+
IF(ROUND(V$11,0)&gt;=22,OFFSET(EM!$B$17,ROW($A27)-ROW($A$26)+(ROW(EM!$C$46)-ROW(EM!$C$14))*(MATCH(V$22,EM!$B$6:$B$9,0)-1),MIN(V$23-EM!$B$16+21,EM!$AF$16-EM!$B$16)),0)+
IF(ROUND(V$11,0)&gt;=23,OFFSET(EM!$B$17,ROW($A27)-ROW($A$26)+(ROW(EM!$C$46)-ROW(EM!$C$14))*(MATCH(V$22,EM!$B$6:$B$9,0)-1),MIN(V$23-EM!$B$16+22,EM!$AF$16-EM!$B$16)),0)+
IF(ROUND(V$11,0)&gt;=24,OFFSET(EM!$B$17,ROW($A27)-ROW($A$26)+(ROW(EM!$C$46)-ROW(EM!$C$14))*(MATCH(V$22,EM!$B$6:$B$9,0)-1),MIN(V$23-EM!$B$16+23,EM!$AF$16-EM!$B$16)),0)+
IF(ROUND(V$11,0)&gt;=25,OFFSET(EM!$B$17,ROW($A27)-ROW($A$26)+(ROW(EM!$C$46)-ROW(EM!$C$14))*(MATCH(V$22,EM!$B$6:$B$9,0)-1),MIN(V$23-EM!$B$16+24,EM!$AF$16-EM!$B$16)),0)+
IF(ROUND(V$11,0)&gt;=26,OFFSET(EM!$B$17,ROW($A27)-ROW($A$26)+(ROW(EM!$C$46)-ROW(EM!$C$14))*(MATCH(V$22,EM!$B$6:$B$9,0)-1),MIN(V$23-EM!$B$16+25,EM!$AF$16-EM!$B$16)),0)+
IF(ROUND(V$11,0)&gt;=27,OFFSET(EM!$B$17,ROW($A27)-ROW($A$26)+(ROW(EM!$C$46)-ROW(EM!$C$14))*(MATCH(V$22,EM!$B$6:$B$9,0)-1),MIN(V$23-EM!$B$16+26,EM!$AF$16-EM!$B$16)),0)+
IF(ROUND(V$11,0)&gt;=28,OFFSET(EM!$B$17,ROW($A27)-ROW($A$26)+(ROW(EM!$C$46)-ROW(EM!$C$14))*(MATCH(V$22,EM!$B$6:$B$9,0)-1),MIN(V$23-EM!$B$16+27,EM!$AF$16-EM!$B$16)),0)+
IF(ROUND(V$11,0)&gt;=29,OFFSET(EM!$B$17,ROW($A27)-ROW($A$26)+(ROW(EM!$C$46)-ROW(EM!$C$14))*(MATCH(V$22,EM!$B$6:$B$9,0)-1),MIN(V$23-EM!$B$16+28,EM!$AF$16-EM!$B$16)),0)+
IF(ROUND(V$11,0)&gt;=30,OFFSET(EM!$B$17,ROW($A27)-ROW($A$26)+(ROW(EM!$C$46)-ROW(EM!$C$14))*(MATCH(V$22,EM!$B$6:$B$9,0)-1),MIN(V$23-EM!$B$16+29,EM!$AF$16-EM!$B$16)),0)+
IF(ROUND(V$11,0)&gt;=31,OFFSET(EM!$B$17,ROW($A27)-ROW($A$26)+(ROW(EM!$C$46)-ROW(EM!$C$14))*(MATCH(V$22,EM!$B$6:$B$9,0)-1),MIN(V$23-EM!$B$16+30,EM!$AF$16-EM!$B$16)),0)+
IF(ROUND(V$11,0)&gt;=32,OFFSET(EM!$B$17,ROW($A27)-ROW($A$26)+(ROW(EM!$C$46)-ROW(EM!$C$14))*(MATCH(V$22,EM!$B$6:$B$9,0)-1),MIN(V$23-EM!$B$16+31,EM!$AF$16-EM!$B$16)),0)+
IF(ROUND(V$11,0)&gt;=33,OFFSET(EM!$B$17,ROW($A27)-ROW($A$26)+(ROW(EM!$C$46)-ROW(EM!$C$14))*(MATCH(V$22,EM!$B$6:$B$9,0)-1),MIN(V$23-EM!$B$16+32,EM!$AF$16-EM!$B$16)),0)+
IF(ROUND(V$11,0)&gt;=34,OFFSET(EM!$B$17,ROW($A27)-ROW($A$26)+(ROW(EM!$C$46)-ROW(EM!$C$14))*(MATCH(V$22,EM!$B$6:$B$9,0)-1),MIN(V$23-EM!$B$16+33,EM!$AF$16-EM!$B$16)),0)+
IF(ROUND(V$11,0)&gt;=35,OFFSET(EM!$B$17,ROW($A27)-ROW($A$26)+(ROW(EM!$C$46)-ROW(EM!$C$14))*(MATCH(V$22,EM!$B$6:$B$9,0)-1),MIN(V$23-EM!$B$16+34,EM!$AF$16-EM!$B$16)),0)+
IF(ROUND(V$11,0)&gt;=36,OFFSET(EM!$B$17,ROW($A27)-ROW($A$26)+(ROW(EM!$C$46)-ROW(EM!$C$14))*(MATCH(V$22,EM!$B$6:$B$9,0)-1),MIN(V$23-EM!$B$16+35,EM!$AF$16-EM!$B$16)),0)+
IF(ROUND(V$11,0)&gt;=37,OFFSET(EM!$B$17,ROW($A27)-ROW($A$26)+(ROW(EM!$C$46)-ROW(EM!$C$14))*(MATCH(V$22,EM!$B$6:$B$9,0)-1),MIN(V$23-EM!$B$16+36,EM!$AF$16-EM!$B$16)),0)+
IF(ROUND(V$11,0)&gt;=38,OFFSET(EM!$B$17,ROW($A27)-ROW($A$26)+(ROW(EM!$C$46)-ROW(EM!$C$14))*(MATCH(V$22,EM!$B$6:$B$9,0)-1),MIN(V$23-EM!$B$16+37,EM!$AF$16-EM!$B$16)),0)+
IF(ROUND(V$11,0)&gt;=39,OFFSET(EM!$B$17,ROW($A27)-ROW($A$26)+(ROW(EM!$C$46)-ROW(EM!$C$14))*(MATCH(V$22,EM!$B$6:$B$9,0)-1),MIN(V$23-EM!$B$16+38,EM!$AF$16-EM!$B$16)),0)+
IF(ROUND(V$11,0)&gt;=40,OFFSET(EM!$B$17,ROW($A27)-ROW($A$26)+(ROW(EM!$C$46)-ROW(EM!$C$14))*(MATCH(V$22,EM!$B$6:$B$9,0)-1),MIN(V$23-EM!$B$16+39,EM!$AF$16-EM!$B$16)),0)
)/ROUND(V$11,0),NA()))</f>
        <v>2.4786228463300326E-2</v>
      </c>
      <c r="W27" s="2046">
        <f ca="1">IF(W$19=GPG!$A$28,IF(ROW(W27)-ROW(W$26)+1=MATCH(W$20,GPG!$A$5:$A$11,0),1,0),
IF(W$19=GPG!$A$29,
(IF(ROUND(W$11,0)&gt;=1,OFFSET(EM!$B$17,ROW($A27)-ROW($A$26)+(ROW(EM!$C$46)-ROW(EM!$C$14))*(MATCH(W$22,EM!$B$6:$B$9,0)-1),MIN(W$23-EM!$B$16,EM!$AF$16-EM!$B$16)),0)+
IF(ROUND(W$11,0)&gt;=2,OFFSET(EM!$B$17,ROW($A27)-ROW($A$26)+(ROW(EM!$C$46)-ROW(EM!$C$14))*(MATCH(W$22,EM!$B$6:$B$9,0)-1),MIN(W$23-EM!$B$16+1,EM!$AF$16-EM!$B$16)),0)+
IF(ROUND(W$11,0)&gt;=3,OFFSET(EM!$B$17,ROW($A27)-ROW($A$26)+(ROW(EM!$C$46)-ROW(EM!$C$14))*(MATCH(W$22,EM!$B$6:$B$9,0)-1),MIN(W$23-EM!$B$16+2,EM!$AF$16-EM!$B$16)),0)+
IF(ROUND(W$11,0)&gt;=4,OFFSET(EM!$B$17,ROW($A27)-ROW($A$26)+(ROW(EM!$C$46)-ROW(EM!$C$14))*(MATCH(W$22,EM!$B$6:$B$9,0)-1),MIN(W$23-EM!$B$16+3,EM!$AF$16-EM!$B$16)),0)+
IF(ROUND(W$11,0)&gt;=5,OFFSET(EM!$B$17,ROW($A27)-ROW($A$26)+(ROW(EM!$C$46)-ROW(EM!$C$14))*(MATCH(W$22,EM!$B$6:$B$9,0)-1),MIN(W$23-EM!$B$16+4,EM!$AF$16-EM!$B$16)),0)+
IF(ROUND(W$11,0)&gt;=6,OFFSET(EM!$B$17,ROW($A27)-ROW($A$26)+(ROW(EM!$C$46)-ROW(EM!$C$14))*(MATCH(W$22,EM!$B$6:$B$9,0)-1),MIN(W$23-EM!$B$16+5,EM!$AF$16-EM!$B$16)),0)+
IF(ROUND(W$11,0)&gt;=7,OFFSET(EM!$B$17,ROW($A27)-ROW($A$26)+(ROW(EM!$C$46)-ROW(EM!$C$14))*(MATCH(W$22,EM!$B$6:$B$9,0)-1),MIN(W$23-EM!$B$16+6,EM!$AF$16-EM!$B$16)),0)+
IF(ROUND(W$11,0)&gt;=8,OFFSET(EM!$B$17,ROW($A27)-ROW($A$26)+(ROW(EM!$C$46)-ROW(EM!$C$14))*(MATCH(W$22,EM!$B$6:$B$9,0)-1),MIN(W$23-EM!$B$16+7,EM!$AF$16-EM!$B$16)),0)+
IF(ROUND(W$11,0)&gt;=9,OFFSET(EM!$B$17,ROW($A27)-ROW($A$26)+(ROW(EM!$C$46)-ROW(EM!$C$14))*(MATCH(W$22,EM!$B$6:$B$9,0)-1),MIN(W$23-EM!$B$16+8,EM!$AF$16-EM!$B$16)),0)+
IF(ROUND(W$11,0)&gt;=10,OFFSET(EM!$B$17,ROW($A27)-ROW($A$26)+(ROW(EM!$C$46)-ROW(EM!$C$14))*(MATCH(W$22,EM!$B$6:$B$9,0)-1),MIN(W$23-EM!$B$16+9,EM!$AF$16-EM!$B$16)),0)+
IF(ROUND(W$11,0)&gt;=11,OFFSET(EM!$B$17,ROW($A27)-ROW($A$26)+(ROW(EM!$C$46)-ROW(EM!$C$14))*(MATCH(W$22,EM!$B$6:$B$9,0)-1),MIN(W$23-EM!$B$16+10,EM!$AF$16-EM!$B$16)),0)+
IF(ROUND(W$11,0)&gt;=12,OFFSET(EM!$B$17,ROW($A27)-ROW($A$26)+(ROW(EM!$C$46)-ROW(EM!$C$14))*(MATCH(W$22,EM!$B$6:$B$9,0)-1),MIN(W$23-EM!$B$16+11,EM!$AF$16-EM!$B$16)),0)+
IF(ROUND(W$11,0)&gt;=13,OFFSET(EM!$B$17,ROW($A27)-ROW($A$26)+(ROW(EM!$C$46)-ROW(EM!$C$14))*(MATCH(W$22,EM!$B$6:$B$9,0)-1),MIN(W$23-EM!$B$16+12,EM!$AF$16-EM!$B$16)),0)+
IF(ROUND(W$11,0)&gt;=14,OFFSET(EM!$B$17,ROW($A27)-ROW($A$26)+(ROW(EM!$C$46)-ROW(EM!$C$14))*(MATCH(W$22,EM!$B$6:$B$9,0)-1),MIN(W$23-EM!$B$16+13,EM!$AF$16-EM!$B$16)),0)+
IF(ROUND(W$11,0)&gt;=15,OFFSET(EM!$B$17,ROW($A27)-ROW($A$26)+(ROW(EM!$C$46)-ROW(EM!$C$14))*(MATCH(W$22,EM!$B$6:$B$9,0)-1),MIN(W$23-EM!$B$16+14,EM!$AF$16-EM!$B$16)),0)+
IF(ROUND(W$11,0)&gt;=16,OFFSET(EM!$B$17,ROW($A27)-ROW($A$26)+(ROW(EM!$C$46)-ROW(EM!$C$14))*(MATCH(W$22,EM!$B$6:$B$9,0)-1),MIN(W$23-EM!$B$16+15,EM!$AF$16-EM!$B$16)),0)+
IF(ROUND(W$11,0)&gt;=17,OFFSET(EM!$B$17,ROW($A27)-ROW($A$26)+(ROW(EM!$C$46)-ROW(EM!$C$14))*(MATCH(W$22,EM!$B$6:$B$9,0)-1),MIN(W$23-EM!$B$16+16,EM!$AF$16-EM!$B$16)),0)+
IF(ROUND(W$11,0)&gt;=18,OFFSET(EM!$B$17,ROW($A27)-ROW($A$26)+(ROW(EM!$C$46)-ROW(EM!$C$14))*(MATCH(W$22,EM!$B$6:$B$9,0)-1),MIN(W$23-EM!$B$16+17,EM!$AF$16-EM!$B$16)),0)+
IF(ROUND(W$11,0)&gt;=19,OFFSET(EM!$B$17,ROW($A27)-ROW($A$26)+(ROW(EM!$C$46)-ROW(EM!$C$14))*(MATCH(W$22,EM!$B$6:$B$9,0)-1),MIN(W$23-EM!$B$16+18,EM!$AF$16-EM!$B$16)),0)+
IF(ROUND(W$11,0)&gt;=20,OFFSET(EM!$B$17,ROW($A27)-ROW($A$26)+(ROW(EM!$C$46)-ROW(EM!$C$14))*(MATCH(W$22,EM!$B$6:$B$9,0)-1),MIN(W$23-EM!$B$16+19,EM!$AF$16-EM!$B$16)),0)+
IF(ROUND(W$11,0)&gt;=21,OFFSET(EM!$B$17,ROW($A27)-ROW($A$26)+(ROW(EM!$C$46)-ROW(EM!$C$14))*(MATCH(W$22,EM!$B$6:$B$9,0)-1),MIN(W$23-EM!$B$16+20,EM!$AF$16-EM!$B$16)),0)+
IF(ROUND(W$11,0)&gt;=22,OFFSET(EM!$B$17,ROW($A27)-ROW($A$26)+(ROW(EM!$C$46)-ROW(EM!$C$14))*(MATCH(W$22,EM!$B$6:$B$9,0)-1),MIN(W$23-EM!$B$16+21,EM!$AF$16-EM!$B$16)),0)+
IF(ROUND(W$11,0)&gt;=23,OFFSET(EM!$B$17,ROW($A27)-ROW($A$26)+(ROW(EM!$C$46)-ROW(EM!$C$14))*(MATCH(W$22,EM!$B$6:$B$9,0)-1),MIN(W$23-EM!$B$16+22,EM!$AF$16-EM!$B$16)),0)+
IF(ROUND(W$11,0)&gt;=24,OFFSET(EM!$B$17,ROW($A27)-ROW($A$26)+(ROW(EM!$C$46)-ROW(EM!$C$14))*(MATCH(W$22,EM!$B$6:$B$9,0)-1),MIN(W$23-EM!$B$16+23,EM!$AF$16-EM!$B$16)),0)+
IF(ROUND(W$11,0)&gt;=25,OFFSET(EM!$B$17,ROW($A27)-ROW($A$26)+(ROW(EM!$C$46)-ROW(EM!$C$14))*(MATCH(W$22,EM!$B$6:$B$9,0)-1),MIN(W$23-EM!$B$16+24,EM!$AF$16-EM!$B$16)),0)+
IF(ROUND(W$11,0)&gt;=26,OFFSET(EM!$B$17,ROW($A27)-ROW($A$26)+(ROW(EM!$C$46)-ROW(EM!$C$14))*(MATCH(W$22,EM!$B$6:$B$9,0)-1),MIN(W$23-EM!$B$16+25,EM!$AF$16-EM!$B$16)),0)+
IF(ROUND(W$11,0)&gt;=27,OFFSET(EM!$B$17,ROW($A27)-ROW($A$26)+(ROW(EM!$C$46)-ROW(EM!$C$14))*(MATCH(W$22,EM!$B$6:$B$9,0)-1),MIN(W$23-EM!$B$16+26,EM!$AF$16-EM!$B$16)),0)+
IF(ROUND(W$11,0)&gt;=28,OFFSET(EM!$B$17,ROW($A27)-ROW($A$26)+(ROW(EM!$C$46)-ROW(EM!$C$14))*(MATCH(W$22,EM!$B$6:$B$9,0)-1),MIN(W$23-EM!$B$16+27,EM!$AF$16-EM!$B$16)),0)+
IF(ROUND(W$11,0)&gt;=29,OFFSET(EM!$B$17,ROW($A27)-ROW($A$26)+(ROW(EM!$C$46)-ROW(EM!$C$14))*(MATCH(W$22,EM!$B$6:$B$9,0)-1),MIN(W$23-EM!$B$16+28,EM!$AF$16-EM!$B$16)),0)+
IF(ROUND(W$11,0)&gt;=30,OFFSET(EM!$B$17,ROW($A27)-ROW($A$26)+(ROW(EM!$C$46)-ROW(EM!$C$14))*(MATCH(W$22,EM!$B$6:$B$9,0)-1),MIN(W$23-EM!$B$16+29,EM!$AF$16-EM!$B$16)),0)+
IF(ROUND(W$11,0)&gt;=31,OFFSET(EM!$B$17,ROW($A27)-ROW($A$26)+(ROW(EM!$C$46)-ROW(EM!$C$14))*(MATCH(W$22,EM!$B$6:$B$9,0)-1),MIN(W$23-EM!$B$16+30,EM!$AF$16-EM!$B$16)),0)+
IF(ROUND(W$11,0)&gt;=32,OFFSET(EM!$B$17,ROW($A27)-ROW($A$26)+(ROW(EM!$C$46)-ROW(EM!$C$14))*(MATCH(W$22,EM!$B$6:$B$9,0)-1),MIN(W$23-EM!$B$16+31,EM!$AF$16-EM!$B$16)),0)+
IF(ROUND(W$11,0)&gt;=33,OFFSET(EM!$B$17,ROW($A27)-ROW($A$26)+(ROW(EM!$C$46)-ROW(EM!$C$14))*(MATCH(W$22,EM!$B$6:$B$9,0)-1),MIN(W$23-EM!$B$16+32,EM!$AF$16-EM!$B$16)),0)+
IF(ROUND(W$11,0)&gt;=34,OFFSET(EM!$B$17,ROW($A27)-ROW($A$26)+(ROW(EM!$C$46)-ROW(EM!$C$14))*(MATCH(W$22,EM!$B$6:$B$9,0)-1),MIN(W$23-EM!$B$16+33,EM!$AF$16-EM!$B$16)),0)+
IF(ROUND(W$11,0)&gt;=35,OFFSET(EM!$B$17,ROW($A27)-ROW($A$26)+(ROW(EM!$C$46)-ROW(EM!$C$14))*(MATCH(W$22,EM!$B$6:$B$9,0)-1),MIN(W$23-EM!$B$16+34,EM!$AF$16-EM!$B$16)),0)+
IF(ROUND(W$11,0)&gt;=36,OFFSET(EM!$B$17,ROW($A27)-ROW($A$26)+(ROW(EM!$C$46)-ROW(EM!$C$14))*(MATCH(W$22,EM!$B$6:$B$9,0)-1),MIN(W$23-EM!$B$16+35,EM!$AF$16-EM!$B$16)),0)+
IF(ROUND(W$11,0)&gt;=37,OFFSET(EM!$B$17,ROW($A27)-ROW($A$26)+(ROW(EM!$C$46)-ROW(EM!$C$14))*(MATCH(W$22,EM!$B$6:$B$9,0)-1),MIN(W$23-EM!$B$16+36,EM!$AF$16-EM!$B$16)),0)+
IF(ROUND(W$11,0)&gt;=38,OFFSET(EM!$B$17,ROW($A27)-ROW($A$26)+(ROW(EM!$C$46)-ROW(EM!$C$14))*(MATCH(W$22,EM!$B$6:$B$9,0)-1),MIN(W$23-EM!$B$16+37,EM!$AF$16-EM!$B$16)),0)+
IF(ROUND(W$11,0)&gt;=39,OFFSET(EM!$B$17,ROW($A27)-ROW($A$26)+(ROW(EM!$C$46)-ROW(EM!$C$14))*(MATCH(W$22,EM!$B$6:$B$9,0)-1),MIN(W$23-EM!$B$16+38,EM!$AF$16-EM!$B$16)),0)+
IF(ROUND(W$11,0)&gt;=40,OFFSET(EM!$B$17,ROW($A27)-ROW($A$26)+(ROW(EM!$C$46)-ROW(EM!$C$14))*(MATCH(W$22,EM!$B$6:$B$9,0)-1),MIN(W$23-EM!$B$16+39,EM!$AF$16-EM!$B$16)),0)
)/ROUND(W$11,0),NA()))</f>
        <v>2.4786228463300326E-2</v>
      </c>
      <c r="X27" s="2046">
        <f ca="1">IF(X$19=GPG!$A$28,IF(ROW(X27)-ROW(X$26)+1=MATCH(X$20,GPG!$A$5:$A$11,0),1,0),
IF(X$19=GPG!$A$29,
(IF(ROUND(X$11,0)&gt;=1,OFFSET(EM!$B$17,ROW($A27)-ROW($A$26)+(ROW(EM!$C$46)-ROW(EM!$C$14))*(MATCH(X$22,EM!$B$6:$B$9,0)-1),MIN(X$23-EM!$B$16,EM!$AF$16-EM!$B$16)),0)+
IF(ROUND(X$11,0)&gt;=2,OFFSET(EM!$B$17,ROW($A27)-ROW($A$26)+(ROW(EM!$C$46)-ROW(EM!$C$14))*(MATCH(X$22,EM!$B$6:$B$9,0)-1),MIN(X$23-EM!$B$16+1,EM!$AF$16-EM!$B$16)),0)+
IF(ROUND(X$11,0)&gt;=3,OFFSET(EM!$B$17,ROW($A27)-ROW($A$26)+(ROW(EM!$C$46)-ROW(EM!$C$14))*(MATCH(X$22,EM!$B$6:$B$9,0)-1),MIN(X$23-EM!$B$16+2,EM!$AF$16-EM!$B$16)),0)+
IF(ROUND(X$11,0)&gt;=4,OFFSET(EM!$B$17,ROW($A27)-ROW($A$26)+(ROW(EM!$C$46)-ROW(EM!$C$14))*(MATCH(X$22,EM!$B$6:$B$9,0)-1),MIN(X$23-EM!$B$16+3,EM!$AF$16-EM!$B$16)),0)+
IF(ROUND(X$11,0)&gt;=5,OFFSET(EM!$B$17,ROW($A27)-ROW($A$26)+(ROW(EM!$C$46)-ROW(EM!$C$14))*(MATCH(X$22,EM!$B$6:$B$9,0)-1),MIN(X$23-EM!$B$16+4,EM!$AF$16-EM!$B$16)),0)+
IF(ROUND(X$11,0)&gt;=6,OFFSET(EM!$B$17,ROW($A27)-ROW($A$26)+(ROW(EM!$C$46)-ROW(EM!$C$14))*(MATCH(X$22,EM!$B$6:$B$9,0)-1),MIN(X$23-EM!$B$16+5,EM!$AF$16-EM!$B$16)),0)+
IF(ROUND(X$11,0)&gt;=7,OFFSET(EM!$B$17,ROW($A27)-ROW($A$26)+(ROW(EM!$C$46)-ROW(EM!$C$14))*(MATCH(X$22,EM!$B$6:$B$9,0)-1),MIN(X$23-EM!$B$16+6,EM!$AF$16-EM!$B$16)),0)+
IF(ROUND(X$11,0)&gt;=8,OFFSET(EM!$B$17,ROW($A27)-ROW($A$26)+(ROW(EM!$C$46)-ROW(EM!$C$14))*(MATCH(X$22,EM!$B$6:$B$9,0)-1),MIN(X$23-EM!$B$16+7,EM!$AF$16-EM!$B$16)),0)+
IF(ROUND(X$11,0)&gt;=9,OFFSET(EM!$B$17,ROW($A27)-ROW($A$26)+(ROW(EM!$C$46)-ROW(EM!$C$14))*(MATCH(X$22,EM!$B$6:$B$9,0)-1),MIN(X$23-EM!$B$16+8,EM!$AF$16-EM!$B$16)),0)+
IF(ROUND(X$11,0)&gt;=10,OFFSET(EM!$B$17,ROW($A27)-ROW($A$26)+(ROW(EM!$C$46)-ROW(EM!$C$14))*(MATCH(X$22,EM!$B$6:$B$9,0)-1),MIN(X$23-EM!$B$16+9,EM!$AF$16-EM!$B$16)),0)+
IF(ROUND(X$11,0)&gt;=11,OFFSET(EM!$B$17,ROW($A27)-ROW($A$26)+(ROW(EM!$C$46)-ROW(EM!$C$14))*(MATCH(X$22,EM!$B$6:$B$9,0)-1),MIN(X$23-EM!$B$16+10,EM!$AF$16-EM!$B$16)),0)+
IF(ROUND(X$11,0)&gt;=12,OFFSET(EM!$B$17,ROW($A27)-ROW($A$26)+(ROW(EM!$C$46)-ROW(EM!$C$14))*(MATCH(X$22,EM!$B$6:$B$9,0)-1),MIN(X$23-EM!$B$16+11,EM!$AF$16-EM!$B$16)),0)+
IF(ROUND(X$11,0)&gt;=13,OFFSET(EM!$B$17,ROW($A27)-ROW($A$26)+(ROW(EM!$C$46)-ROW(EM!$C$14))*(MATCH(X$22,EM!$B$6:$B$9,0)-1),MIN(X$23-EM!$B$16+12,EM!$AF$16-EM!$B$16)),0)+
IF(ROUND(X$11,0)&gt;=14,OFFSET(EM!$B$17,ROW($A27)-ROW($A$26)+(ROW(EM!$C$46)-ROW(EM!$C$14))*(MATCH(X$22,EM!$B$6:$B$9,0)-1),MIN(X$23-EM!$B$16+13,EM!$AF$16-EM!$B$16)),0)+
IF(ROUND(X$11,0)&gt;=15,OFFSET(EM!$B$17,ROW($A27)-ROW($A$26)+(ROW(EM!$C$46)-ROW(EM!$C$14))*(MATCH(X$22,EM!$B$6:$B$9,0)-1),MIN(X$23-EM!$B$16+14,EM!$AF$16-EM!$B$16)),0)+
IF(ROUND(X$11,0)&gt;=16,OFFSET(EM!$B$17,ROW($A27)-ROW($A$26)+(ROW(EM!$C$46)-ROW(EM!$C$14))*(MATCH(X$22,EM!$B$6:$B$9,0)-1),MIN(X$23-EM!$B$16+15,EM!$AF$16-EM!$B$16)),0)+
IF(ROUND(X$11,0)&gt;=17,OFFSET(EM!$B$17,ROW($A27)-ROW($A$26)+(ROW(EM!$C$46)-ROW(EM!$C$14))*(MATCH(X$22,EM!$B$6:$B$9,0)-1),MIN(X$23-EM!$B$16+16,EM!$AF$16-EM!$B$16)),0)+
IF(ROUND(X$11,0)&gt;=18,OFFSET(EM!$B$17,ROW($A27)-ROW($A$26)+(ROW(EM!$C$46)-ROW(EM!$C$14))*(MATCH(X$22,EM!$B$6:$B$9,0)-1),MIN(X$23-EM!$B$16+17,EM!$AF$16-EM!$B$16)),0)+
IF(ROUND(X$11,0)&gt;=19,OFFSET(EM!$B$17,ROW($A27)-ROW($A$26)+(ROW(EM!$C$46)-ROW(EM!$C$14))*(MATCH(X$22,EM!$B$6:$B$9,0)-1),MIN(X$23-EM!$B$16+18,EM!$AF$16-EM!$B$16)),0)+
IF(ROUND(X$11,0)&gt;=20,OFFSET(EM!$B$17,ROW($A27)-ROW($A$26)+(ROW(EM!$C$46)-ROW(EM!$C$14))*(MATCH(X$22,EM!$B$6:$B$9,0)-1),MIN(X$23-EM!$B$16+19,EM!$AF$16-EM!$B$16)),0)+
IF(ROUND(X$11,0)&gt;=21,OFFSET(EM!$B$17,ROW($A27)-ROW($A$26)+(ROW(EM!$C$46)-ROW(EM!$C$14))*(MATCH(X$22,EM!$B$6:$B$9,0)-1),MIN(X$23-EM!$B$16+20,EM!$AF$16-EM!$B$16)),0)+
IF(ROUND(X$11,0)&gt;=22,OFFSET(EM!$B$17,ROW($A27)-ROW($A$26)+(ROW(EM!$C$46)-ROW(EM!$C$14))*(MATCH(X$22,EM!$B$6:$B$9,0)-1),MIN(X$23-EM!$B$16+21,EM!$AF$16-EM!$B$16)),0)+
IF(ROUND(X$11,0)&gt;=23,OFFSET(EM!$B$17,ROW($A27)-ROW($A$26)+(ROW(EM!$C$46)-ROW(EM!$C$14))*(MATCH(X$22,EM!$B$6:$B$9,0)-1),MIN(X$23-EM!$B$16+22,EM!$AF$16-EM!$B$16)),0)+
IF(ROUND(X$11,0)&gt;=24,OFFSET(EM!$B$17,ROW($A27)-ROW($A$26)+(ROW(EM!$C$46)-ROW(EM!$C$14))*(MATCH(X$22,EM!$B$6:$B$9,0)-1),MIN(X$23-EM!$B$16+23,EM!$AF$16-EM!$B$16)),0)+
IF(ROUND(X$11,0)&gt;=25,OFFSET(EM!$B$17,ROW($A27)-ROW($A$26)+(ROW(EM!$C$46)-ROW(EM!$C$14))*(MATCH(X$22,EM!$B$6:$B$9,0)-1),MIN(X$23-EM!$B$16+24,EM!$AF$16-EM!$B$16)),0)+
IF(ROUND(X$11,0)&gt;=26,OFFSET(EM!$B$17,ROW($A27)-ROW($A$26)+(ROW(EM!$C$46)-ROW(EM!$C$14))*(MATCH(X$22,EM!$B$6:$B$9,0)-1),MIN(X$23-EM!$B$16+25,EM!$AF$16-EM!$B$16)),0)+
IF(ROUND(X$11,0)&gt;=27,OFFSET(EM!$B$17,ROW($A27)-ROW($A$26)+(ROW(EM!$C$46)-ROW(EM!$C$14))*(MATCH(X$22,EM!$B$6:$B$9,0)-1),MIN(X$23-EM!$B$16+26,EM!$AF$16-EM!$B$16)),0)+
IF(ROUND(X$11,0)&gt;=28,OFFSET(EM!$B$17,ROW($A27)-ROW($A$26)+(ROW(EM!$C$46)-ROW(EM!$C$14))*(MATCH(X$22,EM!$B$6:$B$9,0)-1),MIN(X$23-EM!$B$16+27,EM!$AF$16-EM!$B$16)),0)+
IF(ROUND(X$11,0)&gt;=29,OFFSET(EM!$B$17,ROW($A27)-ROW($A$26)+(ROW(EM!$C$46)-ROW(EM!$C$14))*(MATCH(X$22,EM!$B$6:$B$9,0)-1),MIN(X$23-EM!$B$16+28,EM!$AF$16-EM!$B$16)),0)+
IF(ROUND(X$11,0)&gt;=30,OFFSET(EM!$B$17,ROW($A27)-ROW($A$26)+(ROW(EM!$C$46)-ROW(EM!$C$14))*(MATCH(X$22,EM!$B$6:$B$9,0)-1),MIN(X$23-EM!$B$16+29,EM!$AF$16-EM!$B$16)),0)+
IF(ROUND(X$11,0)&gt;=31,OFFSET(EM!$B$17,ROW($A27)-ROW($A$26)+(ROW(EM!$C$46)-ROW(EM!$C$14))*(MATCH(X$22,EM!$B$6:$B$9,0)-1),MIN(X$23-EM!$B$16+30,EM!$AF$16-EM!$B$16)),0)+
IF(ROUND(X$11,0)&gt;=32,OFFSET(EM!$B$17,ROW($A27)-ROW($A$26)+(ROW(EM!$C$46)-ROW(EM!$C$14))*(MATCH(X$22,EM!$B$6:$B$9,0)-1),MIN(X$23-EM!$B$16+31,EM!$AF$16-EM!$B$16)),0)+
IF(ROUND(X$11,0)&gt;=33,OFFSET(EM!$B$17,ROW($A27)-ROW($A$26)+(ROW(EM!$C$46)-ROW(EM!$C$14))*(MATCH(X$22,EM!$B$6:$B$9,0)-1),MIN(X$23-EM!$B$16+32,EM!$AF$16-EM!$B$16)),0)+
IF(ROUND(X$11,0)&gt;=34,OFFSET(EM!$B$17,ROW($A27)-ROW($A$26)+(ROW(EM!$C$46)-ROW(EM!$C$14))*(MATCH(X$22,EM!$B$6:$B$9,0)-1),MIN(X$23-EM!$B$16+33,EM!$AF$16-EM!$B$16)),0)+
IF(ROUND(X$11,0)&gt;=35,OFFSET(EM!$B$17,ROW($A27)-ROW($A$26)+(ROW(EM!$C$46)-ROW(EM!$C$14))*(MATCH(X$22,EM!$B$6:$B$9,0)-1),MIN(X$23-EM!$B$16+34,EM!$AF$16-EM!$B$16)),0)+
IF(ROUND(X$11,0)&gt;=36,OFFSET(EM!$B$17,ROW($A27)-ROW($A$26)+(ROW(EM!$C$46)-ROW(EM!$C$14))*(MATCH(X$22,EM!$B$6:$B$9,0)-1),MIN(X$23-EM!$B$16+35,EM!$AF$16-EM!$B$16)),0)+
IF(ROUND(X$11,0)&gt;=37,OFFSET(EM!$B$17,ROW($A27)-ROW($A$26)+(ROW(EM!$C$46)-ROW(EM!$C$14))*(MATCH(X$22,EM!$B$6:$B$9,0)-1),MIN(X$23-EM!$B$16+36,EM!$AF$16-EM!$B$16)),0)+
IF(ROUND(X$11,0)&gt;=38,OFFSET(EM!$B$17,ROW($A27)-ROW($A$26)+(ROW(EM!$C$46)-ROW(EM!$C$14))*(MATCH(X$22,EM!$B$6:$B$9,0)-1),MIN(X$23-EM!$B$16+37,EM!$AF$16-EM!$B$16)),0)+
IF(ROUND(X$11,0)&gt;=39,OFFSET(EM!$B$17,ROW($A27)-ROW($A$26)+(ROW(EM!$C$46)-ROW(EM!$C$14))*(MATCH(X$22,EM!$B$6:$B$9,0)-1),MIN(X$23-EM!$B$16+38,EM!$AF$16-EM!$B$16)),0)+
IF(ROUND(X$11,0)&gt;=40,OFFSET(EM!$B$17,ROW($A27)-ROW($A$26)+(ROW(EM!$C$46)-ROW(EM!$C$14))*(MATCH(X$22,EM!$B$6:$B$9,0)-1),MIN(X$23-EM!$B$16+39,EM!$AF$16-EM!$B$16)),0)
)/ROUND(X$11,0),NA()))</f>
        <v>0</v>
      </c>
      <c r="Y27" s="2046">
        <f ca="1">IF(Y$19=GPG!$A$28,IF(ROW(Y27)-ROW(Y$26)+1=MATCH(Y$20,GPG!$A$5:$A$11,0),1,0),
IF(Y$19=GPG!$A$29,
(IF(ROUND(Y$11,0)&gt;=1,OFFSET(EM!$B$17,ROW($A27)-ROW($A$26)+(ROW(EM!$C$46)-ROW(EM!$C$14))*(MATCH(Y$22,EM!$B$6:$B$9,0)-1),MIN(Y$23-EM!$B$16,EM!$AF$16-EM!$B$16)),0)+
IF(ROUND(Y$11,0)&gt;=2,OFFSET(EM!$B$17,ROW($A27)-ROW($A$26)+(ROW(EM!$C$46)-ROW(EM!$C$14))*(MATCH(Y$22,EM!$B$6:$B$9,0)-1),MIN(Y$23-EM!$B$16+1,EM!$AF$16-EM!$B$16)),0)+
IF(ROUND(Y$11,0)&gt;=3,OFFSET(EM!$B$17,ROW($A27)-ROW($A$26)+(ROW(EM!$C$46)-ROW(EM!$C$14))*(MATCH(Y$22,EM!$B$6:$B$9,0)-1),MIN(Y$23-EM!$B$16+2,EM!$AF$16-EM!$B$16)),0)+
IF(ROUND(Y$11,0)&gt;=4,OFFSET(EM!$B$17,ROW($A27)-ROW($A$26)+(ROW(EM!$C$46)-ROW(EM!$C$14))*(MATCH(Y$22,EM!$B$6:$B$9,0)-1),MIN(Y$23-EM!$B$16+3,EM!$AF$16-EM!$B$16)),0)+
IF(ROUND(Y$11,0)&gt;=5,OFFSET(EM!$B$17,ROW($A27)-ROW($A$26)+(ROW(EM!$C$46)-ROW(EM!$C$14))*(MATCH(Y$22,EM!$B$6:$B$9,0)-1),MIN(Y$23-EM!$B$16+4,EM!$AF$16-EM!$B$16)),0)+
IF(ROUND(Y$11,0)&gt;=6,OFFSET(EM!$B$17,ROW($A27)-ROW($A$26)+(ROW(EM!$C$46)-ROW(EM!$C$14))*(MATCH(Y$22,EM!$B$6:$B$9,0)-1),MIN(Y$23-EM!$B$16+5,EM!$AF$16-EM!$B$16)),0)+
IF(ROUND(Y$11,0)&gt;=7,OFFSET(EM!$B$17,ROW($A27)-ROW($A$26)+(ROW(EM!$C$46)-ROW(EM!$C$14))*(MATCH(Y$22,EM!$B$6:$B$9,0)-1),MIN(Y$23-EM!$B$16+6,EM!$AF$16-EM!$B$16)),0)+
IF(ROUND(Y$11,0)&gt;=8,OFFSET(EM!$B$17,ROW($A27)-ROW($A$26)+(ROW(EM!$C$46)-ROW(EM!$C$14))*(MATCH(Y$22,EM!$B$6:$B$9,0)-1),MIN(Y$23-EM!$B$16+7,EM!$AF$16-EM!$B$16)),0)+
IF(ROUND(Y$11,0)&gt;=9,OFFSET(EM!$B$17,ROW($A27)-ROW($A$26)+(ROW(EM!$C$46)-ROW(EM!$C$14))*(MATCH(Y$22,EM!$B$6:$B$9,0)-1),MIN(Y$23-EM!$B$16+8,EM!$AF$16-EM!$B$16)),0)+
IF(ROUND(Y$11,0)&gt;=10,OFFSET(EM!$B$17,ROW($A27)-ROW($A$26)+(ROW(EM!$C$46)-ROW(EM!$C$14))*(MATCH(Y$22,EM!$B$6:$B$9,0)-1),MIN(Y$23-EM!$B$16+9,EM!$AF$16-EM!$B$16)),0)+
IF(ROUND(Y$11,0)&gt;=11,OFFSET(EM!$B$17,ROW($A27)-ROW($A$26)+(ROW(EM!$C$46)-ROW(EM!$C$14))*(MATCH(Y$22,EM!$B$6:$B$9,0)-1),MIN(Y$23-EM!$B$16+10,EM!$AF$16-EM!$B$16)),0)+
IF(ROUND(Y$11,0)&gt;=12,OFFSET(EM!$B$17,ROW($A27)-ROW($A$26)+(ROW(EM!$C$46)-ROW(EM!$C$14))*(MATCH(Y$22,EM!$B$6:$B$9,0)-1),MIN(Y$23-EM!$B$16+11,EM!$AF$16-EM!$B$16)),0)+
IF(ROUND(Y$11,0)&gt;=13,OFFSET(EM!$B$17,ROW($A27)-ROW($A$26)+(ROW(EM!$C$46)-ROW(EM!$C$14))*(MATCH(Y$22,EM!$B$6:$B$9,0)-1),MIN(Y$23-EM!$B$16+12,EM!$AF$16-EM!$B$16)),0)+
IF(ROUND(Y$11,0)&gt;=14,OFFSET(EM!$B$17,ROW($A27)-ROW($A$26)+(ROW(EM!$C$46)-ROW(EM!$C$14))*(MATCH(Y$22,EM!$B$6:$B$9,0)-1),MIN(Y$23-EM!$B$16+13,EM!$AF$16-EM!$B$16)),0)+
IF(ROUND(Y$11,0)&gt;=15,OFFSET(EM!$B$17,ROW($A27)-ROW($A$26)+(ROW(EM!$C$46)-ROW(EM!$C$14))*(MATCH(Y$22,EM!$B$6:$B$9,0)-1),MIN(Y$23-EM!$B$16+14,EM!$AF$16-EM!$B$16)),0)+
IF(ROUND(Y$11,0)&gt;=16,OFFSET(EM!$B$17,ROW($A27)-ROW($A$26)+(ROW(EM!$C$46)-ROW(EM!$C$14))*(MATCH(Y$22,EM!$B$6:$B$9,0)-1),MIN(Y$23-EM!$B$16+15,EM!$AF$16-EM!$B$16)),0)+
IF(ROUND(Y$11,0)&gt;=17,OFFSET(EM!$B$17,ROW($A27)-ROW($A$26)+(ROW(EM!$C$46)-ROW(EM!$C$14))*(MATCH(Y$22,EM!$B$6:$B$9,0)-1),MIN(Y$23-EM!$B$16+16,EM!$AF$16-EM!$B$16)),0)+
IF(ROUND(Y$11,0)&gt;=18,OFFSET(EM!$B$17,ROW($A27)-ROW($A$26)+(ROW(EM!$C$46)-ROW(EM!$C$14))*(MATCH(Y$22,EM!$B$6:$B$9,0)-1),MIN(Y$23-EM!$B$16+17,EM!$AF$16-EM!$B$16)),0)+
IF(ROUND(Y$11,0)&gt;=19,OFFSET(EM!$B$17,ROW($A27)-ROW($A$26)+(ROW(EM!$C$46)-ROW(EM!$C$14))*(MATCH(Y$22,EM!$B$6:$B$9,0)-1),MIN(Y$23-EM!$B$16+18,EM!$AF$16-EM!$B$16)),0)+
IF(ROUND(Y$11,0)&gt;=20,OFFSET(EM!$B$17,ROW($A27)-ROW($A$26)+(ROW(EM!$C$46)-ROW(EM!$C$14))*(MATCH(Y$22,EM!$B$6:$B$9,0)-1),MIN(Y$23-EM!$B$16+19,EM!$AF$16-EM!$B$16)),0)+
IF(ROUND(Y$11,0)&gt;=21,OFFSET(EM!$B$17,ROW($A27)-ROW($A$26)+(ROW(EM!$C$46)-ROW(EM!$C$14))*(MATCH(Y$22,EM!$B$6:$B$9,0)-1),MIN(Y$23-EM!$B$16+20,EM!$AF$16-EM!$B$16)),0)+
IF(ROUND(Y$11,0)&gt;=22,OFFSET(EM!$B$17,ROW($A27)-ROW($A$26)+(ROW(EM!$C$46)-ROW(EM!$C$14))*(MATCH(Y$22,EM!$B$6:$B$9,0)-1),MIN(Y$23-EM!$B$16+21,EM!$AF$16-EM!$B$16)),0)+
IF(ROUND(Y$11,0)&gt;=23,OFFSET(EM!$B$17,ROW($A27)-ROW($A$26)+(ROW(EM!$C$46)-ROW(EM!$C$14))*(MATCH(Y$22,EM!$B$6:$B$9,0)-1),MIN(Y$23-EM!$B$16+22,EM!$AF$16-EM!$B$16)),0)+
IF(ROUND(Y$11,0)&gt;=24,OFFSET(EM!$B$17,ROW($A27)-ROW($A$26)+(ROW(EM!$C$46)-ROW(EM!$C$14))*(MATCH(Y$22,EM!$B$6:$B$9,0)-1),MIN(Y$23-EM!$B$16+23,EM!$AF$16-EM!$B$16)),0)+
IF(ROUND(Y$11,0)&gt;=25,OFFSET(EM!$B$17,ROW($A27)-ROW($A$26)+(ROW(EM!$C$46)-ROW(EM!$C$14))*(MATCH(Y$22,EM!$B$6:$B$9,0)-1),MIN(Y$23-EM!$B$16+24,EM!$AF$16-EM!$B$16)),0)+
IF(ROUND(Y$11,0)&gt;=26,OFFSET(EM!$B$17,ROW($A27)-ROW($A$26)+(ROW(EM!$C$46)-ROW(EM!$C$14))*(MATCH(Y$22,EM!$B$6:$B$9,0)-1),MIN(Y$23-EM!$B$16+25,EM!$AF$16-EM!$B$16)),0)+
IF(ROUND(Y$11,0)&gt;=27,OFFSET(EM!$B$17,ROW($A27)-ROW($A$26)+(ROW(EM!$C$46)-ROW(EM!$C$14))*(MATCH(Y$22,EM!$B$6:$B$9,0)-1),MIN(Y$23-EM!$B$16+26,EM!$AF$16-EM!$B$16)),0)+
IF(ROUND(Y$11,0)&gt;=28,OFFSET(EM!$B$17,ROW($A27)-ROW($A$26)+(ROW(EM!$C$46)-ROW(EM!$C$14))*(MATCH(Y$22,EM!$B$6:$B$9,0)-1),MIN(Y$23-EM!$B$16+27,EM!$AF$16-EM!$B$16)),0)+
IF(ROUND(Y$11,0)&gt;=29,OFFSET(EM!$B$17,ROW($A27)-ROW($A$26)+(ROW(EM!$C$46)-ROW(EM!$C$14))*(MATCH(Y$22,EM!$B$6:$B$9,0)-1),MIN(Y$23-EM!$B$16+28,EM!$AF$16-EM!$B$16)),0)+
IF(ROUND(Y$11,0)&gt;=30,OFFSET(EM!$B$17,ROW($A27)-ROW($A$26)+(ROW(EM!$C$46)-ROW(EM!$C$14))*(MATCH(Y$22,EM!$B$6:$B$9,0)-1),MIN(Y$23-EM!$B$16+29,EM!$AF$16-EM!$B$16)),0)+
IF(ROUND(Y$11,0)&gt;=31,OFFSET(EM!$B$17,ROW($A27)-ROW($A$26)+(ROW(EM!$C$46)-ROW(EM!$C$14))*(MATCH(Y$22,EM!$B$6:$B$9,0)-1),MIN(Y$23-EM!$B$16+30,EM!$AF$16-EM!$B$16)),0)+
IF(ROUND(Y$11,0)&gt;=32,OFFSET(EM!$B$17,ROW($A27)-ROW($A$26)+(ROW(EM!$C$46)-ROW(EM!$C$14))*(MATCH(Y$22,EM!$B$6:$B$9,0)-1),MIN(Y$23-EM!$B$16+31,EM!$AF$16-EM!$B$16)),0)+
IF(ROUND(Y$11,0)&gt;=33,OFFSET(EM!$B$17,ROW($A27)-ROW($A$26)+(ROW(EM!$C$46)-ROW(EM!$C$14))*(MATCH(Y$22,EM!$B$6:$B$9,0)-1),MIN(Y$23-EM!$B$16+32,EM!$AF$16-EM!$B$16)),0)+
IF(ROUND(Y$11,0)&gt;=34,OFFSET(EM!$B$17,ROW($A27)-ROW($A$26)+(ROW(EM!$C$46)-ROW(EM!$C$14))*(MATCH(Y$22,EM!$B$6:$B$9,0)-1),MIN(Y$23-EM!$B$16+33,EM!$AF$16-EM!$B$16)),0)+
IF(ROUND(Y$11,0)&gt;=35,OFFSET(EM!$B$17,ROW($A27)-ROW($A$26)+(ROW(EM!$C$46)-ROW(EM!$C$14))*(MATCH(Y$22,EM!$B$6:$B$9,0)-1),MIN(Y$23-EM!$B$16+34,EM!$AF$16-EM!$B$16)),0)+
IF(ROUND(Y$11,0)&gt;=36,OFFSET(EM!$B$17,ROW($A27)-ROW($A$26)+(ROW(EM!$C$46)-ROW(EM!$C$14))*(MATCH(Y$22,EM!$B$6:$B$9,0)-1),MIN(Y$23-EM!$B$16+35,EM!$AF$16-EM!$B$16)),0)+
IF(ROUND(Y$11,0)&gt;=37,OFFSET(EM!$B$17,ROW($A27)-ROW($A$26)+(ROW(EM!$C$46)-ROW(EM!$C$14))*(MATCH(Y$22,EM!$B$6:$B$9,0)-1),MIN(Y$23-EM!$B$16+36,EM!$AF$16-EM!$B$16)),0)+
IF(ROUND(Y$11,0)&gt;=38,OFFSET(EM!$B$17,ROW($A27)-ROW($A$26)+(ROW(EM!$C$46)-ROW(EM!$C$14))*(MATCH(Y$22,EM!$B$6:$B$9,0)-1),MIN(Y$23-EM!$B$16+37,EM!$AF$16-EM!$B$16)),0)+
IF(ROUND(Y$11,0)&gt;=39,OFFSET(EM!$B$17,ROW($A27)-ROW($A$26)+(ROW(EM!$C$46)-ROW(EM!$C$14))*(MATCH(Y$22,EM!$B$6:$B$9,0)-1),MIN(Y$23-EM!$B$16+38,EM!$AF$16-EM!$B$16)),0)+
IF(ROUND(Y$11,0)&gt;=40,OFFSET(EM!$B$17,ROW($A27)-ROW($A$26)+(ROW(EM!$C$46)-ROW(EM!$C$14))*(MATCH(Y$22,EM!$B$6:$B$9,0)-1),MIN(Y$23-EM!$B$16+39,EM!$AF$16-EM!$B$16)),0)
)/ROUND(Y$11,0),NA()))</f>
        <v>2.4786228463300322E-2</v>
      </c>
      <c r="Z27" s="2046">
        <f ca="1">IF(Z$19=GPG!$A$28,IF(ROW(Z27)-ROW(Z$26)+1=MATCH(Z$20,GPG!$A$5:$A$11,0),1,0),
IF(Z$19=GPG!$A$29,
(IF(ROUND(Z$11,0)&gt;=1,OFFSET(EM!$B$17,ROW($A27)-ROW($A$26)+(ROW(EM!$C$46)-ROW(EM!$C$14))*(MATCH(Z$22,EM!$B$6:$B$9,0)-1),MIN(Z$23-EM!$B$16,EM!$AF$16-EM!$B$16)),0)+
IF(ROUND(Z$11,0)&gt;=2,OFFSET(EM!$B$17,ROW($A27)-ROW($A$26)+(ROW(EM!$C$46)-ROW(EM!$C$14))*(MATCH(Z$22,EM!$B$6:$B$9,0)-1),MIN(Z$23-EM!$B$16+1,EM!$AF$16-EM!$B$16)),0)+
IF(ROUND(Z$11,0)&gt;=3,OFFSET(EM!$B$17,ROW($A27)-ROW($A$26)+(ROW(EM!$C$46)-ROW(EM!$C$14))*(MATCH(Z$22,EM!$B$6:$B$9,0)-1),MIN(Z$23-EM!$B$16+2,EM!$AF$16-EM!$B$16)),0)+
IF(ROUND(Z$11,0)&gt;=4,OFFSET(EM!$B$17,ROW($A27)-ROW($A$26)+(ROW(EM!$C$46)-ROW(EM!$C$14))*(MATCH(Z$22,EM!$B$6:$B$9,0)-1),MIN(Z$23-EM!$B$16+3,EM!$AF$16-EM!$B$16)),0)+
IF(ROUND(Z$11,0)&gt;=5,OFFSET(EM!$B$17,ROW($A27)-ROW($A$26)+(ROW(EM!$C$46)-ROW(EM!$C$14))*(MATCH(Z$22,EM!$B$6:$B$9,0)-1),MIN(Z$23-EM!$B$16+4,EM!$AF$16-EM!$B$16)),0)+
IF(ROUND(Z$11,0)&gt;=6,OFFSET(EM!$B$17,ROW($A27)-ROW($A$26)+(ROW(EM!$C$46)-ROW(EM!$C$14))*(MATCH(Z$22,EM!$B$6:$B$9,0)-1),MIN(Z$23-EM!$B$16+5,EM!$AF$16-EM!$B$16)),0)+
IF(ROUND(Z$11,0)&gt;=7,OFFSET(EM!$B$17,ROW($A27)-ROW($A$26)+(ROW(EM!$C$46)-ROW(EM!$C$14))*(MATCH(Z$22,EM!$B$6:$B$9,0)-1),MIN(Z$23-EM!$B$16+6,EM!$AF$16-EM!$B$16)),0)+
IF(ROUND(Z$11,0)&gt;=8,OFFSET(EM!$B$17,ROW($A27)-ROW($A$26)+(ROW(EM!$C$46)-ROW(EM!$C$14))*(MATCH(Z$22,EM!$B$6:$B$9,0)-1),MIN(Z$23-EM!$B$16+7,EM!$AF$16-EM!$B$16)),0)+
IF(ROUND(Z$11,0)&gt;=9,OFFSET(EM!$B$17,ROW($A27)-ROW($A$26)+(ROW(EM!$C$46)-ROW(EM!$C$14))*(MATCH(Z$22,EM!$B$6:$B$9,0)-1),MIN(Z$23-EM!$B$16+8,EM!$AF$16-EM!$B$16)),0)+
IF(ROUND(Z$11,0)&gt;=10,OFFSET(EM!$B$17,ROW($A27)-ROW($A$26)+(ROW(EM!$C$46)-ROW(EM!$C$14))*(MATCH(Z$22,EM!$B$6:$B$9,0)-1),MIN(Z$23-EM!$B$16+9,EM!$AF$16-EM!$B$16)),0)+
IF(ROUND(Z$11,0)&gt;=11,OFFSET(EM!$B$17,ROW($A27)-ROW($A$26)+(ROW(EM!$C$46)-ROW(EM!$C$14))*(MATCH(Z$22,EM!$B$6:$B$9,0)-1),MIN(Z$23-EM!$B$16+10,EM!$AF$16-EM!$B$16)),0)+
IF(ROUND(Z$11,0)&gt;=12,OFFSET(EM!$B$17,ROW($A27)-ROW($A$26)+(ROW(EM!$C$46)-ROW(EM!$C$14))*(MATCH(Z$22,EM!$B$6:$B$9,0)-1),MIN(Z$23-EM!$B$16+11,EM!$AF$16-EM!$B$16)),0)+
IF(ROUND(Z$11,0)&gt;=13,OFFSET(EM!$B$17,ROW($A27)-ROW($A$26)+(ROW(EM!$C$46)-ROW(EM!$C$14))*(MATCH(Z$22,EM!$B$6:$B$9,0)-1),MIN(Z$23-EM!$B$16+12,EM!$AF$16-EM!$B$16)),0)+
IF(ROUND(Z$11,0)&gt;=14,OFFSET(EM!$B$17,ROW($A27)-ROW($A$26)+(ROW(EM!$C$46)-ROW(EM!$C$14))*(MATCH(Z$22,EM!$B$6:$B$9,0)-1),MIN(Z$23-EM!$B$16+13,EM!$AF$16-EM!$B$16)),0)+
IF(ROUND(Z$11,0)&gt;=15,OFFSET(EM!$B$17,ROW($A27)-ROW($A$26)+(ROW(EM!$C$46)-ROW(EM!$C$14))*(MATCH(Z$22,EM!$B$6:$B$9,0)-1),MIN(Z$23-EM!$B$16+14,EM!$AF$16-EM!$B$16)),0)+
IF(ROUND(Z$11,0)&gt;=16,OFFSET(EM!$B$17,ROW($A27)-ROW($A$26)+(ROW(EM!$C$46)-ROW(EM!$C$14))*(MATCH(Z$22,EM!$B$6:$B$9,0)-1),MIN(Z$23-EM!$B$16+15,EM!$AF$16-EM!$B$16)),0)+
IF(ROUND(Z$11,0)&gt;=17,OFFSET(EM!$B$17,ROW($A27)-ROW($A$26)+(ROW(EM!$C$46)-ROW(EM!$C$14))*(MATCH(Z$22,EM!$B$6:$B$9,0)-1),MIN(Z$23-EM!$B$16+16,EM!$AF$16-EM!$B$16)),0)+
IF(ROUND(Z$11,0)&gt;=18,OFFSET(EM!$B$17,ROW($A27)-ROW($A$26)+(ROW(EM!$C$46)-ROW(EM!$C$14))*(MATCH(Z$22,EM!$B$6:$B$9,0)-1),MIN(Z$23-EM!$B$16+17,EM!$AF$16-EM!$B$16)),0)+
IF(ROUND(Z$11,0)&gt;=19,OFFSET(EM!$B$17,ROW($A27)-ROW($A$26)+(ROW(EM!$C$46)-ROW(EM!$C$14))*(MATCH(Z$22,EM!$B$6:$B$9,0)-1),MIN(Z$23-EM!$B$16+18,EM!$AF$16-EM!$B$16)),0)+
IF(ROUND(Z$11,0)&gt;=20,OFFSET(EM!$B$17,ROW($A27)-ROW($A$26)+(ROW(EM!$C$46)-ROW(EM!$C$14))*(MATCH(Z$22,EM!$B$6:$B$9,0)-1),MIN(Z$23-EM!$B$16+19,EM!$AF$16-EM!$B$16)),0)+
IF(ROUND(Z$11,0)&gt;=21,OFFSET(EM!$B$17,ROW($A27)-ROW($A$26)+(ROW(EM!$C$46)-ROW(EM!$C$14))*(MATCH(Z$22,EM!$B$6:$B$9,0)-1),MIN(Z$23-EM!$B$16+20,EM!$AF$16-EM!$B$16)),0)+
IF(ROUND(Z$11,0)&gt;=22,OFFSET(EM!$B$17,ROW($A27)-ROW($A$26)+(ROW(EM!$C$46)-ROW(EM!$C$14))*(MATCH(Z$22,EM!$B$6:$B$9,0)-1),MIN(Z$23-EM!$B$16+21,EM!$AF$16-EM!$B$16)),0)+
IF(ROUND(Z$11,0)&gt;=23,OFFSET(EM!$B$17,ROW($A27)-ROW($A$26)+(ROW(EM!$C$46)-ROW(EM!$C$14))*(MATCH(Z$22,EM!$B$6:$B$9,0)-1),MIN(Z$23-EM!$B$16+22,EM!$AF$16-EM!$B$16)),0)+
IF(ROUND(Z$11,0)&gt;=24,OFFSET(EM!$B$17,ROW($A27)-ROW($A$26)+(ROW(EM!$C$46)-ROW(EM!$C$14))*(MATCH(Z$22,EM!$B$6:$B$9,0)-1),MIN(Z$23-EM!$B$16+23,EM!$AF$16-EM!$B$16)),0)+
IF(ROUND(Z$11,0)&gt;=25,OFFSET(EM!$B$17,ROW($A27)-ROW($A$26)+(ROW(EM!$C$46)-ROW(EM!$C$14))*(MATCH(Z$22,EM!$B$6:$B$9,0)-1),MIN(Z$23-EM!$B$16+24,EM!$AF$16-EM!$B$16)),0)+
IF(ROUND(Z$11,0)&gt;=26,OFFSET(EM!$B$17,ROW($A27)-ROW($A$26)+(ROW(EM!$C$46)-ROW(EM!$C$14))*(MATCH(Z$22,EM!$B$6:$B$9,0)-1),MIN(Z$23-EM!$B$16+25,EM!$AF$16-EM!$B$16)),0)+
IF(ROUND(Z$11,0)&gt;=27,OFFSET(EM!$B$17,ROW($A27)-ROW($A$26)+(ROW(EM!$C$46)-ROW(EM!$C$14))*(MATCH(Z$22,EM!$B$6:$B$9,0)-1),MIN(Z$23-EM!$B$16+26,EM!$AF$16-EM!$B$16)),0)+
IF(ROUND(Z$11,0)&gt;=28,OFFSET(EM!$B$17,ROW($A27)-ROW($A$26)+(ROW(EM!$C$46)-ROW(EM!$C$14))*(MATCH(Z$22,EM!$B$6:$B$9,0)-1),MIN(Z$23-EM!$B$16+27,EM!$AF$16-EM!$B$16)),0)+
IF(ROUND(Z$11,0)&gt;=29,OFFSET(EM!$B$17,ROW($A27)-ROW($A$26)+(ROW(EM!$C$46)-ROW(EM!$C$14))*(MATCH(Z$22,EM!$B$6:$B$9,0)-1),MIN(Z$23-EM!$B$16+28,EM!$AF$16-EM!$B$16)),0)+
IF(ROUND(Z$11,0)&gt;=30,OFFSET(EM!$B$17,ROW($A27)-ROW($A$26)+(ROW(EM!$C$46)-ROW(EM!$C$14))*(MATCH(Z$22,EM!$B$6:$B$9,0)-1),MIN(Z$23-EM!$B$16+29,EM!$AF$16-EM!$B$16)),0)+
IF(ROUND(Z$11,0)&gt;=31,OFFSET(EM!$B$17,ROW($A27)-ROW($A$26)+(ROW(EM!$C$46)-ROW(EM!$C$14))*(MATCH(Z$22,EM!$B$6:$B$9,0)-1),MIN(Z$23-EM!$B$16+30,EM!$AF$16-EM!$B$16)),0)+
IF(ROUND(Z$11,0)&gt;=32,OFFSET(EM!$B$17,ROW($A27)-ROW($A$26)+(ROW(EM!$C$46)-ROW(EM!$C$14))*(MATCH(Z$22,EM!$B$6:$B$9,0)-1),MIN(Z$23-EM!$B$16+31,EM!$AF$16-EM!$B$16)),0)+
IF(ROUND(Z$11,0)&gt;=33,OFFSET(EM!$B$17,ROW($A27)-ROW($A$26)+(ROW(EM!$C$46)-ROW(EM!$C$14))*(MATCH(Z$22,EM!$B$6:$B$9,0)-1),MIN(Z$23-EM!$B$16+32,EM!$AF$16-EM!$B$16)),0)+
IF(ROUND(Z$11,0)&gt;=34,OFFSET(EM!$B$17,ROW($A27)-ROW($A$26)+(ROW(EM!$C$46)-ROW(EM!$C$14))*(MATCH(Z$22,EM!$B$6:$B$9,0)-1),MIN(Z$23-EM!$B$16+33,EM!$AF$16-EM!$B$16)),0)+
IF(ROUND(Z$11,0)&gt;=35,OFFSET(EM!$B$17,ROW($A27)-ROW($A$26)+(ROW(EM!$C$46)-ROW(EM!$C$14))*(MATCH(Z$22,EM!$B$6:$B$9,0)-1),MIN(Z$23-EM!$B$16+34,EM!$AF$16-EM!$B$16)),0)+
IF(ROUND(Z$11,0)&gt;=36,OFFSET(EM!$B$17,ROW($A27)-ROW($A$26)+(ROW(EM!$C$46)-ROW(EM!$C$14))*(MATCH(Z$22,EM!$B$6:$B$9,0)-1),MIN(Z$23-EM!$B$16+35,EM!$AF$16-EM!$B$16)),0)+
IF(ROUND(Z$11,0)&gt;=37,OFFSET(EM!$B$17,ROW($A27)-ROW($A$26)+(ROW(EM!$C$46)-ROW(EM!$C$14))*(MATCH(Z$22,EM!$B$6:$B$9,0)-1),MIN(Z$23-EM!$B$16+36,EM!$AF$16-EM!$B$16)),0)+
IF(ROUND(Z$11,0)&gt;=38,OFFSET(EM!$B$17,ROW($A27)-ROW($A$26)+(ROW(EM!$C$46)-ROW(EM!$C$14))*(MATCH(Z$22,EM!$B$6:$B$9,0)-1),MIN(Z$23-EM!$B$16+37,EM!$AF$16-EM!$B$16)),0)+
IF(ROUND(Z$11,0)&gt;=39,OFFSET(EM!$B$17,ROW($A27)-ROW($A$26)+(ROW(EM!$C$46)-ROW(EM!$C$14))*(MATCH(Z$22,EM!$B$6:$B$9,0)-1),MIN(Z$23-EM!$B$16+38,EM!$AF$16-EM!$B$16)),0)+
IF(ROUND(Z$11,0)&gt;=40,OFFSET(EM!$B$17,ROW($A27)-ROW($A$26)+(ROW(EM!$C$46)-ROW(EM!$C$14))*(MATCH(Z$22,EM!$B$6:$B$9,0)-1),MIN(Z$23-EM!$B$16+39,EM!$AF$16-EM!$B$16)),0)
)/ROUND(Z$11,0),NA()))</f>
        <v>1.6374028134476214E-2</v>
      </c>
      <c r="AA27" s="2046">
        <f ca="1">IF(AA$19=GPG!$A$28,IF(ROW(AA27)-ROW(AA$26)+1=MATCH(AA$20,GPG!$A$5:$A$11,0),1,0),
IF(AA$19=GPG!$A$29,
(IF(ROUND(AA$11,0)&gt;=1,OFFSET(EM!$B$17,ROW($A27)-ROW($A$26)+(ROW(EM!$C$46)-ROW(EM!$C$14))*(MATCH(AA$22,EM!$B$6:$B$9,0)-1),MIN(AA$23-EM!$B$16,EM!$AF$16-EM!$B$16)),0)+
IF(ROUND(AA$11,0)&gt;=2,OFFSET(EM!$B$17,ROW($A27)-ROW($A$26)+(ROW(EM!$C$46)-ROW(EM!$C$14))*(MATCH(AA$22,EM!$B$6:$B$9,0)-1),MIN(AA$23-EM!$B$16+1,EM!$AF$16-EM!$B$16)),0)+
IF(ROUND(AA$11,0)&gt;=3,OFFSET(EM!$B$17,ROW($A27)-ROW($A$26)+(ROW(EM!$C$46)-ROW(EM!$C$14))*(MATCH(AA$22,EM!$B$6:$B$9,0)-1),MIN(AA$23-EM!$B$16+2,EM!$AF$16-EM!$B$16)),0)+
IF(ROUND(AA$11,0)&gt;=4,OFFSET(EM!$B$17,ROW($A27)-ROW($A$26)+(ROW(EM!$C$46)-ROW(EM!$C$14))*(MATCH(AA$22,EM!$B$6:$B$9,0)-1),MIN(AA$23-EM!$B$16+3,EM!$AF$16-EM!$B$16)),0)+
IF(ROUND(AA$11,0)&gt;=5,OFFSET(EM!$B$17,ROW($A27)-ROW($A$26)+(ROW(EM!$C$46)-ROW(EM!$C$14))*(MATCH(AA$22,EM!$B$6:$B$9,0)-1),MIN(AA$23-EM!$B$16+4,EM!$AF$16-EM!$B$16)),0)+
IF(ROUND(AA$11,0)&gt;=6,OFFSET(EM!$B$17,ROW($A27)-ROW($A$26)+(ROW(EM!$C$46)-ROW(EM!$C$14))*(MATCH(AA$22,EM!$B$6:$B$9,0)-1),MIN(AA$23-EM!$B$16+5,EM!$AF$16-EM!$B$16)),0)+
IF(ROUND(AA$11,0)&gt;=7,OFFSET(EM!$B$17,ROW($A27)-ROW($A$26)+(ROW(EM!$C$46)-ROW(EM!$C$14))*(MATCH(AA$22,EM!$B$6:$B$9,0)-1),MIN(AA$23-EM!$B$16+6,EM!$AF$16-EM!$B$16)),0)+
IF(ROUND(AA$11,0)&gt;=8,OFFSET(EM!$B$17,ROW($A27)-ROW($A$26)+(ROW(EM!$C$46)-ROW(EM!$C$14))*(MATCH(AA$22,EM!$B$6:$B$9,0)-1),MIN(AA$23-EM!$B$16+7,EM!$AF$16-EM!$B$16)),0)+
IF(ROUND(AA$11,0)&gt;=9,OFFSET(EM!$B$17,ROW($A27)-ROW($A$26)+(ROW(EM!$C$46)-ROW(EM!$C$14))*(MATCH(AA$22,EM!$B$6:$B$9,0)-1),MIN(AA$23-EM!$B$16+8,EM!$AF$16-EM!$B$16)),0)+
IF(ROUND(AA$11,0)&gt;=10,OFFSET(EM!$B$17,ROW($A27)-ROW($A$26)+(ROW(EM!$C$46)-ROW(EM!$C$14))*(MATCH(AA$22,EM!$B$6:$B$9,0)-1),MIN(AA$23-EM!$B$16+9,EM!$AF$16-EM!$B$16)),0)+
IF(ROUND(AA$11,0)&gt;=11,OFFSET(EM!$B$17,ROW($A27)-ROW($A$26)+(ROW(EM!$C$46)-ROW(EM!$C$14))*(MATCH(AA$22,EM!$B$6:$B$9,0)-1),MIN(AA$23-EM!$B$16+10,EM!$AF$16-EM!$B$16)),0)+
IF(ROUND(AA$11,0)&gt;=12,OFFSET(EM!$B$17,ROW($A27)-ROW($A$26)+(ROW(EM!$C$46)-ROW(EM!$C$14))*(MATCH(AA$22,EM!$B$6:$B$9,0)-1),MIN(AA$23-EM!$B$16+11,EM!$AF$16-EM!$B$16)),0)+
IF(ROUND(AA$11,0)&gt;=13,OFFSET(EM!$B$17,ROW($A27)-ROW($A$26)+(ROW(EM!$C$46)-ROW(EM!$C$14))*(MATCH(AA$22,EM!$B$6:$B$9,0)-1),MIN(AA$23-EM!$B$16+12,EM!$AF$16-EM!$B$16)),0)+
IF(ROUND(AA$11,0)&gt;=14,OFFSET(EM!$B$17,ROW($A27)-ROW($A$26)+(ROW(EM!$C$46)-ROW(EM!$C$14))*(MATCH(AA$22,EM!$B$6:$B$9,0)-1),MIN(AA$23-EM!$B$16+13,EM!$AF$16-EM!$B$16)),0)+
IF(ROUND(AA$11,0)&gt;=15,OFFSET(EM!$B$17,ROW($A27)-ROW($A$26)+(ROW(EM!$C$46)-ROW(EM!$C$14))*(MATCH(AA$22,EM!$B$6:$B$9,0)-1),MIN(AA$23-EM!$B$16+14,EM!$AF$16-EM!$B$16)),0)+
IF(ROUND(AA$11,0)&gt;=16,OFFSET(EM!$B$17,ROW($A27)-ROW($A$26)+(ROW(EM!$C$46)-ROW(EM!$C$14))*(MATCH(AA$22,EM!$B$6:$B$9,0)-1),MIN(AA$23-EM!$B$16+15,EM!$AF$16-EM!$B$16)),0)+
IF(ROUND(AA$11,0)&gt;=17,OFFSET(EM!$B$17,ROW($A27)-ROW($A$26)+(ROW(EM!$C$46)-ROW(EM!$C$14))*(MATCH(AA$22,EM!$B$6:$B$9,0)-1),MIN(AA$23-EM!$B$16+16,EM!$AF$16-EM!$B$16)),0)+
IF(ROUND(AA$11,0)&gt;=18,OFFSET(EM!$B$17,ROW($A27)-ROW($A$26)+(ROW(EM!$C$46)-ROW(EM!$C$14))*(MATCH(AA$22,EM!$B$6:$B$9,0)-1),MIN(AA$23-EM!$B$16+17,EM!$AF$16-EM!$B$16)),0)+
IF(ROUND(AA$11,0)&gt;=19,OFFSET(EM!$B$17,ROW($A27)-ROW($A$26)+(ROW(EM!$C$46)-ROW(EM!$C$14))*(MATCH(AA$22,EM!$B$6:$B$9,0)-1),MIN(AA$23-EM!$B$16+18,EM!$AF$16-EM!$B$16)),0)+
IF(ROUND(AA$11,0)&gt;=20,OFFSET(EM!$B$17,ROW($A27)-ROW($A$26)+(ROW(EM!$C$46)-ROW(EM!$C$14))*(MATCH(AA$22,EM!$B$6:$B$9,0)-1),MIN(AA$23-EM!$B$16+19,EM!$AF$16-EM!$B$16)),0)+
IF(ROUND(AA$11,0)&gt;=21,OFFSET(EM!$B$17,ROW($A27)-ROW($A$26)+(ROW(EM!$C$46)-ROW(EM!$C$14))*(MATCH(AA$22,EM!$B$6:$B$9,0)-1),MIN(AA$23-EM!$B$16+20,EM!$AF$16-EM!$B$16)),0)+
IF(ROUND(AA$11,0)&gt;=22,OFFSET(EM!$B$17,ROW($A27)-ROW($A$26)+(ROW(EM!$C$46)-ROW(EM!$C$14))*(MATCH(AA$22,EM!$B$6:$B$9,0)-1),MIN(AA$23-EM!$B$16+21,EM!$AF$16-EM!$B$16)),0)+
IF(ROUND(AA$11,0)&gt;=23,OFFSET(EM!$B$17,ROW($A27)-ROW($A$26)+(ROW(EM!$C$46)-ROW(EM!$C$14))*(MATCH(AA$22,EM!$B$6:$B$9,0)-1),MIN(AA$23-EM!$B$16+22,EM!$AF$16-EM!$B$16)),0)+
IF(ROUND(AA$11,0)&gt;=24,OFFSET(EM!$B$17,ROW($A27)-ROW($A$26)+(ROW(EM!$C$46)-ROW(EM!$C$14))*(MATCH(AA$22,EM!$B$6:$B$9,0)-1),MIN(AA$23-EM!$B$16+23,EM!$AF$16-EM!$B$16)),0)+
IF(ROUND(AA$11,0)&gt;=25,OFFSET(EM!$B$17,ROW($A27)-ROW($A$26)+(ROW(EM!$C$46)-ROW(EM!$C$14))*(MATCH(AA$22,EM!$B$6:$B$9,0)-1),MIN(AA$23-EM!$B$16+24,EM!$AF$16-EM!$B$16)),0)+
IF(ROUND(AA$11,0)&gt;=26,OFFSET(EM!$B$17,ROW($A27)-ROW($A$26)+(ROW(EM!$C$46)-ROW(EM!$C$14))*(MATCH(AA$22,EM!$B$6:$B$9,0)-1),MIN(AA$23-EM!$B$16+25,EM!$AF$16-EM!$B$16)),0)+
IF(ROUND(AA$11,0)&gt;=27,OFFSET(EM!$B$17,ROW($A27)-ROW($A$26)+(ROW(EM!$C$46)-ROW(EM!$C$14))*(MATCH(AA$22,EM!$B$6:$B$9,0)-1),MIN(AA$23-EM!$B$16+26,EM!$AF$16-EM!$B$16)),0)+
IF(ROUND(AA$11,0)&gt;=28,OFFSET(EM!$B$17,ROW($A27)-ROW($A$26)+(ROW(EM!$C$46)-ROW(EM!$C$14))*(MATCH(AA$22,EM!$B$6:$B$9,0)-1),MIN(AA$23-EM!$B$16+27,EM!$AF$16-EM!$B$16)),0)+
IF(ROUND(AA$11,0)&gt;=29,OFFSET(EM!$B$17,ROW($A27)-ROW($A$26)+(ROW(EM!$C$46)-ROW(EM!$C$14))*(MATCH(AA$22,EM!$B$6:$B$9,0)-1),MIN(AA$23-EM!$B$16+28,EM!$AF$16-EM!$B$16)),0)+
IF(ROUND(AA$11,0)&gt;=30,OFFSET(EM!$B$17,ROW($A27)-ROW($A$26)+(ROW(EM!$C$46)-ROW(EM!$C$14))*(MATCH(AA$22,EM!$B$6:$B$9,0)-1),MIN(AA$23-EM!$B$16+29,EM!$AF$16-EM!$B$16)),0)+
IF(ROUND(AA$11,0)&gt;=31,OFFSET(EM!$B$17,ROW($A27)-ROW($A$26)+(ROW(EM!$C$46)-ROW(EM!$C$14))*(MATCH(AA$22,EM!$B$6:$B$9,0)-1),MIN(AA$23-EM!$B$16+30,EM!$AF$16-EM!$B$16)),0)+
IF(ROUND(AA$11,0)&gt;=32,OFFSET(EM!$B$17,ROW($A27)-ROW($A$26)+(ROW(EM!$C$46)-ROW(EM!$C$14))*(MATCH(AA$22,EM!$B$6:$B$9,0)-1),MIN(AA$23-EM!$B$16+31,EM!$AF$16-EM!$B$16)),0)+
IF(ROUND(AA$11,0)&gt;=33,OFFSET(EM!$B$17,ROW($A27)-ROW($A$26)+(ROW(EM!$C$46)-ROW(EM!$C$14))*(MATCH(AA$22,EM!$B$6:$B$9,0)-1),MIN(AA$23-EM!$B$16+32,EM!$AF$16-EM!$B$16)),0)+
IF(ROUND(AA$11,0)&gt;=34,OFFSET(EM!$B$17,ROW($A27)-ROW($A$26)+(ROW(EM!$C$46)-ROW(EM!$C$14))*(MATCH(AA$22,EM!$B$6:$B$9,0)-1),MIN(AA$23-EM!$B$16+33,EM!$AF$16-EM!$B$16)),0)+
IF(ROUND(AA$11,0)&gt;=35,OFFSET(EM!$B$17,ROW($A27)-ROW($A$26)+(ROW(EM!$C$46)-ROW(EM!$C$14))*(MATCH(AA$22,EM!$B$6:$B$9,0)-1),MIN(AA$23-EM!$B$16+34,EM!$AF$16-EM!$B$16)),0)+
IF(ROUND(AA$11,0)&gt;=36,OFFSET(EM!$B$17,ROW($A27)-ROW($A$26)+(ROW(EM!$C$46)-ROW(EM!$C$14))*(MATCH(AA$22,EM!$B$6:$B$9,0)-1),MIN(AA$23-EM!$B$16+35,EM!$AF$16-EM!$B$16)),0)+
IF(ROUND(AA$11,0)&gt;=37,OFFSET(EM!$B$17,ROW($A27)-ROW($A$26)+(ROW(EM!$C$46)-ROW(EM!$C$14))*(MATCH(AA$22,EM!$B$6:$B$9,0)-1),MIN(AA$23-EM!$B$16+36,EM!$AF$16-EM!$B$16)),0)+
IF(ROUND(AA$11,0)&gt;=38,OFFSET(EM!$B$17,ROW($A27)-ROW($A$26)+(ROW(EM!$C$46)-ROW(EM!$C$14))*(MATCH(AA$22,EM!$B$6:$B$9,0)-1),MIN(AA$23-EM!$B$16+37,EM!$AF$16-EM!$B$16)),0)+
IF(ROUND(AA$11,0)&gt;=39,OFFSET(EM!$B$17,ROW($A27)-ROW($A$26)+(ROW(EM!$C$46)-ROW(EM!$C$14))*(MATCH(AA$22,EM!$B$6:$B$9,0)-1),MIN(AA$23-EM!$B$16+38,EM!$AF$16-EM!$B$16)),0)+
IF(ROUND(AA$11,0)&gt;=40,OFFSET(EM!$B$17,ROW($A27)-ROW($A$26)+(ROW(EM!$C$46)-ROW(EM!$C$14))*(MATCH(AA$22,EM!$B$6:$B$9,0)-1),MIN(AA$23-EM!$B$16+39,EM!$AF$16-EM!$B$16)),0)
)/ROUND(AA$11,0),NA()))</f>
        <v>2.4786228463300329E-2</v>
      </c>
      <c r="AB27" s="2046">
        <f ca="1">IF(AB$19=GPG!$A$28,IF(ROW(AB27)-ROW(AB$26)+1=MATCH(AB$20,GPG!$A$5:$A$11,0),1,0),
IF(AB$19=GPG!$A$29,
(IF(ROUND(AB$11,0)&gt;=1,OFFSET(EM!$B$17,ROW($A27)-ROW($A$26)+(ROW(EM!$C$46)-ROW(EM!$C$14))*(MATCH(AB$22,EM!$B$6:$B$9,0)-1),MIN(AB$23-EM!$B$16,EM!$AF$16-EM!$B$16)),0)+
IF(ROUND(AB$11,0)&gt;=2,OFFSET(EM!$B$17,ROW($A27)-ROW($A$26)+(ROW(EM!$C$46)-ROW(EM!$C$14))*(MATCH(AB$22,EM!$B$6:$B$9,0)-1),MIN(AB$23-EM!$B$16+1,EM!$AF$16-EM!$B$16)),0)+
IF(ROUND(AB$11,0)&gt;=3,OFFSET(EM!$B$17,ROW($A27)-ROW($A$26)+(ROW(EM!$C$46)-ROW(EM!$C$14))*(MATCH(AB$22,EM!$B$6:$B$9,0)-1),MIN(AB$23-EM!$B$16+2,EM!$AF$16-EM!$B$16)),0)+
IF(ROUND(AB$11,0)&gt;=4,OFFSET(EM!$B$17,ROW($A27)-ROW($A$26)+(ROW(EM!$C$46)-ROW(EM!$C$14))*(MATCH(AB$22,EM!$B$6:$B$9,0)-1),MIN(AB$23-EM!$B$16+3,EM!$AF$16-EM!$B$16)),0)+
IF(ROUND(AB$11,0)&gt;=5,OFFSET(EM!$B$17,ROW($A27)-ROW($A$26)+(ROW(EM!$C$46)-ROW(EM!$C$14))*(MATCH(AB$22,EM!$B$6:$B$9,0)-1),MIN(AB$23-EM!$B$16+4,EM!$AF$16-EM!$B$16)),0)+
IF(ROUND(AB$11,0)&gt;=6,OFFSET(EM!$B$17,ROW($A27)-ROW($A$26)+(ROW(EM!$C$46)-ROW(EM!$C$14))*(MATCH(AB$22,EM!$B$6:$B$9,0)-1),MIN(AB$23-EM!$B$16+5,EM!$AF$16-EM!$B$16)),0)+
IF(ROUND(AB$11,0)&gt;=7,OFFSET(EM!$B$17,ROW($A27)-ROW($A$26)+(ROW(EM!$C$46)-ROW(EM!$C$14))*(MATCH(AB$22,EM!$B$6:$B$9,0)-1),MIN(AB$23-EM!$B$16+6,EM!$AF$16-EM!$B$16)),0)+
IF(ROUND(AB$11,0)&gt;=8,OFFSET(EM!$B$17,ROW($A27)-ROW($A$26)+(ROW(EM!$C$46)-ROW(EM!$C$14))*(MATCH(AB$22,EM!$B$6:$B$9,0)-1),MIN(AB$23-EM!$B$16+7,EM!$AF$16-EM!$B$16)),0)+
IF(ROUND(AB$11,0)&gt;=9,OFFSET(EM!$B$17,ROW($A27)-ROW($A$26)+(ROW(EM!$C$46)-ROW(EM!$C$14))*(MATCH(AB$22,EM!$B$6:$B$9,0)-1),MIN(AB$23-EM!$B$16+8,EM!$AF$16-EM!$B$16)),0)+
IF(ROUND(AB$11,0)&gt;=10,OFFSET(EM!$B$17,ROW($A27)-ROW($A$26)+(ROW(EM!$C$46)-ROW(EM!$C$14))*(MATCH(AB$22,EM!$B$6:$B$9,0)-1),MIN(AB$23-EM!$B$16+9,EM!$AF$16-EM!$B$16)),0)+
IF(ROUND(AB$11,0)&gt;=11,OFFSET(EM!$B$17,ROW($A27)-ROW($A$26)+(ROW(EM!$C$46)-ROW(EM!$C$14))*(MATCH(AB$22,EM!$B$6:$B$9,0)-1),MIN(AB$23-EM!$B$16+10,EM!$AF$16-EM!$B$16)),0)+
IF(ROUND(AB$11,0)&gt;=12,OFFSET(EM!$B$17,ROW($A27)-ROW($A$26)+(ROW(EM!$C$46)-ROW(EM!$C$14))*(MATCH(AB$22,EM!$B$6:$B$9,0)-1),MIN(AB$23-EM!$B$16+11,EM!$AF$16-EM!$B$16)),0)+
IF(ROUND(AB$11,0)&gt;=13,OFFSET(EM!$B$17,ROW($A27)-ROW($A$26)+(ROW(EM!$C$46)-ROW(EM!$C$14))*(MATCH(AB$22,EM!$B$6:$B$9,0)-1),MIN(AB$23-EM!$B$16+12,EM!$AF$16-EM!$B$16)),0)+
IF(ROUND(AB$11,0)&gt;=14,OFFSET(EM!$B$17,ROW($A27)-ROW($A$26)+(ROW(EM!$C$46)-ROW(EM!$C$14))*(MATCH(AB$22,EM!$B$6:$B$9,0)-1),MIN(AB$23-EM!$B$16+13,EM!$AF$16-EM!$B$16)),0)+
IF(ROUND(AB$11,0)&gt;=15,OFFSET(EM!$B$17,ROW($A27)-ROW($A$26)+(ROW(EM!$C$46)-ROW(EM!$C$14))*(MATCH(AB$22,EM!$B$6:$B$9,0)-1),MIN(AB$23-EM!$B$16+14,EM!$AF$16-EM!$B$16)),0)+
IF(ROUND(AB$11,0)&gt;=16,OFFSET(EM!$B$17,ROW($A27)-ROW($A$26)+(ROW(EM!$C$46)-ROW(EM!$C$14))*(MATCH(AB$22,EM!$B$6:$B$9,0)-1),MIN(AB$23-EM!$B$16+15,EM!$AF$16-EM!$B$16)),0)+
IF(ROUND(AB$11,0)&gt;=17,OFFSET(EM!$B$17,ROW($A27)-ROW($A$26)+(ROW(EM!$C$46)-ROW(EM!$C$14))*(MATCH(AB$22,EM!$B$6:$B$9,0)-1),MIN(AB$23-EM!$B$16+16,EM!$AF$16-EM!$B$16)),0)+
IF(ROUND(AB$11,0)&gt;=18,OFFSET(EM!$B$17,ROW($A27)-ROW($A$26)+(ROW(EM!$C$46)-ROW(EM!$C$14))*(MATCH(AB$22,EM!$B$6:$B$9,0)-1),MIN(AB$23-EM!$B$16+17,EM!$AF$16-EM!$B$16)),0)+
IF(ROUND(AB$11,0)&gt;=19,OFFSET(EM!$B$17,ROW($A27)-ROW($A$26)+(ROW(EM!$C$46)-ROW(EM!$C$14))*(MATCH(AB$22,EM!$B$6:$B$9,0)-1),MIN(AB$23-EM!$B$16+18,EM!$AF$16-EM!$B$16)),0)+
IF(ROUND(AB$11,0)&gt;=20,OFFSET(EM!$B$17,ROW($A27)-ROW($A$26)+(ROW(EM!$C$46)-ROW(EM!$C$14))*(MATCH(AB$22,EM!$B$6:$B$9,0)-1),MIN(AB$23-EM!$B$16+19,EM!$AF$16-EM!$B$16)),0)+
IF(ROUND(AB$11,0)&gt;=21,OFFSET(EM!$B$17,ROW($A27)-ROW($A$26)+(ROW(EM!$C$46)-ROW(EM!$C$14))*(MATCH(AB$22,EM!$B$6:$B$9,0)-1),MIN(AB$23-EM!$B$16+20,EM!$AF$16-EM!$B$16)),0)+
IF(ROUND(AB$11,0)&gt;=22,OFFSET(EM!$B$17,ROW($A27)-ROW($A$26)+(ROW(EM!$C$46)-ROW(EM!$C$14))*(MATCH(AB$22,EM!$B$6:$B$9,0)-1),MIN(AB$23-EM!$B$16+21,EM!$AF$16-EM!$B$16)),0)+
IF(ROUND(AB$11,0)&gt;=23,OFFSET(EM!$B$17,ROW($A27)-ROW($A$26)+(ROW(EM!$C$46)-ROW(EM!$C$14))*(MATCH(AB$22,EM!$B$6:$B$9,0)-1),MIN(AB$23-EM!$B$16+22,EM!$AF$16-EM!$B$16)),0)+
IF(ROUND(AB$11,0)&gt;=24,OFFSET(EM!$B$17,ROW($A27)-ROW($A$26)+(ROW(EM!$C$46)-ROW(EM!$C$14))*(MATCH(AB$22,EM!$B$6:$B$9,0)-1),MIN(AB$23-EM!$B$16+23,EM!$AF$16-EM!$B$16)),0)+
IF(ROUND(AB$11,0)&gt;=25,OFFSET(EM!$B$17,ROW($A27)-ROW($A$26)+(ROW(EM!$C$46)-ROW(EM!$C$14))*(MATCH(AB$22,EM!$B$6:$B$9,0)-1),MIN(AB$23-EM!$B$16+24,EM!$AF$16-EM!$B$16)),0)+
IF(ROUND(AB$11,0)&gt;=26,OFFSET(EM!$B$17,ROW($A27)-ROW($A$26)+(ROW(EM!$C$46)-ROW(EM!$C$14))*(MATCH(AB$22,EM!$B$6:$B$9,0)-1),MIN(AB$23-EM!$B$16+25,EM!$AF$16-EM!$B$16)),0)+
IF(ROUND(AB$11,0)&gt;=27,OFFSET(EM!$B$17,ROW($A27)-ROW($A$26)+(ROW(EM!$C$46)-ROW(EM!$C$14))*(MATCH(AB$22,EM!$B$6:$B$9,0)-1),MIN(AB$23-EM!$B$16+26,EM!$AF$16-EM!$B$16)),0)+
IF(ROUND(AB$11,0)&gt;=28,OFFSET(EM!$B$17,ROW($A27)-ROW($A$26)+(ROW(EM!$C$46)-ROW(EM!$C$14))*(MATCH(AB$22,EM!$B$6:$B$9,0)-1),MIN(AB$23-EM!$B$16+27,EM!$AF$16-EM!$B$16)),0)+
IF(ROUND(AB$11,0)&gt;=29,OFFSET(EM!$B$17,ROW($A27)-ROW($A$26)+(ROW(EM!$C$46)-ROW(EM!$C$14))*(MATCH(AB$22,EM!$B$6:$B$9,0)-1),MIN(AB$23-EM!$B$16+28,EM!$AF$16-EM!$B$16)),0)+
IF(ROUND(AB$11,0)&gt;=30,OFFSET(EM!$B$17,ROW($A27)-ROW($A$26)+(ROW(EM!$C$46)-ROW(EM!$C$14))*(MATCH(AB$22,EM!$B$6:$B$9,0)-1),MIN(AB$23-EM!$B$16+29,EM!$AF$16-EM!$B$16)),0)+
IF(ROUND(AB$11,0)&gt;=31,OFFSET(EM!$B$17,ROW($A27)-ROW($A$26)+(ROW(EM!$C$46)-ROW(EM!$C$14))*(MATCH(AB$22,EM!$B$6:$B$9,0)-1),MIN(AB$23-EM!$B$16+30,EM!$AF$16-EM!$B$16)),0)+
IF(ROUND(AB$11,0)&gt;=32,OFFSET(EM!$B$17,ROW($A27)-ROW($A$26)+(ROW(EM!$C$46)-ROW(EM!$C$14))*(MATCH(AB$22,EM!$B$6:$B$9,0)-1),MIN(AB$23-EM!$B$16+31,EM!$AF$16-EM!$B$16)),0)+
IF(ROUND(AB$11,0)&gt;=33,OFFSET(EM!$B$17,ROW($A27)-ROW($A$26)+(ROW(EM!$C$46)-ROW(EM!$C$14))*(MATCH(AB$22,EM!$B$6:$B$9,0)-1),MIN(AB$23-EM!$B$16+32,EM!$AF$16-EM!$B$16)),0)+
IF(ROUND(AB$11,0)&gt;=34,OFFSET(EM!$B$17,ROW($A27)-ROW($A$26)+(ROW(EM!$C$46)-ROW(EM!$C$14))*(MATCH(AB$22,EM!$B$6:$B$9,0)-1),MIN(AB$23-EM!$B$16+33,EM!$AF$16-EM!$B$16)),0)+
IF(ROUND(AB$11,0)&gt;=35,OFFSET(EM!$B$17,ROW($A27)-ROW($A$26)+(ROW(EM!$C$46)-ROW(EM!$C$14))*(MATCH(AB$22,EM!$B$6:$B$9,0)-1),MIN(AB$23-EM!$B$16+34,EM!$AF$16-EM!$B$16)),0)+
IF(ROUND(AB$11,0)&gt;=36,OFFSET(EM!$B$17,ROW($A27)-ROW($A$26)+(ROW(EM!$C$46)-ROW(EM!$C$14))*(MATCH(AB$22,EM!$B$6:$B$9,0)-1),MIN(AB$23-EM!$B$16+35,EM!$AF$16-EM!$B$16)),0)+
IF(ROUND(AB$11,0)&gt;=37,OFFSET(EM!$B$17,ROW($A27)-ROW($A$26)+(ROW(EM!$C$46)-ROW(EM!$C$14))*(MATCH(AB$22,EM!$B$6:$B$9,0)-1),MIN(AB$23-EM!$B$16+36,EM!$AF$16-EM!$B$16)),0)+
IF(ROUND(AB$11,0)&gt;=38,OFFSET(EM!$B$17,ROW($A27)-ROW($A$26)+(ROW(EM!$C$46)-ROW(EM!$C$14))*(MATCH(AB$22,EM!$B$6:$B$9,0)-1),MIN(AB$23-EM!$B$16+37,EM!$AF$16-EM!$B$16)),0)+
IF(ROUND(AB$11,0)&gt;=39,OFFSET(EM!$B$17,ROW($A27)-ROW($A$26)+(ROW(EM!$C$46)-ROW(EM!$C$14))*(MATCH(AB$22,EM!$B$6:$B$9,0)-1),MIN(AB$23-EM!$B$16+38,EM!$AF$16-EM!$B$16)),0)+
IF(ROUND(AB$11,0)&gt;=40,OFFSET(EM!$B$17,ROW($A27)-ROW($A$26)+(ROW(EM!$C$46)-ROW(EM!$C$14))*(MATCH(AB$22,EM!$B$6:$B$9,0)-1),MIN(AB$23-EM!$B$16+39,EM!$AF$16-EM!$B$16)),0)
)/ROUND(AB$11,0),NA()))</f>
        <v>2.4786228463300343E-2</v>
      </c>
    </row>
    <row r="28" spans="1:28" x14ac:dyDescent="0.45">
      <c r="A28" s="1421" t="s">
        <v>1077</v>
      </c>
      <c r="B28" s="2035"/>
      <c r="C28" s="2046">
        <f ca="1">IF(C$19=GPG!$A$28,IF(ROW(C28)-ROW(C$26)+1=MATCH(C$20,GPG!$A$5:$A$11,0),1,0),
IF(C$19=GPG!$A$29,
(IF(ROUND(C$11,0)&gt;=1,OFFSET(EM!$B$17,ROW($A28)-ROW($A$26)+(ROW(EM!$C$46)-ROW(EM!$C$14))*(MATCH(C$22,EM!$B$6:$B$9,0)-1),MIN(C$23-EM!$B$16,EM!$AF$16-EM!$B$16)),0)+
IF(ROUND(C$11,0)&gt;=2,OFFSET(EM!$B$17,ROW($A28)-ROW($A$26)+(ROW(EM!$C$46)-ROW(EM!$C$14))*(MATCH(C$22,EM!$B$6:$B$9,0)-1),MIN(C$23-EM!$B$16+1,EM!$AF$16-EM!$B$16)),0)+
IF(ROUND(C$11,0)&gt;=3,OFFSET(EM!$B$17,ROW($A28)-ROW($A$26)+(ROW(EM!$C$46)-ROW(EM!$C$14))*(MATCH(C$22,EM!$B$6:$B$9,0)-1),MIN(C$23-EM!$B$16+2,EM!$AF$16-EM!$B$16)),0)+
IF(ROUND(C$11,0)&gt;=4,OFFSET(EM!$B$17,ROW($A28)-ROW($A$26)+(ROW(EM!$C$46)-ROW(EM!$C$14))*(MATCH(C$22,EM!$B$6:$B$9,0)-1),MIN(C$23-EM!$B$16+3,EM!$AF$16-EM!$B$16)),0)+
IF(ROUND(C$11,0)&gt;=5,OFFSET(EM!$B$17,ROW($A28)-ROW($A$26)+(ROW(EM!$C$46)-ROW(EM!$C$14))*(MATCH(C$22,EM!$B$6:$B$9,0)-1),MIN(C$23-EM!$B$16+4,EM!$AF$16-EM!$B$16)),0)+
IF(ROUND(C$11,0)&gt;=6,OFFSET(EM!$B$17,ROW($A28)-ROW($A$26)+(ROW(EM!$C$46)-ROW(EM!$C$14))*(MATCH(C$22,EM!$B$6:$B$9,0)-1),MIN(C$23-EM!$B$16+5,EM!$AF$16-EM!$B$16)),0)+
IF(ROUND(C$11,0)&gt;=7,OFFSET(EM!$B$17,ROW($A28)-ROW($A$26)+(ROW(EM!$C$46)-ROW(EM!$C$14))*(MATCH(C$22,EM!$B$6:$B$9,0)-1),MIN(C$23-EM!$B$16+6,EM!$AF$16-EM!$B$16)),0)+
IF(ROUND(C$11,0)&gt;=8,OFFSET(EM!$B$17,ROW($A28)-ROW($A$26)+(ROW(EM!$C$46)-ROW(EM!$C$14))*(MATCH(C$22,EM!$B$6:$B$9,0)-1),MIN(C$23-EM!$B$16+7,EM!$AF$16-EM!$B$16)),0)+
IF(ROUND(C$11,0)&gt;=9,OFFSET(EM!$B$17,ROW($A28)-ROW($A$26)+(ROW(EM!$C$46)-ROW(EM!$C$14))*(MATCH(C$22,EM!$B$6:$B$9,0)-1),MIN(C$23-EM!$B$16+8,EM!$AF$16-EM!$B$16)),0)+
IF(ROUND(C$11,0)&gt;=10,OFFSET(EM!$B$17,ROW($A28)-ROW($A$26)+(ROW(EM!$C$46)-ROW(EM!$C$14))*(MATCH(C$22,EM!$B$6:$B$9,0)-1),MIN(C$23-EM!$B$16+9,EM!$AF$16-EM!$B$16)),0)+
IF(ROUND(C$11,0)&gt;=11,OFFSET(EM!$B$17,ROW($A28)-ROW($A$26)+(ROW(EM!$C$46)-ROW(EM!$C$14))*(MATCH(C$22,EM!$B$6:$B$9,0)-1),MIN(C$23-EM!$B$16+10,EM!$AF$16-EM!$B$16)),0)+
IF(ROUND(C$11,0)&gt;=12,OFFSET(EM!$B$17,ROW($A28)-ROW($A$26)+(ROW(EM!$C$46)-ROW(EM!$C$14))*(MATCH(C$22,EM!$B$6:$B$9,0)-1),MIN(C$23-EM!$B$16+11,EM!$AF$16-EM!$B$16)),0)+
IF(ROUND(C$11,0)&gt;=13,OFFSET(EM!$B$17,ROW($A28)-ROW($A$26)+(ROW(EM!$C$46)-ROW(EM!$C$14))*(MATCH(C$22,EM!$B$6:$B$9,0)-1),MIN(C$23-EM!$B$16+12,EM!$AF$16-EM!$B$16)),0)+
IF(ROUND(C$11,0)&gt;=14,OFFSET(EM!$B$17,ROW($A28)-ROW($A$26)+(ROW(EM!$C$46)-ROW(EM!$C$14))*(MATCH(C$22,EM!$B$6:$B$9,0)-1),MIN(C$23-EM!$B$16+13,EM!$AF$16-EM!$B$16)),0)+
IF(ROUND(C$11,0)&gt;=15,OFFSET(EM!$B$17,ROW($A28)-ROW($A$26)+(ROW(EM!$C$46)-ROW(EM!$C$14))*(MATCH(C$22,EM!$B$6:$B$9,0)-1),MIN(C$23-EM!$B$16+14,EM!$AF$16-EM!$B$16)),0)+
IF(ROUND(C$11,0)&gt;=16,OFFSET(EM!$B$17,ROW($A28)-ROW($A$26)+(ROW(EM!$C$46)-ROW(EM!$C$14))*(MATCH(C$22,EM!$B$6:$B$9,0)-1),MIN(C$23-EM!$B$16+15,EM!$AF$16-EM!$B$16)),0)+
IF(ROUND(C$11,0)&gt;=17,OFFSET(EM!$B$17,ROW($A28)-ROW($A$26)+(ROW(EM!$C$46)-ROW(EM!$C$14))*(MATCH(C$22,EM!$B$6:$B$9,0)-1),MIN(C$23-EM!$B$16+16,EM!$AF$16-EM!$B$16)),0)+
IF(ROUND(C$11,0)&gt;=18,OFFSET(EM!$B$17,ROW($A28)-ROW($A$26)+(ROW(EM!$C$46)-ROW(EM!$C$14))*(MATCH(C$22,EM!$B$6:$B$9,0)-1),MIN(C$23-EM!$B$16+17,EM!$AF$16-EM!$B$16)),0)+
IF(ROUND(C$11,0)&gt;=19,OFFSET(EM!$B$17,ROW($A28)-ROW($A$26)+(ROW(EM!$C$46)-ROW(EM!$C$14))*(MATCH(C$22,EM!$B$6:$B$9,0)-1),MIN(C$23-EM!$B$16+18,EM!$AF$16-EM!$B$16)),0)+
IF(ROUND(C$11,0)&gt;=20,OFFSET(EM!$B$17,ROW($A28)-ROW($A$26)+(ROW(EM!$C$46)-ROW(EM!$C$14))*(MATCH(C$22,EM!$B$6:$B$9,0)-1),MIN(C$23-EM!$B$16+19,EM!$AF$16-EM!$B$16)),0)+
IF(ROUND(C$11,0)&gt;=21,OFFSET(EM!$B$17,ROW($A28)-ROW($A$26)+(ROW(EM!$C$46)-ROW(EM!$C$14))*(MATCH(C$22,EM!$B$6:$B$9,0)-1),MIN(C$23-EM!$B$16+20,EM!$AF$16-EM!$B$16)),0)+
IF(ROUND(C$11,0)&gt;=22,OFFSET(EM!$B$17,ROW($A28)-ROW($A$26)+(ROW(EM!$C$46)-ROW(EM!$C$14))*(MATCH(C$22,EM!$B$6:$B$9,0)-1),MIN(C$23-EM!$B$16+21,EM!$AF$16-EM!$B$16)),0)+
IF(ROUND(C$11,0)&gt;=23,OFFSET(EM!$B$17,ROW($A28)-ROW($A$26)+(ROW(EM!$C$46)-ROW(EM!$C$14))*(MATCH(C$22,EM!$B$6:$B$9,0)-1),MIN(C$23-EM!$B$16+22,EM!$AF$16-EM!$B$16)),0)+
IF(ROUND(C$11,0)&gt;=24,OFFSET(EM!$B$17,ROW($A28)-ROW($A$26)+(ROW(EM!$C$46)-ROW(EM!$C$14))*(MATCH(C$22,EM!$B$6:$B$9,0)-1),MIN(C$23-EM!$B$16+23,EM!$AF$16-EM!$B$16)),0)+
IF(ROUND(C$11,0)&gt;=25,OFFSET(EM!$B$17,ROW($A28)-ROW($A$26)+(ROW(EM!$C$46)-ROW(EM!$C$14))*(MATCH(C$22,EM!$B$6:$B$9,0)-1),MIN(C$23-EM!$B$16+24,EM!$AF$16-EM!$B$16)),0)+
IF(ROUND(C$11,0)&gt;=26,OFFSET(EM!$B$17,ROW($A28)-ROW($A$26)+(ROW(EM!$C$46)-ROW(EM!$C$14))*(MATCH(C$22,EM!$B$6:$B$9,0)-1),MIN(C$23-EM!$B$16+25,EM!$AF$16-EM!$B$16)),0)+
IF(ROUND(C$11,0)&gt;=27,OFFSET(EM!$B$17,ROW($A28)-ROW($A$26)+(ROW(EM!$C$46)-ROW(EM!$C$14))*(MATCH(C$22,EM!$B$6:$B$9,0)-1),MIN(C$23-EM!$B$16+26,EM!$AF$16-EM!$B$16)),0)+
IF(ROUND(C$11,0)&gt;=28,OFFSET(EM!$B$17,ROW($A28)-ROW($A$26)+(ROW(EM!$C$46)-ROW(EM!$C$14))*(MATCH(C$22,EM!$B$6:$B$9,0)-1),MIN(C$23-EM!$B$16+27,EM!$AF$16-EM!$B$16)),0)+
IF(ROUND(C$11,0)&gt;=29,OFFSET(EM!$B$17,ROW($A28)-ROW($A$26)+(ROW(EM!$C$46)-ROW(EM!$C$14))*(MATCH(C$22,EM!$B$6:$B$9,0)-1),MIN(C$23-EM!$B$16+28,EM!$AF$16-EM!$B$16)),0)+
IF(ROUND(C$11,0)&gt;=30,OFFSET(EM!$B$17,ROW($A28)-ROW($A$26)+(ROW(EM!$C$46)-ROW(EM!$C$14))*(MATCH(C$22,EM!$B$6:$B$9,0)-1),MIN(C$23-EM!$B$16+29,EM!$AF$16-EM!$B$16)),0)+
IF(ROUND(C$11,0)&gt;=31,OFFSET(EM!$B$17,ROW($A28)-ROW($A$26)+(ROW(EM!$C$46)-ROW(EM!$C$14))*(MATCH(C$22,EM!$B$6:$B$9,0)-1),MIN(C$23-EM!$B$16+30,EM!$AF$16-EM!$B$16)),0)+
IF(ROUND(C$11,0)&gt;=32,OFFSET(EM!$B$17,ROW($A28)-ROW($A$26)+(ROW(EM!$C$46)-ROW(EM!$C$14))*(MATCH(C$22,EM!$B$6:$B$9,0)-1),MIN(C$23-EM!$B$16+31,EM!$AF$16-EM!$B$16)),0)+
IF(ROUND(C$11,0)&gt;=33,OFFSET(EM!$B$17,ROW($A28)-ROW($A$26)+(ROW(EM!$C$46)-ROW(EM!$C$14))*(MATCH(C$22,EM!$B$6:$B$9,0)-1),MIN(C$23-EM!$B$16+32,EM!$AF$16-EM!$B$16)),0)+
IF(ROUND(C$11,0)&gt;=34,OFFSET(EM!$B$17,ROW($A28)-ROW($A$26)+(ROW(EM!$C$46)-ROW(EM!$C$14))*(MATCH(C$22,EM!$B$6:$B$9,0)-1),MIN(C$23-EM!$B$16+33,EM!$AF$16-EM!$B$16)),0)+
IF(ROUND(C$11,0)&gt;=35,OFFSET(EM!$B$17,ROW($A28)-ROW($A$26)+(ROW(EM!$C$46)-ROW(EM!$C$14))*(MATCH(C$22,EM!$B$6:$B$9,0)-1),MIN(C$23-EM!$B$16+34,EM!$AF$16-EM!$B$16)),0)+
IF(ROUND(C$11,0)&gt;=36,OFFSET(EM!$B$17,ROW($A28)-ROW($A$26)+(ROW(EM!$C$46)-ROW(EM!$C$14))*(MATCH(C$22,EM!$B$6:$B$9,0)-1),MIN(C$23-EM!$B$16+35,EM!$AF$16-EM!$B$16)),0)+
IF(ROUND(C$11,0)&gt;=37,OFFSET(EM!$B$17,ROW($A28)-ROW($A$26)+(ROW(EM!$C$46)-ROW(EM!$C$14))*(MATCH(C$22,EM!$B$6:$B$9,0)-1),MIN(C$23-EM!$B$16+36,EM!$AF$16-EM!$B$16)),0)+
IF(ROUND(C$11,0)&gt;=38,OFFSET(EM!$B$17,ROW($A28)-ROW($A$26)+(ROW(EM!$C$46)-ROW(EM!$C$14))*(MATCH(C$22,EM!$B$6:$B$9,0)-1),MIN(C$23-EM!$B$16+37,EM!$AF$16-EM!$B$16)),0)+
IF(ROUND(C$11,0)&gt;=39,OFFSET(EM!$B$17,ROW($A28)-ROW($A$26)+(ROW(EM!$C$46)-ROW(EM!$C$14))*(MATCH(C$22,EM!$B$6:$B$9,0)-1),MIN(C$23-EM!$B$16+38,EM!$AF$16-EM!$B$16)),0)+
IF(ROUND(C$11,0)&gt;=40,OFFSET(EM!$B$17,ROW($A28)-ROW($A$26)+(ROW(EM!$C$46)-ROW(EM!$C$14))*(MATCH(C$22,EM!$B$6:$B$9,0)-1),MIN(C$23-EM!$B$16+39,EM!$AF$16-EM!$B$16)),0)
)/ROUND(C$11,0),NA()))</f>
        <v>0.58637847403631782</v>
      </c>
      <c r="D28" s="2046">
        <f ca="1">IF(D$19=GPG!$A$28,IF(ROW(D28)-ROW(D$26)+1=MATCH(D$20,GPG!$A$5:$A$11,0),1,0),
IF(D$19=GPG!$A$29,
(IF(ROUND(D$11,0)&gt;=1,OFFSET(EM!$B$17,ROW($A28)-ROW($A$26)+(ROW(EM!$C$46)-ROW(EM!$C$14))*(MATCH(D$22,EM!$B$6:$B$9,0)-1),MIN(D$23-EM!$B$16,EM!$AF$16-EM!$B$16)),0)+
IF(ROUND(D$11,0)&gt;=2,OFFSET(EM!$B$17,ROW($A28)-ROW($A$26)+(ROW(EM!$C$46)-ROW(EM!$C$14))*(MATCH(D$22,EM!$B$6:$B$9,0)-1),MIN(D$23-EM!$B$16+1,EM!$AF$16-EM!$B$16)),0)+
IF(ROUND(D$11,0)&gt;=3,OFFSET(EM!$B$17,ROW($A28)-ROW($A$26)+(ROW(EM!$C$46)-ROW(EM!$C$14))*(MATCH(D$22,EM!$B$6:$B$9,0)-1),MIN(D$23-EM!$B$16+2,EM!$AF$16-EM!$B$16)),0)+
IF(ROUND(D$11,0)&gt;=4,OFFSET(EM!$B$17,ROW($A28)-ROW($A$26)+(ROW(EM!$C$46)-ROW(EM!$C$14))*(MATCH(D$22,EM!$B$6:$B$9,0)-1),MIN(D$23-EM!$B$16+3,EM!$AF$16-EM!$B$16)),0)+
IF(ROUND(D$11,0)&gt;=5,OFFSET(EM!$B$17,ROW($A28)-ROW($A$26)+(ROW(EM!$C$46)-ROW(EM!$C$14))*(MATCH(D$22,EM!$B$6:$B$9,0)-1),MIN(D$23-EM!$B$16+4,EM!$AF$16-EM!$B$16)),0)+
IF(ROUND(D$11,0)&gt;=6,OFFSET(EM!$B$17,ROW($A28)-ROW($A$26)+(ROW(EM!$C$46)-ROW(EM!$C$14))*(MATCH(D$22,EM!$B$6:$B$9,0)-1),MIN(D$23-EM!$B$16+5,EM!$AF$16-EM!$B$16)),0)+
IF(ROUND(D$11,0)&gt;=7,OFFSET(EM!$B$17,ROW($A28)-ROW($A$26)+(ROW(EM!$C$46)-ROW(EM!$C$14))*(MATCH(D$22,EM!$B$6:$B$9,0)-1),MIN(D$23-EM!$B$16+6,EM!$AF$16-EM!$B$16)),0)+
IF(ROUND(D$11,0)&gt;=8,OFFSET(EM!$B$17,ROW($A28)-ROW($A$26)+(ROW(EM!$C$46)-ROW(EM!$C$14))*(MATCH(D$22,EM!$B$6:$B$9,0)-1),MIN(D$23-EM!$B$16+7,EM!$AF$16-EM!$B$16)),0)+
IF(ROUND(D$11,0)&gt;=9,OFFSET(EM!$B$17,ROW($A28)-ROW($A$26)+(ROW(EM!$C$46)-ROW(EM!$C$14))*(MATCH(D$22,EM!$B$6:$B$9,0)-1),MIN(D$23-EM!$B$16+8,EM!$AF$16-EM!$B$16)),0)+
IF(ROUND(D$11,0)&gt;=10,OFFSET(EM!$B$17,ROW($A28)-ROW($A$26)+(ROW(EM!$C$46)-ROW(EM!$C$14))*(MATCH(D$22,EM!$B$6:$B$9,0)-1),MIN(D$23-EM!$B$16+9,EM!$AF$16-EM!$B$16)),0)+
IF(ROUND(D$11,0)&gt;=11,OFFSET(EM!$B$17,ROW($A28)-ROW($A$26)+(ROW(EM!$C$46)-ROW(EM!$C$14))*(MATCH(D$22,EM!$B$6:$B$9,0)-1),MIN(D$23-EM!$B$16+10,EM!$AF$16-EM!$B$16)),0)+
IF(ROUND(D$11,0)&gt;=12,OFFSET(EM!$B$17,ROW($A28)-ROW($A$26)+(ROW(EM!$C$46)-ROW(EM!$C$14))*(MATCH(D$22,EM!$B$6:$B$9,0)-1),MIN(D$23-EM!$B$16+11,EM!$AF$16-EM!$B$16)),0)+
IF(ROUND(D$11,0)&gt;=13,OFFSET(EM!$B$17,ROW($A28)-ROW($A$26)+(ROW(EM!$C$46)-ROW(EM!$C$14))*(MATCH(D$22,EM!$B$6:$B$9,0)-1),MIN(D$23-EM!$B$16+12,EM!$AF$16-EM!$B$16)),0)+
IF(ROUND(D$11,0)&gt;=14,OFFSET(EM!$B$17,ROW($A28)-ROW($A$26)+(ROW(EM!$C$46)-ROW(EM!$C$14))*(MATCH(D$22,EM!$B$6:$B$9,0)-1),MIN(D$23-EM!$B$16+13,EM!$AF$16-EM!$B$16)),0)+
IF(ROUND(D$11,0)&gt;=15,OFFSET(EM!$B$17,ROW($A28)-ROW($A$26)+(ROW(EM!$C$46)-ROW(EM!$C$14))*(MATCH(D$22,EM!$B$6:$B$9,0)-1),MIN(D$23-EM!$B$16+14,EM!$AF$16-EM!$B$16)),0)+
IF(ROUND(D$11,0)&gt;=16,OFFSET(EM!$B$17,ROW($A28)-ROW($A$26)+(ROW(EM!$C$46)-ROW(EM!$C$14))*(MATCH(D$22,EM!$B$6:$B$9,0)-1),MIN(D$23-EM!$B$16+15,EM!$AF$16-EM!$B$16)),0)+
IF(ROUND(D$11,0)&gt;=17,OFFSET(EM!$B$17,ROW($A28)-ROW($A$26)+(ROW(EM!$C$46)-ROW(EM!$C$14))*(MATCH(D$22,EM!$B$6:$B$9,0)-1),MIN(D$23-EM!$B$16+16,EM!$AF$16-EM!$B$16)),0)+
IF(ROUND(D$11,0)&gt;=18,OFFSET(EM!$B$17,ROW($A28)-ROW($A$26)+(ROW(EM!$C$46)-ROW(EM!$C$14))*(MATCH(D$22,EM!$B$6:$B$9,0)-1),MIN(D$23-EM!$B$16+17,EM!$AF$16-EM!$B$16)),0)+
IF(ROUND(D$11,0)&gt;=19,OFFSET(EM!$B$17,ROW($A28)-ROW($A$26)+(ROW(EM!$C$46)-ROW(EM!$C$14))*(MATCH(D$22,EM!$B$6:$B$9,0)-1),MIN(D$23-EM!$B$16+18,EM!$AF$16-EM!$B$16)),0)+
IF(ROUND(D$11,0)&gt;=20,OFFSET(EM!$B$17,ROW($A28)-ROW($A$26)+(ROW(EM!$C$46)-ROW(EM!$C$14))*(MATCH(D$22,EM!$B$6:$B$9,0)-1),MIN(D$23-EM!$B$16+19,EM!$AF$16-EM!$B$16)),0)+
IF(ROUND(D$11,0)&gt;=21,OFFSET(EM!$B$17,ROW($A28)-ROW($A$26)+(ROW(EM!$C$46)-ROW(EM!$C$14))*(MATCH(D$22,EM!$B$6:$B$9,0)-1),MIN(D$23-EM!$B$16+20,EM!$AF$16-EM!$B$16)),0)+
IF(ROUND(D$11,0)&gt;=22,OFFSET(EM!$B$17,ROW($A28)-ROW($A$26)+(ROW(EM!$C$46)-ROW(EM!$C$14))*(MATCH(D$22,EM!$B$6:$B$9,0)-1),MIN(D$23-EM!$B$16+21,EM!$AF$16-EM!$B$16)),0)+
IF(ROUND(D$11,0)&gt;=23,OFFSET(EM!$B$17,ROW($A28)-ROW($A$26)+(ROW(EM!$C$46)-ROW(EM!$C$14))*(MATCH(D$22,EM!$B$6:$B$9,0)-1),MIN(D$23-EM!$B$16+22,EM!$AF$16-EM!$B$16)),0)+
IF(ROUND(D$11,0)&gt;=24,OFFSET(EM!$B$17,ROW($A28)-ROW($A$26)+(ROW(EM!$C$46)-ROW(EM!$C$14))*(MATCH(D$22,EM!$B$6:$B$9,0)-1),MIN(D$23-EM!$B$16+23,EM!$AF$16-EM!$B$16)),0)+
IF(ROUND(D$11,0)&gt;=25,OFFSET(EM!$B$17,ROW($A28)-ROW($A$26)+(ROW(EM!$C$46)-ROW(EM!$C$14))*(MATCH(D$22,EM!$B$6:$B$9,0)-1),MIN(D$23-EM!$B$16+24,EM!$AF$16-EM!$B$16)),0)+
IF(ROUND(D$11,0)&gt;=26,OFFSET(EM!$B$17,ROW($A28)-ROW($A$26)+(ROW(EM!$C$46)-ROW(EM!$C$14))*(MATCH(D$22,EM!$B$6:$B$9,0)-1),MIN(D$23-EM!$B$16+25,EM!$AF$16-EM!$B$16)),0)+
IF(ROUND(D$11,0)&gt;=27,OFFSET(EM!$B$17,ROW($A28)-ROW($A$26)+(ROW(EM!$C$46)-ROW(EM!$C$14))*(MATCH(D$22,EM!$B$6:$B$9,0)-1),MIN(D$23-EM!$B$16+26,EM!$AF$16-EM!$B$16)),0)+
IF(ROUND(D$11,0)&gt;=28,OFFSET(EM!$B$17,ROW($A28)-ROW($A$26)+(ROW(EM!$C$46)-ROW(EM!$C$14))*(MATCH(D$22,EM!$B$6:$B$9,0)-1),MIN(D$23-EM!$B$16+27,EM!$AF$16-EM!$B$16)),0)+
IF(ROUND(D$11,0)&gt;=29,OFFSET(EM!$B$17,ROW($A28)-ROW($A$26)+(ROW(EM!$C$46)-ROW(EM!$C$14))*(MATCH(D$22,EM!$B$6:$B$9,0)-1),MIN(D$23-EM!$B$16+28,EM!$AF$16-EM!$B$16)),0)+
IF(ROUND(D$11,0)&gt;=30,OFFSET(EM!$B$17,ROW($A28)-ROW($A$26)+(ROW(EM!$C$46)-ROW(EM!$C$14))*(MATCH(D$22,EM!$B$6:$B$9,0)-1),MIN(D$23-EM!$B$16+29,EM!$AF$16-EM!$B$16)),0)+
IF(ROUND(D$11,0)&gt;=31,OFFSET(EM!$B$17,ROW($A28)-ROW($A$26)+(ROW(EM!$C$46)-ROW(EM!$C$14))*(MATCH(D$22,EM!$B$6:$B$9,0)-1),MIN(D$23-EM!$B$16+30,EM!$AF$16-EM!$B$16)),0)+
IF(ROUND(D$11,0)&gt;=32,OFFSET(EM!$B$17,ROW($A28)-ROW($A$26)+(ROW(EM!$C$46)-ROW(EM!$C$14))*(MATCH(D$22,EM!$B$6:$B$9,0)-1),MIN(D$23-EM!$B$16+31,EM!$AF$16-EM!$B$16)),0)+
IF(ROUND(D$11,0)&gt;=33,OFFSET(EM!$B$17,ROW($A28)-ROW($A$26)+(ROW(EM!$C$46)-ROW(EM!$C$14))*(MATCH(D$22,EM!$B$6:$B$9,0)-1),MIN(D$23-EM!$B$16+32,EM!$AF$16-EM!$B$16)),0)+
IF(ROUND(D$11,0)&gt;=34,OFFSET(EM!$B$17,ROW($A28)-ROW($A$26)+(ROW(EM!$C$46)-ROW(EM!$C$14))*(MATCH(D$22,EM!$B$6:$B$9,0)-1),MIN(D$23-EM!$B$16+33,EM!$AF$16-EM!$B$16)),0)+
IF(ROUND(D$11,0)&gt;=35,OFFSET(EM!$B$17,ROW($A28)-ROW($A$26)+(ROW(EM!$C$46)-ROW(EM!$C$14))*(MATCH(D$22,EM!$B$6:$B$9,0)-1),MIN(D$23-EM!$B$16+34,EM!$AF$16-EM!$B$16)),0)+
IF(ROUND(D$11,0)&gt;=36,OFFSET(EM!$B$17,ROW($A28)-ROW($A$26)+(ROW(EM!$C$46)-ROW(EM!$C$14))*(MATCH(D$22,EM!$B$6:$B$9,0)-1),MIN(D$23-EM!$B$16+35,EM!$AF$16-EM!$B$16)),0)+
IF(ROUND(D$11,0)&gt;=37,OFFSET(EM!$B$17,ROW($A28)-ROW($A$26)+(ROW(EM!$C$46)-ROW(EM!$C$14))*(MATCH(D$22,EM!$B$6:$B$9,0)-1),MIN(D$23-EM!$B$16+36,EM!$AF$16-EM!$B$16)),0)+
IF(ROUND(D$11,0)&gt;=38,OFFSET(EM!$B$17,ROW($A28)-ROW($A$26)+(ROW(EM!$C$46)-ROW(EM!$C$14))*(MATCH(D$22,EM!$B$6:$B$9,0)-1),MIN(D$23-EM!$B$16+37,EM!$AF$16-EM!$B$16)),0)+
IF(ROUND(D$11,0)&gt;=39,OFFSET(EM!$B$17,ROW($A28)-ROW($A$26)+(ROW(EM!$C$46)-ROW(EM!$C$14))*(MATCH(D$22,EM!$B$6:$B$9,0)-1),MIN(D$23-EM!$B$16+38,EM!$AF$16-EM!$B$16)),0)+
IF(ROUND(D$11,0)&gt;=40,OFFSET(EM!$B$17,ROW($A28)-ROW($A$26)+(ROW(EM!$C$46)-ROW(EM!$C$14))*(MATCH(D$22,EM!$B$6:$B$9,0)-1),MIN(D$23-EM!$B$16+39,EM!$AF$16-EM!$B$16)),0)
)/ROUND(D$11,0),NA()))</f>
        <v>0.72705457895591852</v>
      </c>
      <c r="E28" s="2046">
        <f ca="1">IF(E$19=GPG!$A$28,IF(ROW(E28)-ROW(E$26)+1=MATCH(E$20,GPG!$A$5:$A$11,0),1,0),
IF(E$19=GPG!$A$29,
(IF(ROUND(E$11,0)&gt;=1,OFFSET(EM!$B$17,ROW($A28)-ROW($A$26)+(ROW(EM!$C$46)-ROW(EM!$C$14))*(MATCH(E$22,EM!$B$6:$B$9,0)-1),MIN(E$23-EM!$B$16,EM!$AF$16-EM!$B$16)),0)+
IF(ROUND(E$11,0)&gt;=2,OFFSET(EM!$B$17,ROW($A28)-ROW($A$26)+(ROW(EM!$C$46)-ROW(EM!$C$14))*(MATCH(E$22,EM!$B$6:$B$9,0)-1),MIN(E$23-EM!$B$16+1,EM!$AF$16-EM!$B$16)),0)+
IF(ROUND(E$11,0)&gt;=3,OFFSET(EM!$B$17,ROW($A28)-ROW($A$26)+(ROW(EM!$C$46)-ROW(EM!$C$14))*(MATCH(E$22,EM!$B$6:$B$9,0)-1),MIN(E$23-EM!$B$16+2,EM!$AF$16-EM!$B$16)),0)+
IF(ROUND(E$11,0)&gt;=4,OFFSET(EM!$B$17,ROW($A28)-ROW($A$26)+(ROW(EM!$C$46)-ROW(EM!$C$14))*(MATCH(E$22,EM!$B$6:$B$9,0)-1),MIN(E$23-EM!$B$16+3,EM!$AF$16-EM!$B$16)),0)+
IF(ROUND(E$11,0)&gt;=5,OFFSET(EM!$B$17,ROW($A28)-ROW($A$26)+(ROW(EM!$C$46)-ROW(EM!$C$14))*(MATCH(E$22,EM!$B$6:$B$9,0)-1),MIN(E$23-EM!$B$16+4,EM!$AF$16-EM!$B$16)),0)+
IF(ROUND(E$11,0)&gt;=6,OFFSET(EM!$B$17,ROW($A28)-ROW($A$26)+(ROW(EM!$C$46)-ROW(EM!$C$14))*(MATCH(E$22,EM!$B$6:$B$9,0)-1),MIN(E$23-EM!$B$16+5,EM!$AF$16-EM!$B$16)),0)+
IF(ROUND(E$11,0)&gt;=7,OFFSET(EM!$B$17,ROW($A28)-ROW($A$26)+(ROW(EM!$C$46)-ROW(EM!$C$14))*(MATCH(E$22,EM!$B$6:$B$9,0)-1),MIN(E$23-EM!$B$16+6,EM!$AF$16-EM!$B$16)),0)+
IF(ROUND(E$11,0)&gt;=8,OFFSET(EM!$B$17,ROW($A28)-ROW($A$26)+(ROW(EM!$C$46)-ROW(EM!$C$14))*(MATCH(E$22,EM!$B$6:$B$9,0)-1),MIN(E$23-EM!$B$16+7,EM!$AF$16-EM!$B$16)),0)+
IF(ROUND(E$11,0)&gt;=9,OFFSET(EM!$B$17,ROW($A28)-ROW($A$26)+(ROW(EM!$C$46)-ROW(EM!$C$14))*(MATCH(E$22,EM!$B$6:$B$9,0)-1),MIN(E$23-EM!$B$16+8,EM!$AF$16-EM!$B$16)),0)+
IF(ROUND(E$11,0)&gt;=10,OFFSET(EM!$B$17,ROW($A28)-ROW($A$26)+(ROW(EM!$C$46)-ROW(EM!$C$14))*(MATCH(E$22,EM!$B$6:$B$9,0)-1),MIN(E$23-EM!$B$16+9,EM!$AF$16-EM!$B$16)),0)+
IF(ROUND(E$11,0)&gt;=11,OFFSET(EM!$B$17,ROW($A28)-ROW($A$26)+(ROW(EM!$C$46)-ROW(EM!$C$14))*(MATCH(E$22,EM!$B$6:$B$9,0)-1),MIN(E$23-EM!$B$16+10,EM!$AF$16-EM!$B$16)),0)+
IF(ROUND(E$11,0)&gt;=12,OFFSET(EM!$B$17,ROW($A28)-ROW($A$26)+(ROW(EM!$C$46)-ROW(EM!$C$14))*(MATCH(E$22,EM!$B$6:$B$9,0)-1),MIN(E$23-EM!$B$16+11,EM!$AF$16-EM!$B$16)),0)+
IF(ROUND(E$11,0)&gt;=13,OFFSET(EM!$B$17,ROW($A28)-ROW($A$26)+(ROW(EM!$C$46)-ROW(EM!$C$14))*(MATCH(E$22,EM!$B$6:$B$9,0)-1),MIN(E$23-EM!$B$16+12,EM!$AF$16-EM!$B$16)),0)+
IF(ROUND(E$11,0)&gt;=14,OFFSET(EM!$B$17,ROW($A28)-ROW($A$26)+(ROW(EM!$C$46)-ROW(EM!$C$14))*(MATCH(E$22,EM!$B$6:$B$9,0)-1),MIN(E$23-EM!$B$16+13,EM!$AF$16-EM!$B$16)),0)+
IF(ROUND(E$11,0)&gt;=15,OFFSET(EM!$B$17,ROW($A28)-ROW($A$26)+(ROW(EM!$C$46)-ROW(EM!$C$14))*(MATCH(E$22,EM!$B$6:$B$9,0)-1),MIN(E$23-EM!$B$16+14,EM!$AF$16-EM!$B$16)),0)+
IF(ROUND(E$11,0)&gt;=16,OFFSET(EM!$B$17,ROW($A28)-ROW($A$26)+(ROW(EM!$C$46)-ROW(EM!$C$14))*(MATCH(E$22,EM!$B$6:$B$9,0)-1),MIN(E$23-EM!$B$16+15,EM!$AF$16-EM!$B$16)),0)+
IF(ROUND(E$11,0)&gt;=17,OFFSET(EM!$B$17,ROW($A28)-ROW($A$26)+(ROW(EM!$C$46)-ROW(EM!$C$14))*(MATCH(E$22,EM!$B$6:$B$9,0)-1),MIN(E$23-EM!$B$16+16,EM!$AF$16-EM!$B$16)),0)+
IF(ROUND(E$11,0)&gt;=18,OFFSET(EM!$B$17,ROW($A28)-ROW($A$26)+(ROW(EM!$C$46)-ROW(EM!$C$14))*(MATCH(E$22,EM!$B$6:$B$9,0)-1),MIN(E$23-EM!$B$16+17,EM!$AF$16-EM!$B$16)),0)+
IF(ROUND(E$11,0)&gt;=19,OFFSET(EM!$B$17,ROW($A28)-ROW($A$26)+(ROW(EM!$C$46)-ROW(EM!$C$14))*(MATCH(E$22,EM!$B$6:$B$9,0)-1),MIN(E$23-EM!$B$16+18,EM!$AF$16-EM!$B$16)),0)+
IF(ROUND(E$11,0)&gt;=20,OFFSET(EM!$B$17,ROW($A28)-ROW($A$26)+(ROW(EM!$C$46)-ROW(EM!$C$14))*(MATCH(E$22,EM!$B$6:$B$9,0)-1),MIN(E$23-EM!$B$16+19,EM!$AF$16-EM!$B$16)),0)+
IF(ROUND(E$11,0)&gt;=21,OFFSET(EM!$B$17,ROW($A28)-ROW($A$26)+(ROW(EM!$C$46)-ROW(EM!$C$14))*(MATCH(E$22,EM!$B$6:$B$9,0)-1),MIN(E$23-EM!$B$16+20,EM!$AF$16-EM!$B$16)),0)+
IF(ROUND(E$11,0)&gt;=22,OFFSET(EM!$B$17,ROW($A28)-ROW($A$26)+(ROW(EM!$C$46)-ROW(EM!$C$14))*(MATCH(E$22,EM!$B$6:$B$9,0)-1),MIN(E$23-EM!$B$16+21,EM!$AF$16-EM!$B$16)),0)+
IF(ROUND(E$11,0)&gt;=23,OFFSET(EM!$B$17,ROW($A28)-ROW($A$26)+(ROW(EM!$C$46)-ROW(EM!$C$14))*(MATCH(E$22,EM!$B$6:$B$9,0)-1),MIN(E$23-EM!$B$16+22,EM!$AF$16-EM!$B$16)),0)+
IF(ROUND(E$11,0)&gt;=24,OFFSET(EM!$B$17,ROW($A28)-ROW($A$26)+(ROW(EM!$C$46)-ROW(EM!$C$14))*(MATCH(E$22,EM!$B$6:$B$9,0)-1),MIN(E$23-EM!$B$16+23,EM!$AF$16-EM!$B$16)),0)+
IF(ROUND(E$11,0)&gt;=25,OFFSET(EM!$B$17,ROW($A28)-ROW($A$26)+(ROW(EM!$C$46)-ROW(EM!$C$14))*(MATCH(E$22,EM!$B$6:$B$9,0)-1),MIN(E$23-EM!$B$16+24,EM!$AF$16-EM!$B$16)),0)+
IF(ROUND(E$11,0)&gt;=26,OFFSET(EM!$B$17,ROW($A28)-ROW($A$26)+(ROW(EM!$C$46)-ROW(EM!$C$14))*(MATCH(E$22,EM!$B$6:$B$9,0)-1),MIN(E$23-EM!$B$16+25,EM!$AF$16-EM!$B$16)),0)+
IF(ROUND(E$11,0)&gt;=27,OFFSET(EM!$B$17,ROW($A28)-ROW($A$26)+(ROW(EM!$C$46)-ROW(EM!$C$14))*(MATCH(E$22,EM!$B$6:$B$9,0)-1),MIN(E$23-EM!$B$16+26,EM!$AF$16-EM!$B$16)),0)+
IF(ROUND(E$11,0)&gt;=28,OFFSET(EM!$B$17,ROW($A28)-ROW($A$26)+(ROW(EM!$C$46)-ROW(EM!$C$14))*(MATCH(E$22,EM!$B$6:$B$9,0)-1),MIN(E$23-EM!$B$16+27,EM!$AF$16-EM!$B$16)),0)+
IF(ROUND(E$11,0)&gt;=29,OFFSET(EM!$B$17,ROW($A28)-ROW($A$26)+(ROW(EM!$C$46)-ROW(EM!$C$14))*(MATCH(E$22,EM!$B$6:$B$9,0)-1),MIN(E$23-EM!$B$16+28,EM!$AF$16-EM!$B$16)),0)+
IF(ROUND(E$11,0)&gt;=30,OFFSET(EM!$B$17,ROW($A28)-ROW($A$26)+(ROW(EM!$C$46)-ROW(EM!$C$14))*(MATCH(E$22,EM!$B$6:$B$9,0)-1),MIN(E$23-EM!$B$16+29,EM!$AF$16-EM!$B$16)),0)+
IF(ROUND(E$11,0)&gt;=31,OFFSET(EM!$B$17,ROW($A28)-ROW($A$26)+(ROW(EM!$C$46)-ROW(EM!$C$14))*(MATCH(E$22,EM!$B$6:$B$9,0)-1),MIN(E$23-EM!$B$16+30,EM!$AF$16-EM!$B$16)),0)+
IF(ROUND(E$11,0)&gt;=32,OFFSET(EM!$B$17,ROW($A28)-ROW($A$26)+(ROW(EM!$C$46)-ROW(EM!$C$14))*(MATCH(E$22,EM!$B$6:$B$9,0)-1),MIN(E$23-EM!$B$16+31,EM!$AF$16-EM!$B$16)),0)+
IF(ROUND(E$11,0)&gt;=33,OFFSET(EM!$B$17,ROW($A28)-ROW($A$26)+(ROW(EM!$C$46)-ROW(EM!$C$14))*(MATCH(E$22,EM!$B$6:$B$9,0)-1),MIN(E$23-EM!$B$16+32,EM!$AF$16-EM!$B$16)),0)+
IF(ROUND(E$11,0)&gt;=34,OFFSET(EM!$B$17,ROW($A28)-ROW($A$26)+(ROW(EM!$C$46)-ROW(EM!$C$14))*(MATCH(E$22,EM!$B$6:$B$9,0)-1),MIN(E$23-EM!$B$16+33,EM!$AF$16-EM!$B$16)),0)+
IF(ROUND(E$11,0)&gt;=35,OFFSET(EM!$B$17,ROW($A28)-ROW($A$26)+(ROW(EM!$C$46)-ROW(EM!$C$14))*(MATCH(E$22,EM!$B$6:$B$9,0)-1),MIN(E$23-EM!$B$16+34,EM!$AF$16-EM!$B$16)),0)+
IF(ROUND(E$11,0)&gt;=36,OFFSET(EM!$B$17,ROW($A28)-ROW($A$26)+(ROW(EM!$C$46)-ROW(EM!$C$14))*(MATCH(E$22,EM!$B$6:$B$9,0)-1),MIN(E$23-EM!$B$16+35,EM!$AF$16-EM!$B$16)),0)+
IF(ROUND(E$11,0)&gt;=37,OFFSET(EM!$B$17,ROW($A28)-ROW($A$26)+(ROW(EM!$C$46)-ROW(EM!$C$14))*(MATCH(E$22,EM!$B$6:$B$9,0)-1),MIN(E$23-EM!$B$16+36,EM!$AF$16-EM!$B$16)),0)+
IF(ROUND(E$11,0)&gt;=38,OFFSET(EM!$B$17,ROW($A28)-ROW($A$26)+(ROW(EM!$C$46)-ROW(EM!$C$14))*(MATCH(E$22,EM!$B$6:$B$9,0)-1),MIN(E$23-EM!$B$16+37,EM!$AF$16-EM!$B$16)),0)+
IF(ROUND(E$11,0)&gt;=39,OFFSET(EM!$B$17,ROW($A28)-ROW($A$26)+(ROW(EM!$C$46)-ROW(EM!$C$14))*(MATCH(E$22,EM!$B$6:$B$9,0)-1),MIN(E$23-EM!$B$16+38,EM!$AF$16-EM!$B$16)),0)+
IF(ROUND(E$11,0)&gt;=40,OFFSET(EM!$B$17,ROW($A28)-ROW($A$26)+(ROW(EM!$C$46)-ROW(EM!$C$14))*(MATCH(E$22,EM!$B$6:$B$9,0)-1),MIN(E$23-EM!$B$16+39,EM!$AF$16-EM!$B$16)),0)
)/ROUND(E$11,0),NA()))</f>
        <v>0.58637847403631782</v>
      </c>
      <c r="F28" s="2046">
        <f ca="1">IF(F$19=GPG!$A$28,IF(ROW(F28)-ROW(F$26)+1=MATCH(F$20,GPG!$A$5:$A$11,0),1,0),
IF(F$19=GPG!$A$29,
(IF(ROUND(F$11,0)&gt;=1,OFFSET(EM!$B$17,ROW($A28)-ROW($A$26)+(ROW(EM!$C$46)-ROW(EM!$C$14))*(MATCH(F$22,EM!$B$6:$B$9,0)-1),MIN(F$23-EM!$B$16,EM!$AF$16-EM!$B$16)),0)+
IF(ROUND(F$11,0)&gt;=2,OFFSET(EM!$B$17,ROW($A28)-ROW($A$26)+(ROW(EM!$C$46)-ROW(EM!$C$14))*(MATCH(F$22,EM!$B$6:$B$9,0)-1),MIN(F$23-EM!$B$16+1,EM!$AF$16-EM!$B$16)),0)+
IF(ROUND(F$11,0)&gt;=3,OFFSET(EM!$B$17,ROW($A28)-ROW($A$26)+(ROW(EM!$C$46)-ROW(EM!$C$14))*(MATCH(F$22,EM!$B$6:$B$9,0)-1),MIN(F$23-EM!$B$16+2,EM!$AF$16-EM!$B$16)),0)+
IF(ROUND(F$11,0)&gt;=4,OFFSET(EM!$B$17,ROW($A28)-ROW($A$26)+(ROW(EM!$C$46)-ROW(EM!$C$14))*(MATCH(F$22,EM!$B$6:$B$9,0)-1),MIN(F$23-EM!$B$16+3,EM!$AF$16-EM!$B$16)),0)+
IF(ROUND(F$11,0)&gt;=5,OFFSET(EM!$B$17,ROW($A28)-ROW($A$26)+(ROW(EM!$C$46)-ROW(EM!$C$14))*(MATCH(F$22,EM!$B$6:$B$9,0)-1),MIN(F$23-EM!$B$16+4,EM!$AF$16-EM!$B$16)),0)+
IF(ROUND(F$11,0)&gt;=6,OFFSET(EM!$B$17,ROW($A28)-ROW($A$26)+(ROW(EM!$C$46)-ROW(EM!$C$14))*(MATCH(F$22,EM!$B$6:$B$9,0)-1),MIN(F$23-EM!$B$16+5,EM!$AF$16-EM!$B$16)),0)+
IF(ROUND(F$11,0)&gt;=7,OFFSET(EM!$B$17,ROW($A28)-ROW($A$26)+(ROW(EM!$C$46)-ROW(EM!$C$14))*(MATCH(F$22,EM!$B$6:$B$9,0)-1),MIN(F$23-EM!$B$16+6,EM!$AF$16-EM!$B$16)),0)+
IF(ROUND(F$11,0)&gt;=8,OFFSET(EM!$B$17,ROW($A28)-ROW($A$26)+(ROW(EM!$C$46)-ROW(EM!$C$14))*(MATCH(F$22,EM!$B$6:$B$9,0)-1),MIN(F$23-EM!$B$16+7,EM!$AF$16-EM!$B$16)),0)+
IF(ROUND(F$11,0)&gt;=9,OFFSET(EM!$B$17,ROW($A28)-ROW($A$26)+(ROW(EM!$C$46)-ROW(EM!$C$14))*(MATCH(F$22,EM!$B$6:$B$9,0)-1),MIN(F$23-EM!$B$16+8,EM!$AF$16-EM!$B$16)),0)+
IF(ROUND(F$11,0)&gt;=10,OFFSET(EM!$B$17,ROW($A28)-ROW($A$26)+(ROW(EM!$C$46)-ROW(EM!$C$14))*(MATCH(F$22,EM!$B$6:$B$9,0)-1),MIN(F$23-EM!$B$16+9,EM!$AF$16-EM!$B$16)),0)+
IF(ROUND(F$11,0)&gt;=11,OFFSET(EM!$B$17,ROW($A28)-ROW($A$26)+(ROW(EM!$C$46)-ROW(EM!$C$14))*(MATCH(F$22,EM!$B$6:$B$9,0)-1),MIN(F$23-EM!$B$16+10,EM!$AF$16-EM!$B$16)),0)+
IF(ROUND(F$11,0)&gt;=12,OFFSET(EM!$B$17,ROW($A28)-ROW($A$26)+(ROW(EM!$C$46)-ROW(EM!$C$14))*(MATCH(F$22,EM!$B$6:$B$9,0)-1),MIN(F$23-EM!$B$16+11,EM!$AF$16-EM!$B$16)),0)+
IF(ROUND(F$11,0)&gt;=13,OFFSET(EM!$B$17,ROW($A28)-ROW($A$26)+(ROW(EM!$C$46)-ROW(EM!$C$14))*(MATCH(F$22,EM!$B$6:$B$9,0)-1),MIN(F$23-EM!$B$16+12,EM!$AF$16-EM!$B$16)),0)+
IF(ROUND(F$11,0)&gt;=14,OFFSET(EM!$B$17,ROW($A28)-ROW($A$26)+(ROW(EM!$C$46)-ROW(EM!$C$14))*(MATCH(F$22,EM!$B$6:$B$9,0)-1),MIN(F$23-EM!$B$16+13,EM!$AF$16-EM!$B$16)),0)+
IF(ROUND(F$11,0)&gt;=15,OFFSET(EM!$B$17,ROW($A28)-ROW($A$26)+(ROW(EM!$C$46)-ROW(EM!$C$14))*(MATCH(F$22,EM!$B$6:$B$9,0)-1),MIN(F$23-EM!$B$16+14,EM!$AF$16-EM!$B$16)),0)+
IF(ROUND(F$11,0)&gt;=16,OFFSET(EM!$B$17,ROW($A28)-ROW($A$26)+(ROW(EM!$C$46)-ROW(EM!$C$14))*(MATCH(F$22,EM!$B$6:$B$9,0)-1),MIN(F$23-EM!$B$16+15,EM!$AF$16-EM!$B$16)),0)+
IF(ROUND(F$11,0)&gt;=17,OFFSET(EM!$B$17,ROW($A28)-ROW($A$26)+(ROW(EM!$C$46)-ROW(EM!$C$14))*(MATCH(F$22,EM!$B$6:$B$9,0)-1),MIN(F$23-EM!$B$16+16,EM!$AF$16-EM!$B$16)),0)+
IF(ROUND(F$11,0)&gt;=18,OFFSET(EM!$B$17,ROW($A28)-ROW($A$26)+(ROW(EM!$C$46)-ROW(EM!$C$14))*(MATCH(F$22,EM!$B$6:$B$9,0)-1),MIN(F$23-EM!$B$16+17,EM!$AF$16-EM!$B$16)),0)+
IF(ROUND(F$11,0)&gt;=19,OFFSET(EM!$B$17,ROW($A28)-ROW($A$26)+(ROW(EM!$C$46)-ROW(EM!$C$14))*(MATCH(F$22,EM!$B$6:$B$9,0)-1),MIN(F$23-EM!$B$16+18,EM!$AF$16-EM!$B$16)),0)+
IF(ROUND(F$11,0)&gt;=20,OFFSET(EM!$B$17,ROW($A28)-ROW($A$26)+(ROW(EM!$C$46)-ROW(EM!$C$14))*(MATCH(F$22,EM!$B$6:$B$9,0)-1),MIN(F$23-EM!$B$16+19,EM!$AF$16-EM!$B$16)),0)+
IF(ROUND(F$11,0)&gt;=21,OFFSET(EM!$B$17,ROW($A28)-ROW($A$26)+(ROW(EM!$C$46)-ROW(EM!$C$14))*(MATCH(F$22,EM!$B$6:$B$9,0)-1),MIN(F$23-EM!$B$16+20,EM!$AF$16-EM!$B$16)),0)+
IF(ROUND(F$11,0)&gt;=22,OFFSET(EM!$B$17,ROW($A28)-ROW($A$26)+(ROW(EM!$C$46)-ROW(EM!$C$14))*(MATCH(F$22,EM!$B$6:$B$9,0)-1),MIN(F$23-EM!$B$16+21,EM!$AF$16-EM!$B$16)),0)+
IF(ROUND(F$11,0)&gt;=23,OFFSET(EM!$B$17,ROW($A28)-ROW($A$26)+(ROW(EM!$C$46)-ROW(EM!$C$14))*(MATCH(F$22,EM!$B$6:$B$9,0)-1),MIN(F$23-EM!$B$16+22,EM!$AF$16-EM!$B$16)),0)+
IF(ROUND(F$11,0)&gt;=24,OFFSET(EM!$B$17,ROW($A28)-ROW($A$26)+(ROW(EM!$C$46)-ROW(EM!$C$14))*(MATCH(F$22,EM!$B$6:$B$9,0)-1),MIN(F$23-EM!$B$16+23,EM!$AF$16-EM!$B$16)),0)+
IF(ROUND(F$11,0)&gt;=25,OFFSET(EM!$B$17,ROW($A28)-ROW($A$26)+(ROW(EM!$C$46)-ROW(EM!$C$14))*(MATCH(F$22,EM!$B$6:$B$9,0)-1),MIN(F$23-EM!$B$16+24,EM!$AF$16-EM!$B$16)),0)+
IF(ROUND(F$11,0)&gt;=26,OFFSET(EM!$B$17,ROW($A28)-ROW($A$26)+(ROW(EM!$C$46)-ROW(EM!$C$14))*(MATCH(F$22,EM!$B$6:$B$9,0)-1),MIN(F$23-EM!$B$16+25,EM!$AF$16-EM!$B$16)),0)+
IF(ROUND(F$11,0)&gt;=27,OFFSET(EM!$B$17,ROW($A28)-ROW($A$26)+(ROW(EM!$C$46)-ROW(EM!$C$14))*(MATCH(F$22,EM!$B$6:$B$9,0)-1),MIN(F$23-EM!$B$16+26,EM!$AF$16-EM!$B$16)),0)+
IF(ROUND(F$11,0)&gt;=28,OFFSET(EM!$B$17,ROW($A28)-ROW($A$26)+(ROW(EM!$C$46)-ROW(EM!$C$14))*(MATCH(F$22,EM!$B$6:$B$9,0)-1),MIN(F$23-EM!$B$16+27,EM!$AF$16-EM!$B$16)),0)+
IF(ROUND(F$11,0)&gt;=29,OFFSET(EM!$B$17,ROW($A28)-ROW($A$26)+(ROW(EM!$C$46)-ROW(EM!$C$14))*(MATCH(F$22,EM!$B$6:$B$9,0)-1),MIN(F$23-EM!$B$16+28,EM!$AF$16-EM!$B$16)),0)+
IF(ROUND(F$11,0)&gt;=30,OFFSET(EM!$B$17,ROW($A28)-ROW($A$26)+(ROW(EM!$C$46)-ROW(EM!$C$14))*(MATCH(F$22,EM!$B$6:$B$9,0)-1),MIN(F$23-EM!$B$16+29,EM!$AF$16-EM!$B$16)),0)+
IF(ROUND(F$11,0)&gt;=31,OFFSET(EM!$B$17,ROW($A28)-ROW($A$26)+(ROW(EM!$C$46)-ROW(EM!$C$14))*(MATCH(F$22,EM!$B$6:$B$9,0)-1),MIN(F$23-EM!$B$16+30,EM!$AF$16-EM!$B$16)),0)+
IF(ROUND(F$11,0)&gt;=32,OFFSET(EM!$B$17,ROW($A28)-ROW($A$26)+(ROW(EM!$C$46)-ROW(EM!$C$14))*(MATCH(F$22,EM!$B$6:$B$9,0)-1),MIN(F$23-EM!$B$16+31,EM!$AF$16-EM!$B$16)),0)+
IF(ROUND(F$11,0)&gt;=33,OFFSET(EM!$B$17,ROW($A28)-ROW($A$26)+(ROW(EM!$C$46)-ROW(EM!$C$14))*(MATCH(F$22,EM!$B$6:$B$9,0)-1),MIN(F$23-EM!$B$16+32,EM!$AF$16-EM!$B$16)),0)+
IF(ROUND(F$11,0)&gt;=34,OFFSET(EM!$B$17,ROW($A28)-ROW($A$26)+(ROW(EM!$C$46)-ROW(EM!$C$14))*(MATCH(F$22,EM!$B$6:$B$9,0)-1),MIN(F$23-EM!$B$16+33,EM!$AF$16-EM!$B$16)),0)+
IF(ROUND(F$11,0)&gt;=35,OFFSET(EM!$B$17,ROW($A28)-ROW($A$26)+(ROW(EM!$C$46)-ROW(EM!$C$14))*(MATCH(F$22,EM!$B$6:$B$9,0)-1),MIN(F$23-EM!$B$16+34,EM!$AF$16-EM!$B$16)),0)+
IF(ROUND(F$11,0)&gt;=36,OFFSET(EM!$B$17,ROW($A28)-ROW($A$26)+(ROW(EM!$C$46)-ROW(EM!$C$14))*(MATCH(F$22,EM!$B$6:$B$9,0)-1),MIN(F$23-EM!$B$16+35,EM!$AF$16-EM!$B$16)),0)+
IF(ROUND(F$11,0)&gt;=37,OFFSET(EM!$B$17,ROW($A28)-ROW($A$26)+(ROW(EM!$C$46)-ROW(EM!$C$14))*(MATCH(F$22,EM!$B$6:$B$9,0)-1),MIN(F$23-EM!$B$16+36,EM!$AF$16-EM!$B$16)),0)+
IF(ROUND(F$11,0)&gt;=38,OFFSET(EM!$B$17,ROW($A28)-ROW($A$26)+(ROW(EM!$C$46)-ROW(EM!$C$14))*(MATCH(F$22,EM!$B$6:$B$9,0)-1),MIN(F$23-EM!$B$16+37,EM!$AF$16-EM!$B$16)),0)+
IF(ROUND(F$11,0)&gt;=39,OFFSET(EM!$B$17,ROW($A28)-ROW($A$26)+(ROW(EM!$C$46)-ROW(EM!$C$14))*(MATCH(F$22,EM!$B$6:$B$9,0)-1),MIN(F$23-EM!$B$16+38,EM!$AF$16-EM!$B$16)),0)+
IF(ROUND(F$11,0)&gt;=40,OFFSET(EM!$B$17,ROW($A28)-ROW($A$26)+(ROW(EM!$C$46)-ROW(EM!$C$14))*(MATCH(F$22,EM!$B$6:$B$9,0)-1),MIN(F$23-EM!$B$16+39,EM!$AF$16-EM!$B$16)),0)
)/ROUND(F$11,0),NA()))</f>
        <v>0.72705457895591852</v>
      </c>
      <c r="G28" s="2046">
        <f ca="1">IF(G$19=GPG!$A$28,IF(ROW(G28)-ROW(G$26)+1=MATCH(G$20,GPG!$A$5:$A$11,0),1,0),
IF(G$19=GPG!$A$29,
(IF(ROUND(G$11,0)&gt;=1,OFFSET(EM!$B$17,ROW($A28)-ROW($A$26)+(ROW(EM!$C$46)-ROW(EM!$C$14))*(MATCH(G$22,EM!$B$6:$B$9,0)-1),MIN(G$23-EM!$B$16,EM!$AF$16-EM!$B$16)),0)+
IF(ROUND(G$11,0)&gt;=2,OFFSET(EM!$B$17,ROW($A28)-ROW($A$26)+(ROW(EM!$C$46)-ROW(EM!$C$14))*(MATCH(G$22,EM!$B$6:$B$9,0)-1),MIN(G$23-EM!$B$16+1,EM!$AF$16-EM!$B$16)),0)+
IF(ROUND(G$11,0)&gt;=3,OFFSET(EM!$B$17,ROW($A28)-ROW($A$26)+(ROW(EM!$C$46)-ROW(EM!$C$14))*(MATCH(G$22,EM!$B$6:$B$9,0)-1),MIN(G$23-EM!$B$16+2,EM!$AF$16-EM!$B$16)),0)+
IF(ROUND(G$11,0)&gt;=4,OFFSET(EM!$B$17,ROW($A28)-ROW($A$26)+(ROW(EM!$C$46)-ROW(EM!$C$14))*(MATCH(G$22,EM!$B$6:$B$9,0)-1),MIN(G$23-EM!$B$16+3,EM!$AF$16-EM!$B$16)),0)+
IF(ROUND(G$11,0)&gt;=5,OFFSET(EM!$B$17,ROW($A28)-ROW($A$26)+(ROW(EM!$C$46)-ROW(EM!$C$14))*(MATCH(G$22,EM!$B$6:$B$9,0)-1),MIN(G$23-EM!$B$16+4,EM!$AF$16-EM!$B$16)),0)+
IF(ROUND(G$11,0)&gt;=6,OFFSET(EM!$B$17,ROW($A28)-ROW($A$26)+(ROW(EM!$C$46)-ROW(EM!$C$14))*(MATCH(G$22,EM!$B$6:$B$9,0)-1),MIN(G$23-EM!$B$16+5,EM!$AF$16-EM!$B$16)),0)+
IF(ROUND(G$11,0)&gt;=7,OFFSET(EM!$B$17,ROW($A28)-ROW($A$26)+(ROW(EM!$C$46)-ROW(EM!$C$14))*(MATCH(G$22,EM!$B$6:$B$9,0)-1),MIN(G$23-EM!$B$16+6,EM!$AF$16-EM!$B$16)),0)+
IF(ROUND(G$11,0)&gt;=8,OFFSET(EM!$B$17,ROW($A28)-ROW($A$26)+(ROW(EM!$C$46)-ROW(EM!$C$14))*(MATCH(G$22,EM!$B$6:$B$9,0)-1),MIN(G$23-EM!$B$16+7,EM!$AF$16-EM!$B$16)),0)+
IF(ROUND(G$11,0)&gt;=9,OFFSET(EM!$B$17,ROW($A28)-ROW($A$26)+(ROW(EM!$C$46)-ROW(EM!$C$14))*(MATCH(G$22,EM!$B$6:$B$9,0)-1),MIN(G$23-EM!$B$16+8,EM!$AF$16-EM!$B$16)),0)+
IF(ROUND(G$11,0)&gt;=10,OFFSET(EM!$B$17,ROW($A28)-ROW($A$26)+(ROW(EM!$C$46)-ROW(EM!$C$14))*(MATCH(G$22,EM!$B$6:$B$9,0)-1),MIN(G$23-EM!$B$16+9,EM!$AF$16-EM!$B$16)),0)+
IF(ROUND(G$11,0)&gt;=11,OFFSET(EM!$B$17,ROW($A28)-ROW($A$26)+(ROW(EM!$C$46)-ROW(EM!$C$14))*(MATCH(G$22,EM!$B$6:$B$9,0)-1),MIN(G$23-EM!$B$16+10,EM!$AF$16-EM!$B$16)),0)+
IF(ROUND(G$11,0)&gt;=12,OFFSET(EM!$B$17,ROW($A28)-ROW($A$26)+(ROW(EM!$C$46)-ROW(EM!$C$14))*(MATCH(G$22,EM!$B$6:$B$9,0)-1),MIN(G$23-EM!$B$16+11,EM!$AF$16-EM!$B$16)),0)+
IF(ROUND(G$11,0)&gt;=13,OFFSET(EM!$B$17,ROW($A28)-ROW($A$26)+(ROW(EM!$C$46)-ROW(EM!$C$14))*(MATCH(G$22,EM!$B$6:$B$9,0)-1),MIN(G$23-EM!$B$16+12,EM!$AF$16-EM!$B$16)),0)+
IF(ROUND(G$11,0)&gt;=14,OFFSET(EM!$B$17,ROW($A28)-ROW($A$26)+(ROW(EM!$C$46)-ROW(EM!$C$14))*(MATCH(G$22,EM!$B$6:$B$9,0)-1),MIN(G$23-EM!$B$16+13,EM!$AF$16-EM!$B$16)),0)+
IF(ROUND(G$11,0)&gt;=15,OFFSET(EM!$B$17,ROW($A28)-ROW($A$26)+(ROW(EM!$C$46)-ROW(EM!$C$14))*(MATCH(G$22,EM!$B$6:$B$9,0)-1),MIN(G$23-EM!$B$16+14,EM!$AF$16-EM!$B$16)),0)+
IF(ROUND(G$11,0)&gt;=16,OFFSET(EM!$B$17,ROW($A28)-ROW($A$26)+(ROW(EM!$C$46)-ROW(EM!$C$14))*(MATCH(G$22,EM!$B$6:$B$9,0)-1),MIN(G$23-EM!$B$16+15,EM!$AF$16-EM!$B$16)),0)+
IF(ROUND(G$11,0)&gt;=17,OFFSET(EM!$B$17,ROW($A28)-ROW($A$26)+(ROW(EM!$C$46)-ROW(EM!$C$14))*(MATCH(G$22,EM!$B$6:$B$9,0)-1),MIN(G$23-EM!$B$16+16,EM!$AF$16-EM!$B$16)),0)+
IF(ROUND(G$11,0)&gt;=18,OFFSET(EM!$B$17,ROW($A28)-ROW($A$26)+(ROW(EM!$C$46)-ROW(EM!$C$14))*(MATCH(G$22,EM!$B$6:$B$9,0)-1),MIN(G$23-EM!$B$16+17,EM!$AF$16-EM!$B$16)),0)+
IF(ROUND(G$11,0)&gt;=19,OFFSET(EM!$B$17,ROW($A28)-ROW($A$26)+(ROW(EM!$C$46)-ROW(EM!$C$14))*(MATCH(G$22,EM!$B$6:$B$9,0)-1),MIN(G$23-EM!$B$16+18,EM!$AF$16-EM!$B$16)),0)+
IF(ROUND(G$11,0)&gt;=20,OFFSET(EM!$B$17,ROW($A28)-ROW($A$26)+(ROW(EM!$C$46)-ROW(EM!$C$14))*(MATCH(G$22,EM!$B$6:$B$9,0)-1),MIN(G$23-EM!$B$16+19,EM!$AF$16-EM!$B$16)),0)+
IF(ROUND(G$11,0)&gt;=21,OFFSET(EM!$B$17,ROW($A28)-ROW($A$26)+(ROW(EM!$C$46)-ROW(EM!$C$14))*(MATCH(G$22,EM!$B$6:$B$9,0)-1),MIN(G$23-EM!$B$16+20,EM!$AF$16-EM!$B$16)),0)+
IF(ROUND(G$11,0)&gt;=22,OFFSET(EM!$B$17,ROW($A28)-ROW($A$26)+(ROW(EM!$C$46)-ROW(EM!$C$14))*(MATCH(G$22,EM!$B$6:$B$9,0)-1),MIN(G$23-EM!$B$16+21,EM!$AF$16-EM!$B$16)),0)+
IF(ROUND(G$11,0)&gt;=23,OFFSET(EM!$B$17,ROW($A28)-ROW($A$26)+(ROW(EM!$C$46)-ROW(EM!$C$14))*(MATCH(G$22,EM!$B$6:$B$9,0)-1),MIN(G$23-EM!$B$16+22,EM!$AF$16-EM!$B$16)),0)+
IF(ROUND(G$11,0)&gt;=24,OFFSET(EM!$B$17,ROW($A28)-ROW($A$26)+(ROW(EM!$C$46)-ROW(EM!$C$14))*(MATCH(G$22,EM!$B$6:$B$9,0)-1),MIN(G$23-EM!$B$16+23,EM!$AF$16-EM!$B$16)),0)+
IF(ROUND(G$11,0)&gt;=25,OFFSET(EM!$B$17,ROW($A28)-ROW($A$26)+(ROW(EM!$C$46)-ROW(EM!$C$14))*(MATCH(G$22,EM!$B$6:$B$9,0)-1),MIN(G$23-EM!$B$16+24,EM!$AF$16-EM!$B$16)),0)+
IF(ROUND(G$11,0)&gt;=26,OFFSET(EM!$B$17,ROW($A28)-ROW($A$26)+(ROW(EM!$C$46)-ROW(EM!$C$14))*(MATCH(G$22,EM!$B$6:$B$9,0)-1),MIN(G$23-EM!$B$16+25,EM!$AF$16-EM!$B$16)),0)+
IF(ROUND(G$11,0)&gt;=27,OFFSET(EM!$B$17,ROW($A28)-ROW($A$26)+(ROW(EM!$C$46)-ROW(EM!$C$14))*(MATCH(G$22,EM!$B$6:$B$9,0)-1),MIN(G$23-EM!$B$16+26,EM!$AF$16-EM!$B$16)),0)+
IF(ROUND(G$11,0)&gt;=28,OFFSET(EM!$B$17,ROW($A28)-ROW($A$26)+(ROW(EM!$C$46)-ROW(EM!$C$14))*(MATCH(G$22,EM!$B$6:$B$9,0)-1),MIN(G$23-EM!$B$16+27,EM!$AF$16-EM!$B$16)),0)+
IF(ROUND(G$11,0)&gt;=29,OFFSET(EM!$B$17,ROW($A28)-ROW($A$26)+(ROW(EM!$C$46)-ROW(EM!$C$14))*(MATCH(G$22,EM!$B$6:$B$9,0)-1),MIN(G$23-EM!$B$16+28,EM!$AF$16-EM!$B$16)),0)+
IF(ROUND(G$11,0)&gt;=30,OFFSET(EM!$B$17,ROW($A28)-ROW($A$26)+(ROW(EM!$C$46)-ROW(EM!$C$14))*(MATCH(G$22,EM!$B$6:$B$9,0)-1),MIN(G$23-EM!$B$16+29,EM!$AF$16-EM!$B$16)),0)+
IF(ROUND(G$11,0)&gt;=31,OFFSET(EM!$B$17,ROW($A28)-ROW($A$26)+(ROW(EM!$C$46)-ROW(EM!$C$14))*(MATCH(G$22,EM!$B$6:$B$9,0)-1),MIN(G$23-EM!$B$16+30,EM!$AF$16-EM!$B$16)),0)+
IF(ROUND(G$11,0)&gt;=32,OFFSET(EM!$B$17,ROW($A28)-ROW($A$26)+(ROW(EM!$C$46)-ROW(EM!$C$14))*(MATCH(G$22,EM!$B$6:$B$9,0)-1),MIN(G$23-EM!$B$16+31,EM!$AF$16-EM!$B$16)),0)+
IF(ROUND(G$11,0)&gt;=33,OFFSET(EM!$B$17,ROW($A28)-ROW($A$26)+(ROW(EM!$C$46)-ROW(EM!$C$14))*(MATCH(G$22,EM!$B$6:$B$9,0)-1),MIN(G$23-EM!$B$16+32,EM!$AF$16-EM!$B$16)),0)+
IF(ROUND(G$11,0)&gt;=34,OFFSET(EM!$B$17,ROW($A28)-ROW($A$26)+(ROW(EM!$C$46)-ROW(EM!$C$14))*(MATCH(G$22,EM!$B$6:$B$9,0)-1),MIN(G$23-EM!$B$16+33,EM!$AF$16-EM!$B$16)),0)+
IF(ROUND(G$11,0)&gt;=35,OFFSET(EM!$B$17,ROW($A28)-ROW($A$26)+(ROW(EM!$C$46)-ROW(EM!$C$14))*(MATCH(G$22,EM!$B$6:$B$9,0)-1),MIN(G$23-EM!$B$16+34,EM!$AF$16-EM!$B$16)),0)+
IF(ROUND(G$11,0)&gt;=36,OFFSET(EM!$B$17,ROW($A28)-ROW($A$26)+(ROW(EM!$C$46)-ROW(EM!$C$14))*(MATCH(G$22,EM!$B$6:$B$9,0)-1),MIN(G$23-EM!$B$16+35,EM!$AF$16-EM!$B$16)),0)+
IF(ROUND(G$11,0)&gt;=37,OFFSET(EM!$B$17,ROW($A28)-ROW($A$26)+(ROW(EM!$C$46)-ROW(EM!$C$14))*(MATCH(G$22,EM!$B$6:$B$9,0)-1),MIN(G$23-EM!$B$16+36,EM!$AF$16-EM!$B$16)),0)+
IF(ROUND(G$11,0)&gt;=38,OFFSET(EM!$B$17,ROW($A28)-ROW($A$26)+(ROW(EM!$C$46)-ROW(EM!$C$14))*(MATCH(G$22,EM!$B$6:$B$9,0)-1),MIN(G$23-EM!$B$16+37,EM!$AF$16-EM!$B$16)),0)+
IF(ROUND(G$11,0)&gt;=39,OFFSET(EM!$B$17,ROW($A28)-ROW($A$26)+(ROW(EM!$C$46)-ROW(EM!$C$14))*(MATCH(G$22,EM!$B$6:$B$9,0)-1),MIN(G$23-EM!$B$16+38,EM!$AF$16-EM!$B$16)),0)+
IF(ROUND(G$11,0)&gt;=40,OFFSET(EM!$B$17,ROW($A28)-ROW($A$26)+(ROW(EM!$C$46)-ROW(EM!$C$14))*(MATCH(G$22,EM!$B$6:$B$9,0)-1),MIN(G$23-EM!$B$16+39,EM!$AF$16-EM!$B$16)),0)
)/ROUND(G$11,0),NA()))</f>
        <v>0.62788750052351239</v>
      </c>
      <c r="H28" s="2046">
        <f ca="1">IF(H$19=GPG!$A$28,IF(ROW(H28)-ROW(H$26)+1=MATCH(H$20,GPG!$A$5:$A$11,0),1,0),
IF(H$19=GPG!$A$29,
(IF(ROUND(H$11,0)&gt;=1,OFFSET(EM!$B$17,ROW($A28)-ROW($A$26)+(ROW(EM!$C$46)-ROW(EM!$C$14))*(MATCH(H$22,EM!$B$6:$B$9,0)-1),MIN(H$23-EM!$B$16,EM!$AF$16-EM!$B$16)),0)+
IF(ROUND(H$11,0)&gt;=2,OFFSET(EM!$B$17,ROW($A28)-ROW($A$26)+(ROW(EM!$C$46)-ROW(EM!$C$14))*(MATCH(H$22,EM!$B$6:$B$9,0)-1),MIN(H$23-EM!$B$16+1,EM!$AF$16-EM!$B$16)),0)+
IF(ROUND(H$11,0)&gt;=3,OFFSET(EM!$B$17,ROW($A28)-ROW($A$26)+(ROW(EM!$C$46)-ROW(EM!$C$14))*(MATCH(H$22,EM!$B$6:$B$9,0)-1),MIN(H$23-EM!$B$16+2,EM!$AF$16-EM!$B$16)),0)+
IF(ROUND(H$11,0)&gt;=4,OFFSET(EM!$B$17,ROW($A28)-ROW($A$26)+(ROW(EM!$C$46)-ROW(EM!$C$14))*(MATCH(H$22,EM!$B$6:$B$9,0)-1),MIN(H$23-EM!$B$16+3,EM!$AF$16-EM!$B$16)),0)+
IF(ROUND(H$11,0)&gt;=5,OFFSET(EM!$B$17,ROW($A28)-ROW($A$26)+(ROW(EM!$C$46)-ROW(EM!$C$14))*(MATCH(H$22,EM!$B$6:$B$9,0)-1),MIN(H$23-EM!$B$16+4,EM!$AF$16-EM!$B$16)),0)+
IF(ROUND(H$11,0)&gt;=6,OFFSET(EM!$B$17,ROW($A28)-ROW($A$26)+(ROW(EM!$C$46)-ROW(EM!$C$14))*(MATCH(H$22,EM!$B$6:$B$9,0)-1),MIN(H$23-EM!$B$16+5,EM!$AF$16-EM!$B$16)),0)+
IF(ROUND(H$11,0)&gt;=7,OFFSET(EM!$B$17,ROW($A28)-ROW($A$26)+(ROW(EM!$C$46)-ROW(EM!$C$14))*(MATCH(H$22,EM!$B$6:$B$9,0)-1),MIN(H$23-EM!$B$16+6,EM!$AF$16-EM!$B$16)),0)+
IF(ROUND(H$11,0)&gt;=8,OFFSET(EM!$B$17,ROW($A28)-ROW($A$26)+(ROW(EM!$C$46)-ROW(EM!$C$14))*(MATCH(H$22,EM!$B$6:$B$9,0)-1),MIN(H$23-EM!$B$16+7,EM!$AF$16-EM!$B$16)),0)+
IF(ROUND(H$11,0)&gt;=9,OFFSET(EM!$B$17,ROW($A28)-ROW($A$26)+(ROW(EM!$C$46)-ROW(EM!$C$14))*(MATCH(H$22,EM!$B$6:$B$9,0)-1),MIN(H$23-EM!$B$16+8,EM!$AF$16-EM!$B$16)),0)+
IF(ROUND(H$11,0)&gt;=10,OFFSET(EM!$B$17,ROW($A28)-ROW($A$26)+(ROW(EM!$C$46)-ROW(EM!$C$14))*(MATCH(H$22,EM!$B$6:$B$9,0)-1),MIN(H$23-EM!$B$16+9,EM!$AF$16-EM!$B$16)),0)+
IF(ROUND(H$11,0)&gt;=11,OFFSET(EM!$B$17,ROW($A28)-ROW($A$26)+(ROW(EM!$C$46)-ROW(EM!$C$14))*(MATCH(H$22,EM!$B$6:$B$9,0)-1),MIN(H$23-EM!$B$16+10,EM!$AF$16-EM!$B$16)),0)+
IF(ROUND(H$11,0)&gt;=12,OFFSET(EM!$B$17,ROW($A28)-ROW($A$26)+(ROW(EM!$C$46)-ROW(EM!$C$14))*(MATCH(H$22,EM!$B$6:$B$9,0)-1),MIN(H$23-EM!$B$16+11,EM!$AF$16-EM!$B$16)),0)+
IF(ROUND(H$11,0)&gt;=13,OFFSET(EM!$B$17,ROW($A28)-ROW($A$26)+(ROW(EM!$C$46)-ROW(EM!$C$14))*(MATCH(H$22,EM!$B$6:$B$9,0)-1),MIN(H$23-EM!$B$16+12,EM!$AF$16-EM!$B$16)),0)+
IF(ROUND(H$11,0)&gt;=14,OFFSET(EM!$B$17,ROW($A28)-ROW($A$26)+(ROW(EM!$C$46)-ROW(EM!$C$14))*(MATCH(H$22,EM!$B$6:$B$9,0)-1),MIN(H$23-EM!$B$16+13,EM!$AF$16-EM!$B$16)),0)+
IF(ROUND(H$11,0)&gt;=15,OFFSET(EM!$B$17,ROW($A28)-ROW($A$26)+(ROW(EM!$C$46)-ROW(EM!$C$14))*(MATCH(H$22,EM!$B$6:$B$9,0)-1),MIN(H$23-EM!$B$16+14,EM!$AF$16-EM!$B$16)),0)+
IF(ROUND(H$11,0)&gt;=16,OFFSET(EM!$B$17,ROW($A28)-ROW($A$26)+(ROW(EM!$C$46)-ROW(EM!$C$14))*(MATCH(H$22,EM!$B$6:$B$9,0)-1),MIN(H$23-EM!$B$16+15,EM!$AF$16-EM!$B$16)),0)+
IF(ROUND(H$11,0)&gt;=17,OFFSET(EM!$B$17,ROW($A28)-ROW($A$26)+(ROW(EM!$C$46)-ROW(EM!$C$14))*(MATCH(H$22,EM!$B$6:$B$9,0)-1),MIN(H$23-EM!$B$16+16,EM!$AF$16-EM!$B$16)),0)+
IF(ROUND(H$11,0)&gt;=18,OFFSET(EM!$B$17,ROW($A28)-ROW($A$26)+(ROW(EM!$C$46)-ROW(EM!$C$14))*(MATCH(H$22,EM!$B$6:$B$9,0)-1),MIN(H$23-EM!$B$16+17,EM!$AF$16-EM!$B$16)),0)+
IF(ROUND(H$11,0)&gt;=19,OFFSET(EM!$B$17,ROW($A28)-ROW($A$26)+(ROW(EM!$C$46)-ROW(EM!$C$14))*(MATCH(H$22,EM!$B$6:$B$9,0)-1),MIN(H$23-EM!$B$16+18,EM!$AF$16-EM!$B$16)),0)+
IF(ROUND(H$11,0)&gt;=20,OFFSET(EM!$B$17,ROW($A28)-ROW($A$26)+(ROW(EM!$C$46)-ROW(EM!$C$14))*(MATCH(H$22,EM!$B$6:$B$9,0)-1),MIN(H$23-EM!$B$16+19,EM!$AF$16-EM!$B$16)),0)+
IF(ROUND(H$11,0)&gt;=21,OFFSET(EM!$B$17,ROW($A28)-ROW($A$26)+(ROW(EM!$C$46)-ROW(EM!$C$14))*(MATCH(H$22,EM!$B$6:$B$9,0)-1),MIN(H$23-EM!$B$16+20,EM!$AF$16-EM!$B$16)),0)+
IF(ROUND(H$11,0)&gt;=22,OFFSET(EM!$B$17,ROW($A28)-ROW($A$26)+(ROW(EM!$C$46)-ROW(EM!$C$14))*(MATCH(H$22,EM!$B$6:$B$9,0)-1),MIN(H$23-EM!$B$16+21,EM!$AF$16-EM!$B$16)),0)+
IF(ROUND(H$11,0)&gt;=23,OFFSET(EM!$B$17,ROW($A28)-ROW($A$26)+(ROW(EM!$C$46)-ROW(EM!$C$14))*(MATCH(H$22,EM!$B$6:$B$9,0)-1),MIN(H$23-EM!$B$16+22,EM!$AF$16-EM!$B$16)),0)+
IF(ROUND(H$11,0)&gt;=24,OFFSET(EM!$B$17,ROW($A28)-ROW($A$26)+(ROW(EM!$C$46)-ROW(EM!$C$14))*(MATCH(H$22,EM!$B$6:$B$9,0)-1),MIN(H$23-EM!$B$16+23,EM!$AF$16-EM!$B$16)),0)+
IF(ROUND(H$11,0)&gt;=25,OFFSET(EM!$B$17,ROW($A28)-ROW($A$26)+(ROW(EM!$C$46)-ROW(EM!$C$14))*(MATCH(H$22,EM!$B$6:$B$9,0)-1),MIN(H$23-EM!$B$16+24,EM!$AF$16-EM!$B$16)),0)+
IF(ROUND(H$11,0)&gt;=26,OFFSET(EM!$B$17,ROW($A28)-ROW($A$26)+(ROW(EM!$C$46)-ROW(EM!$C$14))*(MATCH(H$22,EM!$B$6:$B$9,0)-1),MIN(H$23-EM!$B$16+25,EM!$AF$16-EM!$B$16)),0)+
IF(ROUND(H$11,0)&gt;=27,OFFSET(EM!$B$17,ROW($A28)-ROW($A$26)+(ROW(EM!$C$46)-ROW(EM!$C$14))*(MATCH(H$22,EM!$B$6:$B$9,0)-1),MIN(H$23-EM!$B$16+26,EM!$AF$16-EM!$B$16)),0)+
IF(ROUND(H$11,0)&gt;=28,OFFSET(EM!$B$17,ROW($A28)-ROW($A$26)+(ROW(EM!$C$46)-ROW(EM!$C$14))*(MATCH(H$22,EM!$B$6:$B$9,0)-1),MIN(H$23-EM!$B$16+27,EM!$AF$16-EM!$B$16)),0)+
IF(ROUND(H$11,0)&gt;=29,OFFSET(EM!$B$17,ROW($A28)-ROW($A$26)+(ROW(EM!$C$46)-ROW(EM!$C$14))*(MATCH(H$22,EM!$B$6:$B$9,0)-1),MIN(H$23-EM!$B$16+28,EM!$AF$16-EM!$B$16)),0)+
IF(ROUND(H$11,0)&gt;=30,OFFSET(EM!$B$17,ROW($A28)-ROW($A$26)+(ROW(EM!$C$46)-ROW(EM!$C$14))*(MATCH(H$22,EM!$B$6:$B$9,0)-1),MIN(H$23-EM!$B$16+29,EM!$AF$16-EM!$B$16)),0)+
IF(ROUND(H$11,0)&gt;=31,OFFSET(EM!$B$17,ROW($A28)-ROW($A$26)+(ROW(EM!$C$46)-ROW(EM!$C$14))*(MATCH(H$22,EM!$B$6:$B$9,0)-1),MIN(H$23-EM!$B$16+30,EM!$AF$16-EM!$B$16)),0)+
IF(ROUND(H$11,0)&gt;=32,OFFSET(EM!$B$17,ROW($A28)-ROW($A$26)+(ROW(EM!$C$46)-ROW(EM!$C$14))*(MATCH(H$22,EM!$B$6:$B$9,0)-1),MIN(H$23-EM!$B$16+31,EM!$AF$16-EM!$B$16)),0)+
IF(ROUND(H$11,0)&gt;=33,OFFSET(EM!$B$17,ROW($A28)-ROW($A$26)+(ROW(EM!$C$46)-ROW(EM!$C$14))*(MATCH(H$22,EM!$B$6:$B$9,0)-1),MIN(H$23-EM!$B$16+32,EM!$AF$16-EM!$B$16)),0)+
IF(ROUND(H$11,0)&gt;=34,OFFSET(EM!$B$17,ROW($A28)-ROW($A$26)+(ROW(EM!$C$46)-ROW(EM!$C$14))*(MATCH(H$22,EM!$B$6:$B$9,0)-1),MIN(H$23-EM!$B$16+33,EM!$AF$16-EM!$B$16)),0)+
IF(ROUND(H$11,0)&gt;=35,OFFSET(EM!$B$17,ROW($A28)-ROW($A$26)+(ROW(EM!$C$46)-ROW(EM!$C$14))*(MATCH(H$22,EM!$B$6:$B$9,0)-1),MIN(H$23-EM!$B$16+34,EM!$AF$16-EM!$B$16)),0)+
IF(ROUND(H$11,0)&gt;=36,OFFSET(EM!$B$17,ROW($A28)-ROW($A$26)+(ROW(EM!$C$46)-ROW(EM!$C$14))*(MATCH(H$22,EM!$B$6:$B$9,0)-1),MIN(H$23-EM!$B$16+35,EM!$AF$16-EM!$B$16)),0)+
IF(ROUND(H$11,0)&gt;=37,OFFSET(EM!$B$17,ROW($A28)-ROW($A$26)+(ROW(EM!$C$46)-ROW(EM!$C$14))*(MATCH(H$22,EM!$B$6:$B$9,0)-1),MIN(H$23-EM!$B$16+36,EM!$AF$16-EM!$B$16)),0)+
IF(ROUND(H$11,0)&gt;=38,OFFSET(EM!$B$17,ROW($A28)-ROW($A$26)+(ROW(EM!$C$46)-ROW(EM!$C$14))*(MATCH(H$22,EM!$B$6:$B$9,0)-1),MIN(H$23-EM!$B$16+37,EM!$AF$16-EM!$B$16)),0)+
IF(ROUND(H$11,0)&gt;=39,OFFSET(EM!$B$17,ROW($A28)-ROW($A$26)+(ROW(EM!$C$46)-ROW(EM!$C$14))*(MATCH(H$22,EM!$B$6:$B$9,0)-1),MIN(H$23-EM!$B$16+38,EM!$AF$16-EM!$B$16)),0)+
IF(ROUND(H$11,0)&gt;=40,OFFSET(EM!$B$17,ROW($A28)-ROW($A$26)+(ROW(EM!$C$46)-ROW(EM!$C$14))*(MATCH(H$22,EM!$B$6:$B$9,0)-1),MIN(H$23-EM!$B$16+39,EM!$AF$16-EM!$B$16)),0)
)/ROUND(H$11,0),NA()))</f>
        <v>0.72705457895591852</v>
      </c>
      <c r="I28" s="2046">
        <f ca="1">IF(I$19=GPG!$A$28,IF(ROW(I28)-ROW(I$26)+1=MATCH(I$20,GPG!$A$5:$A$11,0),1,0),
IF(I$19=GPG!$A$29,
(IF(ROUND(I$11,0)&gt;=1,OFFSET(EM!$B$17,ROW($A28)-ROW($A$26)+(ROW(EM!$C$46)-ROW(EM!$C$14))*(MATCH(I$22,EM!$B$6:$B$9,0)-1),MIN(I$23-EM!$B$16,EM!$AF$16-EM!$B$16)),0)+
IF(ROUND(I$11,0)&gt;=2,OFFSET(EM!$B$17,ROW($A28)-ROW($A$26)+(ROW(EM!$C$46)-ROW(EM!$C$14))*(MATCH(I$22,EM!$B$6:$B$9,0)-1),MIN(I$23-EM!$B$16+1,EM!$AF$16-EM!$B$16)),0)+
IF(ROUND(I$11,0)&gt;=3,OFFSET(EM!$B$17,ROW($A28)-ROW($A$26)+(ROW(EM!$C$46)-ROW(EM!$C$14))*(MATCH(I$22,EM!$B$6:$B$9,0)-1),MIN(I$23-EM!$B$16+2,EM!$AF$16-EM!$B$16)),0)+
IF(ROUND(I$11,0)&gt;=4,OFFSET(EM!$B$17,ROW($A28)-ROW($A$26)+(ROW(EM!$C$46)-ROW(EM!$C$14))*(MATCH(I$22,EM!$B$6:$B$9,0)-1),MIN(I$23-EM!$B$16+3,EM!$AF$16-EM!$B$16)),0)+
IF(ROUND(I$11,0)&gt;=5,OFFSET(EM!$B$17,ROW($A28)-ROW($A$26)+(ROW(EM!$C$46)-ROW(EM!$C$14))*(MATCH(I$22,EM!$B$6:$B$9,0)-1),MIN(I$23-EM!$B$16+4,EM!$AF$16-EM!$B$16)),0)+
IF(ROUND(I$11,0)&gt;=6,OFFSET(EM!$B$17,ROW($A28)-ROW($A$26)+(ROW(EM!$C$46)-ROW(EM!$C$14))*(MATCH(I$22,EM!$B$6:$B$9,0)-1),MIN(I$23-EM!$B$16+5,EM!$AF$16-EM!$B$16)),0)+
IF(ROUND(I$11,0)&gt;=7,OFFSET(EM!$B$17,ROW($A28)-ROW($A$26)+(ROW(EM!$C$46)-ROW(EM!$C$14))*(MATCH(I$22,EM!$B$6:$B$9,0)-1),MIN(I$23-EM!$B$16+6,EM!$AF$16-EM!$B$16)),0)+
IF(ROUND(I$11,0)&gt;=8,OFFSET(EM!$B$17,ROW($A28)-ROW($A$26)+(ROW(EM!$C$46)-ROW(EM!$C$14))*(MATCH(I$22,EM!$B$6:$B$9,0)-1),MIN(I$23-EM!$B$16+7,EM!$AF$16-EM!$B$16)),0)+
IF(ROUND(I$11,0)&gt;=9,OFFSET(EM!$B$17,ROW($A28)-ROW($A$26)+(ROW(EM!$C$46)-ROW(EM!$C$14))*(MATCH(I$22,EM!$B$6:$B$9,0)-1),MIN(I$23-EM!$B$16+8,EM!$AF$16-EM!$B$16)),0)+
IF(ROUND(I$11,0)&gt;=10,OFFSET(EM!$B$17,ROW($A28)-ROW($A$26)+(ROW(EM!$C$46)-ROW(EM!$C$14))*(MATCH(I$22,EM!$B$6:$B$9,0)-1),MIN(I$23-EM!$B$16+9,EM!$AF$16-EM!$B$16)),0)+
IF(ROUND(I$11,0)&gt;=11,OFFSET(EM!$B$17,ROW($A28)-ROW($A$26)+(ROW(EM!$C$46)-ROW(EM!$C$14))*(MATCH(I$22,EM!$B$6:$B$9,0)-1),MIN(I$23-EM!$B$16+10,EM!$AF$16-EM!$B$16)),0)+
IF(ROUND(I$11,0)&gt;=12,OFFSET(EM!$B$17,ROW($A28)-ROW($A$26)+(ROW(EM!$C$46)-ROW(EM!$C$14))*(MATCH(I$22,EM!$B$6:$B$9,0)-1),MIN(I$23-EM!$B$16+11,EM!$AF$16-EM!$B$16)),0)+
IF(ROUND(I$11,0)&gt;=13,OFFSET(EM!$B$17,ROW($A28)-ROW($A$26)+(ROW(EM!$C$46)-ROW(EM!$C$14))*(MATCH(I$22,EM!$B$6:$B$9,0)-1),MIN(I$23-EM!$B$16+12,EM!$AF$16-EM!$B$16)),0)+
IF(ROUND(I$11,0)&gt;=14,OFFSET(EM!$B$17,ROW($A28)-ROW($A$26)+(ROW(EM!$C$46)-ROW(EM!$C$14))*(MATCH(I$22,EM!$B$6:$B$9,0)-1),MIN(I$23-EM!$B$16+13,EM!$AF$16-EM!$B$16)),0)+
IF(ROUND(I$11,0)&gt;=15,OFFSET(EM!$B$17,ROW($A28)-ROW($A$26)+(ROW(EM!$C$46)-ROW(EM!$C$14))*(MATCH(I$22,EM!$B$6:$B$9,0)-1),MIN(I$23-EM!$B$16+14,EM!$AF$16-EM!$B$16)),0)+
IF(ROUND(I$11,0)&gt;=16,OFFSET(EM!$B$17,ROW($A28)-ROW($A$26)+(ROW(EM!$C$46)-ROW(EM!$C$14))*(MATCH(I$22,EM!$B$6:$B$9,0)-1),MIN(I$23-EM!$B$16+15,EM!$AF$16-EM!$B$16)),0)+
IF(ROUND(I$11,0)&gt;=17,OFFSET(EM!$B$17,ROW($A28)-ROW($A$26)+(ROW(EM!$C$46)-ROW(EM!$C$14))*(MATCH(I$22,EM!$B$6:$B$9,0)-1),MIN(I$23-EM!$B$16+16,EM!$AF$16-EM!$B$16)),0)+
IF(ROUND(I$11,0)&gt;=18,OFFSET(EM!$B$17,ROW($A28)-ROW($A$26)+(ROW(EM!$C$46)-ROW(EM!$C$14))*(MATCH(I$22,EM!$B$6:$B$9,0)-1),MIN(I$23-EM!$B$16+17,EM!$AF$16-EM!$B$16)),0)+
IF(ROUND(I$11,0)&gt;=19,OFFSET(EM!$B$17,ROW($A28)-ROW($A$26)+(ROW(EM!$C$46)-ROW(EM!$C$14))*(MATCH(I$22,EM!$B$6:$B$9,0)-1),MIN(I$23-EM!$B$16+18,EM!$AF$16-EM!$B$16)),0)+
IF(ROUND(I$11,0)&gt;=20,OFFSET(EM!$B$17,ROW($A28)-ROW($A$26)+(ROW(EM!$C$46)-ROW(EM!$C$14))*(MATCH(I$22,EM!$B$6:$B$9,0)-1),MIN(I$23-EM!$B$16+19,EM!$AF$16-EM!$B$16)),0)+
IF(ROUND(I$11,0)&gt;=21,OFFSET(EM!$B$17,ROW($A28)-ROW($A$26)+(ROW(EM!$C$46)-ROW(EM!$C$14))*(MATCH(I$22,EM!$B$6:$B$9,0)-1),MIN(I$23-EM!$B$16+20,EM!$AF$16-EM!$B$16)),0)+
IF(ROUND(I$11,0)&gt;=22,OFFSET(EM!$B$17,ROW($A28)-ROW($A$26)+(ROW(EM!$C$46)-ROW(EM!$C$14))*(MATCH(I$22,EM!$B$6:$B$9,0)-1),MIN(I$23-EM!$B$16+21,EM!$AF$16-EM!$B$16)),0)+
IF(ROUND(I$11,0)&gt;=23,OFFSET(EM!$B$17,ROW($A28)-ROW($A$26)+(ROW(EM!$C$46)-ROW(EM!$C$14))*(MATCH(I$22,EM!$B$6:$B$9,0)-1),MIN(I$23-EM!$B$16+22,EM!$AF$16-EM!$B$16)),0)+
IF(ROUND(I$11,0)&gt;=24,OFFSET(EM!$B$17,ROW($A28)-ROW($A$26)+(ROW(EM!$C$46)-ROW(EM!$C$14))*(MATCH(I$22,EM!$B$6:$B$9,0)-1),MIN(I$23-EM!$B$16+23,EM!$AF$16-EM!$B$16)),0)+
IF(ROUND(I$11,0)&gt;=25,OFFSET(EM!$B$17,ROW($A28)-ROW($A$26)+(ROW(EM!$C$46)-ROW(EM!$C$14))*(MATCH(I$22,EM!$B$6:$B$9,0)-1),MIN(I$23-EM!$B$16+24,EM!$AF$16-EM!$B$16)),0)+
IF(ROUND(I$11,0)&gt;=26,OFFSET(EM!$B$17,ROW($A28)-ROW($A$26)+(ROW(EM!$C$46)-ROW(EM!$C$14))*(MATCH(I$22,EM!$B$6:$B$9,0)-1),MIN(I$23-EM!$B$16+25,EM!$AF$16-EM!$B$16)),0)+
IF(ROUND(I$11,0)&gt;=27,OFFSET(EM!$B$17,ROW($A28)-ROW($A$26)+(ROW(EM!$C$46)-ROW(EM!$C$14))*(MATCH(I$22,EM!$B$6:$B$9,0)-1),MIN(I$23-EM!$B$16+26,EM!$AF$16-EM!$B$16)),0)+
IF(ROUND(I$11,0)&gt;=28,OFFSET(EM!$B$17,ROW($A28)-ROW($A$26)+(ROW(EM!$C$46)-ROW(EM!$C$14))*(MATCH(I$22,EM!$B$6:$B$9,0)-1),MIN(I$23-EM!$B$16+27,EM!$AF$16-EM!$B$16)),0)+
IF(ROUND(I$11,0)&gt;=29,OFFSET(EM!$B$17,ROW($A28)-ROW($A$26)+(ROW(EM!$C$46)-ROW(EM!$C$14))*(MATCH(I$22,EM!$B$6:$B$9,0)-1),MIN(I$23-EM!$B$16+28,EM!$AF$16-EM!$B$16)),0)+
IF(ROUND(I$11,0)&gt;=30,OFFSET(EM!$B$17,ROW($A28)-ROW($A$26)+(ROW(EM!$C$46)-ROW(EM!$C$14))*(MATCH(I$22,EM!$B$6:$B$9,0)-1),MIN(I$23-EM!$B$16+29,EM!$AF$16-EM!$B$16)),0)+
IF(ROUND(I$11,0)&gt;=31,OFFSET(EM!$B$17,ROW($A28)-ROW($A$26)+(ROW(EM!$C$46)-ROW(EM!$C$14))*(MATCH(I$22,EM!$B$6:$B$9,0)-1),MIN(I$23-EM!$B$16+30,EM!$AF$16-EM!$B$16)),0)+
IF(ROUND(I$11,0)&gt;=32,OFFSET(EM!$B$17,ROW($A28)-ROW($A$26)+(ROW(EM!$C$46)-ROW(EM!$C$14))*(MATCH(I$22,EM!$B$6:$B$9,0)-1),MIN(I$23-EM!$B$16+31,EM!$AF$16-EM!$B$16)),0)+
IF(ROUND(I$11,0)&gt;=33,OFFSET(EM!$B$17,ROW($A28)-ROW($A$26)+(ROW(EM!$C$46)-ROW(EM!$C$14))*(MATCH(I$22,EM!$B$6:$B$9,0)-1),MIN(I$23-EM!$B$16+32,EM!$AF$16-EM!$B$16)),0)+
IF(ROUND(I$11,0)&gt;=34,OFFSET(EM!$B$17,ROW($A28)-ROW($A$26)+(ROW(EM!$C$46)-ROW(EM!$C$14))*(MATCH(I$22,EM!$B$6:$B$9,0)-1),MIN(I$23-EM!$B$16+33,EM!$AF$16-EM!$B$16)),0)+
IF(ROUND(I$11,0)&gt;=35,OFFSET(EM!$B$17,ROW($A28)-ROW($A$26)+(ROW(EM!$C$46)-ROW(EM!$C$14))*(MATCH(I$22,EM!$B$6:$B$9,0)-1),MIN(I$23-EM!$B$16+34,EM!$AF$16-EM!$B$16)),0)+
IF(ROUND(I$11,0)&gt;=36,OFFSET(EM!$B$17,ROW($A28)-ROW($A$26)+(ROW(EM!$C$46)-ROW(EM!$C$14))*(MATCH(I$22,EM!$B$6:$B$9,0)-1),MIN(I$23-EM!$B$16+35,EM!$AF$16-EM!$B$16)),0)+
IF(ROUND(I$11,0)&gt;=37,OFFSET(EM!$B$17,ROW($A28)-ROW($A$26)+(ROW(EM!$C$46)-ROW(EM!$C$14))*(MATCH(I$22,EM!$B$6:$B$9,0)-1),MIN(I$23-EM!$B$16+36,EM!$AF$16-EM!$B$16)),0)+
IF(ROUND(I$11,0)&gt;=38,OFFSET(EM!$B$17,ROW($A28)-ROW($A$26)+(ROW(EM!$C$46)-ROW(EM!$C$14))*(MATCH(I$22,EM!$B$6:$B$9,0)-1),MIN(I$23-EM!$B$16+37,EM!$AF$16-EM!$B$16)),0)+
IF(ROUND(I$11,0)&gt;=39,OFFSET(EM!$B$17,ROW($A28)-ROW($A$26)+(ROW(EM!$C$46)-ROW(EM!$C$14))*(MATCH(I$22,EM!$B$6:$B$9,0)-1),MIN(I$23-EM!$B$16+38,EM!$AF$16-EM!$B$16)),0)+
IF(ROUND(I$11,0)&gt;=40,OFFSET(EM!$B$17,ROW($A28)-ROW($A$26)+(ROW(EM!$C$46)-ROW(EM!$C$14))*(MATCH(I$22,EM!$B$6:$B$9,0)-1),MIN(I$23-EM!$B$16+39,EM!$AF$16-EM!$B$16)),0)
)/ROUND(I$11,0),NA()))</f>
        <v>0.62788750052351239</v>
      </c>
      <c r="J28" s="2046">
        <f ca="1">IF(J$19=GPG!$A$28,IF(ROW(J28)-ROW(J$26)+1=MATCH(J$20,GPG!$A$5:$A$11,0),1,0),
IF(J$19=GPG!$A$29,
(IF(ROUND(J$11,0)&gt;=1,OFFSET(EM!$B$17,ROW($A28)-ROW($A$26)+(ROW(EM!$C$46)-ROW(EM!$C$14))*(MATCH(J$22,EM!$B$6:$B$9,0)-1),MIN(J$23-EM!$B$16,EM!$AF$16-EM!$B$16)),0)+
IF(ROUND(J$11,0)&gt;=2,OFFSET(EM!$B$17,ROW($A28)-ROW($A$26)+(ROW(EM!$C$46)-ROW(EM!$C$14))*(MATCH(J$22,EM!$B$6:$B$9,0)-1),MIN(J$23-EM!$B$16+1,EM!$AF$16-EM!$B$16)),0)+
IF(ROUND(J$11,0)&gt;=3,OFFSET(EM!$B$17,ROW($A28)-ROW($A$26)+(ROW(EM!$C$46)-ROW(EM!$C$14))*(MATCH(J$22,EM!$B$6:$B$9,0)-1),MIN(J$23-EM!$B$16+2,EM!$AF$16-EM!$B$16)),0)+
IF(ROUND(J$11,0)&gt;=4,OFFSET(EM!$B$17,ROW($A28)-ROW($A$26)+(ROW(EM!$C$46)-ROW(EM!$C$14))*(MATCH(J$22,EM!$B$6:$B$9,0)-1),MIN(J$23-EM!$B$16+3,EM!$AF$16-EM!$B$16)),0)+
IF(ROUND(J$11,0)&gt;=5,OFFSET(EM!$B$17,ROW($A28)-ROW($A$26)+(ROW(EM!$C$46)-ROW(EM!$C$14))*(MATCH(J$22,EM!$B$6:$B$9,0)-1),MIN(J$23-EM!$B$16+4,EM!$AF$16-EM!$B$16)),0)+
IF(ROUND(J$11,0)&gt;=6,OFFSET(EM!$B$17,ROW($A28)-ROW($A$26)+(ROW(EM!$C$46)-ROW(EM!$C$14))*(MATCH(J$22,EM!$B$6:$B$9,0)-1),MIN(J$23-EM!$B$16+5,EM!$AF$16-EM!$B$16)),0)+
IF(ROUND(J$11,0)&gt;=7,OFFSET(EM!$B$17,ROW($A28)-ROW($A$26)+(ROW(EM!$C$46)-ROW(EM!$C$14))*(MATCH(J$22,EM!$B$6:$B$9,0)-1),MIN(J$23-EM!$B$16+6,EM!$AF$16-EM!$B$16)),0)+
IF(ROUND(J$11,0)&gt;=8,OFFSET(EM!$B$17,ROW($A28)-ROW($A$26)+(ROW(EM!$C$46)-ROW(EM!$C$14))*(MATCH(J$22,EM!$B$6:$B$9,0)-1),MIN(J$23-EM!$B$16+7,EM!$AF$16-EM!$B$16)),0)+
IF(ROUND(J$11,0)&gt;=9,OFFSET(EM!$B$17,ROW($A28)-ROW($A$26)+(ROW(EM!$C$46)-ROW(EM!$C$14))*(MATCH(J$22,EM!$B$6:$B$9,0)-1),MIN(J$23-EM!$B$16+8,EM!$AF$16-EM!$B$16)),0)+
IF(ROUND(J$11,0)&gt;=10,OFFSET(EM!$B$17,ROW($A28)-ROW($A$26)+(ROW(EM!$C$46)-ROW(EM!$C$14))*(MATCH(J$22,EM!$B$6:$B$9,0)-1),MIN(J$23-EM!$B$16+9,EM!$AF$16-EM!$B$16)),0)+
IF(ROUND(J$11,0)&gt;=11,OFFSET(EM!$B$17,ROW($A28)-ROW($A$26)+(ROW(EM!$C$46)-ROW(EM!$C$14))*(MATCH(J$22,EM!$B$6:$B$9,0)-1),MIN(J$23-EM!$B$16+10,EM!$AF$16-EM!$B$16)),0)+
IF(ROUND(J$11,0)&gt;=12,OFFSET(EM!$B$17,ROW($A28)-ROW($A$26)+(ROW(EM!$C$46)-ROW(EM!$C$14))*(MATCH(J$22,EM!$B$6:$B$9,0)-1),MIN(J$23-EM!$B$16+11,EM!$AF$16-EM!$B$16)),0)+
IF(ROUND(J$11,0)&gt;=13,OFFSET(EM!$B$17,ROW($A28)-ROW($A$26)+(ROW(EM!$C$46)-ROW(EM!$C$14))*(MATCH(J$22,EM!$B$6:$B$9,0)-1),MIN(J$23-EM!$B$16+12,EM!$AF$16-EM!$B$16)),0)+
IF(ROUND(J$11,0)&gt;=14,OFFSET(EM!$B$17,ROW($A28)-ROW($A$26)+(ROW(EM!$C$46)-ROW(EM!$C$14))*(MATCH(J$22,EM!$B$6:$B$9,0)-1),MIN(J$23-EM!$B$16+13,EM!$AF$16-EM!$B$16)),0)+
IF(ROUND(J$11,0)&gt;=15,OFFSET(EM!$B$17,ROW($A28)-ROW($A$26)+(ROW(EM!$C$46)-ROW(EM!$C$14))*(MATCH(J$22,EM!$B$6:$B$9,0)-1),MIN(J$23-EM!$B$16+14,EM!$AF$16-EM!$B$16)),0)+
IF(ROUND(J$11,0)&gt;=16,OFFSET(EM!$B$17,ROW($A28)-ROW($A$26)+(ROW(EM!$C$46)-ROW(EM!$C$14))*(MATCH(J$22,EM!$B$6:$B$9,0)-1),MIN(J$23-EM!$B$16+15,EM!$AF$16-EM!$B$16)),0)+
IF(ROUND(J$11,0)&gt;=17,OFFSET(EM!$B$17,ROW($A28)-ROW($A$26)+(ROW(EM!$C$46)-ROW(EM!$C$14))*(MATCH(J$22,EM!$B$6:$B$9,0)-1),MIN(J$23-EM!$B$16+16,EM!$AF$16-EM!$B$16)),0)+
IF(ROUND(J$11,0)&gt;=18,OFFSET(EM!$B$17,ROW($A28)-ROW($A$26)+(ROW(EM!$C$46)-ROW(EM!$C$14))*(MATCH(J$22,EM!$B$6:$B$9,0)-1),MIN(J$23-EM!$B$16+17,EM!$AF$16-EM!$B$16)),0)+
IF(ROUND(J$11,0)&gt;=19,OFFSET(EM!$B$17,ROW($A28)-ROW($A$26)+(ROW(EM!$C$46)-ROW(EM!$C$14))*(MATCH(J$22,EM!$B$6:$B$9,0)-1),MIN(J$23-EM!$B$16+18,EM!$AF$16-EM!$B$16)),0)+
IF(ROUND(J$11,0)&gt;=20,OFFSET(EM!$B$17,ROW($A28)-ROW($A$26)+(ROW(EM!$C$46)-ROW(EM!$C$14))*(MATCH(J$22,EM!$B$6:$B$9,0)-1),MIN(J$23-EM!$B$16+19,EM!$AF$16-EM!$B$16)),0)+
IF(ROUND(J$11,0)&gt;=21,OFFSET(EM!$B$17,ROW($A28)-ROW($A$26)+(ROW(EM!$C$46)-ROW(EM!$C$14))*(MATCH(J$22,EM!$B$6:$B$9,0)-1),MIN(J$23-EM!$B$16+20,EM!$AF$16-EM!$B$16)),0)+
IF(ROUND(J$11,0)&gt;=22,OFFSET(EM!$B$17,ROW($A28)-ROW($A$26)+(ROW(EM!$C$46)-ROW(EM!$C$14))*(MATCH(J$22,EM!$B$6:$B$9,0)-1),MIN(J$23-EM!$B$16+21,EM!$AF$16-EM!$B$16)),0)+
IF(ROUND(J$11,0)&gt;=23,OFFSET(EM!$B$17,ROW($A28)-ROW($A$26)+(ROW(EM!$C$46)-ROW(EM!$C$14))*(MATCH(J$22,EM!$B$6:$B$9,0)-1),MIN(J$23-EM!$B$16+22,EM!$AF$16-EM!$B$16)),0)+
IF(ROUND(J$11,0)&gt;=24,OFFSET(EM!$B$17,ROW($A28)-ROW($A$26)+(ROW(EM!$C$46)-ROW(EM!$C$14))*(MATCH(J$22,EM!$B$6:$B$9,0)-1),MIN(J$23-EM!$B$16+23,EM!$AF$16-EM!$B$16)),0)+
IF(ROUND(J$11,0)&gt;=25,OFFSET(EM!$B$17,ROW($A28)-ROW($A$26)+(ROW(EM!$C$46)-ROW(EM!$C$14))*(MATCH(J$22,EM!$B$6:$B$9,0)-1),MIN(J$23-EM!$B$16+24,EM!$AF$16-EM!$B$16)),0)+
IF(ROUND(J$11,0)&gt;=26,OFFSET(EM!$B$17,ROW($A28)-ROW($A$26)+(ROW(EM!$C$46)-ROW(EM!$C$14))*(MATCH(J$22,EM!$B$6:$B$9,0)-1),MIN(J$23-EM!$B$16+25,EM!$AF$16-EM!$B$16)),0)+
IF(ROUND(J$11,0)&gt;=27,OFFSET(EM!$B$17,ROW($A28)-ROW($A$26)+(ROW(EM!$C$46)-ROW(EM!$C$14))*(MATCH(J$22,EM!$B$6:$B$9,0)-1),MIN(J$23-EM!$B$16+26,EM!$AF$16-EM!$B$16)),0)+
IF(ROUND(J$11,0)&gt;=28,OFFSET(EM!$B$17,ROW($A28)-ROW($A$26)+(ROW(EM!$C$46)-ROW(EM!$C$14))*(MATCH(J$22,EM!$B$6:$B$9,0)-1),MIN(J$23-EM!$B$16+27,EM!$AF$16-EM!$B$16)),0)+
IF(ROUND(J$11,0)&gt;=29,OFFSET(EM!$B$17,ROW($A28)-ROW($A$26)+(ROW(EM!$C$46)-ROW(EM!$C$14))*(MATCH(J$22,EM!$B$6:$B$9,0)-1),MIN(J$23-EM!$B$16+28,EM!$AF$16-EM!$B$16)),0)+
IF(ROUND(J$11,0)&gt;=30,OFFSET(EM!$B$17,ROW($A28)-ROW($A$26)+(ROW(EM!$C$46)-ROW(EM!$C$14))*(MATCH(J$22,EM!$B$6:$B$9,0)-1),MIN(J$23-EM!$B$16+29,EM!$AF$16-EM!$B$16)),0)+
IF(ROUND(J$11,0)&gt;=31,OFFSET(EM!$B$17,ROW($A28)-ROW($A$26)+(ROW(EM!$C$46)-ROW(EM!$C$14))*(MATCH(J$22,EM!$B$6:$B$9,0)-1),MIN(J$23-EM!$B$16+30,EM!$AF$16-EM!$B$16)),0)+
IF(ROUND(J$11,0)&gt;=32,OFFSET(EM!$B$17,ROW($A28)-ROW($A$26)+(ROW(EM!$C$46)-ROW(EM!$C$14))*(MATCH(J$22,EM!$B$6:$B$9,0)-1),MIN(J$23-EM!$B$16+31,EM!$AF$16-EM!$B$16)),0)+
IF(ROUND(J$11,0)&gt;=33,OFFSET(EM!$B$17,ROW($A28)-ROW($A$26)+(ROW(EM!$C$46)-ROW(EM!$C$14))*(MATCH(J$22,EM!$B$6:$B$9,0)-1),MIN(J$23-EM!$B$16+32,EM!$AF$16-EM!$B$16)),0)+
IF(ROUND(J$11,0)&gt;=34,OFFSET(EM!$B$17,ROW($A28)-ROW($A$26)+(ROW(EM!$C$46)-ROW(EM!$C$14))*(MATCH(J$22,EM!$B$6:$B$9,0)-1),MIN(J$23-EM!$B$16+33,EM!$AF$16-EM!$B$16)),0)+
IF(ROUND(J$11,0)&gt;=35,OFFSET(EM!$B$17,ROW($A28)-ROW($A$26)+(ROW(EM!$C$46)-ROW(EM!$C$14))*(MATCH(J$22,EM!$B$6:$B$9,0)-1),MIN(J$23-EM!$B$16+34,EM!$AF$16-EM!$B$16)),0)+
IF(ROUND(J$11,0)&gt;=36,OFFSET(EM!$B$17,ROW($A28)-ROW($A$26)+(ROW(EM!$C$46)-ROW(EM!$C$14))*(MATCH(J$22,EM!$B$6:$B$9,0)-1),MIN(J$23-EM!$B$16+35,EM!$AF$16-EM!$B$16)),0)+
IF(ROUND(J$11,0)&gt;=37,OFFSET(EM!$B$17,ROW($A28)-ROW($A$26)+(ROW(EM!$C$46)-ROW(EM!$C$14))*(MATCH(J$22,EM!$B$6:$B$9,0)-1),MIN(J$23-EM!$B$16+36,EM!$AF$16-EM!$B$16)),0)+
IF(ROUND(J$11,0)&gt;=38,OFFSET(EM!$B$17,ROW($A28)-ROW($A$26)+(ROW(EM!$C$46)-ROW(EM!$C$14))*(MATCH(J$22,EM!$B$6:$B$9,0)-1),MIN(J$23-EM!$B$16+37,EM!$AF$16-EM!$B$16)),0)+
IF(ROUND(J$11,0)&gt;=39,OFFSET(EM!$B$17,ROW($A28)-ROW($A$26)+(ROW(EM!$C$46)-ROW(EM!$C$14))*(MATCH(J$22,EM!$B$6:$B$9,0)-1),MIN(J$23-EM!$B$16+38,EM!$AF$16-EM!$B$16)),0)+
IF(ROUND(J$11,0)&gt;=40,OFFSET(EM!$B$17,ROW($A28)-ROW($A$26)+(ROW(EM!$C$46)-ROW(EM!$C$14))*(MATCH(J$22,EM!$B$6:$B$9,0)-1),MIN(J$23-EM!$B$16+39,EM!$AF$16-EM!$B$16)),0)
)/ROUND(J$11,0),NA()))</f>
        <v>0.72705457895591852</v>
      </c>
      <c r="K28" s="2046">
        <f ca="1">IF(K$19=GPG!$A$28,IF(ROW(K28)-ROW(K$26)+1=MATCH(K$20,GPG!$A$5:$A$11,0),1,0),
IF(K$19=GPG!$A$29,
(IF(ROUND(K$11,0)&gt;=1,OFFSET(EM!$B$17,ROW($A28)-ROW($A$26)+(ROW(EM!$C$46)-ROW(EM!$C$14))*(MATCH(K$22,EM!$B$6:$B$9,0)-1),MIN(K$23-EM!$B$16,EM!$AF$16-EM!$B$16)),0)+
IF(ROUND(K$11,0)&gt;=2,OFFSET(EM!$B$17,ROW($A28)-ROW($A$26)+(ROW(EM!$C$46)-ROW(EM!$C$14))*(MATCH(K$22,EM!$B$6:$B$9,0)-1),MIN(K$23-EM!$B$16+1,EM!$AF$16-EM!$B$16)),0)+
IF(ROUND(K$11,0)&gt;=3,OFFSET(EM!$B$17,ROW($A28)-ROW($A$26)+(ROW(EM!$C$46)-ROW(EM!$C$14))*(MATCH(K$22,EM!$B$6:$B$9,0)-1),MIN(K$23-EM!$B$16+2,EM!$AF$16-EM!$B$16)),0)+
IF(ROUND(K$11,0)&gt;=4,OFFSET(EM!$B$17,ROW($A28)-ROW($A$26)+(ROW(EM!$C$46)-ROW(EM!$C$14))*(MATCH(K$22,EM!$B$6:$B$9,0)-1),MIN(K$23-EM!$B$16+3,EM!$AF$16-EM!$B$16)),0)+
IF(ROUND(K$11,0)&gt;=5,OFFSET(EM!$B$17,ROW($A28)-ROW($A$26)+(ROW(EM!$C$46)-ROW(EM!$C$14))*(MATCH(K$22,EM!$B$6:$B$9,0)-1),MIN(K$23-EM!$B$16+4,EM!$AF$16-EM!$B$16)),0)+
IF(ROUND(K$11,0)&gt;=6,OFFSET(EM!$B$17,ROW($A28)-ROW($A$26)+(ROW(EM!$C$46)-ROW(EM!$C$14))*(MATCH(K$22,EM!$B$6:$B$9,0)-1),MIN(K$23-EM!$B$16+5,EM!$AF$16-EM!$B$16)),0)+
IF(ROUND(K$11,0)&gt;=7,OFFSET(EM!$B$17,ROW($A28)-ROW($A$26)+(ROW(EM!$C$46)-ROW(EM!$C$14))*(MATCH(K$22,EM!$B$6:$B$9,0)-1),MIN(K$23-EM!$B$16+6,EM!$AF$16-EM!$B$16)),0)+
IF(ROUND(K$11,0)&gt;=8,OFFSET(EM!$B$17,ROW($A28)-ROW($A$26)+(ROW(EM!$C$46)-ROW(EM!$C$14))*(MATCH(K$22,EM!$B$6:$B$9,0)-1),MIN(K$23-EM!$B$16+7,EM!$AF$16-EM!$B$16)),0)+
IF(ROUND(K$11,0)&gt;=9,OFFSET(EM!$B$17,ROW($A28)-ROW($A$26)+(ROW(EM!$C$46)-ROW(EM!$C$14))*(MATCH(K$22,EM!$B$6:$B$9,0)-1),MIN(K$23-EM!$B$16+8,EM!$AF$16-EM!$B$16)),0)+
IF(ROUND(K$11,0)&gt;=10,OFFSET(EM!$B$17,ROW($A28)-ROW($A$26)+(ROW(EM!$C$46)-ROW(EM!$C$14))*(MATCH(K$22,EM!$B$6:$B$9,0)-1),MIN(K$23-EM!$B$16+9,EM!$AF$16-EM!$B$16)),0)+
IF(ROUND(K$11,0)&gt;=11,OFFSET(EM!$B$17,ROW($A28)-ROW($A$26)+(ROW(EM!$C$46)-ROW(EM!$C$14))*(MATCH(K$22,EM!$B$6:$B$9,0)-1),MIN(K$23-EM!$B$16+10,EM!$AF$16-EM!$B$16)),0)+
IF(ROUND(K$11,0)&gt;=12,OFFSET(EM!$B$17,ROW($A28)-ROW($A$26)+(ROW(EM!$C$46)-ROW(EM!$C$14))*(MATCH(K$22,EM!$B$6:$B$9,0)-1),MIN(K$23-EM!$B$16+11,EM!$AF$16-EM!$B$16)),0)+
IF(ROUND(K$11,0)&gt;=13,OFFSET(EM!$B$17,ROW($A28)-ROW($A$26)+(ROW(EM!$C$46)-ROW(EM!$C$14))*(MATCH(K$22,EM!$B$6:$B$9,0)-1),MIN(K$23-EM!$B$16+12,EM!$AF$16-EM!$B$16)),0)+
IF(ROUND(K$11,0)&gt;=14,OFFSET(EM!$B$17,ROW($A28)-ROW($A$26)+(ROW(EM!$C$46)-ROW(EM!$C$14))*(MATCH(K$22,EM!$B$6:$B$9,0)-1),MIN(K$23-EM!$B$16+13,EM!$AF$16-EM!$B$16)),0)+
IF(ROUND(K$11,0)&gt;=15,OFFSET(EM!$B$17,ROW($A28)-ROW($A$26)+(ROW(EM!$C$46)-ROW(EM!$C$14))*(MATCH(K$22,EM!$B$6:$B$9,0)-1),MIN(K$23-EM!$B$16+14,EM!$AF$16-EM!$B$16)),0)+
IF(ROUND(K$11,0)&gt;=16,OFFSET(EM!$B$17,ROW($A28)-ROW($A$26)+(ROW(EM!$C$46)-ROW(EM!$C$14))*(MATCH(K$22,EM!$B$6:$B$9,0)-1),MIN(K$23-EM!$B$16+15,EM!$AF$16-EM!$B$16)),0)+
IF(ROUND(K$11,0)&gt;=17,OFFSET(EM!$B$17,ROW($A28)-ROW($A$26)+(ROW(EM!$C$46)-ROW(EM!$C$14))*(MATCH(K$22,EM!$B$6:$B$9,0)-1),MIN(K$23-EM!$B$16+16,EM!$AF$16-EM!$B$16)),0)+
IF(ROUND(K$11,0)&gt;=18,OFFSET(EM!$B$17,ROW($A28)-ROW($A$26)+(ROW(EM!$C$46)-ROW(EM!$C$14))*(MATCH(K$22,EM!$B$6:$B$9,0)-1),MIN(K$23-EM!$B$16+17,EM!$AF$16-EM!$B$16)),0)+
IF(ROUND(K$11,0)&gt;=19,OFFSET(EM!$B$17,ROW($A28)-ROW($A$26)+(ROW(EM!$C$46)-ROW(EM!$C$14))*(MATCH(K$22,EM!$B$6:$B$9,0)-1),MIN(K$23-EM!$B$16+18,EM!$AF$16-EM!$B$16)),0)+
IF(ROUND(K$11,0)&gt;=20,OFFSET(EM!$B$17,ROW($A28)-ROW($A$26)+(ROW(EM!$C$46)-ROW(EM!$C$14))*(MATCH(K$22,EM!$B$6:$B$9,0)-1),MIN(K$23-EM!$B$16+19,EM!$AF$16-EM!$B$16)),0)+
IF(ROUND(K$11,0)&gt;=21,OFFSET(EM!$B$17,ROW($A28)-ROW($A$26)+(ROW(EM!$C$46)-ROW(EM!$C$14))*(MATCH(K$22,EM!$B$6:$B$9,0)-1),MIN(K$23-EM!$B$16+20,EM!$AF$16-EM!$B$16)),0)+
IF(ROUND(K$11,0)&gt;=22,OFFSET(EM!$B$17,ROW($A28)-ROW($A$26)+(ROW(EM!$C$46)-ROW(EM!$C$14))*(MATCH(K$22,EM!$B$6:$B$9,0)-1),MIN(K$23-EM!$B$16+21,EM!$AF$16-EM!$B$16)),0)+
IF(ROUND(K$11,0)&gt;=23,OFFSET(EM!$B$17,ROW($A28)-ROW($A$26)+(ROW(EM!$C$46)-ROW(EM!$C$14))*(MATCH(K$22,EM!$B$6:$B$9,0)-1),MIN(K$23-EM!$B$16+22,EM!$AF$16-EM!$B$16)),0)+
IF(ROUND(K$11,0)&gt;=24,OFFSET(EM!$B$17,ROW($A28)-ROW($A$26)+(ROW(EM!$C$46)-ROW(EM!$C$14))*(MATCH(K$22,EM!$B$6:$B$9,0)-1),MIN(K$23-EM!$B$16+23,EM!$AF$16-EM!$B$16)),0)+
IF(ROUND(K$11,0)&gt;=25,OFFSET(EM!$B$17,ROW($A28)-ROW($A$26)+(ROW(EM!$C$46)-ROW(EM!$C$14))*(MATCH(K$22,EM!$B$6:$B$9,0)-1),MIN(K$23-EM!$B$16+24,EM!$AF$16-EM!$B$16)),0)+
IF(ROUND(K$11,0)&gt;=26,OFFSET(EM!$B$17,ROW($A28)-ROW($A$26)+(ROW(EM!$C$46)-ROW(EM!$C$14))*(MATCH(K$22,EM!$B$6:$B$9,0)-1),MIN(K$23-EM!$B$16+25,EM!$AF$16-EM!$B$16)),0)+
IF(ROUND(K$11,0)&gt;=27,OFFSET(EM!$B$17,ROW($A28)-ROW($A$26)+(ROW(EM!$C$46)-ROW(EM!$C$14))*(MATCH(K$22,EM!$B$6:$B$9,0)-1),MIN(K$23-EM!$B$16+26,EM!$AF$16-EM!$B$16)),0)+
IF(ROUND(K$11,0)&gt;=28,OFFSET(EM!$B$17,ROW($A28)-ROW($A$26)+(ROW(EM!$C$46)-ROW(EM!$C$14))*(MATCH(K$22,EM!$B$6:$B$9,0)-1),MIN(K$23-EM!$B$16+27,EM!$AF$16-EM!$B$16)),0)+
IF(ROUND(K$11,0)&gt;=29,OFFSET(EM!$B$17,ROW($A28)-ROW($A$26)+(ROW(EM!$C$46)-ROW(EM!$C$14))*(MATCH(K$22,EM!$B$6:$B$9,0)-1),MIN(K$23-EM!$B$16+28,EM!$AF$16-EM!$B$16)),0)+
IF(ROUND(K$11,0)&gt;=30,OFFSET(EM!$B$17,ROW($A28)-ROW($A$26)+(ROW(EM!$C$46)-ROW(EM!$C$14))*(MATCH(K$22,EM!$B$6:$B$9,0)-1),MIN(K$23-EM!$B$16+29,EM!$AF$16-EM!$B$16)),0)+
IF(ROUND(K$11,0)&gt;=31,OFFSET(EM!$B$17,ROW($A28)-ROW($A$26)+(ROW(EM!$C$46)-ROW(EM!$C$14))*(MATCH(K$22,EM!$B$6:$B$9,0)-1),MIN(K$23-EM!$B$16+30,EM!$AF$16-EM!$B$16)),0)+
IF(ROUND(K$11,0)&gt;=32,OFFSET(EM!$B$17,ROW($A28)-ROW($A$26)+(ROW(EM!$C$46)-ROW(EM!$C$14))*(MATCH(K$22,EM!$B$6:$B$9,0)-1),MIN(K$23-EM!$B$16+31,EM!$AF$16-EM!$B$16)),0)+
IF(ROUND(K$11,0)&gt;=33,OFFSET(EM!$B$17,ROW($A28)-ROW($A$26)+(ROW(EM!$C$46)-ROW(EM!$C$14))*(MATCH(K$22,EM!$B$6:$B$9,0)-1),MIN(K$23-EM!$B$16+32,EM!$AF$16-EM!$B$16)),0)+
IF(ROUND(K$11,0)&gt;=34,OFFSET(EM!$B$17,ROW($A28)-ROW($A$26)+(ROW(EM!$C$46)-ROW(EM!$C$14))*(MATCH(K$22,EM!$B$6:$B$9,0)-1),MIN(K$23-EM!$B$16+33,EM!$AF$16-EM!$B$16)),0)+
IF(ROUND(K$11,0)&gt;=35,OFFSET(EM!$B$17,ROW($A28)-ROW($A$26)+(ROW(EM!$C$46)-ROW(EM!$C$14))*(MATCH(K$22,EM!$B$6:$B$9,0)-1),MIN(K$23-EM!$B$16+34,EM!$AF$16-EM!$B$16)),0)+
IF(ROUND(K$11,0)&gt;=36,OFFSET(EM!$B$17,ROW($A28)-ROW($A$26)+(ROW(EM!$C$46)-ROW(EM!$C$14))*(MATCH(K$22,EM!$B$6:$B$9,0)-1),MIN(K$23-EM!$B$16+35,EM!$AF$16-EM!$B$16)),0)+
IF(ROUND(K$11,0)&gt;=37,OFFSET(EM!$B$17,ROW($A28)-ROW($A$26)+(ROW(EM!$C$46)-ROW(EM!$C$14))*(MATCH(K$22,EM!$B$6:$B$9,0)-1),MIN(K$23-EM!$B$16+36,EM!$AF$16-EM!$B$16)),0)+
IF(ROUND(K$11,0)&gt;=38,OFFSET(EM!$B$17,ROW($A28)-ROW($A$26)+(ROW(EM!$C$46)-ROW(EM!$C$14))*(MATCH(K$22,EM!$B$6:$B$9,0)-1),MIN(K$23-EM!$B$16+37,EM!$AF$16-EM!$B$16)),0)+
IF(ROUND(K$11,0)&gt;=39,OFFSET(EM!$B$17,ROW($A28)-ROW($A$26)+(ROW(EM!$C$46)-ROW(EM!$C$14))*(MATCH(K$22,EM!$B$6:$B$9,0)-1),MIN(K$23-EM!$B$16+38,EM!$AF$16-EM!$B$16)),0)+
IF(ROUND(K$11,0)&gt;=40,OFFSET(EM!$B$17,ROW($A28)-ROW($A$26)+(ROW(EM!$C$46)-ROW(EM!$C$14))*(MATCH(K$22,EM!$B$6:$B$9,0)-1),MIN(K$23-EM!$B$16+39,EM!$AF$16-EM!$B$16)),0)
)/ROUND(K$11,0),NA()))</f>
        <v>0.60702572696560231</v>
      </c>
      <c r="L28" s="2046">
        <f ca="1">IF(L$19=GPG!$A$28,IF(ROW(L28)-ROW(L$26)+1=MATCH(L$20,GPG!$A$5:$A$11,0),1,0),
IF(L$19=GPG!$A$29,
(IF(ROUND(L$11,0)&gt;=1,OFFSET(EM!$B$17,ROW($A28)-ROW($A$26)+(ROW(EM!$C$46)-ROW(EM!$C$14))*(MATCH(L$22,EM!$B$6:$B$9,0)-1),MIN(L$23-EM!$B$16,EM!$AF$16-EM!$B$16)),0)+
IF(ROUND(L$11,0)&gt;=2,OFFSET(EM!$B$17,ROW($A28)-ROW($A$26)+(ROW(EM!$C$46)-ROW(EM!$C$14))*(MATCH(L$22,EM!$B$6:$B$9,0)-1),MIN(L$23-EM!$B$16+1,EM!$AF$16-EM!$B$16)),0)+
IF(ROUND(L$11,0)&gt;=3,OFFSET(EM!$B$17,ROW($A28)-ROW($A$26)+(ROW(EM!$C$46)-ROW(EM!$C$14))*(MATCH(L$22,EM!$B$6:$B$9,0)-1),MIN(L$23-EM!$B$16+2,EM!$AF$16-EM!$B$16)),0)+
IF(ROUND(L$11,0)&gt;=4,OFFSET(EM!$B$17,ROW($A28)-ROW($A$26)+(ROW(EM!$C$46)-ROW(EM!$C$14))*(MATCH(L$22,EM!$B$6:$B$9,0)-1),MIN(L$23-EM!$B$16+3,EM!$AF$16-EM!$B$16)),0)+
IF(ROUND(L$11,0)&gt;=5,OFFSET(EM!$B$17,ROW($A28)-ROW($A$26)+(ROW(EM!$C$46)-ROW(EM!$C$14))*(MATCH(L$22,EM!$B$6:$B$9,0)-1),MIN(L$23-EM!$B$16+4,EM!$AF$16-EM!$B$16)),0)+
IF(ROUND(L$11,0)&gt;=6,OFFSET(EM!$B$17,ROW($A28)-ROW($A$26)+(ROW(EM!$C$46)-ROW(EM!$C$14))*(MATCH(L$22,EM!$B$6:$B$9,0)-1),MIN(L$23-EM!$B$16+5,EM!$AF$16-EM!$B$16)),0)+
IF(ROUND(L$11,0)&gt;=7,OFFSET(EM!$B$17,ROW($A28)-ROW($A$26)+(ROW(EM!$C$46)-ROW(EM!$C$14))*(MATCH(L$22,EM!$B$6:$B$9,0)-1),MIN(L$23-EM!$B$16+6,EM!$AF$16-EM!$B$16)),0)+
IF(ROUND(L$11,0)&gt;=8,OFFSET(EM!$B$17,ROW($A28)-ROW($A$26)+(ROW(EM!$C$46)-ROW(EM!$C$14))*(MATCH(L$22,EM!$B$6:$B$9,0)-1),MIN(L$23-EM!$B$16+7,EM!$AF$16-EM!$B$16)),0)+
IF(ROUND(L$11,0)&gt;=9,OFFSET(EM!$B$17,ROW($A28)-ROW($A$26)+(ROW(EM!$C$46)-ROW(EM!$C$14))*(MATCH(L$22,EM!$B$6:$B$9,0)-1),MIN(L$23-EM!$B$16+8,EM!$AF$16-EM!$B$16)),0)+
IF(ROUND(L$11,0)&gt;=10,OFFSET(EM!$B$17,ROW($A28)-ROW($A$26)+(ROW(EM!$C$46)-ROW(EM!$C$14))*(MATCH(L$22,EM!$B$6:$B$9,0)-1),MIN(L$23-EM!$B$16+9,EM!$AF$16-EM!$B$16)),0)+
IF(ROUND(L$11,0)&gt;=11,OFFSET(EM!$B$17,ROW($A28)-ROW($A$26)+(ROW(EM!$C$46)-ROW(EM!$C$14))*(MATCH(L$22,EM!$B$6:$B$9,0)-1),MIN(L$23-EM!$B$16+10,EM!$AF$16-EM!$B$16)),0)+
IF(ROUND(L$11,0)&gt;=12,OFFSET(EM!$B$17,ROW($A28)-ROW($A$26)+(ROW(EM!$C$46)-ROW(EM!$C$14))*(MATCH(L$22,EM!$B$6:$B$9,0)-1),MIN(L$23-EM!$B$16+11,EM!$AF$16-EM!$B$16)),0)+
IF(ROUND(L$11,0)&gt;=13,OFFSET(EM!$B$17,ROW($A28)-ROW($A$26)+(ROW(EM!$C$46)-ROW(EM!$C$14))*(MATCH(L$22,EM!$B$6:$B$9,0)-1),MIN(L$23-EM!$B$16+12,EM!$AF$16-EM!$B$16)),0)+
IF(ROUND(L$11,0)&gt;=14,OFFSET(EM!$B$17,ROW($A28)-ROW($A$26)+(ROW(EM!$C$46)-ROW(EM!$C$14))*(MATCH(L$22,EM!$B$6:$B$9,0)-1),MIN(L$23-EM!$B$16+13,EM!$AF$16-EM!$B$16)),0)+
IF(ROUND(L$11,0)&gt;=15,OFFSET(EM!$B$17,ROW($A28)-ROW($A$26)+(ROW(EM!$C$46)-ROW(EM!$C$14))*(MATCH(L$22,EM!$B$6:$B$9,0)-1),MIN(L$23-EM!$B$16+14,EM!$AF$16-EM!$B$16)),0)+
IF(ROUND(L$11,0)&gt;=16,OFFSET(EM!$B$17,ROW($A28)-ROW($A$26)+(ROW(EM!$C$46)-ROW(EM!$C$14))*(MATCH(L$22,EM!$B$6:$B$9,0)-1),MIN(L$23-EM!$B$16+15,EM!$AF$16-EM!$B$16)),0)+
IF(ROUND(L$11,0)&gt;=17,OFFSET(EM!$B$17,ROW($A28)-ROW($A$26)+(ROW(EM!$C$46)-ROW(EM!$C$14))*(MATCH(L$22,EM!$B$6:$B$9,0)-1),MIN(L$23-EM!$B$16+16,EM!$AF$16-EM!$B$16)),0)+
IF(ROUND(L$11,0)&gt;=18,OFFSET(EM!$B$17,ROW($A28)-ROW($A$26)+(ROW(EM!$C$46)-ROW(EM!$C$14))*(MATCH(L$22,EM!$B$6:$B$9,0)-1),MIN(L$23-EM!$B$16+17,EM!$AF$16-EM!$B$16)),0)+
IF(ROUND(L$11,0)&gt;=19,OFFSET(EM!$B$17,ROW($A28)-ROW($A$26)+(ROW(EM!$C$46)-ROW(EM!$C$14))*(MATCH(L$22,EM!$B$6:$B$9,0)-1),MIN(L$23-EM!$B$16+18,EM!$AF$16-EM!$B$16)),0)+
IF(ROUND(L$11,0)&gt;=20,OFFSET(EM!$B$17,ROW($A28)-ROW($A$26)+(ROW(EM!$C$46)-ROW(EM!$C$14))*(MATCH(L$22,EM!$B$6:$B$9,0)-1),MIN(L$23-EM!$B$16+19,EM!$AF$16-EM!$B$16)),0)+
IF(ROUND(L$11,0)&gt;=21,OFFSET(EM!$B$17,ROW($A28)-ROW($A$26)+(ROW(EM!$C$46)-ROW(EM!$C$14))*(MATCH(L$22,EM!$B$6:$B$9,0)-1),MIN(L$23-EM!$B$16+20,EM!$AF$16-EM!$B$16)),0)+
IF(ROUND(L$11,0)&gt;=22,OFFSET(EM!$B$17,ROW($A28)-ROW($A$26)+(ROW(EM!$C$46)-ROW(EM!$C$14))*(MATCH(L$22,EM!$B$6:$B$9,0)-1),MIN(L$23-EM!$B$16+21,EM!$AF$16-EM!$B$16)),0)+
IF(ROUND(L$11,0)&gt;=23,OFFSET(EM!$B$17,ROW($A28)-ROW($A$26)+(ROW(EM!$C$46)-ROW(EM!$C$14))*(MATCH(L$22,EM!$B$6:$B$9,0)-1),MIN(L$23-EM!$B$16+22,EM!$AF$16-EM!$B$16)),0)+
IF(ROUND(L$11,0)&gt;=24,OFFSET(EM!$B$17,ROW($A28)-ROW($A$26)+(ROW(EM!$C$46)-ROW(EM!$C$14))*(MATCH(L$22,EM!$B$6:$B$9,0)-1),MIN(L$23-EM!$B$16+23,EM!$AF$16-EM!$B$16)),0)+
IF(ROUND(L$11,0)&gt;=25,OFFSET(EM!$B$17,ROW($A28)-ROW($A$26)+(ROW(EM!$C$46)-ROW(EM!$C$14))*(MATCH(L$22,EM!$B$6:$B$9,0)-1),MIN(L$23-EM!$B$16+24,EM!$AF$16-EM!$B$16)),0)+
IF(ROUND(L$11,0)&gt;=26,OFFSET(EM!$B$17,ROW($A28)-ROW($A$26)+(ROW(EM!$C$46)-ROW(EM!$C$14))*(MATCH(L$22,EM!$B$6:$B$9,0)-1),MIN(L$23-EM!$B$16+25,EM!$AF$16-EM!$B$16)),0)+
IF(ROUND(L$11,0)&gt;=27,OFFSET(EM!$B$17,ROW($A28)-ROW($A$26)+(ROW(EM!$C$46)-ROW(EM!$C$14))*(MATCH(L$22,EM!$B$6:$B$9,0)-1),MIN(L$23-EM!$B$16+26,EM!$AF$16-EM!$B$16)),0)+
IF(ROUND(L$11,0)&gt;=28,OFFSET(EM!$B$17,ROW($A28)-ROW($A$26)+(ROW(EM!$C$46)-ROW(EM!$C$14))*(MATCH(L$22,EM!$B$6:$B$9,0)-1),MIN(L$23-EM!$B$16+27,EM!$AF$16-EM!$B$16)),0)+
IF(ROUND(L$11,0)&gt;=29,OFFSET(EM!$B$17,ROW($A28)-ROW($A$26)+(ROW(EM!$C$46)-ROW(EM!$C$14))*(MATCH(L$22,EM!$B$6:$B$9,0)-1),MIN(L$23-EM!$B$16+28,EM!$AF$16-EM!$B$16)),0)+
IF(ROUND(L$11,0)&gt;=30,OFFSET(EM!$B$17,ROW($A28)-ROW($A$26)+(ROW(EM!$C$46)-ROW(EM!$C$14))*(MATCH(L$22,EM!$B$6:$B$9,0)-1),MIN(L$23-EM!$B$16+29,EM!$AF$16-EM!$B$16)),0)+
IF(ROUND(L$11,0)&gt;=31,OFFSET(EM!$B$17,ROW($A28)-ROW($A$26)+(ROW(EM!$C$46)-ROW(EM!$C$14))*(MATCH(L$22,EM!$B$6:$B$9,0)-1),MIN(L$23-EM!$B$16+30,EM!$AF$16-EM!$B$16)),0)+
IF(ROUND(L$11,0)&gt;=32,OFFSET(EM!$B$17,ROW($A28)-ROW($A$26)+(ROW(EM!$C$46)-ROW(EM!$C$14))*(MATCH(L$22,EM!$B$6:$B$9,0)-1),MIN(L$23-EM!$B$16+31,EM!$AF$16-EM!$B$16)),0)+
IF(ROUND(L$11,0)&gt;=33,OFFSET(EM!$B$17,ROW($A28)-ROW($A$26)+(ROW(EM!$C$46)-ROW(EM!$C$14))*(MATCH(L$22,EM!$B$6:$B$9,0)-1),MIN(L$23-EM!$B$16+32,EM!$AF$16-EM!$B$16)),0)+
IF(ROUND(L$11,0)&gt;=34,OFFSET(EM!$B$17,ROW($A28)-ROW($A$26)+(ROW(EM!$C$46)-ROW(EM!$C$14))*(MATCH(L$22,EM!$B$6:$B$9,0)-1),MIN(L$23-EM!$B$16+33,EM!$AF$16-EM!$B$16)),0)+
IF(ROUND(L$11,0)&gt;=35,OFFSET(EM!$B$17,ROW($A28)-ROW($A$26)+(ROW(EM!$C$46)-ROW(EM!$C$14))*(MATCH(L$22,EM!$B$6:$B$9,0)-1),MIN(L$23-EM!$B$16+34,EM!$AF$16-EM!$B$16)),0)+
IF(ROUND(L$11,0)&gt;=36,OFFSET(EM!$B$17,ROW($A28)-ROW($A$26)+(ROW(EM!$C$46)-ROW(EM!$C$14))*(MATCH(L$22,EM!$B$6:$B$9,0)-1),MIN(L$23-EM!$B$16+35,EM!$AF$16-EM!$B$16)),0)+
IF(ROUND(L$11,0)&gt;=37,OFFSET(EM!$B$17,ROW($A28)-ROW($A$26)+(ROW(EM!$C$46)-ROW(EM!$C$14))*(MATCH(L$22,EM!$B$6:$B$9,0)-1),MIN(L$23-EM!$B$16+36,EM!$AF$16-EM!$B$16)),0)+
IF(ROUND(L$11,0)&gt;=38,OFFSET(EM!$B$17,ROW($A28)-ROW($A$26)+(ROW(EM!$C$46)-ROW(EM!$C$14))*(MATCH(L$22,EM!$B$6:$B$9,0)-1),MIN(L$23-EM!$B$16+37,EM!$AF$16-EM!$B$16)),0)+
IF(ROUND(L$11,0)&gt;=39,OFFSET(EM!$B$17,ROW($A28)-ROW($A$26)+(ROW(EM!$C$46)-ROW(EM!$C$14))*(MATCH(L$22,EM!$B$6:$B$9,0)-1),MIN(L$23-EM!$B$16+38,EM!$AF$16-EM!$B$16)),0)+
IF(ROUND(L$11,0)&gt;=40,OFFSET(EM!$B$17,ROW($A28)-ROW($A$26)+(ROW(EM!$C$46)-ROW(EM!$C$14))*(MATCH(L$22,EM!$B$6:$B$9,0)-1),MIN(L$23-EM!$B$16+39,EM!$AF$16-EM!$B$16)),0)
)/ROUND(L$11,0),NA()))</f>
        <v>0.72705457895591852</v>
      </c>
      <c r="M28" s="2046">
        <f ca="1">IF(M$19=GPG!$A$28,IF(ROW(M28)-ROW(M$26)+1=MATCH(M$20,GPG!$A$5:$A$11,0),1,0),
IF(M$19=GPG!$A$29,
(IF(ROUND(M$11,0)&gt;=1,OFFSET(EM!$B$17,ROW($A28)-ROW($A$26)+(ROW(EM!$C$46)-ROW(EM!$C$14))*(MATCH(M$22,EM!$B$6:$B$9,0)-1),MIN(M$23-EM!$B$16,EM!$AF$16-EM!$B$16)),0)+
IF(ROUND(M$11,0)&gt;=2,OFFSET(EM!$B$17,ROW($A28)-ROW($A$26)+(ROW(EM!$C$46)-ROW(EM!$C$14))*(MATCH(M$22,EM!$B$6:$B$9,0)-1),MIN(M$23-EM!$B$16+1,EM!$AF$16-EM!$B$16)),0)+
IF(ROUND(M$11,0)&gt;=3,OFFSET(EM!$B$17,ROW($A28)-ROW($A$26)+(ROW(EM!$C$46)-ROW(EM!$C$14))*(MATCH(M$22,EM!$B$6:$B$9,0)-1),MIN(M$23-EM!$B$16+2,EM!$AF$16-EM!$B$16)),0)+
IF(ROUND(M$11,0)&gt;=4,OFFSET(EM!$B$17,ROW($A28)-ROW($A$26)+(ROW(EM!$C$46)-ROW(EM!$C$14))*(MATCH(M$22,EM!$B$6:$B$9,0)-1),MIN(M$23-EM!$B$16+3,EM!$AF$16-EM!$B$16)),0)+
IF(ROUND(M$11,0)&gt;=5,OFFSET(EM!$B$17,ROW($A28)-ROW($A$26)+(ROW(EM!$C$46)-ROW(EM!$C$14))*(MATCH(M$22,EM!$B$6:$B$9,0)-1),MIN(M$23-EM!$B$16+4,EM!$AF$16-EM!$B$16)),0)+
IF(ROUND(M$11,0)&gt;=6,OFFSET(EM!$B$17,ROW($A28)-ROW($A$26)+(ROW(EM!$C$46)-ROW(EM!$C$14))*(MATCH(M$22,EM!$B$6:$B$9,0)-1),MIN(M$23-EM!$B$16+5,EM!$AF$16-EM!$B$16)),0)+
IF(ROUND(M$11,0)&gt;=7,OFFSET(EM!$B$17,ROW($A28)-ROW($A$26)+(ROW(EM!$C$46)-ROW(EM!$C$14))*(MATCH(M$22,EM!$B$6:$B$9,0)-1),MIN(M$23-EM!$B$16+6,EM!$AF$16-EM!$B$16)),0)+
IF(ROUND(M$11,0)&gt;=8,OFFSET(EM!$B$17,ROW($A28)-ROW($A$26)+(ROW(EM!$C$46)-ROW(EM!$C$14))*(MATCH(M$22,EM!$B$6:$B$9,0)-1),MIN(M$23-EM!$B$16+7,EM!$AF$16-EM!$B$16)),0)+
IF(ROUND(M$11,0)&gt;=9,OFFSET(EM!$B$17,ROW($A28)-ROW($A$26)+(ROW(EM!$C$46)-ROW(EM!$C$14))*(MATCH(M$22,EM!$B$6:$B$9,0)-1),MIN(M$23-EM!$B$16+8,EM!$AF$16-EM!$B$16)),0)+
IF(ROUND(M$11,0)&gt;=10,OFFSET(EM!$B$17,ROW($A28)-ROW($A$26)+(ROW(EM!$C$46)-ROW(EM!$C$14))*(MATCH(M$22,EM!$B$6:$B$9,0)-1),MIN(M$23-EM!$B$16+9,EM!$AF$16-EM!$B$16)),0)+
IF(ROUND(M$11,0)&gt;=11,OFFSET(EM!$B$17,ROW($A28)-ROW($A$26)+(ROW(EM!$C$46)-ROW(EM!$C$14))*(MATCH(M$22,EM!$B$6:$B$9,0)-1),MIN(M$23-EM!$B$16+10,EM!$AF$16-EM!$B$16)),0)+
IF(ROUND(M$11,0)&gt;=12,OFFSET(EM!$B$17,ROW($A28)-ROW($A$26)+(ROW(EM!$C$46)-ROW(EM!$C$14))*(MATCH(M$22,EM!$B$6:$B$9,0)-1),MIN(M$23-EM!$B$16+11,EM!$AF$16-EM!$B$16)),0)+
IF(ROUND(M$11,0)&gt;=13,OFFSET(EM!$B$17,ROW($A28)-ROW($A$26)+(ROW(EM!$C$46)-ROW(EM!$C$14))*(MATCH(M$22,EM!$B$6:$B$9,0)-1),MIN(M$23-EM!$B$16+12,EM!$AF$16-EM!$B$16)),0)+
IF(ROUND(M$11,0)&gt;=14,OFFSET(EM!$B$17,ROW($A28)-ROW($A$26)+(ROW(EM!$C$46)-ROW(EM!$C$14))*(MATCH(M$22,EM!$B$6:$B$9,0)-1),MIN(M$23-EM!$B$16+13,EM!$AF$16-EM!$B$16)),0)+
IF(ROUND(M$11,0)&gt;=15,OFFSET(EM!$B$17,ROW($A28)-ROW($A$26)+(ROW(EM!$C$46)-ROW(EM!$C$14))*(MATCH(M$22,EM!$B$6:$B$9,0)-1),MIN(M$23-EM!$B$16+14,EM!$AF$16-EM!$B$16)),0)+
IF(ROUND(M$11,0)&gt;=16,OFFSET(EM!$B$17,ROW($A28)-ROW($A$26)+(ROW(EM!$C$46)-ROW(EM!$C$14))*(MATCH(M$22,EM!$B$6:$B$9,0)-1),MIN(M$23-EM!$B$16+15,EM!$AF$16-EM!$B$16)),0)+
IF(ROUND(M$11,0)&gt;=17,OFFSET(EM!$B$17,ROW($A28)-ROW($A$26)+(ROW(EM!$C$46)-ROW(EM!$C$14))*(MATCH(M$22,EM!$B$6:$B$9,0)-1),MIN(M$23-EM!$B$16+16,EM!$AF$16-EM!$B$16)),0)+
IF(ROUND(M$11,0)&gt;=18,OFFSET(EM!$B$17,ROW($A28)-ROW($A$26)+(ROW(EM!$C$46)-ROW(EM!$C$14))*(MATCH(M$22,EM!$B$6:$B$9,0)-1),MIN(M$23-EM!$B$16+17,EM!$AF$16-EM!$B$16)),0)+
IF(ROUND(M$11,0)&gt;=19,OFFSET(EM!$B$17,ROW($A28)-ROW($A$26)+(ROW(EM!$C$46)-ROW(EM!$C$14))*(MATCH(M$22,EM!$B$6:$B$9,0)-1),MIN(M$23-EM!$B$16+18,EM!$AF$16-EM!$B$16)),0)+
IF(ROUND(M$11,0)&gt;=20,OFFSET(EM!$B$17,ROW($A28)-ROW($A$26)+(ROW(EM!$C$46)-ROW(EM!$C$14))*(MATCH(M$22,EM!$B$6:$B$9,0)-1),MIN(M$23-EM!$B$16+19,EM!$AF$16-EM!$B$16)),0)+
IF(ROUND(M$11,0)&gt;=21,OFFSET(EM!$B$17,ROW($A28)-ROW($A$26)+(ROW(EM!$C$46)-ROW(EM!$C$14))*(MATCH(M$22,EM!$B$6:$B$9,0)-1),MIN(M$23-EM!$B$16+20,EM!$AF$16-EM!$B$16)),0)+
IF(ROUND(M$11,0)&gt;=22,OFFSET(EM!$B$17,ROW($A28)-ROW($A$26)+(ROW(EM!$C$46)-ROW(EM!$C$14))*(MATCH(M$22,EM!$B$6:$B$9,0)-1),MIN(M$23-EM!$B$16+21,EM!$AF$16-EM!$B$16)),0)+
IF(ROUND(M$11,0)&gt;=23,OFFSET(EM!$B$17,ROW($A28)-ROW($A$26)+(ROW(EM!$C$46)-ROW(EM!$C$14))*(MATCH(M$22,EM!$B$6:$B$9,0)-1),MIN(M$23-EM!$B$16+22,EM!$AF$16-EM!$B$16)),0)+
IF(ROUND(M$11,0)&gt;=24,OFFSET(EM!$B$17,ROW($A28)-ROW($A$26)+(ROW(EM!$C$46)-ROW(EM!$C$14))*(MATCH(M$22,EM!$B$6:$B$9,0)-1),MIN(M$23-EM!$B$16+23,EM!$AF$16-EM!$B$16)),0)+
IF(ROUND(M$11,0)&gt;=25,OFFSET(EM!$B$17,ROW($A28)-ROW($A$26)+(ROW(EM!$C$46)-ROW(EM!$C$14))*(MATCH(M$22,EM!$B$6:$B$9,0)-1),MIN(M$23-EM!$B$16+24,EM!$AF$16-EM!$B$16)),0)+
IF(ROUND(M$11,0)&gt;=26,OFFSET(EM!$B$17,ROW($A28)-ROW($A$26)+(ROW(EM!$C$46)-ROW(EM!$C$14))*(MATCH(M$22,EM!$B$6:$B$9,0)-1),MIN(M$23-EM!$B$16+25,EM!$AF$16-EM!$B$16)),0)+
IF(ROUND(M$11,0)&gt;=27,OFFSET(EM!$B$17,ROW($A28)-ROW($A$26)+(ROW(EM!$C$46)-ROW(EM!$C$14))*(MATCH(M$22,EM!$B$6:$B$9,0)-1),MIN(M$23-EM!$B$16+26,EM!$AF$16-EM!$B$16)),0)+
IF(ROUND(M$11,0)&gt;=28,OFFSET(EM!$B$17,ROW($A28)-ROW($A$26)+(ROW(EM!$C$46)-ROW(EM!$C$14))*(MATCH(M$22,EM!$B$6:$B$9,0)-1),MIN(M$23-EM!$B$16+27,EM!$AF$16-EM!$B$16)),0)+
IF(ROUND(M$11,0)&gt;=29,OFFSET(EM!$B$17,ROW($A28)-ROW($A$26)+(ROW(EM!$C$46)-ROW(EM!$C$14))*(MATCH(M$22,EM!$B$6:$B$9,0)-1),MIN(M$23-EM!$B$16+28,EM!$AF$16-EM!$B$16)),0)+
IF(ROUND(M$11,0)&gt;=30,OFFSET(EM!$B$17,ROW($A28)-ROW($A$26)+(ROW(EM!$C$46)-ROW(EM!$C$14))*(MATCH(M$22,EM!$B$6:$B$9,0)-1),MIN(M$23-EM!$B$16+29,EM!$AF$16-EM!$B$16)),0)+
IF(ROUND(M$11,0)&gt;=31,OFFSET(EM!$B$17,ROW($A28)-ROW($A$26)+(ROW(EM!$C$46)-ROW(EM!$C$14))*(MATCH(M$22,EM!$B$6:$B$9,0)-1),MIN(M$23-EM!$B$16+30,EM!$AF$16-EM!$B$16)),0)+
IF(ROUND(M$11,0)&gt;=32,OFFSET(EM!$B$17,ROW($A28)-ROW($A$26)+(ROW(EM!$C$46)-ROW(EM!$C$14))*(MATCH(M$22,EM!$B$6:$B$9,0)-1),MIN(M$23-EM!$B$16+31,EM!$AF$16-EM!$B$16)),0)+
IF(ROUND(M$11,0)&gt;=33,OFFSET(EM!$B$17,ROW($A28)-ROW($A$26)+(ROW(EM!$C$46)-ROW(EM!$C$14))*(MATCH(M$22,EM!$B$6:$B$9,0)-1),MIN(M$23-EM!$B$16+32,EM!$AF$16-EM!$B$16)),0)+
IF(ROUND(M$11,0)&gt;=34,OFFSET(EM!$B$17,ROW($A28)-ROW($A$26)+(ROW(EM!$C$46)-ROW(EM!$C$14))*(MATCH(M$22,EM!$B$6:$B$9,0)-1),MIN(M$23-EM!$B$16+33,EM!$AF$16-EM!$B$16)),0)+
IF(ROUND(M$11,0)&gt;=35,OFFSET(EM!$B$17,ROW($A28)-ROW($A$26)+(ROW(EM!$C$46)-ROW(EM!$C$14))*(MATCH(M$22,EM!$B$6:$B$9,0)-1),MIN(M$23-EM!$B$16+34,EM!$AF$16-EM!$B$16)),0)+
IF(ROUND(M$11,0)&gt;=36,OFFSET(EM!$B$17,ROW($A28)-ROW($A$26)+(ROW(EM!$C$46)-ROW(EM!$C$14))*(MATCH(M$22,EM!$B$6:$B$9,0)-1),MIN(M$23-EM!$B$16+35,EM!$AF$16-EM!$B$16)),0)+
IF(ROUND(M$11,0)&gt;=37,OFFSET(EM!$B$17,ROW($A28)-ROW($A$26)+(ROW(EM!$C$46)-ROW(EM!$C$14))*(MATCH(M$22,EM!$B$6:$B$9,0)-1),MIN(M$23-EM!$B$16+36,EM!$AF$16-EM!$B$16)),0)+
IF(ROUND(M$11,0)&gt;=38,OFFSET(EM!$B$17,ROW($A28)-ROW($A$26)+(ROW(EM!$C$46)-ROW(EM!$C$14))*(MATCH(M$22,EM!$B$6:$B$9,0)-1),MIN(M$23-EM!$B$16+37,EM!$AF$16-EM!$B$16)),0)+
IF(ROUND(M$11,0)&gt;=39,OFFSET(EM!$B$17,ROW($A28)-ROW($A$26)+(ROW(EM!$C$46)-ROW(EM!$C$14))*(MATCH(M$22,EM!$B$6:$B$9,0)-1),MIN(M$23-EM!$B$16+38,EM!$AF$16-EM!$B$16)),0)+
IF(ROUND(M$11,0)&gt;=40,OFFSET(EM!$B$17,ROW($A28)-ROW($A$26)+(ROW(EM!$C$46)-ROW(EM!$C$14))*(MATCH(M$22,EM!$B$6:$B$9,0)-1),MIN(M$23-EM!$B$16+39,EM!$AF$16-EM!$B$16)),0)
)/ROUND(M$11,0),NA()))</f>
        <v>0.56640000793562495</v>
      </c>
      <c r="N28" s="2046">
        <f ca="1">IF(N$19=GPG!$A$28,IF(ROW(N28)-ROW(N$26)+1=MATCH(N$20,GPG!$A$5:$A$11,0),1,0),
IF(N$19=GPG!$A$29,
(IF(ROUND(N$11,0)&gt;=1,OFFSET(EM!$B$17,ROW($A28)-ROW($A$26)+(ROW(EM!$C$46)-ROW(EM!$C$14))*(MATCH(N$22,EM!$B$6:$B$9,0)-1),MIN(N$23-EM!$B$16,EM!$AF$16-EM!$B$16)),0)+
IF(ROUND(N$11,0)&gt;=2,OFFSET(EM!$B$17,ROW($A28)-ROW($A$26)+(ROW(EM!$C$46)-ROW(EM!$C$14))*(MATCH(N$22,EM!$B$6:$B$9,0)-1),MIN(N$23-EM!$B$16+1,EM!$AF$16-EM!$B$16)),0)+
IF(ROUND(N$11,0)&gt;=3,OFFSET(EM!$B$17,ROW($A28)-ROW($A$26)+(ROW(EM!$C$46)-ROW(EM!$C$14))*(MATCH(N$22,EM!$B$6:$B$9,0)-1),MIN(N$23-EM!$B$16+2,EM!$AF$16-EM!$B$16)),0)+
IF(ROUND(N$11,0)&gt;=4,OFFSET(EM!$B$17,ROW($A28)-ROW($A$26)+(ROW(EM!$C$46)-ROW(EM!$C$14))*(MATCH(N$22,EM!$B$6:$B$9,0)-1),MIN(N$23-EM!$B$16+3,EM!$AF$16-EM!$B$16)),0)+
IF(ROUND(N$11,0)&gt;=5,OFFSET(EM!$B$17,ROW($A28)-ROW($A$26)+(ROW(EM!$C$46)-ROW(EM!$C$14))*(MATCH(N$22,EM!$B$6:$B$9,0)-1),MIN(N$23-EM!$B$16+4,EM!$AF$16-EM!$B$16)),0)+
IF(ROUND(N$11,0)&gt;=6,OFFSET(EM!$B$17,ROW($A28)-ROW($A$26)+(ROW(EM!$C$46)-ROW(EM!$C$14))*(MATCH(N$22,EM!$B$6:$B$9,0)-1),MIN(N$23-EM!$B$16+5,EM!$AF$16-EM!$B$16)),0)+
IF(ROUND(N$11,0)&gt;=7,OFFSET(EM!$B$17,ROW($A28)-ROW($A$26)+(ROW(EM!$C$46)-ROW(EM!$C$14))*(MATCH(N$22,EM!$B$6:$B$9,0)-1),MIN(N$23-EM!$B$16+6,EM!$AF$16-EM!$B$16)),0)+
IF(ROUND(N$11,0)&gt;=8,OFFSET(EM!$B$17,ROW($A28)-ROW($A$26)+(ROW(EM!$C$46)-ROW(EM!$C$14))*(MATCH(N$22,EM!$B$6:$B$9,0)-1),MIN(N$23-EM!$B$16+7,EM!$AF$16-EM!$B$16)),0)+
IF(ROUND(N$11,0)&gt;=9,OFFSET(EM!$B$17,ROW($A28)-ROW($A$26)+(ROW(EM!$C$46)-ROW(EM!$C$14))*(MATCH(N$22,EM!$B$6:$B$9,0)-1),MIN(N$23-EM!$B$16+8,EM!$AF$16-EM!$B$16)),0)+
IF(ROUND(N$11,0)&gt;=10,OFFSET(EM!$B$17,ROW($A28)-ROW($A$26)+(ROW(EM!$C$46)-ROW(EM!$C$14))*(MATCH(N$22,EM!$B$6:$B$9,0)-1),MIN(N$23-EM!$B$16+9,EM!$AF$16-EM!$B$16)),0)+
IF(ROUND(N$11,0)&gt;=11,OFFSET(EM!$B$17,ROW($A28)-ROW($A$26)+(ROW(EM!$C$46)-ROW(EM!$C$14))*(MATCH(N$22,EM!$B$6:$B$9,0)-1),MIN(N$23-EM!$B$16+10,EM!$AF$16-EM!$B$16)),0)+
IF(ROUND(N$11,0)&gt;=12,OFFSET(EM!$B$17,ROW($A28)-ROW($A$26)+(ROW(EM!$C$46)-ROW(EM!$C$14))*(MATCH(N$22,EM!$B$6:$B$9,0)-1),MIN(N$23-EM!$B$16+11,EM!$AF$16-EM!$B$16)),0)+
IF(ROUND(N$11,0)&gt;=13,OFFSET(EM!$B$17,ROW($A28)-ROW($A$26)+(ROW(EM!$C$46)-ROW(EM!$C$14))*(MATCH(N$22,EM!$B$6:$B$9,0)-1),MIN(N$23-EM!$B$16+12,EM!$AF$16-EM!$B$16)),0)+
IF(ROUND(N$11,0)&gt;=14,OFFSET(EM!$B$17,ROW($A28)-ROW($A$26)+(ROW(EM!$C$46)-ROW(EM!$C$14))*(MATCH(N$22,EM!$B$6:$B$9,0)-1),MIN(N$23-EM!$B$16+13,EM!$AF$16-EM!$B$16)),0)+
IF(ROUND(N$11,0)&gt;=15,OFFSET(EM!$B$17,ROW($A28)-ROW($A$26)+(ROW(EM!$C$46)-ROW(EM!$C$14))*(MATCH(N$22,EM!$B$6:$B$9,0)-1),MIN(N$23-EM!$B$16+14,EM!$AF$16-EM!$B$16)),0)+
IF(ROUND(N$11,0)&gt;=16,OFFSET(EM!$B$17,ROW($A28)-ROW($A$26)+(ROW(EM!$C$46)-ROW(EM!$C$14))*(MATCH(N$22,EM!$B$6:$B$9,0)-1),MIN(N$23-EM!$B$16+15,EM!$AF$16-EM!$B$16)),0)+
IF(ROUND(N$11,0)&gt;=17,OFFSET(EM!$B$17,ROW($A28)-ROW($A$26)+(ROW(EM!$C$46)-ROW(EM!$C$14))*(MATCH(N$22,EM!$B$6:$B$9,0)-1),MIN(N$23-EM!$B$16+16,EM!$AF$16-EM!$B$16)),0)+
IF(ROUND(N$11,0)&gt;=18,OFFSET(EM!$B$17,ROW($A28)-ROW($A$26)+(ROW(EM!$C$46)-ROW(EM!$C$14))*(MATCH(N$22,EM!$B$6:$B$9,0)-1),MIN(N$23-EM!$B$16+17,EM!$AF$16-EM!$B$16)),0)+
IF(ROUND(N$11,0)&gt;=19,OFFSET(EM!$B$17,ROW($A28)-ROW($A$26)+(ROW(EM!$C$46)-ROW(EM!$C$14))*(MATCH(N$22,EM!$B$6:$B$9,0)-1),MIN(N$23-EM!$B$16+18,EM!$AF$16-EM!$B$16)),0)+
IF(ROUND(N$11,0)&gt;=20,OFFSET(EM!$B$17,ROW($A28)-ROW($A$26)+(ROW(EM!$C$46)-ROW(EM!$C$14))*(MATCH(N$22,EM!$B$6:$B$9,0)-1),MIN(N$23-EM!$B$16+19,EM!$AF$16-EM!$B$16)),0)+
IF(ROUND(N$11,0)&gt;=21,OFFSET(EM!$B$17,ROW($A28)-ROW($A$26)+(ROW(EM!$C$46)-ROW(EM!$C$14))*(MATCH(N$22,EM!$B$6:$B$9,0)-1),MIN(N$23-EM!$B$16+20,EM!$AF$16-EM!$B$16)),0)+
IF(ROUND(N$11,0)&gt;=22,OFFSET(EM!$B$17,ROW($A28)-ROW($A$26)+(ROW(EM!$C$46)-ROW(EM!$C$14))*(MATCH(N$22,EM!$B$6:$B$9,0)-1),MIN(N$23-EM!$B$16+21,EM!$AF$16-EM!$B$16)),0)+
IF(ROUND(N$11,0)&gt;=23,OFFSET(EM!$B$17,ROW($A28)-ROW($A$26)+(ROW(EM!$C$46)-ROW(EM!$C$14))*(MATCH(N$22,EM!$B$6:$B$9,0)-1),MIN(N$23-EM!$B$16+22,EM!$AF$16-EM!$B$16)),0)+
IF(ROUND(N$11,0)&gt;=24,OFFSET(EM!$B$17,ROW($A28)-ROW($A$26)+(ROW(EM!$C$46)-ROW(EM!$C$14))*(MATCH(N$22,EM!$B$6:$B$9,0)-1),MIN(N$23-EM!$B$16+23,EM!$AF$16-EM!$B$16)),0)+
IF(ROUND(N$11,0)&gt;=25,OFFSET(EM!$B$17,ROW($A28)-ROW($A$26)+(ROW(EM!$C$46)-ROW(EM!$C$14))*(MATCH(N$22,EM!$B$6:$B$9,0)-1),MIN(N$23-EM!$B$16+24,EM!$AF$16-EM!$B$16)),0)+
IF(ROUND(N$11,0)&gt;=26,OFFSET(EM!$B$17,ROW($A28)-ROW($A$26)+(ROW(EM!$C$46)-ROW(EM!$C$14))*(MATCH(N$22,EM!$B$6:$B$9,0)-1),MIN(N$23-EM!$B$16+25,EM!$AF$16-EM!$B$16)),0)+
IF(ROUND(N$11,0)&gt;=27,OFFSET(EM!$B$17,ROW($A28)-ROW($A$26)+(ROW(EM!$C$46)-ROW(EM!$C$14))*(MATCH(N$22,EM!$B$6:$B$9,0)-1),MIN(N$23-EM!$B$16+26,EM!$AF$16-EM!$B$16)),0)+
IF(ROUND(N$11,0)&gt;=28,OFFSET(EM!$B$17,ROW($A28)-ROW($A$26)+(ROW(EM!$C$46)-ROW(EM!$C$14))*(MATCH(N$22,EM!$B$6:$B$9,0)-1),MIN(N$23-EM!$B$16+27,EM!$AF$16-EM!$B$16)),0)+
IF(ROUND(N$11,0)&gt;=29,OFFSET(EM!$B$17,ROW($A28)-ROW($A$26)+(ROW(EM!$C$46)-ROW(EM!$C$14))*(MATCH(N$22,EM!$B$6:$B$9,0)-1),MIN(N$23-EM!$B$16+28,EM!$AF$16-EM!$B$16)),0)+
IF(ROUND(N$11,0)&gt;=30,OFFSET(EM!$B$17,ROW($A28)-ROW($A$26)+(ROW(EM!$C$46)-ROW(EM!$C$14))*(MATCH(N$22,EM!$B$6:$B$9,0)-1),MIN(N$23-EM!$B$16+29,EM!$AF$16-EM!$B$16)),0)+
IF(ROUND(N$11,0)&gt;=31,OFFSET(EM!$B$17,ROW($A28)-ROW($A$26)+(ROW(EM!$C$46)-ROW(EM!$C$14))*(MATCH(N$22,EM!$B$6:$B$9,0)-1),MIN(N$23-EM!$B$16+30,EM!$AF$16-EM!$B$16)),0)+
IF(ROUND(N$11,0)&gt;=32,OFFSET(EM!$B$17,ROW($A28)-ROW($A$26)+(ROW(EM!$C$46)-ROW(EM!$C$14))*(MATCH(N$22,EM!$B$6:$B$9,0)-1),MIN(N$23-EM!$B$16+31,EM!$AF$16-EM!$B$16)),0)+
IF(ROUND(N$11,0)&gt;=33,OFFSET(EM!$B$17,ROW($A28)-ROW($A$26)+(ROW(EM!$C$46)-ROW(EM!$C$14))*(MATCH(N$22,EM!$B$6:$B$9,0)-1),MIN(N$23-EM!$B$16+32,EM!$AF$16-EM!$B$16)),0)+
IF(ROUND(N$11,0)&gt;=34,OFFSET(EM!$B$17,ROW($A28)-ROW($A$26)+(ROW(EM!$C$46)-ROW(EM!$C$14))*(MATCH(N$22,EM!$B$6:$B$9,0)-1),MIN(N$23-EM!$B$16+33,EM!$AF$16-EM!$B$16)),0)+
IF(ROUND(N$11,0)&gt;=35,OFFSET(EM!$B$17,ROW($A28)-ROW($A$26)+(ROW(EM!$C$46)-ROW(EM!$C$14))*(MATCH(N$22,EM!$B$6:$B$9,0)-1),MIN(N$23-EM!$B$16+34,EM!$AF$16-EM!$B$16)),0)+
IF(ROUND(N$11,0)&gt;=36,OFFSET(EM!$B$17,ROW($A28)-ROW($A$26)+(ROW(EM!$C$46)-ROW(EM!$C$14))*(MATCH(N$22,EM!$B$6:$B$9,0)-1),MIN(N$23-EM!$B$16+35,EM!$AF$16-EM!$B$16)),0)+
IF(ROUND(N$11,0)&gt;=37,OFFSET(EM!$B$17,ROW($A28)-ROW($A$26)+(ROW(EM!$C$46)-ROW(EM!$C$14))*(MATCH(N$22,EM!$B$6:$B$9,0)-1),MIN(N$23-EM!$B$16+36,EM!$AF$16-EM!$B$16)),0)+
IF(ROUND(N$11,0)&gt;=38,OFFSET(EM!$B$17,ROW($A28)-ROW($A$26)+(ROW(EM!$C$46)-ROW(EM!$C$14))*(MATCH(N$22,EM!$B$6:$B$9,0)-1),MIN(N$23-EM!$B$16+37,EM!$AF$16-EM!$B$16)),0)+
IF(ROUND(N$11,0)&gt;=39,OFFSET(EM!$B$17,ROW($A28)-ROW($A$26)+(ROW(EM!$C$46)-ROW(EM!$C$14))*(MATCH(N$22,EM!$B$6:$B$9,0)-1),MIN(N$23-EM!$B$16+38,EM!$AF$16-EM!$B$16)),0)+
IF(ROUND(N$11,0)&gt;=40,OFFSET(EM!$B$17,ROW($A28)-ROW($A$26)+(ROW(EM!$C$46)-ROW(EM!$C$14))*(MATCH(N$22,EM!$B$6:$B$9,0)-1),MIN(N$23-EM!$B$16+39,EM!$AF$16-EM!$B$16)),0)
)/ROUND(N$11,0),NA()))</f>
        <v>0.56640000793562495</v>
      </c>
      <c r="O28" s="2046">
        <f ca="1">IF(O$19=GPG!$A$28,IF(ROW(O28)-ROW(O$26)+1=MATCH(O$20,GPG!$A$5:$A$11,0),1,0),
IF(O$19=GPG!$A$29,
(IF(ROUND(O$11,0)&gt;=1,OFFSET(EM!$B$17,ROW($A28)-ROW($A$26)+(ROW(EM!$C$46)-ROW(EM!$C$14))*(MATCH(O$22,EM!$B$6:$B$9,0)-1),MIN(O$23-EM!$B$16,EM!$AF$16-EM!$B$16)),0)+
IF(ROUND(O$11,0)&gt;=2,OFFSET(EM!$B$17,ROW($A28)-ROW($A$26)+(ROW(EM!$C$46)-ROW(EM!$C$14))*(MATCH(O$22,EM!$B$6:$B$9,0)-1),MIN(O$23-EM!$B$16+1,EM!$AF$16-EM!$B$16)),0)+
IF(ROUND(O$11,0)&gt;=3,OFFSET(EM!$B$17,ROW($A28)-ROW($A$26)+(ROW(EM!$C$46)-ROW(EM!$C$14))*(MATCH(O$22,EM!$B$6:$B$9,0)-1),MIN(O$23-EM!$B$16+2,EM!$AF$16-EM!$B$16)),0)+
IF(ROUND(O$11,0)&gt;=4,OFFSET(EM!$B$17,ROW($A28)-ROW($A$26)+(ROW(EM!$C$46)-ROW(EM!$C$14))*(MATCH(O$22,EM!$B$6:$B$9,0)-1),MIN(O$23-EM!$B$16+3,EM!$AF$16-EM!$B$16)),0)+
IF(ROUND(O$11,0)&gt;=5,OFFSET(EM!$B$17,ROW($A28)-ROW($A$26)+(ROW(EM!$C$46)-ROW(EM!$C$14))*(MATCH(O$22,EM!$B$6:$B$9,0)-1),MIN(O$23-EM!$B$16+4,EM!$AF$16-EM!$B$16)),0)+
IF(ROUND(O$11,0)&gt;=6,OFFSET(EM!$B$17,ROW($A28)-ROW($A$26)+(ROW(EM!$C$46)-ROW(EM!$C$14))*(MATCH(O$22,EM!$B$6:$B$9,0)-1),MIN(O$23-EM!$B$16+5,EM!$AF$16-EM!$B$16)),0)+
IF(ROUND(O$11,0)&gt;=7,OFFSET(EM!$B$17,ROW($A28)-ROW($A$26)+(ROW(EM!$C$46)-ROW(EM!$C$14))*(MATCH(O$22,EM!$B$6:$B$9,0)-1),MIN(O$23-EM!$B$16+6,EM!$AF$16-EM!$B$16)),0)+
IF(ROUND(O$11,0)&gt;=8,OFFSET(EM!$B$17,ROW($A28)-ROW($A$26)+(ROW(EM!$C$46)-ROW(EM!$C$14))*(MATCH(O$22,EM!$B$6:$B$9,0)-1),MIN(O$23-EM!$B$16+7,EM!$AF$16-EM!$B$16)),0)+
IF(ROUND(O$11,0)&gt;=9,OFFSET(EM!$B$17,ROW($A28)-ROW($A$26)+(ROW(EM!$C$46)-ROW(EM!$C$14))*(MATCH(O$22,EM!$B$6:$B$9,0)-1),MIN(O$23-EM!$B$16+8,EM!$AF$16-EM!$B$16)),0)+
IF(ROUND(O$11,0)&gt;=10,OFFSET(EM!$B$17,ROW($A28)-ROW($A$26)+(ROW(EM!$C$46)-ROW(EM!$C$14))*(MATCH(O$22,EM!$B$6:$B$9,0)-1),MIN(O$23-EM!$B$16+9,EM!$AF$16-EM!$B$16)),0)+
IF(ROUND(O$11,0)&gt;=11,OFFSET(EM!$B$17,ROW($A28)-ROW($A$26)+(ROW(EM!$C$46)-ROW(EM!$C$14))*(MATCH(O$22,EM!$B$6:$B$9,0)-1),MIN(O$23-EM!$B$16+10,EM!$AF$16-EM!$B$16)),0)+
IF(ROUND(O$11,0)&gt;=12,OFFSET(EM!$B$17,ROW($A28)-ROW($A$26)+(ROW(EM!$C$46)-ROW(EM!$C$14))*(MATCH(O$22,EM!$B$6:$B$9,0)-1),MIN(O$23-EM!$B$16+11,EM!$AF$16-EM!$B$16)),0)+
IF(ROUND(O$11,0)&gt;=13,OFFSET(EM!$B$17,ROW($A28)-ROW($A$26)+(ROW(EM!$C$46)-ROW(EM!$C$14))*(MATCH(O$22,EM!$B$6:$B$9,0)-1),MIN(O$23-EM!$B$16+12,EM!$AF$16-EM!$B$16)),0)+
IF(ROUND(O$11,0)&gt;=14,OFFSET(EM!$B$17,ROW($A28)-ROW($A$26)+(ROW(EM!$C$46)-ROW(EM!$C$14))*(MATCH(O$22,EM!$B$6:$B$9,0)-1),MIN(O$23-EM!$B$16+13,EM!$AF$16-EM!$B$16)),0)+
IF(ROUND(O$11,0)&gt;=15,OFFSET(EM!$B$17,ROW($A28)-ROW($A$26)+(ROW(EM!$C$46)-ROW(EM!$C$14))*(MATCH(O$22,EM!$B$6:$B$9,0)-1),MIN(O$23-EM!$B$16+14,EM!$AF$16-EM!$B$16)),0)+
IF(ROUND(O$11,0)&gt;=16,OFFSET(EM!$B$17,ROW($A28)-ROW($A$26)+(ROW(EM!$C$46)-ROW(EM!$C$14))*(MATCH(O$22,EM!$B$6:$B$9,0)-1),MIN(O$23-EM!$B$16+15,EM!$AF$16-EM!$B$16)),0)+
IF(ROUND(O$11,0)&gt;=17,OFFSET(EM!$B$17,ROW($A28)-ROW($A$26)+(ROW(EM!$C$46)-ROW(EM!$C$14))*(MATCH(O$22,EM!$B$6:$B$9,0)-1),MIN(O$23-EM!$B$16+16,EM!$AF$16-EM!$B$16)),0)+
IF(ROUND(O$11,0)&gt;=18,OFFSET(EM!$B$17,ROW($A28)-ROW($A$26)+(ROW(EM!$C$46)-ROW(EM!$C$14))*(MATCH(O$22,EM!$B$6:$B$9,0)-1),MIN(O$23-EM!$B$16+17,EM!$AF$16-EM!$B$16)),0)+
IF(ROUND(O$11,0)&gt;=19,OFFSET(EM!$B$17,ROW($A28)-ROW($A$26)+(ROW(EM!$C$46)-ROW(EM!$C$14))*(MATCH(O$22,EM!$B$6:$B$9,0)-1),MIN(O$23-EM!$B$16+18,EM!$AF$16-EM!$B$16)),0)+
IF(ROUND(O$11,0)&gt;=20,OFFSET(EM!$B$17,ROW($A28)-ROW($A$26)+(ROW(EM!$C$46)-ROW(EM!$C$14))*(MATCH(O$22,EM!$B$6:$B$9,0)-1),MIN(O$23-EM!$B$16+19,EM!$AF$16-EM!$B$16)),0)+
IF(ROUND(O$11,0)&gt;=21,OFFSET(EM!$B$17,ROW($A28)-ROW($A$26)+(ROW(EM!$C$46)-ROW(EM!$C$14))*(MATCH(O$22,EM!$B$6:$B$9,0)-1),MIN(O$23-EM!$B$16+20,EM!$AF$16-EM!$B$16)),0)+
IF(ROUND(O$11,0)&gt;=22,OFFSET(EM!$B$17,ROW($A28)-ROW($A$26)+(ROW(EM!$C$46)-ROW(EM!$C$14))*(MATCH(O$22,EM!$B$6:$B$9,0)-1),MIN(O$23-EM!$B$16+21,EM!$AF$16-EM!$B$16)),0)+
IF(ROUND(O$11,0)&gt;=23,OFFSET(EM!$B$17,ROW($A28)-ROW($A$26)+(ROW(EM!$C$46)-ROW(EM!$C$14))*(MATCH(O$22,EM!$B$6:$B$9,0)-1),MIN(O$23-EM!$B$16+22,EM!$AF$16-EM!$B$16)),0)+
IF(ROUND(O$11,0)&gt;=24,OFFSET(EM!$B$17,ROW($A28)-ROW($A$26)+(ROW(EM!$C$46)-ROW(EM!$C$14))*(MATCH(O$22,EM!$B$6:$B$9,0)-1),MIN(O$23-EM!$B$16+23,EM!$AF$16-EM!$B$16)),0)+
IF(ROUND(O$11,0)&gt;=25,OFFSET(EM!$B$17,ROW($A28)-ROW($A$26)+(ROW(EM!$C$46)-ROW(EM!$C$14))*(MATCH(O$22,EM!$B$6:$B$9,0)-1),MIN(O$23-EM!$B$16+24,EM!$AF$16-EM!$B$16)),0)+
IF(ROUND(O$11,0)&gt;=26,OFFSET(EM!$B$17,ROW($A28)-ROW($A$26)+(ROW(EM!$C$46)-ROW(EM!$C$14))*(MATCH(O$22,EM!$B$6:$B$9,0)-1),MIN(O$23-EM!$B$16+25,EM!$AF$16-EM!$B$16)),0)+
IF(ROUND(O$11,0)&gt;=27,OFFSET(EM!$B$17,ROW($A28)-ROW($A$26)+(ROW(EM!$C$46)-ROW(EM!$C$14))*(MATCH(O$22,EM!$B$6:$B$9,0)-1),MIN(O$23-EM!$B$16+26,EM!$AF$16-EM!$B$16)),0)+
IF(ROUND(O$11,0)&gt;=28,OFFSET(EM!$B$17,ROW($A28)-ROW($A$26)+(ROW(EM!$C$46)-ROW(EM!$C$14))*(MATCH(O$22,EM!$B$6:$B$9,0)-1),MIN(O$23-EM!$B$16+27,EM!$AF$16-EM!$B$16)),0)+
IF(ROUND(O$11,0)&gt;=29,OFFSET(EM!$B$17,ROW($A28)-ROW($A$26)+(ROW(EM!$C$46)-ROW(EM!$C$14))*(MATCH(O$22,EM!$B$6:$B$9,0)-1),MIN(O$23-EM!$B$16+28,EM!$AF$16-EM!$B$16)),0)+
IF(ROUND(O$11,0)&gt;=30,OFFSET(EM!$B$17,ROW($A28)-ROW($A$26)+(ROW(EM!$C$46)-ROW(EM!$C$14))*(MATCH(O$22,EM!$B$6:$B$9,0)-1),MIN(O$23-EM!$B$16+29,EM!$AF$16-EM!$B$16)),0)+
IF(ROUND(O$11,0)&gt;=31,OFFSET(EM!$B$17,ROW($A28)-ROW($A$26)+(ROW(EM!$C$46)-ROW(EM!$C$14))*(MATCH(O$22,EM!$B$6:$B$9,0)-1),MIN(O$23-EM!$B$16+30,EM!$AF$16-EM!$B$16)),0)+
IF(ROUND(O$11,0)&gt;=32,OFFSET(EM!$B$17,ROW($A28)-ROW($A$26)+(ROW(EM!$C$46)-ROW(EM!$C$14))*(MATCH(O$22,EM!$B$6:$B$9,0)-1),MIN(O$23-EM!$B$16+31,EM!$AF$16-EM!$B$16)),0)+
IF(ROUND(O$11,0)&gt;=33,OFFSET(EM!$B$17,ROW($A28)-ROW($A$26)+(ROW(EM!$C$46)-ROW(EM!$C$14))*(MATCH(O$22,EM!$B$6:$B$9,0)-1),MIN(O$23-EM!$B$16+32,EM!$AF$16-EM!$B$16)),0)+
IF(ROUND(O$11,0)&gt;=34,OFFSET(EM!$B$17,ROW($A28)-ROW($A$26)+(ROW(EM!$C$46)-ROW(EM!$C$14))*(MATCH(O$22,EM!$B$6:$B$9,0)-1),MIN(O$23-EM!$B$16+33,EM!$AF$16-EM!$B$16)),0)+
IF(ROUND(O$11,0)&gt;=35,OFFSET(EM!$B$17,ROW($A28)-ROW($A$26)+(ROW(EM!$C$46)-ROW(EM!$C$14))*(MATCH(O$22,EM!$B$6:$B$9,0)-1),MIN(O$23-EM!$B$16+34,EM!$AF$16-EM!$B$16)),0)+
IF(ROUND(O$11,0)&gt;=36,OFFSET(EM!$B$17,ROW($A28)-ROW($A$26)+(ROW(EM!$C$46)-ROW(EM!$C$14))*(MATCH(O$22,EM!$B$6:$B$9,0)-1),MIN(O$23-EM!$B$16+35,EM!$AF$16-EM!$B$16)),0)+
IF(ROUND(O$11,0)&gt;=37,OFFSET(EM!$B$17,ROW($A28)-ROW($A$26)+(ROW(EM!$C$46)-ROW(EM!$C$14))*(MATCH(O$22,EM!$B$6:$B$9,0)-1),MIN(O$23-EM!$B$16+36,EM!$AF$16-EM!$B$16)),0)+
IF(ROUND(O$11,0)&gt;=38,OFFSET(EM!$B$17,ROW($A28)-ROW($A$26)+(ROW(EM!$C$46)-ROW(EM!$C$14))*(MATCH(O$22,EM!$B$6:$B$9,0)-1),MIN(O$23-EM!$B$16+37,EM!$AF$16-EM!$B$16)),0)+
IF(ROUND(O$11,0)&gt;=39,OFFSET(EM!$B$17,ROW($A28)-ROW($A$26)+(ROW(EM!$C$46)-ROW(EM!$C$14))*(MATCH(O$22,EM!$B$6:$B$9,0)-1),MIN(O$23-EM!$B$16+38,EM!$AF$16-EM!$B$16)),0)+
IF(ROUND(O$11,0)&gt;=40,OFFSET(EM!$B$17,ROW($A28)-ROW($A$26)+(ROW(EM!$C$46)-ROW(EM!$C$14))*(MATCH(O$22,EM!$B$6:$B$9,0)-1),MIN(O$23-EM!$B$16+39,EM!$AF$16-EM!$B$16)),0)
)/ROUND(O$11,0),NA()))</f>
        <v>0.72705457895591852</v>
      </c>
      <c r="P28" s="2046">
        <f ca="1">IF(P$19=GPG!$A$28,IF(ROW(P28)-ROW(P$26)+1=MATCH(P$20,GPG!$A$5:$A$11,0),1,0),
IF(P$19=GPG!$A$29,
(IF(ROUND(P$11,0)&gt;=1,OFFSET(EM!$B$17,ROW($A28)-ROW($A$26)+(ROW(EM!$C$46)-ROW(EM!$C$14))*(MATCH(P$22,EM!$B$6:$B$9,0)-1),MIN(P$23-EM!$B$16,EM!$AF$16-EM!$B$16)),0)+
IF(ROUND(P$11,0)&gt;=2,OFFSET(EM!$B$17,ROW($A28)-ROW($A$26)+(ROW(EM!$C$46)-ROW(EM!$C$14))*(MATCH(P$22,EM!$B$6:$B$9,0)-1),MIN(P$23-EM!$B$16+1,EM!$AF$16-EM!$B$16)),0)+
IF(ROUND(P$11,0)&gt;=3,OFFSET(EM!$B$17,ROW($A28)-ROW($A$26)+(ROW(EM!$C$46)-ROW(EM!$C$14))*(MATCH(P$22,EM!$B$6:$B$9,0)-1),MIN(P$23-EM!$B$16+2,EM!$AF$16-EM!$B$16)),0)+
IF(ROUND(P$11,0)&gt;=4,OFFSET(EM!$B$17,ROW($A28)-ROW($A$26)+(ROW(EM!$C$46)-ROW(EM!$C$14))*(MATCH(P$22,EM!$B$6:$B$9,0)-1),MIN(P$23-EM!$B$16+3,EM!$AF$16-EM!$B$16)),0)+
IF(ROUND(P$11,0)&gt;=5,OFFSET(EM!$B$17,ROW($A28)-ROW($A$26)+(ROW(EM!$C$46)-ROW(EM!$C$14))*(MATCH(P$22,EM!$B$6:$B$9,0)-1),MIN(P$23-EM!$B$16+4,EM!$AF$16-EM!$B$16)),0)+
IF(ROUND(P$11,0)&gt;=6,OFFSET(EM!$B$17,ROW($A28)-ROW($A$26)+(ROW(EM!$C$46)-ROW(EM!$C$14))*(MATCH(P$22,EM!$B$6:$B$9,0)-1),MIN(P$23-EM!$B$16+5,EM!$AF$16-EM!$B$16)),0)+
IF(ROUND(P$11,0)&gt;=7,OFFSET(EM!$B$17,ROW($A28)-ROW($A$26)+(ROW(EM!$C$46)-ROW(EM!$C$14))*(MATCH(P$22,EM!$B$6:$B$9,0)-1),MIN(P$23-EM!$B$16+6,EM!$AF$16-EM!$B$16)),0)+
IF(ROUND(P$11,0)&gt;=8,OFFSET(EM!$B$17,ROW($A28)-ROW($A$26)+(ROW(EM!$C$46)-ROW(EM!$C$14))*(MATCH(P$22,EM!$B$6:$B$9,0)-1),MIN(P$23-EM!$B$16+7,EM!$AF$16-EM!$B$16)),0)+
IF(ROUND(P$11,0)&gt;=9,OFFSET(EM!$B$17,ROW($A28)-ROW($A$26)+(ROW(EM!$C$46)-ROW(EM!$C$14))*(MATCH(P$22,EM!$B$6:$B$9,0)-1),MIN(P$23-EM!$B$16+8,EM!$AF$16-EM!$B$16)),0)+
IF(ROUND(P$11,0)&gt;=10,OFFSET(EM!$B$17,ROW($A28)-ROW($A$26)+(ROW(EM!$C$46)-ROW(EM!$C$14))*(MATCH(P$22,EM!$B$6:$B$9,0)-1),MIN(P$23-EM!$B$16+9,EM!$AF$16-EM!$B$16)),0)+
IF(ROUND(P$11,0)&gt;=11,OFFSET(EM!$B$17,ROW($A28)-ROW($A$26)+(ROW(EM!$C$46)-ROW(EM!$C$14))*(MATCH(P$22,EM!$B$6:$B$9,0)-1),MIN(P$23-EM!$B$16+10,EM!$AF$16-EM!$B$16)),0)+
IF(ROUND(P$11,0)&gt;=12,OFFSET(EM!$B$17,ROW($A28)-ROW($A$26)+(ROW(EM!$C$46)-ROW(EM!$C$14))*(MATCH(P$22,EM!$B$6:$B$9,0)-1),MIN(P$23-EM!$B$16+11,EM!$AF$16-EM!$B$16)),0)+
IF(ROUND(P$11,0)&gt;=13,OFFSET(EM!$B$17,ROW($A28)-ROW($A$26)+(ROW(EM!$C$46)-ROW(EM!$C$14))*(MATCH(P$22,EM!$B$6:$B$9,0)-1),MIN(P$23-EM!$B$16+12,EM!$AF$16-EM!$B$16)),0)+
IF(ROUND(P$11,0)&gt;=14,OFFSET(EM!$B$17,ROW($A28)-ROW($A$26)+(ROW(EM!$C$46)-ROW(EM!$C$14))*(MATCH(P$22,EM!$B$6:$B$9,0)-1),MIN(P$23-EM!$B$16+13,EM!$AF$16-EM!$B$16)),0)+
IF(ROUND(P$11,0)&gt;=15,OFFSET(EM!$B$17,ROW($A28)-ROW($A$26)+(ROW(EM!$C$46)-ROW(EM!$C$14))*(MATCH(P$22,EM!$B$6:$B$9,0)-1),MIN(P$23-EM!$B$16+14,EM!$AF$16-EM!$B$16)),0)+
IF(ROUND(P$11,0)&gt;=16,OFFSET(EM!$B$17,ROW($A28)-ROW($A$26)+(ROW(EM!$C$46)-ROW(EM!$C$14))*(MATCH(P$22,EM!$B$6:$B$9,0)-1),MIN(P$23-EM!$B$16+15,EM!$AF$16-EM!$B$16)),0)+
IF(ROUND(P$11,0)&gt;=17,OFFSET(EM!$B$17,ROW($A28)-ROW($A$26)+(ROW(EM!$C$46)-ROW(EM!$C$14))*(MATCH(P$22,EM!$B$6:$B$9,0)-1),MIN(P$23-EM!$B$16+16,EM!$AF$16-EM!$B$16)),0)+
IF(ROUND(P$11,0)&gt;=18,OFFSET(EM!$B$17,ROW($A28)-ROW($A$26)+(ROW(EM!$C$46)-ROW(EM!$C$14))*(MATCH(P$22,EM!$B$6:$B$9,0)-1),MIN(P$23-EM!$B$16+17,EM!$AF$16-EM!$B$16)),0)+
IF(ROUND(P$11,0)&gt;=19,OFFSET(EM!$B$17,ROW($A28)-ROW($A$26)+(ROW(EM!$C$46)-ROW(EM!$C$14))*(MATCH(P$22,EM!$B$6:$B$9,0)-1),MIN(P$23-EM!$B$16+18,EM!$AF$16-EM!$B$16)),0)+
IF(ROUND(P$11,0)&gt;=20,OFFSET(EM!$B$17,ROW($A28)-ROW($A$26)+(ROW(EM!$C$46)-ROW(EM!$C$14))*(MATCH(P$22,EM!$B$6:$B$9,0)-1),MIN(P$23-EM!$B$16+19,EM!$AF$16-EM!$B$16)),0)+
IF(ROUND(P$11,0)&gt;=21,OFFSET(EM!$B$17,ROW($A28)-ROW($A$26)+(ROW(EM!$C$46)-ROW(EM!$C$14))*(MATCH(P$22,EM!$B$6:$B$9,0)-1),MIN(P$23-EM!$B$16+20,EM!$AF$16-EM!$B$16)),0)+
IF(ROUND(P$11,0)&gt;=22,OFFSET(EM!$B$17,ROW($A28)-ROW($A$26)+(ROW(EM!$C$46)-ROW(EM!$C$14))*(MATCH(P$22,EM!$B$6:$B$9,0)-1),MIN(P$23-EM!$B$16+21,EM!$AF$16-EM!$B$16)),0)+
IF(ROUND(P$11,0)&gt;=23,OFFSET(EM!$B$17,ROW($A28)-ROW($A$26)+(ROW(EM!$C$46)-ROW(EM!$C$14))*(MATCH(P$22,EM!$B$6:$B$9,0)-1),MIN(P$23-EM!$B$16+22,EM!$AF$16-EM!$B$16)),0)+
IF(ROUND(P$11,0)&gt;=24,OFFSET(EM!$B$17,ROW($A28)-ROW($A$26)+(ROW(EM!$C$46)-ROW(EM!$C$14))*(MATCH(P$22,EM!$B$6:$B$9,0)-1),MIN(P$23-EM!$B$16+23,EM!$AF$16-EM!$B$16)),0)+
IF(ROUND(P$11,0)&gt;=25,OFFSET(EM!$B$17,ROW($A28)-ROW($A$26)+(ROW(EM!$C$46)-ROW(EM!$C$14))*(MATCH(P$22,EM!$B$6:$B$9,0)-1),MIN(P$23-EM!$B$16+24,EM!$AF$16-EM!$B$16)),0)+
IF(ROUND(P$11,0)&gt;=26,OFFSET(EM!$B$17,ROW($A28)-ROW($A$26)+(ROW(EM!$C$46)-ROW(EM!$C$14))*(MATCH(P$22,EM!$B$6:$B$9,0)-1),MIN(P$23-EM!$B$16+25,EM!$AF$16-EM!$B$16)),0)+
IF(ROUND(P$11,0)&gt;=27,OFFSET(EM!$B$17,ROW($A28)-ROW($A$26)+(ROW(EM!$C$46)-ROW(EM!$C$14))*(MATCH(P$22,EM!$B$6:$B$9,0)-1),MIN(P$23-EM!$B$16+26,EM!$AF$16-EM!$B$16)),0)+
IF(ROUND(P$11,0)&gt;=28,OFFSET(EM!$B$17,ROW($A28)-ROW($A$26)+(ROW(EM!$C$46)-ROW(EM!$C$14))*(MATCH(P$22,EM!$B$6:$B$9,0)-1),MIN(P$23-EM!$B$16+27,EM!$AF$16-EM!$B$16)),0)+
IF(ROUND(P$11,0)&gt;=29,OFFSET(EM!$B$17,ROW($A28)-ROW($A$26)+(ROW(EM!$C$46)-ROW(EM!$C$14))*(MATCH(P$22,EM!$B$6:$B$9,0)-1),MIN(P$23-EM!$B$16+28,EM!$AF$16-EM!$B$16)),0)+
IF(ROUND(P$11,0)&gt;=30,OFFSET(EM!$B$17,ROW($A28)-ROW($A$26)+(ROW(EM!$C$46)-ROW(EM!$C$14))*(MATCH(P$22,EM!$B$6:$B$9,0)-1),MIN(P$23-EM!$B$16+29,EM!$AF$16-EM!$B$16)),0)+
IF(ROUND(P$11,0)&gt;=31,OFFSET(EM!$B$17,ROW($A28)-ROW($A$26)+(ROW(EM!$C$46)-ROW(EM!$C$14))*(MATCH(P$22,EM!$B$6:$B$9,0)-1),MIN(P$23-EM!$B$16+30,EM!$AF$16-EM!$B$16)),0)+
IF(ROUND(P$11,0)&gt;=32,OFFSET(EM!$B$17,ROW($A28)-ROW($A$26)+(ROW(EM!$C$46)-ROW(EM!$C$14))*(MATCH(P$22,EM!$B$6:$B$9,0)-1),MIN(P$23-EM!$B$16+31,EM!$AF$16-EM!$B$16)),0)+
IF(ROUND(P$11,0)&gt;=33,OFFSET(EM!$B$17,ROW($A28)-ROW($A$26)+(ROW(EM!$C$46)-ROW(EM!$C$14))*(MATCH(P$22,EM!$B$6:$B$9,0)-1),MIN(P$23-EM!$B$16+32,EM!$AF$16-EM!$B$16)),0)+
IF(ROUND(P$11,0)&gt;=34,OFFSET(EM!$B$17,ROW($A28)-ROW($A$26)+(ROW(EM!$C$46)-ROW(EM!$C$14))*(MATCH(P$22,EM!$B$6:$B$9,0)-1),MIN(P$23-EM!$B$16+33,EM!$AF$16-EM!$B$16)),0)+
IF(ROUND(P$11,0)&gt;=35,OFFSET(EM!$B$17,ROW($A28)-ROW($A$26)+(ROW(EM!$C$46)-ROW(EM!$C$14))*(MATCH(P$22,EM!$B$6:$B$9,0)-1),MIN(P$23-EM!$B$16+34,EM!$AF$16-EM!$B$16)),0)+
IF(ROUND(P$11,0)&gt;=36,OFFSET(EM!$B$17,ROW($A28)-ROW($A$26)+(ROW(EM!$C$46)-ROW(EM!$C$14))*(MATCH(P$22,EM!$B$6:$B$9,0)-1),MIN(P$23-EM!$B$16+35,EM!$AF$16-EM!$B$16)),0)+
IF(ROUND(P$11,0)&gt;=37,OFFSET(EM!$B$17,ROW($A28)-ROW($A$26)+(ROW(EM!$C$46)-ROW(EM!$C$14))*(MATCH(P$22,EM!$B$6:$B$9,0)-1),MIN(P$23-EM!$B$16+36,EM!$AF$16-EM!$B$16)),0)+
IF(ROUND(P$11,0)&gt;=38,OFFSET(EM!$B$17,ROW($A28)-ROW($A$26)+(ROW(EM!$C$46)-ROW(EM!$C$14))*(MATCH(P$22,EM!$B$6:$B$9,0)-1),MIN(P$23-EM!$B$16+37,EM!$AF$16-EM!$B$16)),0)+
IF(ROUND(P$11,0)&gt;=39,OFFSET(EM!$B$17,ROW($A28)-ROW($A$26)+(ROW(EM!$C$46)-ROW(EM!$C$14))*(MATCH(P$22,EM!$B$6:$B$9,0)-1),MIN(P$23-EM!$B$16+38,EM!$AF$16-EM!$B$16)),0)+
IF(ROUND(P$11,0)&gt;=40,OFFSET(EM!$B$17,ROW($A28)-ROW($A$26)+(ROW(EM!$C$46)-ROW(EM!$C$14))*(MATCH(P$22,EM!$B$6:$B$9,0)-1),MIN(P$23-EM!$B$16+39,EM!$AF$16-EM!$B$16)),0)
)/ROUND(P$11,0),NA()))</f>
        <v>0.72705457895591852</v>
      </c>
      <c r="Q28" s="2046">
        <f ca="1">IF(Q$19=GPG!$A$28,IF(ROW(Q28)-ROW(Q$26)+1=MATCH(Q$20,GPG!$A$5:$A$11,0),1,0),
IF(Q$19=GPG!$A$29,
(IF(ROUND(Q$11,0)&gt;=1,OFFSET(EM!$B$17,ROW($A28)-ROW($A$26)+(ROW(EM!$C$46)-ROW(EM!$C$14))*(MATCH(Q$22,EM!$B$6:$B$9,0)-1),MIN(Q$23-EM!$B$16,EM!$AF$16-EM!$B$16)),0)+
IF(ROUND(Q$11,0)&gt;=2,OFFSET(EM!$B$17,ROW($A28)-ROW($A$26)+(ROW(EM!$C$46)-ROW(EM!$C$14))*(MATCH(Q$22,EM!$B$6:$B$9,0)-1),MIN(Q$23-EM!$B$16+1,EM!$AF$16-EM!$B$16)),0)+
IF(ROUND(Q$11,0)&gt;=3,OFFSET(EM!$B$17,ROW($A28)-ROW($A$26)+(ROW(EM!$C$46)-ROW(EM!$C$14))*(MATCH(Q$22,EM!$B$6:$B$9,0)-1),MIN(Q$23-EM!$B$16+2,EM!$AF$16-EM!$B$16)),0)+
IF(ROUND(Q$11,0)&gt;=4,OFFSET(EM!$B$17,ROW($A28)-ROW($A$26)+(ROW(EM!$C$46)-ROW(EM!$C$14))*(MATCH(Q$22,EM!$B$6:$B$9,0)-1),MIN(Q$23-EM!$B$16+3,EM!$AF$16-EM!$B$16)),0)+
IF(ROUND(Q$11,0)&gt;=5,OFFSET(EM!$B$17,ROW($A28)-ROW($A$26)+(ROW(EM!$C$46)-ROW(EM!$C$14))*(MATCH(Q$22,EM!$B$6:$B$9,0)-1),MIN(Q$23-EM!$B$16+4,EM!$AF$16-EM!$B$16)),0)+
IF(ROUND(Q$11,0)&gt;=6,OFFSET(EM!$B$17,ROW($A28)-ROW($A$26)+(ROW(EM!$C$46)-ROW(EM!$C$14))*(MATCH(Q$22,EM!$B$6:$B$9,0)-1),MIN(Q$23-EM!$B$16+5,EM!$AF$16-EM!$B$16)),0)+
IF(ROUND(Q$11,0)&gt;=7,OFFSET(EM!$B$17,ROW($A28)-ROW($A$26)+(ROW(EM!$C$46)-ROW(EM!$C$14))*(MATCH(Q$22,EM!$B$6:$B$9,0)-1),MIN(Q$23-EM!$B$16+6,EM!$AF$16-EM!$B$16)),0)+
IF(ROUND(Q$11,0)&gt;=8,OFFSET(EM!$B$17,ROW($A28)-ROW($A$26)+(ROW(EM!$C$46)-ROW(EM!$C$14))*(MATCH(Q$22,EM!$B$6:$B$9,0)-1),MIN(Q$23-EM!$B$16+7,EM!$AF$16-EM!$B$16)),0)+
IF(ROUND(Q$11,0)&gt;=9,OFFSET(EM!$B$17,ROW($A28)-ROW($A$26)+(ROW(EM!$C$46)-ROW(EM!$C$14))*(MATCH(Q$22,EM!$B$6:$B$9,0)-1),MIN(Q$23-EM!$B$16+8,EM!$AF$16-EM!$B$16)),0)+
IF(ROUND(Q$11,0)&gt;=10,OFFSET(EM!$B$17,ROW($A28)-ROW($A$26)+(ROW(EM!$C$46)-ROW(EM!$C$14))*(MATCH(Q$22,EM!$B$6:$B$9,0)-1),MIN(Q$23-EM!$B$16+9,EM!$AF$16-EM!$B$16)),0)+
IF(ROUND(Q$11,0)&gt;=11,OFFSET(EM!$B$17,ROW($A28)-ROW($A$26)+(ROW(EM!$C$46)-ROW(EM!$C$14))*(MATCH(Q$22,EM!$B$6:$B$9,0)-1),MIN(Q$23-EM!$B$16+10,EM!$AF$16-EM!$B$16)),0)+
IF(ROUND(Q$11,0)&gt;=12,OFFSET(EM!$B$17,ROW($A28)-ROW($A$26)+(ROW(EM!$C$46)-ROW(EM!$C$14))*(MATCH(Q$22,EM!$B$6:$B$9,0)-1),MIN(Q$23-EM!$B$16+11,EM!$AF$16-EM!$B$16)),0)+
IF(ROUND(Q$11,0)&gt;=13,OFFSET(EM!$B$17,ROW($A28)-ROW($A$26)+(ROW(EM!$C$46)-ROW(EM!$C$14))*(MATCH(Q$22,EM!$B$6:$B$9,0)-1),MIN(Q$23-EM!$B$16+12,EM!$AF$16-EM!$B$16)),0)+
IF(ROUND(Q$11,0)&gt;=14,OFFSET(EM!$B$17,ROW($A28)-ROW($A$26)+(ROW(EM!$C$46)-ROW(EM!$C$14))*(MATCH(Q$22,EM!$B$6:$B$9,0)-1),MIN(Q$23-EM!$B$16+13,EM!$AF$16-EM!$B$16)),0)+
IF(ROUND(Q$11,0)&gt;=15,OFFSET(EM!$B$17,ROW($A28)-ROW($A$26)+(ROW(EM!$C$46)-ROW(EM!$C$14))*(MATCH(Q$22,EM!$B$6:$B$9,0)-1),MIN(Q$23-EM!$B$16+14,EM!$AF$16-EM!$B$16)),0)+
IF(ROUND(Q$11,0)&gt;=16,OFFSET(EM!$B$17,ROW($A28)-ROW($A$26)+(ROW(EM!$C$46)-ROW(EM!$C$14))*(MATCH(Q$22,EM!$B$6:$B$9,0)-1),MIN(Q$23-EM!$B$16+15,EM!$AF$16-EM!$B$16)),0)+
IF(ROUND(Q$11,0)&gt;=17,OFFSET(EM!$B$17,ROW($A28)-ROW($A$26)+(ROW(EM!$C$46)-ROW(EM!$C$14))*(MATCH(Q$22,EM!$B$6:$B$9,0)-1),MIN(Q$23-EM!$B$16+16,EM!$AF$16-EM!$B$16)),0)+
IF(ROUND(Q$11,0)&gt;=18,OFFSET(EM!$B$17,ROW($A28)-ROW($A$26)+(ROW(EM!$C$46)-ROW(EM!$C$14))*(MATCH(Q$22,EM!$B$6:$B$9,0)-1),MIN(Q$23-EM!$B$16+17,EM!$AF$16-EM!$B$16)),0)+
IF(ROUND(Q$11,0)&gt;=19,OFFSET(EM!$B$17,ROW($A28)-ROW($A$26)+(ROW(EM!$C$46)-ROW(EM!$C$14))*(MATCH(Q$22,EM!$B$6:$B$9,0)-1),MIN(Q$23-EM!$B$16+18,EM!$AF$16-EM!$B$16)),0)+
IF(ROUND(Q$11,0)&gt;=20,OFFSET(EM!$B$17,ROW($A28)-ROW($A$26)+(ROW(EM!$C$46)-ROW(EM!$C$14))*(MATCH(Q$22,EM!$B$6:$B$9,0)-1),MIN(Q$23-EM!$B$16+19,EM!$AF$16-EM!$B$16)),0)+
IF(ROUND(Q$11,0)&gt;=21,OFFSET(EM!$B$17,ROW($A28)-ROW($A$26)+(ROW(EM!$C$46)-ROW(EM!$C$14))*(MATCH(Q$22,EM!$B$6:$B$9,0)-1),MIN(Q$23-EM!$B$16+20,EM!$AF$16-EM!$B$16)),0)+
IF(ROUND(Q$11,0)&gt;=22,OFFSET(EM!$B$17,ROW($A28)-ROW($A$26)+(ROW(EM!$C$46)-ROW(EM!$C$14))*(MATCH(Q$22,EM!$B$6:$B$9,0)-1),MIN(Q$23-EM!$B$16+21,EM!$AF$16-EM!$B$16)),0)+
IF(ROUND(Q$11,0)&gt;=23,OFFSET(EM!$B$17,ROW($A28)-ROW($A$26)+(ROW(EM!$C$46)-ROW(EM!$C$14))*(MATCH(Q$22,EM!$B$6:$B$9,0)-1),MIN(Q$23-EM!$B$16+22,EM!$AF$16-EM!$B$16)),0)+
IF(ROUND(Q$11,0)&gt;=24,OFFSET(EM!$B$17,ROW($A28)-ROW($A$26)+(ROW(EM!$C$46)-ROW(EM!$C$14))*(MATCH(Q$22,EM!$B$6:$B$9,0)-1),MIN(Q$23-EM!$B$16+23,EM!$AF$16-EM!$B$16)),0)+
IF(ROUND(Q$11,0)&gt;=25,OFFSET(EM!$B$17,ROW($A28)-ROW($A$26)+(ROW(EM!$C$46)-ROW(EM!$C$14))*(MATCH(Q$22,EM!$B$6:$B$9,0)-1),MIN(Q$23-EM!$B$16+24,EM!$AF$16-EM!$B$16)),0)+
IF(ROUND(Q$11,0)&gt;=26,OFFSET(EM!$B$17,ROW($A28)-ROW($A$26)+(ROW(EM!$C$46)-ROW(EM!$C$14))*(MATCH(Q$22,EM!$B$6:$B$9,0)-1),MIN(Q$23-EM!$B$16+25,EM!$AF$16-EM!$B$16)),0)+
IF(ROUND(Q$11,0)&gt;=27,OFFSET(EM!$B$17,ROW($A28)-ROW($A$26)+(ROW(EM!$C$46)-ROW(EM!$C$14))*(MATCH(Q$22,EM!$B$6:$B$9,0)-1),MIN(Q$23-EM!$B$16+26,EM!$AF$16-EM!$B$16)),0)+
IF(ROUND(Q$11,0)&gt;=28,OFFSET(EM!$B$17,ROW($A28)-ROW($A$26)+(ROW(EM!$C$46)-ROW(EM!$C$14))*(MATCH(Q$22,EM!$B$6:$B$9,0)-1),MIN(Q$23-EM!$B$16+27,EM!$AF$16-EM!$B$16)),0)+
IF(ROUND(Q$11,0)&gt;=29,OFFSET(EM!$B$17,ROW($A28)-ROW($A$26)+(ROW(EM!$C$46)-ROW(EM!$C$14))*(MATCH(Q$22,EM!$B$6:$B$9,0)-1),MIN(Q$23-EM!$B$16+28,EM!$AF$16-EM!$B$16)),0)+
IF(ROUND(Q$11,0)&gt;=30,OFFSET(EM!$B$17,ROW($A28)-ROW($A$26)+(ROW(EM!$C$46)-ROW(EM!$C$14))*(MATCH(Q$22,EM!$B$6:$B$9,0)-1),MIN(Q$23-EM!$B$16+29,EM!$AF$16-EM!$B$16)),0)+
IF(ROUND(Q$11,0)&gt;=31,OFFSET(EM!$B$17,ROW($A28)-ROW($A$26)+(ROW(EM!$C$46)-ROW(EM!$C$14))*(MATCH(Q$22,EM!$B$6:$B$9,0)-1),MIN(Q$23-EM!$B$16+30,EM!$AF$16-EM!$B$16)),0)+
IF(ROUND(Q$11,0)&gt;=32,OFFSET(EM!$B$17,ROW($A28)-ROW($A$26)+(ROW(EM!$C$46)-ROW(EM!$C$14))*(MATCH(Q$22,EM!$B$6:$B$9,0)-1),MIN(Q$23-EM!$B$16+31,EM!$AF$16-EM!$B$16)),0)+
IF(ROUND(Q$11,0)&gt;=33,OFFSET(EM!$B$17,ROW($A28)-ROW($A$26)+(ROW(EM!$C$46)-ROW(EM!$C$14))*(MATCH(Q$22,EM!$B$6:$B$9,0)-1),MIN(Q$23-EM!$B$16+32,EM!$AF$16-EM!$B$16)),0)+
IF(ROUND(Q$11,0)&gt;=34,OFFSET(EM!$B$17,ROW($A28)-ROW($A$26)+(ROW(EM!$C$46)-ROW(EM!$C$14))*(MATCH(Q$22,EM!$B$6:$B$9,0)-1),MIN(Q$23-EM!$B$16+33,EM!$AF$16-EM!$B$16)),0)+
IF(ROUND(Q$11,0)&gt;=35,OFFSET(EM!$B$17,ROW($A28)-ROW($A$26)+(ROW(EM!$C$46)-ROW(EM!$C$14))*(MATCH(Q$22,EM!$B$6:$B$9,0)-1),MIN(Q$23-EM!$B$16+34,EM!$AF$16-EM!$B$16)),0)+
IF(ROUND(Q$11,0)&gt;=36,OFFSET(EM!$B$17,ROW($A28)-ROW($A$26)+(ROW(EM!$C$46)-ROW(EM!$C$14))*(MATCH(Q$22,EM!$B$6:$B$9,0)-1),MIN(Q$23-EM!$B$16+35,EM!$AF$16-EM!$B$16)),0)+
IF(ROUND(Q$11,0)&gt;=37,OFFSET(EM!$B$17,ROW($A28)-ROW($A$26)+(ROW(EM!$C$46)-ROW(EM!$C$14))*(MATCH(Q$22,EM!$B$6:$B$9,0)-1),MIN(Q$23-EM!$B$16+36,EM!$AF$16-EM!$B$16)),0)+
IF(ROUND(Q$11,0)&gt;=38,OFFSET(EM!$B$17,ROW($A28)-ROW($A$26)+(ROW(EM!$C$46)-ROW(EM!$C$14))*(MATCH(Q$22,EM!$B$6:$B$9,0)-1),MIN(Q$23-EM!$B$16+37,EM!$AF$16-EM!$B$16)),0)+
IF(ROUND(Q$11,0)&gt;=39,OFFSET(EM!$B$17,ROW($A28)-ROW($A$26)+(ROW(EM!$C$46)-ROW(EM!$C$14))*(MATCH(Q$22,EM!$B$6:$B$9,0)-1),MIN(Q$23-EM!$B$16+38,EM!$AF$16-EM!$B$16)),0)+
IF(ROUND(Q$11,0)&gt;=40,OFFSET(EM!$B$17,ROW($A28)-ROW($A$26)+(ROW(EM!$C$46)-ROW(EM!$C$14))*(MATCH(Q$22,EM!$B$6:$B$9,0)-1),MIN(Q$23-EM!$B$16+39,EM!$AF$16-EM!$B$16)),0)
)/ROUND(Q$11,0),NA()))</f>
        <v>0.72705457895591852</v>
      </c>
      <c r="R28" s="2046">
        <f ca="1">IF(R$19=GPG!$A$28,IF(ROW(R28)-ROW(R$26)+1=MATCH(R$20,GPG!$A$5:$A$11,0),1,0),
IF(R$19=GPG!$A$29,
(IF(ROUND(R$11,0)&gt;=1,OFFSET(EM!$B$17,ROW($A28)-ROW($A$26)+(ROW(EM!$C$46)-ROW(EM!$C$14))*(MATCH(R$22,EM!$B$6:$B$9,0)-1),MIN(R$23-EM!$B$16,EM!$AF$16-EM!$B$16)),0)+
IF(ROUND(R$11,0)&gt;=2,OFFSET(EM!$B$17,ROW($A28)-ROW($A$26)+(ROW(EM!$C$46)-ROW(EM!$C$14))*(MATCH(R$22,EM!$B$6:$B$9,0)-1),MIN(R$23-EM!$B$16+1,EM!$AF$16-EM!$B$16)),0)+
IF(ROUND(R$11,0)&gt;=3,OFFSET(EM!$B$17,ROW($A28)-ROW($A$26)+(ROW(EM!$C$46)-ROW(EM!$C$14))*(MATCH(R$22,EM!$B$6:$B$9,0)-1),MIN(R$23-EM!$B$16+2,EM!$AF$16-EM!$B$16)),0)+
IF(ROUND(R$11,0)&gt;=4,OFFSET(EM!$B$17,ROW($A28)-ROW($A$26)+(ROW(EM!$C$46)-ROW(EM!$C$14))*(MATCH(R$22,EM!$B$6:$B$9,0)-1),MIN(R$23-EM!$B$16+3,EM!$AF$16-EM!$B$16)),0)+
IF(ROUND(R$11,0)&gt;=5,OFFSET(EM!$B$17,ROW($A28)-ROW($A$26)+(ROW(EM!$C$46)-ROW(EM!$C$14))*(MATCH(R$22,EM!$B$6:$B$9,0)-1),MIN(R$23-EM!$B$16+4,EM!$AF$16-EM!$B$16)),0)+
IF(ROUND(R$11,0)&gt;=6,OFFSET(EM!$B$17,ROW($A28)-ROW($A$26)+(ROW(EM!$C$46)-ROW(EM!$C$14))*(MATCH(R$22,EM!$B$6:$B$9,0)-1),MIN(R$23-EM!$B$16+5,EM!$AF$16-EM!$B$16)),0)+
IF(ROUND(R$11,0)&gt;=7,OFFSET(EM!$B$17,ROW($A28)-ROW($A$26)+(ROW(EM!$C$46)-ROW(EM!$C$14))*(MATCH(R$22,EM!$B$6:$B$9,0)-1),MIN(R$23-EM!$B$16+6,EM!$AF$16-EM!$B$16)),0)+
IF(ROUND(R$11,0)&gt;=8,OFFSET(EM!$B$17,ROW($A28)-ROW($A$26)+(ROW(EM!$C$46)-ROW(EM!$C$14))*(MATCH(R$22,EM!$B$6:$B$9,0)-1),MIN(R$23-EM!$B$16+7,EM!$AF$16-EM!$B$16)),0)+
IF(ROUND(R$11,0)&gt;=9,OFFSET(EM!$B$17,ROW($A28)-ROW($A$26)+(ROW(EM!$C$46)-ROW(EM!$C$14))*(MATCH(R$22,EM!$B$6:$B$9,0)-1),MIN(R$23-EM!$B$16+8,EM!$AF$16-EM!$B$16)),0)+
IF(ROUND(R$11,0)&gt;=10,OFFSET(EM!$B$17,ROW($A28)-ROW($A$26)+(ROW(EM!$C$46)-ROW(EM!$C$14))*(MATCH(R$22,EM!$B$6:$B$9,0)-1),MIN(R$23-EM!$B$16+9,EM!$AF$16-EM!$B$16)),0)+
IF(ROUND(R$11,0)&gt;=11,OFFSET(EM!$B$17,ROW($A28)-ROW($A$26)+(ROW(EM!$C$46)-ROW(EM!$C$14))*(MATCH(R$22,EM!$B$6:$B$9,0)-1),MIN(R$23-EM!$B$16+10,EM!$AF$16-EM!$B$16)),0)+
IF(ROUND(R$11,0)&gt;=12,OFFSET(EM!$B$17,ROW($A28)-ROW($A$26)+(ROW(EM!$C$46)-ROW(EM!$C$14))*(MATCH(R$22,EM!$B$6:$B$9,0)-1),MIN(R$23-EM!$B$16+11,EM!$AF$16-EM!$B$16)),0)+
IF(ROUND(R$11,0)&gt;=13,OFFSET(EM!$B$17,ROW($A28)-ROW($A$26)+(ROW(EM!$C$46)-ROW(EM!$C$14))*(MATCH(R$22,EM!$B$6:$B$9,0)-1),MIN(R$23-EM!$B$16+12,EM!$AF$16-EM!$B$16)),0)+
IF(ROUND(R$11,0)&gt;=14,OFFSET(EM!$B$17,ROW($A28)-ROW($A$26)+(ROW(EM!$C$46)-ROW(EM!$C$14))*(MATCH(R$22,EM!$B$6:$B$9,0)-1),MIN(R$23-EM!$B$16+13,EM!$AF$16-EM!$B$16)),0)+
IF(ROUND(R$11,0)&gt;=15,OFFSET(EM!$B$17,ROW($A28)-ROW($A$26)+(ROW(EM!$C$46)-ROW(EM!$C$14))*(MATCH(R$22,EM!$B$6:$B$9,0)-1),MIN(R$23-EM!$B$16+14,EM!$AF$16-EM!$B$16)),0)+
IF(ROUND(R$11,0)&gt;=16,OFFSET(EM!$B$17,ROW($A28)-ROW($A$26)+(ROW(EM!$C$46)-ROW(EM!$C$14))*(MATCH(R$22,EM!$B$6:$B$9,0)-1),MIN(R$23-EM!$B$16+15,EM!$AF$16-EM!$B$16)),0)+
IF(ROUND(R$11,0)&gt;=17,OFFSET(EM!$B$17,ROW($A28)-ROW($A$26)+(ROW(EM!$C$46)-ROW(EM!$C$14))*(MATCH(R$22,EM!$B$6:$B$9,0)-1),MIN(R$23-EM!$B$16+16,EM!$AF$16-EM!$B$16)),0)+
IF(ROUND(R$11,0)&gt;=18,OFFSET(EM!$B$17,ROW($A28)-ROW($A$26)+(ROW(EM!$C$46)-ROW(EM!$C$14))*(MATCH(R$22,EM!$B$6:$B$9,0)-1),MIN(R$23-EM!$B$16+17,EM!$AF$16-EM!$B$16)),0)+
IF(ROUND(R$11,0)&gt;=19,OFFSET(EM!$B$17,ROW($A28)-ROW($A$26)+(ROW(EM!$C$46)-ROW(EM!$C$14))*(MATCH(R$22,EM!$B$6:$B$9,0)-1),MIN(R$23-EM!$B$16+18,EM!$AF$16-EM!$B$16)),0)+
IF(ROUND(R$11,0)&gt;=20,OFFSET(EM!$B$17,ROW($A28)-ROW($A$26)+(ROW(EM!$C$46)-ROW(EM!$C$14))*(MATCH(R$22,EM!$B$6:$B$9,0)-1),MIN(R$23-EM!$B$16+19,EM!$AF$16-EM!$B$16)),0)+
IF(ROUND(R$11,0)&gt;=21,OFFSET(EM!$B$17,ROW($A28)-ROW($A$26)+(ROW(EM!$C$46)-ROW(EM!$C$14))*(MATCH(R$22,EM!$B$6:$B$9,0)-1),MIN(R$23-EM!$B$16+20,EM!$AF$16-EM!$B$16)),0)+
IF(ROUND(R$11,0)&gt;=22,OFFSET(EM!$B$17,ROW($A28)-ROW($A$26)+(ROW(EM!$C$46)-ROW(EM!$C$14))*(MATCH(R$22,EM!$B$6:$B$9,0)-1),MIN(R$23-EM!$B$16+21,EM!$AF$16-EM!$B$16)),0)+
IF(ROUND(R$11,0)&gt;=23,OFFSET(EM!$B$17,ROW($A28)-ROW($A$26)+(ROW(EM!$C$46)-ROW(EM!$C$14))*(MATCH(R$22,EM!$B$6:$B$9,0)-1),MIN(R$23-EM!$B$16+22,EM!$AF$16-EM!$B$16)),0)+
IF(ROUND(R$11,0)&gt;=24,OFFSET(EM!$B$17,ROW($A28)-ROW($A$26)+(ROW(EM!$C$46)-ROW(EM!$C$14))*(MATCH(R$22,EM!$B$6:$B$9,0)-1),MIN(R$23-EM!$B$16+23,EM!$AF$16-EM!$B$16)),0)+
IF(ROUND(R$11,0)&gt;=25,OFFSET(EM!$B$17,ROW($A28)-ROW($A$26)+(ROW(EM!$C$46)-ROW(EM!$C$14))*(MATCH(R$22,EM!$B$6:$B$9,0)-1),MIN(R$23-EM!$B$16+24,EM!$AF$16-EM!$B$16)),0)+
IF(ROUND(R$11,0)&gt;=26,OFFSET(EM!$B$17,ROW($A28)-ROW($A$26)+(ROW(EM!$C$46)-ROW(EM!$C$14))*(MATCH(R$22,EM!$B$6:$B$9,0)-1),MIN(R$23-EM!$B$16+25,EM!$AF$16-EM!$B$16)),0)+
IF(ROUND(R$11,0)&gt;=27,OFFSET(EM!$B$17,ROW($A28)-ROW($A$26)+(ROW(EM!$C$46)-ROW(EM!$C$14))*(MATCH(R$22,EM!$B$6:$B$9,0)-1),MIN(R$23-EM!$B$16+26,EM!$AF$16-EM!$B$16)),0)+
IF(ROUND(R$11,0)&gt;=28,OFFSET(EM!$B$17,ROW($A28)-ROW($A$26)+(ROW(EM!$C$46)-ROW(EM!$C$14))*(MATCH(R$22,EM!$B$6:$B$9,0)-1),MIN(R$23-EM!$B$16+27,EM!$AF$16-EM!$B$16)),0)+
IF(ROUND(R$11,0)&gt;=29,OFFSET(EM!$B$17,ROW($A28)-ROW($A$26)+(ROW(EM!$C$46)-ROW(EM!$C$14))*(MATCH(R$22,EM!$B$6:$B$9,0)-1),MIN(R$23-EM!$B$16+28,EM!$AF$16-EM!$B$16)),0)+
IF(ROUND(R$11,0)&gt;=30,OFFSET(EM!$B$17,ROW($A28)-ROW($A$26)+(ROW(EM!$C$46)-ROW(EM!$C$14))*(MATCH(R$22,EM!$B$6:$B$9,0)-1),MIN(R$23-EM!$B$16+29,EM!$AF$16-EM!$B$16)),0)+
IF(ROUND(R$11,0)&gt;=31,OFFSET(EM!$B$17,ROW($A28)-ROW($A$26)+(ROW(EM!$C$46)-ROW(EM!$C$14))*(MATCH(R$22,EM!$B$6:$B$9,0)-1),MIN(R$23-EM!$B$16+30,EM!$AF$16-EM!$B$16)),0)+
IF(ROUND(R$11,0)&gt;=32,OFFSET(EM!$B$17,ROW($A28)-ROW($A$26)+(ROW(EM!$C$46)-ROW(EM!$C$14))*(MATCH(R$22,EM!$B$6:$B$9,0)-1),MIN(R$23-EM!$B$16+31,EM!$AF$16-EM!$B$16)),0)+
IF(ROUND(R$11,0)&gt;=33,OFFSET(EM!$B$17,ROW($A28)-ROW($A$26)+(ROW(EM!$C$46)-ROW(EM!$C$14))*(MATCH(R$22,EM!$B$6:$B$9,0)-1),MIN(R$23-EM!$B$16+32,EM!$AF$16-EM!$B$16)),0)+
IF(ROUND(R$11,0)&gt;=34,OFFSET(EM!$B$17,ROW($A28)-ROW($A$26)+(ROW(EM!$C$46)-ROW(EM!$C$14))*(MATCH(R$22,EM!$B$6:$B$9,0)-1),MIN(R$23-EM!$B$16+33,EM!$AF$16-EM!$B$16)),0)+
IF(ROUND(R$11,0)&gt;=35,OFFSET(EM!$B$17,ROW($A28)-ROW($A$26)+(ROW(EM!$C$46)-ROW(EM!$C$14))*(MATCH(R$22,EM!$B$6:$B$9,0)-1),MIN(R$23-EM!$B$16+34,EM!$AF$16-EM!$B$16)),0)+
IF(ROUND(R$11,0)&gt;=36,OFFSET(EM!$B$17,ROW($A28)-ROW($A$26)+(ROW(EM!$C$46)-ROW(EM!$C$14))*(MATCH(R$22,EM!$B$6:$B$9,0)-1),MIN(R$23-EM!$B$16+35,EM!$AF$16-EM!$B$16)),0)+
IF(ROUND(R$11,0)&gt;=37,OFFSET(EM!$B$17,ROW($A28)-ROW($A$26)+(ROW(EM!$C$46)-ROW(EM!$C$14))*(MATCH(R$22,EM!$B$6:$B$9,0)-1),MIN(R$23-EM!$B$16+36,EM!$AF$16-EM!$B$16)),0)+
IF(ROUND(R$11,0)&gt;=38,OFFSET(EM!$B$17,ROW($A28)-ROW($A$26)+(ROW(EM!$C$46)-ROW(EM!$C$14))*(MATCH(R$22,EM!$B$6:$B$9,0)-1),MIN(R$23-EM!$B$16+37,EM!$AF$16-EM!$B$16)),0)+
IF(ROUND(R$11,0)&gt;=39,OFFSET(EM!$B$17,ROW($A28)-ROW($A$26)+(ROW(EM!$C$46)-ROW(EM!$C$14))*(MATCH(R$22,EM!$B$6:$B$9,0)-1),MIN(R$23-EM!$B$16+38,EM!$AF$16-EM!$B$16)),0)+
IF(ROUND(R$11,0)&gt;=40,OFFSET(EM!$B$17,ROW($A28)-ROW($A$26)+(ROW(EM!$C$46)-ROW(EM!$C$14))*(MATCH(R$22,EM!$B$6:$B$9,0)-1),MIN(R$23-EM!$B$16+39,EM!$AF$16-EM!$B$16)),0)
)/ROUND(R$11,0),NA()))</f>
        <v>0.72705457895591852</v>
      </c>
      <c r="S28" s="2046">
        <f ca="1">IF(S$19=GPG!$A$28,IF(ROW(S28)-ROW(S$26)+1=MATCH(S$20,GPG!$A$5:$A$11,0),1,0),
IF(S$19=GPG!$A$29,
(IF(ROUND(S$11,0)&gt;=1,OFFSET(EM!$B$17,ROW($A28)-ROW($A$26)+(ROW(EM!$C$46)-ROW(EM!$C$14))*(MATCH(S$22,EM!$B$6:$B$9,0)-1),MIN(S$23-EM!$B$16,EM!$AF$16-EM!$B$16)),0)+
IF(ROUND(S$11,0)&gt;=2,OFFSET(EM!$B$17,ROW($A28)-ROW($A$26)+(ROW(EM!$C$46)-ROW(EM!$C$14))*(MATCH(S$22,EM!$B$6:$B$9,0)-1),MIN(S$23-EM!$B$16+1,EM!$AF$16-EM!$B$16)),0)+
IF(ROUND(S$11,0)&gt;=3,OFFSET(EM!$B$17,ROW($A28)-ROW($A$26)+(ROW(EM!$C$46)-ROW(EM!$C$14))*(MATCH(S$22,EM!$B$6:$B$9,0)-1),MIN(S$23-EM!$B$16+2,EM!$AF$16-EM!$B$16)),0)+
IF(ROUND(S$11,0)&gt;=4,OFFSET(EM!$B$17,ROW($A28)-ROW($A$26)+(ROW(EM!$C$46)-ROW(EM!$C$14))*(MATCH(S$22,EM!$B$6:$B$9,0)-1),MIN(S$23-EM!$B$16+3,EM!$AF$16-EM!$B$16)),0)+
IF(ROUND(S$11,0)&gt;=5,OFFSET(EM!$B$17,ROW($A28)-ROW($A$26)+(ROW(EM!$C$46)-ROW(EM!$C$14))*(MATCH(S$22,EM!$B$6:$B$9,0)-1),MIN(S$23-EM!$B$16+4,EM!$AF$16-EM!$B$16)),0)+
IF(ROUND(S$11,0)&gt;=6,OFFSET(EM!$B$17,ROW($A28)-ROW($A$26)+(ROW(EM!$C$46)-ROW(EM!$C$14))*(MATCH(S$22,EM!$B$6:$B$9,0)-1),MIN(S$23-EM!$B$16+5,EM!$AF$16-EM!$B$16)),0)+
IF(ROUND(S$11,0)&gt;=7,OFFSET(EM!$B$17,ROW($A28)-ROW($A$26)+(ROW(EM!$C$46)-ROW(EM!$C$14))*(MATCH(S$22,EM!$B$6:$B$9,0)-1),MIN(S$23-EM!$B$16+6,EM!$AF$16-EM!$B$16)),0)+
IF(ROUND(S$11,0)&gt;=8,OFFSET(EM!$B$17,ROW($A28)-ROW($A$26)+(ROW(EM!$C$46)-ROW(EM!$C$14))*(MATCH(S$22,EM!$B$6:$B$9,0)-1),MIN(S$23-EM!$B$16+7,EM!$AF$16-EM!$B$16)),0)+
IF(ROUND(S$11,0)&gt;=9,OFFSET(EM!$B$17,ROW($A28)-ROW($A$26)+(ROW(EM!$C$46)-ROW(EM!$C$14))*(MATCH(S$22,EM!$B$6:$B$9,0)-1),MIN(S$23-EM!$B$16+8,EM!$AF$16-EM!$B$16)),0)+
IF(ROUND(S$11,0)&gt;=10,OFFSET(EM!$B$17,ROW($A28)-ROW($A$26)+(ROW(EM!$C$46)-ROW(EM!$C$14))*(MATCH(S$22,EM!$B$6:$B$9,0)-1),MIN(S$23-EM!$B$16+9,EM!$AF$16-EM!$B$16)),0)+
IF(ROUND(S$11,0)&gt;=11,OFFSET(EM!$B$17,ROW($A28)-ROW($A$26)+(ROW(EM!$C$46)-ROW(EM!$C$14))*(MATCH(S$22,EM!$B$6:$B$9,0)-1),MIN(S$23-EM!$B$16+10,EM!$AF$16-EM!$B$16)),0)+
IF(ROUND(S$11,0)&gt;=12,OFFSET(EM!$B$17,ROW($A28)-ROW($A$26)+(ROW(EM!$C$46)-ROW(EM!$C$14))*(MATCH(S$22,EM!$B$6:$B$9,0)-1),MIN(S$23-EM!$B$16+11,EM!$AF$16-EM!$B$16)),0)+
IF(ROUND(S$11,0)&gt;=13,OFFSET(EM!$B$17,ROW($A28)-ROW($A$26)+(ROW(EM!$C$46)-ROW(EM!$C$14))*(MATCH(S$22,EM!$B$6:$B$9,0)-1),MIN(S$23-EM!$B$16+12,EM!$AF$16-EM!$B$16)),0)+
IF(ROUND(S$11,0)&gt;=14,OFFSET(EM!$B$17,ROW($A28)-ROW($A$26)+(ROW(EM!$C$46)-ROW(EM!$C$14))*(MATCH(S$22,EM!$B$6:$B$9,0)-1),MIN(S$23-EM!$B$16+13,EM!$AF$16-EM!$B$16)),0)+
IF(ROUND(S$11,0)&gt;=15,OFFSET(EM!$B$17,ROW($A28)-ROW($A$26)+(ROW(EM!$C$46)-ROW(EM!$C$14))*(MATCH(S$22,EM!$B$6:$B$9,0)-1),MIN(S$23-EM!$B$16+14,EM!$AF$16-EM!$B$16)),0)+
IF(ROUND(S$11,0)&gt;=16,OFFSET(EM!$B$17,ROW($A28)-ROW($A$26)+(ROW(EM!$C$46)-ROW(EM!$C$14))*(MATCH(S$22,EM!$B$6:$B$9,0)-1),MIN(S$23-EM!$B$16+15,EM!$AF$16-EM!$B$16)),0)+
IF(ROUND(S$11,0)&gt;=17,OFFSET(EM!$B$17,ROW($A28)-ROW($A$26)+(ROW(EM!$C$46)-ROW(EM!$C$14))*(MATCH(S$22,EM!$B$6:$B$9,0)-1),MIN(S$23-EM!$B$16+16,EM!$AF$16-EM!$B$16)),0)+
IF(ROUND(S$11,0)&gt;=18,OFFSET(EM!$B$17,ROW($A28)-ROW($A$26)+(ROW(EM!$C$46)-ROW(EM!$C$14))*(MATCH(S$22,EM!$B$6:$B$9,0)-1),MIN(S$23-EM!$B$16+17,EM!$AF$16-EM!$B$16)),0)+
IF(ROUND(S$11,0)&gt;=19,OFFSET(EM!$B$17,ROW($A28)-ROW($A$26)+(ROW(EM!$C$46)-ROW(EM!$C$14))*(MATCH(S$22,EM!$B$6:$B$9,0)-1),MIN(S$23-EM!$B$16+18,EM!$AF$16-EM!$B$16)),0)+
IF(ROUND(S$11,0)&gt;=20,OFFSET(EM!$B$17,ROW($A28)-ROW($A$26)+(ROW(EM!$C$46)-ROW(EM!$C$14))*(MATCH(S$22,EM!$B$6:$B$9,0)-1),MIN(S$23-EM!$B$16+19,EM!$AF$16-EM!$B$16)),0)+
IF(ROUND(S$11,0)&gt;=21,OFFSET(EM!$B$17,ROW($A28)-ROW($A$26)+(ROW(EM!$C$46)-ROW(EM!$C$14))*(MATCH(S$22,EM!$B$6:$B$9,0)-1),MIN(S$23-EM!$B$16+20,EM!$AF$16-EM!$B$16)),0)+
IF(ROUND(S$11,0)&gt;=22,OFFSET(EM!$B$17,ROW($A28)-ROW($A$26)+(ROW(EM!$C$46)-ROW(EM!$C$14))*(MATCH(S$22,EM!$B$6:$B$9,0)-1),MIN(S$23-EM!$B$16+21,EM!$AF$16-EM!$B$16)),0)+
IF(ROUND(S$11,0)&gt;=23,OFFSET(EM!$B$17,ROW($A28)-ROW($A$26)+(ROW(EM!$C$46)-ROW(EM!$C$14))*(MATCH(S$22,EM!$B$6:$B$9,0)-1),MIN(S$23-EM!$B$16+22,EM!$AF$16-EM!$B$16)),0)+
IF(ROUND(S$11,0)&gt;=24,OFFSET(EM!$B$17,ROW($A28)-ROW($A$26)+(ROW(EM!$C$46)-ROW(EM!$C$14))*(MATCH(S$22,EM!$B$6:$B$9,0)-1),MIN(S$23-EM!$B$16+23,EM!$AF$16-EM!$B$16)),0)+
IF(ROUND(S$11,0)&gt;=25,OFFSET(EM!$B$17,ROW($A28)-ROW($A$26)+(ROW(EM!$C$46)-ROW(EM!$C$14))*(MATCH(S$22,EM!$B$6:$B$9,0)-1),MIN(S$23-EM!$B$16+24,EM!$AF$16-EM!$B$16)),0)+
IF(ROUND(S$11,0)&gt;=26,OFFSET(EM!$B$17,ROW($A28)-ROW($A$26)+(ROW(EM!$C$46)-ROW(EM!$C$14))*(MATCH(S$22,EM!$B$6:$B$9,0)-1),MIN(S$23-EM!$B$16+25,EM!$AF$16-EM!$B$16)),0)+
IF(ROUND(S$11,0)&gt;=27,OFFSET(EM!$B$17,ROW($A28)-ROW($A$26)+(ROW(EM!$C$46)-ROW(EM!$C$14))*(MATCH(S$22,EM!$B$6:$B$9,0)-1),MIN(S$23-EM!$B$16+26,EM!$AF$16-EM!$B$16)),0)+
IF(ROUND(S$11,0)&gt;=28,OFFSET(EM!$B$17,ROW($A28)-ROW($A$26)+(ROW(EM!$C$46)-ROW(EM!$C$14))*(MATCH(S$22,EM!$B$6:$B$9,0)-1),MIN(S$23-EM!$B$16+27,EM!$AF$16-EM!$B$16)),0)+
IF(ROUND(S$11,0)&gt;=29,OFFSET(EM!$B$17,ROW($A28)-ROW($A$26)+(ROW(EM!$C$46)-ROW(EM!$C$14))*(MATCH(S$22,EM!$B$6:$B$9,0)-1),MIN(S$23-EM!$B$16+28,EM!$AF$16-EM!$B$16)),0)+
IF(ROUND(S$11,0)&gt;=30,OFFSET(EM!$B$17,ROW($A28)-ROW($A$26)+(ROW(EM!$C$46)-ROW(EM!$C$14))*(MATCH(S$22,EM!$B$6:$B$9,0)-1),MIN(S$23-EM!$B$16+29,EM!$AF$16-EM!$B$16)),0)+
IF(ROUND(S$11,0)&gt;=31,OFFSET(EM!$B$17,ROW($A28)-ROW($A$26)+(ROW(EM!$C$46)-ROW(EM!$C$14))*(MATCH(S$22,EM!$B$6:$B$9,0)-1),MIN(S$23-EM!$B$16+30,EM!$AF$16-EM!$B$16)),0)+
IF(ROUND(S$11,0)&gt;=32,OFFSET(EM!$B$17,ROW($A28)-ROW($A$26)+(ROW(EM!$C$46)-ROW(EM!$C$14))*(MATCH(S$22,EM!$B$6:$B$9,0)-1),MIN(S$23-EM!$B$16+31,EM!$AF$16-EM!$B$16)),0)+
IF(ROUND(S$11,0)&gt;=33,OFFSET(EM!$B$17,ROW($A28)-ROW($A$26)+(ROW(EM!$C$46)-ROW(EM!$C$14))*(MATCH(S$22,EM!$B$6:$B$9,0)-1),MIN(S$23-EM!$B$16+32,EM!$AF$16-EM!$B$16)),0)+
IF(ROUND(S$11,0)&gt;=34,OFFSET(EM!$B$17,ROW($A28)-ROW($A$26)+(ROW(EM!$C$46)-ROW(EM!$C$14))*(MATCH(S$22,EM!$B$6:$B$9,0)-1),MIN(S$23-EM!$B$16+33,EM!$AF$16-EM!$B$16)),0)+
IF(ROUND(S$11,0)&gt;=35,OFFSET(EM!$B$17,ROW($A28)-ROW($A$26)+(ROW(EM!$C$46)-ROW(EM!$C$14))*(MATCH(S$22,EM!$B$6:$B$9,0)-1),MIN(S$23-EM!$B$16+34,EM!$AF$16-EM!$B$16)),0)+
IF(ROUND(S$11,0)&gt;=36,OFFSET(EM!$B$17,ROW($A28)-ROW($A$26)+(ROW(EM!$C$46)-ROW(EM!$C$14))*(MATCH(S$22,EM!$B$6:$B$9,0)-1),MIN(S$23-EM!$B$16+35,EM!$AF$16-EM!$B$16)),0)+
IF(ROUND(S$11,0)&gt;=37,OFFSET(EM!$B$17,ROW($A28)-ROW($A$26)+(ROW(EM!$C$46)-ROW(EM!$C$14))*(MATCH(S$22,EM!$B$6:$B$9,0)-1),MIN(S$23-EM!$B$16+36,EM!$AF$16-EM!$B$16)),0)+
IF(ROUND(S$11,0)&gt;=38,OFFSET(EM!$B$17,ROW($A28)-ROW($A$26)+(ROW(EM!$C$46)-ROW(EM!$C$14))*(MATCH(S$22,EM!$B$6:$B$9,0)-1),MIN(S$23-EM!$B$16+37,EM!$AF$16-EM!$B$16)),0)+
IF(ROUND(S$11,0)&gt;=39,OFFSET(EM!$B$17,ROW($A28)-ROW($A$26)+(ROW(EM!$C$46)-ROW(EM!$C$14))*(MATCH(S$22,EM!$B$6:$B$9,0)-1),MIN(S$23-EM!$B$16+38,EM!$AF$16-EM!$B$16)),0)+
IF(ROUND(S$11,0)&gt;=40,OFFSET(EM!$B$17,ROW($A28)-ROW($A$26)+(ROW(EM!$C$46)-ROW(EM!$C$14))*(MATCH(S$22,EM!$B$6:$B$9,0)-1),MIN(S$23-EM!$B$16+39,EM!$AF$16-EM!$B$16)),0)
)/ROUND(S$11,0),NA()))</f>
        <v>0.72705457895591852</v>
      </c>
      <c r="T28" s="2046">
        <f ca="1">IF(T$19=GPG!$A$28,IF(ROW(T28)-ROW(T$26)+1=MATCH(T$20,GPG!$A$5:$A$11,0),1,0),
IF(T$19=GPG!$A$29,
(IF(ROUND(T$11,0)&gt;=1,OFFSET(EM!$B$17,ROW($A28)-ROW($A$26)+(ROW(EM!$C$46)-ROW(EM!$C$14))*(MATCH(T$22,EM!$B$6:$B$9,0)-1),MIN(T$23-EM!$B$16,EM!$AF$16-EM!$B$16)),0)+
IF(ROUND(T$11,0)&gt;=2,OFFSET(EM!$B$17,ROW($A28)-ROW($A$26)+(ROW(EM!$C$46)-ROW(EM!$C$14))*(MATCH(T$22,EM!$B$6:$B$9,0)-1),MIN(T$23-EM!$B$16+1,EM!$AF$16-EM!$B$16)),0)+
IF(ROUND(T$11,0)&gt;=3,OFFSET(EM!$B$17,ROW($A28)-ROW($A$26)+(ROW(EM!$C$46)-ROW(EM!$C$14))*(MATCH(T$22,EM!$B$6:$B$9,0)-1),MIN(T$23-EM!$B$16+2,EM!$AF$16-EM!$B$16)),0)+
IF(ROUND(T$11,0)&gt;=4,OFFSET(EM!$B$17,ROW($A28)-ROW($A$26)+(ROW(EM!$C$46)-ROW(EM!$C$14))*(MATCH(T$22,EM!$B$6:$B$9,0)-1),MIN(T$23-EM!$B$16+3,EM!$AF$16-EM!$B$16)),0)+
IF(ROUND(T$11,0)&gt;=5,OFFSET(EM!$B$17,ROW($A28)-ROW($A$26)+(ROW(EM!$C$46)-ROW(EM!$C$14))*(MATCH(T$22,EM!$B$6:$B$9,0)-1),MIN(T$23-EM!$B$16+4,EM!$AF$16-EM!$B$16)),0)+
IF(ROUND(T$11,0)&gt;=6,OFFSET(EM!$B$17,ROW($A28)-ROW($A$26)+(ROW(EM!$C$46)-ROW(EM!$C$14))*(MATCH(T$22,EM!$B$6:$B$9,0)-1),MIN(T$23-EM!$B$16+5,EM!$AF$16-EM!$B$16)),0)+
IF(ROUND(T$11,0)&gt;=7,OFFSET(EM!$B$17,ROW($A28)-ROW($A$26)+(ROW(EM!$C$46)-ROW(EM!$C$14))*(MATCH(T$22,EM!$B$6:$B$9,0)-1),MIN(T$23-EM!$B$16+6,EM!$AF$16-EM!$B$16)),0)+
IF(ROUND(T$11,0)&gt;=8,OFFSET(EM!$B$17,ROW($A28)-ROW($A$26)+(ROW(EM!$C$46)-ROW(EM!$C$14))*(MATCH(T$22,EM!$B$6:$B$9,0)-1),MIN(T$23-EM!$B$16+7,EM!$AF$16-EM!$B$16)),0)+
IF(ROUND(T$11,0)&gt;=9,OFFSET(EM!$B$17,ROW($A28)-ROW($A$26)+(ROW(EM!$C$46)-ROW(EM!$C$14))*(MATCH(T$22,EM!$B$6:$B$9,0)-1),MIN(T$23-EM!$B$16+8,EM!$AF$16-EM!$B$16)),0)+
IF(ROUND(T$11,0)&gt;=10,OFFSET(EM!$B$17,ROW($A28)-ROW($A$26)+(ROW(EM!$C$46)-ROW(EM!$C$14))*(MATCH(T$22,EM!$B$6:$B$9,0)-1),MIN(T$23-EM!$B$16+9,EM!$AF$16-EM!$B$16)),0)+
IF(ROUND(T$11,0)&gt;=11,OFFSET(EM!$B$17,ROW($A28)-ROW($A$26)+(ROW(EM!$C$46)-ROW(EM!$C$14))*(MATCH(T$22,EM!$B$6:$B$9,0)-1),MIN(T$23-EM!$B$16+10,EM!$AF$16-EM!$B$16)),0)+
IF(ROUND(T$11,0)&gt;=12,OFFSET(EM!$B$17,ROW($A28)-ROW($A$26)+(ROW(EM!$C$46)-ROW(EM!$C$14))*(MATCH(T$22,EM!$B$6:$B$9,0)-1),MIN(T$23-EM!$B$16+11,EM!$AF$16-EM!$B$16)),0)+
IF(ROUND(T$11,0)&gt;=13,OFFSET(EM!$B$17,ROW($A28)-ROW($A$26)+(ROW(EM!$C$46)-ROW(EM!$C$14))*(MATCH(T$22,EM!$B$6:$B$9,0)-1),MIN(T$23-EM!$B$16+12,EM!$AF$16-EM!$B$16)),0)+
IF(ROUND(T$11,0)&gt;=14,OFFSET(EM!$B$17,ROW($A28)-ROW($A$26)+(ROW(EM!$C$46)-ROW(EM!$C$14))*(MATCH(T$22,EM!$B$6:$B$9,0)-1),MIN(T$23-EM!$B$16+13,EM!$AF$16-EM!$B$16)),0)+
IF(ROUND(T$11,0)&gt;=15,OFFSET(EM!$B$17,ROW($A28)-ROW($A$26)+(ROW(EM!$C$46)-ROW(EM!$C$14))*(MATCH(T$22,EM!$B$6:$B$9,0)-1),MIN(T$23-EM!$B$16+14,EM!$AF$16-EM!$B$16)),0)+
IF(ROUND(T$11,0)&gt;=16,OFFSET(EM!$B$17,ROW($A28)-ROW($A$26)+(ROW(EM!$C$46)-ROW(EM!$C$14))*(MATCH(T$22,EM!$B$6:$B$9,0)-1),MIN(T$23-EM!$B$16+15,EM!$AF$16-EM!$B$16)),0)+
IF(ROUND(T$11,0)&gt;=17,OFFSET(EM!$B$17,ROW($A28)-ROW($A$26)+(ROW(EM!$C$46)-ROW(EM!$C$14))*(MATCH(T$22,EM!$B$6:$B$9,0)-1),MIN(T$23-EM!$B$16+16,EM!$AF$16-EM!$B$16)),0)+
IF(ROUND(T$11,0)&gt;=18,OFFSET(EM!$B$17,ROW($A28)-ROW($A$26)+(ROW(EM!$C$46)-ROW(EM!$C$14))*(MATCH(T$22,EM!$B$6:$B$9,0)-1),MIN(T$23-EM!$B$16+17,EM!$AF$16-EM!$B$16)),0)+
IF(ROUND(T$11,0)&gt;=19,OFFSET(EM!$B$17,ROW($A28)-ROW($A$26)+(ROW(EM!$C$46)-ROW(EM!$C$14))*(MATCH(T$22,EM!$B$6:$B$9,0)-1),MIN(T$23-EM!$B$16+18,EM!$AF$16-EM!$B$16)),0)+
IF(ROUND(T$11,0)&gt;=20,OFFSET(EM!$B$17,ROW($A28)-ROW($A$26)+(ROW(EM!$C$46)-ROW(EM!$C$14))*(MATCH(T$22,EM!$B$6:$B$9,0)-1),MIN(T$23-EM!$B$16+19,EM!$AF$16-EM!$B$16)),0)+
IF(ROUND(T$11,0)&gt;=21,OFFSET(EM!$B$17,ROW($A28)-ROW($A$26)+(ROW(EM!$C$46)-ROW(EM!$C$14))*(MATCH(T$22,EM!$B$6:$B$9,0)-1),MIN(T$23-EM!$B$16+20,EM!$AF$16-EM!$B$16)),0)+
IF(ROUND(T$11,0)&gt;=22,OFFSET(EM!$B$17,ROW($A28)-ROW($A$26)+(ROW(EM!$C$46)-ROW(EM!$C$14))*(MATCH(T$22,EM!$B$6:$B$9,0)-1),MIN(T$23-EM!$B$16+21,EM!$AF$16-EM!$B$16)),0)+
IF(ROUND(T$11,0)&gt;=23,OFFSET(EM!$B$17,ROW($A28)-ROW($A$26)+(ROW(EM!$C$46)-ROW(EM!$C$14))*(MATCH(T$22,EM!$B$6:$B$9,0)-1),MIN(T$23-EM!$B$16+22,EM!$AF$16-EM!$B$16)),0)+
IF(ROUND(T$11,0)&gt;=24,OFFSET(EM!$B$17,ROW($A28)-ROW($A$26)+(ROW(EM!$C$46)-ROW(EM!$C$14))*(MATCH(T$22,EM!$B$6:$B$9,0)-1),MIN(T$23-EM!$B$16+23,EM!$AF$16-EM!$B$16)),0)+
IF(ROUND(T$11,0)&gt;=25,OFFSET(EM!$B$17,ROW($A28)-ROW($A$26)+(ROW(EM!$C$46)-ROW(EM!$C$14))*(MATCH(T$22,EM!$B$6:$B$9,0)-1),MIN(T$23-EM!$B$16+24,EM!$AF$16-EM!$B$16)),0)+
IF(ROUND(T$11,0)&gt;=26,OFFSET(EM!$B$17,ROW($A28)-ROW($A$26)+(ROW(EM!$C$46)-ROW(EM!$C$14))*(MATCH(T$22,EM!$B$6:$B$9,0)-1),MIN(T$23-EM!$B$16+25,EM!$AF$16-EM!$B$16)),0)+
IF(ROUND(T$11,0)&gt;=27,OFFSET(EM!$B$17,ROW($A28)-ROW($A$26)+(ROW(EM!$C$46)-ROW(EM!$C$14))*(MATCH(T$22,EM!$B$6:$B$9,0)-1),MIN(T$23-EM!$B$16+26,EM!$AF$16-EM!$B$16)),0)+
IF(ROUND(T$11,0)&gt;=28,OFFSET(EM!$B$17,ROW($A28)-ROW($A$26)+(ROW(EM!$C$46)-ROW(EM!$C$14))*(MATCH(T$22,EM!$B$6:$B$9,0)-1),MIN(T$23-EM!$B$16+27,EM!$AF$16-EM!$B$16)),0)+
IF(ROUND(T$11,0)&gt;=29,OFFSET(EM!$B$17,ROW($A28)-ROW($A$26)+(ROW(EM!$C$46)-ROW(EM!$C$14))*(MATCH(T$22,EM!$B$6:$B$9,0)-1),MIN(T$23-EM!$B$16+28,EM!$AF$16-EM!$B$16)),0)+
IF(ROUND(T$11,0)&gt;=30,OFFSET(EM!$B$17,ROW($A28)-ROW($A$26)+(ROW(EM!$C$46)-ROW(EM!$C$14))*(MATCH(T$22,EM!$B$6:$B$9,0)-1),MIN(T$23-EM!$B$16+29,EM!$AF$16-EM!$B$16)),0)+
IF(ROUND(T$11,0)&gt;=31,OFFSET(EM!$B$17,ROW($A28)-ROW($A$26)+(ROW(EM!$C$46)-ROW(EM!$C$14))*(MATCH(T$22,EM!$B$6:$B$9,0)-1),MIN(T$23-EM!$B$16+30,EM!$AF$16-EM!$B$16)),0)+
IF(ROUND(T$11,0)&gt;=32,OFFSET(EM!$B$17,ROW($A28)-ROW($A$26)+(ROW(EM!$C$46)-ROW(EM!$C$14))*(MATCH(T$22,EM!$B$6:$B$9,0)-1),MIN(T$23-EM!$B$16+31,EM!$AF$16-EM!$B$16)),0)+
IF(ROUND(T$11,0)&gt;=33,OFFSET(EM!$B$17,ROW($A28)-ROW($A$26)+(ROW(EM!$C$46)-ROW(EM!$C$14))*(MATCH(T$22,EM!$B$6:$B$9,0)-1),MIN(T$23-EM!$B$16+32,EM!$AF$16-EM!$B$16)),0)+
IF(ROUND(T$11,0)&gt;=34,OFFSET(EM!$B$17,ROW($A28)-ROW($A$26)+(ROW(EM!$C$46)-ROW(EM!$C$14))*(MATCH(T$22,EM!$B$6:$B$9,0)-1),MIN(T$23-EM!$B$16+33,EM!$AF$16-EM!$B$16)),0)+
IF(ROUND(T$11,0)&gt;=35,OFFSET(EM!$B$17,ROW($A28)-ROW($A$26)+(ROW(EM!$C$46)-ROW(EM!$C$14))*(MATCH(T$22,EM!$B$6:$B$9,0)-1),MIN(T$23-EM!$B$16+34,EM!$AF$16-EM!$B$16)),0)+
IF(ROUND(T$11,0)&gt;=36,OFFSET(EM!$B$17,ROW($A28)-ROW($A$26)+(ROW(EM!$C$46)-ROW(EM!$C$14))*(MATCH(T$22,EM!$B$6:$B$9,0)-1),MIN(T$23-EM!$B$16+35,EM!$AF$16-EM!$B$16)),0)+
IF(ROUND(T$11,0)&gt;=37,OFFSET(EM!$B$17,ROW($A28)-ROW($A$26)+(ROW(EM!$C$46)-ROW(EM!$C$14))*(MATCH(T$22,EM!$B$6:$B$9,0)-1),MIN(T$23-EM!$B$16+36,EM!$AF$16-EM!$B$16)),0)+
IF(ROUND(T$11,0)&gt;=38,OFFSET(EM!$B$17,ROW($A28)-ROW($A$26)+(ROW(EM!$C$46)-ROW(EM!$C$14))*(MATCH(T$22,EM!$B$6:$B$9,0)-1),MIN(T$23-EM!$B$16+37,EM!$AF$16-EM!$B$16)),0)+
IF(ROUND(T$11,0)&gt;=39,OFFSET(EM!$B$17,ROW($A28)-ROW($A$26)+(ROW(EM!$C$46)-ROW(EM!$C$14))*(MATCH(T$22,EM!$B$6:$B$9,0)-1),MIN(T$23-EM!$B$16+38,EM!$AF$16-EM!$B$16)),0)+
IF(ROUND(T$11,0)&gt;=40,OFFSET(EM!$B$17,ROW($A28)-ROW($A$26)+(ROW(EM!$C$46)-ROW(EM!$C$14))*(MATCH(T$22,EM!$B$6:$B$9,0)-1),MIN(T$23-EM!$B$16+39,EM!$AF$16-EM!$B$16)),0)
)/ROUND(T$11,0),NA()))</f>
        <v>0.72705457895591852</v>
      </c>
      <c r="U28" s="2046">
        <f ca="1">IF(U$19=GPG!$A$28,IF(ROW(U28)-ROW(U$26)+1=MATCH(U$20,GPG!$A$5:$A$11,0),1,0),
IF(U$19=GPG!$A$29,
(IF(ROUND(U$11,0)&gt;=1,OFFSET(EM!$B$17,ROW($A28)-ROW($A$26)+(ROW(EM!$C$46)-ROW(EM!$C$14))*(MATCH(U$22,EM!$B$6:$B$9,0)-1),MIN(U$23-EM!$B$16,EM!$AF$16-EM!$B$16)),0)+
IF(ROUND(U$11,0)&gt;=2,OFFSET(EM!$B$17,ROW($A28)-ROW($A$26)+(ROW(EM!$C$46)-ROW(EM!$C$14))*(MATCH(U$22,EM!$B$6:$B$9,0)-1),MIN(U$23-EM!$B$16+1,EM!$AF$16-EM!$B$16)),0)+
IF(ROUND(U$11,0)&gt;=3,OFFSET(EM!$B$17,ROW($A28)-ROW($A$26)+(ROW(EM!$C$46)-ROW(EM!$C$14))*(MATCH(U$22,EM!$B$6:$B$9,0)-1),MIN(U$23-EM!$B$16+2,EM!$AF$16-EM!$B$16)),0)+
IF(ROUND(U$11,0)&gt;=4,OFFSET(EM!$B$17,ROW($A28)-ROW($A$26)+(ROW(EM!$C$46)-ROW(EM!$C$14))*(MATCH(U$22,EM!$B$6:$B$9,0)-1),MIN(U$23-EM!$B$16+3,EM!$AF$16-EM!$B$16)),0)+
IF(ROUND(U$11,0)&gt;=5,OFFSET(EM!$B$17,ROW($A28)-ROW($A$26)+(ROW(EM!$C$46)-ROW(EM!$C$14))*(MATCH(U$22,EM!$B$6:$B$9,0)-1),MIN(U$23-EM!$B$16+4,EM!$AF$16-EM!$B$16)),0)+
IF(ROUND(U$11,0)&gt;=6,OFFSET(EM!$B$17,ROW($A28)-ROW($A$26)+(ROW(EM!$C$46)-ROW(EM!$C$14))*(MATCH(U$22,EM!$B$6:$B$9,0)-1),MIN(U$23-EM!$B$16+5,EM!$AF$16-EM!$B$16)),0)+
IF(ROUND(U$11,0)&gt;=7,OFFSET(EM!$B$17,ROW($A28)-ROW($A$26)+(ROW(EM!$C$46)-ROW(EM!$C$14))*(MATCH(U$22,EM!$B$6:$B$9,0)-1),MIN(U$23-EM!$B$16+6,EM!$AF$16-EM!$B$16)),0)+
IF(ROUND(U$11,0)&gt;=8,OFFSET(EM!$B$17,ROW($A28)-ROW($A$26)+(ROW(EM!$C$46)-ROW(EM!$C$14))*(MATCH(U$22,EM!$B$6:$B$9,0)-1),MIN(U$23-EM!$B$16+7,EM!$AF$16-EM!$B$16)),0)+
IF(ROUND(U$11,0)&gt;=9,OFFSET(EM!$B$17,ROW($A28)-ROW($A$26)+(ROW(EM!$C$46)-ROW(EM!$C$14))*(MATCH(U$22,EM!$B$6:$B$9,0)-1),MIN(U$23-EM!$B$16+8,EM!$AF$16-EM!$B$16)),0)+
IF(ROUND(U$11,0)&gt;=10,OFFSET(EM!$B$17,ROW($A28)-ROW($A$26)+(ROW(EM!$C$46)-ROW(EM!$C$14))*(MATCH(U$22,EM!$B$6:$B$9,0)-1),MIN(U$23-EM!$B$16+9,EM!$AF$16-EM!$B$16)),0)+
IF(ROUND(U$11,0)&gt;=11,OFFSET(EM!$B$17,ROW($A28)-ROW($A$26)+(ROW(EM!$C$46)-ROW(EM!$C$14))*(MATCH(U$22,EM!$B$6:$B$9,0)-1),MIN(U$23-EM!$B$16+10,EM!$AF$16-EM!$B$16)),0)+
IF(ROUND(U$11,0)&gt;=12,OFFSET(EM!$B$17,ROW($A28)-ROW($A$26)+(ROW(EM!$C$46)-ROW(EM!$C$14))*(MATCH(U$22,EM!$B$6:$B$9,0)-1),MIN(U$23-EM!$B$16+11,EM!$AF$16-EM!$B$16)),0)+
IF(ROUND(U$11,0)&gt;=13,OFFSET(EM!$B$17,ROW($A28)-ROW($A$26)+(ROW(EM!$C$46)-ROW(EM!$C$14))*(MATCH(U$22,EM!$B$6:$B$9,0)-1),MIN(U$23-EM!$B$16+12,EM!$AF$16-EM!$B$16)),0)+
IF(ROUND(U$11,0)&gt;=14,OFFSET(EM!$B$17,ROW($A28)-ROW($A$26)+(ROW(EM!$C$46)-ROW(EM!$C$14))*(MATCH(U$22,EM!$B$6:$B$9,0)-1),MIN(U$23-EM!$B$16+13,EM!$AF$16-EM!$B$16)),0)+
IF(ROUND(U$11,0)&gt;=15,OFFSET(EM!$B$17,ROW($A28)-ROW($A$26)+(ROW(EM!$C$46)-ROW(EM!$C$14))*(MATCH(U$22,EM!$B$6:$B$9,0)-1),MIN(U$23-EM!$B$16+14,EM!$AF$16-EM!$B$16)),0)+
IF(ROUND(U$11,0)&gt;=16,OFFSET(EM!$B$17,ROW($A28)-ROW($A$26)+(ROW(EM!$C$46)-ROW(EM!$C$14))*(MATCH(U$22,EM!$B$6:$B$9,0)-1),MIN(U$23-EM!$B$16+15,EM!$AF$16-EM!$B$16)),0)+
IF(ROUND(U$11,0)&gt;=17,OFFSET(EM!$B$17,ROW($A28)-ROW($A$26)+(ROW(EM!$C$46)-ROW(EM!$C$14))*(MATCH(U$22,EM!$B$6:$B$9,0)-1),MIN(U$23-EM!$B$16+16,EM!$AF$16-EM!$B$16)),0)+
IF(ROUND(U$11,0)&gt;=18,OFFSET(EM!$B$17,ROW($A28)-ROW($A$26)+(ROW(EM!$C$46)-ROW(EM!$C$14))*(MATCH(U$22,EM!$B$6:$B$9,0)-1),MIN(U$23-EM!$B$16+17,EM!$AF$16-EM!$B$16)),0)+
IF(ROUND(U$11,0)&gt;=19,OFFSET(EM!$B$17,ROW($A28)-ROW($A$26)+(ROW(EM!$C$46)-ROW(EM!$C$14))*(MATCH(U$22,EM!$B$6:$B$9,0)-1),MIN(U$23-EM!$B$16+18,EM!$AF$16-EM!$B$16)),0)+
IF(ROUND(U$11,0)&gt;=20,OFFSET(EM!$B$17,ROW($A28)-ROW($A$26)+(ROW(EM!$C$46)-ROW(EM!$C$14))*(MATCH(U$22,EM!$B$6:$B$9,0)-1),MIN(U$23-EM!$B$16+19,EM!$AF$16-EM!$B$16)),0)+
IF(ROUND(U$11,0)&gt;=21,OFFSET(EM!$B$17,ROW($A28)-ROW($A$26)+(ROW(EM!$C$46)-ROW(EM!$C$14))*(MATCH(U$22,EM!$B$6:$B$9,0)-1),MIN(U$23-EM!$B$16+20,EM!$AF$16-EM!$B$16)),0)+
IF(ROUND(U$11,0)&gt;=22,OFFSET(EM!$B$17,ROW($A28)-ROW($A$26)+(ROW(EM!$C$46)-ROW(EM!$C$14))*(MATCH(U$22,EM!$B$6:$B$9,0)-1),MIN(U$23-EM!$B$16+21,EM!$AF$16-EM!$B$16)),0)+
IF(ROUND(U$11,0)&gt;=23,OFFSET(EM!$B$17,ROW($A28)-ROW($A$26)+(ROW(EM!$C$46)-ROW(EM!$C$14))*(MATCH(U$22,EM!$B$6:$B$9,0)-1),MIN(U$23-EM!$B$16+22,EM!$AF$16-EM!$B$16)),0)+
IF(ROUND(U$11,0)&gt;=24,OFFSET(EM!$B$17,ROW($A28)-ROW($A$26)+(ROW(EM!$C$46)-ROW(EM!$C$14))*(MATCH(U$22,EM!$B$6:$B$9,0)-1),MIN(U$23-EM!$B$16+23,EM!$AF$16-EM!$B$16)),0)+
IF(ROUND(U$11,0)&gt;=25,OFFSET(EM!$B$17,ROW($A28)-ROW($A$26)+(ROW(EM!$C$46)-ROW(EM!$C$14))*(MATCH(U$22,EM!$B$6:$B$9,0)-1),MIN(U$23-EM!$B$16+24,EM!$AF$16-EM!$B$16)),0)+
IF(ROUND(U$11,0)&gt;=26,OFFSET(EM!$B$17,ROW($A28)-ROW($A$26)+(ROW(EM!$C$46)-ROW(EM!$C$14))*(MATCH(U$22,EM!$B$6:$B$9,0)-1),MIN(U$23-EM!$B$16+25,EM!$AF$16-EM!$B$16)),0)+
IF(ROUND(U$11,0)&gt;=27,OFFSET(EM!$B$17,ROW($A28)-ROW($A$26)+(ROW(EM!$C$46)-ROW(EM!$C$14))*(MATCH(U$22,EM!$B$6:$B$9,0)-1),MIN(U$23-EM!$B$16+26,EM!$AF$16-EM!$B$16)),0)+
IF(ROUND(U$11,0)&gt;=28,OFFSET(EM!$B$17,ROW($A28)-ROW($A$26)+(ROW(EM!$C$46)-ROW(EM!$C$14))*(MATCH(U$22,EM!$B$6:$B$9,0)-1),MIN(U$23-EM!$B$16+27,EM!$AF$16-EM!$B$16)),0)+
IF(ROUND(U$11,0)&gt;=29,OFFSET(EM!$B$17,ROW($A28)-ROW($A$26)+(ROW(EM!$C$46)-ROW(EM!$C$14))*(MATCH(U$22,EM!$B$6:$B$9,0)-1),MIN(U$23-EM!$B$16+28,EM!$AF$16-EM!$B$16)),0)+
IF(ROUND(U$11,0)&gt;=30,OFFSET(EM!$B$17,ROW($A28)-ROW($A$26)+(ROW(EM!$C$46)-ROW(EM!$C$14))*(MATCH(U$22,EM!$B$6:$B$9,0)-1),MIN(U$23-EM!$B$16+29,EM!$AF$16-EM!$B$16)),0)+
IF(ROUND(U$11,0)&gt;=31,OFFSET(EM!$B$17,ROW($A28)-ROW($A$26)+(ROW(EM!$C$46)-ROW(EM!$C$14))*(MATCH(U$22,EM!$B$6:$B$9,0)-1),MIN(U$23-EM!$B$16+30,EM!$AF$16-EM!$B$16)),0)+
IF(ROUND(U$11,0)&gt;=32,OFFSET(EM!$B$17,ROW($A28)-ROW($A$26)+(ROW(EM!$C$46)-ROW(EM!$C$14))*(MATCH(U$22,EM!$B$6:$B$9,0)-1),MIN(U$23-EM!$B$16+31,EM!$AF$16-EM!$B$16)),0)+
IF(ROUND(U$11,0)&gt;=33,OFFSET(EM!$B$17,ROW($A28)-ROW($A$26)+(ROW(EM!$C$46)-ROW(EM!$C$14))*(MATCH(U$22,EM!$B$6:$B$9,0)-1),MIN(U$23-EM!$B$16+32,EM!$AF$16-EM!$B$16)),0)+
IF(ROUND(U$11,0)&gt;=34,OFFSET(EM!$B$17,ROW($A28)-ROW($A$26)+(ROW(EM!$C$46)-ROW(EM!$C$14))*(MATCH(U$22,EM!$B$6:$B$9,0)-1),MIN(U$23-EM!$B$16+33,EM!$AF$16-EM!$B$16)),0)+
IF(ROUND(U$11,0)&gt;=35,OFFSET(EM!$B$17,ROW($A28)-ROW($A$26)+(ROW(EM!$C$46)-ROW(EM!$C$14))*(MATCH(U$22,EM!$B$6:$B$9,0)-1),MIN(U$23-EM!$B$16+34,EM!$AF$16-EM!$B$16)),0)+
IF(ROUND(U$11,0)&gt;=36,OFFSET(EM!$B$17,ROW($A28)-ROW($A$26)+(ROW(EM!$C$46)-ROW(EM!$C$14))*(MATCH(U$22,EM!$B$6:$B$9,0)-1),MIN(U$23-EM!$B$16+35,EM!$AF$16-EM!$B$16)),0)+
IF(ROUND(U$11,0)&gt;=37,OFFSET(EM!$B$17,ROW($A28)-ROW($A$26)+(ROW(EM!$C$46)-ROW(EM!$C$14))*(MATCH(U$22,EM!$B$6:$B$9,0)-1),MIN(U$23-EM!$B$16+36,EM!$AF$16-EM!$B$16)),0)+
IF(ROUND(U$11,0)&gt;=38,OFFSET(EM!$B$17,ROW($A28)-ROW($A$26)+(ROW(EM!$C$46)-ROW(EM!$C$14))*(MATCH(U$22,EM!$B$6:$B$9,0)-1),MIN(U$23-EM!$B$16+37,EM!$AF$16-EM!$B$16)),0)+
IF(ROUND(U$11,0)&gt;=39,OFFSET(EM!$B$17,ROW($A28)-ROW($A$26)+(ROW(EM!$C$46)-ROW(EM!$C$14))*(MATCH(U$22,EM!$B$6:$B$9,0)-1),MIN(U$23-EM!$B$16+38,EM!$AF$16-EM!$B$16)),0)+
IF(ROUND(U$11,0)&gt;=40,OFFSET(EM!$B$17,ROW($A28)-ROW($A$26)+(ROW(EM!$C$46)-ROW(EM!$C$14))*(MATCH(U$22,EM!$B$6:$B$9,0)-1),MIN(U$23-EM!$B$16+39,EM!$AF$16-EM!$B$16)),0)
)/ROUND(U$11,0),NA()))</f>
        <v>0.72705457895591852</v>
      </c>
      <c r="V28" s="2046">
        <f ca="1">IF(V$19=GPG!$A$28,IF(ROW(V28)-ROW(V$26)+1=MATCH(V$20,GPG!$A$5:$A$11,0),1,0),
IF(V$19=GPG!$A$29,
(IF(ROUND(V$11,0)&gt;=1,OFFSET(EM!$B$17,ROW($A28)-ROW($A$26)+(ROW(EM!$C$46)-ROW(EM!$C$14))*(MATCH(V$22,EM!$B$6:$B$9,0)-1),MIN(V$23-EM!$B$16,EM!$AF$16-EM!$B$16)),0)+
IF(ROUND(V$11,0)&gt;=2,OFFSET(EM!$B$17,ROW($A28)-ROW($A$26)+(ROW(EM!$C$46)-ROW(EM!$C$14))*(MATCH(V$22,EM!$B$6:$B$9,0)-1),MIN(V$23-EM!$B$16+1,EM!$AF$16-EM!$B$16)),0)+
IF(ROUND(V$11,0)&gt;=3,OFFSET(EM!$B$17,ROW($A28)-ROW($A$26)+(ROW(EM!$C$46)-ROW(EM!$C$14))*(MATCH(V$22,EM!$B$6:$B$9,0)-1),MIN(V$23-EM!$B$16+2,EM!$AF$16-EM!$B$16)),0)+
IF(ROUND(V$11,0)&gt;=4,OFFSET(EM!$B$17,ROW($A28)-ROW($A$26)+(ROW(EM!$C$46)-ROW(EM!$C$14))*(MATCH(V$22,EM!$B$6:$B$9,0)-1),MIN(V$23-EM!$B$16+3,EM!$AF$16-EM!$B$16)),0)+
IF(ROUND(V$11,0)&gt;=5,OFFSET(EM!$B$17,ROW($A28)-ROW($A$26)+(ROW(EM!$C$46)-ROW(EM!$C$14))*(MATCH(V$22,EM!$B$6:$B$9,0)-1),MIN(V$23-EM!$B$16+4,EM!$AF$16-EM!$B$16)),0)+
IF(ROUND(V$11,0)&gt;=6,OFFSET(EM!$B$17,ROW($A28)-ROW($A$26)+(ROW(EM!$C$46)-ROW(EM!$C$14))*(MATCH(V$22,EM!$B$6:$B$9,0)-1),MIN(V$23-EM!$B$16+5,EM!$AF$16-EM!$B$16)),0)+
IF(ROUND(V$11,0)&gt;=7,OFFSET(EM!$B$17,ROW($A28)-ROW($A$26)+(ROW(EM!$C$46)-ROW(EM!$C$14))*(MATCH(V$22,EM!$B$6:$B$9,0)-1),MIN(V$23-EM!$B$16+6,EM!$AF$16-EM!$B$16)),0)+
IF(ROUND(V$11,0)&gt;=8,OFFSET(EM!$B$17,ROW($A28)-ROW($A$26)+(ROW(EM!$C$46)-ROW(EM!$C$14))*(MATCH(V$22,EM!$B$6:$B$9,0)-1),MIN(V$23-EM!$B$16+7,EM!$AF$16-EM!$B$16)),0)+
IF(ROUND(V$11,0)&gt;=9,OFFSET(EM!$B$17,ROW($A28)-ROW($A$26)+(ROW(EM!$C$46)-ROW(EM!$C$14))*(MATCH(V$22,EM!$B$6:$B$9,0)-1),MIN(V$23-EM!$B$16+8,EM!$AF$16-EM!$B$16)),0)+
IF(ROUND(V$11,0)&gt;=10,OFFSET(EM!$B$17,ROW($A28)-ROW($A$26)+(ROW(EM!$C$46)-ROW(EM!$C$14))*(MATCH(V$22,EM!$B$6:$B$9,0)-1),MIN(V$23-EM!$B$16+9,EM!$AF$16-EM!$B$16)),0)+
IF(ROUND(V$11,0)&gt;=11,OFFSET(EM!$B$17,ROW($A28)-ROW($A$26)+(ROW(EM!$C$46)-ROW(EM!$C$14))*(MATCH(V$22,EM!$B$6:$B$9,0)-1),MIN(V$23-EM!$B$16+10,EM!$AF$16-EM!$B$16)),0)+
IF(ROUND(V$11,0)&gt;=12,OFFSET(EM!$B$17,ROW($A28)-ROW($A$26)+(ROW(EM!$C$46)-ROW(EM!$C$14))*(MATCH(V$22,EM!$B$6:$B$9,0)-1),MIN(V$23-EM!$B$16+11,EM!$AF$16-EM!$B$16)),0)+
IF(ROUND(V$11,0)&gt;=13,OFFSET(EM!$B$17,ROW($A28)-ROW($A$26)+(ROW(EM!$C$46)-ROW(EM!$C$14))*(MATCH(V$22,EM!$B$6:$B$9,0)-1),MIN(V$23-EM!$B$16+12,EM!$AF$16-EM!$B$16)),0)+
IF(ROUND(V$11,0)&gt;=14,OFFSET(EM!$B$17,ROW($A28)-ROW($A$26)+(ROW(EM!$C$46)-ROW(EM!$C$14))*(MATCH(V$22,EM!$B$6:$B$9,0)-1),MIN(V$23-EM!$B$16+13,EM!$AF$16-EM!$B$16)),0)+
IF(ROUND(V$11,0)&gt;=15,OFFSET(EM!$B$17,ROW($A28)-ROW($A$26)+(ROW(EM!$C$46)-ROW(EM!$C$14))*(MATCH(V$22,EM!$B$6:$B$9,0)-1),MIN(V$23-EM!$B$16+14,EM!$AF$16-EM!$B$16)),0)+
IF(ROUND(V$11,0)&gt;=16,OFFSET(EM!$B$17,ROW($A28)-ROW($A$26)+(ROW(EM!$C$46)-ROW(EM!$C$14))*(MATCH(V$22,EM!$B$6:$B$9,0)-1),MIN(V$23-EM!$B$16+15,EM!$AF$16-EM!$B$16)),0)+
IF(ROUND(V$11,0)&gt;=17,OFFSET(EM!$B$17,ROW($A28)-ROW($A$26)+(ROW(EM!$C$46)-ROW(EM!$C$14))*(MATCH(V$22,EM!$B$6:$B$9,0)-1),MIN(V$23-EM!$B$16+16,EM!$AF$16-EM!$B$16)),0)+
IF(ROUND(V$11,0)&gt;=18,OFFSET(EM!$B$17,ROW($A28)-ROW($A$26)+(ROW(EM!$C$46)-ROW(EM!$C$14))*(MATCH(V$22,EM!$B$6:$B$9,0)-1),MIN(V$23-EM!$B$16+17,EM!$AF$16-EM!$B$16)),0)+
IF(ROUND(V$11,0)&gt;=19,OFFSET(EM!$B$17,ROW($A28)-ROW($A$26)+(ROW(EM!$C$46)-ROW(EM!$C$14))*(MATCH(V$22,EM!$B$6:$B$9,0)-1),MIN(V$23-EM!$B$16+18,EM!$AF$16-EM!$B$16)),0)+
IF(ROUND(V$11,0)&gt;=20,OFFSET(EM!$B$17,ROW($A28)-ROW($A$26)+(ROW(EM!$C$46)-ROW(EM!$C$14))*(MATCH(V$22,EM!$B$6:$B$9,0)-1),MIN(V$23-EM!$B$16+19,EM!$AF$16-EM!$B$16)),0)+
IF(ROUND(V$11,0)&gt;=21,OFFSET(EM!$B$17,ROW($A28)-ROW($A$26)+(ROW(EM!$C$46)-ROW(EM!$C$14))*(MATCH(V$22,EM!$B$6:$B$9,0)-1),MIN(V$23-EM!$B$16+20,EM!$AF$16-EM!$B$16)),0)+
IF(ROUND(V$11,0)&gt;=22,OFFSET(EM!$B$17,ROW($A28)-ROW($A$26)+(ROW(EM!$C$46)-ROW(EM!$C$14))*(MATCH(V$22,EM!$B$6:$B$9,0)-1),MIN(V$23-EM!$B$16+21,EM!$AF$16-EM!$B$16)),0)+
IF(ROUND(V$11,0)&gt;=23,OFFSET(EM!$B$17,ROW($A28)-ROW($A$26)+(ROW(EM!$C$46)-ROW(EM!$C$14))*(MATCH(V$22,EM!$B$6:$B$9,0)-1),MIN(V$23-EM!$B$16+22,EM!$AF$16-EM!$B$16)),0)+
IF(ROUND(V$11,0)&gt;=24,OFFSET(EM!$B$17,ROW($A28)-ROW($A$26)+(ROW(EM!$C$46)-ROW(EM!$C$14))*(MATCH(V$22,EM!$B$6:$B$9,0)-1),MIN(V$23-EM!$B$16+23,EM!$AF$16-EM!$B$16)),0)+
IF(ROUND(V$11,0)&gt;=25,OFFSET(EM!$B$17,ROW($A28)-ROW($A$26)+(ROW(EM!$C$46)-ROW(EM!$C$14))*(MATCH(V$22,EM!$B$6:$B$9,0)-1),MIN(V$23-EM!$B$16+24,EM!$AF$16-EM!$B$16)),0)+
IF(ROUND(V$11,0)&gt;=26,OFFSET(EM!$B$17,ROW($A28)-ROW($A$26)+(ROW(EM!$C$46)-ROW(EM!$C$14))*(MATCH(V$22,EM!$B$6:$B$9,0)-1),MIN(V$23-EM!$B$16+25,EM!$AF$16-EM!$B$16)),0)+
IF(ROUND(V$11,0)&gt;=27,OFFSET(EM!$B$17,ROW($A28)-ROW($A$26)+(ROW(EM!$C$46)-ROW(EM!$C$14))*(MATCH(V$22,EM!$B$6:$B$9,0)-1),MIN(V$23-EM!$B$16+26,EM!$AF$16-EM!$B$16)),0)+
IF(ROUND(V$11,0)&gt;=28,OFFSET(EM!$B$17,ROW($A28)-ROW($A$26)+(ROW(EM!$C$46)-ROW(EM!$C$14))*(MATCH(V$22,EM!$B$6:$B$9,0)-1),MIN(V$23-EM!$B$16+27,EM!$AF$16-EM!$B$16)),0)+
IF(ROUND(V$11,0)&gt;=29,OFFSET(EM!$B$17,ROW($A28)-ROW($A$26)+(ROW(EM!$C$46)-ROW(EM!$C$14))*(MATCH(V$22,EM!$B$6:$B$9,0)-1),MIN(V$23-EM!$B$16+28,EM!$AF$16-EM!$B$16)),0)+
IF(ROUND(V$11,0)&gt;=30,OFFSET(EM!$B$17,ROW($A28)-ROW($A$26)+(ROW(EM!$C$46)-ROW(EM!$C$14))*(MATCH(V$22,EM!$B$6:$B$9,0)-1),MIN(V$23-EM!$B$16+29,EM!$AF$16-EM!$B$16)),0)+
IF(ROUND(V$11,0)&gt;=31,OFFSET(EM!$B$17,ROW($A28)-ROW($A$26)+(ROW(EM!$C$46)-ROW(EM!$C$14))*(MATCH(V$22,EM!$B$6:$B$9,0)-1),MIN(V$23-EM!$B$16+30,EM!$AF$16-EM!$B$16)),0)+
IF(ROUND(V$11,0)&gt;=32,OFFSET(EM!$B$17,ROW($A28)-ROW($A$26)+(ROW(EM!$C$46)-ROW(EM!$C$14))*(MATCH(V$22,EM!$B$6:$B$9,0)-1),MIN(V$23-EM!$B$16+31,EM!$AF$16-EM!$B$16)),0)+
IF(ROUND(V$11,0)&gt;=33,OFFSET(EM!$B$17,ROW($A28)-ROW($A$26)+(ROW(EM!$C$46)-ROW(EM!$C$14))*(MATCH(V$22,EM!$B$6:$B$9,0)-1),MIN(V$23-EM!$B$16+32,EM!$AF$16-EM!$B$16)),0)+
IF(ROUND(V$11,0)&gt;=34,OFFSET(EM!$B$17,ROW($A28)-ROW($A$26)+(ROW(EM!$C$46)-ROW(EM!$C$14))*(MATCH(V$22,EM!$B$6:$B$9,0)-1),MIN(V$23-EM!$B$16+33,EM!$AF$16-EM!$B$16)),0)+
IF(ROUND(V$11,0)&gt;=35,OFFSET(EM!$B$17,ROW($A28)-ROW($A$26)+(ROW(EM!$C$46)-ROW(EM!$C$14))*(MATCH(V$22,EM!$B$6:$B$9,0)-1),MIN(V$23-EM!$B$16+34,EM!$AF$16-EM!$B$16)),0)+
IF(ROUND(V$11,0)&gt;=36,OFFSET(EM!$B$17,ROW($A28)-ROW($A$26)+(ROW(EM!$C$46)-ROW(EM!$C$14))*(MATCH(V$22,EM!$B$6:$B$9,0)-1),MIN(V$23-EM!$B$16+35,EM!$AF$16-EM!$B$16)),0)+
IF(ROUND(V$11,0)&gt;=37,OFFSET(EM!$B$17,ROW($A28)-ROW($A$26)+(ROW(EM!$C$46)-ROW(EM!$C$14))*(MATCH(V$22,EM!$B$6:$B$9,0)-1),MIN(V$23-EM!$B$16+36,EM!$AF$16-EM!$B$16)),0)+
IF(ROUND(V$11,0)&gt;=38,OFFSET(EM!$B$17,ROW($A28)-ROW($A$26)+(ROW(EM!$C$46)-ROW(EM!$C$14))*(MATCH(V$22,EM!$B$6:$B$9,0)-1),MIN(V$23-EM!$B$16+37,EM!$AF$16-EM!$B$16)),0)+
IF(ROUND(V$11,0)&gt;=39,OFFSET(EM!$B$17,ROW($A28)-ROW($A$26)+(ROW(EM!$C$46)-ROW(EM!$C$14))*(MATCH(V$22,EM!$B$6:$B$9,0)-1),MIN(V$23-EM!$B$16+38,EM!$AF$16-EM!$B$16)),0)+
IF(ROUND(V$11,0)&gt;=40,OFFSET(EM!$B$17,ROW($A28)-ROW($A$26)+(ROW(EM!$C$46)-ROW(EM!$C$14))*(MATCH(V$22,EM!$B$6:$B$9,0)-1),MIN(V$23-EM!$B$16+39,EM!$AF$16-EM!$B$16)),0)
)/ROUND(V$11,0),NA()))</f>
        <v>0.72705457895591852</v>
      </c>
      <c r="W28" s="2046">
        <f ca="1">IF(W$19=GPG!$A$28,IF(ROW(W28)-ROW(W$26)+1=MATCH(W$20,GPG!$A$5:$A$11,0),1,0),
IF(W$19=GPG!$A$29,
(IF(ROUND(W$11,0)&gt;=1,OFFSET(EM!$B$17,ROW($A28)-ROW($A$26)+(ROW(EM!$C$46)-ROW(EM!$C$14))*(MATCH(W$22,EM!$B$6:$B$9,0)-1),MIN(W$23-EM!$B$16,EM!$AF$16-EM!$B$16)),0)+
IF(ROUND(W$11,0)&gt;=2,OFFSET(EM!$B$17,ROW($A28)-ROW($A$26)+(ROW(EM!$C$46)-ROW(EM!$C$14))*(MATCH(W$22,EM!$B$6:$B$9,0)-1),MIN(W$23-EM!$B$16+1,EM!$AF$16-EM!$B$16)),0)+
IF(ROUND(W$11,0)&gt;=3,OFFSET(EM!$B$17,ROW($A28)-ROW($A$26)+(ROW(EM!$C$46)-ROW(EM!$C$14))*(MATCH(W$22,EM!$B$6:$B$9,0)-1),MIN(W$23-EM!$B$16+2,EM!$AF$16-EM!$B$16)),0)+
IF(ROUND(W$11,0)&gt;=4,OFFSET(EM!$B$17,ROW($A28)-ROW($A$26)+(ROW(EM!$C$46)-ROW(EM!$C$14))*(MATCH(W$22,EM!$B$6:$B$9,0)-1),MIN(W$23-EM!$B$16+3,EM!$AF$16-EM!$B$16)),0)+
IF(ROUND(W$11,0)&gt;=5,OFFSET(EM!$B$17,ROW($A28)-ROW($A$26)+(ROW(EM!$C$46)-ROW(EM!$C$14))*(MATCH(W$22,EM!$B$6:$B$9,0)-1),MIN(W$23-EM!$B$16+4,EM!$AF$16-EM!$B$16)),0)+
IF(ROUND(W$11,0)&gt;=6,OFFSET(EM!$B$17,ROW($A28)-ROW($A$26)+(ROW(EM!$C$46)-ROW(EM!$C$14))*(MATCH(W$22,EM!$B$6:$B$9,0)-1),MIN(W$23-EM!$B$16+5,EM!$AF$16-EM!$B$16)),0)+
IF(ROUND(W$11,0)&gt;=7,OFFSET(EM!$B$17,ROW($A28)-ROW($A$26)+(ROW(EM!$C$46)-ROW(EM!$C$14))*(MATCH(W$22,EM!$B$6:$B$9,0)-1),MIN(W$23-EM!$B$16+6,EM!$AF$16-EM!$B$16)),0)+
IF(ROUND(W$11,0)&gt;=8,OFFSET(EM!$B$17,ROW($A28)-ROW($A$26)+(ROW(EM!$C$46)-ROW(EM!$C$14))*(MATCH(W$22,EM!$B$6:$B$9,0)-1),MIN(W$23-EM!$B$16+7,EM!$AF$16-EM!$B$16)),0)+
IF(ROUND(W$11,0)&gt;=9,OFFSET(EM!$B$17,ROW($A28)-ROW($A$26)+(ROW(EM!$C$46)-ROW(EM!$C$14))*(MATCH(W$22,EM!$B$6:$B$9,0)-1),MIN(W$23-EM!$B$16+8,EM!$AF$16-EM!$B$16)),0)+
IF(ROUND(W$11,0)&gt;=10,OFFSET(EM!$B$17,ROW($A28)-ROW($A$26)+(ROW(EM!$C$46)-ROW(EM!$C$14))*(MATCH(W$22,EM!$B$6:$B$9,0)-1),MIN(W$23-EM!$B$16+9,EM!$AF$16-EM!$B$16)),0)+
IF(ROUND(W$11,0)&gt;=11,OFFSET(EM!$B$17,ROW($A28)-ROW($A$26)+(ROW(EM!$C$46)-ROW(EM!$C$14))*(MATCH(W$22,EM!$B$6:$B$9,0)-1),MIN(W$23-EM!$B$16+10,EM!$AF$16-EM!$B$16)),0)+
IF(ROUND(W$11,0)&gt;=12,OFFSET(EM!$B$17,ROW($A28)-ROW($A$26)+(ROW(EM!$C$46)-ROW(EM!$C$14))*(MATCH(W$22,EM!$B$6:$B$9,0)-1),MIN(W$23-EM!$B$16+11,EM!$AF$16-EM!$B$16)),0)+
IF(ROUND(W$11,0)&gt;=13,OFFSET(EM!$B$17,ROW($A28)-ROW($A$26)+(ROW(EM!$C$46)-ROW(EM!$C$14))*(MATCH(W$22,EM!$B$6:$B$9,0)-1),MIN(W$23-EM!$B$16+12,EM!$AF$16-EM!$B$16)),0)+
IF(ROUND(W$11,0)&gt;=14,OFFSET(EM!$B$17,ROW($A28)-ROW($A$26)+(ROW(EM!$C$46)-ROW(EM!$C$14))*(MATCH(W$22,EM!$B$6:$B$9,0)-1),MIN(W$23-EM!$B$16+13,EM!$AF$16-EM!$B$16)),0)+
IF(ROUND(W$11,0)&gt;=15,OFFSET(EM!$B$17,ROW($A28)-ROW($A$26)+(ROW(EM!$C$46)-ROW(EM!$C$14))*(MATCH(W$22,EM!$B$6:$B$9,0)-1),MIN(W$23-EM!$B$16+14,EM!$AF$16-EM!$B$16)),0)+
IF(ROUND(W$11,0)&gt;=16,OFFSET(EM!$B$17,ROW($A28)-ROW($A$26)+(ROW(EM!$C$46)-ROW(EM!$C$14))*(MATCH(W$22,EM!$B$6:$B$9,0)-1),MIN(W$23-EM!$B$16+15,EM!$AF$16-EM!$B$16)),0)+
IF(ROUND(W$11,0)&gt;=17,OFFSET(EM!$B$17,ROW($A28)-ROW($A$26)+(ROW(EM!$C$46)-ROW(EM!$C$14))*(MATCH(W$22,EM!$B$6:$B$9,0)-1),MIN(W$23-EM!$B$16+16,EM!$AF$16-EM!$B$16)),0)+
IF(ROUND(W$11,0)&gt;=18,OFFSET(EM!$B$17,ROW($A28)-ROW($A$26)+(ROW(EM!$C$46)-ROW(EM!$C$14))*(MATCH(W$22,EM!$B$6:$B$9,0)-1),MIN(W$23-EM!$B$16+17,EM!$AF$16-EM!$B$16)),0)+
IF(ROUND(W$11,0)&gt;=19,OFFSET(EM!$B$17,ROW($A28)-ROW($A$26)+(ROW(EM!$C$46)-ROW(EM!$C$14))*(MATCH(W$22,EM!$B$6:$B$9,0)-1),MIN(W$23-EM!$B$16+18,EM!$AF$16-EM!$B$16)),0)+
IF(ROUND(W$11,0)&gt;=20,OFFSET(EM!$B$17,ROW($A28)-ROW($A$26)+(ROW(EM!$C$46)-ROW(EM!$C$14))*(MATCH(W$22,EM!$B$6:$B$9,0)-1),MIN(W$23-EM!$B$16+19,EM!$AF$16-EM!$B$16)),0)+
IF(ROUND(W$11,0)&gt;=21,OFFSET(EM!$B$17,ROW($A28)-ROW($A$26)+(ROW(EM!$C$46)-ROW(EM!$C$14))*(MATCH(W$22,EM!$B$6:$B$9,0)-1),MIN(W$23-EM!$B$16+20,EM!$AF$16-EM!$B$16)),0)+
IF(ROUND(W$11,0)&gt;=22,OFFSET(EM!$B$17,ROW($A28)-ROW($A$26)+(ROW(EM!$C$46)-ROW(EM!$C$14))*(MATCH(W$22,EM!$B$6:$B$9,0)-1),MIN(W$23-EM!$B$16+21,EM!$AF$16-EM!$B$16)),0)+
IF(ROUND(W$11,0)&gt;=23,OFFSET(EM!$B$17,ROW($A28)-ROW($A$26)+(ROW(EM!$C$46)-ROW(EM!$C$14))*(MATCH(W$22,EM!$B$6:$B$9,0)-1),MIN(W$23-EM!$B$16+22,EM!$AF$16-EM!$B$16)),0)+
IF(ROUND(W$11,0)&gt;=24,OFFSET(EM!$B$17,ROW($A28)-ROW($A$26)+(ROW(EM!$C$46)-ROW(EM!$C$14))*(MATCH(W$22,EM!$B$6:$B$9,0)-1),MIN(W$23-EM!$B$16+23,EM!$AF$16-EM!$B$16)),0)+
IF(ROUND(W$11,0)&gt;=25,OFFSET(EM!$B$17,ROW($A28)-ROW($A$26)+(ROW(EM!$C$46)-ROW(EM!$C$14))*(MATCH(W$22,EM!$B$6:$B$9,0)-1),MIN(W$23-EM!$B$16+24,EM!$AF$16-EM!$B$16)),0)+
IF(ROUND(W$11,0)&gt;=26,OFFSET(EM!$B$17,ROW($A28)-ROW($A$26)+(ROW(EM!$C$46)-ROW(EM!$C$14))*(MATCH(W$22,EM!$B$6:$B$9,0)-1),MIN(W$23-EM!$B$16+25,EM!$AF$16-EM!$B$16)),0)+
IF(ROUND(W$11,0)&gt;=27,OFFSET(EM!$B$17,ROW($A28)-ROW($A$26)+(ROW(EM!$C$46)-ROW(EM!$C$14))*(MATCH(W$22,EM!$B$6:$B$9,0)-1),MIN(W$23-EM!$B$16+26,EM!$AF$16-EM!$B$16)),0)+
IF(ROUND(W$11,0)&gt;=28,OFFSET(EM!$B$17,ROW($A28)-ROW($A$26)+(ROW(EM!$C$46)-ROW(EM!$C$14))*(MATCH(W$22,EM!$B$6:$B$9,0)-1),MIN(W$23-EM!$B$16+27,EM!$AF$16-EM!$B$16)),0)+
IF(ROUND(W$11,0)&gt;=29,OFFSET(EM!$B$17,ROW($A28)-ROW($A$26)+(ROW(EM!$C$46)-ROW(EM!$C$14))*(MATCH(W$22,EM!$B$6:$B$9,0)-1),MIN(W$23-EM!$B$16+28,EM!$AF$16-EM!$B$16)),0)+
IF(ROUND(W$11,0)&gt;=30,OFFSET(EM!$B$17,ROW($A28)-ROW($A$26)+(ROW(EM!$C$46)-ROW(EM!$C$14))*(MATCH(W$22,EM!$B$6:$B$9,0)-1),MIN(W$23-EM!$B$16+29,EM!$AF$16-EM!$B$16)),0)+
IF(ROUND(W$11,0)&gt;=31,OFFSET(EM!$B$17,ROW($A28)-ROW($A$26)+(ROW(EM!$C$46)-ROW(EM!$C$14))*(MATCH(W$22,EM!$B$6:$B$9,0)-1),MIN(W$23-EM!$B$16+30,EM!$AF$16-EM!$B$16)),0)+
IF(ROUND(W$11,0)&gt;=32,OFFSET(EM!$B$17,ROW($A28)-ROW($A$26)+(ROW(EM!$C$46)-ROW(EM!$C$14))*(MATCH(W$22,EM!$B$6:$B$9,0)-1),MIN(W$23-EM!$B$16+31,EM!$AF$16-EM!$B$16)),0)+
IF(ROUND(W$11,0)&gt;=33,OFFSET(EM!$B$17,ROW($A28)-ROW($A$26)+(ROW(EM!$C$46)-ROW(EM!$C$14))*(MATCH(W$22,EM!$B$6:$B$9,0)-1),MIN(W$23-EM!$B$16+32,EM!$AF$16-EM!$B$16)),0)+
IF(ROUND(W$11,0)&gt;=34,OFFSET(EM!$B$17,ROW($A28)-ROW($A$26)+(ROW(EM!$C$46)-ROW(EM!$C$14))*(MATCH(W$22,EM!$B$6:$B$9,0)-1),MIN(W$23-EM!$B$16+33,EM!$AF$16-EM!$B$16)),0)+
IF(ROUND(W$11,0)&gt;=35,OFFSET(EM!$B$17,ROW($A28)-ROW($A$26)+(ROW(EM!$C$46)-ROW(EM!$C$14))*(MATCH(W$22,EM!$B$6:$B$9,0)-1),MIN(W$23-EM!$B$16+34,EM!$AF$16-EM!$B$16)),0)+
IF(ROUND(W$11,0)&gt;=36,OFFSET(EM!$B$17,ROW($A28)-ROW($A$26)+(ROW(EM!$C$46)-ROW(EM!$C$14))*(MATCH(W$22,EM!$B$6:$B$9,0)-1),MIN(W$23-EM!$B$16+35,EM!$AF$16-EM!$B$16)),0)+
IF(ROUND(W$11,0)&gt;=37,OFFSET(EM!$B$17,ROW($A28)-ROW($A$26)+(ROW(EM!$C$46)-ROW(EM!$C$14))*(MATCH(W$22,EM!$B$6:$B$9,0)-1),MIN(W$23-EM!$B$16+36,EM!$AF$16-EM!$B$16)),0)+
IF(ROUND(W$11,0)&gt;=38,OFFSET(EM!$B$17,ROW($A28)-ROW($A$26)+(ROW(EM!$C$46)-ROW(EM!$C$14))*(MATCH(W$22,EM!$B$6:$B$9,0)-1),MIN(W$23-EM!$B$16+37,EM!$AF$16-EM!$B$16)),0)+
IF(ROUND(W$11,0)&gt;=39,OFFSET(EM!$B$17,ROW($A28)-ROW($A$26)+(ROW(EM!$C$46)-ROW(EM!$C$14))*(MATCH(W$22,EM!$B$6:$B$9,0)-1),MIN(W$23-EM!$B$16+38,EM!$AF$16-EM!$B$16)),0)+
IF(ROUND(W$11,0)&gt;=40,OFFSET(EM!$B$17,ROW($A28)-ROW($A$26)+(ROW(EM!$C$46)-ROW(EM!$C$14))*(MATCH(W$22,EM!$B$6:$B$9,0)-1),MIN(W$23-EM!$B$16+39,EM!$AF$16-EM!$B$16)),0)
)/ROUND(W$11,0),NA()))</f>
        <v>0.72705457895591852</v>
      </c>
      <c r="X28" s="2046">
        <f ca="1">IF(X$19=GPG!$A$28,IF(ROW(X28)-ROW(X$26)+1=MATCH(X$20,GPG!$A$5:$A$11,0),1,0),
IF(X$19=GPG!$A$29,
(IF(ROUND(X$11,0)&gt;=1,OFFSET(EM!$B$17,ROW($A28)-ROW($A$26)+(ROW(EM!$C$46)-ROW(EM!$C$14))*(MATCH(X$22,EM!$B$6:$B$9,0)-1),MIN(X$23-EM!$B$16,EM!$AF$16-EM!$B$16)),0)+
IF(ROUND(X$11,0)&gt;=2,OFFSET(EM!$B$17,ROW($A28)-ROW($A$26)+(ROW(EM!$C$46)-ROW(EM!$C$14))*(MATCH(X$22,EM!$B$6:$B$9,0)-1),MIN(X$23-EM!$B$16+1,EM!$AF$16-EM!$B$16)),0)+
IF(ROUND(X$11,0)&gt;=3,OFFSET(EM!$B$17,ROW($A28)-ROW($A$26)+(ROW(EM!$C$46)-ROW(EM!$C$14))*(MATCH(X$22,EM!$B$6:$B$9,0)-1),MIN(X$23-EM!$B$16+2,EM!$AF$16-EM!$B$16)),0)+
IF(ROUND(X$11,0)&gt;=4,OFFSET(EM!$B$17,ROW($A28)-ROW($A$26)+(ROW(EM!$C$46)-ROW(EM!$C$14))*(MATCH(X$22,EM!$B$6:$B$9,0)-1),MIN(X$23-EM!$B$16+3,EM!$AF$16-EM!$B$16)),0)+
IF(ROUND(X$11,0)&gt;=5,OFFSET(EM!$B$17,ROW($A28)-ROW($A$26)+(ROW(EM!$C$46)-ROW(EM!$C$14))*(MATCH(X$22,EM!$B$6:$B$9,0)-1),MIN(X$23-EM!$B$16+4,EM!$AF$16-EM!$B$16)),0)+
IF(ROUND(X$11,0)&gt;=6,OFFSET(EM!$B$17,ROW($A28)-ROW($A$26)+(ROW(EM!$C$46)-ROW(EM!$C$14))*(MATCH(X$22,EM!$B$6:$B$9,0)-1),MIN(X$23-EM!$B$16+5,EM!$AF$16-EM!$B$16)),0)+
IF(ROUND(X$11,0)&gt;=7,OFFSET(EM!$B$17,ROW($A28)-ROW($A$26)+(ROW(EM!$C$46)-ROW(EM!$C$14))*(MATCH(X$22,EM!$B$6:$B$9,0)-1),MIN(X$23-EM!$B$16+6,EM!$AF$16-EM!$B$16)),0)+
IF(ROUND(X$11,0)&gt;=8,OFFSET(EM!$B$17,ROW($A28)-ROW($A$26)+(ROW(EM!$C$46)-ROW(EM!$C$14))*(MATCH(X$22,EM!$B$6:$B$9,0)-1),MIN(X$23-EM!$B$16+7,EM!$AF$16-EM!$B$16)),0)+
IF(ROUND(X$11,0)&gt;=9,OFFSET(EM!$B$17,ROW($A28)-ROW($A$26)+(ROW(EM!$C$46)-ROW(EM!$C$14))*(MATCH(X$22,EM!$B$6:$B$9,0)-1),MIN(X$23-EM!$B$16+8,EM!$AF$16-EM!$B$16)),0)+
IF(ROUND(X$11,0)&gt;=10,OFFSET(EM!$B$17,ROW($A28)-ROW($A$26)+(ROW(EM!$C$46)-ROW(EM!$C$14))*(MATCH(X$22,EM!$B$6:$B$9,0)-1),MIN(X$23-EM!$B$16+9,EM!$AF$16-EM!$B$16)),0)+
IF(ROUND(X$11,0)&gt;=11,OFFSET(EM!$B$17,ROW($A28)-ROW($A$26)+(ROW(EM!$C$46)-ROW(EM!$C$14))*(MATCH(X$22,EM!$B$6:$B$9,0)-1),MIN(X$23-EM!$B$16+10,EM!$AF$16-EM!$B$16)),0)+
IF(ROUND(X$11,0)&gt;=12,OFFSET(EM!$B$17,ROW($A28)-ROW($A$26)+(ROW(EM!$C$46)-ROW(EM!$C$14))*(MATCH(X$22,EM!$B$6:$B$9,0)-1),MIN(X$23-EM!$B$16+11,EM!$AF$16-EM!$B$16)),0)+
IF(ROUND(X$11,0)&gt;=13,OFFSET(EM!$B$17,ROW($A28)-ROW($A$26)+(ROW(EM!$C$46)-ROW(EM!$C$14))*(MATCH(X$22,EM!$B$6:$B$9,0)-1),MIN(X$23-EM!$B$16+12,EM!$AF$16-EM!$B$16)),0)+
IF(ROUND(X$11,0)&gt;=14,OFFSET(EM!$B$17,ROW($A28)-ROW($A$26)+(ROW(EM!$C$46)-ROW(EM!$C$14))*(MATCH(X$22,EM!$B$6:$B$9,0)-1),MIN(X$23-EM!$B$16+13,EM!$AF$16-EM!$B$16)),0)+
IF(ROUND(X$11,0)&gt;=15,OFFSET(EM!$B$17,ROW($A28)-ROW($A$26)+(ROW(EM!$C$46)-ROW(EM!$C$14))*(MATCH(X$22,EM!$B$6:$B$9,0)-1),MIN(X$23-EM!$B$16+14,EM!$AF$16-EM!$B$16)),0)+
IF(ROUND(X$11,0)&gt;=16,OFFSET(EM!$B$17,ROW($A28)-ROW($A$26)+(ROW(EM!$C$46)-ROW(EM!$C$14))*(MATCH(X$22,EM!$B$6:$B$9,0)-1),MIN(X$23-EM!$B$16+15,EM!$AF$16-EM!$B$16)),0)+
IF(ROUND(X$11,0)&gt;=17,OFFSET(EM!$B$17,ROW($A28)-ROW($A$26)+(ROW(EM!$C$46)-ROW(EM!$C$14))*(MATCH(X$22,EM!$B$6:$B$9,0)-1),MIN(X$23-EM!$B$16+16,EM!$AF$16-EM!$B$16)),0)+
IF(ROUND(X$11,0)&gt;=18,OFFSET(EM!$B$17,ROW($A28)-ROW($A$26)+(ROW(EM!$C$46)-ROW(EM!$C$14))*(MATCH(X$22,EM!$B$6:$B$9,0)-1),MIN(X$23-EM!$B$16+17,EM!$AF$16-EM!$B$16)),0)+
IF(ROUND(X$11,0)&gt;=19,OFFSET(EM!$B$17,ROW($A28)-ROW($A$26)+(ROW(EM!$C$46)-ROW(EM!$C$14))*(MATCH(X$22,EM!$B$6:$B$9,0)-1),MIN(X$23-EM!$B$16+18,EM!$AF$16-EM!$B$16)),0)+
IF(ROUND(X$11,0)&gt;=20,OFFSET(EM!$B$17,ROW($A28)-ROW($A$26)+(ROW(EM!$C$46)-ROW(EM!$C$14))*(MATCH(X$22,EM!$B$6:$B$9,0)-1),MIN(X$23-EM!$B$16+19,EM!$AF$16-EM!$B$16)),0)+
IF(ROUND(X$11,0)&gt;=21,OFFSET(EM!$B$17,ROW($A28)-ROW($A$26)+(ROW(EM!$C$46)-ROW(EM!$C$14))*(MATCH(X$22,EM!$B$6:$B$9,0)-1),MIN(X$23-EM!$B$16+20,EM!$AF$16-EM!$B$16)),0)+
IF(ROUND(X$11,0)&gt;=22,OFFSET(EM!$B$17,ROW($A28)-ROW($A$26)+(ROW(EM!$C$46)-ROW(EM!$C$14))*(MATCH(X$22,EM!$B$6:$B$9,0)-1),MIN(X$23-EM!$B$16+21,EM!$AF$16-EM!$B$16)),0)+
IF(ROUND(X$11,0)&gt;=23,OFFSET(EM!$B$17,ROW($A28)-ROW($A$26)+(ROW(EM!$C$46)-ROW(EM!$C$14))*(MATCH(X$22,EM!$B$6:$B$9,0)-1),MIN(X$23-EM!$B$16+22,EM!$AF$16-EM!$B$16)),0)+
IF(ROUND(X$11,0)&gt;=24,OFFSET(EM!$B$17,ROW($A28)-ROW($A$26)+(ROW(EM!$C$46)-ROW(EM!$C$14))*(MATCH(X$22,EM!$B$6:$B$9,0)-1),MIN(X$23-EM!$B$16+23,EM!$AF$16-EM!$B$16)),0)+
IF(ROUND(X$11,0)&gt;=25,OFFSET(EM!$B$17,ROW($A28)-ROW($A$26)+(ROW(EM!$C$46)-ROW(EM!$C$14))*(MATCH(X$22,EM!$B$6:$B$9,0)-1),MIN(X$23-EM!$B$16+24,EM!$AF$16-EM!$B$16)),0)+
IF(ROUND(X$11,0)&gt;=26,OFFSET(EM!$B$17,ROW($A28)-ROW($A$26)+(ROW(EM!$C$46)-ROW(EM!$C$14))*(MATCH(X$22,EM!$B$6:$B$9,0)-1),MIN(X$23-EM!$B$16+25,EM!$AF$16-EM!$B$16)),0)+
IF(ROUND(X$11,0)&gt;=27,OFFSET(EM!$B$17,ROW($A28)-ROW($A$26)+(ROW(EM!$C$46)-ROW(EM!$C$14))*(MATCH(X$22,EM!$B$6:$B$9,0)-1),MIN(X$23-EM!$B$16+26,EM!$AF$16-EM!$B$16)),0)+
IF(ROUND(X$11,0)&gt;=28,OFFSET(EM!$B$17,ROW($A28)-ROW($A$26)+(ROW(EM!$C$46)-ROW(EM!$C$14))*(MATCH(X$22,EM!$B$6:$B$9,0)-1),MIN(X$23-EM!$B$16+27,EM!$AF$16-EM!$B$16)),0)+
IF(ROUND(X$11,0)&gt;=29,OFFSET(EM!$B$17,ROW($A28)-ROW($A$26)+(ROW(EM!$C$46)-ROW(EM!$C$14))*(MATCH(X$22,EM!$B$6:$B$9,0)-1),MIN(X$23-EM!$B$16+28,EM!$AF$16-EM!$B$16)),0)+
IF(ROUND(X$11,0)&gt;=30,OFFSET(EM!$B$17,ROW($A28)-ROW($A$26)+(ROW(EM!$C$46)-ROW(EM!$C$14))*(MATCH(X$22,EM!$B$6:$B$9,0)-1),MIN(X$23-EM!$B$16+29,EM!$AF$16-EM!$B$16)),0)+
IF(ROUND(X$11,0)&gt;=31,OFFSET(EM!$B$17,ROW($A28)-ROW($A$26)+(ROW(EM!$C$46)-ROW(EM!$C$14))*(MATCH(X$22,EM!$B$6:$B$9,0)-1),MIN(X$23-EM!$B$16+30,EM!$AF$16-EM!$B$16)),0)+
IF(ROUND(X$11,0)&gt;=32,OFFSET(EM!$B$17,ROW($A28)-ROW($A$26)+(ROW(EM!$C$46)-ROW(EM!$C$14))*(MATCH(X$22,EM!$B$6:$B$9,0)-1),MIN(X$23-EM!$B$16+31,EM!$AF$16-EM!$B$16)),0)+
IF(ROUND(X$11,0)&gt;=33,OFFSET(EM!$B$17,ROW($A28)-ROW($A$26)+(ROW(EM!$C$46)-ROW(EM!$C$14))*(MATCH(X$22,EM!$B$6:$B$9,0)-1),MIN(X$23-EM!$B$16+32,EM!$AF$16-EM!$B$16)),0)+
IF(ROUND(X$11,0)&gt;=34,OFFSET(EM!$B$17,ROW($A28)-ROW($A$26)+(ROW(EM!$C$46)-ROW(EM!$C$14))*(MATCH(X$22,EM!$B$6:$B$9,0)-1),MIN(X$23-EM!$B$16+33,EM!$AF$16-EM!$B$16)),0)+
IF(ROUND(X$11,0)&gt;=35,OFFSET(EM!$B$17,ROW($A28)-ROW($A$26)+(ROW(EM!$C$46)-ROW(EM!$C$14))*(MATCH(X$22,EM!$B$6:$B$9,0)-1),MIN(X$23-EM!$B$16+34,EM!$AF$16-EM!$B$16)),0)+
IF(ROUND(X$11,0)&gt;=36,OFFSET(EM!$B$17,ROW($A28)-ROW($A$26)+(ROW(EM!$C$46)-ROW(EM!$C$14))*(MATCH(X$22,EM!$B$6:$B$9,0)-1),MIN(X$23-EM!$B$16+35,EM!$AF$16-EM!$B$16)),0)+
IF(ROUND(X$11,0)&gt;=37,OFFSET(EM!$B$17,ROW($A28)-ROW($A$26)+(ROW(EM!$C$46)-ROW(EM!$C$14))*(MATCH(X$22,EM!$B$6:$B$9,0)-1),MIN(X$23-EM!$B$16+36,EM!$AF$16-EM!$B$16)),0)+
IF(ROUND(X$11,0)&gt;=38,OFFSET(EM!$B$17,ROW($A28)-ROW($A$26)+(ROW(EM!$C$46)-ROW(EM!$C$14))*(MATCH(X$22,EM!$B$6:$B$9,0)-1),MIN(X$23-EM!$B$16+37,EM!$AF$16-EM!$B$16)),0)+
IF(ROUND(X$11,0)&gt;=39,OFFSET(EM!$B$17,ROW($A28)-ROW($A$26)+(ROW(EM!$C$46)-ROW(EM!$C$14))*(MATCH(X$22,EM!$B$6:$B$9,0)-1),MIN(X$23-EM!$B$16+38,EM!$AF$16-EM!$B$16)),0)+
IF(ROUND(X$11,0)&gt;=40,OFFSET(EM!$B$17,ROW($A28)-ROW($A$26)+(ROW(EM!$C$46)-ROW(EM!$C$14))*(MATCH(X$22,EM!$B$6:$B$9,0)-1),MIN(X$23-EM!$B$16+39,EM!$AF$16-EM!$B$16)),0)
)/ROUND(X$11,0),NA()))</f>
        <v>0</v>
      </c>
      <c r="Y28" s="2046">
        <f ca="1">IF(Y$19=GPG!$A$28,IF(ROW(Y28)-ROW(Y$26)+1=MATCH(Y$20,GPG!$A$5:$A$11,0),1,0),
IF(Y$19=GPG!$A$29,
(IF(ROUND(Y$11,0)&gt;=1,OFFSET(EM!$B$17,ROW($A28)-ROW($A$26)+(ROW(EM!$C$46)-ROW(EM!$C$14))*(MATCH(Y$22,EM!$B$6:$B$9,0)-1),MIN(Y$23-EM!$B$16,EM!$AF$16-EM!$B$16)),0)+
IF(ROUND(Y$11,0)&gt;=2,OFFSET(EM!$B$17,ROW($A28)-ROW($A$26)+(ROW(EM!$C$46)-ROW(EM!$C$14))*(MATCH(Y$22,EM!$B$6:$B$9,0)-1),MIN(Y$23-EM!$B$16+1,EM!$AF$16-EM!$B$16)),0)+
IF(ROUND(Y$11,0)&gt;=3,OFFSET(EM!$B$17,ROW($A28)-ROW($A$26)+(ROW(EM!$C$46)-ROW(EM!$C$14))*(MATCH(Y$22,EM!$B$6:$B$9,0)-1),MIN(Y$23-EM!$B$16+2,EM!$AF$16-EM!$B$16)),0)+
IF(ROUND(Y$11,0)&gt;=4,OFFSET(EM!$B$17,ROW($A28)-ROW($A$26)+(ROW(EM!$C$46)-ROW(EM!$C$14))*(MATCH(Y$22,EM!$B$6:$B$9,0)-1),MIN(Y$23-EM!$B$16+3,EM!$AF$16-EM!$B$16)),0)+
IF(ROUND(Y$11,0)&gt;=5,OFFSET(EM!$B$17,ROW($A28)-ROW($A$26)+(ROW(EM!$C$46)-ROW(EM!$C$14))*(MATCH(Y$22,EM!$B$6:$B$9,0)-1),MIN(Y$23-EM!$B$16+4,EM!$AF$16-EM!$B$16)),0)+
IF(ROUND(Y$11,0)&gt;=6,OFFSET(EM!$B$17,ROW($A28)-ROW($A$26)+(ROW(EM!$C$46)-ROW(EM!$C$14))*(MATCH(Y$22,EM!$B$6:$B$9,0)-1),MIN(Y$23-EM!$B$16+5,EM!$AF$16-EM!$B$16)),0)+
IF(ROUND(Y$11,0)&gt;=7,OFFSET(EM!$B$17,ROW($A28)-ROW($A$26)+(ROW(EM!$C$46)-ROW(EM!$C$14))*(MATCH(Y$22,EM!$B$6:$B$9,0)-1),MIN(Y$23-EM!$B$16+6,EM!$AF$16-EM!$B$16)),0)+
IF(ROUND(Y$11,0)&gt;=8,OFFSET(EM!$B$17,ROW($A28)-ROW($A$26)+(ROW(EM!$C$46)-ROW(EM!$C$14))*(MATCH(Y$22,EM!$B$6:$B$9,0)-1),MIN(Y$23-EM!$B$16+7,EM!$AF$16-EM!$B$16)),0)+
IF(ROUND(Y$11,0)&gt;=9,OFFSET(EM!$B$17,ROW($A28)-ROW($A$26)+(ROW(EM!$C$46)-ROW(EM!$C$14))*(MATCH(Y$22,EM!$B$6:$B$9,0)-1),MIN(Y$23-EM!$B$16+8,EM!$AF$16-EM!$B$16)),0)+
IF(ROUND(Y$11,0)&gt;=10,OFFSET(EM!$B$17,ROW($A28)-ROW($A$26)+(ROW(EM!$C$46)-ROW(EM!$C$14))*(MATCH(Y$22,EM!$B$6:$B$9,0)-1),MIN(Y$23-EM!$B$16+9,EM!$AF$16-EM!$B$16)),0)+
IF(ROUND(Y$11,0)&gt;=11,OFFSET(EM!$B$17,ROW($A28)-ROW($A$26)+(ROW(EM!$C$46)-ROW(EM!$C$14))*(MATCH(Y$22,EM!$B$6:$B$9,0)-1),MIN(Y$23-EM!$B$16+10,EM!$AF$16-EM!$B$16)),0)+
IF(ROUND(Y$11,0)&gt;=12,OFFSET(EM!$B$17,ROW($A28)-ROW($A$26)+(ROW(EM!$C$46)-ROW(EM!$C$14))*(MATCH(Y$22,EM!$B$6:$B$9,0)-1),MIN(Y$23-EM!$B$16+11,EM!$AF$16-EM!$B$16)),0)+
IF(ROUND(Y$11,0)&gt;=13,OFFSET(EM!$B$17,ROW($A28)-ROW($A$26)+(ROW(EM!$C$46)-ROW(EM!$C$14))*(MATCH(Y$22,EM!$B$6:$B$9,0)-1),MIN(Y$23-EM!$B$16+12,EM!$AF$16-EM!$B$16)),0)+
IF(ROUND(Y$11,0)&gt;=14,OFFSET(EM!$B$17,ROW($A28)-ROW($A$26)+(ROW(EM!$C$46)-ROW(EM!$C$14))*(MATCH(Y$22,EM!$B$6:$B$9,0)-1),MIN(Y$23-EM!$B$16+13,EM!$AF$16-EM!$B$16)),0)+
IF(ROUND(Y$11,0)&gt;=15,OFFSET(EM!$B$17,ROW($A28)-ROW($A$26)+(ROW(EM!$C$46)-ROW(EM!$C$14))*(MATCH(Y$22,EM!$B$6:$B$9,0)-1),MIN(Y$23-EM!$B$16+14,EM!$AF$16-EM!$B$16)),0)+
IF(ROUND(Y$11,0)&gt;=16,OFFSET(EM!$B$17,ROW($A28)-ROW($A$26)+(ROW(EM!$C$46)-ROW(EM!$C$14))*(MATCH(Y$22,EM!$B$6:$B$9,0)-1),MIN(Y$23-EM!$B$16+15,EM!$AF$16-EM!$B$16)),0)+
IF(ROUND(Y$11,0)&gt;=17,OFFSET(EM!$B$17,ROW($A28)-ROW($A$26)+(ROW(EM!$C$46)-ROW(EM!$C$14))*(MATCH(Y$22,EM!$B$6:$B$9,0)-1),MIN(Y$23-EM!$B$16+16,EM!$AF$16-EM!$B$16)),0)+
IF(ROUND(Y$11,0)&gt;=18,OFFSET(EM!$B$17,ROW($A28)-ROW($A$26)+(ROW(EM!$C$46)-ROW(EM!$C$14))*(MATCH(Y$22,EM!$B$6:$B$9,0)-1),MIN(Y$23-EM!$B$16+17,EM!$AF$16-EM!$B$16)),0)+
IF(ROUND(Y$11,0)&gt;=19,OFFSET(EM!$B$17,ROW($A28)-ROW($A$26)+(ROW(EM!$C$46)-ROW(EM!$C$14))*(MATCH(Y$22,EM!$B$6:$B$9,0)-1),MIN(Y$23-EM!$B$16+18,EM!$AF$16-EM!$B$16)),0)+
IF(ROUND(Y$11,0)&gt;=20,OFFSET(EM!$B$17,ROW($A28)-ROW($A$26)+(ROW(EM!$C$46)-ROW(EM!$C$14))*(MATCH(Y$22,EM!$B$6:$B$9,0)-1),MIN(Y$23-EM!$B$16+19,EM!$AF$16-EM!$B$16)),0)+
IF(ROUND(Y$11,0)&gt;=21,OFFSET(EM!$B$17,ROW($A28)-ROW($A$26)+(ROW(EM!$C$46)-ROW(EM!$C$14))*(MATCH(Y$22,EM!$B$6:$B$9,0)-1),MIN(Y$23-EM!$B$16+20,EM!$AF$16-EM!$B$16)),0)+
IF(ROUND(Y$11,0)&gt;=22,OFFSET(EM!$B$17,ROW($A28)-ROW($A$26)+(ROW(EM!$C$46)-ROW(EM!$C$14))*(MATCH(Y$22,EM!$B$6:$B$9,0)-1),MIN(Y$23-EM!$B$16+21,EM!$AF$16-EM!$B$16)),0)+
IF(ROUND(Y$11,0)&gt;=23,OFFSET(EM!$B$17,ROW($A28)-ROW($A$26)+(ROW(EM!$C$46)-ROW(EM!$C$14))*(MATCH(Y$22,EM!$B$6:$B$9,0)-1),MIN(Y$23-EM!$B$16+22,EM!$AF$16-EM!$B$16)),0)+
IF(ROUND(Y$11,0)&gt;=24,OFFSET(EM!$B$17,ROW($A28)-ROW($A$26)+(ROW(EM!$C$46)-ROW(EM!$C$14))*(MATCH(Y$22,EM!$B$6:$B$9,0)-1),MIN(Y$23-EM!$B$16+23,EM!$AF$16-EM!$B$16)),0)+
IF(ROUND(Y$11,0)&gt;=25,OFFSET(EM!$B$17,ROW($A28)-ROW($A$26)+(ROW(EM!$C$46)-ROW(EM!$C$14))*(MATCH(Y$22,EM!$B$6:$B$9,0)-1),MIN(Y$23-EM!$B$16+24,EM!$AF$16-EM!$B$16)),0)+
IF(ROUND(Y$11,0)&gt;=26,OFFSET(EM!$B$17,ROW($A28)-ROW($A$26)+(ROW(EM!$C$46)-ROW(EM!$C$14))*(MATCH(Y$22,EM!$B$6:$B$9,0)-1),MIN(Y$23-EM!$B$16+25,EM!$AF$16-EM!$B$16)),0)+
IF(ROUND(Y$11,0)&gt;=27,OFFSET(EM!$B$17,ROW($A28)-ROW($A$26)+(ROW(EM!$C$46)-ROW(EM!$C$14))*(MATCH(Y$22,EM!$B$6:$B$9,0)-1),MIN(Y$23-EM!$B$16+26,EM!$AF$16-EM!$B$16)),0)+
IF(ROUND(Y$11,0)&gt;=28,OFFSET(EM!$B$17,ROW($A28)-ROW($A$26)+(ROW(EM!$C$46)-ROW(EM!$C$14))*(MATCH(Y$22,EM!$B$6:$B$9,0)-1),MIN(Y$23-EM!$B$16+27,EM!$AF$16-EM!$B$16)),0)+
IF(ROUND(Y$11,0)&gt;=29,OFFSET(EM!$B$17,ROW($A28)-ROW($A$26)+(ROW(EM!$C$46)-ROW(EM!$C$14))*(MATCH(Y$22,EM!$B$6:$B$9,0)-1),MIN(Y$23-EM!$B$16+28,EM!$AF$16-EM!$B$16)),0)+
IF(ROUND(Y$11,0)&gt;=30,OFFSET(EM!$B$17,ROW($A28)-ROW($A$26)+(ROW(EM!$C$46)-ROW(EM!$C$14))*(MATCH(Y$22,EM!$B$6:$B$9,0)-1),MIN(Y$23-EM!$B$16+29,EM!$AF$16-EM!$B$16)),0)+
IF(ROUND(Y$11,0)&gt;=31,OFFSET(EM!$B$17,ROW($A28)-ROW($A$26)+(ROW(EM!$C$46)-ROW(EM!$C$14))*(MATCH(Y$22,EM!$B$6:$B$9,0)-1),MIN(Y$23-EM!$B$16+30,EM!$AF$16-EM!$B$16)),0)+
IF(ROUND(Y$11,0)&gt;=32,OFFSET(EM!$B$17,ROW($A28)-ROW($A$26)+(ROW(EM!$C$46)-ROW(EM!$C$14))*(MATCH(Y$22,EM!$B$6:$B$9,0)-1),MIN(Y$23-EM!$B$16+31,EM!$AF$16-EM!$B$16)),0)+
IF(ROUND(Y$11,0)&gt;=33,OFFSET(EM!$B$17,ROW($A28)-ROW($A$26)+(ROW(EM!$C$46)-ROW(EM!$C$14))*(MATCH(Y$22,EM!$B$6:$B$9,0)-1),MIN(Y$23-EM!$B$16+32,EM!$AF$16-EM!$B$16)),0)+
IF(ROUND(Y$11,0)&gt;=34,OFFSET(EM!$B$17,ROW($A28)-ROW($A$26)+(ROW(EM!$C$46)-ROW(EM!$C$14))*(MATCH(Y$22,EM!$B$6:$B$9,0)-1),MIN(Y$23-EM!$B$16+33,EM!$AF$16-EM!$B$16)),0)+
IF(ROUND(Y$11,0)&gt;=35,OFFSET(EM!$B$17,ROW($A28)-ROW($A$26)+(ROW(EM!$C$46)-ROW(EM!$C$14))*(MATCH(Y$22,EM!$B$6:$B$9,0)-1),MIN(Y$23-EM!$B$16+34,EM!$AF$16-EM!$B$16)),0)+
IF(ROUND(Y$11,0)&gt;=36,OFFSET(EM!$B$17,ROW($A28)-ROW($A$26)+(ROW(EM!$C$46)-ROW(EM!$C$14))*(MATCH(Y$22,EM!$B$6:$B$9,0)-1),MIN(Y$23-EM!$B$16+35,EM!$AF$16-EM!$B$16)),0)+
IF(ROUND(Y$11,0)&gt;=37,OFFSET(EM!$B$17,ROW($A28)-ROW($A$26)+(ROW(EM!$C$46)-ROW(EM!$C$14))*(MATCH(Y$22,EM!$B$6:$B$9,0)-1),MIN(Y$23-EM!$B$16+36,EM!$AF$16-EM!$B$16)),0)+
IF(ROUND(Y$11,0)&gt;=38,OFFSET(EM!$B$17,ROW($A28)-ROW($A$26)+(ROW(EM!$C$46)-ROW(EM!$C$14))*(MATCH(Y$22,EM!$B$6:$B$9,0)-1),MIN(Y$23-EM!$B$16+37,EM!$AF$16-EM!$B$16)),0)+
IF(ROUND(Y$11,0)&gt;=39,OFFSET(EM!$B$17,ROW($A28)-ROW($A$26)+(ROW(EM!$C$46)-ROW(EM!$C$14))*(MATCH(Y$22,EM!$B$6:$B$9,0)-1),MIN(Y$23-EM!$B$16+38,EM!$AF$16-EM!$B$16)),0)+
IF(ROUND(Y$11,0)&gt;=40,OFFSET(EM!$B$17,ROW($A28)-ROW($A$26)+(ROW(EM!$C$46)-ROW(EM!$C$14))*(MATCH(Y$22,EM!$B$6:$B$9,0)-1),MIN(Y$23-EM!$B$16+39,EM!$AF$16-EM!$B$16)),0)
)/ROUND(Y$11,0),NA()))</f>
        <v>0.72705457895591852</v>
      </c>
      <c r="Z28" s="2046">
        <f ca="1">IF(Z$19=GPG!$A$28,IF(ROW(Z28)-ROW(Z$26)+1=MATCH(Z$20,GPG!$A$5:$A$11,0),1,0),
IF(Z$19=GPG!$A$29,
(IF(ROUND(Z$11,0)&gt;=1,OFFSET(EM!$B$17,ROW($A28)-ROW($A$26)+(ROW(EM!$C$46)-ROW(EM!$C$14))*(MATCH(Z$22,EM!$B$6:$B$9,0)-1),MIN(Z$23-EM!$B$16,EM!$AF$16-EM!$B$16)),0)+
IF(ROUND(Z$11,0)&gt;=2,OFFSET(EM!$B$17,ROW($A28)-ROW($A$26)+(ROW(EM!$C$46)-ROW(EM!$C$14))*(MATCH(Z$22,EM!$B$6:$B$9,0)-1),MIN(Z$23-EM!$B$16+1,EM!$AF$16-EM!$B$16)),0)+
IF(ROUND(Z$11,0)&gt;=3,OFFSET(EM!$B$17,ROW($A28)-ROW($A$26)+(ROW(EM!$C$46)-ROW(EM!$C$14))*(MATCH(Z$22,EM!$B$6:$B$9,0)-1),MIN(Z$23-EM!$B$16+2,EM!$AF$16-EM!$B$16)),0)+
IF(ROUND(Z$11,0)&gt;=4,OFFSET(EM!$B$17,ROW($A28)-ROW($A$26)+(ROW(EM!$C$46)-ROW(EM!$C$14))*(MATCH(Z$22,EM!$B$6:$B$9,0)-1),MIN(Z$23-EM!$B$16+3,EM!$AF$16-EM!$B$16)),0)+
IF(ROUND(Z$11,0)&gt;=5,OFFSET(EM!$B$17,ROW($A28)-ROW($A$26)+(ROW(EM!$C$46)-ROW(EM!$C$14))*(MATCH(Z$22,EM!$B$6:$B$9,0)-1),MIN(Z$23-EM!$B$16+4,EM!$AF$16-EM!$B$16)),0)+
IF(ROUND(Z$11,0)&gt;=6,OFFSET(EM!$B$17,ROW($A28)-ROW($A$26)+(ROW(EM!$C$46)-ROW(EM!$C$14))*(MATCH(Z$22,EM!$B$6:$B$9,0)-1),MIN(Z$23-EM!$B$16+5,EM!$AF$16-EM!$B$16)),0)+
IF(ROUND(Z$11,0)&gt;=7,OFFSET(EM!$B$17,ROW($A28)-ROW($A$26)+(ROW(EM!$C$46)-ROW(EM!$C$14))*(MATCH(Z$22,EM!$B$6:$B$9,0)-1),MIN(Z$23-EM!$B$16+6,EM!$AF$16-EM!$B$16)),0)+
IF(ROUND(Z$11,0)&gt;=8,OFFSET(EM!$B$17,ROW($A28)-ROW($A$26)+(ROW(EM!$C$46)-ROW(EM!$C$14))*(MATCH(Z$22,EM!$B$6:$B$9,0)-1),MIN(Z$23-EM!$B$16+7,EM!$AF$16-EM!$B$16)),0)+
IF(ROUND(Z$11,0)&gt;=9,OFFSET(EM!$B$17,ROW($A28)-ROW($A$26)+(ROW(EM!$C$46)-ROW(EM!$C$14))*(MATCH(Z$22,EM!$B$6:$B$9,0)-1),MIN(Z$23-EM!$B$16+8,EM!$AF$16-EM!$B$16)),0)+
IF(ROUND(Z$11,0)&gt;=10,OFFSET(EM!$B$17,ROW($A28)-ROW($A$26)+(ROW(EM!$C$46)-ROW(EM!$C$14))*(MATCH(Z$22,EM!$B$6:$B$9,0)-1),MIN(Z$23-EM!$B$16+9,EM!$AF$16-EM!$B$16)),0)+
IF(ROUND(Z$11,0)&gt;=11,OFFSET(EM!$B$17,ROW($A28)-ROW($A$26)+(ROW(EM!$C$46)-ROW(EM!$C$14))*(MATCH(Z$22,EM!$B$6:$B$9,0)-1),MIN(Z$23-EM!$B$16+10,EM!$AF$16-EM!$B$16)),0)+
IF(ROUND(Z$11,0)&gt;=12,OFFSET(EM!$B$17,ROW($A28)-ROW($A$26)+(ROW(EM!$C$46)-ROW(EM!$C$14))*(MATCH(Z$22,EM!$B$6:$B$9,0)-1),MIN(Z$23-EM!$B$16+11,EM!$AF$16-EM!$B$16)),0)+
IF(ROUND(Z$11,0)&gt;=13,OFFSET(EM!$B$17,ROW($A28)-ROW($A$26)+(ROW(EM!$C$46)-ROW(EM!$C$14))*(MATCH(Z$22,EM!$B$6:$B$9,0)-1),MIN(Z$23-EM!$B$16+12,EM!$AF$16-EM!$B$16)),0)+
IF(ROUND(Z$11,0)&gt;=14,OFFSET(EM!$B$17,ROW($A28)-ROW($A$26)+(ROW(EM!$C$46)-ROW(EM!$C$14))*(MATCH(Z$22,EM!$B$6:$B$9,0)-1),MIN(Z$23-EM!$B$16+13,EM!$AF$16-EM!$B$16)),0)+
IF(ROUND(Z$11,0)&gt;=15,OFFSET(EM!$B$17,ROW($A28)-ROW($A$26)+(ROW(EM!$C$46)-ROW(EM!$C$14))*(MATCH(Z$22,EM!$B$6:$B$9,0)-1),MIN(Z$23-EM!$B$16+14,EM!$AF$16-EM!$B$16)),0)+
IF(ROUND(Z$11,0)&gt;=16,OFFSET(EM!$B$17,ROW($A28)-ROW($A$26)+(ROW(EM!$C$46)-ROW(EM!$C$14))*(MATCH(Z$22,EM!$B$6:$B$9,0)-1),MIN(Z$23-EM!$B$16+15,EM!$AF$16-EM!$B$16)),0)+
IF(ROUND(Z$11,0)&gt;=17,OFFSET(EM!$B$17,ROW($A28)-ROW($A$26)+(ROW(EM!$C$46)-ROW(EM!$C$14))*(MATCH(Z$22,EM!$B$6:$B$9,0)-1),MIN(Z$23-EM!$B$16+16,EM!$AF$16-EM!$B$16)),0)+
IF(ROUND(Z$11,0)&gt;=18,OFFSET(EM!$B$17,ROW($A28)-ROW($A$26)+(ROW(EM!$C$46)-ROW(EM!$C$14))*(MATCH(Z$22,EM!$B$6:$B$9,0)-1),MIN(Z$23-EM!$B$16+17,EM!$AF$16-EM!$B$16)),0)+
IF(ROUND(Z$11,0)&gt;=19,OFFSET(EM!$B$17,ROW($A28)-ROW($A$26)+(ROW(EM!$C$46)-ROW(EM!$C$14))*(MATCH(Z$22,EM!$B$6:$B$9,0)-1),MIN(Z$23-EM!$B$16+18,EM!$AF$16-EM!$B$16)),0)+
IF(ROUND(Z$11,0)&gt;=20,OFFSET(EM!$B$17,ROW($A28)-ROW($A$26)+(ROW(EM!$C$46)-ROW(EM!$C$14))*(MATCH(Z$22,EM!$B$6:$B$9,0)-1),MIN(Z$23-EM!$B$16+19,EM!$AF$16-EM!$B$16)),0)+
IF(ROUND(Z$11,0)&gt;=21,OFFSET(EM!$B$17,ROW($A28)-ROW($A$26)+(ROW(EM!$C$46)-ROW(EM!$C$14))*(MATCH(Z$22,EM!$B$6:$B$9,0)-1),MIN(Z$23-EM!$B$16+20,EM!$AF$16-EM!$B$16)),0)+
IF(ROUND(Z$11,0)&gt;=22,OFFSET(EM!$B$17,ROW($A28)-ROW($A$26)+(ROW(EM!$C$46)-ROW(EM!$C$14))*(MATCH(Z$22,EM!$B$6:$B$9,0)-1),MIN(Z$23-EM!$B$16+21,EM!$AF$16-EM!$B$16)),0)+
IF(ROUND(Z$11,0)&gt;=23,OFFSET(EM!$B$17,ROW($A28)-ROW($A$26)+(ROW(EM!$C$46)-ROW(EM!$C$14))*(MATCH(Z$22,EM!$B$6:$B$9,0)-1),MIN(Z$23-EM!$B$16+22,EM!$AF$16-EM!$B$16)),0)+
IF(ROUND(Z$11,0)&gt;=24,OFFSET(EM!$B$17,ROW($A28)-ROW($A$26)+(ROW(EM!$C$46)-ROW(EM!$C$14))*(MATCH(Z$22,EM!$B$6:$B$9,0)-1),MIN(Z$23-EM!$B$16+23,EM!$AF$16-EM!$B$16)),0)+
IF(ROUND(Z$11,0)&gt;=25,OFFSET(EM!$B$17,ROW($A28)-ROW($A$26)+(ROW(EM!$C$46)-ROW(EM!$C$14))*(MATCH(Z$22,EM!$B$6:$B$9,0)-1),MIN(Z$23-EM!$B$16+24,EM!$AF$16-EM!$B$16)),0)+
IF(ROUND(Z$11,0)&gt;=26,OFFSET(EM!$B$17,ROW($A28)-ROW($A$26)+(ROW(EM!$C$46)-ROW(EM!$C$14))*(MATCH(Z$22,EM!$B$6:$B$9,0)-1),MIN(Z$23-EM!$B$16+25,EM!$AF$16-EM!$B$16)),0)+
IF(ROUND(Z$11,0)&gt;=27,OFFSET(EM!$B$17,ROW($A28)-ROW($A$26)+(ROW(EM!$C$46)-ROW(EM!$C$14))*(MATCH(Z$22,EM!$B$6:$B$9,0)-1),MIN(Z$23-EM!$B$16+26,EM!$AF$16-EM!$B$16)),0)+
IF(ROUND(Z$11,0)&gt;=28,OFFSET(EM!$B$17,ROW($A28)-ROW($A$26)+(ROW(EM!$C$46)-ROW(EM!$C$14))*(MATCH(Z$22,EM!$B$6:$B$9,0)-1),MIN(Z$23-EM!$B$16+27,EM!$AF$16-EM!$B$16)),0)+
IF(ROUND(Z$11,0)&gt;=29,OFFSET(EM!$B$17,ROW($A28)-ROW($A$26)+(ROW(EM!$C$46)-ROW(EM!$C$14))*(MATCH(Z$22,EM!$B$6:$B$9,0)-1),MIN(Z$23-EM!$B$16+28,EM!$AF$16-EM!$B$16)),0)+
IF(ROUND(Z$11,0)&gt;=30,OFFSET(EM!$B$17,ROW($A28)-ROW($A$26)+(ROW(EM!$C$46)-ROW(EM!$C$14))*(MATCH(Z$22,EM!$B$6:$B$9,0)-1),MIN(Z$23-EM!$B$16+29,EM!$AF$16-EM!$B$16)),0)+
IF(ROUND(Z$11,0)&gt;=31,OFFSET(EM!$B$17,ROW($A28)-ROW($A$26)+(ROW(EM!$C$46)-ROW(EM!$C$14))*(MATCH(Z$22,EM!$B$6:$B$9,0)-1),MIN(Z$23-EM!$B$16+30,EM!$AF$16-EM!$B$16)),0)+
IF(ROUND(Z$11,0)&gt;=32,OFFSET(EM!$B$17,ROW($A28)-ROW($A$26)+(ROW(EM!$C$46)-ROW(EM!$C$14))*(MATCH(Z$22,EM!$B$6:$B$9,0)-1),MIN(Z$23-EM!$B$16+31,EM!$AF$16-EM!$B$16)),0)+
IF(ROUND(Z$11,0)&gt;=33,OFFSET(EM!$B$17,ROW($A28)-ROW($A$26)+(ROW(EM!$C$46)-ROW(EM!$C$14))*(MATCH(Z$22,EM!$B$6:$B$9,0)-1),MIN(Z$23-EM!$B$16+32,EM!$AF$16-EM!$B$16)),0)+
IF(ROUND(Z$11,0)&gt;=34,OFFSET(EM!$B$17,ROW($A28)-ROW($A$26)+(ROW(EM!$C$46)-ROW(EM!$C$14))*(MATCH(Z$22,EM!$B$6:$B$9,0)-1),MIN(Z$23-EM!$B$16+33,EM!$AF$16-EM!$B$16)),0)+
IF(ROUND(Z$11,0)&gt;=35,OFFSET(EM!$B$17,ROW($A28)-ROW($A$26)+(ROW(EM!$C$46)-ROW(EM!$C$14))*(MATCH(Z$22,EM!$B$6:$B$9,0)-1),MIN(Z$23-EM!$B$16+34,EM!$AF$16-EM!$B$16)),0)+
IF(ROUND(Z$11,0)&gt;=36,OFFSET(EM!$B$17,ROW($A28)-ROW($A$26)+(ROW(EM!$C$46)-ROW(EM!$C$14))*(MATCH(Z$22,EM!$B$6:$B$9,0)-1),MIN(Z$23-EM!$B$16+35,EM!$AF$16-EM!$B$16)),0)+
IF(ROUND(Z$11,0)&gt;=37,OFFSET(EM!$B$17,ROW($A28)-ROW($A$26)+(ROW(EM!$C$46)-ROW(EM!$C$14))*(MATCH(Z$22,EM!$B$6:$B$9,0)-1),MIN(Z$23-EM!$B$16+36,EM!$AF$16-EM!$B$16)),0)+
IF(ROUND(Z$11,0)&gt;=38,OFFSET(EM!$B$17,ROW($A28)-ROW($A$26)+(ROW(EM!$C$46)-ROW(EM!$C$14))*(MATCH(Z$22,EM!$B$6:$B$9,0)-1),MIN(Z$23-EM!$B$16+37,EM!$AF$16-EM!$B$16)),0)+
IF(ROUND(Z$11,0)&gt;=39,OFFSET(EM!$B$17,ROW($A28)-ROW($A$26)+(ROW(EM!$C$46)-ROW(EM!$C$14))*(MATCH(Z$22,EM!$B$6:$B$9,0)-1),MIN(Z$23-EM!$B$16+38,EM!$AF$16-EM!$B$16)),0)+
IF(ROUND(Z$11,0)&gt;=40,OFFSET(EM!$B$17,ROW($A28)-ROW($A$26)+(ROW(EM!$C$46)-ROW(EM!$C$14))*(MATCH(Z$22,EM!$B$6:$B$9,0)-1),MIN(Z$23-EM!$B$16+39,EM!$AF$16-EM!$B$16)),0)
)/ROUND(Z$11,0),NA()))</f>
        <v>0.58637847403631782</v>
      </c>
      <c r="AA28" s="2046">
        <f ca="1">IF(AA$19=GPG!$A$28,IF(ROW(AA28)-ROW(AA$26)+1=MATCH(AA$20,GPG!$A$5:$A$11,0),1,0),
IF(AA$19=GPG!$A$29,
(IF(ROUND(AA$11,0)&gt;=1,OFFSET(EM!$B$17,ROW($A28)-ROW($A$26)+(ROW(EM!$C$46)-ROW(EM!$C$14))*(MATCH(AA$22,EM!$B$6:$B$9,0)-1),MIN(AA$23-EM!$B$16,EM!$AF$16-EM!$B$16)),0)+
IF(ROUND(AA$11,0)&gt;=2,OFFSET(EM!$B$17,ROW($A28)-ROW($A$26)+(ROW(EM!$C$46)-ROW(EM!$C$14))*(MATCH(AA$22,EM!$B$6:$B$9,0)-1),MIN(AA$23-EM!$B$16+1,EM!$AF$16-EM!$B$16)),0)+
IF(ROUND(AA$11,0)&gt;=3,OFFSET(EM!$B$17,ROW($A28)-ROW($A$26)+(ROW(EM!$C$46)-ROW(EM!$C$14))*(MATCH(AA$22,EM!$B$6:$B$9,0)-1),MIN(AA$23-EM!$B$16+2,EM!$AF$16-EM!$B$16)),0)+
IF(ROUND(AA$11,0)&gt;=4,OFFSET(EM!$B$17,ROW($A28)-ROW($A$26)+(ROW(EM!$C$46)-ROW(EM!$C$14))*(MATCH(AA$22,EM!$B$6:$B$9,0)-1),MIN(AA$23-EM!$B$16+3,EM!$AF$16-EM!$B$16)),0)+
IF(ROUND(AA$11,0)&gt;=5,OFFSET(EM!$B$17,ROW($A28)-ROW($A$26)+(ROW(EM!$C$46)-ROW(EM!$C$14))*(MATCH(AA$22,EM!$B$6:$B$9,0)-1),MIN(AA$23-EM!$B$16+4,EM!$AF$16-EM!$B$16)),0)+
IF(ROUND(AA$11,0)&gt;=6,OFFSET(EM!$B$17,ROW($A28)-ROW($A$26)+(ROW(EM!$C$46)-ROW(EM!$C$14))*(MATCH(AA$22,EM!$B$6:$B$9,0)-1),MIN(AA$23-EM!$B$16+5,EM!$AF$16-EM!$B$16)),0)+
IF(ROUND(AA$11,0)&gt;=7,OFFSET(EM!$B$17,ROW($A28)-ROW($A$26)+(ROW(EM!$C$46)-ROW(EM!$C$14))*(MATCH(AA$22,EM!$B$6:$B$9,0)-1),MIN(AA$23-EM!$B$16+6,EM!$AF$16-EM!$B$16)),0)+
IF(ROUND(AA$11,0)&gt;=8,OFFSET(EM!$B$17,ROW($A28)-ROW($A$26)+(ROW(EM!$C$46)-ROW(EM!$C$14))*(MATCH(AA$22,EM!$B$6:$B$9,0)-1),MIN(AA$23-EM!$B$16+7,EM!$AF$16-EM!$B$16)),0)+
IF(ROUND(AA$11,0)&gt;=9,OFFSET(EM!$B$17,ROW($A28)-ROW($A$26)+(ROW(EM!$C$46)-ROW(EM!$C$14))*(MATCH(AA$22,EM!$B$6:$B$9,0)-1),MIN(AA$23-EM!$B$16+8,EM!$AF$16-EM!$B$16)),0)+
IF(ROUND(AA$11,0)&gt;=10,OFFSET(EM!$B$17,ROW($A28)-ROW($A$26)+(ROW(EM!$C$46)-ROW(EM!$C$14))*(MATCH(AA$22,EM!$B$6:$B$9,0)-1),MIN(AA$23-EM!$B$16+9,EM!$AF$16-EM!$B$16)),0)+
IF(ROUND(AA$11,0)&gt;=11,OFFSET(EM!$B$17,ROW($A28)-ROW($A$26)+(ROW(EM!$C$46)-ROW(EM!$C$14))*(MATCH(AA$22,EM!$B$6:$B$9,0)-1),MIN(AA$23-EM!$B$16+10,EM!$AF$16-EM!$B$16)),0)+
IF(ROUND(AA$11,0)&gt;=12,OFFSET(EM!$B$17,ROW($A28)-ROW($A$26)+(ROW(EM!$C$46)-ROW(EM!$C$14))*(MATCH(AA$22,EM!$B$6:$B$9,0)-1),MIN(AA$23-EM!$B$16+11,EM!$AF$16-EM!$B$16)),0)+
IF(ROUND(AA$11,0)&gt;=13,OFFSET(EM!$B$17,ROW($A28)-ROW($A$26)+(ROW(EM!$C$46)-ROW(EM!$C$14))*(MATCH(AA$22,EM!$B$6:$B$9,0)-1),MIN(AA$23-EM!$B$16+12,EM!$AF$16-EM!$B$16)),0)+
IF(ROUND(AA$11,0)&gt;=14,OFFSET(EM!$B$17,ROW($A28)-ROW($A$26)+(ROW(EM!$C$46)-ROW(EM!$C$14))*(MATCH(AA$22,EM!$B$6:$B$9,0)-1),MIN(AA$23-EM!$B$16+13,EM!$AF$16-EM!$B$16)),0)+
IF(ROUND(AA$11,0)&gt;=15,OFFSET(EM!$B$17,ROW($A28)-ROW($A$26)+(ROW(EM!$C$46)-ROW(EM!$C$14))*(MATCH(AA$22,EM!$B$6:$B$9,0)-1),MIN(AA$23-EM!$B$16+14,EM!$AF$16-EM!$B$16)),0)+
IF(ROUND(AA$11,0)&gt;=16,OFFSET(EM!$B$17,ROW($A28)-ROW($A$26)+(ROW(EM!$C$46)-ROW(EM!$C$14))*(MATCH(AA$22,EM!$B$6:$B$9,0)-1),MIN(AA$23-EM!$B$16+15,EM!$AF$16-EM!$B$16)),0)+
IF(ROUND(AA$11,0)&gt;=17,OFFSET(EM!$B$17,ROW($A28)-ROW($A$26)+(ROW(EM!$C$46)-ROW(EM!$C$14))*(MATCH(AA$22,EM!$B$6:$B$9,0)-1),MIN(AA$23-EM!$B$16+16,EM!$AF$16-EM!$B$16)),0)+
IF(ROUND(AA$11,0)&gt;=18,OFFSET(EM!$B$17,ROW($A28)-ROW($A$26)+(ROW(EM!$C$46)-ROW(EM!$C$14))*(MATCH(AA$22,EM!$B$6:$B$9,0)-1),MIN(AA$23-EM!$B$16+17,EM!$AF$16-EM!$B$16)),0)+
IF(ROUND(AA$11,0)&gt;=19,OFFSET(EM!$B$17,ROW($A28)-ROW($A$26)+(ROW(EM!$C$46)-ROW(EM!$C$14))*(MATCH(AA$22,EM!$B$6:$B$9,0)-1),MIN(AA$23-EM!$B$16+18,EM!$AF$16-EM!$B$16)),0)+
IF(ROUND(AA$11,0)&gt;=20,OFFSET(EM!$B$17,ROW($A28)-ROW($A$26)+(ROW(EM!$C$46)-ROW(EM!$C$14))*(MATCH(AA$22,EM!$B$6:$B$9,0)-1),MIN(AA$23-EM!$B$16+19,EM!$AF$16-EM!$B$16)),0)+
IF(ROUND(AA$11,0)&gt;=21,OFFSET(EM!$B$17,ROW($A28)-ROW($A$26)+(ROW(EM!$C$46)-ROW(EM!$C$14))*(MATCH(AA$22,EM!$B$6:$B$9,0)-1),MIN(AA$23-EM!$B$16+20,EM!$AF$16-EM!$B$16)),0)+
IF(ROUND(AA$11,0)&gt;=22,OFFSET(EM!$B$17,ROW($A28)-ROW($A$26)+(ROW(EM!$C$46)-ROW(EM!$C$14))*(MATCH(AA$22,EM!$B$6:$B$9,0)-1),MIN(AA$23-EM!$B$16+21,EM!$AF$16-EM!$B$16)),0)+
IF(ROUND(AA$11,0)&gt;=23,OFFSET(EM!$B$17,ROW($A28)-ROW($A$26)+(ROW(EM!$C$46)-ROW(EM!$C$14))*(MATCH(AA$22,EM!$B$6:$B$9,0)-1),MIN(AA$23-EM!$B$16+22,EM!$AF$16-EM!$B$16)),0)+
IF(ROUND(AA$11,0)&gt;=24,OFFSET(EM!$B$17,ROW($A28)-ROW($A$26)+(ROW(EM!$C$46)-ROW(EM!$C$14))*(MATCH(AA$22,EM!$B$6:$B$9,0)-1),MIN(AA$23-EM!$B$16+23,EM!$AF$16-EM!$B$16)),0)+
IF(ROUND(AA$11,0)&gt;=25,OFFSET(EM!$B$17,ROW($A28)-ROW($A$26)+(ROW(EM!$C$46)-ROW(EM!$C$14))*(MATCH(AA$22,EM!$B$6:$B$9,0)-1),MIN(AA$23-EM!$B$16+24,EM!$AF$16-EM!$B$16)),0)+
IF(ROUND(AA$11,0)&gt;=26,OFFSET(EM!$B$17,ROW($A28)-ROW($A$26)+(ROW(EM!$C$46)-ROW(EM!$C$14))*(MATCH(AA$22,EM!$B$6:$B$9,0)-1),MIN(AA$23-EM!$B$16+25,EM!$AF$16-EM!$B$16)),0)+
IF(ROUND(AA$11,0)&gt;=27,OFFSET(EM!$B$17,ROW($A28)-ROW($A$26)+(ROW(EM!$C$46)-ROW(EM!$C$14))*(MATCH(AA$22,EM!$B$6:$B$9,0)-1),MIN(AA$23-EM!$B$16+26,EM!$AF$16-EM!$B$16)),0)+
IF(ROUND(AA$11,0)&gt;=28,OFFSET(EM!$B$17,ROW($A28)-ROW($A$26)+(ROW(EM!$C$46)-ROW(EM!$C$14))*(MATCH(AA$22,EM!$B$6:$B$9,0)-1),MIN(AA$23-EM!$B$16+27,EM!$AF$16-EM!$B$16)),0)+
IF(ROUND(AA$11,0)&gt;=29,OFFSET(EM!$B$17,ROW($A28)-ROW($A$26)+(ROW(EM!$C$46)-ROW(EM!$C$14))*(MATCH(AA$22,EM!$B$6:$B$9,0)-1),MIN(AA$23-EM!$B$16+28,EM!$AF$16-EM!$B$16)),0)+
IF(ROUND(AA$11,0)&gt;=30,OFFSET(EM!$B$17,ROW($A28)-ROW($A$26)+(ROW(EM!$C$46)-ROW(EM!$C$14))*(MATCH(AA$22,EM!$B$6:$B$9,0)-1),MIN(AA$23-EM!$B$16+29,EM!$AF$16-EM!$B$16)),0)+
IF(ROUND(AA$11,0)&gt;=31,OFFSET(EM!$B$17,ROW($A28)-ROW($A$26)+(ROW(EM!$C$46)-ROW(EM!$C$14))*(MATCH(AA$22,EM!$B$6:$B$9,0)-1),MIN(AA$23-EM!$B$16+30,EM!$AF$16-EM!$B$16)),0)+
IF(ROUND(AA$11,0)&gt;=32,OFFSET(EM!$B$17,ROW($A28)-ROW($A$26)+(ROW(EM!$C$46)-ROW(EM!$C$14))*(MATCH(AA$22,EM!$B$6:$B$9,0)-1),MIN(AA$23-EM!$B$16+31,EM!$AF$16-EM!$B$16)),0)+
IF(ROUND(AA$11,0)&gt;=33,OFFSET(EM!$B$17,ROW($A28)-ROW($A$26)+(ROW(EM!$C$46)-ROW(EM!$C$14))*(MATCH(AA$22,EM!$B$6:$B$9,0)-1),MIN(AA$23-EM!$B$16+32,EM!$AF$16-EM!$B$16)),0)+
IF(ROUND(AA$11,0)&gt;=34,OFFSET(EM!$B$17,ROW($A28)-ROW($A$26)+(ROW(EM!$C$46)-ROW(EM!$C$14))*(MATCH(AA$22,EM!$B$6:$B$9,0)-1),MIN(AA$23-EM!$B$16+33,EM!$AF$16-EM!$B$16)),0)+
IF(ROUND(AA$11,0)&gt;=35,OFFSET(EM!$B$17,ROW($A28)-ROW($A$26)+(ROW(EM!$C$46)-ROW(EM!$C$14))*(MATCH(AA$22,EM!$B$6:$B$9,0)-1),MIN(AA$23-EM!$B$16+34,EM!$AF$16-EM!$B$16)),0)+
IF(ROUND(AA$11,0)&gt;=36,OFFSET(EM!$B$17,ROW($A28)-ROW($A$26)+(ROW(EM!$C$46)-ROW(EM!$C$14))*(MATCH(AA$22,EM!$B$6:$B$9,0)-1),MIN(AA$23-EM!$B$16+35,EM!$AF$16-EM!$B$16)),0)+
IF(ROUND(AA$11,0)&gt;=37,OFFSET(EM!$B$17,ROW($A28)-ROW($A$26)+(ROW(EM!$C$46)-ROW(EM!$C$14))*(MATCH(AA$22,EM!$B$6:$B$9,0)-1),MIN(AA$23-EM!$B$16+36,EM!$AF$16-EM!$B$16)),0)+
IF(ROUND(AA$11,0)&gt;=38,OFFSET(EM!$B$17,ROW($A28)-ROW($A$26)+(ROW(EM!$C$46)-ROW(EM!$C$14))*(MATCH(AA$22,EM!$B$6:$B$9,0)-1),MIN(AA$23-EM!$B$16+37,EM!$AF$16-EM!$B$16)),0)+
IF(ROUND(AA$11,0)&gt;=39,OFFSET(EM!$B$17,ROW($A28)-ROW($A$26)+(ROW(EM!$C$46)-ROW(EM!$C$14))*(MATCH(AA$22,EM!$B$6:$B$9,0)-1),MIN(AA$23-EM!$B$16+38,EM!$AF$16-EM!$B$16)),0)+
IF(ROUND(AA$11,0)&gt;=40,OFFSET(EM!$B$17,ROW($A28)-ROW($A$26)+(ROW(EM!$C$46)-ROW(EM!$C$14))*(MATCH(AA$22,EM!$B$6:$B$9,0)-1),MIN(AA$23-EM!$B$16+39,EM!$AF$16-EM!$B$16)),0)
)/ROUND(AA$11,0),NA()))</f>
        <v>0.72705457895591852</v>
      </c>
      <c r="AB28" s="2046">
        <f ca="1">IF(AB$19=GPG!$A$28,IF(ROW(AB28)-ROW(AB$26)+1=MATCH(AB$20,GPG!$A$5:$A$11,0),1,0),
IF(AB$19=GPG!$A$29,
(IF(ROUND(AB$11,0)&gt;=1,OFFSET(EM!$B$17,ROW($A28)-ROW($A$26)+(ROW(EM!$C$46)-ROW(EM!$C$14))*(MATCH(AB$22,EM!$B$6:$B$9,0)-1),MIN(AB$23-EM!$B$16,EM!$AF$16-EM!$B$16)),0)+
IF(ROUND(AB$11,0)&gt;=2,OFFSET(EM!$B$17,ROW($A28)-ROW($A$26)+(ROW(EM!$C$46)-ROW(EM!$C$14))*(MATCH(AB$22,EM!$B$6:$B$9,0)-1),MIN(AB$23-EM!$B$16+1,EM!$AF$16-EM!$B$16)),0)+
IF(ROUND(AB$11,0)&gt;=3,OFFSET(EM!$B$17,ROW($A28)-ROW($A$26)+(ROW(EM!$C$46)-ROW(EM!$C$14))*(MATCH(AB$22,EM!$B$6:$B$9,0)-1),MIN(AB$23-EM!$B$16+2,EM!$AF$16-EM!$B$16)),0)+
IF(ROUND(AB$11,0)&gt;=4,OFFSET(EM!$B$17,ROW($A28)-ROW($A$26)+(ROW(EM!$C$46)-ROW(EM!$C$14))*(MATCH(AB$22,EM!$B$6:$B$9,0)-1),MIN(AB$23-EM!$B$16+3,EM!$AF$16-EM!$B$16)),0)+
IF(ROUND(AB$11,0)&gt;=5,OFFSET(EM!$B$17,ROW($A28)-ROW($A$26)+(ROW(EM!$C$46)-ROW(EM!$C$14))*(MATCH(AB$22,EM!$B$6:$B$9,0)-1),MIN(AB$23-EM!$B$16+4,EM!$AF$16-EM!$B$16)),0)+
IF(ROUND(AB$11,0)&gt;=6,OFFSET(EM!$B$17,ROW($A28)-ROW($A$26)+(ROW(EM!$C$46)-ROW(EM!$C$14))*(MATCH(AB$22,EM!$B$6:$B$9,0)-1),MIN(AB$23-EM!$B$16+5,EM!$AF$16-EM!$B$16)),0)+
IF(ROUND(AB$11,0)&gt;=7,OFFSET(EM!$B$17,ROW($A28)-ROW($A$26)+(ROW(EM!$C$46)-ROW(EM!$C$14))*(MATCH(AB$22,EM!$B$6:$B$9,0)-1),MIN(AB$23-EM!$B$16+6,EM!$AF$16-EM!$B$16)),0)+
IF(ROUND(AB$11,0)&gt;=8,OFFSET(EM!$B$17,ROW($A28)-ROW($A$26)+(ROW(EM!$C$46)-ROW(EM!$C$14))*(MATCH(AB$22,EM!$B$6:$B$9,0)-1),MIN(AB$23-EM!$B$16+7,EM!$AF$16-EM!$B$16)),0)+
IF(ROUND(AB$11,0)&gt;=9,OFFSET(EM!$B$17,ROW($A28)-ROW($A$26)+(ROW(EM!$C$46)-ROW(EM!$C$14))*(MATCH(AB$22,EM!$B$6:$B$9,0)-1),MIN(AB$23-EM!$B$16+8,EM!$AF$16-EM!$B$16)),0)+
IF(ROUND(AB$11,0)&gt;=10,OFFSET(EM!$B$17,ROW($A28)-ROW($A$26)+(ROW(EM!$C$46)-ROW(EM!$C$14))*(MATCH(AB$22,EM!$B$6:$B$9,0)-1),MIN(AB$23-EM!$B$16+9,EM!$AF$16-EM!$B$16)),0)+
IF(ROUND(AB$11,0)&gt;=11,OFFSET(EM!$B$17,ROW($A28)-ROW($A$26)+(ROW(EM!$C$46)-ROW(EM!$C$14))*(MATCH(AB$22,EM!$B$6:$B$9,0)-1),MIN(AB$23-EM!$B$16+10,EM!$AF$16-EM!$B$16)),0)+
IF(ROUND(AB$11,0)&gt;=12,OFFSET(EM!$B$17,ROW($A28)-ROW($A$26)+(ROW(EM!$C$46)-ROW(EM!$C$14))*(MATCH(AB$22,EM!$B$6:$B$9,0)-1),MIN(AB$23-EM!$B$16+11,EM!$AF$16-EM!$B$16)),0)+
IF(ROUND(AB$11,0)&gt;=13,OFFSET(EM!$B$17,ROW($A28)-ROW($A$26)+(ROW(EM!$C$46)-ROW(EM!$C$14))*(MATCH(AB$22,EM!$B$6:$B$9,0)-1),MIN(AB$23-EM!$B$16+12,EM!$AF$16-EM!$B$16)),0)+
IF(ROUND(AB$11,0)&gt;=14,OFFSET(EM!$B$17,ROW($A28)-ROW($A$26)+(ROW(EM!$C$46)-ROW(EM!$C$14))*(MATCH(AB$22,EM!$B$6:$B$9,0)-1),MIN(AB$23-EM!$B$16+13,EM!$AF$16-EM!$B$16)),0)+
IF(ROUND(AB$11,0)&gt;=15,OFFSET(EM!$B$17,ROW($A28)-ROW($A$26)+(ROW(EM!$C$46)-ROW(EM!$C$14))*(MATCH(AB$22,EM!$B$6:$B$9,0)-1),MIN(AB$23-EM!$B$16+14,EM!$AF$16-EM!$B$16)),0)+
IF(ROUND(AB$11,0)&gt;=16,OFFSET(EM!$B$17,ROW($A28)-ROW($A$26)+(ROW(EM!$C$46)-ROW(EM!$C$14))*(MATCH(AB$22,EM!$B$6:$B$9,0)-1),MIN(AB$23-EM!$B$16+15,EM!$AF$16-EM!$B$16)),0)+
IF(ROUND(AB$11,0)&gt;=17,OFFSET(EM!$B$17,ROW($A28)-ROW($A$26)+(ROW(EM!$C$46)-ROW(EM!$C$14))*(MATCH(AB$22,EM!$B$6:$B$9,0)-1),MIN(AB$23-EM!$B$16+16,EM!$AF$16-EM!$B$16)),0)+
IF(ROUND(AB$11,0)&gt;=18,OFFSET(EM!$B$17,ROW($A28)-ROW($A$26)+(ROW(EM!$C$46)-ROW(EM!$C$14))*(MATCH(AB$22,EM!$B$6:$B$9,0)-1),MIN(AB$23-EM!$B$16+17,EM!$AF$16-EM!$B$16)),0)+
IF(ROUND(AB$11,0)&gt;=19,OFFSET(EM!$B$17,ROW($A28)-ROW($A$26)+(ROW(EM!$C$46)-ROW(EM!$C$14))*(MATCH(AB$22,EM!$B$6:$B$9,0)-1),MIN(AB$23-EM!$B$16+18,EM!$AF$16-EM!$B$16)),0)+
IF(ROUND(AB$11,0)&gt;=20,OFFSET(EM!$B$17,ROW($A28)-ROW($A$26)+(ROW(EM!$C$46)-ROW(EM!$C$14))*(MATCH(AB$22,EM!$B$6:$B$9,0)-1),MIN(AB$23-EM!$B$16+19,EM!$AF$16-EM!$B$16)),0)+
IF(ROUND(AB$11,0)&gt;=21,OFFSET(EM!$B$17,ROW($A28)-ROW($A$26)+(ROW(EM!$C$46)-ROW(EM!$C$14))*(MATCH(AB$22,EM!$B$6:$B$9,0)-1),MIN(AB$23-EM!$B$16+20,EM!$AF$16-EM!$B$16)),0)+
IF(ROUND(AB$11,0)&gt;=22,OFFSET(EM!$B$17,ROW($A28)-ROW($A$26)+(ROW(EM!$C$46)-ROW(EM!$C$14))*(MATCH(AB$22,EM!$B$6:$B$9,0)-1),MIN(AB$23-EM!$B$16+21,EM!$AF$16-EM!$B$16)),0)+
IF(ROUND(AB$11,0)&gt;=23,OFFSET(EM!$B$17,ROW($A28)-ROW($A$26)+(ROW(EM!$C$46)-ROW(EM!$C$14))*(MATCH(AB$22,EM!$B$6:$B$9,0)-1),MIN(AB$23-EM!$B$16+22,EM!$AF$16-EM!$B$16)),0)+
IF(ROUND(AB$11,0)&gt;=24,OFFSET(EM!$B$17,ROW($A28)-ROW($A$26)+(ROW(EM!$C$46)-ROW(EM!$C$14))*(MATCH(AB$22,EM!$B$6:$B$9,0)-1),MIN(AB$23-EM!$B$16+23,EM!$AF$16-EM!$B$16)),0)+
IF(ROUND(AB$11,0)&gt;=25,OFFSET(EM!$B$17,ROW($A28)-ROW($A$26)+(ROW(EM!$C$46)-ROW(EM!$C$14))*(MATCH(AB$22,EM!$B$6:$B$9,0)-1),MIN(AB$23-EM!$B$16+24,EM!$AF$16-EM!$B$16)),0)+
IF(ROUND(AB$11,0)&gt;=26,OFFSET(EM!$B$17,ROW($A28)-ROW($A$26)+(ROW(EM!$C$46)-ROW(EM!$C$14))*(MATCH(AB$22,EM!$B$6:$B$9,0)-1),MIN(AB$23-EM!$B$16+25,EM!$AF$16-EM!$B$16)),0)+
IF(ROUND(AB$11,0)&gt;=27,OFFSET(EM!$B$17,ROW($A28)-ROW($A$26)+(ROW(EM!$C$46)-ROW(EM!$C$14))*(MATCH(AB$22,EM!$B$6:$B$9,0)-1),MIN(AB$23-EM!$B$16+26,EM!$AF$16-EM!$B$16)),0)+
IF(ROUND(AB$11,0)&gt;=28,OFFSET(EM!$B$17,ROW($A28)-ROW($A$26)+(ROW(EM!$C$46)-ROW(EM!$C$14))*(MATCH(AB$22,EM!$B$6:$B$9,0)-1),MIN(AB$23-EM!$B$16+27,EM!$AF$16-EM!$B$16)),0)+
IF(ROUND(AB$11,0)&gt;=29,OFFSET(EM!$B$17,ROW($A28)-ROW($A$26)+(ROW(EM!$C$46)-ROW(EM!$C$14))*(MATCH(AB$22,EM!$B$6:$B$9,0)-1),MIN(AB$23-EM!$B$16+28,EM!$AF$16-EM!$B$16)),0)+
IF(ROUND(AB$11,0)&gt;=30,OFFSET(EM!$B$17,ROW($A28)-ROW($A$26)+(ROW(EM!$C$46)-ROW(EM!$C$14))*(MATCH(AB$22,EM!$B$6:$B$9,0)-1),MIN(AB$23-EM!$B$16+29,EM!$AF$16-EM!$B$16)),0)+
IF(ROUND(AB$11,0)&gt;=31,OFFSET(EM!$B$17,ROW($A28)-ROW($A$26)+(ROW(EM!$C$46)-ROW(EM!$C$14))*(MATCH(AB$22,EM!$B$6:$B$9,0)-1),MIN(AB$23-EM!$B$16+30,EM!$AF$16-EM!$B$16)),0)+
IF(ROUND(AB$11,0)&gt;=32,OFFSET(EM!$B$17,ROW($A28)-ROW($A$26)+(ROW(EM!$C$46)-ROW(EM!$C$14))*(MATCH(AB$22,EM!$B$6:$B$9,0)-1),MIN(AB$23-EM!$B$16+31,EM!$AF$16-EM!$B$16)),0)+
IF(ROUND(AB$11,0)&gt;=33,OFFSET(EM!$B$17,ROW($A28)-ROW($A$26)+(ROW(EM!$C$46)-ROW(EM!$C$14))*(MATCH(AB$22,EM!$B$6:$B$9,0)-1),MIN(AB$23-EM!$B$16+32,EM!$AF$16-EM!$B$16)),0)+
IF(ROUND(AB$11,0)&gt;=34,OFFSET(EM!$B$17,ROW($A28)-ROW($A$26)+(ROW(EM!$C$46)-ROW(EM!$C$14))*(MATCH(AB$22,EM!$B$6:$B$9,0)-1),MIN(AB$23-EM!$B$16+33,EM!$AF$16-EM!$B$16)),0)+
IF(ROUND(AB$11,0)&gt;=35,OFFSET(EM!$B$17,ROW($A28)-ROW($A$26)+(ROW(EM!$C$46)-ROW(EM!$C$14))*(MATCH(AB$22,EM!$B$6:$B$9,0)-1),MIN(AB$23-EM!$B$16+34,EM!$AF$16-EM!$B$16)),0)+
IF(ROUND(AB$11,0)&gt;=36,OFFSET(EM!$B$17,ROW($A28)-ROW($A$26)+(ROW(EM!$C$46)-ROW(EM!$C$14))*(MATCH(AB$22,EM!$B$6:$B$9,0)-1),MIN(AB$23-EM!$B$16+35,EM!$AF$16-EM!$B$16)),0)+
IF(ROUND(AB$11,0)&gt;=37,OFFSET(EM!$B$17,ROW($A28)-ROW($A$26)+(ROW(EM!$C$46)-ROW(EM!$C$14))*(MATCH(AB$22,EM!$B$6:$B$9,0)-1),MIN(AB$23-EM!$B$16+36,EM!$AF$16-EM!$B$16)),0)+
IF(ROUND(AB$11,0)&gt;=38,OFFSET(EM!$B$17,ROW($A28)-ROW($A$26)+(ROW(EM!$C$46)-ROW(EM!$C$14))*(MATCH(AB$22,EM!$B$6:$B$9,0)-1),MIN(AB$23-EM!$B$16+37,EM!$AF$16-EM!$B$16)),0)+
IF(ROUND(AB$11,0)&gt;=39,OFFSET(EM!$B$17,ROW($A28)-ROW($A$26)+(ROW(EM!$C$46)-ROW(EM!$C$14))*(MATCH(AB$22,EM!$B$6:$B$9,0)-1),MIN(AB$23-EM!$B$16+38,EM!$AF$16-EM!$B$16)),0)+
IF(ROUND(AB$11,0)&gt;=40,OFFSET(EM!$B$17,ROW($A28)-ROW($A$26)+(ROW(EM!$C$46)-ROW(EM!$C$14))*(MATCH(AB$22,EM!$B$6:$B$9,0)-1),MIN(AB$23-EM!$B$16+39,EM!$AF$16-EM!$B$16)),0)
)/ROUND(AB$11,0),NA()))</f>
        <v>0.72705457895591852</v>
      </c>
    </row>
    <row r="29" spans="1:28" x14ac:dyDescent="0.45">
      <c r="A29" s="1421" t="s">
        <v>1078</v>
      </c>
      <c r="B29" s="2035"/>
      <c r="C29" s="2046">
        <f ca="1">IF(C$19=GPG!$A$28,IF(ROW(C29)-ROW(C$26)+1=MATCH(C$20,GPG!$A$5:$A$11,0),1,0),
IF(C$19=GPG!$A$29,
(IF(ROUND(C$11,0)&gt;=1,OFFSET(EM!$B$17,ROW($A29)-ROW($A$26)+(ROW(EM!$C$46)-ROW(EM!$C$14))*(MATCH(C$22,EM!$B$6:$B$9,0)-1),MIN(C$23-EM!$B$16,EM!$AF$16-EM!$B$16)),0)+
IF(ROUND(C$11,0)&gt;=2,OFFSET(EM!$B$17,ROW($A29)-ROW($A$26)+(ROW(EM!$C$46)-ROW(EM!$C$14))*(MATCH(C$22,EM!$B$6:$B$9,0)-1),MIN(C$23-EM!$B$16+1,EM!$AF$16-EM!$B$16)),0)+
IF(ROUND(C$11,0)&gt;=3,OFFSET(EM!$B$17,ROW($A29)-ROW($A$26)+(ROW(EM!$C$46)-ROW(EM!$C$14))*(MATCH(C$22,EM!$B$6:$B$9,0)-1),MIN(C$23-EM!$B$16+2,EM!$AF$16-EM!$B$16)),0)+
IF(ROUND(C$11,0)&gt;=4,OFFSET(EM!$B$17,ROW($A29)-ROW($A$26)+(ROW(EM!$C$46)-ROW(EM!$C$14))*(MATCH(C$22,EM!$B$6:$B$9,0)-1),MIN(C$23-EM!$B$16+3,EM!$AF$16-EM!$B$16)),0)+
IF(ROUND(C$11,0)&gt;=5,OFFSET(EM!$B$17,ROW($A29)-ROW($A$26)+(ROW(EM!$C$46)-ROW(EM!$C$14))*(MATCH(C$22,EM!$B$6:$B$9,0)-1),MIN(C$23-EM!$B$16+4,EM!$AF$16-EM!$B$16)),0)+
IF(ROUND(C$11,0)&gt;=6,OFFSET(EM!$B$17,ROW($A29)-ROW($A$26)+(ROW(EM!$C$46)-ROW(EM!$C$14))*(MATCH(C$22,EM!$B$6:$B$9,0)-1),MIN(C$23-EM!$B$16+5,EM!$AF$16-EM!$B$16)),0)+
IF(ROUND(C$11,0)&gt;=7,OFFSET(EM!$B$17,ROW($A29)-ROW($A$26)+(ROW(EM!$C$46)-ROW(EM!$C$14))*(MATCH(C$22,EM!$B$6:$B$9,0)-1),MIN(C$23-EM!$B$16+6,EM!$AF$16-EM!$B$16)),0)+
IF(ROUND(C$11,0)&gt;=8,OFFSET(EM!$B$17,ROW($A29)-ROW($A$26)+(ROW(EM!$C$46)-ROW(EM!$C$14))*(MATCH(C$22,EM!$B$6:$B$9,0)-1),MIN(C$23-EM!$B$16+7,EM!$AF$16-EM!$B$16)),0)+
IF(ROUND(C$11,0)&gt;=9,OFFSET(EM!$B$17,ROW($A29)-ROW($A$26)+(ROW(EM!$C$46)-ROW(EM!$C$14))*(MATCH(C$22,EM!$B$6:$B$9,0)-1),MIN(C$23-EM!$B$16+8,EM!$AF$16-EM!$B$16)),0)+
IF(ROUND(C$11,0)&gt;=10,OFFSET(EM!$B$17,ROW($A29)-ROW($A$26)+(ROW(EM!$C$46)-ROW(EM!$C$14))*(MATCH(C$22,EM!$B$6:$B$9,0)-1),MIN(C$23-EM!$B$16+9,EM!$AF$16-EM!$B$16)),0)+
IF(ROUND(C$11,0)&gt;=11,OFFSET(EM!$B$17,ROW($A29)-ROW($A$26)+(ROW(EM!$C$46)-ROW(EM!$C$14))*(MATCH(C$22,EM!$B$6:$B$9,0)-1),MIN(C$23-EM!$B$16+10,EM!$AF$16-EM!$B$16)),0)+
IF(ROUND(C$11,0)&gt;=12,OFFSET(EM!$B$17,ROW($A29)-ROW($A$26)+(ROW(EM!$C$46)-ROW(EM!$C$14))*(MATCH(C$22,EM!$B$6:$B$9,0)-1),MIN(C$23-EM!$B$16+11,EM!$AF$16-EM!$B$16)),0)+
IF(ROUND(C$11,0)&gt;=13,OFFSET(EM!$B$17,ROW($A29)-ROW($A$26)+(ROW(EM!$C$46)-ROW(EM!$C$14))*(MATCH(C$22,EM!$B$6:$B$9,0)-1),MIN(C$23-EM!$B$16+12,EM!$AF$16-EM!$B$16)),0)+
IF(ROUND(C$11,0)&gt;=14,OFFSET(EM!$B$17,ROW($A29)-ROW($A$26)+(ROW(EM!$C$46)-ROW(EM!$C$14))*(MATCH(C$22,EM!$B$6:$B$9,0)-1),MIN(C$23-EM!$B$16+13,EM!$AF$16-EM!$B$16)),0)+
IF(ROUND(C$11,0)&gt;=15,OFFSET(EM!$B$17,ROW($A29)-ROW($A$26)+(ROW(EM!$C$46)-ROW(EM!$C$14))*(MATCH(C$22,EM!$B$6:$B$9,0)-1),MIN(C$23-EM!$B$16+14,EM!$AF$16-EM!$B$16)),0)+
IF(ROUND(C$11,0)&gt;=16,OFFSET(EM!$B$17,ROW($A29)-ROW($A$26)+(ROW(EM!$C$46)-ROW(EM!$C$14))*(MATCH(C$22,EM!$B$6:$B$9,0)-1),MIN(C$23-EM!$B$16+15,EM!$AF$16-EM!$B$16)),0)+
IF(ROUND(C$11,0)&gt;=17,OFFSET(EM!$B$17,ROW($A29)-ROW($A$26)+(ROW(EM!$C$46)-ROW(EM!$C$14))*(MATCH(C$22,EM!$B$6:$B$9,0)-1),MIN(C$23-EM!$B$16+16,EM!$AF$16-EM!$B$16)),0)+
IF(ROUND(C$11,0)&gt;=18,OFFSET(EM!$B$17,ROW($A29)-ROW($A$26)+(ROW(EM!$C$46)-ROW(EM!$C$14))*(MATCH(C$22,EM!$B$6:$B$9,0)-1),MIN(C$23-EM!$B$16+17,EM!$AF$16-EM!$B$16)),0)+
IF(ROUND(C$11,0)&gt;=19,OFFSET(EM!$B$17,ROW($A29)-ROW($A$26)+(ROW(EM!$C$46)-ROW(EM!$C$14))*(MATCH(C$22,EM!$B$6:$B$9,0)-1),MIN(C$23-EM!$B$16+18,EM!$AF$16-EM!$B$16)),0)+
IF(ROUND(C$11,0)&gt;=20,OFFSET(EM!$B$17,ROW($A29)-ROW($A$26)+(ROW(EM!$C$46)-ROW(EM!$C$14))*(MATCH(C$22,EM!$B$6:$B$9,0)-1),MIN(C$23-EM!$B$16+19,EM!$AF$16-EM!$B$16)),0)+
IF(ROUND(C$11,0)&gt;=21,OFFSET(EM!$B$17,ROW($A29)-ROW($A$26)+(ROW(EM!$C$46)-ROW(EM!$C$14))*(MATCH(C$22,EM!$B$6:$B$9,0)-1),MIN(C$23-EM!$B$16+20,EM!$AF$16-EM!$B$16)),0)+
IF(ROUND(C$11,0)&gt;=22,OFFSET(EM!$B$17,ROW($A29)-ROW($A$26)+(ROW(EM!$C$46)-ROW(EM!$C$14))*(MATCH(C$22,EM!$B$6:$B$9,0)-1),MIN(C$23-EM!$B$16+21,EM!$AF$16-EM!$B$16)),0)+
IF(ROUND(C$11,0)&gt;=23,OFFSET(EM!$B$17,ROW($A29)-ROW($A$26)+(ROW(EM!$C$46)-ROW(EM!$C$14))*(MATCH(C$22,EM!$B$6:$B$9,0)-1),MIN(C$23-EM!$B$16+22,EM!$AF$16-EM!$B$16)),0)+
IF(ROUND(C$11,0)&gt;=24,OFFSET(EM!$B$17,ROW($A29)-ROW($A$26)+(ROW(EM!$C$46)-ROW(EM!$C$14))*(MATCH(C$22,EM!$B$6:$B$9,0)-1),MIN(C$23-EM!$B$16+23,EM!$AF$16-EM!$B$16)),0)+
IF(ROUND(C$11,0)&gt;=25,OFFSET(EM!$B$17,ROW($A29)-ROW($A$26)+(ROW(EM!$C$46)-ROW(EM!$C$14))*(MATCH(C$22,EM!$B$6:$B$9,0)-1),MIN(C$23-EM!$B$16+24,EM!$AF$16-EM!$B$16)),0)+
IF(ROUND(C$11,0)&gt;=26,OFFSET(EM!$B$17,ROW($A29)-ROW($A$26)+(ROW(EM!$C$46)-ROW(EM!$C$14))*(MATCH(C$22,EM!$B$6:$B$9,0)-1),MIN(C$23-EM!$B$16+25,EM!$AF$16-EM!$B$16)),0)+
IF(ROUND(C$11,0)&gt;=27,OFFSET(EM!$B$17,ROW($A29)-ROW($A$26)+(ROW(EM!$C$46)-ROW(EM!$C$14))*(MATCH(C$22,EM!$B$6:$B$9,0)-1),MIN(C$23-EM!$B$16+26,EM!$AF$16-EM!$B$16)),0)+
IF(ROUND(C$11,0)&gt;=28,OFFSET(EM!$B$17,ROW($A29)-ROW($A$26)+(ROW(EM!$C$46)-ROW(EM!$C$14))*(MATCH(C$22,EM!$B$6:$B$9,0)-1),MIN(C$23-EM!$B$16+27,EM!$AF$16-EM!$B$16)),0)+
IF(ROUND(C$11,0)&gt;=29,OFFSET(EM!$B$17,ROW($A29)-ROW($A$26)+(ROW(EM!$C$46)-ROW(EM!$C$14))*(MATCH(C$22,EM!$B$6:$B$9,0)-1),MIN(C$23-EM!$B$16+28,EM!$AF$16-EM!$B$16)),0)+
IF(ROUND(C$11,0)&gt;=30,OFFSET(EM!$B$17,ROW($A29)-ROW($A$26)+(ROW(EM!$C$46)-ROW(EM!$C$14))*(MATCH(C$22,EM!$B$6:$B$9,0)-1),MIN(C$23-EM!$B$16+29,EM!$AF$16-EM!$B$16)),0)+
IF(ROUND(C$11,0)&gt;=31,OFFSET(EM!$B$17,ROW($A29)-ROW($A$26)+(ROW(EM!$C$46)-ROW(EM!$C$14))*(MATCH(C$22,EM!$B$6:$B$9,0)-1),MIN(C$23-EM!$B$16+30,EM!$AF$16-EM!$B$16)),0)+
IF(ROUND(C$11,0)&gt;=32,OFFSET(EM!$B$17,ROW($A29)-ROW($A$26)+(ROW(EM!$C$46)-ROW(EM!$C$14))*(MATCH(C$22,EM!$B$6:$B$9,0)-1),MIN(C$23-EM!$B$16+31,EM!$AF$16-EM!$B$16)),0)+
IF(ROUND(C$11,0)&gt;=33,OFFSET(EM!$B$17,ROW($A29)-ROW($A$26)+(ROW(EM!$C$46)-ROW(EM!$C$14))*(MATCH(C$22,EM!$B$6:$B$9,0)-1),MIN(C$23-EM!$B$16+32,EM!$AF$16-EM!$B$16)),0)+
IF(ROUND(C$11,0)&gt;=34,OFFSET(EM!$B$17,ROW($A29)-ROW($A$26)+(ROW(EM!$C$46)-ROW(EM!$C$14))*(MATCH(C$22,EM!$B$6:$B$9,0)-1),MIN(C$23-EM!$B$16+33,EM!$AF$16-EM!$B$16)),0)+
IF(ROUND(C$11,0)&gt;=35,OFFSET(EM!$B$17,ROW($A29)-ROW($A$26)+(ROW(EM!$C$46)-ROW(EM!$C$14))*(MATCH(C$22,EM!$B$6:$B$9,0)-1),MIN(C$23-EM!$B$16+34,EM!$AF$16-EM!$B$16)),0)+
IF(ROUND(C$11,0)&gt;=36,OFFSET(EM!$B$17,ROW($A29)-ROW($A$26)+(ROW(EM!$C$46)-ROW(EM!$C$14))*(MATCH(C$22,EM!$B$6:$B$9,0)-1),MIN(C$23-EM!$B$16+35,EM!$AF$16-EM!$B$16)),0)+
IF(ROUND(C$11,0)&gt;=37,OFFSET(EM!$B$17,ROW($A29)-ROW($A$26)+(ROW(EM!$C$46)-ROW(EM!$C$14))*(MATCH(C$22,EM!$B$6:$B$9,0)-1),MIN(C$23-EM!$B$16+36,EM!$AF$16-EM!$B$16)),0)+
IF(ROUND(C$11,0)&gt;=38,OFFSET(EM!$B$17,ROW($A29)-ROW($A$26)+(ROW(EM!$C$46)-ROW(EM!$C$14))*(MATCH(C$22,EM!$B$6:$B$9,0)-1),MIN(C$23-EM!$B$16+37,EM!$AF$16-EM!$B$16)),0)+
IF(ROUND(C$11,0)&gt;=39,OFFSET(EM!$B$17,ROW($A29)-ROW($A$26)+(ROW(EM!$C$46)-ROW(EM!$C$14))*(MATCH(C$22,EM!$B$6:$B$9,0)-1),MIN(C$23-EM!$B$16+38,EM!$AF$16-EM!$B$16)),0)+
IF(ROUND(C$11,0)&gt;=40,OFFSET(EM!$B$17,ROW($A29)-ROW($A$26)+(ROW(EM!$C$46)-ROW(EM!$C$14))*(MATCH(C$22,EM!$B$6:$B$9,0)-1),MIN(C$23-EM!$B$16+39,EM!$AF$16-EM!$B$16)),0)
)/ROUND(C$11,0),NA()))</f>
        <v>5.2133691175945372E-2</v>
      </c>
      <c r="D29" s="2046">
        <f ca="1">IF(D$19=GPG!$A$28,IF(ROW(D29)-ROW(D$26)+1=MATCH(D$20,GPG!$A$5:$A$11,0),1,0),
IF(D$19=GPG!$A$29,
(IF(ROUND(D$11,0)&gt;=1,OFFSET(EM!$B$17,ROW($A29)-ROW($A$26)+(ROW(EM!$C$46)-ROW(EM!$C$14))*(MATCH(D$22,EM!$B$6:$B$9,0)-1),MIN(D$23-EM!$B$16,EM!$AF$16-EM!$B$16)),0)+
IF(ROUND(D$11,0)&gt;=2,OFFSET(EM!$B$17,ROW($A29)-ROW($A$26)+(ROW(EM!$C$46)-ROW(EM!$C$14))*(MATCH(D$22,EM!$B$6:$B$9,0)-1),MIN(D$23-EM!$B$16+1,EM!$AF$16-EM!$B$16)),0)+
IF(ROUND(D$11,0)&gt;=3,OFFSET(EM!$B$17,ROW($A29)-ROW($A$26)+(ROW(EM!$C$46)-ROW(EM!$C$14))*(MATCH(D$22,EM!$B$6:$B$9,0)-1),MIN(D$23-EM!$B$16+2,EM!$AF$16-EM!$B$16)),0)+
IF(ROUND(D$11,0)&gt;=4,OFFSET(EM!$B$17,ROW($A29)-ROW($A$26)+(ROW(EM!$C$46)-ROW(EM!$C$14))*(MATCH(D$22,EM!$B$6:$B$9,0)-1),MIN(D$23-EM!$B$16+3,EM!$AF$16-EM!$B$16)),0)+
IF(ROUND(D$11,0)&gt;=5,OFFSET(EM!$B$17,ROW($A29)-ROW($A$26)+(ROW(EM!$C$46)-ROW(EM!$C$14))*(MATCH(D$22,EM!$B$6:$B$9,0)-1),MIN(D$23-EM!$B$16+4,EM!$AF$16-EM!$B$16)),0)+
IF(ROUND(D$11,0)&gt;=6,OFFSET(EM!$B$17,ROW($A29)-ROW($A$26)+(ROW(EM!$C$46)-ROW(EM!$C$14))*(MATCH(D$22,EM!$B$6:$B$9,0)-1),MIN(D$23-EM!$B$16+5,EM!$AF$16-EM!$B$16)),0)+
IF(ROUND(D$11,0)&gt;=7,OFFSET(EM!$B$17,ROW($A29)-ROW($A$26)+(ROW(EM!$C$46)-ROW(EM!$C$14))*(MATCH(D$22,EM!$B$6:$B$9,0)-1),MIN(D$23-EM!$B$16+6,EM!$AF$16-EM!$B$16)),0)+
IF(ROUND(D$11,0)&gt;=8,OFFSET(EM!$B$17,ROW($A29)-ROW($A$26)+(ROW(EM!$C$46)-ROW(EM!$C$14))*(MATCH(D$22,EM!$B$6:$B$9,0)-1),MIN(D$23-EM!$B$16+7,EM!$AF$16-EM!$B$16)),0)+
IF(ROUND(D$11,0)&gt;=9,OFFSET(EM!$B$17,ROW($A29)-ROW($A$26)+(ROW(EM!$C$46)-ROW(EM!$C$14))*(MATCH(D$22,EM!$B$6:$B$9,0)-1),MIN(D$23-EM!$B$16+8,EM!$AF$16-EM!$B$16)),0)+
IF(ROUND(D$11,0)&gt;=10,OFFSET(EM!$B$17,ROW($A29)-ROW($A$26)+(ROW(EM!$C$46)-ROW(EM!$C$14))*(MATCH(D$22,EM!$B$6:$B$9,0)-1),MIN(D$23-EM!$B$16+9,EM!$AF$16-EM!$B$16)),0)+
IF(ROUND(D$11,0)&gt;=11,OFFSET(EM!$B$17,ROW($A29)-ROW($A$26)+(ROW(EM!$C$46)-ROW(EM!$C$14))*(MATCH(D$22,EM!$B$6:$B$9,0)-1),MIN(D$23-EM!$B$16+10,EM!$AF$16-EM!$B$16)),0)+
IF(ROUND(D$11,0)&gt;=12,OFFSET(EM!$B$17,ROW($A29)-ROW($A$26)+(ROW(EM!$C$46)-ROW(EM!$C$14))*(MATCH(D$22,EM!$B$6:$B$9,0)-1),MIN(D$23-EM!$B$16+11,EM!$AF$16-EM!$B$16)),0)+
IF(ROUND(D$11,0)&gt;=13,OFFSET(EM!$B$17,ROW($A29)-ROW($A$26)+(ROW(EM!$C$46)-ROW(EM!$C$14))*(MATCH(D$22,EM!$B$6:$B$9,0)-1),MIN(D$23-EM!$B$16+12,EM!$AF$16-EM!$B$16)),0)+
IF(ROUND(D$11,0)&gt;=14,OFFSET(EM!$B$17,ROW($A29)-ROW($A$26)+(ROW(EM!$C$46)-ROW(EM!$C$14))*(MATCH(D$22,EM!$B$6:$B$9,0)-1),MIN(D$23-EM!$B$16+13,EM!$AF$16-EM!$B$16)),0)+
IF(ROUND(D$11,0)&gt;=15,OFFSET(EM!$B$17,ROW($A29)-ROW($A$26)+(ROW(EM!$C$46)-ROW(EM!$C$14))*(MATCH(D$22,EM!$B$6:$B$9,0)-1),MIN(D$23-EM!$B$16+14,EM!$AF$16-EM!$B$16)),0)+
IF(ROUND(D$11,0)&gt;=16,OFFSET(EM!$B$17,ROW($A29)-ROW($A$26)+(ROW(EM!$C$46)-ROW(EM!$C$14))*(MATCH(D$22,EM!$B$6:$B$9,0)-1),MIN(D$23-EM!$B$16+15,EM!$AF$16-EM!$B$16)),0)+
IF(ROUND(D$11,0)&gt;=17,OFFSET(EM!$B$17,ROW($A29)-ROW($A$26)+(ROW(EM!$C$46)-ROW(EM!$C$14))*(MATCH(D$22,EM!$B$6:$B$9,0)-1),MIN(D$23-EM!$B$16+16,EM!$AF$16-EM!$B$16)),0)+
IF(ROUND(D$11,0)&gt;=18,OFFSET(EM!$B$17,ROW($A29)-ROW($A$26)+(ROW(EM!$C$46)-ROW(EM!$C$14))*(MATCH(D$22,EM!$B$6:$B$9,0)-1),MIN(D$23-EM!$B$16+17,EM!$AF$16-EM!$B$16)),0)+
IF(ROUND(D$11,0)&gt;=19,OFFSET(EM!$B$17,ROW($A29)-ROW($A$26)+(ROW(EM!$C$46)-ROW(EM!$C$14))*(MATCH(D$22,EM!$B$6:$B$9,0)-1),MIN(D$23-EM!$B$16+18,EM!$AF$16-EM!$B$16)),0)+
IF(ROUND(D$11,0)&gt;=20,OFFSET(EM!$B$17,ROW($A29)-ROW($A$26)+(ROW(EM!$C$46)-ROW(EM!$C$14))*(MATCH(D$22,EM!$B$6:$B$9,0)-1),MIN(D$23-EM!$B$16+19,EM!$AF$16-EM!$B$16)),0)+
IF(ROUND(D$11,0)&gt;=21,OFFSET(EM!$B$17,ROW($A29)-ROW($A$26)+(ROW(EM!$C$46)-ROW(EM!$C$14))*(MATCH(D$22,EM!$B$6:$B$9,0)-1),MIN(D$23-EM!$B$16+20,EM!$AF$16-EM!$B$16)),0)+
IF(ROUND(D$11,0)&gt;=22,OFFSET(EM!$B$17,ROW($A29)-ROW($A$26)+(ROW(EM!$C$46)-ROW(EM!$C$14))*(MATCH(D$22,EM!$B$6:$B$9,0)-1),MIN(D$23-EM!$B$16+21,EM!$AF$16-EM!$B$16)),0)+
IF(ROUND(D$11,0)&gt;=23,OFFSET(EM!$B$17,ROW($A29)-ROW($A$26)+(ROW(EM!$C$46)-ROW(EM!$C$14))*(MATCH(D$22,EM!$B$6:$B$9,0)-1),MIN(D$23-EM!$B$16+22,EM!$AF$16-EM!$B$16)),0)+
IF(ROUND(D$11,0)&gt;=24,OFFSET(EM!$B$17,ROW($A29)-ROW($A$26)+(ROW(EM!$C$46)-ROW(EM!$C$14))*(MATCH(D$22,EM!$B$6:$B$9,0)-1),MIN(D$23-EM!$B$16+23,EM!$AF$16-EM!$B$16)),0)+
IF(ROUND(D$11,0)&gt;=25,OFFSET(EM!$B$17,ROW($A29)-ROW($A$26)+(ROW(EM!$C$46)-ROW(EM!$C$14))*(MATCH(D$22,EM!$B$6:$B$9,0)-1),MIN(D$23-EM!$B$16+24,EM!$AF$16-EM!$B$16)),0)+
IF(ROUND(D$11,0)&gt;=26,OFFSET(EM!$B$17,ROW($A29)-ROW($A$26)+(ROW(EM!$C$46)-ROW(EM!$C$14))*(MATCH(D$22,EM!$B$6:$B$9,0)-1),MIN(D$23-EM!$B$16+25,EM!$AF$16-EM!$B$16)),0)+
IF(ROUND(D$11,0)&gt;=27,OFFSET(EM!$B$17,ROW($A29)-ROW($A$26)+(ROW(EM!$C$46)-ROW(EM!$C$14))*(MATCH(D$22,EM!$B$6:$B$9,0)-1),MIN(D$23-EM!$B$16+26,EM!$AF$16-EM!$B$16)),0)+
IF(ROUND(D$11,0)&gt;=28,OFFSET(EM!$B$17,ROW($A29)-ROW($A$26)+(ROW(EM!$C$46)-ROW(EM!$C$14))*(MATCH(D$22,EM!$B$6:$B$9,0)-1),MIN(D$23-EM!$B$16+27,EM!$AF$16-EM!$B$16)),0)+
IF(ROUND(D$11,0)&gt;=29,OFFSET(EM!$B$17,ROW($A29)-ROW($A$26)+(ROW(EM!$C$46)-ROW(EM!$C$14))*(MATCH(D$22,EM!$B$6:$B$9,0)-1),MIN(D$23-EM!$B$16+28,EM!$AF$16-EM!$B$16)),0)+
IF(ROUND(D$11,0)&gt;=30,OFFSET(EM!$B$17,ROW($A29)-ROW($A$26)+(ROW(EM!$C$46)-ROW(EM!$C$14))*(MATCH(D$22,EM!$B$6:$B$9,0)-1),MIN(D$23-EM!$B$16+29,EM!$AF$16-EM!$B$16)),0)+
IF(ROUND(D$11,0)&gt;=31,OFFSET(EM!$B$17,ROW($A29)-ROW($A$26)+(ROW(EM!$C$46)-ROW(EM!$C$14))*(MATCH(D$22,EM!$B$6:$B$9,0)-1),MIN(D$23-EM!$B$16+30,EM!$AF$16-EM!$B$16)),0)+
IF(ROUND(D$11,0)&gt;=32,OFFSET(EM!$B$17,ROW($A29)-ROW($A$26)+(ROW(EM!$C$46)-ROW(EM!$C$14))*(MATCH(D$22,EM!$B$6:$B$9,0)-1),MIN(D$23-EM!$B$16+31,EM!$AF$16-EM!$B$16)),0)+
IF(ROUND(D$11,0)&gt;=33,OFFSET(EM!$B$17,ROW($A29)-ROW($A$26)+(ROW(EM!$C$46)-ROW(EM!$C$14))*(MATCH(D$22,EM!$B$6:$B$9,0)-1),MIN(D$23-EM!$B$16+32,EM!$AF$16-EM!$B$16)),0)+
IF(ROUND(D$11,0)&gt;=34,OFFSET(EM!$B$17,ROW($A29)-ROW($A$26)+(ROW(EM!$C$46)-ROW(EM!$C$14))*(MATCH(D$22,EM!$B$6:$B$9,0)-1),MIN(D$23-EM!$B$16+33,EM!$AF$16-EM!$B$16)),0)+
IF(ROUND(D$11,0)&gt;=35,OFFSET(EM!$B$17,ROW($A29)-ROW($A$26)+(ROW(EM!$C$46)-ROW(EM!$C$14))*(MATCH(D$22,EM!$B$6:$B$9,0)-1),MIN(D$23-EM!$B$16+34,EM!$AF$16-EM!$B$16)),0)+
IF(ROUND(D$11,0)&gt;=36,OFFSET(EM!$B$17,ROW($A29)-ROW($A$26)+(ROW(EM!$C$46)-ROW(EM!$C$14))*(MATCH(D$22,EM!$B$6:$B$9,0)-1),MIN(D$23-EM!$B$16+35,EM!$AF$16-EM!$B$16)),0)+
IF(ROUND(D$11,0)&gt;=37,OFFSET(EM!$B$17,ROW($A29)-ROW($A$26)+(ROW(EM!$C$46)-ROW(EM!$C$14))*(MATCH(D$22,EM!$B$6:$B$9,0)-1),MIN(D$23-EM!$B$16+36,EM!$AF$16-EM!$B$16)),0)+
IF(ROUND(D$11,0)&gt;=38,OFFSET(EM!$B$17,ROW($A29)-ROW($A$26)+(ROW(EM!$C$46)-ROW(EM!$C$14))*(MATCH(D$22,EM!$B$6:$B$9,0)-1),MIN(D$23-EM!$B$16+37,EM!$AF$16-EM!$B$16)),0)+
IF(ROUND(D$11,0)&gt;=39,OFFSET(EM!$B$17,ROW($A29)-ROW($A$26)+(ROW(EM!$C$46)-ROW(EM!$C$14))*(MATCH(D$22,EM!$B$6:$B$9,0)-1),MIN(D$23-EM!$B$16+38,EM!$AF$16-EM!$B$16)),0)+
IF(ROUND(D$11,0)&gt;=40,OFFSET(EM!$B$17,ROW($A29)-ROW($A$26)+(ROW(EM!$C$46)-ROW(EM!$C$14))*(MATCH(D$22,EM!$B$6:$B$9,0)-1),MIN(D$23-EM!$B$16+39,EM!$AF$16-EM!$B$16)),0)
)/ROUND(D$11,0),NA()))</f>
        <v>3.4347831172193803E-2</v>
      </c>
      <c r="E29" s="2046">
        <f ca="1">IF(E$19=GPG!$A$28,IF(ROW(E29)-ROW(E$26)+1=MATCH(E$20,GPG!$A$5:$A$11,0),1,0),
IF(E$19=GPG!$A$29,
(IF(ROUND(E$11,0)&gt;=1,OFFSET(EM!$B$17,ROW($A29)-ROW($A$26)+(ROW(EM!$C$46)-ROW(EM!$C$14))*(MATCH(E$22,EM!$B$6:$B$9,0)-1),MIN(E$23-EM!$B$16,EM!$AF$16-EM!$B$16)),0)+
IF(ROUND(E$11,0)&gt;=2,OFFSET(EM!$B$17,ROW($A29)-ROW($A$26)+(ROW(EM!$C$46)-ROW(EM!$C$14))*(MATCH(E$22,EM!$B$6:$B$9,0)-1),MIN(E$23-EM!$B$16+1,EM!$AF$16-EM!$B$16)),0)+
IF(ROUND(E$11,0)&gt;=3,OFFSET(EM!$B$17,ROW($A29)-ROW($A$26)+(ROW(EM!$C$46)-ROW(EM!$C$14))*(MATCH(E$22,EM!$B$6:$B$9,0)-1),MIN(E$23-EM!$B$16+2,EM!$AF$16-EM!$B$16)),0)+
IF(ROUND(E$11,0)&gt;=4,OFFSET(EM!$B$17,ROW($A29)-ROW($A$26)+(ROW(EM!$C$46)-ROW(EM!$C$14))*(MATCH(E$22,EM!$B$6:$B$9,0)-1),MIN(E$23-EM!$B$16+3,EM!$AF$16-EM!$B$16)),0)+
IF(ROUND(E$11,0)&gt;=5,OFFSET(EM!$B$17,ROW($A29)-ROW($A$26)+(ROW(EM!$C$46)-ROW(EM!$C$14))*(MATCH(E$22,EM!$B$6:$B$9,0)-1),MIN(E$23-EM!$B$16+4,EM!$AF$16-EM!$B$16)),0)+
IF(ROUND(E$11,0)&gt;=6,OFFSET(EM!$B$17,ROW($A29)-ROW($A$26)+(ROW(EM!$C$46)-ROW(EM!$C$14))*(MATCH(E$22,EM!$B$6:$B$9,0)-1),MIN(E$23-EM!$B$16+5,EM!$AF$16-EM!$B$16)),0)+
IF(ROUND(E$11,0)&gt;=7,OFFSET(EM!$B$17,ROW($A29)-ROW($A$26)+(ROW(EM!$C$46)-ROW(EM!$C$14))*(MATCH(E$22,EM!$B$6:$B$9,0)-1),MIN(E$23-EM!$B$16+6,EM!$AF$16-EM!$B$16)),0)+
IF(ROUND(E$11,0)&gt;=8,OFFSET(EM!$B$17,ROW($A29)-ROW($A$26)+(ROW(EM!$C$46)-ROW(EM!$C$14))*(MATCH(E$22,EM!$B$6:$B$9,0)-1),MIN(E$23-EM!$B$16+7,EM!$AF$16-EM!$B$16)),0)+
IF(ROUND(E$11,0)&gt;=9,OFFSET(EM!$B$17,ROW($A29)-ROW($A$26)+(ROW(EM!$C$46)-ROW(EM!$C$14))*(MATCH(E$22,EM!$B$6:$B$9,0)-1),MIN(E$23-EM!$B$16+8,EM!$AF$16-EM!$B$16)),0)+
IF(ROUND(E$11,0)&gt;=10,OFFSET(EM!$B$17,ROW($A29)-ROW($A$26)+(ROW(EM!$C$46)-ROW(EM!$C$14))*(MATCH(E$22,EM!$B$6:$B$9,0)-1),MIN(E$23-EM!$B$16+9,EM!$AF$16-EM!$B$16)),0)+
IF(ROUND(E$11,0)&gt;=11,OFFSET(EM!$B$17,ROW($A29)-ROW($A$26)+(ROW(EM!$C$46)-ROW(EM!$C$14))*(MATCH(E$22,EM!$B$6:$B$9,0)-1),MIN(E$23-EM!$B$16+10,EM!$AF$16-EM!$B$16)),0)+
IF(ROUND(E$11,0)&gt;=12,OFFSET(EM!$B$17,ROW($A29)-ROW($A$26)+(ROW(EM!$C$46)-ROW(EM!$C$14))*(MATCH(E$22,EM!$B$6:$B$9,0)-1),MIN(E$23-EM!$B$16+11,EM!$AF$16-EM!$B$16)),0)+
IF(ROUND(E$11,0)&gt;=13,OFFSET(EM!$B$17,ROW($A29)-ROW($A$26)+(ROW(EM!$C$46)-ROW(EM!$C$14))*(MATCH(E$22,EM!$B$6:$B$9,0)-1),MIN(E$23-EM!$B$16+12,EM!$AF$16-EM!$B$16)),0)+
IF(ROUND(E$11,0)&gt;=14,OFFSET(EM!$B$17,ROW($A29)-ROW($A$26)+(ROW(EM!$C$46)-ROW(EM!$C$14))*(MATCH(E$22,EM!$B$6:$B$9,0)-1),MIN(E$23-EM!$B$16+13,EM!$AF$16-EM!$B$16)),0)+
IF(ROUND(E$11,0)&gt;=15,OFFSET(EM!$B$17,ROW($A29)-ROW($A$26)+(ROW(EM!$C$46)-ROW(EM!$C$14))*(MATCH(E$22,EM!$B$6:$B$9,0)-1),MIN(E$23-EM!$B$16+14,EM!$AF$16-EM!$B$16)),0)+
IF(ROUND(E$11,0)&gt;=16,OFFSET(EM!$B$17,ROW($A29)-ROW($A$26)+(ROW(EM!$C$46)-ROW(EM!$C$14))*(MATCH(E$22,EM!$B$6:$B$9,0)-1),MIN(E$23-EM!$B$16+15,EM!$AF$16-EM!$B$16)),0)+
IF(ROUND(E$11,0)&gt;=17,OFFSET(EM!$B$17,ROW($A29)-ROW($A$26)+(ROW(EM!$C$46)-ROW(EM!$C$14))*(MATCH(E$22,EM!$B$6:$B$9,0)-1),MIN(E$23-EM!$B$16+16,EM!$AF$16-EM!$B$16)),0)+
IF(ROUND(E$11,0)&gt;=18,OFFSET(EM!$B$17,ROW($A29)-ROW($A$26)+(ROW(EM!$C$46)-ROW(EM!$C$14))*(MATCH(E$22,EM!$B$6:$B$9,0)-1),MIN(E$23-EM!$B$16+17,EM!$AF$16-EM!$B$16)),0)+
IF(ROUND(E$11,0)&gt;=19,OFFSET(EM!$B$17,ROW($A29)-ROW($A$26)+(ROW(EM!$C$46)-ROW(EM!$C$14))*(MATCH(E$22,EM!$B$6:$B$9,0)-1),MIN(E$23-EM!$B$16+18,EM!$AF$16-EM!$B$16)),0)+
IF(ROUND(E$11,0)&gt;=20,OFFSET(EM!$B$17,ROW($A29)-ROW($A$26)+(ROW(EM!$C$46)-ROW(EM!$C$14))*(MATCH(E$22,EM!$B$6:$B$9,0)-1),MIN(E$23-EM!$B$16+19,EM!$AF$16-EM!$B$16)),0)+
IF(ROUND(E$11,0)&gt;=21,OFFSET(EM!$B$17,ROW($A29)-ROW($A$26)+(ROW(EM!$C$46)-ROW(EM!$C$14))*(MATCH(E$22,EM!$B$6:$B$9,0)-1),MIN(E$23-EM!$B$16+20,EM!$AF$16-EM!$B$16)),0)+
IF(ROUND(E$11,0)&gt;=22,OFFSET(EM!$B$17,ROW($A29)-ROW($A$26)+(ROW(EM!$C$46)-ROW(EM!$C$14))*(MATCH(E$22,EM!$B$6:$B$9,0)-1),MIN(E$23-EM!$B$16+21,EM!$AF$16-EM!$B$16)),0)+
IF(ROUND(E$11,0)&gt;=23,OFFSET(EM!$B$17,ROW($A29)-ROW($A$26)+(ROW(EM!$C$46)-ROW(EM!$C$14))*(MATCH(E$22,EM!$B$6:$B$9,0)-1),MIN(E$23-EM!$B$16+22,EM!$AF$16-EM!$B$16)),0)+
IF(ROUND(E$11,0)&gt;=24,OFFSET(EM!$B$17,ROW($A29)-ROW($A$26)+(ROW(EM!$C$46)-ROW(EM!$C$14))*(MATCH(E$22,EM!$B$6:$B$9,0)-1),MIN(E$23-EM!$B$16+23,EM!$AF$16-EM!$B$16)),0)+
IF(ROUND(E$11,0)&gt;=25,OFFSET(EM!$B$17,ROW($A29)-ROW($A$26)+(ROW(EM!$C$46)-ROW(EM!$C$14))*(MATCH(E$22,EM!$B$6:$B$9,0)-1),MIN(E$23-EM!$B$16+24,EM!$AF$16-EM!$B$16)),0)+
IF(ROUND(E$11,0)&gt;=26,OFFSET(EM!$B$17,ROW($A29)-ROW($A$26)+(ROW(EM!$C$46)-ROW(EM!$C$14))*(MATCH(E$22,EM!$B$6:$B$9,0)-1),MIN(E$23-EM!$B$16+25,EM!$AF$16-EM!$B$16)),0)+
IF(ROUND(E$11,0)&gt;=27,OFFSET(EM!$B$17,ROW($A29)-ROW($A$26)+(ROW(EM!$C$46)-ROW(EM!$C$14))*(MATCH(E$22,EM!$B$6:$B$9,0)-1),MIN(E$23-EM!$B$16+26,EM!$AF$16-EM!$B$16)),0)+
IF(ROUND(E$11,0)&gt;=28,OFFSET(EM!$B$17,ROW($A29)-ROW($A$26)+(ROW(EM!$C$46)-ROW(EM!$C$14))*(MATCH(E$22,EM!$B$6:$B$9,0)-1),MIN(E$23-EM!$B$16+27,EM!$AF$16-EM!$B$16)),0)+
IF(ROUND(E$11,0)&gt;=29,OFFSET(EM!$B$17,ROW($A29)-ROW($A$26)+(ROW(EM!$C$46)-ROW(EM!$C$14))*(MATCH(E$22,EM!$B$6:$B$9,0)-1),MIN(E$23-EM!$B$16+28,EM!$AF$16-EM!$B$16)),0)+
IF(ROUND(E$11,0)&gt;=30,OFFSET(EM!$B$17,ROW($A29)-ROW($A$26)+(ROW(EM!$C$46)-ROW(EM!$C$14))*(MATCH(E$22,EM!$B$6:$B$9,0)-1),MIN(E$23-EM!$B$16+29,EM!$AF$16-EM!$B$16)),0)+
IF(ROUND(E$11,0)&gt;=31,OFFSET(EM!$B$17,ROW($A29)-ROW($A$26)+(ROW(EM!$C$46)-ROW(EM!$C$14))*(MATCH(E$22,EM!$B$6:$B$9,0)-1),MIN(E$23-EM!$B$16+30,EM!$AF$16-EM!$B$16)),0)+
IF(ROUND(E$11,0)&gt;=32,OFFSET(EM!$B$17,ROW($A29)-ROW($A$26)+(ROW(EM!$C$46)-ROW(EM!$C$14))*(MATCH(E$22,EM!$B$6:$B$9,0)-1),MIN(E$23-EM!$B$16+31,EM!$AF$16-EM!$B$16)),0)+
IF(ROUND(E$11,0)&gt;=33,OFFSET(EM!$B$17,ROW($A29)-ROW($A$26)+(ROW(EM!$C$46)-ROW(EM!$C$14))*(MATCH(E$22,EM!$B$6:$B$9,0)-1),MIN(E$23-EM!$B$16+32,EM!$AF$16-EM!$B$16)),0)+
IF(ROUND(E$11,0)&gt;=34,OFFSET(EM!$B$17,ROW($A29)-ROW($A$26)+(ROW(EM!$C$46)-ROW(EM!$C$14))*(MATCH(E$22,EM!$B$6:$B$9,0)-1),MIN(E$23-EM!$B$16+33,EM!$AF$16-EM!$B$16)),0)+
IF(ROUND(E$11,0)&gt;=35,OFFSET(EM!$B$17,ROW($A29)-ROW($A$26)+(ROW(EM!$C$46)-ROW(EM!$C$14))*(MATCH(E$22,EM!$B$6:$B$9,0)-1),MIN(E$23-EM!$B$16+34,EM!$AF$16-EM!$B$16)),0)+
IF(ROUND(E$11,0)&gt;=36,OFFSET(EM!$B$17,ROW($A29)-ROW($A$26)+(ROW(EM!$C$46)-ROW(EM!$C$14))*(MATCH(E$22,EM!$B$6:$B$9,0)-1),MIN(E$23-EM!$B$16+35,EM!$AF$16-EM!$B$16)),0)+
IF(ROUND(E$11,0)&gt;=37,OFFSET(EM!$B$17,ROW($A29)-ROW($A$26)+(ROW(EM!$C$46)-ROW(EM!$C$14))*(MATCH(E$22,EM!$B$6:$B$9,0)-1),MIN(E$23-EM!$B$16+36,EM!$AF$16-EM!$B$16)),0)+
IF(ROUND(E$11,0)&gt;=38,OFFSET(EM!$B$17,ROW($A29)-ROW($A$26)+(ROW(EM!$C$46)-ROW(EM!$C$14))*(MATCH(E$22,EM!$B$6:$B$9,0)-1),MIN(E$23-EM!$B$16+37,EM!$AF$16-EM!$B$16)),0)+
IF(ROUND(E$11,0)&gt;=39,OFFSET(EM!$B$17,ROW($A29)-ROW($A$26)+(ROW(EM!$C$46)-ROW(EM!$C$14))*(MATCH(E$22,EM!$B$6:$B$9,0)-1),MIN(E$23-EM!$B$16+38,EM!$AF$16-EM!$B$16)),0)+
IF(ROUND(E$11,0)&gt;=40,OFFSET(EM!$B$17,ROW($A29)-ROW($A$26)+(ROW(EM!$C$46)-ROW(EM!$C$14))*(MATCH(E$22,EM!$B$6:$B$9,0)-1),MIN(E$23-EM!$B$16+39,EM!$AF$16-EM!$B$16)),0)
)/ROUND(E$11,0),NA()))</f>
        <v>5.2133691175945372E-2</v>
      </c>
      <c r="F29" s="2046">
        <f ca="1">IF(F$19=GPG!$A$28,IF(ROW(F29)-ROW(F$26)+1=MATCH(F$20,GPG!$A$5:$A$11,0),1,0),
IF(F$19=GPG!$A$29,
(IF(ROUND(F$11,0)&gt;=1,OFFSET(EM!$B$17,ROW($A29)-ROW($A$26)+(ROW(EM!$C$46)-ROW(EM!$C$14))*(MATCH(F$22,EM!$B$6:$B$9,0)-1),MIN(F$23-EM!$B$16,EM!$AF$16-EM!$B$16)),0)+
IF(ROUND(F$11,0)&gt;=2,OFFSET(EM!$B$17,ROW($A29)-ROW($A$26)+(ROW(EM!$C$46)-ROW(EM!$C$14))*(MATCH(F$22,EM!$B$6:$B$9,0)-1),MIN(F$23-EM!$B$16+1,EM!$AF$16-EM!$B$16)),0)+
IF(ROUND(F$11,0)&gt;=3,OFFSET(EM!$B$17,ROW($A29)-ROW($A$26)+(ROW(EM!$C$46)-ROW(EM!$C$14))*(MATCH(F$22,EM!$B$6:$B$9,0)-1),MIN(F$23-EM!$B$16+2,EM!$AF$16-EM!$B$16)),0)+
IF(ROUND(F$11,0)&gt;=4,OFFSET(EM!$B$17,ROW($A29)-ROW($A$26)+(ROW(EM!$C$46)-ROW(EM!$C$14))*(MATCH(F$22,EM!$B$6:$B$9,0)-1),MIN(F$23-EM!$B$16+3,EM!$AF$16-EM!$B$16)),0)+
IF(ROUND(F$11,0)&gt;=5,OFFSET(EM!$B$17,ROW($A29)-ROW($A$26)+(ROW(EM!$C$46)-ROW(EM!$C$14))*(MATCH(F$22,EM!$B$6:$B$9,0)-1),MIN(F$23-EM!$B$16+4,EM!$AF$16-EM!$B$16)),0)+
IF(ROUND(F$11,0)&gt;=6,OFFSET(EM!$B$17,ROW($A29)-ROW($A$26)+(ROW(EM!$C$46)-ROW(EM!$C$14))*(MATCH(F$22,EM!$B$6:$B$9,0)-1),MIN(F$23-EM!$B$16+5,EM!$AF$16-EM!$B$16)),0)+
IF(ROUND(F$11,0)&gt;=7,OFFSET(EM!$B$17,ROW($A29)-ROW($A$26)+(ROW(EM!$C$46)-ROW(EM!$C$14))*(MATCH(F$22,EM!$B$6:$B$9,0)-1),MIN(F$23-EM!$B$16+6,EM!$AF$16-EM!$B$16)),0)+
IF(ROUND(F$11,0)&gt;=8,OFFSET(EM!$B$17,ROW($A29)-ROW($A$26)+(ROW(EM!$C$46)-ROW(EM!$C$14))*(MATCH(F$22,EM!$B$6:$B$9,0)-1),MIN(F$23-EM!$B$16+7,EM!$AF$16-EM!$B$16)),0)+
IF(ROUND(F$11,0)&gt;=9,OFFSET(EM!$B$17,ROW($A29)-ROW($A$26)+(ROW(EM!$C$46)-ROW(EM!$C$14))*(MATCH(F$22,EM!$B$6:$B$9,0)-1),MIN(F$23-EM!$B$16+8,EM!$AF$16-EM!$B$16)),0)+
IF(ROUND(F$11,0)&gt;=10,OFFSET(EM!$B$17,ROW($A29)-ROW($A$26)+(ROW(EM!$C$46)-ROW(EM!$C$14))*(MATCH(F$22,EM!$B$6:$B$9,0)-1),MIN(F$23-EM!$B$16+9,EM!$AF$16-EM!$B$16)),0)+
IF(ROUND(F$11,0)&gt;=11,OFFSET(EM!$B$17,ROW($A29)-ROW($A$26)+(ROW(EM!$C$46)-ROW(EM!$C$14))*(MATCH(F$22,EM!$B$6:$B$9,0)-1),MIN(F$23-EM!$B$16+10,EM!$AF$16-EM!$B$16)),0)+
IF(ROUND(F$11,0)&gt;=12,OFFSET(EM!$B$17,ROW($A29)-ROW($A$26)+(ROW(EM!$C$46)-ROW(EM!$C$14))*(MATCH(F$22,EM!$B$6:$B$9,0)-1),MIN(F$23-EM!$B$16+11,EM!$AF$16-EM!$B$16)),0)+
IF(ROUND(F$11,0)&gt;=13,OFFSET(EM!$B$17,ROW($A29)-ROW($A$26)+(ROW(EM!$C$46)-ROW(EM!$C$14))*(MATCH(F$22,EM!$B$6:$B$9,0)-1),MIN(F$23-EM!$B$16+12,EM!$AF$16-EM!$B$16)),0)+
IF(ROUND(F$11,0)&gt;=14,OFFSET(EM!$B$17,ROW($A29)-ROW($A$26)+(ROW(EM!$C$46)-ROW(EM!$C$14))*(MATCH(F$22,EM!$B$6:$B$9,0)-1),MIN(F$23-EM!$B$16+13,EM!$AF$16-EM!$B$16)),0)+
IF(ROUND(F$11,0)&gt;=15,OFFSET(EM!$B$17,ROW($A29)-ROW($A$26)+(ROW(EM!$C$46)-ROW(EM!$C$14))*(MATCH(F$22,EM!$B$6:$B$9,0)-1),MIN(F$23-EM!$B$16+14,EM!$AF$16-EM!$B$16)),0)+
IF(ROUND(F$11,0)&gt;=16,OFFSET(EM!$B$17,ROW($A29)-ROW($A$26)+(ROW(EM!$C$46)-ROW(EM!$C$14))*(MATCH(F$22,EM!$B$6:$B$9,0)-1),MIN(F$23-EM!$B$16+15,EM!$AF$16-EM!$B$16)),0)+
IF(ROUND(F$11,0)&gt;=17,OFFSET(EM!$B$17,ROW($A29)-ROW($A$26)+(ROW(EM!$C$46)-ROW(EM!$C$14))*(MATCH(F$22,EM!$B$6:$B$9,0)-1),MIN(F$23-EM!$B$16+16,EM!$AF$16-EM!$B$16)),0)+
IF(ROUND(F$11,0)&gt;=18,OFFSET(EM!$B$17,ROW($A29)-ROW($A$26)+(ROW(EM!$C$46)-ROW(EM!$C$14))*(MATCH(F$22,EM!$B$6:$B$9,0)-1),MIN(F$23-EM!$B$16+17,EM!$AF$16-EM!$B$16)),0)+
IF(ROUND(F$11,0)&gt;=19,OFFSET(EM!$B$17,ROW($A29)-ROW($A$26)+(ROW(EM!$C$46)-ROW(EM!$C$14))*(MATCH(F$22,EM!$B$6:$B$9,0)-1),MIN(F$23-EM!$B$16+18,EM!$AF$16-EM!$B$16)),0)+
IF(ROUND(F$11,0)&gt;=20,OFFSET(EM!$B$17,ROW($A29)-ROW($A$26)+(ROW(EM!$C$46)-ROW(EM!$C$14))*(MATCH(F$22,EM!$B$6:$B$9,0)-1),MIN(F$23-EM!$B$16+19,EM!$AF$16-EM!$B$16)),0)+
IF(ROUND(F$11,0)&gt;=21,OFFSET(EM!$B$17,ROW($A29)-ROW($A$26)+(ROW(EM!$C$46)-ROW(EM!$C$14))*(MATCH(F$22,EM!$B$6:$B$9,0)-1),MIN(F$23-EM!$B$16+20,EM!$AF$16-EM!$B$16)),0)+
IF(ROUND(F$11,0)&gt;=22,OFFSET(EM!$B$17,ROW($A29)-ROW($A$26)+(ROW(EM!$C$46)-ROW(EM!$C$14))*(MATCH(F$22,EM!$B$6:$B$9,0)-1),MIN(F$23-EM!$B$16+21,EM!$AF$16-EM!$B$16)),0)+
IF(ROUND(F$11,0)&gt;=23,OFFSET(EM!$B$17,ROW($A29)-ROW($A$26)+(ROW(EM!$C$46)-ROW(EM!$C$14))*(MATCH(F$22,EM!$B$6:$B$9,0)-1),MIN(F$23-EM!$B$16+22,EM!$AF$16-EM!$B$16)),0)+
IF(ROUND(F$11,0)&gt;=24,OFFSET(EM!$B$17,ROW($A29)-ROW($A$26)+(ROW(EM!$C$46)-ROW(EM!$C$14))*(MATCH(F$22,EM!$B$6:$B$9,0)-1),MIN(F$23-EM!$B$16+23,EM!$AF$16-EM!$B$16)),0)+
IF(ROUND(F$11,0)&gt;=25,OFFSET(EM!$B$17,ROW($A29)-ROW($A$26)+(ROW(EM!$C$46)-ROW(EM!$C$14))*(MATCH(F$22,EM!$B$6:$B$9,0)-1),MIN(F$23-EM!$B$16+24,EM!$AF$16-EM!$B$16)),0)+
IF(ROUND(F$11,0)&gt;=26,OFFSET(EM!$B$17,ROW($A29)-ROW($A$26)+(ROW(EM!$C$46)-ROW(EM!$C$14))*(MATCH(F$22,EM!$B$6:$B$9,0)-1),MIN(F$23-EM!$B$16+25,EM!$AF$16-EM!$B$16)),0)+
IF(ROUND(F$11,0)&gt;=27,OFFSET(EM!$B$17,ROW($A29)-ROW($A$26)+(ROW(EM!$C$46)-ROW(EM!$C$14))*(MATCH(F$22,EM!$B$6:$B$9,0)-1),MIN(F$23-EM!$B$16+26,EM!$AF$16-EM!$B$16)),0)+
IF(ROUND(F$11,0)&gt;=28,OFFSET(EM!$B$17,ROW($A29)-ROW($A$26)+(ROW(EM!$C$46)-ROW(EM!$C$14))*(MATCH(F$22,EM!$B$6:$B$9,0)-1),MIN(F$23-EM!$B$16+27,EM!$AF$16-EM!$B$16)),0)+
IF(ROUND(F$11,0)&gt;=29,OFFSET(EM!$B$17,ROW($A29)-ROW($A$26)+(ROW(EM!$C$46)-ROW(EM!$C$14))*(MATCH(F$22,EM!$B$6:$B$9,0)-1),MIN(F$23-EM!$B$16+28,EM!$AF$16-EM!$B$16)),0)+
IF(ROUND(F$11,0)&gt;=30,OFFSET(EM!$B$17,ROW($A29)-ROW($A$26)+(ROW(EM!$C$46)-ROW(EM!$C$14))*(MATCH(F$22,EM!$B$6:$B$9,0)-1),MIN(F$23-EM!$B$16+29,EM!$AF$16-EM!$B$16)),0)+
IF(ROUND(F$11,0)&gt;=31,OFFSET(EM!$B$17,ROW($A29)-ROW($A$26)+(ROW(EM!$C$46)-ROW(EM!$C$14))*(MATCH(F$22,EM!$B$6:$B$9,0)-1),MIN(F$23-EM!$B$16+30,EM!$AF$16-EM!$B$16)),0)+
IF(ROUND(F$11,0)&gt;=32,OFFSET(EM!$B$17,ROW($A29)-ROW($A$26)+(ROW(EM!$C$46)-ROW(EM!$C$14))*(MATCH(F$22,EM!$B$6:$B$9,0)-1),MIN(F$23-EM!$B$16+31,EM!$AF$16-EM!$B$16)),0)+
IF(ROUND(F$11,0)&gt;=33,OFFSET(EM!$B$17,ROW($A29)-ROW($A$26)+(ROW(EM!$C$46)-ROW(EM!$C$14))*(MATCH(F$22,EM!$B$6:$B$9,0)-1),MIN(F$23-EM!$B$16+32,EM!$AF$16-EM!$B$16)),0)+
IF(ROUND(F$11,0)&gt;=34,OFFSET(EM!$B$17,ROW($A29)-ROW($A$26)+(ROW(EM!$C$46)-ROW(EM!$C$14))*(MATCH(F$22,EM!$B$6:$B$9,0)-1),MIN(F$23-EM!$B$16+33,EM!$AF$16-EM!$B$16)),0)+
IF(ROUND(F$11,0)&gt;=35,OFFSET(EM!$B$17,ROW($A29)-ROW($A$26)+(ROW(EM!$C$46)-ROW(EM!$C$14))*(MATCH(F$22,EM!$B$6:$B$9,0)-1),MIN(F$23-EM!$B$16+34,EM!$AF$16-EM!$B$16)),0)+
IF(ROUND(F$11,0)&gt;=36,OFFSET(EM!$B$17,ROW($A29)-ROW($A$26)+(ROW(EM!$C$46)-ROW(EM!$C$14))*(MATCH(F$22,EM!$B$6:$B$9,0)-1),MIN(F$23-EM!$B$16+35,EM!$AF$16-EM!$B$16)),0)+
IF(ROUND(F$11,0)&gt;=37,OFFSET(EM!$B$17,ROW($A29)-ROW($A$26)+(ROW(EM!$C$46)-ROW(EM!$C$14))*(MATCH(F$22,EM!$B$6:$B$9,0)-1),MIN(F$23-EM!$B$16+36,EM!$AF$16-EM!$B$16)),0)+
IF(ROUND(F$11,0)&gt;=38,OFFSET(EM!$B$17,ROW($A29)-ROW($A$26)+(ROW(EM!$C$46)-ROW(EM!$C$14))*(MATCH(F$22,EM!$B$6:$B$9,0)-1),MIN(F$23-EM!$B$16+37,EM!$AF$16-EM!$B$16)),0)+
IF(ROUND(F$11,0)&gt;=39,OFFSET(EM!$B$17,ROW($A29)-ROW($A$26)+(ROW(EM!$C$46)-ROW(EM!$C$14))*(MATCH(F$22,EM!$B$6:$B$9,0)-1),MIN(F$23-EM!$B$16+38,EM!$AF$16-EM!$B$16)),0)+
IF(ROUND(F$11,0)&gt;=40,OFFSET(EM!$B$17,ROW($A29)-ROW($A$26)+(ROW(EM!$C$46)-ROW(EM!$C$14))*(MATCH(F$22,EM!$B$6:$B$9,0)-1),MIN(F$23-EM!$B$16+39,EM!$AF$16-EM!$B$16)),0)
)/ROUND(F$11,0),NA()))</f>
        <v>3.4347831172193803E-2</v>
      </c>
      <c r="G29" s="2046">
        <f ca="1">IF(G$19=GPG!$A$28,IF(ROW(G29)-ROW(G$26)+1=MATCH(G$20,GPG!$A$5:$A$11,0),1,0),
IF(G$19=GPG!$A$29,
(IF(ROUND(G$11,0)&gt;=1,OFFSET(EM!$B$17,ROW($A29)-ROW($A$26)+(ROW(EM!$C$46)-ROW(EM!$C$14))*(MATCH(G$22,EM!$B$6:$B$9,0)-1),MIN(G$23-EM!$B$16,EM!$AF$16-EM!$B$16)),0)+
IF(ROUND(G$11,0)&gt;=2,OFFSET(EM!$B$17,ROW($A29)-ROW($A$26)+(ROW(EM!$C$46)-ROW(EM!$C$14))*(MATCH(G$22,EM!$B$6:$B$9,0)-1),MIN(G$23-EM!$B$16+1,EM!$AF$16-EM!$B$16)),0)+
IF(ROUND(G$11,0)&gt;=3,OFFSET(EM!$B$17,ROW($A29)-ROW($A$26)+(ROW(EM!$C$46)-ROW(EM!$C$14))*(MATCH(G$22,EM!$B$6:$B$9,0)-1),MIN(G$23-EM!$B$16+2,EM!$AF$16-EM!$B$16)),0)+
IF(ROUND(G$11,0)&gt;=4,OFFSET(EM!$B$17,ROW($A29)-ROW($A$26)+(ROW(EM!$C$46)-ROW(EM!$C$14))*(MATCH(G$22,EM!$B$6:$B$9,0)-1),MIN(G$23-EM!$B$16+3,EM!$AF$16-EM!$B$16)),0)+
IF(ROUND(G$11,0)&gt;=5,OFFSET(EM!$B$17,ROW($A29)-ROW($A$26)+(ROW(EM!$C$46)-ROW(EM!$C$14))*(MATCH(G$22,EM!$B$6:$B$9,0)-1),MIN(G$23-EM!$B$16+4,EM!$AF$16-EM!$B$16)),0)+
IF(ROUND(G$11,0)&gt;=6,OFFSET(EM!$B$17,ROW($A29)-ROW($A$26)+(ROW(EM!$C$46)-ROW(EM!$C$14))*(MATCH(G$22,EM!$B$6:$B$9,0)-1),MIN(G$23-EM!$B$16+5,EM!$AF$16-EM!$B$16)),0)+
IF(ROUND(G$11,0)&gt;=7,OFFSET(EM!$B$17,ROW($A29)-ROW($A$26)+(ROW(EM!$C$46)-ROW(EM!$C$14))*(MATCH(G$22,EM!$B$6:$B$9,0)-1),MIN(G$23-EM!$B$16+6,EM!$AF$16-EM!$B$16)),0)+
IF(ROUND(G$11,0)&gt;=8,OFFSET(EM!$B$17,ROW($A29)-ROW($A$26)+(ROW(EM!$C$46)-ROW(EM!$C$14))*(MATCH(G$22,EM!$B$6:$B$9,0)-1),MIN(G$23-EM!$B$16+7,EM!$AF$16-EM!$B$16)),0)+
IF(ROUND(G$11,0)&gt;=9,OFFSET(EM!$B$17,ROW($A29)-ROW($A$26)+(ROW(EM!$C$46)-ROW(EM!$C$14))*(MATCH(G$22,EM!$B$6:$B$9,0)-1),MIN(G$23-EM!$B$16+8,EM!$AF$16-EM!$B$16)),0)+
IF(ROUND(G$11,0)&gt;=10,OFFSET(EM!$B$17,ROW($A29)-ROW($A$26)+(ROW(EM!$C$46)-ROW(EM!$C$14))*(MATCH(G$22,EM!$B$6:$B$9,0)-1),MIN(G$23-EM!$B$16+9,EM!$AF$16-EM!$B$16)),0)+
IF(ROUND(G$11,0)&gt;=11,OFFSET(EM!$B$17,ROW($A29)-ROW($A$26)+(ROW(EM!$C$46)-ROW(EM!$C$14))*(MATCH(G$22,EM!$B$6:$B$9,0)-1),MIN(G$23-EM!$B$16+10,EM!$AF$16-EM!$B$16)),0)+
IF(ROUND(G$11,0)&gt;=12,OFFSET(EM!$B$17,ROW($A29)-ROW($A$26)+(ROW(EM!$C$46)-ROW(EM!$C$14))*(MATCH(G$22,EM!$B$6:$B$9,0)-1),MIN(G$23-EM!$B$16+11,EM!$AF$16-EM!$B$16)),0)+
IF(ROUND(G$11,0)&gt;=13,OFFSET(EM!$B$17,ROW($A29)-ROW($A$26)+(ROW(EM!$C$46)-ROW(EM!$C$14))*(MATCH(G$22,EM!$B$6:$B$9,0)-1),MIN(G$23-EM!$B$16+12,EM!$AF$16-EM!$B$16)),0)+
IF(ROUND(G$11,0)&gt;=14,OFFSET(EM!$B$17,ROW($A29)-ROW($A$26)+(ROW(EM!$C$46)-ROW(EM!$C$14))*(MATCH(G$22,EM!$B$6:$B$9,0)-1),MIN(G$23-EM!$B$16+13,EM!$AF$16-EM!$B$16)),0)+
IF(ROUND(G$11,0)&gt;=15,OFFSET(EM!$B$17,ROW($A29)-ROW($A$26)+(ROW(EM!$C$46)-ROW(EM!$C$14))*(MATCH(G$22,EM!$B$6:$B$9,0)-1),MIN(G$23-EM!$B$16+14,EM!$AF$16-EM!$B$16)),0)+
IF(ROUND(G$11,0)&gt;=16,OFFSET(EM!$B$17,ROW($A29)-ROW($A$26)+(ROW(EM!$C$46)-ROW(EM!$C$14))*(MATCH(G$22,EM!$B$6:$B$9,0)-1),MIN(G$23-EM!$B$16+15,EM!$AF$16-EM!$B$16)),0)+
IF(ROUND(G$11,0)&gt;=17,OFFSET(EM!$B$17,ROW($A29)-ROW($A$26)+(ROW(EM!$C$46)-ROW(EM!$C$14))*(MATCH(G$22,EM!$B$6:$B$9,0)-1),MIN(G$23-EM!$B$16+16,EM!$AF$16-EM!$B$16)),0)+
IF(ROUND(G$11,0)&gt;=18,OFFSET(EM!$B$17,ROW($A29)-ROW($A$26)+(ROW(EM!$C$46)-ROW(EM!$C$14))*(MATCH(G$22,EM!$B$6:$B$9,0)-1),MIN(G$23-EM!$B$16+17,EM!$AF$16-EM!$B$16)),0)+
IF(ROUND(G$11,0)&gt;=19,OFFSET(EM!$B$17,ROW($A29)-ROW($A$26)+(ROW(EM!$C$46)-ROW(EM!$C$14))*(MATCH(G$22,EM!$B$6:$B$9,0)-1),MIN(G$23-EM!$B$16+18,EM!$AF$16-EM!$B$16)),0)+
IF(ROUND(G$11,0)&gt;=20,OFFSET(EM!$B$17,ROW($A29)-ROW($A$26)+(ROW(EM!$C$46)-ROW(EM!$C$14))*(MATCH(G$22,EM!$B$6:$B$9,0)-1),MIN(G$23-EM!$B$16+19,EM!$AF$16-EM!$B$16)),0)+
IF(ROUND(G$11,0)&gt;=21,OFFSET(EM!$B$17,ROW($A29)-ROW($A$26)+(ROW(EM!$C$46)-ROW(EM!$C$14))*(MATCH(G$22,EM!$B$6:$B$9,0)-1),MIN(G$23-EM!$B$16+20,EM!$AF$16-EM!$B$16)),0)+
IF(ROUND(G$11,0)&gt;=22,OFFSET(EM!$B$17,ROW($A29)-ROW($A$26)+(ROW(EM!$C$46)-ROW(EM!$C$14))*(MATCH(G$22,EM!$B$6:$B$9,0)-1),MIN(G$23-EM!$B$16+21,EM!$AF$16-EM!$B$16)),0)+
IF(ROUND(G$11,0)&gt;=23,OFFSET(EM!$B$17,ROW($A29)-ROW($A$26)+(ROW(EM!$C$46)-ROW(EM!$C$14))*(MATCH(G$22,EM!$B$6:$B$9,0)-1),MIN(G$23-EM!$B$16+22,EM!$AF$16-EM!$B$16)),0)+
IF(ROUND(G$11,0)&gt;=24,OFFSET(EM!$B$17,ROW($A29)-ROW($A$26)+(ROW(EM!$C$46)-ROW(EM!$C$14))*(MATCH(G$22,EM!$B$6:$B$9,0)-1),MIN(G$23-EM!$B$16+23,EM!$AF$16-EM!$B$16)),0)+
IF(ROUND(G$11,0)&gt;=25,OFFSET(EM!$B$17,ROW($A29)-ROW($A$26)+(ROW(EM!$C$46)-ROW(EM!$C$14))*(MATCH(G$22,EM!$B$6:$B$9,0)-1),MIN(G$23-EM!$B$16+24,EM!$AF$16-EM!$B$16)),0)+
IF(ROUND(G$11,0)&gt;=26,OFFSET(EM!$B$17,ROW($A29)-ROW($A$26)+(ROW(EM!$C$46)-ROW(EM!$C$14))*(MATCH(G$22,EM!$B$6:$B$9,0)-1),MIN(G$23-EM!$B$16+25,EM!$AF$16-EM!$B$16)),0)+
IF(ROUND(G$11,0)&gt;=27,OFFSET(EM!$B$17,ROW($A29)-ROW($A$26)+(ROW(EM!$C$46)-ROW(EM!$C$14))*(MATCH(G$22,EM!$B$6:$B$9,0)-1),MIN(G$23-EM!$B$16+26,EM!$AF$16-EM!$B$16)),0)+
IF(ROUND(G$11,0)&gt;=28,OFFSET(EM!$B$17,ROW($A29)-ROW($A$26)+(ROW(EM!$C$46)-ROW(EM!$C$14))*(MATCH(G$22,EM!$B$6:$B$9,0)-1),MIN(G$23-EM!$B$16+27,EM!$AF$16-EM!$B$16)),0)+
IF(ROUND(G$11,0)&gt;=29,OFFSET(EM!$B$17,ROW($A29)-ROW($A$26)+(ROW(EM!$C$46)-ROW(EM!$C$14))*(MATCH(G$22,EM!$B$6:$B$9,0)-1),MIN(G$23-EM!$B$16+28,EM!$AF$16-EM!$B$16)),0)+
IF(ROUND(G$11,0)&gt;=30,OFFSET(EM!$B$17,ROW($A29)-ROW($A$26)+(ROW(EM!$C$46)-ROW(EM!$C$14))*(MATCH(G$22,EM!$B$6:$B$9,0)-1),MIN(G$23-EM!$B$16+29,EM!$AF$16-EM!$B$16)),0)+
IF(ROUND(G$11,0)&gt;=31,OFFSET(EM!$B$17,ROW($A29)-ROW($A$26)+(ROW(EM!$C$46)-ROW(EM!$C$14))*(MATCH(G$22,EM!$B$6:$B$9,0)-1),MIN(G$23-EM!$B$16+30,EM!$AF$16-EM!$B$16)),0)+
IF(ROUND(G$11,0)&gt;=32,OFFSET(EM!$B$17,ROW($A29)-ROW($A$26)+(ROW(EM!$C$46)-ROW(EM!$C$14))*(MATCH(G$22,EM!$B$6:$B$9,0)-1),MIN(G$23-EM!$B$16+31,EM!$AF$16-EM!$B$16)),0)+
IF(ROUND(G$11,0)&gt;=33,OFFSET(EM!$B$17,ROW($A29)-ROW($A$26)+(ROW(EM!$C$46)-ROW(EM!$C$14))*(MATCH(G$22,EM!$B$6:$B$9,0)-1),MIN(G$23-EM!$B$16+32,EM!$AF$16-EM!$B$16)),0)+
IF(ROUND(G$11,0)&gt;=34,OFFSET(EM!$B$17,ROW($A29)-ROW($A$26)+(ROW(EM!$C$46)-ROW(EM!$C$14))*(MATCH(G$22,EM!$B$6:$B$9,0)-1),MIN(G$23-EM!$B$16+33,EM!$AF$16-EM!$B$16)),0)+
IF(ROUND(G$11,0)&gt;=35,OFFSET(EM!$B$17,ROW($A29)-ROW($A$26)+(ROW(EM!$C$46)-ROW(EM!$C$14))*(MATCH(G$22,EM!$B$6:$B$9,0)-1),MIN(G$23-EM!$B$16+34,EM!$AF$16-EM!$B$16)),0)+
IF(ROUND(G$11,0)&gt;=36,OFFSET(EM!$B$17,ROW($A29)-ROW($A$26)+(ROW(EM!$C$46)-ROW(EM!$C$14))*(MATCH(G$22,EM!$B$6:$B$9,0)-1),MIN(G$23-EM!$B$16+35,EM!$AF$16-EM!$B$16)),0)+
IF(ROUND(G$11,0)&gt;=37,OFFSET(EM!$B$17,ROW($A29)-ROW($A$26)+(ROW(EM!$C$46)-ROW(EM!$C$14))*(MATCH(G$22,EM!$B$6:$B$9,0)-1),MIN(G$23-EM!$B$16+36,EM!$AF$16-EM!$B$16)),0)+
IF(ROUND(G$11,0)&gt;=38,OFFSET(EM!$B$17,ROW($A29)-ROW($A$26)+(ROW(EM!$C$46)-ROW(EM!$C$14))*(MATCH(G$22,EM!$B$6:$B$9,0)-1),MIN(G$23-EM!$B$16+37,EM!$AF$16-EM!$B$16)),0)+
IF(ROUND(G$11,0)&gt;=39,OFFSET(EM!$B$17,ROW($A29)-ROW($A$26)+(ROW(EM!$C$46)-ROW(EM!$C$14))*(MATCH(G$22,EM!$B$6:$B$9,0)-1),MIN(G$23-EM!$B$16+38,EM!$AF$16-EM!$B$16)),0)+
IF(ROUND(G$11,0)&gt;=40,OFFSET(EM!$B$17,ROW($A29)-ROW($A$26)+(ROW(EM!$C$46)-ROW(EM!$C$14))*(MATCH(G$22,EM!$B$6:$B$9,0)-1),MIN(G$23-EM!$B$16+39,EM!$AF$16-EM!$B$16)),0)
)/ROUND(G$11,0),NA()))</f>
        <v>4.9430899229533233E-2</v>
      </c>
      <c r="H29" s="2046">
        <f ca="1">IF(H$19=GPG!$A$28,IF(ROW(H29)-ROW(H$26)+1=MATCH(H$20,GPG!$A$5:$A$11,0),1,0),
IF(H$19=GPG!$A$29,
(IF(ROUND(H$11,0)&gt;=1,OFFSET(EM!$B$17,ROW($A29)-ROW($A$26)+(ROW(EM!$C$46)-ROW(EM!$C$14))*(MATCH(H$22,EM!$B$6:$B$9,0)-1),MIN(H$23-EM!$B$16,EM!$AF$16-EM!$B$16)),0)+
IF(ROUND(H$11,0)&gt;=2,OFFSET(EM!$B$17,ROW($A29)-ROW($A$26)+(ROW(EM!$C$46)-ROW(EM!$C$14))*(MATCH(H$22,EM!$B$6:$B$9,0)-1),MIN(H$23-EM!$B$16+1,EM!$AF$16-EM!$B$16)),0)+
IF(ROUND(H$11,0)&gt;=3,OFFSET(EM!$B$17,ROW($A29)-ROW($A$26)+(ROW(EM!$C$46)-ROW(EM!$C$14))*(MATCH(H$22,EM!$B$6:$B$9,0)-1),MIN(H$23-EM!$B$16+2,EM!$AF$16-EM!$B$16)),0)+
IF(ROUND(H$11,0)&gt;=4,OFFSET(EM!$B$17,ROW($A29)-ROW($A$26)+(ROW(EM!$C$46)-ROW(EM!$C$14))*(MATCH(H$22,EM!$B$6:$B$9,0)-1),MIN(H$23-EM!$B$16+3,EM!$AF$16-EM!$B$16)),0)+
IF(ROUND(H$11,0)&gt;=5,OFFSET(EM!$B$17,ROW($A29)-ROW($A$26)+(ROW(EM!$C$46)-ROW(EM!$C$14))*(MATCH(H$22,EM!$B$6:$B$9,0)-1),MIN(H$23-EM!$B$16+4,EM!$AF$16-EM!$B$16)),0)+
IF(ROUND(H$11,0)&gt;=6,OFFSET(EM!$B$17,ROW($A29)-ROW($A$26)+(ROW(EM!$C$46)-ROW(EM!$C$14))*(MATCH(H$22,EM!$B$6:$B$9,0)-1),MIN(H$23-EM!$B$16+5,EM!$AF$16-EM!$B$16)),0)+
IF(ROUND(H$11,0)&gt;=7,OFFSET(EM!$B$17,ROW($A29)-ROW($A$26)+(ROW(EM!$C$46)-ROW(EM!$C$14))*(MATCH(H$22,EM!$B$6:$B$9,0)-1),MIN(H$23-EM!$B$16+6,EM!$AF$16-EM!$B$16)),0)+
IF(ROUND(H$11,0)&gt;=8,OFFSET(EM!$B$17,ROW($A29)-ROW($A$26)+(ROW(EM!$C$46)-ROW(EM!$C$14))*(MATCH(H$22,EM!$B$6:$B$9,0)-1),MIN(H$23-EM!$B$16+7,EM!$AF$16-EM!$B$16)),0)+
IF(ROUND(H$11,0)&gt;=9,OFFSET(EM!$B$17,ROW($A29)-ROW($A$26)+(ROW(EM!$C$46)-ROW(EM!$C$14))*(MATCH(H$22,EM!$B$6:$B$9,0)-1),MIN(H$23-EM!$B$16+8,EM!$AF$16-EM!$B$16)),0)+
IF(ROUND(H$11,0)&gt;=10,OFFSET(EM!$B$17,ROW($A29)-ROW($A$26)+(ROW(EM!$C$46)-ROW(EM!$C$14))*(MATCH(H$22,EM!$B$6:$B$9,0)-1),MIN(H$23-EM!$B$16+9,EM!$AF$16-EM!$B$16)),0)+
IF(ROUND(H$11,0)&gt;=11,OFFSET(EM!$B$17,ROW($A29)-ROW($A$26)+(ROW(EM!$C$46)-ROW(EM!$C$14))*(MATCH(H$22,EM!$B$6:$B$9,0)-1),MIN(H$23-EM!$B$16+10,EM!$AF$16-EM!$B$16)),0)+
IF(ROUND(H$11,0)&gt;=12,OFFSET(EM!$B$17,ROW($A29)-ROW($A$26)+(ROW(EM!$C$46)-ROW(EM!$C$14))*(MATCH(H$22,EM!$B$6:$B$9,0)-1),MIN(H$23-EM!$B$16+11,EM!$AF$16-EM!$B$16)),0)+
IF(ROUND(H$11,0)&gt;=13,OFFSET(EM!$B$17,ROW($A29)-ROW($A$26)+(ROW(EM!$C$46)-ROW(EM!$C$14))*(MATCH(H$22,EM!$B$6:$B$9,0)-1),MIN(H$23-EM!$B$16+12,EM!$AF$16-EM!$B$16)),0)+
IF(ROUND(H$11,0)&gt;=14,OFFSET(EM!$B$17,ROW($A29)-ROW($A$26)+(ROW(EM!$C$46)-ROW(EM!$C$14))*(MATCH(H$22,EM!$B$6:$B$9,0)-1),MIN(H$23-EM!$B$16+13,EM!$AF$16-EM!$B$16)),0)+
IF(ROUND(H$11,0)&gt;=15,OFFSET(EM!$B$17,ROW($A29)-ROW($A$26)+(ROW(EM!$C$46)-ROW(EM!$C$14))*(MATCH(H$22,EM!$B$6:$B$9,0)-1),MIN(H$23-EM!$B$16+14,EM!$AF$16-EM!$B$16)),0)+
IF(ROUND(H$11,0)&gt;=16,OFFSET(EM!$B$17,ROW($A29)-ROW($A$26)+(ROW(EM!$C$46)-ROW(EM!$C$14))*(MATCH(H$22,EM!$B$6:$B$9,0)-1),MIN(H$23-EM!$B$16+15,EM!$AF$16-EM!$B$16)),0)+
IF(ROUND(H$11,0)&gt;=17,OFFSET(EM!$B$17,ROW($A29)-ROW($A$26)+(ROW(EM!$C$46)-ROW(EM!$C$14))*(MATCH(H$22,EM!$B$6:$B$9,0)-1),MIN(H$23-EM!$B$16+16,EM!$AF$16-EM!$B$16)),0)+
IF(ROUND(H$11,0)&gt;=18,OFFSET(EM!$B$17,ROW($A29)-ROW($A$26)+(ROW(EM!$C$46)-ROW(EM!$C$14))*(MATCH(H$22,EM!$B$6:$B$9,0)-1),MIN(H$23-EM!$B$16+17,EM!$AF$16-EM!$B$16)),0)+
IF(ROUND(H$11,0)&gt;=19,OFFSET(EM!$B$17,ROW($A29)-ROW($A$26)+(ROW(EM!$C$46)-ROW(EM!$C$14))*(MATCH(H$22,EM!$B$6:$B$9,0)-1),MIN(H$23-EM!$B$16+18,EM!$AF$16-EM!$B$16)),0)+
IF(ROUND(H$11,0)&gt;=20,OFFSET(EM!$B$17,ROW($A29)-ROW($A$26)+(ROW(EM!$C$46)-ROW(EM!$C$14))*(MATCH(H$22,EM!$B$6:$B$9,0)-1),MIN(H$23-EM!$B$16+19,EM!$AF$16-EM!$B$16)),0)+
IF(ROUND(H$11,0)&gt;=21,OFFSET(EM!$B$17,ROW($A29)-ROW($A$26)+(ROW(EM!$C$46)-ROW(EM!$C$14))*(MATCH(H$22,EM!$B$6:$B$9,0)-1),MIN(H$23-EM!$B$16+20,EM!$AF$16-EM!$B$16)),0)+
IF(ROUND(H$11,0)&gt;=22,OFFSET(EM!$B$17,ROW($A29)-ROW($A$26)+(ROW(EM!$C$46)-ROW(EM!$C$14))*(MATCH(H$22,EM!$B$6:$B$9,0)-1),MIN(H$23-EM!$B$16+21,EM!$AF$16-EM!$B$16)),0)+
IF(ROUND(H$11,0)&gt;=23,OFFSET(EM!$B$17,ROW($A29)-ROW($A$26)+(ROW(EM!$C$46)-ROW(EM!$C$14))*(MATCH(H$22,EM!$B$6:$B$9,0)-1),MIN(H$23-EM!$B$16+22,EM!$AF$16-EM!$B$16)),0)+
IF(ROUND(H$11,0)&gt;=24,OFFSET(EM!$B$17,ROW($A29)-ROW($A$26)+(ROW(EM!$C$46)-ROW(EM!$C$14))*(MATCH(H$22,EM!$B$6:$B$9,0)-1),MIN(H$23-EM!$B$16+23,EM!$AF$16-EM!$B$16)),0)+
IF(ROUND(H$11,0)&gt;=25,OFFSET(EM!$B$17,ROW($A29)-ROW($A$26)+(ROW(EM!$C$46)-ROW(EM!$C$14))*(MATCH(H$22,EM!$B$6:$B$9,0)-1),MIN(H$23-EM!$B$16+24,EM!$AF$16-EM!$B$16)),0)+
IF(ROUND(H$11,0)&gt;=26,OFFSET(EM!$B$17,ROW($A29)-ROW($A$26)+(ROW(EM!$C$46)-ROW(EM!$C$14))*(MATCH(H$22,EM!$B$6:$B$9,0)-1),MIN(H$23-EM!$B$16+25,EM!$AF$16-EM!$B$16)),0)+
IF(ROUND(H$11,0)&gt;=27,OFFSET(EM!$B$17,ROW($A29)-ROW($A$26)+(ROW(EM!$C$46)-ROW(EM!$C$14))*(MATCH(H$22,EM!$B$6:$B$9,0)-1),MIN(H$23-EM!$B$16+26,EM!$AF$16-EM!$B$16)),0)+
IF(ROUND(H$11,0)&gt;=28,OFFSET(EM!$B$17,ROW($A29)-ROW($A$26)+(ROW(EM!$C$46)-ROW(EM!$C$14))*(MATCH(H$22,EM!$B$6:$B$9,0)-1),MIN(H$23-EM!$B$16+27,EM!$AF$16-EM!$B$16)),0)+
IF(ROUND(H$11,0)&gt;=29,OFFSET(EM!$B$17,ROW($A29)-ROW($A$26)+(ROW(EM!$C$46)-ROW(EM!$C$14))*(MATCH(H$22,EM!$B$6:$B$9,0)-1),MIN(H$23-EM!$B$16+28,EM!$AF$16-EM!$B$16)),0)+
IF(ROUND(H$11,0)&gt;=30,OFFSET(EM!$B$17,ROW($A29)-ROW($A$26)+(ROW(EM!$C$46)-ROW(EM!$C$14))*(MATCH(H$22,EM!$B$6:$B$9,0)-1),MIN(H$23-EM!$B$16+29,EM!$AF$16-EM!$B$16)),0)+
IF(ROUND(H$11,0)&gt;=31,OFFSET(EM!$B$17,ROW($A29)-ROW($A$26)+(ROW(EM!$C$46)-ROW(EM!$C$14))*(MATCH(H$22,EM!$B$6:$B$9,0)-1),MIN(H$23-EM!$B$16+30,EM!$AF$16-EM!$B$16)),0)+
IF(ROUND(H$11,0)&gt;=32,OFFSET(EM!$B$17,ROW($A29)-ROW($A$26)+(ROW(EM!$C$46)-ROW(EM!$C$14))*(MATCH(H$22,EM!$B$6:$B$9,0)-1),MIN(H$23-EM!$B$16+31,EM!$AF$16-EM!$B$16)),0)+
IF(ROUND(H$11,0)&gt;=33,OFFSET(EM!$B$17,ROW($A29)-ROW($A$26)+(ROW(EM!$C$46)-ROW(EM!$C$14))*(MATCH(H$22,EM!$B$6:$B$9,0)-1),MIN(H$23-EM!$B$16+32,EM!$AF$16-EM!$B$16)),0)+
IF(ROUND(H$11,0)&gt;=34,OFFSET(EM!$B$17,ROW($A29)-ROW($A$26)+(ROW(EM!$C$46)-ROW(EM!$C$14))*(MATCH(H$22,EM!$B$6:$B$9,0)-1),MIN(H$23-EM!$B$16+33,EM!$AF$16-EM!$B$16)),0)+
IF(ROUND(H$11,0)&gt;=35,OFFSET(EM!$B$17,ROW($A29)-ROW($A$26)+(ROW(EM!$C$46)-ROW(EM!$C$14))*(MATCH(H$22,EM!$B$6:$B$9,0)-1),MIN(H$23-EM!$B$16+34,EM!$AF$16-EM!$B$16)),0)+
IF(ROUND(H$11,0)&gt;=36,OFFSET(EM!$B$17,ROW($A29)-ROW($A$26)+(ROW(EM!$C$46)-ROW(EM!$C$14))*(MATCH(H$22,EM!$B$6:$B$9,0)-1),MIN(H$23-EM!$B$16+35,EM!$AF$16-EM!$B$16)),0)+
IF(ROUND(H$11,0)&gt;=37,OFFSET(EM!$B$17,ROW($A29)-ROW($A$26)+(ROW(EM!$C$46)-ROW(EM!$C$14))*(MATCH(H$22,EM!$B$6:$B$9,0)-1),MIN(H$23-EM!$B$16+36,EM!$AF$16-EM!$B$16)),0)+
IF(ROUND(H$11,0)&gt;=38,OFFSET(EM!$B$17,ROW($A29)-ROW($A$26)+(ROW(EM!$C$46)-ROW(EM!$C$14))*(MATCH(H$22,EM!$B$6:$B$9,0)-1),MIN(H$23-EM!$B$16+37,EM!$AF$16-EM!$B$16)),0)+
IF(ROUND(H$11,0)&gt;=39,OFFSET(EM!$B$17,ROW($A29)-ROW($A$26)+(ROW(EM!$C$46)-ROW(EM!$C$14))*(MATCH(H$22,EM!$B$6:$B$9,0)-1),MIN(H$23-EM!$B$16+38,EM!$AF$16-EM!$B$16)),0)+
IF(ROUND(H$11,0)&gt;=40,OFFSET(EM!$B$17,ROW($A29)-ROW($A$26)+(ROW(EM!$C$46)-ROW(EM!$C$14))*(MATCH(H$22,EM!$B$6:$B$9,0)-1),MIN(H$23-EM!$B$16+39,EM!$AF$16-EM!$B$16)),0)
)/ROUND(H$11,0),NA()))</f>
        <v>3.4347831172193803E-2</v>
      </c>
      <c r="I29" s="2046">
        <f ca="1">IF(I$19=GPG!$A$28,IF(ROW(I29)-ROW(I$26)+1=MATCH(I$20,GPG!$A$5:$A$11,0),1,0),
IF(I$19=GPG!$A$29,
(IF(ROUND(I$11,0)&gt;=1,OFFSET(EM!$B$17,ROW($A29)-ROW($A$26)+(ROW(EM!$C$46)-ROW(EM!$C$14))*(MATCH(I$22,EM!$B$6:$B$9,0)-1),MIN(I$23-EM!$B$16,EM!$AF$16-EM!$B$16)),0)+
IF(ROUND(I$11,0)&gt;=2,OFFSET(EM!$B$17,ROW($A29)-ROW($A$26)+(ROW(EM!$C$46)-ROW(EM!$C$14))*(MATCH(I$22,EM!$B$6:$B$9,0)-1),MIN(I$23-EM!$B$16+1,EM!$AF$16-EM!$B$16)),0)+
IF(ROUND(I$11,0)&gt;=3,OFFSET(EM!$B$17,ROW($A29)-ROW($A$26)+(ROW(EM!$C$46)-ROW(EM!$C$14))*(MATCH(I$22,EM!$B$6:$B$9,0)-1),MIN(I$23-EM!$B$16+2,EM!$AF$16-EM!$B$16)),0)+
IF(ROUND(I$11,0)&gt;=4,OFFSET(EM!$B$17,ROW($A29)-ROW($A$26)+(ROW(EM!$C$46)-ROW(EM!$C$14))*(MATCH(I$22,EM!$B$6:$B$9,0)-1),MIN(I$23-EM!$B$16+3,EM!$AF$16-EM!$B$16)),0)+
IF(ROUND(I$11,0)&gt;=5,OFFSET(EM!$B$17,ROW($A29)-ROW($A$26)+(ROW(EM!$C$46)-ROW(EM!$C$14))*(MATCH(I$22,EM!$B$6:$B$9,0)-1),MIN(I$23-EM!$B$16+4,EM!$AF$16-EM!$B$16)),0)+
IF(ROUND(I$11,0)&gt;=6,OFFSET(EM!$B$17,ROW($A29)-ROW($A$26)+(ROW(EM!$C$46)-ROW(EM!$C$14))*(MATCH(I$22,EM!$B$6:$B$9,0)-1),MIN(I$23-EM!$B$16+5,EM!$AF$16-EM!$B$16)),0)+
IF(ROUND(I$11,0)&gt;=7,OFFSET(EM!$B$17,ROW($A29)-ROW($A$26)+(ROW(EM!$C$46)-ROW(EM!$C$14))*(MATCH(I$22,EM!$B$6:$B$9,0)-1),MIN(I$23-EM!$B$16+6,EM!$AF$16-EM!$B$16)),0)+
IF(ROUND(I$11,0)&gt;=8,OFFSET(EM!$B$17,ROW($A29)-ROW($A$26)+(ROW(EM!$C$46)-ROW(EM!$C$14))*(MATCH(I$22,EM!$B$6:$B$9,0)-1),MIN(I$23-EM!$B$16+7,EM!$AF$16-EM!$B$16)),0)+
IF(ROUND(I$11,0)&gt;=9,OFFSET(EM!$B$17,ROW($A29)-ROW($A$26)+(ROW(EM!$C$46)-ROW(EM!$C$14))*(MATCH(I$22,EM!$B$6:$B$9,0)-1),MIN(I$23-EM!$B$16+8,EM!$AF$16-EM!$B$16)),0)+
IF(ROUND(I$11,0)&gt;=10,OFFSET(EM!$B$17,ROW($A29)-ROW($A$26)+(ROW(EM!$C$46)-ROW(EM!$C$14))*(MATCH(I$22,EM!$B$6:$B$9,0)-1),MIN(I$23-EM!$B$16+9,EM!$AF$16-EM!$B$16)),0)+
IF(ROUND(I$11,0)&gt;=11,OFFSET(EM!$B$17,ROW($A29)-ROW($A$26)+(ROW(EM!$C$46)-ROW(EM!$C$14))*(MATCH(I$22,EM!$B$6:$B$9,0)-1),MIN(I$23-EM!$B$16+10,EM!$AF$16-EM!$B$16)),0)+
IF(ROUND(I$11,0)&gt;=12,OFFSET(EM!$B$17,ROW($A29)-ROW($A$26)+(ROW(EM!$C$46)-ROW(EM!$C$14))*(MATCH(I$22,EM!$B$6:$B$9,0)-1),MIN(I$23-EM!$B$16+11,EM!$AF$16-EM!$B$16)),0)+
IF(ROUND(I$11,0)&gt;=13,OFFSET(EM!$B$17,ROW($A29)-ROW($A$26)+(ROW(EM!$C$46)-ROW(EM!$C$14))*(MATCH(I$22,EM!$B$6:$B$9,0)-1),MIN(I$23-EM!$B$16+12,EM!$AF$16-EM!$B$16)),0)+
IF(ROUND(I$11,0)&gt;=14,OFFSET(EM!$B$17,ROW($A29)-ROW($A$26)+(ROW(EM!$C$46)-ROW(EM!$C$14))*(MATCH(I$22,EM!$B$6:$B$9,0)-1),MIN(I$23-EM!$B$16+13,EM!$AF$16-EM!$B$16)),0)+
IF(ROUND(I$11,0)&gt;=15,OFFSET(EM!$B$17,ROW($A29)-ROW($A$26)+(ROW(EM!$C$46)-ROW(EM!$C$14))*(MATCH(I$22,EM!$B$6:$B$9,0)-1),MIN(I$23-EM!$B$16+14,EM!$AF$16-EM!$B$16)),0)+
IF(ROUND(I$11,0)&gt;=16,OFFSET(EM!$B$17,ROW($A29)-ROW($A$26)+(ROW(EM!$C$46)-ROW(EM!$C$14))*(MATCH(I$22,EM!$B$6:$B$9,0)-1),MIN(I$23-EM!$B$16+15,EM!$AF$16-EM!$B$16)),0)+
IF(ROUND(I$11,0)&gt;=17,OFFSET(EM!$B$17,ROW($A29)-ROW($A$26)+(ROW(EM!$C$46)-ROW(EM!$C$14))*(MATCH(I$22,EM!$B$6:$B$9,0)-1),MIN(I$23-EM!$B$16+16,EM!$AF$16-EM!$B$16)),0)+
IF(ROUND(I$11,0)&gt;=18,OFFSET(EM!$B$17,ROW($A29)-ROW($A$26)+(ROW(EM!$C$46)-ROW(EM!$C$14))*(MATCH(I$22,EM!$B$6:$B$9,0)-1),MIN(I$23-EM!$B$16+17,EM!$AF$16-EM!$B$16)),0)+
IF(ROUND(I$11,0)&gt;=19,OFFSET(EM!$B$17,ROW($A29)-ROW($A$26)+(ROW(EM!$C$46)-ROW(EM!$C$14))*(MATCH(I$22,EM!$B$6:$B$9,0)-1),MIN(I$23-EM!$B$16+18,EM!$AF$16-EM!$B$16)),0)+
IF(ROUND(I$11,0)&gt;=20,OFFSET(EM!$B$17,ROW($A29)-ROW($A$26)+(ROW(EM!$C$46)-ROW(EM!$C$14))*(MATCH(I$22,EM!$B$6:$B$9,0)-1),MIN(I$23-EM!$B$16+19,EM!$AF$16-EM!$B$16)),0)+
IF(ROUND(I$11,0)&gt;=21,OFFSET(EM!$B$17,ROW($A29)-ROW($A$26)+(ROW(EM!$C$46)-ROW(EM!$C$14))*(MATCH(I$22,EM!$B$6:$B$9,0)-1),MIN(I$23-EM!$B$16+20,EM!$AF$16-EM!$B$16)),0)+
IF(ROUND(I$11,0)&gt;=22,OFFSET(EM!$B$17,ROW($A29)-ROW($A$26)+(ROW(EM!$C$46)-ROW(EM!$C$14))*(MATCH(I$22,EM!$B$6:$B$9,0)-1),MIN(I$23-EM!$B$16+21,EM!$AF$16-EM!$B$16)),0)+
IF(ROUND(I$11,0)&gt;=23,OFFSET(EM!$B$17,ROW($A29)-ROW($A$26)+(ROW(EM!$C$46)-ROW(EM!$C$14))*(MATCH(I$22,EM!$B$6:$B$9,0)-1),MIN(I$23-EM!$B$16+22,EM!$AF$16-EM!$B$16)),0)+
IF(ROUND(I$11,0)&gt;=24,OFFSET(EM!$B$17,ROW($A29)-ROW($A$26)+(ROW(EM!$C$46)-ROW(EM!$C$14))*(MATCH(I$22,EM!$B$6:$B$9,0)-1),MIN(I$23-EM!$B$16+23,EM!$AF$16-EM!$B$16)),0)+
IF(ROUND(I$11,0)&gt;=25,OFFSET(EM!$B$17,ROW($A29)-ROW($A$26)+(ROW(EM!$C$46)-ROW(EM!$C$14))*(MATCH(I$22,EM!$B$6:$B$9,0)-1),MIN(I$23-EM!$B$16+24,EM!$AF$16-EM!$B$16)),0)+
IF(ROUND(I$11,0)&gt;=26,OFFSET(EM!$B$17,ROW($A29)-ROW($A$26)+(ROW(EM!$C$46)-ROW(EM!$C$14))*(MATCH(I$22,EM!$B$6:$B$9,0)-1),MIN(I$23-EM!$B$16+25,EM!$AF$16-EM!$B$16)),0)+
IF(ROUND(I$11,0)&gt;=27,OFFSET(EM!$B$17,ROW($A29)-ROW($A$26)+(ROW(EM!$C$46)-ROW(EM!$C$14))*(MATCH(I$22,EM!$B$6:$B$9,0)-1),MIN(I$23-EM!$B$16+26,EM!$AF$16-EM!$B$16)),0)+
IF(ROUND(I$11,0)&gt;=28,OFFSET(EM!$B$17,ROW($A29)-ROW($A$26)+(ROW(EM!$C$46)-ROW(EM!$C$14))*(MATCH(I$22,EM!$B$6:$B$9,0)-1),MIN(I$23-EM!$B$16+27,EM!$AF$16-EM!$B$16)),0)+
IF(ROUND(I$11,0)&gt;=29,OFFSET(EM!$B$17,ROW($A29)-ROW($A$26)+(ROW(EM!$C$46)-ROW(EM!$C$14))*(MATCH(I$22,EM!$B$6:$B$9,0)-1),MIN(I$23-EM!$B$16+28,EM!$AF$16-EM!$B$16)),0)+
IF(ROUND(I$11,0)&gt;=30,OFFSET(EM!$B$17,ROW($A29)-ROW($A$26)+(ROW(EM!$C$46)-ROW(EM!$C$14))*(MATCH(I$22,EM!$B$6:$B$9,0)-1),MIN(I$23-EM!$B$16+29,EM!$AF$16-EM!$B$16)),0)+
IF(ROUND(I$11,0)&gt;=31,OFFSET(EM!$B$17,ROW($A29)-ROW($A$26)+(ROW(EM!$C$46)-ROW(EM!$C$14))*(MATCH(I$22,EM!$B$6:$B$9,0)-1),MIN(I$23-EM!$B$16+30,EM!$AF$16-EM!$B$16)),0)+
IF(ROUND(I$11,0)&gt;=32,OFFSET(EM!$B$17,ROW($A29)-ROW($A$26)+(ROW(EM!$C$46)-ROW(EM!$C$14))*(MATCH(I$22,EM!$B$6:$B$9,0)-1),MIN(I$23-EM!$B$16+31,EM!$AF$16-EM!$B$16)),0)+
IF(ROUND(I$11,0)&gt;=33,OFFSET(EM!$B$17,ROW($A29)-ROW($A$26)+(ROW(EM!$C$46)-ROW(EM!$C$14))*(MATCH(I$22,EM!$B$6:$B$9,0)-1),MIN(I$23-EM!$B$16+32,EM!$AF$16-EM!$B$16)),0)+
IF(ROUND(I$11,0)&gt;=34,OFFSET(EM!$B$17,ROW($A29)-ROW($A$26)+(ROW(EM!$C$46)-ROW(EM!$C$14))*(MATCH(I$22,EM!$B$6:$B$9,0)-1),MIN(I$23-EM!$B$16+33,EM!$AF$16-EM!$B$16)),0)+
IF(ROUND(I$11,0)&gt;=35,OFFSET(EM!$B$17,ROW($A29)-ROW($A$26)+(ROW(EM!$C$46)-ROW(EM!$C$14))*(MATCH(I$22,EM!$B$6:$B$9,0)-1),MIN(I$23-EM!$B$16+34,EM!$AF$16-EM!$B$16)),0)+
IF(ROUND(I$11,0)&gt;=36,OFFSET(EM!$B$17,ROW($A29)-ROW($A$26)+(ROW(EM!$C$46)-ROW(EM!$C$14))*(MATCH(I$22,EM!$B$6:$B$9,0)-1),MIN(I$23-EM!$B$16+35,EM!$AF$16-EM!$B$16)),0)+
IF(ROUND(I$11,0)&gt;=37,OFFSET(EM!$B$17,ROW($A29)-ROW($A$26)+(ROW(EM!$C$46)-ROW(EM!$C$14))*(MATCH(I$22,EM!$B$6:$B$9,0)-1),MIN(I$23-EM!$B$16+36,EM!$AF$16-EM!$B$16)),0)+
IF(ROUND(I$11,0)&gt;=38,OFFSET(EM!$B$17,ROW($A29)-ROW($A$26)+(ROW(EM!$C$46)-ROW(EM!$C$14))*(MATCH(I$22,EM!$B$6:$B$9,0)-1),MIN(I$23-EM!$B$16+37,EM!$AF$16-EM!$B$16)),0)+
IF(ROUND(I$11,0)&gt;=39,OFFSET(EM!$B$17,ROW($A29)-ROW($A$26)+(ROW(EM!$C$46)-ROW(EM!$C$14))*(MATCH(I$22,EM!$B$6:$B$9,0)-1),MIN(I$23-EM!$B$16+38,EM!$AF$16-EM!$B$16)),0)+
IF(ROUND(I$11,0)&gt;=40,OFFSET(EM!$B$17,ROW($A29)-ROW($A$26)+(ROW(EM!$C$46)-ROW(EM!$C$14))*(MATCH(I$22,EM!$B$6:$B$9,0)-1),MIN(I$23-EM!$B$16+39,EM!$AF$16-EM!$B$16)),0)
)/ROUND(I$11,0),NA()))</f>
        <v>4.9430899229533233E-2</v>
      </c>
      <c r="J29" s="2046">
        <f ca="1">IF(J$19=GPG!$A$28,IF(ROW(J29)-ROW(J$26)+1=MATCH(J$20,GPG!$A$5:$A$11,0),1,0),
IF(J$19=GPG!$A$29,
(IF(ROUND(J$11,0)&gt;=1,OFFSET(EM!$B$17,ROW($A29)-ROW($A$26)+(ROW(EM!$C$46)-ROW(EM!$C$14))*(MATCH(J$22,EM!$B$6:$B$9,0)-1),MIN(J$23-EM!$B$16,EM!$AF$16-EM!$B$16)),0)+
IF(ROUND(J$11,0)&gt;=2,OFFSET(EM!$B$17,ROW($A29)-ROW($A$26)+(ROW(EM!$C$46)-ROW(EM!$C$14))*(MATCH(J$22,EM!$B$6:$B$9,0)-1),MIN(J$23-EM!$B$16+1,EM!$AF$16-EM!$B$16)),0)+
IF(ROUND(J$11,0)&gt;=3,OFFSET(EM!$B$17,ROW($A29)-ROW($A$26)+(ROW(EM!$C$46)-ROW(EM!$C$14))*(MATCH(J$22,EM!$B$6:$B$9,0)-1),MIN(J$23-EM!$B$16+2,EM!$AF$16-EM!$B$16)),0)+
IF(ROUND(J$11,0)&gt;=4,OFFSET(EM!$B$17,ROW($A29)-ROW($A$26)+(ROW(EM!$C$46)-ROW(EM!$C$14))*(MATCH(J$22,EM!$B$6:$B$9,0)-1),MIN(J$23-EM!$B$16+3,EM!$AF$16-EM!$B$16)),0)+
IF(ROUND(J$11,0)&gt;=5,OFFSET(EM!$B$17,ROW($A29)-ROW($A$26)+(ROW(EM!$C$46)-ROW(EM!$C$14))*(MATCH(J$22,EM!$B$6:$B$9,0)-1),MIN(J$23-EM!$B$16+4,EM!$AF$16-EM!$B$16)),0)+
IF(ROUND(J$11,0)&gt;=6,OFFSET(EM!$B$17,ROW($A29)-ROW($A$26)+(ROW(EM!$C$46)-ROW(EM!$C$14))*(MATCH(J$22,EM!$B$6:$B$9,0)-1),MIN(J$23-EM!$B$16+5,EM!$AF$16-EM!$B$16)),0)+
IF(ROUND(J$11,0)&gt;=7,OFFSET(EM!$B$17,ROW($A29)-ROW($A$26)+(ROW(EM!$C$46)-ROW(EM!$C$14))*(MATCH(J$22,EM!$B$6:$B$9,0)-1),MIN(J$23-EM!$B$16+6,EM!$AF$16-EM!$B$16)),0)+
IF(ROUND(J$11,0)&gt;=8,OFFSET(EM!$B$17,ROW($A29)-ROW($A$26)+(ROW(EM!$C$46)-ROW(EM!$C$14))*(MATCH(J$22,EM!$B$6:$B$9,0)-1),MIN(J$23-EM!$B$16+7,EM!$AF$16-EM!$B$16)),0)+
IF(ROUND(J$11,0)&gt;=9,OFFSET(EM!$B$17,ROW($A29)-ROW($A$26)+(ROW(EM!$C$46)-ROW(EM!$C$14))*(MATCH(J$22,EM!$B$6:$B$9,0)-1),MIN(J$23-EM!$B$16+8,EM!$AF$16-EM!$B$16)),0)+
IF(ROUND(J$11,0)&gt;=10,OFFSET(EM!$B$17,ROW($A29)-ROW($A$26)+(ROW(EM!$C$46)-ROW(EM!$C$14))*(MATCH(J$22,EM!$B$6:$B$9,0)-1),MIN(J$23-EM!$B$16+9,EM!$AF$16-EM!$B$16)),0)+
IF(ROUND(J$11,0)&gt;=11,OFFSET(EM!$B$17,ROW($A29)-ROW($A$26)+(ROW(EM!$C$46)-ROW(EM!$C$14))*(MATCH(J$22,EM!$B$6:$B$9,0)-1),MIN(J$23-EM!$B$16+10,EM!$AF$16-EM!$B$16)),0)+
IF(ROUND(J$11,0)&gt;=12,OFFSET(EM!$B$17,ROW($A29)-ROW($A$26)+(ROW(EM!$C$46)-ROW(EM!$C$14))*(MATCH(J$22,EM!$B$6:$B$9,0)-1),MIN(J$23-EM!$B$16+11,EM!$AF$16-EM!$B$16)),0)+
IF(ROUND(J$11,0)&gt;=13,OFFSET(EM!$B$17,ROW($A29)-ROW($A$26)+(ROW(EM!$C$46)-ROW(EM!$C$14))*(MATCH(J$22,EM!$B$6:$B$9,0)-1),MIN(J$23-EM!$B$16+12,EM!$AF$16-EM!$B$16)),0)+
IF(ROUND(J$11,0)&gt;=14,OFFSET(EM!$B$17,ROW($A29)-ROW($A$26)+(ROW(EM!$C$46)-ROW(EM!$C$14))*(MATCH(J$22,EM!$B$6:$B$9,0)-1),MIN(J$23-EM!$B$16+13,EM!$AF$16-EM!$B$16)),0)+
IF(ROUND(J$11,0)&gt;=15,OFFSET(EM!$B$17,ROW($A29)-ROW($A$26)+(ROW(EM!$C$46)-ROW(EM!$C$14))*(MATCH(J$22,EM!$B$6:$B$9,0)-1),MIN(J$23-EM!$B$16+14,EM!$AF$16-EM!$B$16)),0)+
IF(ROUND(J$11,0)&gt;=16,OFFSET(EM!$B$17,ROW($A29)-ROW($A$26)+(ROW(EM!$C$46)-ROW(EM!$C$14))*(MATCH(J$22,EM!$B$6:$B$9,0)-1),MIN(J$23-EM!$B$16+15,EM!$AF$16-EM!$B$16)),0)+
IF(ROUND(J$11,0)&gt;=17,OFFSET(EM!$B$17,ROW($A29)-ROW($A$26)+(ROW(EM!$C$46)-ROW(EM!$C$14))*(MATCH(J$22,EM!$B$6:$B$9,0)-1),MIN(J$23-EM!$B$16+16,EM!$AF$16-EM!$B$16)),0)+
IF(ROUND(J$11,0)&gt;=18,OFFSET(EM!$B$17,ROW($A29)-ROW($A$26)+(ROW(EM!$C$46)-ROW(EM!$C$14))*(MATCH(J$22,EM!$B$6:$B$9,0)-1),MIN(J$23-EM!$B$16+17,EM!$AF$16-EM!$B$16)),0)+
IF(ROUND(J$11,0)&gt;=19,OFFSET(EM!$B$17,ROW($A29)-ROW($A$26)+(ROW(EM!$C$46)-ROW(EM!$C$14))*(MATCH(J$22,EM!$B$6:$B$9,0)-1),MIN(J$23-EM!$B$16+18,EM!$AF$16-EM!$B$16)),0)+
IF(ROUND(J$11,0)&gt;=20,OFFSET(EM!$B$17,ROW($A29)-ROW($A$26)+(ROW(EM!$C$46)-ROW(EM!$C$14))*(MATCH(J$22,EM!$B$6:$B$9,0)-1),MIN(J$23-EM!$B$16+19,EM!$AF$16-EM!$B$16)),0)+
IF(ROUND(J$11,0)&gt;=21,OFFSET(EM!$B$17,ROW($A29)-ROW($A$26)+(ROW(EM!$C$46)-ROW(EM!$C$14))*(MATCH(J$22,EM!$B$6:$B$9,0)-1),MIN(J$23-EM!$B$16+20,EM!$AF$16-EM!$B$16)),0)+
IF(ROUND(J$11,0)&gt;=22,OFFSET(EM!$B$17,ROW($A29)-ROW($A$26)+(ROW(EM!$C$46)-ROW(EM!$C$14))*(MATCH(J$22,EM!$B$6:$B$9,0)-1),MIN(J$23-EM!$B$16+21,EM!$AF$16-EM!$B$16)),0)+
IF(ROUND(J$11,0)&gt;=23,OFFSET(EM!$B$17,ROW($A29)-ROW($A$26)+(ROW(EM!$C$46)-ROW(EM!$C$14))*(MATCH(J$22,EM!$B$6:$B$9,0)-1),MIN(J$23-EM!$B$16+22,EM!$AF$16-EM!$B$16)),0)+
IF(ROUND(J$11,0)&gt;=24,OFFSET(EM!$B$17,ROW($A29)-ROW($A$26)+(ROW(EM!$C$46)-ROW(EM!$C$14))*(MATCH(J$22,EM!$B$6:$B$9,0)-1),MIN(J$23-EM!$B$16+23,EM!$AF$16-EM!$B$16)),0)+
IF(ROUND(J$11,0)&gt;=25,OFFSET(EM!$B$17,ROW($A29)-ROW($A$26)+(ROW(EM!$C$46)-ROW(EM!$C$14))*(MATCH(J$22,EM!$B$6:$B$9,0)-1),MIN(J$23-EM!$B$16+24,EM!$AF$16-EM!$B$16)),0)+
IF(ROUND(J$11,0)&gt;=26,OFFSET(EM!$B$17,ROW($A29)-ROW($A$26)+(ROW(EM!$C$46)-ROW(EM!$C$14))*(MATCH(J$22,EM!$B$6:$B$9,0)-1),MIN(J$23-EM!$B$16+25,EM!$AF$16-EM!$B$16)),0)+
IF(ROUND(J$11,0)&gt;=27,OFFSET(EM!$B$17,ROW($A29)-ROW($A$26)+(ROW(EM!$C$46)-ROW(EM!$C$14))*(MATCH(J$22,EM!$B$6:$B$9,0)-1),MIN(J$23-EM!$B$16+26,EM!$AF$16-EM!$B$16)),0)+
IF(ROUND(J$11,0)&gt;=28,OFFSET(EM!$B$17,ROW($A29)-ROW($A$26)+(ROW(EM!$C$46)-ROW(EM!$C$14))*(MATCH(J$22,EM!$B$6:$B$9,0)-1),MIN(J$23-EM!$B$16+27,EM!$AF$16-EM!$B$16)),0)+
IF(ROUND(J$11,0)&gt;=29,OFFSET(EM!$B$17,ROW($A29)-ROW($A$26)+(ROW(EM!$C$46)-ROW(EM!$C$14))*(MATCH(J$22,EM!$B$6:$B$9,0)-1),MIN(J$23-EM!$B$16+28,EM!$AF$16-EM!$B$16)),0)+
IF(ROUND(J$11,0)&gt;=30,OFFSET(EM!$B$17,ROW($A29)-ROW($A$26)+(ROW(EM!$C$46)-ROW(EM!$C$14))*(MATCH(J$22,EM!$B$6:$B$9,0)-1),MIN(J$23-EM!$B$16+29,EM!$AF$16-EM!$B$16)),0)+
IF(ROUND(J$11,0)&gt;=31,OFFSET(EM!$B$17,ROW($A29)-ROW($A$26)+(ROW(EM!$C$46)-ROW(EM!$C$14))*(MATCH(J$22,EM!$B$6:$B$9,0)-1),MIN(J$23-EM!$B$16+30,EM!$AF$16-EM!$B$16)),0)+
IF(ROUND(J$11,0)&gt;=32,OFFSET(EM!$B$17,ROW($A29)-ROW($A$26)+(ROW(EM!$C$46)-ROW(EM!$C$14))*(MATCH(J$22,EM!$B$6:$B$9,0)-1),MIN(J$23-EM!$B$16+31,EM!$AF$16-EM!$B$16)),0)+
IF(ROUND(J$11,0)&gt;=33,OFFSET(EM!$B$17,ROW($A29)-ROW($A$26)+(ROW(EM!$C$46)-ROW(EM!$C$14))*(MATCH(J$22,EM!$B$6:$B$9,0)-1),MIN(J$23-EM!$B$16+32,EM!$AF$16-EM!$B$16)),0)+
IF(ROUND(J$11,0)&gt;=34,OFFSET(EM!$B$17,ROW($A29)-ROW($A$26)+(ROW(EM!$C$46)-ROW(EM!$C$14))*(MATCH(J$22,EM!$B$6:$B$9,0)-1),MIN(J$23-EM!$B$16+33,EM!$AF$16-EM!$B$16)),0)+
IF(ROUND(J$11,0)&gt;=35,OFFSET(EM!$B$17,ROW($A29)-ROW($A$26)+(ROW(EM!$C$46)-ROW(EM!$C$14))*(MATCH(J$22,EM!$B$6:$B$9,0)-1),MIN(J$23-EM!$B$16+34,EM!$AF$16-EM!$B$16)),0)+
IF(ROUND(J$11,0)&gt;=36,OFFSET(EM!$B$17,ROW($A29)-ROW($A$26)+(ROW(EM!$C$46)-ROW(EM!$C$14))*(MATCH(J$22,EM!$B$6:$B$9,0)-1),MIN(J$23-EM!$B$16+35,EM!$AF$16-EM!$B$16)),0)+
IF(ROUND(J$11,0)&gt;=37,OFFSET(EM!$B$17,ROW($A29)-ROW($A$26)+(ROW(EM!$C$46)-ROW(EM!$C$14))*(MATCH(J$22,EM!$B$6:$B$9,0)-1),MIN(J$23-EM!$B$16+36,EM!$AF$16-EM!$B$16)),0)+
IF(ROUND(J$11,0)&gt;=38,OFFSET(EM!$B$17,ROW($A29)-ROW($A$26)+(ROW(EM!$C$46)-ROW(EM!$C$14))*(MATCH(J$22,EM!$B$6:$B$9,0)-1),MIN(J$23-EM!$B$16+37,EM!$AF$16-EM!$B$16)),0)+
IF(ROUND(J$11,0)&gt;=39,OFFSET(EM!$B$17,ROW($A29)-ROW($A$26)+(ROW(EM!$C$46)-ROW(EM!$C$14))*(MATCH(J$22,EM!$B$6:$B$9,0)-1),MIN(J$23-EM!$B$16+38,EM!$AF$16-EM!$B$16)),0)+
IF(ROUND(J$11,0)&gt;=40,OFFSET(EM!$B$17,ROW($A29)-ROW($A$26)+(ROW(EM!$C$46)-ROW(EM!$C$14))*(MATCH(J$22,EM!$B$6:$B$9,0)-1),MIN(J$23-EM!$B$16+39,EM!$AF$16-EM!$B$16)),0)
)/ROUND(J$11,0),NA()))</f>
        <v>3.4347831172193803E-2</v>
      </c>
      <c r="K29" s="2046">
        <f ca="1">IF(K$19=GPG!$A$28,IF(ROW(K29)-ROW(K$26)+1=MATCH(K$20,GPG!$A$5:$A$11,0),1,0),
IF(K$19=GPG!$A$29,
(IF(ROUND(K$11,0)&gt;=1,OFFSET(EM!$B$17,ROW($A29)-ROW($A$26)+(ROW(EM!$C$46)-ROW(EM!$C$14))*(MATCH(K$22,EM!$B$6:$B$9,0)-1),MIN(K$23-EM!$B$16,EM!$AF$16-EM!$B$16)),0)+
IF(ROUND(K$11,0)&gt;=2,OFFSET(EM!$B$17,ROW($A29)-ROW($A$26)+(ROW(EM!$C$46)-ROW(EM!$C$14))*(MATCH(K$22,EM!$B$6:$B$9,0)-1),MIN(K$23-EM!$B$16+1,EM!$AF$16-EM!$B$16)),0)+
IF(ROUND(K$11,0)&gt;=3,OFFSET(EM!$B$17,ROW($A29)-ROW($A$26)+(ROW(EM!$C$46)-ROW(EM!$C$14))*(MATCH(K$22,EM!$B$6:$B$9,0)-1),MIN(K$23-EM!$B$16+2,EM!$AF$16-EM!$B$16)),0)+
IF(ROUND(K$11,0)&gt;=4,OFFSET(EM!$B$17,ROW($A29)-ROW($A$26)+(ROW(EM!$C$46)-ROW(EM!$C$14))*(MATCH(K$22,EM!$B$6:$B$9,0)-1),MIN(K$23-EM!$B$16+3,EM!$AF$16-EM!$B$16)),0)+
IF(ROUND(K$11,0)&gt;=5,OFFSET(EM!$B$17,ROW($A29)-ROW($A$26)+(ROW(EM!$C$46)-ROW(EM!$C$14))*(MATCH(K$22,EM!$B$6:$B$9,0)-1),MIN(K$23-EM!$B$16+4,EM!$AF$16-EM!$B$16)),0)+
IF(ROUND(K$11,0)&gt;=6,OFFSET(EM!$B$17,ROW($A29)-ROW($A$26)+(ROW(EM!$C$46)-ROW(EM!$C$14))*(MATCH(K$22,EM!$B$6:$B$9,0)-1),MIN(K$23-EM!$B$16+5,EM!$AF$16-EM!$B$16)),0)+
IF(ROUND(K$11,0)&gt;=7,OFFSET(EM!$B$17,ROW($A29)-ROW($A$26)+(ROW(EM!$C$46)-ROW(EM!$C$14))*(MATCH(K$22,EM!$B$6:$B$9,0)-1),MIN(K$23-EM!$B$16+6,EM!$AF$16-EM!$B$16)),0)+
IF(ROUND(K$11,0)&gt;=8,OFFSET(EM!$B$17,ROW($A29)-ROW($A$26)+(ROW(EM!$C$46)-ROW(EM!$C$14))*(MATCH(K$22,EM!$B$6:$B$9,0)-1),MIN(K$23-EM!$B$16+7,EM!$AF$16-EM!$B$16)),0)+
IF(ROUND(K$11,0)&gt;=9,OFFSET(EM!$B$17,ROW($A29)-ROW($A$26)+(ROW(EM!$C$46)-ROW(EM!$C$14))*(MATCH(K$22,EM!$B$6:$B$9,0)-1),MIN(K$23-EM!$B$16+8,EM!$AF$16-EM!$B$16)),0)+
IF(ROUND(K$11,0)&gt;=10,OFFSET(EM!$B$17,ROW($A29)-ROW($A$26)+(ROW(EM!$C$46)-ROW(EM!$C$14))*(MATCH(K$22,EM!$B$6:$B$9,0)-1),MIN(K$23-EM!$B$16+9,EM!$AF$16-EM!$B$16)),0)+
IF(ROUND(K$11,0)&gt;=11,OFFSET(EM!$B$17,ROW($A29)-ROW($A$26)+(ROW(EM!$C$46)-ROW(EM!$C$14))*(MATCH(K$22,EM!$B$6:$B$9,0)-1),MIN(K$23-EM!$B$16+10,EM!$AF$16-EM!$B$16)),0)+
IF(ROUND(K$11,0)&gt;=12,OFFSET(EM!$B$17,ROW($A29)-ROW($A$26)+(ROW(EM!$C$46)-ROW(EM!$C$14))*(MATCH(K$22,EM!$B$6:$B$9,0)-1),MIN(K$23-EM!$B$16+11,EM!$AF$16-EM!$B$16)),0)+
IF(ROUND(K$11,0)&gt;=13,OFFSET(EM!$B$17,ROW($A29)-ROW($A$26)+(ROW(EM!$C$46)-ROW(EM!$C$14))*(MATCH(K$22,EM!$B$6:$B$9,0)-1),MIN(K$23-EM!$B$16+12,EM!$AF$16-EM!$B$16)),0)+
IF(ROUND(K$11,0)&gt;=14,OFFSET(EM!$B$17,ROW($A29)-ROW($A$26)+(ROW(EM!$C$46)-ROW(EM!$C$14))*(MATCH(K$22,EM!$B$6:$B$9,0)-1),MIN(K$23-EM!$B$16+13,EM!$AF$16-EM!$B$16)),0)+
IF(ROUND(K$11,0)&gt;=15,OFFSET(EM!$B$17,ROW($A29)-ROW($A$26)+(ROW(EM!$C$46)-ROW(EM!$C$14))*(MATCH(K$22,EM!$B$6:$B$9,0)-1),MIN(K$23-EM!$B$16+14,EM!$AF$16-EM!$B$16)),0)+
IF(ROUND(K$11,0)&gt;=16,OFFSET(EM!$B$17,ROW($A29)-ROW($A$26)+(ROW(EM!$C$46)-ROW(EM!$C$14))*(MATCH(K$22,EM!$B$6:$B$9,0)-1),MIN(K$23-EM!$B$16+15,EM!$AF$16-EM!$B$16)),0)+
IF(ROUND(K$11,0)&gt;=17,OFFSET(EM!$B$17,ROW($A29)-ROW($A$26)+(ROW(EM!$C$46)-ROW(EM!$C$14))*(MATCH(K$22,EM!$B$6:$B$9,0)-1),MIN(K$23-EM!$B$16+16,EM!$AF$16-EM!$B$16)),0)+
IF(ROUND(K$11,0)&gt;=18,OFFSET(EM!$B$17,ROW($A29)-ROW($A$26)+(ROW(EM!$C$46)-ROW(EM!$C$14))*(MATCH(K$22,EM!$B$6:$B$9,0)-1),MIN(K$23-EM!$B$16+17,EM!$AF$16-EM!$B$16)),0)+
IF(ROUND(K$11,0)&gt;=19,OFFSET(EM!$B$17,ROW($A29)-ROW($A$26)+(ROW(EM!$C$46)-ROW(EM!$C$14))*(MATCH(K$22,EM!$B$6:$B$9,0)-1),MIN(K$23-EM!$B$16+18,EM!$AF$16-EM!$B$16)),0)+
IF(ROUND(K$11,0)&gt;=20,OFFSET(EM!$B$17,ROW($A29)-ROW($A$26)+(ROW(EM!$C$46)-ROW(EM!$C$14))*(MATCH(K$22,EM!$B$6:$B$9,0)-1),MIN(K$23-EM!$B$16+19,EM!$AF$16-EM!$B$16)),0)+
IF(ROUND(K$11,0)&gt;=21,OFFSET(EM!$B$17,ROW($A29)-ROW($A$26)+(ROW(EM!$C$46)-ROW(EM!$C$14))*(MATCH(K$22,EM!$B$6:$B$9,0)-1),MIN(K$23-EM!$B$16+20,EM!$AF$16-EM!$B$16)),0)+
IF(ROUND(K$11,0)&gt;=22,OFFSET(EM!$B$17,ROW($A29)-ROW($A$26)+(ROW(EM!$C$46)-ROW(EM!$C$14))*(MATCH(K$22,EM!$B$6:$B$9,0)-1),MIN(K$23-EM!$B$16+21,EM!$AF$16-EM!$B$16)),0)+
IF(ROUND(K$11,0)&gt;=23,OFFSET(EM!$B$17,ROW($A29)-ROW($A$26)+(ROW(EM!$C$46)-ROW(EM!$C$14))*(MATCH(K$22,EM!$B$6:$B$9,0)-1),MIN(K$23-EM!$B$16+22,EM!$AF$16-EM!$B$16)),0)+
IF(ROUND(K$11,0)&gt;=24,OFFSET(EM!$B$17,ROW($A29)-ROW($A$26)+(ROW(EM!$C$46)-ROW(EM!$C$14))*(MATCH(K$22,EM!$B$6:$B$9,0)-1),MIN(K$23-EM!$B$16+23,EM!$AF$16-EM!$B$16)),0)+
IF(ROUND(K$11,0)&gt;=25,OFFSET(EM!$B$17,ROW($A29)-ROW($A$26)+(ROW(EM!$C$46)-ROW(EM!$C$14))*(MATCH(K$22,EM!$B$6:$B$9,0)-1),MIN(K$23-EM!$B$16+24,EM!$AF$16-EM!$B$16)),0)+
IF(ROUND(K$11,0)&gt;=26,OFFSET(EM!$B$17,ROW($A29)-ROW($A$26)+(ROW(EM!$C$46)-ROW(EM!$C$14))*(MATCH(K$22,EM!$B$6:$B$9,0)-1),MIN(K$23-EM!$B$16+25,EM!$AF$16-EM!$B$16)),0)+
IF(ROUND(K$11,0)&gt;=27,OFFSET(EM!$B$17,ROW($A29)-ROW($A$26)+(ROW(EM!$C$46)-ROW(EM!$C$14))*(MATCH(K$22,EM!$B$6:$B$9,0)-1),MIN(K$23-EM!$B$16+26,EM!$AF$16-EM!$B$16)),0)+
IF(ROUND(K$11,0)&gt;=28,OFFSET(EM!$B$17,ROW($A29)-ROW($A$26)+(ROW(EM!$C$46)-ROW(EM!$C$14))*(MATCH(K$22,EM!$B$6:$B$9,0)-1),MIN(K$23-EM!$B$16+27,EM!$AF$16-EM!$B$16)),0)+
IF(ROUND(K$11,0)&gt;=29,OFFSET(EM!$B$17,ROW($A29)-ROW($A$26)+(ROW(EM!$C$46)-ROW(EM!$C$14))*(MATCH(K$22,EM!$B$6:$B$9,0)-1),MIN(K$23-EM!$B$16+28,EM!$AF$16-EM!$B$16)),0)+
IF(ROUND(K$11,0)&gt;=30,OFFSET(EM!$B$17,ROW($A29)-ROW($A$26)+(ROW(EM!$C$46)-ROW(EM!$C$14))*(MATCH(K$22,EM!$B$6:$B$9,0)-1),MIN(K$23-EM!$B$16+29,EM!$AF$16-EM!$B$16)),0)+
IF(ROUND(K$11,0)&gt;=31,OFFSET(EM!$B$17,ROW($A29)-ROW($A$26)+(ROW(EM!$C$46)-ROW(EM!$C$14))*(MATCH(K$22,EM!$B$6:$B$9,0)-1),MIN(K$23-EM!$B$16+30,EM!$AF$16-EM!$B$16)),0)+
IF(ROUND(K$11,0)&gt;=32,OFFSET(EM!$B$17,ROW($A29)-ROW($A$26)+(ROW(EM!$C$46)-ROW(EM!$C$14))*(MATCH(K$22,EM!$B$6:$B$9,0)-1),MIN(K$23-EM!$B$16+31,EM!$AF$16-EM!$B$16)),0)+
IF(ROUND(K$11,0)&gt;=33,OFFSET(EM!$B$17,ROW($A29)-ROW($A$26)+(ROW(EM!$C$46)-ROW(EM!$C$14))*(MATCH(K$22,EM!$B$6:$B$9,0)-1),MIN(K$23-EM!$B$16+32,EM!$AF$16-EM!$B$16)),0)+
IF(ROUND(K$11,0)&gt;=34,OFFSET(EM!$B$17,ROW($A29)-ROW($A$26)+(ROW(EM!$C$46)-ROW(EM!$C$14))*(MATCH(K$22,EM!$B$6:$B$9,0)-1),MIN(K$23-EM!$B$16+33,EM!$AF$16-EM!$B$16)),0)+
IF(ROUND(K$11,0)&gt;=35,OFFSET(EM!$B$17,ROW($A29)-ROW($A$26)+(ROW(EM!$C$46)-ROW(EM!$C$14))*(MATCH(K$22,EM!$B$6:$B$9,0)-1),MIN(K$23-EM!$B$16+34,EM!$AF$16-EM!$B$16)),0)+
IF(ROUND(K$11,0)&gt;=36,OFFSET(EM!$B$17,ROW($A29)-ROW($A$26)+(ROW(EM!$C$46)-ROW(EM!$C$14))*(MATCH(K$22,EM!$B$6:$B$9,0)-1),MIN(K$23-EM!$B$16+35,EM!$AF$16-EM!$B$16)),0)+
IF(ROUND(K$11,0)&gt;=37,OFFSET(EM!$B$17,ROW($A29)-ROW($A$26)+(ROW(EM!$C$46)-ROW(EM!$C$14))*(MATCH(K$22,EM!$B$6:$B$9,0)-1),MIN(K$23-EM!$B$16+36,EM!$AF$16-EM!$B$16)),0)+
IF(ROUND(K$11,0)&gt;=38,OFFSET(EM!$B$17,ROW($A29)-ROW($A$26)+(ROW(EM!$C$46)-ROW(EM!$C$14))*(MATCH(K$22,EM!$B$6:$B$9,0)-1),MIN(K$23-EM!$B$16+37,EM!$AF$16-EM!$B$16)),0)+
IF(ROUND(K$11,0)&gt;=39,OFFSET(EM!$B$17,ROW($A29)-ROW($A$26)+(ROW(EM!$C$46)-ROW(EM!$C$14))*(MATCH(K$22,EM!$B$6:$B$9,0)-1),MIN(K$23-EM!$B$16+38,EM!$AF$16-EM!$B$16)),0)+
IF(ROUND(K$11,0)&gt;=40,OFFSET(EM!$B$17,ROW($A29)-ROW($A$26)+(ROW(EM!$C$46)-ROW(EM!$C$14))*(MATCH(K$22,EM!$B$6:$B$9,0)-1),MIN(K$23-EM!$B$16+39,EM!$AF$16-EM!$B$16)),0)
)/ROUND(K$11,0),NA()))</f>
        <v>5.0916634860942465E-2</v>
      </c>
      <c r="L29" s="2046">
        <f ca="1">IF(L$19=GPG!$A$28,IF(ROW(L29)-ROW(L$26)+1=MATCH(L$20,GPG!$A$5:$A$11,0),1,0),
IF(L$19=GPG!$A$29,
(IF(ROUND(L$11,0)&gt;=1,OFFSET(EM!$B$17,ROW($A29)-ROW($A$26)+(ROW(EM!$C$46)-ROW(EM!$C$14))*(MATCH(L$22,EM!$B$6:$B$9,0)-1),MIN(L$23-EM!$B$16,EM!$AF$16-EM!$B$16)),0)+
IF(ROUND(L$11,0)&gt;=2,OFFSET(EM!$B$17,ROW($A29)-ROW($A$26)+(ROW(EM!$C$46)-ROW(EM!$C$14))*(MATCH(L$22,EM!$B$6:$B$9,0)-1),MIN(L$23-EM!$B$16+1,EM!$AF$16-EM!$B$16)),0)+
IF(ROUND(L$11,0)&gt;=3,OFFSET(EM!$B$17,ROW($A29)-ROW($A$26)+(ROW(EM!$C$46)-ROW(EM!$C$14))*(MATCH(L$22,EM!$B$6:$B$9,0)-1),MIN(L$23-EM!$B$16+2,EM!$AF$16-EM!$B$16)),0)+
IF(ROUND(L$11,0)&gt;=4,OFFSET(EM!$B$17,ROW($A29)-ROW($A$26)+(ROW(EM!$C$46)-ROW(EM!$C$14))*(MATCH(L$22,EM!$B$6:$B$9,0)-1),MIN(L$23-EM!$B$16+3,EM!$AF$16-EM!$B$16)),0)+
IF(ROUND(L$11,0)&gt;=5,OFFSET(EM!$B$17,ROW($A29)-ROW($A$26)+(ROW(EM!$C$46)-ROW(EM!$C$14))*(MATCH(L$22,EM!$B$6:$B$9,0)-1),MIN(L$23-EM!$B$16+4,EM!$AF$16-EM!$B$16)),0)+
IF(ROUND(L$11,0)&gt;=6,OFFSET(EM!$B$17,ROW($A29)-ROW($A$26)+(ROW(EM!$C$46)-ROW(EM!$C$14))*(MATCH(L$22,EM!$B$6:$B$9,0)-1),MIN(L$23-EM!$B$16+5,EM!$AF$16-EM!$B$16)),0)+
IF(ROUND(L$11,0)&gt;=7,OFFSET(EM!$B$17,ROW($A29)-ROW($A$26)+(ROW(EM!$C$46)-ROW(EM!$C$14))*(MATCH(L$22,EM!$B$6:$B$9,0)-1),MIN(L$23-EM!$B$16+6,EM!$AF$16-EM!$B$16)),0)+
IF(ROUND(L$11,0)&gt;=8,OFFSET(EM!$B$17,ROW($A29)-ROW($A$26)+(ROW(EM!$C$46)-ROW(EM!$C$14))*(MATCH(L$22,EM!$B$6:$B$9,0)-1),MIN(L$23-EM!$B$16+7,EM!$AF$16-EM!$B$16)),0)+
IF(ROUND(L$11,0)&gt;=9,OFFSET(EM!$B$17,ROW($A29)-ROW($A$26)+(ROW(EM!$C$46)-ROW(EM!$C$14))*(MATCH(L$22,EM!$B$6:$B$9,0)-1),MIN(L$23-EM!$B$16+8,EM!$AF$16-EM!$B$16)),0)+
IF(ROUND(L$11,0)&gt;=10,OFFSET(EM!$B$17,ROW($A29)-ROW($A$26)+(ROW(EM!$C$46)-ROW(EM!$C$14))*(MATCH(L$22,EM!$B$6:$B$9,0)-1),MIN(L$23-EM!$B$16+9,EM!$AF$16-EM!$B$16)),0)+
IF(ROUND(L$11,0)&gt;=11,OFFSET(EM!$B$17,ROW($A29)-ROW($A$26)+(ROW(EM!$C$46)-ROW(EM!$C$14))*(MATCH(L$22,EM!$B$6:$B$9,0)-1),MIN(L$23-EM!$B$16+10,EM!$AF$16-EM!$B$16)),0)+
IF(ROUND(L$11,0)&gt;=12,OFFSET(EM!$B$17,ROW($A29)-ROW($A$26)+(ROW(EM!$C$46)-ROW(EM!$C$14))*(MATCH(L$22,EM!$B$6:$B$9,0)-1),MIN(L$23-EM!$B$16+11,EM!$AF$16-EM!$B$16)),0)+
IF(ROUND(L$11,0)&gt;=13,OFFSET(EM!$B$17,ROW($A29)-ROW($A$26)+(ROW(EM!$C$46)-ROW(EM!$C$14))*(MATCH(L$22,EM!$B$6:$B$9,0)-1),MIN(L$23-EM!$B$16+12,EM!$AF$16-EM!$B$16)),0)+
IF(ROUND(L$11,0)&gt;=14,OFFSET(EM!$B$17,ROW($A29)-ROW($A$26)+(ROW(EM!$C$46)-ROW(EM!$C$14))*(MATCH(L$22,EM!$B$6:$B$9,0)-1),MIN(L$23-EM!$B$16+13,EM!$AF$16-EM!$B$16)),0)+
IF(ROUND(L$11,0)&gt;=15,OFFSET(EM!$B$17,ROW($A29)-ROW($A$26)+(ROW(EM!$C$46)-ROW(EM!$C$14))*(MATCH(L$22,EM!$B$6:$B$9,0)-1),MIN(L$23-EM!$B$16+14,EM!$AF$16-EM!$B$16)),0)+
IF(ROUND(L$11,0)&gt;=16,OFFSET(EM!$B$17,ROW($A29)-ROW($A$26)+(ROW(EM!$C$46)-ROW(EM!$C$14))*(MATCH(L$22,EM!$B$6:$B$9,0)-1),MIN(L$23-EM!$B$16+15,EM!$AF$16-EM!$B$16)),0)+
IF(ROUND(L$11,0)&gt;=17,OFFSET(EM!$B$17,ROW($A29)-ROW($A$26)+(ROW(EM!$C$46)-ROW(EM!$C$14))*(MATCH(L$22,EM!$B$6:$B$9,0)-1),MIN(L$23-EM!$B$16+16,EM!$AF$16-EM!$B$16)),0)+
IF(ROUND(L$11,0)&gt;=18,OFFSET(EM!$B$17,ROW($A29)-ROW($A$26)+(ROW(EM!$C$46)-ROW(EM!$C$14))*(MATCH(L$22,EM!$B$6:$B$9,0)-1),MIN(L$23-EM!$B$16+17,EM!$AF$16-EM!$B$16)),0)+
IF(ROUND(L$11,0)&gt;=19,OFFSET(EM!$B$17,ROW($A29)-ROW($A$26)+(ROW(EM!$C$46)-ROW(EM!$C$14))*(MATCH(L$22,EM!$B$6:$B$9,0)-1),MIN(L$23-EM!$B$16+18,EM!$AF$16-EM!$B$16)),0)+
IF(ROUND(L$11,0)&gt;=20,OFFSET(EM!$B$17,ROW($A29)-ROW($A$26)+(ROW(EM!$C$46)-ROW(EM!$C$14))*(MATCH(L$22,EM!$B$6:$B$9,0)-1),MIN(L$23-EM!$B$16+19,EM!$AF$16-EM!$B$16)),0)+
IF(ROUND(L$11,0)&gt;=21,OFFSET(EM!$B$17,ROW($A29)-ROW($A$26)+(ROW(EM!$C$46)-ROW(EM!$C$14))*(MATCH(L$22,EM!$B$6:$B$9,0)-1),MIN(L$23-EM!$B$16+20,EM!$AF$16-EM!$B$16)),0)+
IF(ROUND(L$11,0)&gt;=22,OFFSET(EM!$B$17,ROW($A29)-ROW($A$26)+(ROW(EM!$C$46)-ROW(EM!$C$14))*(MATCH(L$22,EM!$B$6:$B$9,0)-1),MIN(L$23-EM!$B$16+21,EM!$AF$16-EM!$B$16)),0)+
IF(ROUND(L$11,0)&gt;=23,OFFSET(EM!$B$17,ROW($A29)-ROW($A$26)+(ROW(EM!$C$46)-ROW(EM!$C$14))*(MATCH(L$22,EM!$B$6:$B$9,0)-1),MIN(L$23-EM!$B$16+22,EM!$AF$16-EM!$B$16)),0)+
IF(ROUND(L$11,0)&gt;=24,OFFSET(EM!$B$17,ROW($A29)-ROW($A$26)+(ROW(EM!$C$46)-ROW(EM!$C$14))*(MATCH(L$22,EM!$B$6:$B$9,0)-1),MIN(L$23-EM!$B$16+23,EM!$AF$16-EM!$B$16)),0)+
IF(ROUND(L$11,0)&gt;=25,OFFSET(EM!$B$17,ROW($A29)-ROW($A$26)+(ROW(EM!$C$46)-ROW(EM!$C$14))*(MATCH(L$22,EM!$B$6:$B$9,0)-1),MIN(L$23-EM!$B$16+24,EM!$AF$16-EM!$B$16)),0)+
IF(ROUND(L$11,0)&gt;=26,OFFSET(EM!$B$17,ROW($A29)-ROW($A$26)+(ROW(EM!$C$46)-ROW(EM!$C$14))*(MATCH(L$22,EM!$B$6:$B$9,0)-1),MIN(L$23-EM!$B$16+25,EM!$AF$16-EM!$B$16)),0)+
IF(ROUND(L$11,0)&gt;=27,OFFSET(EM!$B$17,ROW($A29)-ROW($A$26)+(ROW(EM!$C$46)-ROW(EM!$C$14))*(MATCH(L$22,EM!$B$6:$B$9,0)-1),MIN(L$23-EM!$B$16+26,EM!$AF$16-EM!$B$16)),0)+
IF(ROUND(L$11,0)&gt;=28,OFFSET(EM!$B$17,ROW($A29)-ROW($A$26)+(ROW(EM!$C$46)-ROW(EM!$C$14))*(MATCH(L$22,EM!$B$6:$B$9,0)-1),MIN(L$23-EM!$B$16+27,EM!$AF$16-EM!$B$16)),0)+
IF(ROUND(L$11,0)&gt;=29,OFFSET(EM!$B$17,ROW($A29)-ROW($A$26)+(ROW(EM!$C$46)-ROW(EM!$C$14))*(MATCH(L$22,EM!$B$6:$B$9,0)-1),MIN(L$23-EM!$B$16+28,EM!$AF$16-EM!$B$16)),0)+
IF(ROUND(L$11,0)&gt;=30,OFFSET(EM!$B$17,ROW($A29)-ROW($A$26)+(ROW(EM!$C$46)-ROW(EM!$C$14))*(MATCH(L$22,EM!$B$6:$B$9,0)-1),MIN(L$23-EM!$B$16+29,EM!$AF$16-EM!$B$16)),0)+
IF(ROUND(L$11,0)&gt;=31,OFFSET(EM!$B$17,ROW($A29)-ROW($A$26)+(ROW(EM!$C$46)-ROW(EM!$C$14))*(MATCH(L$22,EM!$B$6:$B$9,0)-1),MIN(L$23-EM!$B$16+30,EM!$AF$16-EM!$B$16)),0)+
IF(ROUND(L$11,0)&gt;=32,OFFSET(EM!$B$17,ROW($A29)-ROW($A$26)+(ROW(EM!$C$46)-ROW(EM!$C$14))*(MATCH(L$22,EM!$B$6:$B$9,0)-1),MIN(L$23-EM!$B$16+31,EM!$AF$16-EM!$B$16)),0)+
IF(ROUND(L$11,0)&gt;=33,OFFSET(EM!$B$17,ROW($A29)-ROW($A$26)+(ROW(EM!$C$46)-ROW(EM!$C$14))*(MATCH(L$22,EM!$B$6:$B$9,0)-1),MIN(L$23-EM!$B$16+32,EM!$AF$16-EM!$B$16)),0)+
IF(ROUND(L$11,0)&gt;=34,OFFSET(EM!$B$17,ROW($A29)-ROW($A$26)+(ROW(EM!$C$46)-ROW(EM!$C$14))*(MATCH(L$22,EM!$B$6:$B$9,0)-1),MIN(L$23-EM!$B$16+33,EM!$AF$16-EM!$B$16)),0)+
IF(ROUND(L$11,0)&gt;=35,OFFSET(EM!$B$17,ROW($A29)-ROW($A$26)+(ROW(EM!$C$46)-ROW(EM!$C$14))*(MATCH(L$22,EM!$B$6:$B$9,0)-1),MIN(L$23-EM!$B$16+34,EM!$AF$16-EM!$B$16)),0)+
IF(ROUND(L$11,0)&gt;=36,OFFSET(EM!$B$17,ROW($A29)-ROW($A$26)+(ROW(EM!$C$46)-ROW(EM!$C$14))*(MATCH(L$22,EM!$B$6:$B$9,0)-1),MIN(L$23-EM!$B$16+35,EM!$AF$16-EM!$B$16)),0)+
IF(ROUND(L$11,0)&gt;=37,OFFSET(EM!$B$17,ROW($A29)-ROW($A$26)+(ROW(EM!$C$46)-ROW(EM!$C$14))*(MATCH(L$22,EM!$B$6:$B$9,0)-1),MIN(L$23-EM!$B$16+36,EM!$AF$16-EM!$B$16)),0)+
IF(ROUND(L$11,0)&gt;=38,OFFSET(EM!$B$17,ROW($A29)-ROW($A$26)+(ROW(EM!$C$46)-ROW(EM!$C$14))*(MATCH(L$22,EM!$B$6:$B$9,0)-1),MIN(L$23-EM!$B$16+37,EM!$AF$16-EM!$B$16)),0)+
IF(ROUND(L$11,0)&gt;=39,OFFSET(EM!$B$17,ROW($A29)-ROW($A$26)+(ROW(EM!$C$46)-ROW(EM!$C$14))*(MATCH(L$22,EM!$B$6:$B$9,0)-1),MIN(L$23-EM!$B$16+38,EM!$AF$16-EM!$B$16)),0)+
IF(ROUND(L$11,0)&gt;=40,OFFSET(EM!$B$17,ROW($A29)-ROW($A$26)+(ROW(EM!$C$46)-ROW(EM!$C$14))*(MATCH(L$22,EM!$B$6:$B$9,0)-1),MIN(L$23-EM!$B$16+39,EM!$AF$16-EM!$B$16)),0)
)/ROUND(L$11,0),NA()))</f>
        <v>3.4347831172193803E-2</v>
      </c>
      <c r="M29" s="2046">
        <f ca="1">IF(M$19=GPG!$A$28,IF(ROW(M29)-ROW(M$26)+1=MATCH(M$20,GPG!$A$5:$A$11,0),1,0),
IF(M$19=GPG!$A$29,
(IF(ROUND(M$11,0)&gt;=1,OFFSET(EM!$B$17,ROW($A29)-ROW($A$26)+(ROW(EM!$C$46)-ROW(EM!$C$14))*(MATCH(M$22,EM!$B$6:$B$9,0)-1),MIN(M$23-EM!$B$16,EM!$AF$16-EM!$B$16)),0)+
IF(ROUND(M$11,0)&gt;=2,OFFSET(EM!$B$17,ROW($A29)-ROW($A$26)+(ROW(EM!$C$46)-ROW(EM!$C$14))*(MATCH(M$22,EM!$B$6:$B$9,0)-1),MIN(M$23-EM!$B$16+1,EM!$AF$16-EM!$B$16)),0)+
IF(ROUND(M$11,0)&gt;=3,OFFSET(EM!$B$17,ROW($A29)-ROW($A$26)+(ROW(EM!$C$46)-ROW(EM!$C$14))*(MATCH(M$22,EM!$B$6:$B$9,0)-1),MIN(M$23-EM!$B$16+2,EM!$AF$16-EM!$B$16)),0)+
IF(ROUND(M$11,0)&gt;=4,OFFSET(EM!$B$17,ROW($A29)-ROW($A$26)+(ROW(EM!$C$46)-ROW(EM!$C$14))*(MATCH(M$22,EM!$B$6:$B$9,0)-1),MIN(M$23-EM!$B$16+3,EM!$AF$16-EM!$B$16)),0)+
IF(ROUND(M$11,0)&gt;=5,OFFSET(EM!$B$17,ROW($A29)-ROW($A$26)+(ROW(EM!$C$46)-ROW(EM!$C$14))*(MATCH(M$22,EM!$B$6:$B$9,0)-1),MIN(M$23-EM!$B$16+4,EM!$AF$16-EM!$B$16)),0)+
IF(ROUND(M$11,0)&gt;=6,OFFSET(EM!$B$17,ROW($A29)-ROW($A$26)+(ROW(EM!$C$46)-ROW(EM!$C$14))*(MATCH(M$22,EM!$B$6:$B$9,0)-1),MIN(M$23-EM!$B$16+5,EM!$AF$16-EM!$B$16)),0)+
IF(ROUND(M$11,0)&gt;=7,OFFSET(EM!$B$17,ROW($A29)-ROW($A$26)+(ROW(EM!$C$46)-ROW(EM!$C$14))*(MATCH(M$22,EM!$B$6:$B$9,0)-1),MIN(M$23-EM!$B$16+6,EM!$AF$16-EM!$B$16)),0)+
IF(ROUND(M$11,0)&gt;=8,OFFSET(EM!$B$17,ROW($A29)-ROW($A$26)+(ROW(EM!$C$46)-ROW(EM!$C$14))*(MATCH(M$22,EM!$B$6:$B$9,0)-1),MIN(M$23-EM!$B$16+7,EM!$AF$16-EM!$B$16)),0)+
IF(ROUND(M$11,0)&gt;=9,OFFSET(EM!$B$17,ROW($A29)-ROW($A$26)+(ROW(EM!$C$46)-ROW(EM!$C$14))*(MATCH(M$22,EM!$B$6:$B$9,0)-1),MIN(M$23-EM!$B$16+8,EM!$AF$16-EM!$B$16)),0)+
IF(ROUND(M$11,0)&gt;=10,OFFSET(EM!$B$17,ROW($A29)-ROW($A$26)+(ROW(EM!$C$46)-ROW(EM!$C$14))*(MATCH(M$22,EM!$B$6:$B$9,0)-1),MIN(M$23-EM!$B$16+9,EM!$AF$16-EM!$B$16)),0)+
IF(ROUND(M$11,0)&gt;=11,OFFSET(EM!$B$17,ROW($A29)-ROW($A$26)+(ROW(EM!$C$46)-ROW(EM!$C$14))*(MATCH(M$22,EM!$B$6:$B$9,0)-1),MIN(M$23-EM!$B$16+10,EM!$AF$16-EM!$B$16)),0)+
IF(ROUND(M$11,0)&gt;=12,OFFSET(EM!$B$17,ROW($A29)-ROW($A$26)+(ROW(EM!$C$46)-ROW(EM!$C$14))*(MATCH(M$22,EM!$B$6:$B$9,0)-1),MIN(M$23-EM!$B$16+11,EM!$AF$16-EM!$B$16)),0)+
IF(ROUND(M$11,0)&gt;=13,OFFSET(EM!$B$17,ROW($A29)-ROW($A$26)+(ROW(EM!$C$46)-ROW(EM!$C$14))*(MATCH(M$22,EM!$B$6:$B$9,0)-1),MIN(M$23-EM!$B$16+12,EM!$AF$16-EM!$B$16)),0)+
IF(ROUND(M$11,0)&gt;=14,OFFSET(EM!$B$17,ROW($A29)-ROW($A$26)+(ROW(EM!$C$46)-ROW(EM!$C$14))*(MATCH(M$22,EM!$B$6:$B$9,0)-1),MIN(M$23-EM!$B$16+13,EM!$AF$16-EM!$B$16)),0)+
IF(ROUND(M$11,0)&gt;=15,OFFSET(EM!$B$17,ROW($A29)-ROW($A$26)+(ROW(EM!$C$46)-ROW(EM!$C$14))*(MATCH(M$22,EM!$B$6:$B$9,0)-1),MIN(M$23-EM!$B$16+14,EM!$AF$16-EM!$B$16)),0)+
IF(ROUND(M$11,0)&gt;=16,OFFSET(EM!$B$17,ROW($A29)-ROW($A$26)+(ROW(EM!$C$46)-ROW(EM!$C$14))*(MATCH(M$22,EM!$B$6:$B$9,0)-1),MIN(M$23-EM!$B$16+15,EM!$AF$16-EM!$B$16)),0)+
IF(ROUND(M$11,0)&gt;=17,OFFSET(EM!$B$17,ROW($A29)-ROW($A$26)+(ROW(EM!$C$46)-ROW(EM!$C$14))*(MATCH(M$22,EM!$B$6:$B$9,0)-1),MIN(M$23-EM!$B$16+16,EM!$AF$16-EM!$B$16)),0)+
IF(ROUND(M$11,0)&gt;=18,OFFSET(EM!$B$17,ROW($A29)-ROW($A$26)+(ROW(EM!$C$46)-ROW(EM!$C$14))*(MATCH(M$22,EM!$B$6:$B$9,0)-1),MIN(M$23-EM!$B$16+17,EM!$AF$16-EM!$B$16)),0)+
IF(ROUND(M$11,0)&gt;=19,OFFSET(EM!$B$17,ROW($A29)-ROW($A$26)+(ROW(EM!$C$46)-ROW(EM!$C$14))*(MATCH(M$22,EM!$B$6:$B$9,0)-1),MIN(M$23-EM!$B$16+18,EM!$AF$16-EM!$B$16)),0)+
IF(ROUND(M$11,0)&gt;=20,OFFSET(EM!$B$17,ROW($A29)-ROW($A$26)+(ROW(EM!$C$46)-ROW(EM!$C$14))*(MATCH(M$22,EM!$B$6:$B$9,0)-1),MIN(M$23-EM!$B$16+19,EM!$AF$16-EM!$B$16)),0)+
IF(ROUND(M$11,0)&gt;=21,OFFSET(EM!$B$17,ROW($A29)-ROW($A$26)+(ROW(EM!$C$46)-ROW(EM!$C$14))*(MATCH(M$22,EM!$B$6:$B$9,0)-1),MIN(M$23-EM!$B$16+20,EM!$AF$16-EM!$B$16)),0)+
IF(ROUND(M$11,0)&gt;=22,OFFSET(EM!$B$17,ROW($A29)-ROW($A$26)+(ROW(EM!$C$46)-ROW(EM!$C$14))*(MATCH(M$22,EM!$B$6:$B$9,0)-1),MIN(M$23-EM!$B$16+21,EM!$AF$16-EM!$B$16)),0)+
IF(ROUND(M$11,0)&gt;=23,OFFSET(EM!$B$17,ROW($A29)-ROW($A$26)+(ROW(EM!$C$46)-ROW(EM!$C$14))*(MATCH(M$22,EM!$B$6:$B$9,0)-1),MIN(M$23-EM!$B$16+22,EM!$AF$16-EM!$B$16)),0)+
IF(ROUND(M$11,0)&gt;=24,OFFSET(EM!$B$17,ROW($A29)-ROW($A$26)+(ROW(EM!$C$46)-ROW(EM!$C$14))*(MATCH(M$22,EM!$B$6:$B$9,0)-1),MIN(M$23-EM!$B$16+23,EM!$AF$16-EM!$B$16)),0)+
IF(ROUND(M$11,0)&gt;=25,OFFSET(EM!$B$17,ROW($A29)-ROW($A$26)+(ROW(EM!$C$46)-ROW(EM!$C$14))*(MATCH(M$22,EM!$B$6:$B$9,0)-1),MIN(M$23-EM!$B$16+24,EM!$AF$16-EM!$B$16)),0)+
IF(ROUND(M$11,0)&gt;=26,OFFSET(EM!$B$17,ROW($A29)-ROW($A$26)+(ROW(EM!$C$46)-ROW(EM!$C$14))*(MATCH(M$22,EM!$B$6:$B$9,0)-1),MIN(M$23-EM!$B$16+25,EM!$AF$16-EM!$B$16)),0)+
IF(ROUND(M$11,0)&gt;=27,OFFSET(EM!$B$17,ROW($A29)-ROW($A$26)+(ROW(EM!$C$46)-ROW(EM!$C$14))*(MATCH(M$22,EM!$B$6:$B$9,0)-1),MIN(M$23-EM!$B$16+26,EM!$AF$16-EM!$B$16)),0)+
IF(ROUND(M$11,0)&gt;=28,OFFSET(EM!$B$17,ROW($A29)-ROW($A$26)+(ROW(EM!$C$46)-ROW(EM!$C$14))*(MATCH(M$22,EM!$B$6:$B$9,0)-1),MIN(M$23-EM!$B$16+27,EM!$AF$16-EM!$B$16)),0)+
IF(ROUND(M$11,0)&gt;=29,OFFSET(EM!$B$17,ROW($A29)-ROW($A$26)+(ROW(EM!$C$46)-ROW(EM!$C$14))*(MATCH(M$22,EM!$B$6:$B$9,0)-1),MIN(M$23-EM!$B$16+28,EM!$AF$16-EM!$B$16)),0)+
IF(ROUND(M$11,0)&gt;=30,OFFSET(EM!$B$17,ROW($A29)-ROW($A$26)+(ROW(EM!$C$46)-ROW(EM!$C$14))*(MATCH(M$22,EM!$B$6:$B$9,0)-1),MIN(M$23-EM!$B$16+29,EM!$AF$16-EM!$B$16)),0)+
IF(ROUND(M$11,0)&gt;=31,OFFSET(EM!$B$17,ROW($A29)-ROW($A$26)+(ROW(EM!$C$46)-ROW(EM!$C$14))*(MATCH(M$22,EM!$B$6:$B$9,0)-1),MIN(M$23-EM!$B$16+30,EM!$AF$16-EM!$B$16)),0)+
IF(ROUND(M$11,0)&gt;=32,OFFSET(EM!$B$17,ROW($A29)-ROW($A$26)+(ROW(EM!$C$46)-ROW(EM!$C$14))*(MATCH(M$22,EM!$B$6:$B$9,0)-1),MIN(M$23-EM!$B$16+31,EM!$AF$16-EM!$B$16)),0)+
IF(ROUND(M$11,0)&gt;=33,OFFSET(EM!$B$17,ROW($A29)-ROW($A$26)+(ROW(EM!$C$46)-ROW(EM!$C$14))*(MATCH(M$22,EM!$B$6:$B$9,0)-1),MIN(M$23-EM!$B$16+32,EM!$AF$16-EM!$B$16)),0)+
IF(ROUND(M$11,0)&gt;=34,OFFSET(EM!$B$17,ROW($A29)-ROW($A$26)+(ROW(EM!$C$46)-ROW(EM!$C$14))*(MATCH(M$22,EM!$B$6:$B$9,0)-1),MIN(M$23-EM!$B$16+33,EM!$AF$16-EM!$B$16)),0)+
IF(ROUND(M$11,0)&gt;=35,OFFSET(EM!$B$17,ROW($A29)-ROW($A$26)+(ROW(EM!$C$46)-ROW(EM!$C$14))*(MATCH(M$22,EM!$B$6:$B$9,0)-1),MIN(M$23-EM!$B$16+34,EM!$AF$16-EM!$B$16)),0)+
IF(ROUND(M$11,0)&gt;=36,OFFSET(EM!$B$17,ROW($A29)-ROW($A$26)+(ROW(EM!$C$46)-ROW(EM!$C$14))*(MATCH(M$22,EM!$B$6:$B$9,0)-1),MIN(M$23-EM!$B$16+35,EM!$AF$16-EM!$B$16)),0)+
IF(ROUND(M$11,0)&gt;=37,OFFSET(EM!$B$17,ROW($A29)-ROW($A$26)+(ROW(EM!$C$46)-ROW(EM!$C$14))*(MATCH(M$22,EM!$B$6:$B$9,0)-1),MIN(M$23-EM!$B$16+36,EM!$AF$16-EM!$B$16)),0)+
IF(ROUND(M$11,0)&gt;=38,OFFSET(EM!$B$17,ROW($A29)-ROW($A$26)+(ROW(EM!$C$46)-ROW(EM!$C$14))*(MATCH(M$22,EM!$B$6:$B$9,0)-1),MIN(M$23-EM!$B$16+37,EM!$AF$16-EM!$B$16)),0)+
IF(ROUND(M$11,0)&gt;=39,OFFSET(EM!$B$17,ROW($A29)-ROW($A$26)+(ROW(EM!$C$46)-ROW(EM!$C$14))*(MATCH(M$22,EM!$B$6:$B$9,0)-1),MIN(M$23-EM!$B$16+38,EM!$AF$16-EM!$B$16)),0)+
IF(ROUND(M$11,0)&gt;=40,OFFSET(EM!$B$17,ROW($A29)-ROW($A$26)+(ROW(EM!$C$46)-ROW(EM!$C$14))*(MATCH(M$22,EM!$B$6:$B$9,0)-1),MIN(M$23-EM!$B$16+39,EM!$AF$16-EM!$B$16)),0)
)/ROUND(M$11,0),NA()))</f>
        <v>5.3161553469923108E-2</v>
      </c>
      <c r="N29" s="2046">
        <f ca="1">IF(N$19=GPG!$A$28,IF(ROW(N29)-ROW(N$26)+1=MATCH(N$20,GPG!$A$5:$A$11,0),1,0),
IF(N$19=GPG!$A$29,
(IF(ROUND(N$11,0)&gt;=1,OFFSET(EM!$B$17,ROW($A29)-ROW($A$26)+(ROW(EM!$C$46)-ROW(EM!$C$14))*(MATCH(N$22,EM!$B$6:$B$9,0)-1),MIN(N$23-EM!$B$16,EM!$AF$16-EM!$B$16)),0)+
IF(ROUND(N$11,0)&gt;=2,OFFSET(EM!$B$17,ROW($A29)-ROW($A$26)+(ROW(EM!$C$46)-ROW(EM!$C$14))*(MATCH(N$22,EM!$B$6:$B$9,0)-1),MIN(N$23-EM!$B$16+1,EM!$AF$16-EM!$B$16)),0)+
IF(ROUND(N$11,0)&gt;=3,OFFSET(EM!$B$17,ROW($A29)-ROW($A$26)+(ROW(EM!$C$46)-ROW(EM!$C$14))*(MATCH(N$22,EM!$B$6:$B$9,0)-1),MIN(N$23-EM!$B$16+2,EM!$AF$16-EM!$B$16)),0)+
IF(ROUND(N$11,0)&gt;=4,OFFSET(EM!$B$17,ROW($A29)-ROW($A$26)+(ROW(EM!$C$46)-ROW(EM!$C$14))*(MATCH(N$22,EM!$B$6:$B$9,0)-1),MIN(N$23-EM!$B$16+3,EM!$AF$16-EM!$B$16)),0)+
IF(ROUND(N$11,0)&gt;=5,OFFSET(EM!$B$17,ROW($A29)-ROW($A$26)+(ROW(EM!$C$46)-ROW(EM!$C$14))*(MATCH(N$22,EM!$B$6:$B$9,0)-1),MIN(N$23-EM!$B$16+4,EM!$AF$16-EM!$B$16)),0)+
IF(ROUND(N$11,0)&gt;=6,OFFSET(EM!$B$17,ROW($A29)-ROW($A$26)+(ROW(EM!$C$46)-ROW(EM!$C$14))*(MATCH(N$22,EM!$B$6:$B$9,0)-1),MIN(N$23-EM!$B$16+5,EM!$AF$16-EM!$B$16)),0)+
IF(ROUND(N$11,0)&gt;=7,OFFSET(EM!$B$17,ROW($A29)-ROW($A$26)+(ROW(EM!$C$46)-ROW(EM!$C$14))*(MATCH(N$22,EM!$B$6:$B$9,0)-1),MIN(N$23-EM!$B$16+6,EM!$AF$16-EM!$B$16)),0)+
IF(ROUND(N$11,0)&gt;=8,OFFSET(EM!$B$17,ROW($A29)-ROW($A$26)+(ROW(EM!$C$46)-ROW(EM!$C$14))*(MATCH(N$22,EM!$B$6:$B$9,0)-1),MIN(N$23-EM!$B$16+7,EM!$AF$16-EM!$B$16)),0)+
IF(ROUND(N$11,0)&gt;=9,OFFSET(EM!$B$17,ROW($A29)-ROW($A$26)+(ROW(EM!$C$46)-ROW(EM!$C$14))*(MATCH(N$22,EM!$B$6:$B$9,0)-1),MIN(N$23-EM!$B$16+8,EM!$AF$16-EM!$B$16)),0)+
IF(ROUND(N$11,0)&gt;=10,OFFSET(EM!$B$17,ROW($A29)-ROW($A$26)+(ROW(EM!$C$46)-ROW(EM!$C$14))*(MATCH(N$22,EM!$B$6:$B$9,0)-1),MIN(N$23-EM!$B$16+9,EM!$AF$16-EM!$B$16)),0)+
IF(ROUND(N$11,0)&gt;=11,OFFSET(EM!$B$17,ROW($A29)-ROW($A$26)+(ROW(EM!$C$46)-ROW(EM!$C$14))*(MATCH(N$22,EM!$B$6:$B$9,0)-1),MIN(N$23-EM!$B$16+10,EM!$AF$16-EM!$B$16)),0)+
IF(ROUND(N$11,0)&gt;=12,OFFSET(EM!$B$17,ROW($A29)-ROW($A$26)+(ROW(EM!$C$46)-ROW(EM!$C$14))*(MATCH(N$22,EM!$B$6:$B$9,0)-1),MIN(N$23-EM!$B$16+11,EM!$AF$16-EM!$B$16)),0)+
IF(ROUND(N$11,0)&gt;=13,OFFSET(EM!$B$17,ROW($A29)-ROW($A$26)+(ROW(EM!$C$46)-ROW(EM!$C$14))*(MATCH(N$22,EM!$B$6:$B$9,0)-1),MIN(N$23-EM!$B$16+12,EM!$AF$16-EM!$B$16)),0)+
IF(ROUND(N$11,0)&gt;=14,OFFSET(EM!$B$17,ROW($A29)-ROW($A$26)+(ROW(EM!$C$46)-ROW(EM!$C$14))*(MATCH(N$22,EM!$B$6:$B$9,0)-1),MIN(N$23-EM!$B$16+13,EM!$AF$16-EM!$B$16)),0)+
IF(ROUND(N$11,0)&gt;=15,OFFSET(EM!$B$17,ROW($A29)-ROW($A$26)+(ROW(EM!$C$46)-ROW(EM!$C$14))*(MATCH(N$22,EM!$B$6:$B$9,0)-1),MIN(N$23-EM!$B$16+14,EM!$AF$16-EM!$B$16)),0)+
IF(ROUND(N$11,0)&gt;=16,OFFSET(EM!$B$17,ROW($A29)-ROW($A$26)+(ROW(EM!$C$46)-ROW(EM!$C$14))*(MATCH(N$22,EM!$B$6:$B$9,0)-1),MIN(N$23-EM!$B$16+15,EM!$AF$16-EM!$B$16)),0)+
IF(ROUND(N$11,0)&gt;=17,OFFSET(EM!$B$17,ROW($A29)-ROW($A$26)+(ROW(EM!$C$46)-ROW(EM!$C$14))*(MATCH(N$22,EM!$B$6:$B$9,0)-1),MIN(N$23-EM!$B$16+16,EM!$AF$16-EM!$B$16)),0)+
IF(ROUND(N$11,0)&gt;=18,OFFSET(EM!$B$17,ROW($A29)-ROW($A$26)+(ROW(EM!$C$46)-ROW(EM!$C$14))*(MATCH(N$22,EM!$B$6:$B$9,0)-1),MIN(N$23-EM!$B$16+17,EM!$AF$16-EM!$B$16)),0)+
IF(ROUND(N$11,0)&gt;=19,OFFSET(EM!$B$17,ROW($A29)-ROW($A$26)+(ROW(EM!$C$46)-ROW(EM!$C$14))*(MATCH(N$22,EM!$B$6:$B$9,0)-1),MIN(N$23-EM!$B$16+18,EM!$AF$16-EM!$B$16)),0)+
IF(ROUND(N$11,0)&gt;=20,OFFSET(EM!$B$17,ROW($A29)-ROW($A$26)+(ROW(EM!$C$46)-ROW(EM!$C$14))*(MATCH(N$22,EM!$B$6:$B$9,0)-1),MIN(N$23-EM!$B$16+19,EM!$AF$16-EM!$B$16)),0)+
IF(ROUND(N$11,0)&gt;=21,OFFSET(EM!$B$17,ROW($A29)-ROW($A$26)+(ROW(EM!$C$46)-ROW(EM!$C$14))*(MATCH(N$22,EM!$B$6:$B$9,0)-1),MIN(N$23-EM!$B$16+20,EM!$AF$16-EM!$B$16)),0)+
IF(ROUND(N$11,0)&gt;=22,OFFSET(EM!$B$17,ROW($A29)-ROW($A$26)+(ROW(EM!$C$46)-ROW(EM!$C$14))*(MATCH(N$22,EM!$B$6:$B$9,0)-1),MIN(N$23-EM!$B$16+21,EM!$AF$16-EM!$B$16)),0)+
IF(ROUND(N$11,0)&gt;=23,OFFSET(EM!$B$17,ROW($A29)-ROW($A$26)+(ROW(EM!$C$46)-ROW(EM!$C$14))*(MATCH(N$22,EM!$B$6:$B$9,0)-1),MIN(N$23-EM!$B$16+22,EM!$AF$16-EM!$B$16)),0)+
IF(ROUND(N$11,0)&gt;=24,OFFSET(EM!$B$17,ROW($A29)-ROW($A$26)+(ROW(EM!$C$46)-ROW(EM!$C$14))*(MATCH(N$22,EM!$B$6:$B$9,0)-1),MIN(N$23-EM!$B$16+23,EM!$AF$16-EM!$B$16)),0)+
IF(ROUND(N$11,0)&gt;=25,OFFSET(EM!$B$17,ROW($A29)-ROW($A$26)+(ROW(EM!$C$46)-ROW(EM!$C$14))*(MATCH(N$22,EM!$B$6:$B$9,0)-1),MIN(N$23-EM!$B$16+24,EM!$AF$16-EM!$B$16)),0)+
IF(ROUND(N$11,0)&gt;=26,OFFSET(EM!$B$17,ROW($A29)-ROW($A$26)+(ROW(EM!$C$46)-ROW(EM!$C$14))*(MATCH(N$22,EM!$B$6:$B$9,0)-1),MIN(N$23-EM!$B$16+25,EM!$AF$16-EM!$B$16)),0)+
IF(ROUND(N$11,0)&gt;=27,OFFSET(EM!$B$17,ROW($A29)-ROW($A$26)+(ROW(EM!$C$46)-ROW(EM!$C$14))*(MATCH(N$22,EM!$B$6:$B$9,0)-1),MIN(N$23-EM!$B$16+26,EM!$AF$16-EM!$B$16)),0)+
IF(ROUND(N$11,0)&gt;=28,OFFSET(EM!$B$17,ROW($A29)-ROW($A$26)+(ROW(EM!$C$46)-ROW(EM!$C$14))*(MATCH(N$22,EM!$B$6:$B$9,0)-1),MIN(N$23-EM!$B$16+27,EM!$AF$16-EM!$B$16)),0)+
IF(ROUND(N$11,0)&gt;=29,OFFSET(EM!$B$17,ROW($A29)-ROW($A$26)+(ROW(EM!$C$46)-ROW(EM!$C$14))*(MATCH(N$22,EM!$B$6:$B$9,0)-1),MIN(N$23-EM!$B$16+28,EM!$AF$16-EM!$B$16)),0)+
IF(ROUND(N$11,0)&gt;=30,OFFSET(EM!$B$17,ROW($A29)-ROW($A$26)+(ROW(EM!$C$46)-ROW(EM!$C$14))*(MATCH(N$22,EM!$B$6:$B$9,0)-1),MIN(N$23-EM!$B$16+29,EM!$AF$16-EM!$B$16)),0)+
IF(ROUND(N$11,0)&gt;=31,OFFSET(EM!$B$17,ROW($A29)-ROW($A$26)+(ROW(EM!$C$46)-ROW(EM!$C$14))*(MATCH(N$22,EM!$B$6:$B$9,0)-1),MIN(N$23-EM!$B$16+30,EM!$AF$16-EM!$B$16)),0)+
IF(ROUND(N$11,0)&gt;=32,OFFSET(EM!$B$17,ROW($A29)-ROW($A$26)+(ROW(EM!$C$46)-ROW(EM!$C$14))*(MATCH(N$22,EM!$B$6:$B$9,0)-1),MIN(N$23-EM!$B$16+31,EM!$AF$16-EM!$B$16)),0)+
IF(ROUND(N$11,0)&gt;=33,OFFSET(EM!$B$17,ROW($A29)-ROW($A$26)+(ROW(EM!$C$46)-ROW(EM!$C$14))*(MATCH(N$22,EM!$B$6:$B$9,0)-1),MIN(N$23-EM!$B$16+32,EM!$AF$16-EM!$B$16)),0)+
IF(ROUND(N$11,0)&gt;=34,OFFSET(EM!$B$17,ROW($A29)-ROW($A$26)+(ROW(EM!$C$46)-ROW(EM!$C$14))*(MATCH(N$22,EM!$B$6:$B$9,0)-1),MIN(N$23-EM!$B$16+33,EM!$AF$16-EM!$B$16)),0)+
IF(ROUND(N$11,0)&gt;=35,OFFSET(EM!$B$17,ROW($A29)-ROW($A$26)+(ROW(EM!$C$46)-ROW(EM!$C$14))*(MATCH(N$22,EM!$B$6:$B$9,0)-1),MIN(N$23-EM!$B$16+34,EM!$AF$16-EM!$B$16)),0)+
IF(ROUND(N$11,0)&gt;=36,OFFSET(EM!$B$17,ROW($A29)-ROW($A$26)+(ROW(EM!$C$46)-ROW(EM!$C$14))*(MATCH(N$22,EM!$B$6:$B$9,0)-1),MIN(N$23-EM!$B$16+35,EM!$AF$16-EM!$B$16)),0)+
IF(ROUND(N$11,0)&gt;=37,OFFSET(EM!$B$17,ROW($A29)-ROW($A$26)+(ROW(EM!$C$46)-ROW(EM!$C$14))*(MATCH(N$22,EM!$B$6:$B$9,0)-1),MIN(N$23-EM!$B$16+36,EM!$AF$16-EM!$B$16)),0)+
IF(ROUND(N$11,0)&gt;=38,OFFSET(EM!$B$17,ROW($A29)-ROW($A$26)+(ROW(EM!$C$46)-ROW(EM!$C$14))*(MATCH(N$22,EM!$B$6:$B$9,0)-1),MIN(N$23-EM!$B$16+37,EM!$AF$16-EM!$B$16)),0)+
IF(ROUND(N$11,0)&gt;=39,OFFSET(EM!$B$17,ROW($A29)-ROW($A$26)+(ROW(EM!$C$46)-ROW(EM!$C$14))*(MATCH(N$22,EM!$B$6:$B$9,0)-1),MIN(N$23-EM!$B$16+38,EM!$AF$16-EM!$B$16)),0)+
IF(ROUND(N$11,0)&gt;=40,OFFSET(EM!$B$17,ROW($A29)-ROW($A$26)+(ROW(EM!$C$46)-ROW(EM!$C$14))*(MATCH(N$22,EM!$B$6:$B$9,0)-1),MIN(N$23-EM!$B$16+39,EM!$AF$16-EM!$B$16)),0)
)/ROUND(N$11,0),NA()))</f>
        <v>5.3161553469923108E-2</v>
      </c>
      <c r="O29" s="2046">
        <f ca="1">IF(O$19=GPG!$A$28,IF(ROW(O29)-ROW(O$26)+1=MATCH(O$20,GPG!$A$5:$A$11,0),1,0),
IF(O$19=GPG!$A$29,
(IF(ROUND(O$11,0)&gt;=1,OFFSET(EM!$B$17,ROW($A29)-ROW($A$26)+(ROW(EM!$C$46)-ROW(EM!$C$14))*(MATCH(O$22,EM!$B$6:$B$9,0)-1),MIN(O$23-EM!$B$16,EM!$AF$16-EM!$B$16)),0)+
IF(ROUND(O$11,0)&gt;=2,OFFSET(EM!$B$17,ROW($A29)-ROW($A$26)+(ROW(EM!$C$46)-ROW(EM!$C$14))*(MATCH(O$22,EM!$B$6:$B$9,0)-1),MIN(O$23-EM!$B$16+1,EM!$AF$16-EM!$B$16)),0)+
IF(ROUND(O$11,0)&gt;=3,OFFSET(EM!$B$17,ROW($A29)-ROW($A$26)+(ROW(EM!$C$46)-ROW(EM!$C$14))*(MATCH(O$22,EM!$B$6:$B$9,0)-1),MIN(O$23-EM!$B$16+2,EM!$AF$16-EM!$B$16)),0)+
IF(ROUND(O$11,0)&gt;=4,OFFSET(EM!$B$17,ROW($A29)-ROW($A$26)+(ROW(EM!$C$46)-ROW(EM!$C$14))*(MATCH(O$22,EM!$B$6:$B$9,0)-1),MIN(O$23-EM!$B$16+3,EM!$AF$16-EM!$B$16)),0)+
IF(ROUND(O$11,0)&gt;=5,OFFSET(EM!$B$17,ROW($A29)-ROW($A$26)+(ROW(EM!$C$46)-ROW(EM!$C$14))*(MATCH(O$22,EM!$B$6:$B$9,0)-1),MIN(O$23-EM!$B$16+4,EM!$AF$16-EM!$B$16)),0)+
IF(ROUND(O$11,0)&gt;=6,OFFSET(EM!$B$17,ROW($A29)-ROW($A$26)+(ROW(EM!$C$46)-ROW(EM!$C$14))*(MATCH(O$22,EM!$B$6:$B$9,0)-1),MIN(O$23-EM!$B$16+5,EM!$AF$16-EM!$B$16)),0)+
IF(ROUND(O$11,0)&gt;=7,OFFSET(EM!$B$17,ROW($A29)-ROW($A$26)+(ROW(EM!$C$46)-ROW(EM!$C$14))*(MATCH(O$22,EM!$B$6:$B$9,0)-1),MIN(O$23-EM!$B$16+6,EM!$AF$16-EM!$B$16)),0)+
IF(ROUND(O$11,0)&gt;=8,OFFSET(EM!$B$17,ROW($A29)-ROW($A$26)+(ROW(EM!$C$46)-ROW(EM!$C$14))*(MATCH(O$22,EM!$B$6:$B$9,0)-1),MIN(O$23-EM!$B$16+7,EM!$AF$16-EM!$B$16)),0)+
IF(ROUND(O$11,0)&gt;=9,OFFSET(EM!$B$17,ROW($A29)-ROW($A$26)+(ROW(EM!$C$46)-ROW(EM!$C$14))*(MATCH(O$22,EM!$B$6:$B$9,0)-1),MIN(O$23-EM!$B$16+8,EM!$AF$16-EM!$B$16)),0)+
IF(ROUND(O$11,0)&gt;=10,OFFSET(EM!$B$17,ROW($A29)-ROW($A$26)+(ROW(EM!$C$46)-ROW(EM!$C$14))*(MATCH(O$22,EM!$B$6:$B$9,0)-1),MIN(O$23-EM!$B$16+9,EM!$AF$16-EM!$B$16)),0)+
IF(ROUND(O$11,0)&gt;=11,OFFSET(EM!$B$17,ROW($A29)-ROW($A$26)+(ROW(EM!$C$46)-ROW(EM!$C$14))*(MATCH(O$22,EM!$B$6:$B$9,0)-1),MIN(O$23-EM!$B$16+10,EM!$AF$16-EM!$B$16)),0)+
IF(ROUND(O$11,0)&gt;=12,OFFSET(EM!$B$17,ROW($A29)-ROW($A$26)+(ROW(EM!$C$46)-ROW(EM!$C$14))*(MATCH(O$22,EM!$B$6:$B$9,0)-1),MIN(O$23-EM!$B$16+11,EM!$AF$16-EM!$B$16)),0)+
IF(ROUND(O$11,0)&gt;=13,OFFSET(EM!$B$17,ROW($A29)-ROW($A$26)+(ROW(EM!$C$46)-ROW(EM!$C$14))*(MATCH(O$22,EM!$B$6:$B$9,0)-1),MIN(O$23-EM!$B$16+12,EM!$AF$16-EM!$B$16)),0)+
IF(ROUND(O$11,0)&gt;=14,OFFSET(EM!$B$17,ROW($A29)-ROW($A$26)+(ROW(EM!$C$46)-ROW(EM!$C$14))*(MATCH(O$22,EM!$B$6:$B$9,0)-1),MIN(O$23-EM!$B$16+13,EM!$AF$16-EM!$B$16)),0)+
IF(ROUND(O$11,0)&gt;=15,OFFSET(EM!$B$17,ROW($A29)-ROW($A$26)+(ROW(EM!$C$46)-ROW(EM!$C$14))*(MATCH(O$22,EM!$B$6:$B$9,0)-1),MIN(O$23-EM!$B$16+14,EM!$AF$16-EM!$B$16)),0)+
IF(ROUND(O$11,0)&gt;=16,OFFSET(EM!$B$17,ROW($A29)-ROW($A$26)+(ROW(EM!$C$46)-ROW(EM!$C$14))*(MATCH(O$22,EM!$B$6:$B$9,0)-1),MIN(O$23-EM!$B$16+15,EM!$AF$16-EM!$B$16)),0)+
IF(ROUND(O$11,0)&gt;=17,OFFSET(EM!$B$17,ROW($A29)-ROW($A$26)+(ROW(EM!$C$46)-ROW(EM!$C$14))*(MATCH(O$22,EM!$B$6:$B$9,0)-1),MIN(O$23-EM!$B$16+16,EM!$AF$16-EM!$B$16)),0)+
IF(ROUND(O$11,0)&gt;=18,OFFSET(EM!$B$17,ROW($A29)-ROW($A$26)+(ROW(EM!$C$46)-ROW(EM!$C$14))*(MATCH(O$22,EM!$B$6:$B$9,0)-1),MIN(O$23-EM!$B$16+17,EM!$AF$16-EM!$B$16)),0)+
IF(ROUND(O$11,0)&gt;=19,OFFSET(EM!$B$17,ROW($A29)-ROW($A$26)+(ROW(EM!$C$46)-ROW(EM!$C$14))*(MATCH(O$22,EM!$B$6:$B$9,0)-1),MIN(O$23-EM!$B$16+18,EM!$AF$16-EM!$B$16)),0)+
IF(ROUND(O$11,0)&gt;=20,OFFSET(EM!$B$17,ROW($A29)-ROW($A$26)+(ROW(EM!$C$46)-ROW(EM!$C$14))*(MATCH(O$22,EM!$B$6:$B$9,0)-1),MIN(O$23-EM!$B$16+19,EM!$AF$16-EM!$B$16)),0)+
IF(ROUND(O$11,0)&gt;=21,OFFSET(EM!$B$17,ROW($A29)-ROW($A$26)+(ROW(EM!$C$46)-ROW(EM!$C$14))*(MATCH(O$22,EM!$B$6:$B$9,0)-1),MIN(O$23-EM!$B$16+20,EM!$AF$16-EM!$B$16)),0)+
IF(ROUND(O$11,0)&gt;=22,OFFSET(EM!$B$17,ROW($A29)-ROW($A$26)+(ROW(EM!$C$46)-ROW(EM!$C$14))*(MATCH(O$22,EM!$B$6:$B$9,0)-1),MIN(O$23-EM!$B$16+21,EM!$AF$16-EM!$B$16)),0)+
IF(ROUND(O$11,0)&gt;=23,OFFSET(EM!$B$17,ROW($A29)-ROW($A$26)+(ROW(EM!$C$46)-ROW(EM!$C$14))*(MATCH(O$22,EM!$B$6:$B$9,0)-1),MIN(O$23-EM!$B$16+22,EM!$AF$16-EM!$B$16)),0)+
IF(ROUND(O$11,0)&gt;=24,OFFSET(EM!$B$17,ROW($A29)-ROW($A$26)+(ROW(EM!$C$46)-ROW(EM!$C$14))*(MATCH(O$22,EM!$B$6:$B$9,0)-1),MIN(O$23-EM!$B$16+23,EM!$AF$16-EM!$B$16)),0)+
IF(ROUND(O$11,0)&gt;=25,OFFSET(EM!$B$17,ROW($A29)-ROW($A$26)+(ROW(EM!$C$46)-ROW(EM!$C$14))*(MATCH(O$22,EM!$B$6:$B$9,0)-1),MIN(O$23-EM!$B$16+24,EM!$AF$16-EM!$B$16)),0)+
IF(ROUND(O$11,0)&gt;=26,OFFSET(EM!$B$17,ROW($A29)-ROW($A$26)+(ROW(EM!$C$46)-ROW(EM!$C$14))*(MATCH(O$22,EM!$B$6:$B$9,0)-1),MIN(O$23-EM!$B$16+25,EM!$AF$16-EM!$B$16)),0)+
IF(ROUND(O$11,0)&gt;=27,OFFSET(EM!$B$17,ROW($A29)-ROW($A$26)+(ROW(EM!$C$46)-ROW(EM!$C$14))*(MATCH(O$22,EM!$B$6:$B$9,0)-1),MIN(O$23-EM!$B$16+26,EM!$AF$16-EM!$B$16)),0)+
IF(ROUND(O$11,0)&gt;=28,OFFSET(EM!$B$17,ROW($A29)-ROW($A$26)+(ROW(EM!$C$46)-ROW(EM!$C$14))*(MATCH(O$22,EM!$B$6:$B$9,0)-1),MIN(O$23-EM!$B$16+27,EM!$AF$16-EM!$B$16)),0)+
IF(ROUND(O$11,0)&gt;=29,OFFSET(EM!$B$17,ROW($A29)-ROW($A$26)+(ROW(EM!$C$46)-ROW(EM!$C$14))*(MATCH(O$22,EM!$B$6:$B$9,0)-1),MIN(O$23-EM!$B$16+28,EM!$AF$16-EM!$B$16)),0)+
IF(ROUND(O$11,0)&gt;=30,OFFSET(EM!$B$17,ROW($A29)-ROW($A$26)+(ROW(EM!$C$46)-ROW(EM!$C$14))*(MATCH(O$22,EM!$B$6:$B$9,0)-1),MIN(O$23-EM!$B$16+29,EM!$AF$16-EM!$B$16)),0)+
IF(ROUND(O$11,0)&gt;=31,OFFSET(EM!$B$17,ROW($A29)-ROW($A$26)+(ROW(EM!$C$46)-ROW(EM!$C$14))*(MATCH(O$22,EM!$B$6:$B$9,0)-1),MIN(O$23-EM!$B$16+30,EM!$AF$16-EM!$B$16)),0)+
IF(ROUND(O$11,0)&gt;=32,OFFSET(EM!$B$17,ROW($A29)-ROW($A$26)+(ROW(EM!$C$46)-ROW(EM!$C$14))*(MATCH(O$22,EM!$B$6:$B$9,0)-1),MIN(O$23-EM!$B$16+31,EM!$AF$16-EM!$B$16)),0)+
IF(ROUND(O$11,0)&gt;=33,OFFSET(EM!$B$17,ROW($A29)-ROW($A$26)+(ROW(EM!$C$46)-ROW(EM!$C$14))*(MATCH(O$22,EM!$B$6:$B$9,0)-1),MIN(O$23-EM!$B$16+32,EM!$AF$16-EM!$B$16)),0)+
IF(ROUND(O$11,0)&gt;=34,OFFSET(EM!$B$17,ROW($A29)-ROW($A$26)+(ROW(EM!$C$46)-ROW(EM!$C$14))*(MATCH(O$22,EM!$B$6:$B$9,0)-1),MIN(O$23-EM!$B$16+33,EM!$AF$16-EM!$B$16)),0)+
IF(ROUND(O$11,0)&gt;=35,OFFSET(EM!$B$17,ROW($A29)-ROW($A$26)+(ROW(EM!$C$46)-ROW(EM!$C$14))*(MATCH(O$22,EM!$B$6:$B$9,0)-1),MIN(O$23-EM!$B$16+34,EM!$AF$16-EM!$B$16)),0)+
IF(ROUND(O$11,0)&gt;=36,OFFSET(EM!$B$17,ROW($A29)-ROW($A$26)+(ROW(EM!$C$46)-ROW(EM!$C$14))*(MATCH(O$22,EM!$B$6:$B$9,0)-1),MIN(O$23-EM!$B$16+35,EM!$AF$16-EM!$B$16)),0)+
IF(ROUND(O$11,0)&gt;=37,OFFSET(EM!$B$17,ROW($A29)-ROW($A$26)+(ROW(EM!$C$46)-ROW(EM!$C$14))*(MATCH(O$22,EM!$B$6:$B$9,0)-1),MIN(O$23-EM!$B$16+36,EM!$AF$16-EM!$B$16)),0)+
IF(ROUND(O$11,0)&gt;=38,OFFSET(EM!$B$17,ROW($A29)-ROW($A$26)+(ROW(EM!$C$46)-ROW(EM!$C$14))*(MATCH(O$22,EM!$B$6:$B$9,0)-1),MIN(O$23-EM!$B$16+37,EM!$AF$16-EM!$B$16)),0)+
IF(ROUND(O$11,0)&gt;=39,OFFSET(EM!$B$17,ROW($A29)-ROW($A$26)+(ROW(EM!$C$46)-ROW(EM!$C$14))*(MATCH(O$22,EM!$B$6:$B$9,0)-1),MIN(O$23-EM!$B$16+38,EM!$AF$16-EM!$B$16)),0)+
IF(ROUND(O$11,0)&gt;=40,OFFSET(EM!$B$17,ROW($A29)-ROW($A$26)+(ROW(EM!$C$46)-ROW(EM!$C$14))*(MATCH(O$22,EM!$B$6:$B$9,0)-1),MIN(O$23-EM!$B$16+39,EM!$AF$16-EM!$B$16)),0)
)/ROUND(O$11,0),NA()))</f>
        <v>3.4347831172193803E-2</v>
      </c>
      <c r="P29" s="2046">
        <f ca="1">IF(P$19=GPG!$A$28,IF(ROW(P29)-ROW(P$26)+1=MATCH(P$20,GPG!$A$5:$A$11,0),1,0),
IF(P$19=GPG!$A$29,
(IF(ROUND(P$11,0)&gt;=1,OFFSET(EM!$B$17,ROW($A29)-ROW($A$26)+(ROW(EM!$C$46)-ROW(EM!$C$14))*(MATCH(P$22,EM!$B$6:$B$9,0)-1),MIN(P$23-EM!$B$16,EM!$AF$16-EM!$B$16)),0)+
IF(ROUND(P$11,0)&gt;=2,OFFSET(EM!$B$17,ROW($A29)-ROW($A$26)+(ROW(EM!$C$46)-ROW(EM!$C$14))*(MATCH(P$22,EM!$B$6:$B$9,0)-1),MIN(P$23-EM!$B$16+1,EM!$AF$16-EM!$B$16)),0)+
IF(ROUND(P$11,0)&gt;=3,OFFSET(EM!$B$17,ROW($A29)-ROW($A$26)+(ROW(EM!$C$46)-ROW(EM!$C$14))*(MATCH(P$22,EM!$B$6:$B$9,0)-1),MIN(P$23-EM!$B$16+2,EM!$AF$16-EM!$B$16)),0)+
IF(ROUND(P$11,0)&gt;=4,OFFSET(EM!$B$17,ROW($A29)-ROW($A$26)+(ROW(EM!$C$46)-ROW(EM!$C$14))*(MATCH(P$22,EM!$B$6:$B$9,0)-1),MIN(P$23-EM!$B$16+3,EM!$AF$16-EM!$B$16)),0)+
IF(ROUND(P$11,0)&gt;=5,OFFSET(EM!$B$17,ROW($A29)-ROW($A$26)+(ROW(EM!$C$46)-ROW(EM!$C$14))*(MATCH(P$22,EM!$B$6:$B$9,0)-1),MIN(P$23-EM!$B$16+4,EM!$AF$16-EM!$B$16)),0)+
IF(ROUND(P$11,0)&gt;=6,OFFSET(EM!$B$17,ROW($A29)-ROW($A$26)+(ROW(EM!$C$46)-ROW(EM!$C$14))*(MATCH(P$22,EM!$B$6:$B$9,0)-1),MIN(P$23-EM!$B$16+5,EM!$AF$16-EM!$B$16)),0)+
IF(ROUND(P$11,0)&gt;=7,OFFSET(EM!$B$17,ROW($A29)-ROW($A$26)+(ROW(EM!$C$46)-ROW(EM!$C$14))*(MATCH(P$22,EM!$B$6:$B$9,0)-1),MIN(P$23-EM!$B$16+6,EM!$AF$16-EM!$B$16)),0)+
IF(ROUND(P$11,0)&gt;=8,OFFSET(EM!$B$17,ROW($A29)-ROW($A$26)+(ROW(EM!$C$46)-ROW(EM!$C$14))*(MATCH(P$22,EM!$B$6:$B$9,0)-1),MIN(P$23-EM!$B$16+7,EM!$AF$16-EM!$B$16)),0)+
IF(ROUND(P$11,0)&gt;=9,OFFSET(EM!$B$17,ROW($A29)-ROW($A$26)+(ROW(EM!$C$46)-ROW(EM!$C$14))*(MATCH(P$22,EM!$B$6:$B$9,0)-1),MIN(P$23-EM!$B$16+8,EM!$AF$16-EM!$B$16)),0)+
IF(ROUND(P$11,0)&gt;=10,OFFSET(EM!$B$17,ROW($A29)-ROW($A$26)+(ROW(EM!$C$46)-ROW(EM!$C$14))*(MATCH(P$22,EM!$B$6:$B$9,0)-1),MIN(P$23-EM!$B$16+9,EM!$AF$16-EM!$B$16)),0)+
IF(ROUND(P$11,0)&gt;=11,OFFSET(EM!$B$17,ROW($A29)-ROW($A$26)+(ROW(EM!$C$46)-ROW(EM!$C$14))*(MATCH(P$22,EM!$B$6:$B$9,0)-1),MIN(P$23-EM!$B$16+10,EM!$AF$16-EM!$B$16)),0)+
IF(ROUND(P$11,0)&gt;=12,OFFSET(EM!$B$17,ROW($A29)-ROW($A$26)+(ROW(EM!$C$46)-ROW(EM!$C$14))*(MATCH(P$22,EM!$B$6:$B$9,0)-1),MIN(P$23-EM!$B$16+11,EM!$AF$16-EM!$B$16)),0)+
IF(ROUND(P$11,0)&gt;=13,OFFSET(EM!$B$17,ROW($A29)-ROW($A$26)+(ROW(EM!$C$46)-ROW(EM!$C$14))*(MATCH(P$22,EM!$B$6:$B$9,0)-1),MIN(P$23-EM!$B$16+12,EM!$AF$16-EM!$B$16)),0)+
IF(ROUND(P$11,0)&gt;=14,OFFSET(EM!$B$17,ROW($A29)-ROW($A$26)+(ROW(EM!$C$46)-ROW(EM!$C$14))*(MATCH(P$22,EM!$B$6:$B$9,0)-1),MIN(P$23-EM!$B$16+13,EM!$AF$16-EM!$B$16)),0)+
IF(ROUND(P$11,0)&gt;=15,OFFSET(EM!$B$17,ROW($A29)-ROW($A$26)+(ROW(EM!$C$46)-ROW(EM!$C$14))*(MATCH(P$22,EM!$B$6:$B$9,0)-1),MIN(P$23-EM!$B$16+14,EM!$AF$16-EM!$B$16)),0)+
IF(ROUND(P$11,0)&gt;=16,OFFSET(EM!$B$17,ROW($A29)-ROW($A$26)+(ROW(EM!$C$46)-ROW(EM!$C$14))*(MATCH(P$22,EM!$B$6:$B$9,0)-1),MIN(P$23-EM!$B$16+15,EM!$AF$16-EM!$B$16)),0)+
IF(ROUND(P$11,0)&gt;=17,OFFSET(EM!$B$17,ROW($A29)-ROW($A$26)+(ROW(EM!$C$46)-ROW(EM!$C$14))*(MATCH(P$22,EM!$B$6:$B$9,0)-1),MIN(P$23-EM!$B$16+16,EM!$AF$16-EM!$B$16)),0)+
IF(ROUND(P$11,0)&gt;=18,OFFSET(EM!$B$17,ROW($A29)-ROW($A$26)+(ROW(EM!$C$46)-ROW(EM!$C$14))*(MATCH(P$22,EM!$B$6:$B$9,0)-1),MIN(P$23-EM!$B$16+17,EM!$AF$16-EM!$B$16)),0)+
IF(ROUND(P$11,0)&gt;=19,OFFSET(EM!$B$17,ROW($A29)-ROW($A$26)+(ROW(EM!$C$46)-ROW(EM!$C$14))*(MATCH(P$22,EM!$B$6:$B$9,0)-1),MIN(P$23-EM!$B$16+18,EM!$AF$16-EM!$B$16)),0)+
IF(ROUND(P$11,0)&gt;=20,OFFSET(EM!$B$17,ROW($A29)-ROW($A$26)+(ROW(EM!$C$46)-ROW(EM!$C$14))*(MATCH(P$22,EM!$B$6:$B$9,0)-1),MIN(P$23-EM!$B$16+19,EM!$AF$16-EM!$B$16)),0)+
IF(ROUND(P$11,0)&gt;=21,OFFSET(EM!$B$17,ROW($A29)-ROW($A$26)+(ROW(EM!$C$46)-ROW(EM!$C$14))*(MATCH(P$22,EM!$B$6:$B$9,0)-1),MIN(P$23-EM!$B$16+20,EM!$AF$16-EM!$B$16)),0)+
IF(ROUND(P$11,0)&gt;=22,OFFSET(EM!$B$17,ROW($A29)-ROW($A$26)+(ROW(EM!$C$46)-ROW(EM!$C$14))*(MATCH(P$22,EM!$B$6:$B$9,0)-1),MIN(P$23-EM!$B$16+21,EM!$AF$16-EM!$B$16)),0)+
IF(ROUND(P$11,0)&gt;=23,OFFSET(EM!$B$17,ROW($A29)-ROW($A$26)+(ROW(EM!$C$46)-ROW(EM!$C$14))*(MATCH(P$22,EM!$B$6:$B$9,0)-1),MIN(P$23-EM!$B$16+22,EM!$AF$16-EM!$B$16)),0)+
IF(ROUND(P$11,0)&gt;=24,OFFSET(EM!$B$17,ROW($A29)-ROW($A$26)+(ROW(EM!$C$46)-ROW(EM!$C$14))*(MATCH(P$22,EM!$B$6:$B$9,0)-1),MIN(P$23-EM!$B$16+23,EM!$AF$16-EM!$B$16)),0)+
IF(ROUND(P$11,0)&gt;=25,OFFSET(EM!$B$17,ROW($A29)-ROW($A$26)+(ROW(EM!$C$46)-ROW(EM!$C$14))*(MATCH(P$22,EM!$B$6:$B$9,0)-1),MIN(P$23-EM!$B$16+24,EM!$AF$16-EM!$B$16)),0)+
IF(ROUND(P$11,0)&gt;=26,OFFSET(EM!$B$17,ROW($A29)-ROW($A$26)+(ROW(EM!$C$46)-ROW(EM!$C$14))*(MATCH(P$22,EM!$B$6:$B$9,0)-1),MIN(P$23-EM!$B$16+25,EM!$AF$16-EM!$B$16)),0)+
IF(ROUND(P$11,0)&gt;=27,OFFSET(EM!$B$17,ROW($A29)-ROW($A$26)+(ROW(EM!$C$46)-ROW(EM!$C$14))*(MATCH(P$22,EM!$B$6:$B$9,0)-1),MIN(P$23-EM!$B$16+26,EM!$AF$16-EM!$B$16)),0)+
IF(ROUND(P$11,0)&gt;=28,OFFSET(EM!$B$17,ROW($A29)-ROW($A$26)+(ROW(EM!$C$46)-ROW(EM!$C$14))*(MATCH(P$22,EM!$B$6:$B$9,0)-1),MIN(P$23-EM!$B$16+27,EM!$AF$16-EM!$B$16)),0)+
IF(ROUND(P$11,0)&gt;=29,OFFSET(EM!$B$17,ROW($A29)-ROW($A$26)+(ROW(EM!$C$46)-ROW(EM!$C$14))*(MATCH(P$22,EM!$B$6:$B$9,0)-1),MIN(P$23-EM!$B$16+28,EM!$AF$16-EM!$B$16)),0)+
IF(ROUND(P$11,0)&gt;=30,OFFSET(EM!$B$17,ROW($A29)-ROW($A$26)+(ROW(EM!$C$46)-ROW(EM!$C$14))*(MATCH(P$22,EM!$B$6:$B$9,0)-1),MIN(P$23-EM!$B$16+29,EM!$AF$16-EM!$B$16)),0)+
IF(ROUND(P$11,0)&gt;=31,OFFSET(EM!$B$17,ROW($A29)-ROW($A$26)+(ROW(EM!$C$46)-ROW(EM!$C$14))*(MATCH(P$22,EM!$B$6:$B$9,0)-1),MIN(P$23-EM!$B$16+30,EM!$AF$16-EM!$B$16)),0)+
IF(ROUND(P$11,0)&gt;=32,OFFSET(EM!$B$17,ROW($A29)-ROW($A$26)+(ROW(EM!$C$46)-ROW(EM!$C$14))*(MATCH(P$22,EM!$B$6:$B$9,0)-1),MIN(P$23-EM!$B$16+31,EM!$AF$16-EM!$B$16)),0)+
IF(ROUND(P$11,0)&gt;=33,OFFSET(EM!$B$17,ROW($A29)-ROW($A$26)+(ROW(EM!$C$46)-ROW(EM!$C$14))*(MATCH(P$22,EM!$B$6:$B$9,0)-1),MIN(P$23-EM!$B$16+32,EM!$AF$16-EM!$B$16)),0)+
IF(ROUND(P$11,0)&gt;=34,OFFSET(EM!$B$17,ROW($A29)-ROW($A$26)+(ROW(EM!$C$46)-ROW(EM!$C$14))*(MATCH(P$22,EM!$B$6:$B$9,0)-1),MIN(P$23-EM!$B$16+33,EM!$AF$16-EM!$B$16)),0)+
IF(ROUND(P$11,0)&gt;=35,OFFSET(EM!$B$17,ROW($A29)-ROW($A$26)+(ROW(EM!$C$46)-ROW(EM!$C$14))*(MATCH(P$22,EM!$B$6:$B$9,0)-1),MIN(P$23-EM!$B$16+34,EM!$AF$16-EM!$B$16)),0)+
IF(ROUND(P$11,0)&gt;=36,OFFSET(EM!$B$17,ROW($A29)-ROW($A$26)+(ROW(EM!$C$46)-ROW(EM!$C$14))*(MATCH(P$22,EM!$B$6:$B$9,0)-1),MIN(P$23-EM!$B$16+35,EM!$AF$16-EM!$B$16)),0)+
IF(ROUND(P$11,0)&gt;=37,OFFSET(EM!$B$17,ROW($A29)-ROW($A$26)+(ROW(EM!$C$46)-ROW(EM!$C$14))*(MATCH(P$22,EM!$B$6:$B$9,0)-1),MIN(P$23-EM!$B$16+36,EM!$AF$16-EM!$B$16)),0)+
IF(ROUND(P$11,0)&gt;=38,OFFSET(EM!$B$17,ROW($A29)-ROW($A$26)+(ROW(EM!$C$46)-ROW(EM!$C$14))*(MATCH(P$22,EM!$B$6:$B$9,0)-1),MIN(P$23-EM!$B$16+37,EM!$AF$16-EM!$B$16)),0)+
IF(ROUND(P$11,0)&gt;=39,OFFSET(EM!$B$17,ROW($A29)-ROW($A$26)+(ROW(EM!$C$46)-ROW(EM!$C$14))*(MATCH(P$22,EM!$B$6:$B$9,0)-1),MIN(P$23-EM!$B$16+38,EM!$AF$16-EM!$B$16)),0)+
IF(ROUND(P$11,0)&gt;=40,OFFSET(EM!$B$17,ROW($A29)-ROW($A$26)+(ROW(EM!$C$46)-ROW(EM!$C$14))*(MATCH(P$22,EM!$B$6:$B$9,0)-1),MIN(P$23-EM!$B$16+39,EM!$AF$16-EM!$B$16)),0)
)/ROUND(P$11,0),NA()))</f>
        <v>3.4347831172193803E-2</v>
      </c>
      <c r="Q29" s="2046">
        <f ca="1">IF(Q$19=GPG!$A$28,IF(ROW(Q29)-ROW(Q$26)+1=MATCH(Q$20,GPG!$A$5:$A$11,0),1,0),
IF(Q$19=GPG!$A$29,
(IF(ROUND(Q$11,0)&gt;=1,OFFSET(EM!$B$17,ROW($A29)-ROW($A$26)+(ROW(EM!$C$46)-ROW(EM!$C$14))*(MATCH(Q$22,EM!$B$6:$B$9,0)-1),MIN(Q$23-EM!$B$16,EM!$AF$16-EM!$B$16)),0)+
IF(ROUND(Q$11,0)&gt;=2,OFFSET(EM!$B$17,ROW($A29)-ROW($A$26)+(ROW(EM!$C$46)-ROW(EM!$C$14))*(MATCH(Q$22,EM!$B$6:$B$9,0)-1),MIN(Q$23-EM!$B$16+1,EM!$AF$16-EM!$B$16)),0)+
IF(ROUND(Q$11,0)&gt;=3,OFFSET(EM!$B$17,ROW($A29)-ROW($A$26)+(ROW(EM!$C$46)-ROW(EM!$C$14))*(MATCH(Q$22,EM!$B$6:$B$9,0)-1),MIN(Q$23-EM!$B$16+2,EM!$AF$16-EM!$B$16)),0)+
IF(ROUND(Q$11,0)&gt;=4,OFFSET(EM!$B$17,ROW($A29)-ROW($A$26)+(ROW(EM!$C$46)-ROW(EM!$C$14))*(MATCH(Q$22,EM!$B$6:$B$9,0)-1),MIN(Q$23-EM!$B$16+3,EM!$AF$16-EM!$B$16)),0)+
IF(ROUND(Q$11,0)&gt;=5,OFFSET(EM!$B$17,ROW($A29)-ROW($A$26)+(ROW(EM!$C$46)-ROW(EM!$C$14))*(MATCH(Q$22,EM!$B$6:$B$9,0)-1),MIN(Q$23-EM!$B$16+4,EM!$AF$16-EM!$B$16)),0)+
IF(ROUND(Q$11,0)&gt;=6,OFFSET(EM!$B$17,ROW($A29)-ROW($A$26)+(ROW(EM!$C$46)-ROW(EM!$C$14))*(MATCH(Q$22,EM!$B$6:$B$9,0)-1),MIN(Q$23-EM!$B$16+5,EM!$AF$16-EM!$B$16)),0)+
IF(ROUND(Q$11,0)&gt;=7,OFFSET(EM!$B$17,ROW($A29)-ROW($A$26)+(ROW(EM!$C$46)-ROW(EM!$C$14))*(MATCH(Q$22,EM!$B$6:$B$9,0)-1),MIN(Q$23-EM!$B$16+6,EM!$AF$16-EM!$B$16)),0)+
IF(ROUND(Q$11,0)&gt;=8,OFFSET(EM!$B$17,ROW($A29)-ROW($A$26)+(ROW(EM!$C$46)-ROW(EM!$C$14))*(MATCH(Q$22,EM!$B$6:$B$9,0)-1),MIN(Q$23-EM!$B$16+7,EM!$AF$16-EM!$B$16)),0)+
IF(ROUND(Q$11,0)&gt;=9,OFFSET(EM!$B$17,ROW($A29)-ROW($A$26)+(ROW(EM!$C$46)-ROW(EM!$C$14))*(MATCH(Q$22,EM!$B$6:$B$9,0)-1),MIN(Q$23-EM!$B$16+8,EM!$AF$16-EM!$B$16)),0)+
IF(ROUND(Q$11,0)&gt;=10,OFFSET(EM!$B$17,ROW($A29)-ROW($A$26)+(ROW(EM!$C$46)-ROW(EM!$C$14))*(MATCH(Q$22,EM!$B$6:$B$9,0)-1),MIN(Q$23-EM!$B$16+9,EM!$AF$16-EM!$B$16)),0)+
IF(ROUND(Q$11,0)&gt;=11,OFFSET(EM!$B$17,ROW($A29)-ROW($A$26)+(ROW(EM!$C$46)-ROW(EM!$C$14))*(MATCH(Q$22,EM!$B$6:$B$9,0)-1),MIN(Q$23-EM!$B$16+10,EM!$AF$16-EM!$B$16)),0)+
IF(ROUND(Q$11,0)&gt;=12,OFFSET(EM!$B$17,ROW($A29)-ROW($A$26)+(ROW(EM!$C$46)-ROW(EM!$C$14))*(MATCH(Q$22,EM!$B$6:$B$9,0)-1),MIN(Q$23-EM!$B$16+11,EM!$AF$16-EM!$B$16)),0)+
IF(ROUND(Q$11,0)&gt;=13,OFFSET(EM!$B$17,ROW($A29)-ROW($A$26)+(ROW(EM!$C$46)-ROW(EM!$C$14))*(MATCH(Q$22,EM!$B$6:$B$9,0)-1),MIN(Q$23-EM!$B$16+12,EM!$AF$16-EM!$B$16)),0)+
IF(ROUND(Q$11,0)&gt;=14,OFFSET(EM!$B$17,ROW($A29)-ROW($A$26)+(ROW(EM!$C$46)-ROW(EM!$C$14))*(MATCH(Q$22,EM!$B$6:$B$9,0)-1),MIN(Q$23-EM!$B$16+13,EM!$AF$16-EM!$B$16)),0)+
IF(ROUND(Q$11,0)&gt;=15,OFFSET(EM!$B$17,ROW($A29)-ROW($A$26)+(ROW(EM!$C$46)-ROW(EM!$C$14))*(MATCH(Q$22,EM!$B$6:$B$9,0)-1),MIN(Q$23-EM!$B$16+14,EM!$AF$16-EM!$B$16)),0)+
IF(ROUND(Q$11,0)&gt;=16,OFFSET(EM!$B$17,ROW($A29)-ROW($A$26)+(ROW(EM!$C$46)-ROW(EM!$C$14))*(MATCH(Q$22,EM!$B$6:$B$9,0)-1),MIN(Q$23-EM!$B$16+15,EM!$AF$16-EM!$B$16)),0)+
IF(ROUND(Q$11,0)&gt;=17,OFFSET(EM!$B$17,ROW($A29)-ROW($A$26)+(ROW(EM!$C$46)-ROW(EM!$C$14))*(MATCH(Q$22,EM!$B$6:$B$9,0)-1),MIN(Q$23-EM!$B$16+16,EM!$AF$16-EM!$B$16)),0)+
IF(ROUND(Q$11,0)&gt;=18,OFFSET(EM!$B$17,ROW($A29)-ROW($A$26)+(ROW(EM!$C$46)-ROW(EM!$C$14))*(MATCH(Q$22,EM!$B$6:$B$9,0)-1),MIN(Q$23-EM!$B$16+17,EM!$AF$16-EM!$B$16)),0)+
IF(ROUND(Q$11,0)&gt;=19,OFFSET(EM!$B$17,ROW($A29)-ROW($A$26)+(ROW(EM!$C$46)-ROW(EM!$C$14))*(MATCH(Q$22,EM!$B$6:$B$9,0)-1),MIN(Q$23-EM!$B$16+18,EM!$AF$16-EM!$B$16)),0)+
IF(ROUND(Q$11,0)&gt;=20,OFFSET(EM!$B$17,ROW($A29)-ROW($A$26)+(ROW(EM!$C$46)-ROW(EM!$C$14))*(MATCH(Q$22,EM!$B$6:$B$9,0)-1),MIN(Q$23-EM!$B$16+19,EM!$AF$16-EM!$B$16)),0)+
IF(ROUND(Q$11,0)&gt;=21,OFFSET(EM!$B$17,ROW($A29)-ROW($A$26)+(ROW(EM!$C$46)-ROW(EM!$C$14))*(MATCH(Q$22,EM!$B$6:$B$9,0)-1),MIN(Q$23-EM!$B$16+20,EM!$AF$16-EM!$B$16)),0)+
IF(ROUND(Q$11,0)&gt;=22,OFFSET(EM!$B$17,ROW($A29)-ROW($A$26)+(ROW(EM!$C$46)-ROW(EM!$C$14))*(MATCH(Q$22,EM!$B$6:$B$9,0)-1),MIN(Q$23-EM!$B$16+21,EM!$AF$16-EM!$B$16)),0)+
IF(ROUND(Q$11,0)&gt;=23,OFFSET(EM!$B$17,ROW($A29)-ROW($A$26)+(ROW(EM!$C$46)-ROW(EM!$C$14))*(MATCH(Q$22,EM!$B$6:$B$9,0)-1),MIN(Q$23-EM!$B$16+22,EM!$AF$16-EM!$B$16)),0)+
IF(ROUND(Q$11,0)&gt;=24,OFFSET(EM!$B$17,ROW($A29)-ROW($A$26)+(ROW(EM!$C$46)-ROW(EM!$C$14))*(MATCH(Q$22,EM!$B$6:$B$9,0)-1),MIN(Q$23-EM!$B$16+23,EM!$AF$16-EM!$B$16)),0)+
IF(ROUND(Q$11,0)&gt;=25,OFFSET(EM!$B$17,ROW($A29)-ROW($A$26)+(ROW(EM!$C$46)-ROW(EM!$C$14))*(MATCH(Q$22,EM!$B$6:$B$9,0)-1),MIN(Q$23-EM!$B$16+24,EM!$AF$16-EM!$B$16)),0)+
IF(ROUND(Q$11,0)&gt;=26,OFFSET(EM!$B$17,ROW($A29)-ROW($A$26)+(ROW(EM!$C$46)-ROW(EM!$C$14))*(MATCH(Q$22,EM!$B$6:$B$9,0)-1),MIN(Q$23-EM!$B$16+25,EM!$AF$16-EM!$B$16)),0)+
IF(ROUND(Q$11,0)&gt;=27,OFFSET(EM!$B$17,ROW($A29)-ROW($A$26)+(ROW(EM!$C$46)-ROW(EM!$C$14))*(MATCH(Q$22,EM!$B$6:$B$9,0)-1),MIN(Q$23-EM!$B$16+26,EM!$AF$16-EM!$B$16)),0)+
IF(ROUND(Q$11,0)&gt;=28,OFFSET(EM!$B$17,ROW($A29)-ROW($A$26)+(ROW(EM!$C$46)-ROW(EM!$C$14))*(MATCH(Q$22,EM!$B$6:$B$9,0)-1),MIN(Q$23-EM!$B$16+27,EM!$AF$16-EM!$B$16)),0)+
IF(ROUND(Q$11,0)&gt;=29,OFFSET(EM!$B$17,ROW($A29)-ROW($A$26)+(ROW(EM!$C$46)-ROW(EM!$C$14))*(MATCH(Q$22,EM!$B$6:$B$9,0)-1),MIN(Q$23-EM!$B$16+28,EM!$AF$16-EM!$B$16)),0)+
IF(ROUND(Q$11,0)&gt;=30,OFFSET(EM!$B$17,ROW($A29)-ROW($A$26)+(ROW(EM!$C$46)-ROW(EM!$C$14))*(MATCH(Q$22,EM!$B$6:$B$9,0)-1),MIN(Q$23-EM!$B$16+29,EM!$AF$16-EM!$B$16)),0)+
IF(ROUND(Q$11,0)&gt;=31,OFFSET(EM!$B$17,ROW($A29)-ROW($A$26)+(ROW(EM!$C$46)-ROW(EM!$C$14))*(MATCH(Q$22,EM!$B$6:$B$9,0)-1),MIN(Q$23-EM!$B$16+30,EM!$AF$16-EM!$B$16)),0)+
IF(ROUND(Q$11,0)&gt;=32,OFFSET(EM!$B$17,ROW($A29)-ROW($A$26)+(ROW(EM!$C$46)-ROW(EM!$C$14))*(MATCH(Q$22,EM!$B$6:$B$9,0)-1),MIN(Q$23-EM!$B$16+31,EM!$AF$16-EM!$B$16)),0)+
IF(ROUND(Q$11,0)&gt;=33,OFFSET(EM!$B$17,ROW($A29)-ROW($A$26)+(ROW(EM!$C$46)-ROW(EM!$C$14))*(MATCH(Q$22,EM!$B$6:$B$9,0)-1),MIN(Q$23-EM!$B$16+32,EM!$AF$16-EM!$B$16)),0)+
IF(ROUND(Q$11,0)&gt;=34,OFFSET(EM!$B$17,ROW($A29)-ROW($A$26)+(ROW(EM!$C$46)-ROW(EM!$C$14))*(MATCH(Q$22,EM!$B$6:$B$9,0)-1),MIN(Q$23-EM!$B$16+33,EM!$AF$16-EM!$B$16)),0)+
IF(ROUND(Q$11,0)&gt;=35,OFFSET(EM!$B$17,ROW($A29)-ROW($A$26)+(ROW(EM!$C$46)-ROW(EM!$C$14))*(MATCH(Q$22,EM!$B$6:$B$9,0)-1),MIN(Q$23-EM!$B$16+34,EM!$AF$16-EM!$B$16)),0)+
IF(ROUND(Q$11,0)&gt;=36,OFFSET(EM!$B$17,ROW($A29)-ROW($A$26)+(ROW(EM!$C$46)-ROW(EM!$C$14))*(MATCH(Q$22,EM!$B$6:$B$9,0)-1),MIN(Q$23-EM!$B$16+35,EM!$AF$16-EM!$B$16)),0)+
IF(ROUND(Q$11,0)&gt;=37,OFFSET(EM!$B$17,ROW($A29)-ROW($A$26)+(ROW(EM!$C$46)-ROW(EM!$C$14))*(MATCH(Q$22,EM!$B$6:$B$9,0)-1),MIN(Q$23-EM!$B$16+36,EM!$AF$16-EM!$B$16)),0)+
IF(ROUND(Q$11,0)&gt;=38,OFFSET(EM!$B$17,ROW($A29)-ROW($A$26)+(ROW(EM!$C$46)-ROW(EM!$C$14))*(MATCH(Q$22,EM!$B$6:$B$9,0)-1),MIN(Q$23-EM!$B$16+37,EM!$AF$16-EM!$B$16)),0)+
IF(ROUND(Q$11,0)&gt;=39,OFFSET(EM!$B$17,ROW($A29)-ROW($A$26)+(ROW(EM!$C$46)-ROW(EM!$C$14))*(MATCH(Q$22,EM!$B$6:$B$9,0)-1),MIN(Q$23-EM!$B$16+38,EM!$AF$16-EM!$B$16)),0)+
IF(ROUND(Q$11,0)&gt;=40,OFFSET(EM!$B$17,ROW($A29)-ROW($A$26)+(ROW(EM!$C$46)-ROW(EM!$C$14))*(MATCH(Q$22,EM!$B$6:$B$9,0)-1),MIN(Q$23-EM!$B$16+39,EM!$AF$16-EM!$B$16)),0)
)/ROUND(Q$11,0),NA()))</f>
        <v>3.4347831172193803E-2</v>
      </c>
      <c r="R29" s="2046">
        <f ca="1">IF(R$19=GPG!$A$28,IF(ROW(R29)-ROW(R$26)+1=MATCH(R$20,GPG!$A$5:$A$11,0),1,0),
IF(R$19=GPG!$A$29,
(IF(ROUND(R$11,0)&gt;=1,OFFSET(EM!$B$17,ROW($A29)-ROW($A$26)+(ROW(EM!$C$46)-ROW(EM!$C$14))*(MATCH(R$22,EM!$B$6:$B$9,0)-1),MIN(R$23-EM!$B$16,EM!$AF$16-EM!$B$16)),0)+
IF(ROUND(R$11,0)&gt;=2,OFFSET(EM!$B$17,ROW($A29)-ROW($A$26)+(ROW(EM!$C$46)-ROW(EM!$C$14))*(MATCH(R$22,EM!$B$6:$B$9,0)-1),MIN(R$23-EM!$B$16+1,EM!$AF$16-EM!$B$16)),0)+
IF(ROUND(R$11,0)&gt;=3,OFFSET(EM!$B$17,ROW($A29)-ROW($A$26)+(ROW(EM!$C$46)-ROW(EM!$C$14))*(MATCH(R$22,EM!$B$6:$B$9,0)-1),MIN(R$23-EM!$B$16+2,EM!$AF$16-EM!$B$16)),0)+
IF(ROUND(R$11,0)&gt;=4,OFFSET(EM!$B$17,ROW($A29)-ROW($A$26)+(ROW(EM!$C$46)-ROW(EM!$C$14))*(MATCH(R$22,EM!$B$6:$B$9,0)-1),MIN(R$23-EM!$B$16+3,EM!$AF$16-EM!$B$16)),0)+
IF(ROUND(R$11,0)&gt;=5,OFFSET(EM!$B$17,ROW($A29)-ROW($A$26)+(ROW(EM!$C$46)-ROW(EM!$C$14))*(MATCH(R$22,EM!$B$6:$B$9,0)-1),MIN(R$23-EM!$B$16+4,EM!$AF$16-EM!$B$16)),0)+
IF(ROUND(R$11,0)&gt;=6,OFFSET(EM!$B$17,ROW($A29)-ROW($A$26)+(ROW(EM!$C$46)-ROW(EM!$C$14))*(MATCH(R$22,EM!$B$6:$B$9,0)-1),MIN(R$23-EM!$B$16+5,EM!$AF$16-EM!$B$16)),0)+
IF(ROUND(R$11,0)&gt;=7,OFFSET(EM!$B$17,ROW($A29)-ROW($A$26)+(ROW(EM!$C$46)-ROW(EM!$C$14))*(MATCH(R$22,EM!$B$6:$B$9,0)-1),MIN(R$23-EM!$B$16+6,EM!$AF$16-EM!$B$16)),0)+
IF(ROUND(R$11,0)&gt;=8,OFFSET(EM!$B$17,ROW($A29)-ROW($A$26)+(ROW(EM!$C$46)-ROW(EM!$C$14))*(MATCH(R$22,EM!$B$6:$B$9,0)-1),MIN(R$23-EM!$B$16+7,EM!$AF$16-EM!$B$16)),0)+
IF(ROUND(R$11,0)&gt;=9,OFFSET(EM!$B$17,ROW($A29)-ROW($A$26)+(ROW(EM!$C$46)-ROW(EM!$C$14))*(MATCH(R$22,EM!$B$6:$B$9,0)-1),MIN(R$23-EM!$B$16+8,EM!$AF$16-EM!$B$16)),0)+
IF(ROUND(R$11,0)&gt;=10,OFFSET(EM!$B$17,ROW($A29)-ROW($A$26)+(ROW(EM!$C$46)-ROW(EM!$C$14))*(MATCH(R$22,EM!$B$6:$B$9,0)-1),MIN(R$23-EM!$B$16+9,EM!$AF$16-EM!$B$16)),0)+
IF(ROUND(R$11,0)&gt;=11,OFFSET(EM!$B$17,ROW($A29)-ROW($A$26)+(ROW(EM!$C$46)-ROW(EM!$C$14))*(MATCH(R$22,EM!$B$6:$B$9,0)-1),MIN(R$23-EM!$B$16+10,EM!$AF$16-EM!$B$16)),0)+
IF(ROUND(R$11,0)&gt;=12,OFFSET(EM!$B$17,ROW($A29)-ROW($A$26)+(ROW(EM!$C$46)-ROW(EM!$C$14))*(MATCH(R$22,EM!$B$6:$B$9,0)-1),MIN(R$23-EM!$B$16+11,EM!$AF$16-EM!$B$16)),0)+
IF(ROUND(R$11,0)&gt;=13,OFFSET(EM!$B$17,ROW($A29)-ROW($A$26)+(ROW(EM!$C$46)-ROW(EM!$C$14))*(MATCH(R$22,EM!$B$6:$B$9,0)-1),MIN(R$23-EM!$B$16+12,EM!$AF$16-EM!$B$16)),0)+
IF(ROUND(R$11,0)&gt;=14,OFFSET(EM!$B$17,ROW($A29)-ROW($A$26)+(ROW(EM!$C$46)-ROW(EM!$C$14))*(MATCH(R$22,EM!$B$6:$B$9,0)-1),MIN(R$23-EM!$B$16+13,EM!$AF$16-EM!$B$16)),0)+
IF(ROUND(R$11,0)&gt;=15,OFFSET(EM!$B$17,ROW($A29)-ROW($A$26)+(ROW(EM!$C$46)-ROW(EM!$C$14))*(MATCH(R$22,EM!$B$6:$B$9,0)-1),MIN(R$23-EM!$B$16+14,EM!$AF$16-EM!$B$16)),0)+
IF(ROUND(R$11,0)&gt;=16,OFFSET(EM!$B$17,ROW($A29)-ROW($A$26)+(ROW(EM!$C$46)-ROW(EM!$C$14))*(MATCH(R$22,EM!$B$6:$B$9,0)-1),MIN(R$23-EM!$B$16+15,EM!$AF$16-EM!$B$16)),0)+
IF(ROUND(R$11,0)&gt;=17,OFFSET(EM!$B$17,ROW($A29)-ROW($A$26)+(ROW(EM!$C$46)-ROW(EM!$C$14))*(MATCH(R$22,EM!$B$6:$B$9,0)-1),MIN(R$23-EM!$B$16+16,EM!$AF$16-EM!$B$16)),0)+
IF(ROUND(R$11,0)&gt;=18,OFFSET(EM!$B$17,ROW($A29)-ROW($A$26)+(ROW(EM!$C$46)-ROW(EM!$C$14))*(MATCH(R$22,EM!$B$6:$B$9,0)-1),MIN(R$23-EM!$B$16+17,EM!$AF$16-EM!$B$16)),0)+
IF(ROUND(R$11,0)&gt;=19,OFFSET(EM!$B$17,ROW($A29)-ROW($A$26)+(ROW(EM!$C$46)-ROW(EM!$C$14))*(MATCH(R$22,EM!$B$6:$B$9,0)-1),MIN(R$23-EM!$B$16+18,EM!$AF$16-EM!$B$16)),0)+
IF(ROUND(R$11,0)&gt;=20,OFFSET(EM!$B$17,ROW($A29)-ROW($A$26)+(ROW(EM!$C$46)-ROW(EM!$C$14))*(MATCH(R$22,EM!$B$6:$B$9,0)-1),MIN(R$23-EM!$B$16+19,EM!$AF$16-EM!$B$16)),0)+
IF(ROUND(R$11,0)&gt;=21,OFFSET(EM!$B$17,ROW($A29)-ROW($A$26)+(ROW(EM!$C$46)-ROW(EM!$C$14))*(MATCH(R$22,EM!$B$6:$B$9,0)-1),MIN(R$23-EM!$B$16+20,EM!$AF$16-EM!$B$16)),0)+
IF(ROUND(R$11,0)&gt;=22,OFFSET(EM!$B$17,ROW($A29)-ROW($A$26)+(ROW(EM!$C$46)-ROW(EM!$C$14))*(MATCH(R$22,EM!$B$6:$B$9,0)-1),MIN(R$23-EM!$B$16+21,EM!$AF$16-EM!$B$16)),0)+
IF(ROUND(R$11,0)&gt;=23,OFFSET(EM!$B$17,ROW($A29)-ROW($A$26)+(ROW(EM!$C$46)-ROW(EM!$C$14))*(MATCH(R$22,EM!$B$6:$B$9,0)-1),MIN(R$23-EM!$B$16+22,EM!$AF$16-EM!$B$16)),0)+
IF(ROUND(R$11,0)&gt;=24,OFFSET(EM!$B$17,ROW($A29)-ROW($A$26)+(ROW(EM!$C$46)-ROW(EM!$C$14))*(MATCH(R$22,EM!$B$6:$B$9,0)-1),MIN(R$23-EM!$B$16+23,EM!$AF$16-EM!$B$16)),0)+
IF(ROUND(R$11,0)&gt;=25,OFFSET(EM!$B$17,ROW($A29)-ROW($A$26)+(ROW(EM!$C$46)-ROW(EM!$C$14))*(MATCH(R$22,EM!$B$6:$B$9,0)-1),MIN(R$23-EM!$B$16+24,EM!$AF$16-EM!$B$16)),0)+
IF(ROUND(R$11,0)&gt;=26,OFFSET(EM!$B$17,ROW($A29)-ROW($A$26)+(ROW(EM!$C$46)-ROW(EM!$C$14))*(MATCH(R$22,EM!$B$6:$B$9,0)-1),MIN(R$23-EM!$B$16+25,EM!$AF$16-EM!$B$16)),0)+
IF(ROUND(R$11,0)&gt;=27,OFFSET(EM!$B$17,ROW($A29)-ROW($A$26)+(ROW(EM!$C$46)-ROW(EM!$C$14))*(MATCH(R$22,EM!$B$6:$B$9,0)-1),MIN(R$23-EM!$B$16+26,EM!$AF$16-EM!$B$16)),0)+
IF(ROUND(R$11,0)&gt;=28,OFFSET(EM!$B$17,ROW($A29)-ROW($A$26)+(ROW(EM!$C$46)-ROW(EM!$C$14))*(MATCH(R$22,EM!$B$6:$B$9,0)-1),MIN(R$23-EM!$B$16+27,EM!$AF$16-EM!$B$16)),0)+
IF(ROUND(R$11,0)&gt;=29,OFFSET(EM!$B$17,ROW($A29)-ROW($A$26)+(ROW(EM!$C$46)-ROW(EM!$C$14))*(MATCH(R$22,EM!$B$6:$B$9,0)-1),MIN(R$23-EM!$B$16+28,EM!$AF$16-EM!$B$16)),0)+
IF(ROUND(R$11,0)&gt;=30,OFFSET(EM!$B$17,ROW($A29)-ROW($A$26)+(ROW(EM!$C$46)-ROW(EM!$C$14))*(MATCH(R$22,EM!$B$6:$B$9,0)-1),MIN(R$23-EM!$B$16+29,EM!$AF$16-EM!$B$16)),0)+
IF(ROUND(R$11,0)&gt;=31,OFFSET(EM!$B$17,ROW($A29)-ROW($A$26)+(ROW(EM!$C$46)-ROW(EM!$C$14))*(MATCH(R$22,EM!$B$6:$B$9,0)-1),MIN(R$23-EM!$B$16+30,EM!$AF$16-EM!$B$16)),0)+
IF(ROUND(R$11,0)&gt;=32,OFFSET(EM!$B$17,ROW($A29)-ROW($A$26)+(ROW(EM!$C$46)-ROW(EM!$C$14))*(MATCH(R$22,EM!$B$6:$B$9,0)-1),MIN(R$23-EM!$B$16+31,EM!$AF$16-EM!$B$16)),0)+
IF(ROUND(R$11,0)&gt;=33,OFFSET(EM!$B$17,ROW($A29)-ROW($A$26)+(ROW(EM!$C$46)-ROW(EM!$C$14))*(MATCH(R$22,EM!$B$6:$B$9,0)-1),MIN(R$23-EM!$B$16+32,EM!$AF$16-EM!$B$16)),0)+
IF(ROUND(R$11,0)&gt;=34,OFFSET(EM!$B$17,ROW($A29)-ROW($A$26)+(ROW(EM!$C$46)-ROW(EM!$C$14))*(MATCH(R$22,EM!$B$6:$B$9,0)-1),MIN(R$23-EM!$B$16+33,EM!$AF$16-EM!$B$16)),0)+
IF(ROUND(R$11,0)&gt;=35,OFFSET(EM!$B$17,ROW($A29)-ROW($A$26)+(ROW(EM!$C$46)-ROW(EM!$C$14))*(MATCH(R$22,EM!$B$6:$B$9,0)-1),MIN(R$23-EM!$B$16+34,EM!$AF$16-EM!$B$16)),0)+
IF(ROUND(R$11,0)&gt;=36,OFFSET(EM!$B$17,ROW($A29)-ROW($A$26)+(ROW(EM!$C$46)-ROW(EM!$C$14))*(MATCH(R$22,EM!$B$6:$B$9,0)-1),MIN(R$23-EM!$B$16+35,EM!$AF$16-EM!$B$16)),0)+
IF(ROUND(R$11,0)&gt;=37,OFFSET(EM!$B$17,ROW($A29)-ROW($A$26)+(ROW(EM!$C$46)-ROW(EM!$C$14))*(MATCH(R$22,EM!$B$6:$B$9,0)-1),MIN(R$23-EM!$B$16+36,EM!$AF$16-EM!$B$16)),0)+
IF(ROUND(R$11,0)&gt;=38,OFFSET(EM!$B$17,ROW($A29)-ROW($A$26)+(ROW(EM!$C$46)-ROW(EM!$C$14))*(MATCH(R$22,EM!$B$6:$B$9,0)-1),MIN(R$23-EM!$B$16+37,EM!$AF$16-EM!$B$16)),0)+
IF(ROUND(R$11,0)&gt;=39,OFFSET(EM!$B$17,ROW($A29)-ROW($A$26)+(ROW(EM!$C$46)-ROW(EM!$C$14))*(MATCH(R$22,EM!$B$6:$B$9,0)-1),MIN(R$23-EM!$B$16+38,EM!$AF$16-EM!$B$16)),0)+
IF(ROUND(R$11,0)&gt;=40,OFFSET(EM!$B$17,ROW($A29)-ROW($A$26)+(ROW(EM!$C$46)-ROW(EM!$C$14))*(MATCH(R$22,EM!$B$6:$B$9,0)-1),MIN(R$23-EM!$B$16+39,EM!$AF$16-EM!$B$16)),0)
)/ROUND(R$11,0),NA()))</f>
        <v>3.4347831172193803E-2</v>
      </c>
      <c r="S29" s="2046">
        <f ca="1">IF(S$19=GPG!$A$28,IF(ROW(S29)-ROW(S$26)+1=MATCH(S$20,GPG!$A$5:$A$11,0),1,0),
IF(S$19=GPG!$A$29,
(IF(ROUND(S$11,0)&gt;=1,OFFSET(EM!$B$17,ROW($A29)-ROW($A$26)+(ROW(EM!$C$46)-ROW(EM!$C$14))*(MATCH(S$22,EM!$B$6:$B$9,0)-1),MIN(S$23-EM!$B$16,EM!$AF$16-EM!$B$16)),0)+
IF(ROUND(S$11,0)&gt;=2,OFFSET(EM!$B$17,ROW($A29)-ROW($A$26)+(ROW(EM!$C$46)-ROW(EM!$C$14))*(MATCH(S$22,EM!$B$6:$B$9,0)-1),MIN(S$23-EM!$B$16+1,EM!$AF$16-EM!$B$16)),0)+
IF(ROUND(S$11,0)&gt;=3,OFFSET(EM!$B$17,ROW($A29)-ROW($A$26)+(ROW(EM!$C$46)-ROW(EM!$C$14))*(MATCH(S$22,EM!$B$6:$B$9,0)-1),MIN(S$23-EM!$B$16+2,EM!$AF$16-EM!$B$16)),0)+
IF(ROUND(S$11,0)&gt;=4,OFFSET(EM!$B$17,ROW($A29)-ROW($A$26)+(ROW(EM!$C$46)-ROW(EM!$C$14))*(MATCH(S$22,EM!$B$6:$B$9,0)-1),MIN(S$23-EM!$B$16+3,EM!$AF$16-EM!$B$16)),0)+
IF(ROUND(S$11,0)&gt;=5,OFFSET(EM!$B$17,ROW($A29)-ROW($A$26)+(ROW(EM!$C$46)-ROW(EM!$C$14))*(MATCH(S$22,EM!$B$6:$B$9,0)-1),MIN(S$23-EM!$B$16+4,EM!$AF$16-EM!$B$16)),0)+
IF(ROUND(S$11,0)&gt;=6,OFFSET(EM!$B$17,ROW($A29)-ROW($A$26)+(ROW(EM!$C$46)-ROW(EM!$C$14))*(MATCH(S$22,EM!$B$6:$B$9,0)-1),MIN(S$23-EM!$B$16+5,EM!$AF$16-EM!$B$16)),0)+
IF(ROUND(S$11,0)&gt;=7,OFFSET(EM!$B$17,ROW($A29)-ROW($A$26)+(ROW(EM!$C$46)-ROW(EM!$C$14))*(MATCH(S$22,EM!$B$6:$B$9,0)-1),MIN(S$23-EM!$B$16+6,EM!$AF$16-EM!$B$16)),0)+
IF(ROUND(S$11,0)&gt;=8,OFFSET(EM!$B$17,ROW($A29)-ROW($A$26)+(ROW(EM!$C$46)-ROW(EM!$C$14))*(MATCH(S$22,EM!$B$6:$B$9,0)-1),MIN(S$23-EM!$B$16+7,EM!$AF$16-EM!$B$16)),0)+
IF(ROUND(S$11,0)&gt;=9,OFFSET(EM!$B$17,ROW($A29)-ROW($A$26)+(ROW(EM!$C$46)-ROW(EM!$C$14))*(MATCH(S$22,EM!$B$6:$B$9,0)-1),MIN(S$23-EM!$B$16+8,EM!$AF$16-EM!$B$16)),0)+
IF(ROUND(S$11,0)&gt;=10,OFFSET(EM!$B$17,ROW($A29)-ROW($A$26)+(ROW(EM!$C$46)-ROW(EM!$C$14))*(MATCH(S$22,EM!$B$6:$B$9,0)-1),MIN(S$23-EM!$B$16+9,EM!$AF$16-EM!$B$16)),0)+
IF(ROUND(S$11,0)&gt;=11,OFFSET(EM!$B$17,ROW($A29)-ROW($A$26)+(ROW(EM!$C$46)-ROW(EM!$C$14))*(MATCH(S$22,EM!$B$6:$B$9,0)-1),MIN(S$23-EM!$B$16+10,EM!$AF$16-EM!$B$16)),0)+
IF(ROUND(S$11,0)&gt;=12,OFFSET(EM!$B$17,ROW($A29)-ROW($A$26)+(ROW(EM!$C$46)-ROW(EM!$C$14))*(MATCH(S$22,EM!$B$6:$B$9,0)-1),MIN(S$23-EM!$B$16+11,EM!$AF$16-EM!$B$16)),0)+
IF(ROUND(S$11,0)&gt;=13,OFFSET(EM!$B$17,ROW($A29)-ROW($A$26)+(ROW(EM!$C$46)-ROW(EM!$C$14))*(MATCH(S$22,EM!$B$6:$B$9,0)-1),MIN(S$23-EM!$B$16+12,EM!$AF$16-EM!$B$16)),0)+
IF(ROUND(S$11,0)&gt;=14,OFFSET(EM!$B$17,ROW($A29)-ROW($A$26)+(ROW(EM!$C$46)-ROW(EM!$C$14))*(MATCH(S$22,EM!$B$6:$B$9,0)-1),MIN(S$23-EM!$B$16+13,EM!$AF$16-EM!$B$16)),0)+
IF(ROUND(S$11,0)&gt;=15,OFFSET(EM!$B$17,ROW($A29)-ROW($A$26)+(ROW(EM!$C$46)-ROW(EM!$C$14))*(MATCH(S$22,EM!$B$6:$B$9,0)-1),MIN(S$23-EM!$B$16+14,EM!$AF$16-EM!$B$16)),0)+
IF(ROUND(S$11,0)&gt;=16,OFFSET(EM!$B$17,ROW($A29)-ROW($A$26)+(ROW(EM!$C$46)-ROW(EM!$C$14))*(MATCH(S$22,EM!$B$6:$B$9,0)-1),MIN(S$23-EM!$B$16+15,EM!$AF$16-EM!$B$16)),0)+
IF(ROUND(S$11,0)&gt;=17,OFFSET(EM!$B$17,ROW($A29)-ROW($A$26)+(ROW(EM!$C$46)-ROW(EM!$C$14))*(MATCH(S$22,EM!$B$6:$B$9,0)-1),MIN(S$23-EM!$B$16+16,EM!$AF$16-EM!$B$16)),0)+
IF(ROUND(S$11,0)&gt;=18,OFFSET(EM!$B$17,ROW($A29)-ROW($A$26)+(ROW(EM!$C$46)-ROW(EM!$C$14))*(MATCH(S$22,EM!$B$6:$B$9,0)-1),MIN(S$23-EM!$B$16+17,EM!$AF$16-EM!$B$16)),0)+
IF(ROUND(S$11,0)&gt;=19,OFFSET(EM!$B$17,ROW($A29)-ROW($A$26)+(ROW(EM!$C$46)-ROW(EM!$C$14))*(MATCH(S$22,EM!$B$6:$B$9,0)-1),MIN(S$23-EM!$B$16+18,EM!$AF$16-EM!$B$16)),0)+
IF(ROUND(S$11,0)&gt;=20,OFFSET(EM!$B$17,ROW($A29)-ROW($A$26)+(ROW(EM!$C$46)-ROW(EM!$C$14))*(MATCH(S$22,EM!$B$6:$B$9,0)-1),MIN(S$23-EM!$B$16+19,EM!$AF$16-EM!$B$16)),0)+
IF(ROUND(S$11,0)&gt;=21,OFFSET(EM!$B$17,ROW($A29)-ROW($A$26)+(ROW(EM!$C$46)-ROW(EM!$C$14))*(MATCH(S$22,EM!$B$6:$B$9,0)-1),MIN(S$23-EM!$B$16+20,EM!$AF$16-EM!$B$16)),0)+
IF(ROUND(S$11,0)&gt;=22,OFFSET(EM!$B$17,ROW($A29)-ROW($A$26)+(ROW(EM!$C$46)-ROW(EM!$C$14))*(MATCH(S$22,EM!$B$6:$B$9,0)-1),MIN(S$23-EM!$B$16+21,EM!$AF$16-EM!$B$16)),0)+
IF(ROUND(S$11,0)&gt;=23,OFFSET(EM!$B$17,ROW($A29)-ROW($A$26)+(ROW(EM!$C$46)-ROW(EM!$C$14))*(MATCH(S$22,EM!$B$6:$B$9,0)-1),MIN(S$23-EM!$B$16+22,EM!$AF$16-EM!$B$16)),0)+
IF(ROUND(S$11,0)&gt;=24,OFFSET(EM!$B$17,ROW($A29)-ROW($A$26)+(ROW(EM!$C$46)-ROW(EM!$C$14))*(MATCH(S$22,EM!$B$6:$B$9,0)-1),MIN(S$23-EM!$B$16+23,EM!$AF$16-EM!$B$16)),0)+
IF(ROUND(S$11,0)&gt;=25,OFFSET(EM!$B$17,ROW($A29)-ROW($A$26)+(ROW(EM!$C$46)-ROW(EM!$C$14))*(MATCH(S$22,EM!$B$6:$B$9,0)-1),MIN(S$23-EM!$B$16+24,EM!$AF$16-EM!$B$16)),0)+
IF(ROUND(S$11,0)&gt;=26,OFFSET(EM!$B$17,ROW($A29)-ROW($A$26)+(ROW(EM!$C$46)-ROW(EM!$C$14))*(MATCH(S$22,EM!$B$6:$B$9,0)-1),MIN(S$23-EM!$B$16+25,EM!$AF$16-EM!$B$16)),0)+
IF(ROUND(S$11,0)&gt;=27,OFFSET(EM!$B$17,ROW($A29)-ROW($A$26)+(ROW(EM!$C$46)-ROW(EM!$C$14))*(MATCH(S$22,EM!$B$6:$B$9,0)-1),MIN(S$23-EM!$B$16+26,EM!$AF$16-EM!$B$16)),0)+
IF(ROUND(S$11,0)&gt;=28,OFFSET(EM!$B$17,ROW($A29)-ROW($A$26)+(ROW(EM!$C$46)-ROW(EM!$C$14))*(MATCH(S$22,EM!$B$6:$B$9,0)-1),MIN(S$23-EM!$B$16+27,EM!$AF$16-EM!$B$16)),0)+
IF(ROUND(S$11,0)&gt;=29,OFFSET(EM!$B$17,ROW($A29)-ROW($A$26)+(ROW(EM!$C$46)-ROW(EM!$C$14))*(MATCH(S$22,EM!$B$6:$B$9,0)-1),MIN(S$23-EM!$B$16+28,EM!$AF$16-EM!$B$16)),0)+
IF(ROUND(S$11,0)&gt;=30,OFFSET(EM!$B$17,ROW($A29)-ROW($A$26)+(ROW(EM!$C$46)-ROW(EM!$C$14))*(MATCH(S$22,EM!$B$6:$B$9,0)-1),MIN(S$23-EM!$B$16+29,EM!$AF$16-EM!$B$16)),0)+
IF(ROUND(S$11,0)&gt;=31,OFFSET(EM!$B$17,ROW($A29)-ROW($A$26)+(ROW(EM!$C$46)-ROW(EM!$C$14))*(MATCH(S$22,EM!$B$6:$B$9,0)-1),MIN(S$23-EM!$B$16+30,EM!$AF$16-EM!$B$16)),0)+
IF(ROUND(S$11,0)&gt;=32,OFFSET(EM!$B$17,ROW($A29)-ROW($A$26)+(ROW(EM!$C$46)-ROW(EM!$C$14))*(MATCH(S$22,EM!$B$6:$B$9,0)-1),MIN(S$23-EM!$B$16+31,EM!$AF$16-EM!$B$16)),0)+
IF(ROUND(S$11,0)&gt;=33,OFFSET(EM!$B$17,ROW($A29)-ROW($A$26)+(ROW(EM!$C$46)-ROW(EM!$C$14))*(MATCH(S$22,EM!$B$6:$B$9,0)-1),MIN(S$23-EM!$B$16+32,EM!$AF$16-EM!$B$16)),0)+
IF(ROUND(S$11,0)&gt;=34,OFFSET(EM!$B$17,ROW($A29)-ROW($A$26)+(ROW(EM!$C$46)-ROW(EM!$C$14))*(MATCH(S$22,EM!$B$6:$B$9,0)-1),MIN(S$23-EM!$B$16+33,EM!$AF$16-EM!$B$16)),0)+
IF(ROUND(S$11,0)&gt;=35,OFFSET(EM!$B$17,ROW($A29)-ROW($A$26)+(ROW(EM!$C$46)-ROW(EM!$C$14))*(MATCH(S$22,EM!$B$6:$B$9,0)-1),MIN(S$23-EM!$B$16+34,EM!$AF$16-EM!$B$16)),0)+
IF(ROUND(S$11,0)&gt;=36,OFFSET(EM!$B$17,ROW($A29)-ROW($A$26)+(ROW(EM!$C$46)-ROW(EM!$C$14))*(MATCH(S$22,EM!$B$6:$B$9,0)-1),MIN(S$23-EM!$B$16+35,EM!$AF$16-EM!$B$16)),0)+
IF(ROUND(S$11,0)&gt;=37,OFFSET(EM!$B$17,ROW($A29)-ROW($A$26)+(ROW(EM!$C$46)-ROW(EM!$C$14))*(MATCH(S$22,EM!$B$6:$B$9,0)-1),MIN(S$23-EM!$B$16+36,EM!$AF$16-EM!$B$16)),0)+
IF(ROUND(S$11,0)&gt;=38,OFFSET(EM!$B$17,ROW($A29)-ROW($A$26)+(ROW(EM!$C$46)-ROW(EM!$C$14))*(MATCH(S$22,EM!$B$6:$B$9,0)-1),MIN(S$23-EM!$B$16+37,EM!$AF$16-EM!$B$16)),0)+
IF(ROUND(S$11,0)&gt;=39,OFFSET(EM!$B$17,ROW($A29)-ROW($A$26)+(ROW(EM!$C$46)-ROW(EM!$C$14))*(MATCH(S$22,EM!$B$6:$B$9,0)-1),MIN(S$23-EM!$B$16+38,EM!$AF$16-EM!$B$16)),0)+
IF(ROUND(S$11,0)&gt;=40,OFFSET(EM!$B$17,ROW($A29)-ROW($A$26)+(ROW(EM!$C$46)-ROW(EM!$C$14))*(MATCH(S$22,EM!$B$6:$B$9,0)-1),MIN(S$23-EM!$B$16+39,EM!$AF$16-EM!$B$16)),0)
)/ROUND(S$11,0),NA()))</f>
        <v>3.4347831172193803E-2</v>
      </c>
      <c r="T29" s="2046">
        <f ca="1">IF(T$19=GPG!$A$28,IF(ROW(T29)-ROW(T$26)+1=MATCH(T$20,GPG!$A$5:$A$11,0),1,0),
IF(T$19=GPG!$A$29,
(IF(ROUND(T$11,0)&gt;=1,OFFSET(EM!$B$17,ROW($A29)-ROW($A$26)+(ROW(EM!$C$46)-ROW(EM!$C$14))*(MATCH(T$22,EM!$B$6:$B$9,0)-1),MIN(T$23-EM!$B$16,EM!$AF$16-EM!$B$16)),0)+
IF(ROUND(T$11,0)&gt;=2,OFFSET(EM!$B$17,ROW($A29)-ROW($A$26)+(ROW(EM!$C$46)-ROW(EM!$C$14))*(MATCH(T$22,EM!$B$6:$B$9,0)-1),MIN(T$23-EM!$B$16+1,EM!$AF$16-EM!$B$16)),0)+
IF(ROUND(T$11,0)&gt;=3,OFFSET(EM!$B$17,ROW($A29)-ROW($A$26)+(ROW(EM!$C$46)-ROW(EM!$C$14))*(MATCH(T$22,EM!$B$6:$B$9,0)-1),MIN(T$23-EM!$B$16+2,EM!$AF$16-EM!$B$16)),0)+
IF(ROUND(T$11,0)&gt;=4,OFFSET(EM!$B$17,ROW($A29)-ROW($A$26)+(ROW(EM!$C$46)-ROW(EM!$C$14))*(MATCH(T$22,EM!$B$6:$B$9,0)-1),MIN(T$23-EM!$B$16+3,EM!$AF$16-EM!$B$16)),0)+
IF(ROUND(T$11,0)&gt;=5,OFFSET(EM!$B$17,ROW($A29)-ROW($A$26)+(ROW(EM!$C$46)-ROW(EM!$C$14))*(MATCH(T$22,EM!$B$6:$B$9,0)-1),MIN(T$23-EM!$B$16+4,EM!$AF$16-EM!$B$16)),0)+
IF(ROUND(T$11,0)&gt;=6,OFFSET(EM!$B$17,ROW($A29)-ROW($A$26)+(ROW(EM!$C$46)-ROW(EM!$C$14))*(MATCH(T$22,EM!$B$6:$B$9,0)-1),MIN(T$23-EM!$B$16+5,EM!$AF$16-EM!$B$16)),0)+
IF(ROUND(T$11,0)&gt;=7,OFFSET(EM!$B$17,ROW($A29)-ROW($A$26)+(ROW(EM!$C$46)-ROW(EM!$C$14))*(MATCH(T$22,EM!$B$6:$B$9,0)-1),MIN(T$23-EM!$B$16+6,EM!$AF$16-EM!$B$16)),0)+
IF(ROUND(T$11,0)&gt;=8,OFFSET(EM!$B$17,ROW($A29)-ROW($A$26)+(ROW(EM!$C$46)-ROW(EM!$C$14))*(MATCH(T$22,EM!$B$6:$B$9,0)-1),MIN(T$23-EM!$B$16+7,EM!$AF$16-EM!$B$16)),0)+
IF(ROUND(T$11,0)&gt;=9,OFFSET(EM!$B$17,ROW($A29)-ROW($A$26)+(ROW(EM!$C$46)-ROW(EM!$C$14))*(MATCH(T$22,EM!$B$6:$B$9,0)-1),MIN(T$23-EM!$B$16+8,EM!$AF$16-EM!$B$16)),0)+
IF(ROUND(T$11,0)&gt;=10,OFFSET(EM!$B$17,ROW($A29)-ROW($A$26)+(ROW(EM!$C$46)-ROW(EM!$C$14))*(MATCH(T$22,EM!$B$6:$B$9,0)-1),MIN(T$23-EM!$B$16+9,EM!$AF$16-EM!$B$16)),0)+
IF(ROUND(T$11,0)&gt;=11,OFFSET(EM!$B$17,ROW($A29)-ROW($A$26)+(ROW(EM!$C$46)-ROW(EM!$C$14))*(MATCH(T$22,EM!$B$6:$B$9,0)-1),MIN(T$23-EM!$B$16+10,EM!$AF$16-EM!$B$16)),0)+
IF(ROUND(T$11,0)&gt;=12,OFFSET(EM!$B$17,ROW($A29)-ROW($A$26)+(ROW(EM!$C$46)-ROW(EM!$C$14))*(MATCH(T$22,EM!$B$6:$B$9,0)-1),MIN(T$23-EM!$B$16+11,EM!$AF$16-EM!$B$16)),0)+
IF(ROUND(T$11,0)&gt;=13,OFFSET(EM!$B$17,ROW($A29)-ROW($A$26)+(ROW(EM!$C$46)-ROW(EM!$C$14))*(MATCH(T$22,EM!$B$6:$B$9,0)-1),MIN(T$23-EM!$B$16+12,EM!$AF$16-EM!$B$16)),0)+
IF(ROUND(T$11,0)&gt;=14,OFFSET(EM!$B$17,ROW($A29)-ROW($A$26)+(ROW(EM!$C$46)-ROW(EM!$C$14))*(MATCH(T$22,EM!$B$6:$B$9,0)-1),MIN(T$23-EM!$B$16+13,EM!$AF$16-EM!$B$16)),0)+
IF(ROUND(T$11,0)&gt;=15,OFFSET(EM!$B$17,ROW($A29)-ROW($A$26)+(ROW(EM!$C$46)-ROW(EM!$C$14))*(MATCH(T$22,EM!$B$6:$B$9,0)-1),MIN(T$23-EM!$B$16+14,EM!$AF$16-EM!$B$16)),0)+
IF(ROUND(T$11,0)&gt;=16,OFFSET(EM!$B$17,ROW($A29)-ROW($A$26)+(ROW(EM!$C$46)-ROW(EM!$C$14))*(MATCH(T$22,EM!$B$6:$B$9,0)-1),MIN(T$23-EM!$B$16+15,EM!$AF$16-EM!$B$16)),0)+
IF(ROUND(T$11,0)&gt;=17,OFFSET(EM!$B$17,ROW($A29)-ROW($A$26)+(ROW(EM!$C$46)-ROW(EM!$C$14))*(MATCH(T$22,EM!$B$6:$B$9,0)-1),MIN(T$23-EM!$B$16+16,EM!$AF$16-EM!$B$16)),0)+
IF(ROUND(T$11,0)&gt;=18,OFFSET(EM!$B$17,ROW($A29)-ROW($A$26)+(ROW(EM!$C$46)-ROW(EM!$C$14))*(MATCH(T$22,EM!$B$6:$B$9,0)-1),MIN(T$23-EM!$B$16+17,EM!$AF$16-EM!$B$16)),0)+
IF(ROUND(T$11,0)&gt;=19,OFFSET(EM!$B$17,ROW($A29)-ROW($A$26)+(ROW(EM!$C$46)-ROW(EM!$C$14))*(MATCH(T$22,EM!$B$6:$B$9,0)-1),MIN(T$23-EM!$B$16+18,EM!$AF$16-EM!$B$16)),0)+
IF(ROUND(T$11,0)&gt;=20,OFFSET(EM!$B$17,ROW($A29)-ROW($A$26)+(ROW(EM!$C$46)-ROW(EM!$C$14))*(MATCH(T$22,EM!$B$6:$B$9,0)-1),MIN(T$23-EM!$B$16+19,EM!$AF$16-EM!$B$16)),0)+
IF(ROUND(T$11,0)&gt;=21,OFFSET(EM!$B$17,ROW($A29)-ROW($A$26)+(ROW(EM!$C$46)-ROW(EM!$C$14))*(MATCH(T$22,EM!$B$6:$B$9,0)-1),MIN(T$23-EM!$B$16+20,EM!$AF$16-EM!$B$16)),0)+
IF(ROUND(T$11,0)&gt;=22,OFFSET(EM!$B$17,ROW($A29)-ROW($A$26)+(ROW(EM!$C$46)-ROW(EM!$C$14))*(MATCH(T$22,EM!$B$6:$B$9,0)-1),MIN(T$23-EM!$B$16+21,EM!$AF$16-EM!$B$16)),0)+
IF(ROUND(T$11,0)&gt;=23,OFFSET(EM!$B$17,ROW($A29)-ROW($A$26)+(ROW(EM!$C$46)-ROW(EM!$C$14))*(MATCH(T$22,EM!$B$6:$B$9,0)-1),MIN(T$23-EM!$B$16+22,EM!$AF$16-EM!$B$16)),0)+
IF(ROUND(T$11,0)&gt;=24,OFFSET(EM!$B$17,ROW($A29)-ROW($A$26)+(ROW(EM!$C$46)-ROW(EM!$C$14))*(MATCH(T$22,EM!$B$6:$B$9,0)-1),MIN(T$23-EM!$B$16+23,EM!$AF$16-EM!$B$16)),0)+
IF(ROUND(T$11,0)&gt;=25,OFFSET(EM!$B$17,ROW($A29)-ROW($A$26)+(ROW(EM!$C$46)-ROW(EM!$C$14))*(MATCH(T$22,EM!$B$6:$B$9,0)-1),MIN(T$23-EM!$B$16+24,EM!$AF$16-EM!$B$16)),0)+
IF(ROUND(T$11,0)&gt;=26,OFFSET(EM!$B$17,ROW($A29)-ROW($A$26)+(ROW(EM!$C$46)-ROW(EM!$C$14))*(MATCH(T$22,EM!$B$6:$B$9,0)-1),MIN(T$23-EM!$B$16+25,EM!$AF$16-EM!$B$16)),0)+
IF(ROUND(T$11,0)&gt;=27,OFFSET(EM!$B$17,ROW($A29)-ROW($A$26)+(ROW(EM!$C$46)-ROW(EM!$C$14))*(MATCH(T$22,EM!$B$6:$B$9,0)-1),MIN(T$23-EM!$B$16+26,EM!$AF$16-EM!$B$16)),0)+
IF(ROUND(T$11,0)&gt;=28,OFFSET(EM!$B$17,ROW($A29)-ROW($A$26)+(ROW(EM!$C$46)-ROW(EM!$C$14))*(MATCH(T$22,EM!$B$6:$B$9,0)-1),MIN(T$23-EM!$B$16+27,EM!$AF$16-EM!$B$16)),0)+
IF(ROUND(T$11,0)&gt;=29,OFFSET(EM!$B$17,ROW($A29)-ROW($A$26)+(ROW(EM!$C$46)-ROW(EM!$C$14))*(MATCH(T$22,EM!$B$6:$B$9,0)-1),MIN(T$23-EM!$B$16+28,EM!$AF$16-EM!$B$16)),0)+
IF(ROUND(T$11,0)&gt;=30,OFFSET(EM!$B$17,ROW($A29)-ROW($A$26)+(ROW(EM!$C$46)-ROW(EM!$C$14))*(MATCH(T$22,EM!$B$6:$B$9,0)-1),MIN(T$23-EM!$B$16+29,EM!$AF$16-EM!$B$16)),0)+
IF(ROUND(T$11,0)&gt;=31,OFFSET(EM!$B$17,ROW($A29)-ROW($A$26)+(ROW(EM!$C$46)-ROW(EM!$C$14))*(MATCH(T$22,EM!$B$6:$B$9,0)-1),MIN(T$23-EM!$B$16+30,EM!$AF$16-EM!$B$16)),0)+
IF(ROUND(T$11,0)&gt;=32,OFFSET(EM!$B$17,ROW($A29)-ROW($A$26)+(ROW(EM!$C$46)-ROW(EM!$C$14))*(MATCH(T$22,EM!$B$6:$B$9,0)-1),MIN(T$23-EM!$B$16+31,EM!$AF$16-EM!$B$16)),0)+
IF(ROUND(T$11,0)&gt;=33,OFFSET(EM!$B$17,ROW($A29)-ROW($A$26)+(ROW(EM!$C$46)-ROW(EM!$C$14))*(MATCH(T$22,EM!$B$6:$B$9,0)-1),MIN(T$23-EM!$B$16+32,EM!$AF$16-EM!$B$16)),0)+
IF(ROUND(T$11,0)&gt;=34,OFFSET(EM!$B$17,ROW($A29)-ROW($A$26)+(ROW(EM!$C$46)-ROW(EM!$C$14))*(MATCH(T$22,EM!$B$6:$B$9,0)-1),MIN(T$23-EM!$B$16+33,EM!$AF$16-EM!$B$16)),0)+
IF(ROUND(T$11,0)&gt;=35,OFFSET(EM!$B$17,ROW($A29)-ROW($A$26)+(ROW(EM!$C$46)-ROW(EM!$C$14))*(MATCH(T$22,EM!$B$6:$B$9,0)-1),MIN(T$23-EM!$B$16+34,EM!$AF$16-EM!$B$16)),0)+
IF(ROUND(T$11,0)&gt;=36,OFFSET(EM!$B$17,ROW($A29)-ROW($A$26)+(ROW(EM!$C$46)-ROW(EM!$C$14))*(MATCH(T$22,EM!$B$6:$B$9,0)-1),MIN(T$23-EM!$B$16+35,EM!$AF$16-EM!$B$16)),0)+
IF(ROUND(T$11,0)&gt;=37,OFFSET(EM!$B$17,ROW($A29)-ROW($A$26)+(ROW(EM!$C$46)-ROW(EM!$C$14))*(MATCH(T$22,EM!$B$6:$B$9,0)-1),MIN(T$23-EM!$B$16+36,EM!$AF$16-EM!$B$16)),0)+
IF(ROUND(T$11,0)&gt;=38,OFFSET(EM!$B$17,ROW($A29)-ROW($A$26)+(ROW(EM!$C$46)-ROW(EM!$C$14))*(MATCH(T$22,EM!$B$6:$B$9,0)-1),MIN(T$23-EM!$B$16+37,EM!$AF$16-EM!$B$16)),0)+
IF(ROUND(T$11,0)&gt;=39,OFFSET(EM!$B$17,ROW($A29)-ROW($A$26)+(ROW(EM!$C$46)-ROW(EM!$C$14))*(MATCH(T$22,EM!$B$6:$B$9,0)-1),MIN(T$23-EM!$B$16+38,EM!$AF$16-EM!$B$16)),0)+
IF(ROUND(T$11,0)&gt;=40,OFFSET(EM!$B$17,ROW($A29)-ROW($A$26)+(ROW(EM!$C$46)-ROW(EM!$C$14))*(MATCH(T$22,EM!$B$6:$B$9,0)-1),MIN(T$23-EM!$B$16+39,EM!$AF$16-EM!$B$16)),0)
)/ROUND(T$11,0),NA()))</f>
        <v>3.4347831172193803E-2</v>
      </c>
      <c r="U29" s="2046">
        <f ca="1">IF(U$19=GPG!$A$28,IF(ROW(U29)-ROW(U$26)+1=MATCH(U$20,GPG!$A$5:$A$11,0),1,0),
IF(U$19=GPG!$A$29,
(IF(ROUND(U$11,0)&gt;=1,OFFSET(EM!$B$17,ROW($A29)-ROW($A$26)+(ROW(EM!$C$46)-ROW(EM!$C$14))*(MATCH(U$22,EM!$B$6:$B$9,0)-1),MIN(U$23-EM!$B$16,EM!$AF$16-EM!$B$16)),0)+
IF(ROUND(U$11,0)&gt;=2,OFFSET(EM!$B$17,ROW($A29)-ROW($A$26)+(ROW(EM!$C$46)-ROW(EM!$C$14))*(MATCH(U$22,EM!$B$6:$B$9,0)-1),MIN(U$23-EM!$B$16+1,EM!$AF$16-EM!$B$16)),0)+
IF(ROUND(U$11,0)&gt;=3,OFFSET(EM!$B$17,ROW($A29)-ROW($A$26)+(ROW(EM!$C$46)-ROW(EM!$C$14))*(MATCH(U$22,EM!$B$6:$B$9,0)-1),MIN(U$23-EM!$B$16+2,EM!$AF$16-EM!$B$16)),0)+
IF(ROUND(U$11,0)&gt;=4,OFFSET(EM!$B$17,ROW($A29)-ROW($A$26)+(ROW(EM!$C$46)-ROW(EM!$C$14))*(MATCH(U$22,EM!$B$6:$B$9,0)-1),MIN(U$23-EM!$B$16+3,EM!$AF$16-EM!$B$16)),0)+
IF(ROUND(U$11,0)&gt;=5,OFFSET(EM!$B$17,ROW($A29)-ROW($A$26)+(ROW(EM!$C$46)-ROW(EM!$C$14))*(MATCH(U$22,EM!$B$6:$B$9,0)-1),MIN(U$23-EM!$B$16+4,EM!$AF$16-EM!$B$16)),0)+
IF(ROUND(U$11,0)&gt;=6,OFFSET(EM!$B$17,ROW($A29)-ROW($A$26)+(ROW(EM!$C$46)-ROW(EM!$C$14))*(MATCH(U$22,EM!$B$6:$B$9,0)-1),MIN(U$23-EM!$B$16+5,EM!$AF$16-EM!$B$16)),0)+
IF(ROUND(U$11,0)&gt;=7,OFFSET(EM!$B$17,ROW($A29)-ROW($A$26)+(ROW(EM!$C$46)-ROW(EM!$C$14))*(MATCH(U$22,EM!$B$6:$B$9,0)-1),MIN(U$23-EM!$B$16+6,EM!$AF$16-EM!$B$16)),0)+
IF(ROUND(U$11,0)&gt;=8,OFFSET(EM!$B$17,ROW($A29)-ROW($A$26)+(ROW(EM!$C$46)-ROW(EM!$C$14))*(MATCH(U$22,EM!$B$6:$B$9,0)-1),MIN(U$23-EM!$B$16+7,EM!$AF$16-EM!$B$16)),0)+
IF(ROUND(U$11,0)&gt;=9,OFFSET(EM!$B$17,ROW($A29)-ROW($A$26)+(ROW(EM!$C$46)-ROW(EM!$C$14))*(MATCH(U$22,EM!$B$6:$B$9,0)-1),MIN(U$23-EM!$B$16+8,EM!$AF$16-EM!$B$16)),0)+
IF(ROUND(U$11,0)&gt;=10,OFFSET(EM!$B$17,ROW($A29)-ROW($A$26)+(ROW(EM!$C$46)-ROW(EM!$C$14))*(MATCH(U$22,EM!$B$6:$B$9,0)-1),MIN(U$23-EM!$B$16+9,EM!$AF$16-EM!$B$16)),0)+
IF(ROUND(U$11,0)&gt;=11,OFFSET(EM!$B$17,ROW($A29)-ROW($A$26)+(ROW(EM!$C$46)-ROW(EM!$C$14))*(MATCH(U$22,EM!$B$6:$B$9,0)-1),MIN(U$23-EM!$B$16+10,EM!$AF$16-EM!$B$16)),0)+
IF(ROUND(U$11,0)&gt;=12,OFFSET(EM!$B$17,ROW($A29)-ROW($A$26)+(ROW(EM!$C$46)-ROW(EM!$C$14))*(MATCH(U$22,EM!$B$6:$B$9,0)-1),MIN(U$23-EM!$B$16+11,EM!$AF$16-EM!$B$16)),0)+
IF(ROUND(U$11,0)&gt;=13,OFFSET(EM!$B$17,ROW($A29)-ROW($A$26)+(ROW(EM!$C$46)-ROW(EM!$C$14))*(MATCH(U$22,EM!$B$6:$B$9,0)-1),MIN(U$23-EM!$B$16+12,EM!$AF$16-EM!$B$16)),0)+
IF(ROUND(U$11,0)&gt;=14,OFFSET(EM!$B$17,ROW($A29)-ROW($A$26)+(ROW(EM!$C$46)-ROW(EM!$C$14))*(MATCH(U$22,EM!$B$6:$B$9,0)-1),MIN(U$23-EM!$B$16+13,EM!$AF$16-EM!$B$16)),0)+
IF(ROUND(U$11,0)&gt;=15,OFFSET(EM!$B$17,ROW($A29)-ROW($A$26)+(ROW(EM!$C$46)-ROW(EM!$C$14))*(MATCH(U$22,EM!$B$6:$B$9,0)-1),MIN(U$23-EM!$B$16+14,EM!$AF$16-EM!$B$16)),0)+
IF(ROUND(U$11,0)&gt;=16,OFFSET(EM!$B$17,ROW($A29)-ROW($A$26)+(ROW(EM!$C$46)-ROW(EM!$C$14))*(MATCH(U$22,EM!$B$6:$B$9,0)-1),MIN(U$23-EM!$B$16+15,EM!$AF$16-EM!$B$16)),0)+
IF(ROUND(U$11,0)&gt;=17,OFFSET(EM!$B$17,ROW($A29)-ROW($A$26)+(ROW(EM!$C$46)-ROW(EM!$C$14))*(MATCH(U$22,EM!$B$6:$B$9,0)-1),MIN(U$23-EM!$B$16+16,EM!$AF$16-EM!$B$16)),0)+
IF(ROUND(U$11,0)&gt;=18,OFFSET(EM!$B$17,ROW($A29)-ROW($A$26)+(ROW(EM!$C$46)-ROW(EM!$C$14))*(MATCH(U$22,EM!$B$6:$B$9,0)-1),MIN(U$23-EM!$B$16+17,EM!$AF$16-EM!$B$16)),0)+
IF(ROUND(U$11,0)&gt;=19,OFFSET(EM!$B$17,ROW($A29)-ROW($A$26)+(ROW(EM!$C$46)-ROW(EM!$C$14))*(MATCH(U$22,EM!$B$6:$B$9,0)-1),MIN(U$23-EM!$B$16+18,EM!$AF$16-EM!$B$16)),0)+
IF(ROUND(U$11,0)&gt;=20,OFFSET(EM!$B$17,ROW($A29)-ROW($A$26)+(ROW(EM!$C$46)-ROW(EM!$C$14))*(MATCH(U$22,EM!$B$6:$B$9,0)-1),MIN(U$23-EM!$B$16+19,EM!$AF$16-EM!$B$16)),0)+
IF(ROUND(U$11,0)&gt;=21,OFFSET(EM!$B$17,ROW($A29)-ROW($A$26)+(ROW(EM!$C$46)-ROW(EM!$C$14))*(MATCH(U$22,EM!$B$6:$B$9,0)-1),MIN(U$23-EM!$B$16+20,EM!$AF$16-EM!$B$16)),0)+
IF(ROUND(U$11,0)&gt;=22,OFFSET(EM!$B$17,ROW($A29)-ROW($A$26)+(ROW(EM!$C$46)-ROW(EM!$C$14))*(MATCH(U$22,EM!$B$6:$B$9,0)-1),MIN(U$23-EM!$B$16+21,EM!$AF$16-EM!$B$16)),0)+
IF(ROUND(U$11,0)&gt;=23,OFFSET(EM!$B$17,ROW($A29)-ROW($A$26)+(ROW(EM!$C$46)-ROW(EM!$C$14))*(MATCH(U$22,EM!$B$6:$B$9,0)-1),MIN(U$23-EM!$B$16+22,EM!$AF$16-EM!$B$16)),0)+
IF(ROUND(U$11,0)&gt;=24,OFFSET(EM!$B$17,ROW($A29)-ROW($A$26)+(ROW(EM!$C$46)-ROW(EM!$C$14))*(MATCH(U$22,EM!$B$6:$B$9,0)-1),MIN(U$23-EM!$B$16+23,EM!$AF$16-EM!$B$16)),0)+
IF(ROUND(U$11,0)&gt;=25,OFFSET(EM!$B$17,ROW($A29)-ROW($A$26)+(ROW(EM!$C$46)-ROW(EM!$C$14))*(MATCH(U$22,EM!$B$6:$B$9,0)-1),MIN(U$23-EM!$B$16+24,EM!$AF$16-EM!$B$16)),0)+
IF(ROUND(U$11,0)&gt;=26,OFFSET(EM!$B$17,ROW($A29)-ROW($A$26)+(ROW(EM!$C$46)-ROW(EM!$C$14))*(MATCH(U$22,EM!$B$6:$B$9,0)-1),MIN(U$23-EM!$B$16+25,EM!$AF$16-EM!$B$16)),0)+
IF(ROUND(U$11,0)&gt;=27,OFFSET(EM!$B$17,ROW($A29)-ROW($A$26)+(ROW(EM!$C$46)-ROW(EM!$C$14))*(MATCH(U$22,EM!$B$6:$B$9,0)-1),MIN(U$23-EM!$B$16+26,EM!$AF$16-EM!$B$16)),0)+
IF(ROUND(U$11,0)&gt;=28,OFFSET(EM!$B$17,ROW($A29)-ROW($A$26)+(ROW(EM!$C$46)-ROW(EM!$C$14))*(MATCH(U$22,EM!$B$6:$B$9,0)-1),MIN(U$23-EM!$B$16+27,EM!$AF$16-EM!$B$16)),0)+
IF(ROUND(U$11,0)&gt;=29,OFFSET(EM!$B$17,ROW($A29)-ROW($A$26)+(ROW(EM!$C$46)-ROW(EM!$C$14))*(MATCH(U$22,EM!$B$6:$B$9,0)-1),MIN(U$23-EM!$B$16+28,EM!$AF$16-EM!$B$16)),0)+
IF(ROUND(U$11,0)&gt;=30,OFFSET(EM!$B$17,ROW($A29)-ROW($A$26)+(ROW(EM!$C$46)-ROW(EM!$C$14))*(MATCH(U$22,EM!$B$6:$B$9,0)-1),MIN(U$23-EM!$B$16+29,EM!$AF$16-EM!$B$16)),0)+
IF(ROUND(U$11,0)&gt;=31,OFFSET(EM!$B$17,ROW($A29)-ROW($A$26)+(ROW(EM!$C$46)-ROW(EM!$C$14))*(MATCH(U$22,EM!$B$6:$B$9,0)-1),MIN(U$23-EM!$B$16+30,EM!$AF$16-EM!$B$16)),0)+
IF(ROUND(U$11,0)&gt;=32,OFFSET(EM!$B$17,ROW($A29)-ROW($A$26)+(ROW(EM!$C$46)-ROW(EM!$C$14))*(MATCH(U$22,EM!$B$6:$B$9,0)-1),MIN(U$23-EM!$B$16+31,EM!$AF$16-EM!$B$16)),0)+
IF(ROUND(U$11,0)&gt;=33,OFFSET(EM!$B$17,ROW($A29)-ROW($A$26)+(ROW(EM!$C$46)-ROW(EM!$C$14))*(MATCH(U$22,EM!$B$6:$B$9,0)-1),MIN(U$23-EM!$B$16+32,EM!$AF$16-EM!$B$16)),0)+
IF(ROUND(U$11,0)&gt;=34,OFFSET(EM!$B$17,ROW($A29)-ROW($A$26)+(ROW(EM!$C$46)-ROW(EM!$C$14))*(MATCH(U$22,EM!$B$6:$B$9,0)-1),MIN(U$23-EM!$B$16+33,EM!$AF$16-EM!$B$16)),0)+
IF(ROUND(U$11,0)&gt;=35,OFFSET(EM!$B$17,ROW($A29)-ROW($A$26)+(ROW(EM!$C$46)-ROW(EM!$C$14))*(MATCH(U$22,EM!$B$6:$B$9,0)-1),MIN(U$23-EM!$B$16+34,EM!$AF$16-EM!$B$16)),0)+
IF(ROUND(U$11,0)&gt;=36,OFFSET(EM!$B$17,ROW($A29)-ROW($A$26)+(ROW(EM!$C$46)-ROW(EM!$C$14))*(MATCH(U$22,EM!$B$6:$B$9,0)-1),MIN(U$23-EM!$B$16+35,EM!$AF$16-EM!$B$16)),0)+
IF(ROUND(U$11,0)&gt;=37,OFFSET(EM!$B$17,ROW($A29)-ROW($A$26)+(ROW(EM!$C$46)-ROW(EM!$C$14))*(MATCH(U$22,EM!$B$6:$B$9,0)-1),MIN(U$23-EM!$B$16+36,EM!$AF$16-EM!$B$16)),0)+
IF(ROUND(U$11,0)&gt;=38,OFFSET(EM!$B$17,ROW($A29)-ROW($A$26)+(ROW(EM!$C$46)-ROW(EM!$C$14))*(MATCH(U$22,EM!$B$6:$B$9,0)-1),MIN(U$23-EM!$B$16+37,EM!$AF$16-EM!$B$16)),0)+
IF(ROUND(U$11,0)&gt;=39,OFFSET(EM!$B$17,ROW($A29)-ROW($A$26)+(ROW(EM!$C$46)-ROW(EM!$C$14))*(MATCH(U$22,EM!$B$6:$B$9,0)-1),MIN(U$23-EM!$B$16+38,EM!$AF$16-EM!$B$16)),0)+
IF(ROUND(U$11,0)&gt;=40,OFFSET(EM!$B$17,ROW($A29)-ROW($A$26)+(ROW(EM!$C$46)-ROW(EM!$C$14))*(MATCH(U$22,EM!$B$6:$B$9,0)-1),MIN(U$23-EM!$B$16+39,EM!$AF$16-EM!$B$16)),0)
)/ROUND(U$11,0),NA()))</f>
        <v>3.4347831172193803E-2</v>
      </c>
      <c r="V29" s="2046">
        <f ca="1">IF(V$19=GPG!$A$28,IF(ROW(V29)-ROW(V$26)+1=MATCH(V$20,GPG!$A$5:$A$11,0),1,0),
IF(V$19=GPG!$A$29,
(IF(ROUND(V$11,0)&gt;=1,OFFSET(EM!$B$17,ROW($A29)-ROW($A$26)+(ROW(EM!$C$46)-ROW(EM!$C$14))*(MATCH(V$22,EM!$B$6:$B$9,0)-1),MIN(V$23-EM!$B$16,EM!$AF$16-EM!$B$16)),0)+
IF(ROUND(V$11,0)&gt;=2,OFFSET(EM!$B$17,ROW($A29)-ROW($A$26)+(ROW(EM!$C$46)-ROW(EM!$C$14))*(MATCH(V$22,EM!$B$6:$B$9,0)-1),MIN(V$23-EM!$B$16+1,EM!$AF$16-EM!$B$16)),0)+
IF(ROUND(V$11,0)&gt;=3,OFFSET(EM!$B$17,ROW($A29)-ROW($A$26)+(ROW(EM!$C$46)-ROW(EM!$C$14))*(MATCH(V$22,EM!$B$6:$B$9,0)-1),MIN(V$23-EM!$B$16+2,EM!$AF$16-EM!$B$16)),0)+
IF(ROUND(V$11,0)&gt;=4,OFFSET(EM!$B$17,ROW($A29)-ROW($A$26)+(ROW(EM!$C$46)-ROW(EM!$C$14))*(MATCH(V$22,EM!$B$6:$B$9,0)-1),MIN(V$23-EM!$B$16+3,EM!$AF$16-EM!$B$16)),0)+
IF(ROUND(V$11,0)&gt;=5,OFFSET(EM!$B$17,ROW($A29)-ROW($A$26)+(ROW(EM!$C$46)-ROW(EM!$C$14))*(MATCH(V$22,EM!$B$6:$B$9,0)-1),MIN(V$23-EM!$B$16+4,EM!$AF$16-EM!$B$16)),0)+
IF(ROUND(V$11,0)&gt;=6,OFFSET(EM!$B$17,ROW($A29)-ROW($A$26)+(ROW(EM!$C$46)-ROW(EM!$C$14))*(MATCH(V$22,EM!$B$6:$B$9,0)-1),MIN(V$23-EM!$B$16+5,EM!$AF$16-EM!$B$16)),0)+
IF(ROUND(V$11,0)&gt;=7,OFFSET(EM!$B$17,ROW($A29)-ROW($A$26)+(ROW(EM!$C$46)-ROW(EM!$C$14))*(MATCH(V$22,EM!$B$6:$B$9,0)-1),MIN(V$23-EM!$B$16+6,EM!$AF$16-EM!$B$16)),0)+
IF(ROUND(V$11,0)&gt;=8,OFFSET(EM!$B$17,ROW($A29)-ROW($A$26)+(ROW(EM!$C$46)-ROW(EM!$C$14))*(MATCH(V$22,EM!$B$6:$B$9,0)-1),MIN(V$23-EM!$B$16+7,EM!$AF$16-EM!$B$16)),0)+
IF(ROUND(V$11,0)&gt;=9,OFFSET(EM!$B$17,ROW($A29)-ROW($A$26)+(ROW(EM!$C$46)-ROW(EM!$C$14))*(MATCH(V$22,EM!$B$6:$B$9,0)-1),MIN(V$23-EM!$B$16+8,EM!$AF$16-EM!$B$16)),0)+
IF(ROUND(V$11,0)&gt;=10,OFFSET(EM!$B$17,ROW($A29)-ROW($A$26)+(ROW(EM!$C$46)-ROW(EM!$C$14))*(MATCH(V$22,EM!$B$6:$B$9,0)-1),MIN(V$23-EM!$B$16+9,EM!$AF$16-EM!$B$16)),0)+
IF(ROUND(V$11,0)&gt;=11,OFFSET(EM!$B$17,ROW($A29)-ROW($A$26)+(ROW(EM!$C$46)-ROW(EM!$C$14))*(MATCH(V$22,EM!$B$6:$B$9,0)-1),MIN(V$23-EM!$B$16+10,EM!$AF$16-EM!$B$16)),0)+
IF(ROUND(V$11,0)&gt;=12,OFFSET(EM!$B$17,ROW($A29)-ROW($A$26)+(ROW(EM!$C$46)-ROW(EM!$C$14))*(MATCH(V$22,EM!$B$6:$B$9,0)-1),MIN(V$23-EM!$B$16+11,EM!$AF$16-EM!$B$16)),0)+
IF(ROUND(V$11,0)&gt;=13,OFFSET(EM!$B$17,ROW($A29)-ROW($A$26)+(ROW(EM!$C$46)-ROW(EM!$C$14))*(MATCH(V$22,EM!$B$6:$B$9,0)-1),MIN(V$23-EM!$B$16+12,EM!$AF$16-EM!$B$16)),0)+
IF(ROUND(V$11,0)&gt;=14,OFFSET(EM!$B$17,ROW($A29)-ROW($A$26)+(ROW(EM!$C$46)-ROW(EM!$C$14))*(MATCH(V$22,EM!$B$6:$B$9,0)-1),MIN(V$23-EM!$B$16+13,EM!$AF$16-EM!$B$16)),0)+
IF(ROUND(V$11,0)&gt;=15,OFFSET(EM!$B$17,ROW($A29)-ROW($A$26)+(ROW(EM!$C$46)-ROW(EM!$C$14))*(MATCH(V$22,EM!$B$6:$B$9,0)-1),MIN(V$23-EM!$B$16+14,EM!$AF$16-EM!$B$16)),0)+
IF(ROUND(V$11,0)&gt;=16,OFFSET(EM!$B$17,ROW($A29)-ROW($A$26)+(ROW(EM!$C$46)-ROW(EM!$C$14))*(MATCH(V$22,EM!$B$6:$B$9,0)-1),MIN(V$23-EM!$B$16+15,EM!$AF$16-EM!$B$16)),0)+
IF(ROUND(V$11,0)&gt;=17,OFFSET(EM!$B$17,ROW($A29)-ROW($A$26)+(ROW(EM!$C$46)-ROW(EM!$C$14))*(MATCH(V$22,EM!$B$6:$B$9,0)-1),MIN(V$23-EM!$B$16+16,EM!$AF$16-EM!$B$16)),0)+
IF(ROUND(V$11,0)&gt;=18,OFFSET(EM!$B$17,ROW($A29)-ROW($A$26)+(ROW(EM!$C$46)-ROW(EM!$C$14))*(MATCH(V$22,EM!$B$6:$B$9,0)-1),MIN(V$23-EM!$B$16+17,EM!$AF$16-EM!$B$16)),0)+
IF(ROUND(V$11,0)&gt;=19,OFFSET(EM!$B$17,ROW($A29)-ROW($A$26)+(ROW(EM!$C$46)-ROW(EM!$C$14))*(MATCH(V$22,EM!$B$6:$B$9,0)-1),MIN(V$23-EM!$B$16+18,EM!$AF$16-EM!$B$16)),0)+
IF(ROUND(V$11,0)&gt;=20,OFFSET(EM!$B$17,ROW($A29)-ROW($A$26)+(ROW(EM!$C$46)-ROW(EM!$C$14))*(MATCH(V$22,EM!$B$6:$B$9,0)-1),MIN(V$23-EM!$B$16+19,EM!$AF$16-EM!$B$16)),0)+
IF(ROUND(V$11,0)&gt;=21,OFFSET(EM!$B$17,ROW($A29)-ROW($A$26)+(ROW(EM!$C$46)-ROW(EM!$C$14))*(MATCH(V$22,EM!$B$6:$B$9,0)-1),MIN(V$23-EM!$B$16+20,EM!$AF$16-EM!$B$16)),0)+
IF(ROUND(V$11,0)&gt;=22,OFFSET(EM!$B$17,ROW($A29)-ROW($A$26)+(ROW(EM!$C$46)-ROW(EM!$C$14))*(MATCH(V$22,EM!$B$6:$B$9,0)-1),MIN(V$23-EM!$B$16+21,EM!$AF$16-EM!$B$16)),0)+
IF(ROUND(V$11,0)&gt;=23,OFFSET(EM!$B$17,ROW($A29)-ROW($A$26)+(ROW(EM!$C$46)-ROW(EM!$C$14))*(MATCH(V$22,EM!$B$6:$B$9,0)-1),MIN(V$23-EM!$B$16+22,EM!$AF$16-EM!$B$16)),0)+
IF(ROUND(V$11,0)&gt;=24,OFFSET(EM!$B$17,ROW($A29)-ROW($A$26)+(ROW(EM!$C$46)-ROW(EM!$C$14))*(MATCH(V$22,EM!$B$6:$B$9,0)-1),MIN(V$23-EM!$B$16+23,EM!$AF$16-EM!$B$16)),0)+
IF(ROUND(V$11,0)&gt;=25,OFFSET(EM!$B$17,ROW($A29)-ROW($A$26)+(ROW(EM!$C$46)-ROW(EM!$C$14))*(MATCH(V$22,EM!$B$6:$B$9,0)-1),MIN(V$23-EM!$B$16+24,EM!$AF$16-EM!$B$16)),0)+
IF(ROUND(V$11,0)&gt;=26,OFFSET(EM!$B$17,ROW($A29)-ROW($A$26)+(ROW(EM!$C$46)-ROW(EM!$C$14))*(MATCH(V$22,EM!$B$6:$B$9,0)-1),MIN(V$23-EM!$B$16+25,EM!$AF$16-EM!$B$16)),0)+
IF(ROUND(V$11,0)&gt;=27,OFFSET(EM!$B$17,ROW($A29)-ROW($A$26)+(ROW(EM!$C$46)-ROW(EM!$C$14))*(MATCH(V$22,EM!$B$6:$B$9,0)-1),MIN(V$23-EM!$B$16+26,EM!$AF$16-EM!$B$16)),0)+
IF(ROUND(V$11,0)&gt;=28,OFFSET(EM!$B$17,ROW($A29)-ROW($A$26)+(ROW(EM!$C$46)-ROW(EM!$C$14))*(MATCH(V$22,EM!$B$6:$B$9,0)-1),MIN(V$23-EM!$B$16+27,EM!$AF$16-EM!$B$16)),0)+
IF(ROUND(V$11,0)&gt;=29,OFFSET(EM!$B$17,ROW($A29)-ROW($A$26)+(ROW(EM!$C$46)-ROW(EM!$C$14))*(MATCH(V$22,EM!$B$6:$B$9,0)-1),MIN(V$23-EM!$B$16+28,EM!$AF$16-EM!$B$16)),0)+
IF(ROUND(V$11,0)&gt;=30,OFFSET(EM!$B$17,ROW($A29)-ROW($A$26)+(ROW(EM!$C$46)-ROW(EM!$C$14))*(MATCH(V$22,EM!$B$6:$B$9,0)-1),MIN(V$23-EM!$B$16+29,EM!$AF$16-EM!$B$16)),0)+
IF(ROUND(V$11,0)&gt;=31,OFFSET(EM!$B$17,ROW($A29)-ROW($A$26)+(ROW(EM!$C$46)-ROW(EM!$C$14))*(MATCH(V$22,EM!$B$6:$B$9,0)-1),MIN(V$23-EM!$B$16+30,EM!$AF$16-EM!$B$16)),0)+
IF(ROUND(V$11,0)&gt;=32,OFFSET(EM!$B$17,ROW($A29)-ROW($A$26)+(ROW(EM!$C$46)-ROW(EM!$C$14))*(MATCH(V$22,EM!$B$6:$B$9,0)-1),MIN(V$23-EM!$B$16+31,EM!$AF$16-EM!$B$16)),0)+
IF(ROUND(V$11,0)&gt;=33,OFFSET(EM!$B$17,ROW($A29)-ROW($A$26)+(ROW(EM!$C$46)-ROW(EM!$C$14))*(MATCH(V$22,EM!$B$6:$B$9,0)-1),MIN(V$23-EM!$B$16+32,EM!$AF$16-EM!$B$16)),0)+
IF(ROUND(V$11,0)&gt;=34,OFFSET(EM!$B$17,ROW($A29)-ROW($A$26)+(ROW(EM!$C$46)-ROW(EM!$C$14))*(MATCH(V$22,EM!$B$6:$B$9,0)-1),MIN(V$23-EM!$B$16+33,EM!$AF$16-EM!$B$16)),0)+
IF(ROUND(V$11,0)&gt;=35,OFFSET(EM!$B$17,ROW($A29)-ROW($A$26)+(ROW(EM!$C$46)-ROW(EM!$C$14))*(MATCH(V$22,EM!$B$6:$B$9,0)-1),MIN(V$23-EM!$B$16+34,EM!$AF$16-EM!$B$16)),0)+
IF(ROUND(V$11,0)&gt;=36,OFFSET(EM!$B$17,ROW($A29)-ROW($A$26)+(ROW(EM!$C$46)-ROW(EM!$C$14))*(MATCH(V$22,EM!$B$6:$B$9,0)-1),MIN(V$23-EM!$B$16+35,EM!$AF$16-EM!$B$16)),0)+
IF(ROUND(V$11,0)&gt;=37,OFFSET(EM!$B$17,ROW($A29)-ROW($A$26)+(ROW(EM!$C$46)-ROW(EM!$C$14))*(MATCH(V$22,EM!$B$6:$B$9,0)-1),MIN(V$23-EM!$B$16+36,EM!$AF$16-EM!$B$16)),0)+
IF(ROUND(V$11,0)&gt;=38,OFFSET(EM!$B$17,ROW($A29)-ROW($A$26)+(ROW(EM!$C$46)-ROW(EM!$C$14))*(MATCH(V$22,EM!$B$6:$B$9,0)-1),MIN(V$23-EM!$B$16+37,EM!$AF$16-EM!$B$16)),0)+
IF(ROUND(V$11,0)&gt;=39,OFFSET(EM!$B$17,ROW($A29)-ROW($A$26)+(ROW(EM!$C$46)-ROW(EM!$C$14))*(MATCH(V$22,EM!$B$6:$B$9,0)-1),MIN(V$23-EM!$B$16+38,EM!$AF$16-EM!$B$16)),0)+
IF(ROUND(V$11,0)&gt;=40,OFFSET(EM!$B$17,ROW($A29)-ROW($A$26)+(ROW(EM!$C$46)-ROW(EM!$C$14))*(MATCH(V$22,EM!$B$6:$B$9,0)-1),MIN(V$23-EM!$B$16+39,EM!$AF$16-EM!$B$16)),0)
)/ROUND(V$11,0),NA()))</f>
        <v>3.4347831172193803E-2</v>
      </c>
      <c r="W29" s="2046">
        <f ca="1">IF(W$19=GPG!$A$28,IF(ROW(W29)-ROW(W$26)+1=MATCH(W$20,GPG!$A$5:$A$11,0),1,0),
IF(W$19=GPG!$A$29,
(IF(ROUND(W$11,0)&gt;=1,OFFSET(EM!$B$17,ROW($A29)-ROW($A$26)+(ROW(EM!$C$46)-ROW(EM!$C$14))*(MATCH(W$22,EM!$B$6:$B$9,0)-1),MIN(W$23-EM!$B$16,EM!$AF$16-EM!$B$16)),0)+
IF(ROUND(W$11,0)&gt;=2,OFFSET(EM!$B$17,ROW($A29)-ROW($A$26)+(ROW(EM!$C$46)-ROW(EM!$C$14))*(MATCH(W$22,EM!$B$6:$B$9,0)-1),MIN(W$23-EM!$B$16+1,EM!$AF$16-EM!$B$16)),0)+
IF(ROUND(W$11,0)&gt;=3,OFFSET(EM!$B$17,ROW($A29)-ROW($A$26)+(ROW(EM!$C$46)-ROW(EM!$C$14))*(MATCH(W$22,EM!$B$6:$B$9,0)-1),MIN(W$23-EM!$B$16+2,EM!$AF$16-EM!$B$16)),0)+
IF(ROUND(W$11,0)&gt;=4,OFFSET(EM!$B$17,ROW($A29)-ROW($A$26)+(ROW(EM!$C$46)-ROW(EM!$C$14))*(MATCH(W$22,EM!$B$6:$B$9,0)-1),MIN(W$23-EM!$B$16+3,EM!$AF$16-EM!$B$16)),0)+
IF(ROUND(W$11,0)&gt;=5,OFFSET(EM!$B$17,ROW($A29)-ROW($A$26)+(ROW(EM!$C$46)-ROW(EM!$C$14))*(MATCH(W$22,EM!$B$6:$B$9,0)-1),MIN(W$23-EM!$B$16+4,EM!$AF$16-EM!$B$16)),0)+
IF(ROUND(W$11,0)&gt;=6,OFFSET(EM!$B$17,ROW($A29)-ROW($A$26)+(ROW(EM!$C$46)-ROW(EM!$C$14))*(MATCH(W$22,EM!$B$6:$B$9,0)-1),MIN(W$23-EM!$B$16+5,EM!$AF$16-EM!$B$16)),0)+
IF(ROUND(W$11,0)&gt;=7,OFFSET(EM!$B$17,ROW($A29)-ROW($A$26)+(ROW(EM!$C$46)-ROW(EM!$C$14))*(MATCH(W$22,EM!$B$6:$B$9,0)-1),MIN(W$23-EM!$B$16+6,EM!$AF$16-EM!$B$16)),0)+
IF(ROUND(W$11,0)&gt;=8,OFFSET(EM!$B$17,ROW($A29)-ROW($A$26)+(ROW(EM!$C$46)-ROW(EM!$C$14))*(MATCH(W$22,EM!$B$6:$B$9,0)-1),MIN(W$23-EM!$B$16+7,EM!$AF$16-EM!$B$16)),0)+
IF(ROUND(W$11,0)&gt;=9,OFFSET(EM!$B$17,ROW($A29)-ROW($A$26)+(ROW(EM!$C$46)-ROW(EM!$C$14))*(MATCH(W$22,EM!$B$6:$B$9,0)-1),MIN(W$23-EM!$B$16+8,EM!$AF$16-EM!$B$16)),0)+
IF(ROUND(W$11,0)&gt;=10,OFFSET(EM!$B$17,ROW($A29)-ROW($A$26)+(ROW(EM!$C$46)-ROW(EM!$C$14))*(MATCH(W$22,EM!$B$6:$B$9,0)-1),MIN(W$23-EM!$B$16+9,EM!$AF$16-EM!$B$16)),0)+
IF(ROUND(W$11,0)&gt;=11,OFFSET(EM!$B$17,ROW($A29)-ROW($A$26)+(ROW(EM!$C$46)-ROW(EM!$C$14))*(MATCH(W$22,EM!$B$6:$B$9,0)-1),MIN(W$23-EM!$B$16+10,EM!$AF$16-EM!$B$16)),0)+
IF(ROUND(W$11,0)&gt;=12,OFFSET(EM!$B$17,ROW($A29)-ROW($A$26)+(ROW(EM!$C$46)-ROW(EM!$C$14))*(MATCH(W$22,EM!$B$6:$B$9,0)-1),MIN(W$23-EM!$B$16+11,EM!$AF$16-EM!$B$16)),0)+
IF(ROUND(W$11,0)&gt;=13,OFFSET(EM!$B$17,ROW($A29)-ROW($A$26)+(ROW(EM!$C$46)-ROW(EM!$C$14))*(MATCH(W$22,EM!$B$6:$B$9,0)-1),MIN(W$23-EM!$B$16+12,EM!$AF$16-EM!$B$16)),0)+
IF(ROUND(W$11,0)&gt;=14,OFFSET(EM!$B$17,ROW($A29)-ROW($A$26)+(ROW(EM!$C$46)-ROW(EM!$C$14))*(MATCH(W$22,EM!$B$6:$B$9,0)-1),MIN(W$23-EM!$B$16+13,EM!$AF$16-EM!$B$16)),0)+
IF(ROUND(W$11,0)&gt;=15,OFFSET(EM!$B$17,ROW($A29)-ROW($A$26)+(ROW(EM!$C$46)-ROW(EM!$C$14))*(MATCH(W$22,EM!$B$6:$B$9,0)-1),MIN(W$23-EM!$B$16+14,EM!$AF$16-EM!$B$16)),0)+
IF(ROUND(W$11,0)&gt;=16,OFFSET(EM!$B$17,ROW($A29)-ROW($A$26)+(ROW(EM!$C$46)-ROW(EM!$C$14))*(MATCH(W$22,EM!$B$6:$B$9,0)-1),MIN(W$23-EM!$B$16+15,EM!$AF$16-EM!$B$16)),0)+
IF(ROUND(W$11,0)&gt;=17,OFFSET(EM!$B$17,ROW($A29)-ROW($A$26)+(ROW(EM!$C$46)-ROW(EM!$C$14))*(MATCH(W$22,EM!$B$6:$B$9,0)-1),MIN(W$23-EM!$B$16+16,EM!$AF$16-EM!$B$16)),0)+
IF(ROUND(W$11,0)&gt;=18,OFFSET(EM!$B$17,ROW($A29)-ROW($A$26)+(ROW(EM!$C$46)-ROW(EM!$C$14))*(MATCH(W$22,EM!$B$6:$B$9,0)-1),MIN(W$23-EM!$B$16+17,EM!$AF$16-EM!$B$16)),0)+
IF(ROUND(W$11,0)&gt;=19,OFFSET(EM!$B$17,ROW($A29)-ROW($A$26)+(ROW(EM!$C$46)-ROW(EM!$C$14))*(MATCH(W$22,EM!$B$6:$B$9,0)-1),MIN(W$23-EM!$B$16+18,EM!$AF$16-EM!$B$16)),0)+
IF(ROUND(W$11,0)&gt;=20,OFFSET(EM!$B$17,ROW($A29)-ROW($A$26)+(ROW(EM!$C$46)-ROW(EM!$C$14))*(MATCH(W$22,EM!$B$6:$B$9,0)-1),MIN(W$23-EM!$B$16+19,EM!$AF$16-EM!$B$16)),0)+
IF(ROUND(W$11,0)&gt;=21,OFFSET(EM!$B$17,ROW($A29)-ROW($A$26)+(ROW(EM!$C$46)-ROW(EM!$C$14))*(MATCH(W$22,EM!$B$6:$B$9,0)-1),MIN(W$23-EM!$B$16+20,EM!$AF$16-EM!$B$16)),0)+
IF(ROUND(W$11,0)&gt;=22,OFFSET(EM!$B$17,ROW($A29)-ROW($A$26)+(ROW(EM!$C$46)-ROW(EM!$C$14))*(MATCH(W$22,EM!$B$6:$B$9,0)-1),MIN(W$23-EM!$B$16+21,EM!$AF$16-EM!$B$16)),0)+
IF(ROUND(W$11,0)&gt;=23,OFFSET(EM!$B$17,ROW($A29)-ROW($A$26)+(ROW(EM!$C$46)-ROW(EM!$C$14))*(MATCH(W$22,EM!$B$6:$B$9,0)-1),MIN(W$23-EM!$B$16+22,EM!$AF$16-EM!$B$16)),0)+
IF(ROUND(W$11,0)&gt;=24,OFFSET(EM!$B$17,ROW($A29)-ROW($A$26)+(ROW(EM!$C$46)-ROW(EM!$C$14))*(MATCH(W$22,EM!$B$6:$B$9,0)-1),MIN(W$23-EM!$B$16+23,EM!$AF$16-EM!$B$16)),0)+
IF(ROUND(W$11,0)&gt;=25,OFFSET(EM!$B$17,ROW($A29)-ROW($A$26)+(ROW(EM!$C$46)-ROW(EM!$C$14))*(MATCH(W$22,EM!$B$6:$B$9,0)-1),MIN(W$23-EM!$B$16+24,EM!$AF$16-EM!$B$16)),0)+
IF(ROUND(W$11,0)&gt;=26,OFFSET(EM!$B$17,ROW($A29)-ROW($A$26)+(ROW(EM!$C$46)-ROW(EM!$C$14))*(MATCH(W$22,EM!$B$6:$B$9,0)-1),MIN(W$23-EM!$B$16+25,EM!$AF$16-EM!$B$16)),0)+
IF(ROUND(W$11,0)&gt;=27,OFFSET(EM!$B$17,ROW($A29)-ROW($A$26)+(ROW(EM!$C$46)-ROW(EM!$C$14))*(MATCH(W$22,EM!$B$6:$B$9,0)-1),MIN(W$23-EM!$B$16+26,EM!$AF$16-EM!$B$16)),0)+
IF(ROUND(W$11,0)&gt;=28,OFFSET(EM!$B$17,ROW($A29)-ROW($A$26)+(ROW(EM!$C$46)-ROW(EM!$C$14))*(MATCH(W$22,EM!$B$6:$B$9,0)-1),MIN(W$23-EM!$B$16+27,EM!$AF$16-EM!$B$16)),0)+
IF(ROUND(W$11,0)&gt;=29,OFFSET(EM!$B$17,ROW($A29)-ROW($A$26)+(ROW(EM!$C$46)-ROW(EM!$C$14))*(MATCH(W$22,EM!$B$6:$B$9,0)-1),MIN(W$23-EM!$B$16+28,EM!$AF$16-EM!$B$16)),0)+
IF(ROUND(W$11,0)&gt;=30,OFFSET(EM!$B$17,ROW($A29)-ROW($A$26)+(ROW(EM!$C$46)-ROW(EM!$C$14))*(MATCH(W$22,EM!$B$6:$B$9,0)-1),MIN(W$23-EM!$B$16+29,EM!$AF$16-EM!$B$16)),0)+
IF(ROUND(W$11,0)&gt;=31,OFFSET(EM!$B$17,ROW($A29)-ROW($A$26)+(ROW(EM!$C$46)-ROW(EM!$C$14))*(MATCH(W$22,EM!$B$6:$B$9,0)-1),MIN(W$23-EM!$B$16+30,EM!$AF$16-EM!$B$16)),0)+
IF(ROUND(W$11,0)&gt;=32,OFFSET(EM!$B$17,ROW($A29)-ROW($A$26)+(ROW(EM!$C$46)-ROW(EM!$C$14))*(MATCH(W$22,EM!$B$6:$B$9,0)-1),MIN(W$23-EM!$B$16+31,EM!$AF$16-EM!$B$16)),0)+
IF(ROUND(W$11,0)&gt;=33,OFFSET(EM!$B$17,ROW($A29)-ROW($A$26)+(ROW(EM!$C$46)-ROW(EM!$C$14))*(MATCH(W$22,EM!$B$6:$B$9,0)-1),MIN(W$23-EM!$B$16+32,EM!$AF$16-EM!$B$16)),0)+
IF(ROUND(W$11,0)&gt;=34,OFFSET(EM!$B$17,ROW($A29)-ROW($A$26)+(ROW(EM!$C$46)-ROW(EM!$C$14))*(MATCH(W$22,EM!$B$6:$B$9,0)-1),MIN(W$23-EM!$B$16+33,EM!$AF$16-EM!$B$16)),0)+
IF(ROUND(W$11,0)&gt;=35,OFFSET(EM!$B$17,ROW($A29)-ROW($A$26)+(ROW(EM!$C$46)-ROW(EM!$C$14))*(MATCH(W$22,EM!$B$6:$B$9,0)-1),MIN(W$23-EM!$B$16+34,EM!$AF$16-EM!$B$16)),0)+
IF(ROUND(W$11,0)&gt;=36,OFFSET(EM!$B$17,ROW($A29)-ROW($A$26)+(ROW(EM!$C$46)-ROW(EM!$C$14))*(MATCH(W$22,EM!$B$6:$B$9,0)-1),MIN(W$23-EM!$B$16+35,EM!$AF$16-EM!$B$16)),0)+
IF(ROUND(W$11,0)&gt;=37,OFFSET(EM!$B$17,ROW($A29)-ROW($A$26)+(ROW(EM!$C$46)-ROW(EM!$C$14))*(MATCH(W$22,EM!$B$6:$B$9,0)-1),MIN(W$23-EM!$B$16+36,EM!$AF$16-EM!$B$16)),0)+
IF(ROUND(W$11,0)&gt;=38,OFFSET(EM!$B$17,ROW($A29)-ROW($A$26)+(ROW(EM!$C$46)-ROW(EM!$C$14))*(MATCH(W$22,EM!$B$6:$B$9,0)-1),MIN(W$23-EM!$B$16+37,EM!$AF$16-EM!$B$16)),0)+
IF(ROUND(W$11,0)&gt;=39,OFFSET(EM!$B$17,ROW($A29)-ROW($A$26)+(ROW(EM!$C$46)-ROW(EM!$C$14))*(MATCH(W$22,EM!$B$6:$B$9,0)-1),MIN(W$23-EM!$B$16+38,EM!$AF$16-EM!$B$16)),0)+
IF(ROUND(W$11,0)&gt;=40,OFFSET(EM!$B$17,ROW($A29)-ROW($A$26)+(ROW(EM!$C$46)-ROW(EM!$C$14))*(MATCH(W$22,EM!$B$6:$B$9,0)-1),MIN(W$23-EM!$B$16+39,EM!$AF$16-EM!$B$16)),0)
)/ROUND(W$11,0),NA()))</f>
        <v>3.4347831172193803E-2</v>
      </c>
      <c r="X29" s="2046">
        <f ca="1">IF(X$19=GPG!$A$28,IF(ROW(X29)-ROW(X$26)+1=MATCH(X$20,GPG!$A$5:$A$11,0),1,0),
IF(X$19=GPG!$A$29,
(IF(ROUND(X$11,0)&gt;=1,OFFSET(EM!$B$17,ROW($A29)-ROW($A$26)+(ROW(EM!$C$46)-ROW(EM!$C$14))*(MATCH(X$22,EM!$B$6:$B$9,0)-1),MIN(X$23-EM!$B$16,EM!$AF$16-EM!$B$16)),0)+
IF(ROUND(X$11,0)&gt;=2,OFFSET(EM!$B$17,ROW($A29)-ROW($A$26)+(ROW(EM!$C$46)-ROW(EM!$C$14))*(MATCH(X$22,EM!$B$6:$B$9,0)-1),MIN(X$23-EM!$B$16+1,EM!$AF$16-EM!$B$16)),0)+
IF(ROUND(X$11,0)&gt;=3,OFFSET(EM!$B$17,ROW($A29)-ROW($A$26)+(ROW(EM!$C$46)-ROW(EM!$C$14))*(MATCH(X$22,EM!$B$6:$B$9,0)-1),MIN(X$23-EM!$B$16+2,EM!$AF$16-EM!$B$16)),0)+
IF(ROUND(X$11,0)&gt;=4,OFFSET(EM!$B$17,ROW($A29)-ROW($A$26)+(ROW(EM!$C$46)-ROW(EM!$C$14))*(MATCH(X$22,EM!$B$6:$B$9,0)-1),MIN(X$23-EM!$B$16+3,EM!$AF$16-EM!$B$16)),0)+
IF(ROUND(X$11,0)&gt;=5,OFFSET(EM!$B$17,ROW($A29)-ROW($A$26)+(ROW(EM!$C$46)-ROW(EM!$C$14))*(MATCH(X$22,EM!$B$6:$B$9,0)-1),MIN(X$23-EM!$B$16+4,EM!$AF$16-EM!$B$16)),0)+
IF(ROUND(X$11,0)&gt;=6,OFFSET(EM!$B$17,ROW($A29)-ROW($A$26)+(ROW(EM!$C$46)-ROW(EM!$C$14))*(MATCH(X$22,EM!$B$6:$B$9,0)-1),MIN(X$23-EM!$B$16+5,EM!$AF$16-EM!$B$16)),0)+
IF(ROUND(X$11,0)&gt;=7,OFFSET(EM!$B$17,ROW($A29)-ROW($A$26)+(ROW(EM!$C$46)-ROW(EM!$C$14))*(MATCH(X$22,EM!$B$6:$B$9,0)-1),MIN(X$23-EM!$B$16+6,EM!$AF$16-EM!$B$16)),0)+
IF(ROUND(X$11,0)&gt;=8,OFFSET(EM!$B$17,ROW($A29)-ROW($A$26)+(ROW(EM!$C$46)-ROW(EM!$C$14))*(MATCH(X$22,EM!$B$6:$B$9,0)-1),MIN(X$23-EM!$B$16+7,EM!$AF$16-EM!$B$16)),0)+
IF(ROUND(X$11,0)&gt;=9,OFFSET(EM!$B$17,ROW($A29)-ROW($A$26)+(ROW(EM!$C$46)-ROW(EM!$C$14))*(MATCH(X$22,EM!$B$6:$B$9,0)-1),MIN(X$23-EM!$B$16+8,EM!$AF$16-EM!$B$16)),0)+
IF(ROUND(X$11,0)&gt;=10,OFFSET(EM!$B$17,ROW($A29)-ROW($A$26)+(ROW(EM!$C$46)-ROW(EM!$C$14))*(MATCH(X$22,EM!$B$6:$B$9,0)-1),MIN(X$23-EM!$B$16+9,EM!$AF$16-EM!$B$16)),0)+
IF(ROUND(X$11,0)&gt;=11,OFFSET(EM!$B$17,ROW($A29)-ROW($A$26)+(ROW(EM!$C$46)-ROW(EM!$C$14))*(MATCH(X$22,EM!$B$6:$B$9,0)-1),MIN(X$23-EM!$B$16+10,EM!$AF$16-EM!$B$16)),0)+
IF(ROUND(X$11,0)&gt;=12,OFFSET(EM!$B$17,ROW($A29)-ROW($A$26)+(ROW(EM!$C$46)-ROW(EM!$C$14))*(MATCH(X$22,EM!$B$6:$B$9,0)-1),MIN(X$23-EM!$B$16+11,EM!$AF$16-EM!$B$16)),0)+
IF(ROUND(X$11,0)&gt;=13,OFFSET(EM!$B$17,ROW($A29)-ROW($A$26)+(ROW(EM!$C$46)-ROW(EM!$C$14))*(MATCH(X$22,EM!$B$6:$B$9,0)-1),MIN(X$23-EM!$B$16+12,EM!$AF$16-EM!$B$16)),0)+
IF(ROUND(X$11,0)&gt;=14,OFFSET(EM!$B$17,ROW($A29)-ROW($A$26)+(ROW(EM!$C$46)-ROW(EM!$C$14))*(MATCH(X$22,EM!$B$6:$B$9,0)-1),MIN(X$23-EM!$B$16+13,EM!$AF$16-EM!$B$16)),0)+
IF(ROUND(X$11,0)&gt;=15,OFFSET(EM!$B$17,ROW($A29)-ROW($A$26)+(ROW(EM!$C$46)-ROW(EM!$C$14))*(MATCH(X$22,EM!$B$6:$B$9,0)-1),MIN(X$23-EM!$B$16+14,EM!$AF$16-EM!$B$16)),0)+
IF(ROUND(X$11,0)&gt;=16,OFFSET(EM!$B$17,ROW($A29)-ROW($A$26)+(ROW(EM!$C$46)-ROW(EM!$C$14))*(MATCH(X$22,EM!$B$6:$B$9,0)-1),MIN(X$23-EM!$B$16+15,EM!$AF$16-EM!$B$16)),0)+
IF(ROUND(X$11,0)&gt;=17,OFFSET(EM!$B$17,ROW($A29)-ROW($A$26)+(ROW(EM!$C$46)-ROW(EM!$C$14))*(MATCH(X$22,EM!$B$6:$B$9,0)-1),MIN(X$23-EM!$B$16+16,EM!$AF$16-EM!$B$16)),0)+
IF(ROUND(X$11,0)&gt;=18,OFFSET(EM!$B$17,ROW($A29)-ROW($A$26)+(ROW(EM!$C$46)-ROW(EM!$C$14))*(MATCH(X$22,EM!$B$6:$B$9,0)-1),MIN(X$23-EM!$B$16+17,EM!$AF$16-EM!$B$16)),0)+
IF(ROUND(X$11,0)&gt;=19,OFFSET(EM!$B$17,ROW($A29)-ROW($A$26)+(ROW(EM!$C$46)-ROW(EM!$C$14))*(MATCH(X$22,EM!$B$6:$B$9,0)-1),MIN(X$23-EM!$B$16+18,EM!$AF$16-EM!$B$16)),0)+
IF(ROUND(X$11,0)&gt;=20,OFFSET(EM!$B$17,ROW($A29)-ROW($A$26)+(ROW(EM!$C$46)-ROW(EM!$C$14))*(MATCH(X$22,EM!$B$6:$B$9,0)-1),MIN(X$23-EM!$B$16+19,EM!$AF$16-EM!$B$16)),0)+
IF(ROUND(X$11,0)&gt;=21,OFFSET(EM!$B$17,ROW($A29)-ROW($A$26)+(ROW(EM!$C$46)-ROW(EM!$C$14))*(MATCH(X$22,EM!$B$6:$B$9,0)-1),MIN(X$23-EM!$B$16+20,EM!$AF$16-EM!$B$16)),0)+
IF(ROUND(X$11,0)&gt;=22,OFFSET(EM!$B$17,ROW($A29)-ROW($A$26)+(ROW(EM!$C$46)-ROW(EM!$C$14))*(MATCH(X$22,EM!$B$6:$B$9,0)-1),MIN(X$23-EM!$B$16+21,EM!$AF$16-EM!$B$16)),0)+
IF(ROUND(X$11,0)&gt;=23,OFFSET(EM!$B$17,ROW($A29)-ROW($A$26)+(ROW(EM!$C$46)-ROW(EM!$C$14))*(MATCH(X$22,EM!$B$6:$B$9,0)-1),MIN(X$23-EM!$B$16+22,EM!$AF$16-EM!$B$16)),0)+
IF(ROUND(X$11,0)&gt;=24,OFFSET(EM!$B$17,ROW($A29)-ROW($A$26)+(ROW(EM!$C$46)-ROW(EM!$C$14))*(MATCH(X$22,EM!$B$6:$B$9,0)-1),MIN(X$23-EM!$B$16+23,EM!$AF$16-EM!$B$16)),0)+
IF(ROUND(X$11,0)&gt;=25,OFFSET(EM!$B$17,ROW($A29)-ROW($A$26)+(ROW(EM!$C$46)-ROW(EM!$C$14))*(MATCH(X$22,EM!$B$6:$B$9,0)-1),MIN(X$23-EM!$B$16+24,EM!$AF$16-EM!$B$16)),0)+
IF(ROUND(X$11,0)&gt;=26,OFFSET(EM!$B$17,ROW($A29)-ROW($A$26)+(ROW(EM!$C$46)-ROW(EM!$C$14))*(MATCH(X$22,EM!$B$6:$B$9,0)-1),MIN(X$23-EM!$B$16+25,EM!$AF$16-EM!$B$16)),0)+
IF(ROUND(X$11,0)&gt;=27,OFFSET(EM!$B$17,ROW($A29)-ROW($A$26)+(ROW(EM!$C$46)-ROW(EM!$C$14))*(MATCH(X$22,EM!$B$6:$B$9,0)-1),MIN(X$23-EM!$B$16+26,EM!$AF$16-EM!$B$16)),0)+
IF(ROUND(X$11,0)&gt;=28,OFFSET(EM!$B$17,ROW($A29)-ROW($A$26)+(ROW(EM!$C$46)-ROW(EM!$C$14))*(MATCH(X$22,EM!$B$6:$B$9,0)-1),MIN(X$23-EM!$B$16+27,EM!$AF$16-EM!$B$16)),0)+
IF(ROUND(X$11,0)&gt;=29,OFFSET(EM!$B$17,ROW($A29)-ROW($A$26)+(ROW(EM!$C$46)-ROW(EM!$C$14))*(MATCH(X$22,EM!$B$6:$B$9,0)-1),MIN(X$23-EM!$B$16+28,EM!$AF$16-EM!$B$16)),0)+
IF(ROUND(X$11,0)&gt;=30,OFFSET(EM!$B$17,ROW($A29)-ROW($A$26)+(ROW(EM!$C$46)-ROW(EM!$C$14))*(MATCH(X$22,EM!$B$6:$B$9,0)-1),MIN(X$23-EM!$B$16+29,EM!$AF$16-EM!$B$16)),0)+
IF(ROUND(X$11,0)&gt;=31,OFFSET(EM!$B$17,ROW($A29)-ROW($A$26)+(ROW(EM!$C$46)-ROW(EM!$C$14))*(MATCH(X$22,EM!$B$6:$B$9,0)-1),MIN(X$23-EM!$B$16+30,EM!$AF$16-EM!$B$16)),0)+
IF(ROUND(X$11,0)&gt;=32,OFFSET(EM!$B$17,ROW($A29)-ROW($A$26)+(ROW(EM!$C$46)-ROW(EM!$C$14))*(MATCH(X$22,EM!$B$6:$B$9,0)-1),MIN(X$23-EM!$B$16+31,EM!$AF$16-EM!$B$16)),0)+
IF(ROUND(X$11,0)&gt;=33,OFFSET(EM!$B$17,ROW($A29)-ROW($A$26)+(ROW(EM!$C$46)-ROW(EM!$C$14))*(MATCH(X$22,EM!$B$6:$B$9,0)-1),MIN(X$23-EM!$B$16+32,EM!$AF$16-EM!$B$16)),0)+
IF(ROUND(X$11,0)&gt;=34,OFFSET(EM!$B$17,ROW($A29)-ROW($A$26)+(ROW(EM!$C$46)-ROW(EM!$C$14))*(MATCH(X$22,EM!$B$6:$B$9,0)-1),MIN(X$23-EM!$B$16+33,EM!$AF$16-EM!$B$16)),0)+
IF(ROUND(X$11,0)&gt;=35,OFFSET(EM!$B$17,ROW($A29)-ROW($A$26)+(ROW(EM!$C$46)-ROW(EM!$C$14))*(MATCH(X$22,EM!$B$6:$B$9,0)-1),MIN(X$23-EM!$B$16+34,EM!$AF$16-EM!$B$16)),0)+
IF(ROUND(X$11,0)&gt;=36,OFFSET(EM!$B$17,ROW($A29)-ROW($A$26)+(ROW(EM!$C$46)-ROW(EM!$C$14))*(MATCH(X$22,EM!$B$6:$B$9,0)-1),MIN(X$23-EM!$B$16+35,EM!$AF$16-EM!$B$16)),0)+
IF(ROUND(X$11,0)&gt;=37,OFFSET(EM!$B$17,ROW($A29)-ROW($A$26)+(ROW(EM!$C$46)-ROW(EM!$C$14))*(MATCH(X$22,EM!$B$6:$B$9,0)-1),MIN(X$23-EM!$B$16+36,EM!$AF$16-EM!$B$16)),0)+
IF(ROUND(X$11,0)&gt;=38,OFFSET(EM!$B$17,ROW($A29)-ROW($A$26)+(ROW(EM!$C$46)-ROW(EM!$C$14))*(MATCH(X$22,EM!$B$6:$B$9,0)-1),MIN(X$23-EM!$B$16+37,EM!$AF$16-EM!$B$16)),0)+
IF(ROUND(X$11,0)&gt;=39,OFFSET(EM!$B$17,ROW($A29)-ROW($A$26)+(ROW(EM!$C$46)-ROW(EM!$C$14))*(MATCH(X$22,EM!$B$6:$B$9,0)-1),MIN(X$23-EM!$B$16+38,EM!$AF$16-EM!$B$16)),0)+
IF(ROUND(X$11,0)&gt;=40,OFFSET(EM!$B$17,ROW($A29)-ROW($A$26)+(ROW(EM!$C$46)-ROW(EM!$C$14))*(MATCH(X$22,EM!$B$6:$B$9,0)-1),MIN(X$23-EM!$B$16+39,EM!$AF$16-EM!$B$16)),0)
)/ROUND(X$11,0),NA()))</f>
        <v>0</v>
      </c>
      <c r="Y29" s="2046">
        <f ca="1">IF(Y$19=GPG!$A$28,IF(ROW(Y29)-ROW(Y$26)+1=MATCH(Y$20,GPG!$A$5:$A$11,0),1,0),
IF(Y$19=GPG!$A$29,
(IF(ROUND(Y$11,0)&gt;=1,OFFSET(EM!$B$17,ROW($A29)-ROW($A$26)+(ROW(EM!$C$46)-ROW(EM!$C$14))*(MATCH(Y$22,EM!$B$6:$B$9,0)-1),MIN(Y$23-EM!$B$16,EM!$AF$16-EM!$B$16)),0)+
IF(ROUND(Y$11,0)&gt;=2,OFFSET(EM!$B$17,ROW($A29)-ROW($A$26)+(ROW(EM!$C$46)-ROW(EM!$C$14))*(MATCH(Y$22,EM!$B$6:$B$9,0)-1),MIN(Y$23-EM!$B$16+1,EM!$AF$16-EM!$B$16)),0)+
IF(ROUND(Y$11,0)&gt;=3,OFFSET(EM!$B$17,ROW($A29)-ROW($A$26)+(ROW(EM!$C$46)-ROW(EM!$C$14))*(MATCH(Y$22,EM!$B$6:$B$9,0)-1),MIN(Y$23-EM!$B$16+2,EM!$AF$16-EM!$B$16)),0)+
IF(ROUND(Y$11,0)&gt;=4,OFFSET(EM!$B$17,ROW($A29)-ROW($A$26)+(ROW(EM!$C$46)-ROW(EM!$C$14))*(MATCH(Y$22,EM!$B$6:$B$9,0)-1),MIN(Y$23-EM!$B$16+3,EM!$AF$16-EM!$B$16)),0)+
IF(ROUND(Y$11,0)&gt;=5,OFFSET(EM!$B$17,ROW($A29)-ROW($A$26)+(ROW(EM!$C$46)-ROW(EM!$C$14))*(MATCH(Y$22,EM!$B$6:$B$9,0)-1),MIN(Y$23-EM!$B$16+4,EM!$AF$16-EM!$B$16)),0)+
IF(ROUND(Y$11,0)&gt;=6,OFFSET(EM!$B$17,ROW($A29)-ROW($A$26)+(ROW(EM!$C$46)-ROW(EM!$C$14))*(MATCH(Y$22,EM!$B$6:$B$9,0)-1),MIN(Y$23-EM!$B$16+5,EM!$AF$16-EM!$B$16)),0)+
IF(ROUND(Y$11,0)&gt;=7,OFFSET(EM!$B$17,ROW($A29)-ROW($A$26)+(ROW(EM!$C$46)-ROW(EM!$C$14))*(MATCH(Y$22,EM!$B$6:$B$9,0)-1),MIN(Y$23-EM!$B$16+6,EM!$AF$16-EM!$B$16)),0)+
IF(ROUND(Y$11,0)&gt;=8,OFFSET(EM!$B$17,ROW($A29)-ROW($A$26)+(ROW(EM!$C$46)-ROW(EM!$C$14))*(MATCH(Y$22,EM!$B$6:$B$9,0)-1),MIN(Y$23-EM!$B$16+7,EM!$AF$16-EM!$B$16)),0)+
IF(ROUND(Y$11,0)&gt;=9,OFFSET(EM!$B$17,ROW($A29)-ROW($A$26)+(ROW(EM!$C$46)-ROW(EM!$C$14))*(MATCH(Y$22,EM!$B$6:$B$9,0)-1),MIN(Y$23-EM!$B$16+8,EM!$AF$16-EM!$B$16)),0)+
IF(ROUND(Y$11,0)&gt;=10,OFFSET(EM!$B$17,ROW($A29)-ROW($A$26)+(ROW(EM!$C$46)-ROW(EM!$C$14))*(MATCH(Y$22,EM!$B$6:$B$9,0)-1),MIN(Y$23-EM!$B$16+9,EM!$AF$16-EM!$B$16)),0)+
IF(ROUND(Y$11,0)&gt;=11,OFFSET(EM!$B$17,ROW($A29)-ROW($A$26)+(ROW(EM!$C$46)-ROW(EM!$C$14))*(MATCH(Y$22,EM!$B$6:$B$9,0)-1),MIN(Y$23-EM!$B$16+10,EM!$AF$16-EM!$B$16)),0)+
IF(ROUND(Y$11,0)&gt;=12,OFFSET(EM!$B$17,ROW($A29)-ROW($A$26)+(ROW(EM!$C$46)-ROW(EM!$C$14))*(MATCH(Y$22,EM!$B$6:$B$9,0)-1),MIN(Y$23-EM!$B$16+11,EM!$AF$16-EM!$B$16)),0)+
IF(ROUND(Y$11,0)&gt;=13,OFFSET(EM!$B$17,ROW($A29)-ROW($A$26)+(ROW(EM!$C$46)-ROW(EM!$C$14))*(MATCH(Y$22,EM!$B$6:$B$9,0)-1),MIN(Y$23-EM!$B$16+12,EM!$AF$16-EM!$B$16)),0)+
IF(ROUND(Y$11,0)&gt;=14,OFFSET(EM!$B$17,ROW($A29)-ROW($A$26)+(ROW(EM!$C$46)-ROW(EM!$C$14))*(MATCH(Y$22,EM!$B$6:$B$9,0)-1),MIN(Y$23-EM!$B$16+13,EM!$AF$16-EM!$B$16)),0)+
IF(ROUND(Y$11,0)&gt;=15,OFFSET(EM!$B$17,ROW($A29)-ROW($A$26)+(ROW(EM!$C$46)-ROW(EM!$C$14))*(MATCH(Y$22,EM!$B$6:$B$9,0)-1),MIN(Y$23-EM!$B$16+14,EM!$AF$16-EM!$B$16)),0)+
IF(ROUND(Y$11,0)&gt;=16,OFFSET(EM!$B$17,ROW($A29)-ROW($A$26)+(ROW(EM!$C$46)-ROW(EM!$C$14))*(MATCH(Y$22,EM!$B$6:$B$9,0)-1),MIN(Y$23-EM!$B$16+15,EM!$AF$16-EM!$B$16)),0)+
IF(ROUND(Y$11,0)&gt;=17,OFFSET(EM!$B$17,ROW($A29)-ROW($A$26)+(ROW(EM!$C$46)-ROW(EM!$C$14))*(MATCH(Y$22,EM!$B$6:$B$9,0)-1),MIN(Y$23-EM!$B$16+16,EM!$AF$16-EM!$B$16)),0)+
IF(ROUND(Y$11,0)&gt;=18,OFFSET(EM!$B$17,ROW($A29)-ROW($A$26)+(ROW(EM!$C$46)-ROW(EM!$C$14))*(MATCH(Y$22,EM!$B$6:$B$9,0)-1),MIN(Y$23-EM!$B$16+17,EM!$AF$16-EM!$B$16)),0)+
IF(ROUND(Y$11,0)&gt;=19,OFFSET(EM!$B$17,ROW($A29)-ROW($A$26)+(ROW(EM!$C$46)-ROW(EM!$C$14))*(MATCH(Y$22,EM!$B$6:$B$9,0)-1),MIN(Y$23-EM!$B$16+18,EM!$AF$16-EM!$B$16)),0)+
IF(ROUND(Y$11,0)&gt;=20,OFFSET(EM!$B$17,ROW($A29)-ROW($A$26)+(ROW(EM!$C$46)-ROW(EM!$C$14))*(MATCH(Y$22,EM!$B$6:$B$9,0)-1),MIN(Y$23-EM!$B$16+19,EM!$AF$16-EM!$B$16)),0)+
IF(ROUND(Y$11,0)&gt;=21,OFFSET(EM!$B$17,ROW($A29)-ROW($A$26)+(ROW(EM!$C$46)-ROW(EM!$C$14))*(MATCH(Y$22,EM!$B$6:$B$9,0)-1),MIN(Y$23-EM!$B$16+20,EM!$AF$16-EM!$B$16)),0)+
IF(ROUND(Y$11,0)&gt;=22,OFFSET(EM!$B$17,ROW($A29)-ROW($A$26)+(ROW(EM!$C$46)-ROW(EM!$C$14))*(MATCH(Y$22,EM!$B$6:$B$9,0)-1),MIN(Y$23-EM!$B$16+21,EM!$AF$16-EM!$B$16)),0)+
IF(ROUND(Y$11,0)&gt;=23,OFFSET(EM!$B$17,ROW($A29)-ROW($A$26)+(ROW(EM!$C$46)-ROW(EM!$C$14))*(MATCH(Y$22,EM!$B$6:$B$9,0)-1),MIN(Y$23-EM!$B$16+22,EM!$AF$16-EM!$B$16)),0)+
IF(ROUND(Y$11,0)&gt;=24,OFFSET(EM!$B$17,ROW($A29)-ROW($A$26)+(ROW(EM!$C$46)-ROW(EM!$C$14))*(MATCH(Y$22,EM!$B$6:$B$9,0)-1),MIN(Y$23-EM!$B$16+23,EM!$AF$16-EM!$B$16)),0)+
IF(ROUND(Y$11,0)&gt;=25,OFFSET(EM!$B$17,ROW($A29)-ROW($A$26)+(ROW(EM!$C$46)-ROW(EM!$C$14))*(MATCH(Y$22,EM!$B$6:$B$9,0)-1),MIN(Y$23-EM!$B$16+24,EM!$AF$16-EM!$B$16)),0)+
IF(ROUND(Y$11,0)&gt;=26,OFFSET(EM!$B$17,ROW($A29)-ROW($A$26)+(ROW(EM!$C$46)-ROW(EM!$C$14))*(MATCH(Y$22,EM!$B$6:$B$9,0)-1),MIN(Y$23-EM!$B$16+25,EM!$AF$16-EM!$B$16)),0)+
IF(ROUND(Y$11,0)&gt;=27,OFFSET(EM!$B$17,ROW($A29)-ROW($A$26)+(ROW(EM!$C$46)-ROW(EM!$C$14))*(MATCH(Y$22,EM!$B$6:$B$9,0)-1),MIN(Y$23-EM!$B$16+26,EM!$AF$16-EM!$B$16)),0)+
IF(ROUND(Y$11,0)&gt;=28,OFFSET(EM!$B$17,ROW($A29)-ROW($A$26)+(ROW(EM!$C$46)-ROW(EM!$C$14))*(MATCH(Y$22,EM!$B$6:$B$9,0)-1),MIN(Y$23-EM!$B$16+27,EM!$AF$16-EM!$B$16)),0)+
IF(ROUND(Y$11,0)&gt;=29,OFFSET(EM!$B$17,ROW($A29)-ROW($A$26)+(ROW(EM!$C$46)-ROW(EM!$C$14))*(MATCH(Y$22,EM!$B$6:$B$9,0)-1),MIN(Y$23-EM!$B$16+28,EM!$AF$16-EM!$B$16)),0)+
IF(ROUND(Y$11,0)&gt;=30,OFFSET(EM!$B$17,ROW($A29)-ROW($A$26)+(ROW(EM!$C$46)-ROW(EM!$C$14))*(MATCH(Y$22,EM!$B$6:$B$9,0)-1),MIN(Y$23-EM!$B$16+29,EM!$AF$16-EM!$B$16)),0)+
IF(ROUND(Y$11,0)&gt;=31,OFFSET(EM!$B$17,ROW($A29)-ROW($A$26)+(ROW(EM!$C$46)-ROW(EM!$C$14))*(MATCH(Y$22,EM!$B$6:$B$9,0)-1),MIN(Y$23-EM!$B$16+30,EM!$AF$16-EM!$B$16)),0)+
IF(ROUND(Y$11,0)&gt;=32,OFFSET(EM!$B$17,ROW($A29)-ROW($A$26)+(ROW(EM!$C$46)-ROW(EM!$C$14))*(MATCH(Y$22,EM!$B$6:$B$9,0)-1),MIN(Y$23-EM!$B$16+31,EM!$AF$16-EM!$B$16)),0)+
IF(ROUND(Y$11,0)&gt;=33,OFFSET(EM!$B$17,ROW($A29)-ROW($A$26)+(ROW(EM!$C$46)-ROW(EM!$C$14))*(MATCH(Y$22,EM!$B$6:$B$9,0)-1),MIN(Y$23-EM!$B$16+32,EM!$AF$16-EM!$B$16)),0)+
IF(ROUND(Y$11,0)&gt;=34,OFFSET(EM!$B$17,ROW($A29)-ROW($A$26)+(ROW(EM!$C$46)-ROW(EM!$C$14))*(MATCH(Y$22,EM!$B$6:$B$9,0)-1),MIN(Y$23-EM!$B$16+33,EM!$AF$16-EM!$B$16)),0)+
IF(ROUND(Y$11,0)&gt;=35,OFFSET(EM!$B$17,ROW($A29)-ROW($A$26)+(ROW(EM!$C$46)-ROW(EM!$C$14))*(MATCH(Y$22,EM!$B$6:$B$9,0)-1),MIN(Y$23-EM!$B$16+34,EM!$AF$16-EM!$B$16)),0)+
IF(ROUND(Y$11,0)&gt;=36,OFFSET(EM!$B$17,ROW($A29)-ROW($A$26)+(ROW(EM!$C$46)-ROW(EM!$C$14))*(MATCH(Y$22,EM!$B$6:$B$9,0)-1),MIN(Y$23-EM!$B$16+35,EM!$AF$16-EM!$B$16)),0)+
IF(ROUND(Y$11,0)&gt;=37,OFFSET(EM!$B$17,ROW($A29)-ROW($A$26)+(ROW(EM!$C$46)-ROW(EM!$C$14))*(MATCH(Y$22,EM!$B$6:$B$9,0)-1),MIN(Y$23-EM!$B$16+36,EM!$AF$16-EM!$B$16)),0)+
IF(ROUND(Y$11,0)&gt;=38,OFFSET(EM!$B$17,ROW($A29)-ROW($A$26)+(ROW(EM!$C$46)-ROW(EM!$C$14))*(MATCH(Y$22,EM!$B$6:$B$9,0)-1),MIN(Y$23-EM!$B$16+37,EM!$AF$16-EM!$B$16)),0)+
IF(ROUND(Y$11,0)&gt;=39,OFFSET(EM!$B$17,ROW($A29)-ROW($A$26)+(ROW(EM!$C$46)-ROW(EM!$C$14))*(MATCH(Y$22,EM!$B$6:$B$9,0)-1),MIN(Y$23-EM!$B$16+38,EM!$AF$16-EM!$B$16)),0)+
IF(ROUND(Y$11,0)&gt;=40,OFFSET(EM!$B$17,ROW($A29)-ROW($A$26)+(ROW(EM!$C$46)-ROW(EM!$C$14))*(MATCH(Y$22,EM!$B$6:$B$9,0)-1),MIN(Y$23-EM!$B$16+39,EM!$AF$16-EM!$B$16)),0)
)/ROUND(Y$11,0),NA()))</f>
        <v>3.4347831172193803E-2</v>
      </c>
      <c r="Z29" s="2046">
        <f ca="1">IF(Z$19=GPG!$A$28,IF(ROW(Z29)-ROW(Z$26)+1=MATCH(Z$20,GPG!$A$5:$A$11,0),1,0),
IF(Z$19=GPG!$A$29,
(IF(ROUND(Z$11,0)&gt;=1,OFFSET(EM!$B$17,ROW($A29)-ROW($A$26)+(ROW(EM!$C$46)-ROW(EM!$C$14))*(MATCH(Z$22,EM!$B$6:$B$9,0)-1),MIN(Z$23-EM!$B$16,EM!$AF$16-EM!$B$16)),0)+
IF(ROUND(Z$11,0)&gt;=2,OFFSET(EM!$B$17,ROW($A29)-ROW($A$26)+(ROW(EM!$C$46)-ROW(EM!$C$14))*(MATCH(Z$22,EM!$B$6:$B$9,0)-1),MIN(Z$23-EM!$B$16+1,EM!$AF$16-EM!$B$16)),0)+
IF(ROUND(Z$11,0)&gt;=3,OFFSET(EM!$B$17,ROW($A29)-ROW($A$26)+(ROW(EM!$C$46)-ROW(EM!$C$14))*(MATCH(Z$22,EM!$B$6:$B$9,0)-1),MIN(Z$23-EM!$B$16+2,EM!$AF$16-EM!$B$16)),0)+
IF(ROUND(Z$11,0)&gt;=4,OFFSET(EM!$B$17,ROW($A29)-ROW($A$26)+(ROW(EM!$C$46)-ROW(EM!$C$14))*(MATCH(Z$22,EM!$B$6:$B$9,0)-1),MIN(Z$23-EM!$B$16+3,EM!$AF$16-EM!$B$16)),0)+
IF(ROUND(Z$11,0)&gt;=5,OFFSET(EM!$B$17,ROW($A29)-ROW($A$26)+(ROW(EM!$C$46)-ROW(EM!$C$14))*(MATCH(Z$22,EM!$B$6:$B$9,0)-1),MIN(Z$23-EM!$B$16+4,EM!$AF$16-EM!$B$16)),0)+
IF(ROUND(Z$11,0)&gt;=6,OFFSET(EM!$B$17,ROW($A29)-ROW($A$26)+(ROW(EM!$C$46)-ROW(EM!$C$14))*(MATCH(Z$22,EM!$B$6:$B$9,0)-1),MIN(Z$23-EM!$B$16+5,EM!$AF$16-EM!$B$16)),0)+
IF(ROUND(Z$11,0)&gt;=7,OFFSET(EM!$B$17,ROW($A29)-ROW($A$26)+(ROW(EM!$C$46)-ROW(EM!$C$14))*(MATCH(Z$22,EM!$B$6:$B$9,0)-1),MIN(Z$23-EM!$B$16+6,EM!$AF$16-EM!$B$16)),0)+
IF(ROUND(Z$11,0)&gt;=8,OFFSET(EM!$B$17,ROW($A29)-ROW($A$26)+(ROW(EM!$C$46)-ROW(EM!$C$14))*(MATCH(Z$22,EM!$B$6:$B$9,0)-1),MIN(Z$23-EM!$B$16+7,EM!$AF$16-EM!$B$16)),0)+
IF(ROUND(Z$11,0)&gt;=9,OFFSET(EM!$B$17,ROW($A29)-ROW($A$26)+(ROW(EM!$C$46)-ROW(EM!$C$14))*(MATCH(Z$22,EM!$B$6:$B$9,0)-1),MIN(Z$23-EM!$B$16+8,EM!$AF$16-EM!$B$16)),0)+
IF(ROUND(Z$11,0)&gt;=10,OFFSET(EM!$B$17,ROW($A29)-ROW($A$26)+(ROW(EM!$C$46)-ROW(EM!$C$14))*(MATCH(Z$22,EM!$B$6:$B$9,0)-1),MIN(Z$23-EM!$B$16+9,EM!$AF$16-EM!$B$16)),0)+
IF(ROUND(Z$11,0)&gt;=11,OFFSET(EM!$B$17,ROW($A29)-ROW($A$26)+(ROW(EM!$C$46)-ROW(EM!$C$14))*(MATCH(Z$22,EM!$B$6:$B$9,0)-1),MIN(Z$23-EM!$B$16+10,EM!$AF$16-EM!$B$16)),0)+
IF(ROUND(Z$11,0)&gt;=12,OFFSET(EM!$B$17,ROW($A29)-ROW($A$26)+(ROW(EM!$C$46)-ROW(EM!$C$14))*(MATCH(Z$22,EM!$B$6:$B$9,0)-1),MIN(Z$23-EM!$B$16+11,EM!$AF$16-EM!$B$16)),0)+
IF(ROUND(Z$11,0)&gt;=13,OFFSET(EM!$B$17,ROW($A29)-ROW($A$26)+(ROW(EM!$C$46)-ROW(EM!$C$14))*(MATCH(Z$22,EM!$B$6:$B$9,0)-1),MIN(Z$23-EM!$B$16+12,EM!$AF$16-EM!$B$16)),0)+
IF(ROUND(Z$11,0)&gt;=14,OFFSET(EM!$B$17,ROW($A29)-ROW($A$26)+(ROW(EM!$C$46)-ROW(EM!$C$14))*(MATCH(Z$22,EM!$B$6:$B$9,0)-1),MIN(Z$23-EM!$B$16+13,EM!$AF$16-EM!$B$16)),0)+
IF(ROUND(Z$11,0)&gt;=15,OFFSET(EM!$B$17,ROW($A29)-ROW($A$26)+(ROW(EM!$C$46)-ROW(EM!$C$14))*(MATCH(Z$22,EM!$B$6:$B$9,0)-1),MIN(Z$23-EM!$B$16+14,EM!$AF$16-EM!$B$16)),0)+
IF(ROUND(Z$11,0)&gt;=16,OFFSET(EM!$B$17,ROW($A29)-ROW($A$26)+(ROW(EM!$C$46)-ROW(EM!$C$14))*(MATCH(Z$22,EM!$B$6:$B$9,0)-1),MIN(Z$23-EM!$B$16+15,EM!$AF$16-EM!$B$16)),0)+
IF(ROUND(Z$11,0)&gt;=17,OFFSET(EM!$B$17,ROW($A29)-ROW($A$26)+(ROW(EM!$C$46)-ROW(EM!$C$14))*(MATCH(Z$22,EM!$B$6:$B$9,0)-1),MIN(Z$23-EM!$B$16+16,EM!$AF$16-EM!$B$16)),0)+
IF(ROUND(Z$11,0)&gt;=18,OFFSET(EM!$B$17,ROW($A29)-ROW($A$26)+(ROW(EM!$C$46)-ROW(EM!$C$14))*(MATCH(Z$22,EM!$B$6:$B$9,0)-1),MIN(Z$23-EM!$B$16+17,EM!$AF$16-EM!$B$16)),0)+
IF(ROUND(Z$11,0)&gt;=19,OFFSET(EM!$B$17,ROW($A29)-ROW($A$26)+(ROW(EM!$C$46)-ROW(EM!$C$14))*(MATCH(Z$22,EM!$B$6:$B$9,0)-1),MIN(Z$23-EM!$B$16+18,EM!$AF$16-EM!$B$16)),0)+
IF(ROUND(Z$11,0)&gt;=20,OFFSET(EM!$B$17,ROW($A29)-ROW($A$26)+(ROW(EM!$C$46)-ROW(EM!$C$14))*(MATCH(Z$22,EM!$B$6:$B$9,0)-1),MIN(Z$23-EM!$B$16+19,EM!$AF$16-EM!$B$16)),0)+
IF(ROUND(Z$11,0)&gt;=21,OFFSET(EM!$B$17,ROW($A29)-ROW($A$26)+(ROW(EM!$C$46)-ROW(EM!$C$14))*(MATCH(Z$22,EM!$B$6:$B$9,0)-1),MIN(Z$23-EM!$B$16+20,EM!$AF$16-EM!$B$16)),0)+
IF(ROUND(Z$11,0)&gt;=22,OFFSET(EM!$B$17,ROW($A29)-ROW($A$26)+(ROW(EM!$C$46)-ROW(EM!$C$14))*(MATCH(Z$22,EM!$B$6:$B$9,0)-1),MIN(Z$23-EM!$B$16+21,EM!$AF$16-EM!$B$16)),0)+
IF(ROUND(Z$11,0)&gt;=23,OFFSET(EM!$B$17,ROW($A29)-ROW($A$26)+(ROW(EM!$C$46)-ROW(EM!$C$14))*(MATCH(Z$22,EM!$B$6:$B$9,0)-1),MIN(Z$23-EM!$B$16+22,EM!$AF$16-EM!$B$16)),0)+
IF(ROUND(Z$11,0)&gt;=24,OFFSET(EM!$B$17,ROW($A29)-ROW($A$26)+(ROW(EM!$C$46)-ROW(EM!$C$14))*(MATCH(Z$22,EM!$B$6:$B$9,0)-1),MIN(Z$23-EM!$B$16+23,EM!$AF$16-EM!$B$16)),0)+
IF(ROUND(Z$11,0)&gt;=25,OFFSET(EM!$B$17,ROW($A29)-ROW($A$26)+(ROW(EM!$C$46)-ROW(EM!$C$14))*(MATCH(Z$22,EM!$B$6:$B$9,0)-1),MIN(Z$23-EM!$B$16+24,EM!$AF$16-EM!$B$16)),0)+
IF(ROUND(Z$11,0)&gt;=26,OFFSET(EM!$B$17,ROW($A29)-ROW($A$26)+(ROW(EM!$C$46)-ROW(EM!$C$14))*(MATCH(Z$22,EM!$B$6:$B$9,0)-1),MIN(Z$23-EM!$B$16+25,EM!$AF$16-EM!$B$16)),0)+
IF(ROUND(Z$11,0)&gt;=27,OFFSET(EM!$B$17,ROW($A29)-ROW($A$26)+(ROW(EM!$C$46)-ROW(EM!$C$14))*(MATCH(Z$22,EM!$B$6:$B$9,0)-1),MIN(Z$23-EM!$B$16+26,EM!$AF$16-EM!$B$16)),0)+
IF(ROUND(Z$11,0)&gt;=28,OFFSET(EM!$B$17,ROW($A29)-ROW($A$26)+(ROW(EM!$C$46)-ROW(EM!$C$14))*(MATCH(Z$22,EM!$B$6:$B$9,0)-1),MIN(Z$23-EM!$B$16+27,EM!$AF$16-EM!$B$16)),0)+
IF(ROUND(Z$11,0)&gt;=29,OFFSET(EM!$B$17,ROW($A29)-ROW($A$26)+(ROW(EM!$C$46)-ROW(EM!$C$14))*(MATCH(Z$22,EM!$B$6:$B$9,0)-1),MIN(Z$23-EM!$B$16+28,EM!$AF$16-EM!$B$16)),0)+
IF(ROUND(Z$11,0)&gt;=30,OFFSET(EM!$B$17,ROW($A29)-ROW($A$26)+(ROW(EM!$C$46)-ROW(EM!$C$14))*(MATCH(Z$22,EM!$B$6:$B$9,0)-1),MIN(Z$23-EM!$B$16+29,EM!$AF$16-EM!$B$16)),0)+
IF(ROUND(Z$11,0)&gt;=31,OFFSET(EM!$B$17,ROW($A29)-ROW($A$26)+(ROW(EM!$C$46)-ROW(EM!$C$14))*(MATCH(Z$22,EM!$B$6:$B$9,0)-1),MIN(Z$23-EM!$B$16+30,EM!$AF$16-EM!$B$16)),0)+
IF(ROUND(Z$11,0)&gt;=32,OFFSET(EM!$B$17,ROW($A29)-ROW($A$26)+(ROW(EM!$C$46)-ROW(EM!$C$14))*(MATCH(Z$22,EM!$B$6:$B$9,0)-1),MIN(Z$23-EM!$B$16+31,EM!$AF$16-EM!$B$16)),0)+
IF(ROUND(Z$11,0)&gt;=33,OFFSET(EM!$B$17,ROW($A29)-ROW($A$26)+(ROW(EM!$C$46)-ROW(EM!$C$14))*(MATCH(Z$22,EM!$B$6:$B$9,0)-1),MIN(Z$23-EM!$B$16+32,EM!$AF$16-EM!$B$16)),0)+
IF(ROUND(Z$11,0)&gt;=34,OFFSET(EM!$B$17,ROW($A29)-ROW($A$26)+(ROW(EM!$C$46)-ROW(EM!$C$14))*(MATCH(Z$22,EM!$B$6:$B$9,0)-1),MIN(Z$23-EM!$B$16+33,EM!$AF$16-EM!$B$16)),0)+
IF(ROUND(Z$11,0)&gt;=35,OFFSET(EM!$B$17,ROW($A29)-ROW($A$26)+(ROW(EM!$C$46)-ROW(EM!$C$14))*(MATCH(Z$22,EM!$B$6:$B$9,0)-1),MIN(Z$23-EM!$B$16+34,EM!$AF$16-EM!$B$16)),0)+
IF(ROUND(Z$11,0)&gt;=36,OFFSET(EM!$B$17,ROW($A29)-ROW($A$26)+(ROW(EM!$C$46)-ROW(EM!$C$14))*(MATCH(Z$22,EM!$B$6:$B$9,0)-1),MIN(Z$23-EM!$B$16+35,EM!$AF$16-EM!$B$16)),0)+
IF(ROUND(Z$11,0)&gt;=37,OFFSET(EM!$B$17,ROW($A29)-ROW($A$26)+(ROW(EM!$C$46)-ROW(EM!$C$14))*(MATCH(Z$22,EM!$B$6:$B$9,0)-1),MIN(Z$23-EM!$B$16+36,EM!$AF$16-EM!$B$16)),0)+
IF(ROUND(Z$11,0)&gt;=38,OFFSET(EM!$B$17,ROW($A29)-ROW($A$26)+(ROW(EM!$C$46)-ROW(EM!$C$14))*(MATCH(Z$22,EM!$B$6:$B$9,0)-1),MIN(Z$23-EM!$B$16+37,EM!$AF$16-EM!$B$16)),0)+
IF(ROUND(Z$11,0)&gt;=39,OFFSET(EM!$B$17,ROW($A29)-ROW($A$26)+(ROW(EM!$C$46)-ROW(EM!$C$14))*(MATCH(Z$22,EM!$B$6:$B$9,0)-1),MIN(Z$23-EM!$B$16+38,EM!$AF$16-EM!$B$16)),0)+
IF(ROUND(Z$11,0)&gt;=40,OFFSET(EM!$B$17,ROW($A29)-ROW($A$26)+(ROW(EM!$C$46)-ROW(EM!$C$14))*(MATCH(Z$22,EM!$B$6:$B$9,0)-1),MIN(Z$23-EM!$B$16+39,EM!$AF$16-EM!$B$16)),0)
)/ROUND(Z$11,0),NA()))</f>
        <v>5.2133691175945372E-2</v>
      </c>
      <c r="AA29" s="2046">
        <f ca="1">IF(AA$19=GPG!$A$28,IF(ROW(AA29)-ROW(AA$26)+1=MATCH(AA$20,GPG!$A$5:$A$11,0),1,0),
IF(AA$19=GPG!$A$29,
(IF(ROUND(AA$11,0)&gt;=1,OFFSET(EM!$B$17,ROW($A29)-ROW($A$26)+(ROW(EM!$C$46)-ROW(EM!$C$14))*(MATCH(AA$22,EM!$B$6:$B$9,0)-1),MIN(AA$23-EM!$B$16,EM!$AF$16-EM!$B$16)),0)+
IF(ROUND(AA$11,0)&gt;=2,OFFSET(EM!$B$17,ROW($A29)-ROW($A$26)+(ROW(EM!$C$46)-ROW(EM!$C$14))*(MATCH(AA$22,EM!$B$6:$B$9,0)-1),MIN(AA$23-EM!$B$16+1,EM!$AF$16-EM!$B$16)),0)+
IF(ROUND(AA$11,0)&gt;=3,OFFSET(EM!$B$17,ROW($A29)-ROW($A$26)+(ROW(EM!$C$46)-ROW(EM!$C$14))*(MATCH(AA$22,EM!$B$6:$B$9,0)-1),MIN(AA$23-EM!$B$16+2,EM!$AF$16-EM!$B$16)),0)+
IF(ROUND(AA$11,0)&gt;=4,OFFSET(EM!$B$17,ROW($A29)-ROW($A$26)+(ROW(EM!$C$46)-ROW(EM!$C$14))*(MATCH(AA$22,EM!$B$6:$B$9,0)-1),MIN(AA$23-EM!$B$16+3,EM!$AF$16-EM!$B$16)),0)+
IF(ROUND(AA$11,0)&gt;=5,OFFSET(EM!$B$17,ROW($A29)-ROW($A$26)+(ROW(EM!$C$46)-ROW(EM!$C$14))*(MATCH(AA$22,EM!$B$6:$B$9,0)-1),MIN(AA$23-EM!$B$16+4,EM!$AF$16-EM!$B$16)),0)+
IF(ROUND(AA$11,0)&gt;=6,OFFSET(EM!$B$17,ROW($A29)-ROW($A$26)+(ROW(EM!$C$46)-ROW(EM!$C$14))*(MATCH(AA$22,EM!$B$6:$B$9,0)-1),MIN(AA$23-EM!$B$16+5,EM!$AF$16-EM!$B$16)),0)+
IF(ROUND(AA$11,0)&gt;=7,OFFSET(EM!$B$17,ROW($A29)-ROW($A$26)+(ROW(EM!$C$46)-ROW(EM!$C$14))*(MATCH(AA$22,EM!$B$6:$B$9,0)-1),MIN(AA$23-EM!$B$16+6,EM!$AF$16-EM!$B$16)),0)+
IF(ROUND(AA$11,0)&gt;=8,OFFSET(EM!$B$17,ROW($A29)-ROW($A$26)+(ROW(EM!$C$46)-ROW(EM!$C$14))*(MATCH(AA$22,EM!$B$6:$B$9,0)-1),MIN(AA$23-EM!$B$16+7,EM!$AF$16-EM!$B$16)),0)+
IF(ROUND(AA$11,0)&gt;=9,OFFSET(EM!$B$17,ROW($A29)-ROW($A$26)+(ROW(EM!$C$46)-ROW(EM!$C$14))*(MATCH(AA$22,EM!$B$6:$B$9,0)-1),MIN(AA$23-EM!$B$16+8,EM!$AF$16-EM!$B$16)),0)+
IF(ROUND(AA$11,0)&gt;=10,OFFSET(EM!$B$17,ROW($A29)-ROW($A$26)+(ROW(EM!$C$46)-ROW(EM!$C$14))*(MATCH(AA$22,EM!$B$6:$B$9,0)-1),MIN(AA$23-EM!$B$16+9,EM!$AF$16-EM!$B$16)),0)+
IF(ROUND(AA$11,0)&gt;=11,OFFSET(EM!$B$17,ROW($A29)-ROW($A$26)+(ROW(EM!$C$46)-ROW(EM!$C$14))*(MATCH(AA$22,EM!$B$6:$B$9,0)-1),MIN(AA$23-EM!$B$16+10,EM!$AF$16-EM!$B$16)),0)+
IF(ROUND(AA$11,0)&gt;=12,OFFSET(EM!$B$17,ROW($A29)-ROW($A$26)+(ROW(EM!$C$46)-ROW(EM!$C$14))*(MATCH(AA$22,EM!$B$6:$B$9,0)-1),MIN(AA$23-EM!$B$16+11,EM!$AF$16-EM!$B$16)),0)+
IF(ROUND(AA$11,0)&gt;=13,OFFSET(EM!$B$17,ROW($A29)-ROW($A$26)+(ROW(EM!$C$46)-ROW(EM!$C$14))*(MATCH(AA$22,EM!$B$6:$B$9,0)-1),MIN(AA$23-EM!$B$16+12,EM!$AF$16-EM!$B$16)),0)+
IF(ROUND(AA$11,0)&gt;=14,OFFSET(EM!$B$17,ROW($A29)-ROW($A$26)+(ROW(EM!$C$46)-ROW(EM!$C$14))*(MATCH(AA$22,EM!$B$6:$B$9,0)-1),MIN(AA$23-EM!$B$16+13,EM!$AF$16-EM!$B$16)),0)+
IF(ROUND(AA$11,0)&gt;=15,OFFSET(EM!$B$17,ROW($A29)-ROW($A$26)+(ROW(EM!$C$46)-ROW(EM!$C$14))*(MATCH(AA$22,EM!$B$6:$B$9,0)-1),MIN(AA$23-EM!$B$16+14,EM!$AF$16-EM!$B$16)),0)+
IF(ROUND(AA$11,0)&gt;=16,OFFSET(EM!$B$17,ROW($A29)-ROW($A$26)+(ROW(EM!$C$46)-ROW(EM!$C$14))*(MATCH(AA$22,EM!$B$6:$B$9,0)-1),MIN(AA$23-EM!$B$16+15,EM!$AF$16-EM!$B$16)),0)+
IF(ROUND(AA$11,0)&gt;=17,OFFSET(EM!$B$17,ROW($A29)-ROW($A$26)+(ROW(EM!$C$46)-ROW(EM!$C$14))*(MATCH(AA$22,EM!$B$6:$B$9,0)-1),MIN(AA$23-EM!$B$16+16,EM!$AF$16-EM!$B$16)),0)+
IF(ROUND(AA$11,0)&gt;=18,OFFSET(EM!$B$17,ROW($A29)-ROW($A$26)+(ROW(EM!$C$46)-ROW(EM!$C$14))*(MATCH(AA$22,EM!$B$6:$B$9,0)-1),MIN(AA$23-EM!$B$16+17,EM!$AF$16-EM!$B$16)),0)+
IF(ROUND(AA$11,0)&gt;=19,OFFSET(EM!$B$17,ROW($A29)-ROW($A$26)+(ROW(EM!$C$46)-ROW(EM!$C$14))*(MATCH(AA$22,EM!$B$6:$B$9,0)-1),MIN(AA$23-EM!$B$16+18,EM!$AF$16-EM!$B$16)),0)+
IF(ROUND(AA$11,0)&gt;=20,OFFSET(EM!$B$17,ROW($A29)-ROW($A$26)+(ROW(EM!$C$46)-ROW(EM!$C$14))*(MATCH(AA$22,EM!$B$6:$B$9,0)-1),MIN(AA$23-EM!$B$16+19,EM!$AF$16-EM!$B$16)),0)+
IF(ROUND(AA$11,0)&gt;=21,OFFSET(EM!$B$17,ROW($A29)-ROW($A$26)+(ROW(EM!$C$46)-ROW(EM!$C$14))*(MATCH(AA$22,EM!$B$6:$B$9,0)-1),MIN(AA$23-EM!$B$16+20,EM!$AF$16-EM!$B$16)),0)+
IF(ROUND(AA$11,0)&gt;=22,OFFSET(EM!$B$17,ROW($A29)-ROW($A$26)+(ROW(EM!$C$46)-ROW(EM!$C$14))*(MATCH(AA$22,EM!$B$6:$B$9,0)-1),MIN(AA$23-EM!$B$16+21,EM!$AF$16-EM!$B$16)),0)+
IF(ROUND(AA$11,0)&gt;=23,OFFSET(EM!$B$17,ROW($A29)-ROW($A$26)+(ROW(EM!$C$46)-ROW(EM!$C$14))*(MATCH(AA$22,EM!$B$6:$B$9,0)-1),MIN(AA$23-EM!$B$16+22,EM!$AF$16-EM!$B$16)),0)+
IF(ROUND(AA$11,0)&gt;=24,OFFSET(EM!$B$17,ROW($A29)-ROW($A$26)+(ROW(EM!$C$46)-ROW(EM!$C$14))*(MATCH(AA$22,EM!$B$6:$B$9,0)-1),MIN(AA$23-EM!$B$16+23,EM!$AF$16-EM!$B$16)),0)+
IF(ROUND(AA$11,0)&gt;=25,OFFSET(EM!$B$17,ROW($A29)-ROW($A$26)+(ROW(EM!$C$46)-ROW(EM!$C$14))*(MATCH(AA$22,EM!$B$6:$B$9,0)-1),MIN(AA$23-EM!$B$16+24,EM!$AF$16-EM!$B$16)),0)+
IF(ROUND(AA$11,0)&gt;=26,OFFSET(EM!$B$17,ROW($A29)-ROW($A$26)+(ROW(EM!$C$46)-ROW(EM!$C$14))*(MATCH(AA$22,EM!$B$6:$B$9,0)-1),MIN(AA$23-EM!$B$16+25,EM!$AF$16-EM!$B$16)),0)+
IF(ROUND(AA$11,0)&gt;=27,OFFSET(EM!$B$17,ROW($A29)-ROW($A$26)+(ROW(EM!$C$46)-ROW(EM!$C$14))*(MATCH(AA$22,EM!$B$6:$B$9,0)-1),MIN(AA$23-EM!$B$16+26,EM!$AF$16-EM!$B$16)),0)+
IF(ROUND(AA$11,0)&gt;=28,OFFSET(EM!$B$17,ROW($A29)-ROW($A$26)+(ROW(EM!$C$46)-ROW(EM!$C$14))*(MATCH(AA$22,EM!$B$6:$B$9,0)-1),MIN(AA$23-EM!$B$16+27,EM!$AF$16-EM!$B$16)),0)+
IF(ROUND(AA$11,0)&gt;=29,OFFSET(EM!$B$17,ROW($A29)-ROW($A$26)+(ROW(EM!$C$46)-ROW(EM!$C$14))*(MATCH(AA$22,EM!$B$6:$B$9,0)-1),MIN(AA$23-EM!$B$16+28,EM!$AF$16-EM!$B$16)),0)+
IF(ROUND(AA$11,0)&gt;=30,OFFSET(EM!$B$17,ROW($A29)-ROW($A$26)+(ROW(EM!$C$46)-ROW(EM!$C$14))*(MATCH(AA$22,EM!$B$6:$B$9,0)-1),MIN(AA$23-EM!$B$16+29,EM!$AF$16-EM!$B$16)),0)+
IF(ROUND(AA$11,0)&gt;=31,OFFSET(EM!$B$17,ROW($A29)-ROW($A$26)+(ROW(EM!$C$46)-ROW(EM!$C$14))*(MATCH(AA$22,EM!$B$6:$B$9,0)-1),MIN(AA$23-EM!$B$16+30,EM!$AF$16-EM!$B$16)),0)+
IF(ROUND(AA$11,0)&gt;=32,OFFSET(EM!$B$17,ROW($A29)-ROW($A$26)+(ROW(EM!$C$46)-ROW(EM!$C$14))*(MATCH(AA$22,EM!$B$6:$B$9,0)-1),MIN(AA$23-EM!$B$16+31,EM!$AF$16-EM!$B$16)),0)+
IF(ROUND(AA$11,0)&gt;=33,OFFSET(EM!$B$17,ROW($A29)-ROW($A$26)+(ROW(EM!$C$46)-ROW(EM!$C$14))*(MATCH(AA$22,EM!$B$6:$B$9,0)-1),MIN(AA$23-EM!$B$16+32,EM!$AF$16-EM!$B$16)),0)+
IF(ROUND(AA$11,0)&gt;=34,OFFSET(EM!$B$17,ROW($A29)-ROW($A$26)+(ROW(EM!$C$46)-ROW(EM!$C$14))*(MATCH(AA$22,EM!$B$6:$B$9,0)-1),MIN(AA$23-EM!$B$16+33,EM!$AF$16-EM!$B$16)),0)+
IF(ROUND(AA$11,0)&gt;=35,OFFSET(EM!$B$17,ROW($A29)-ROW($A$26)+(ROW(EM!$C$46)-ROW(EM!$C$14))*(MATCH(AA$22,EM!$B$6:$B$9,0)-1),MIN(AA$23-EM!$B$16+34,EM!$AF$16-EM!$B$16)),0)+
IF(ROUND(AA$11,0)&gt;=36,OFFSET(EM!$B$17,ROW($A29)-ROW($A$26)+(ROW(EM!$C$46)-ROW(EM!$C$14))*(MATCH(AA$22,EM!$B$6:$B$9,0)-1),MIN(AA$23-EM!$B$16+35,EM!$AF$16-EM!$B$16)),0)+
IF(ROUND(AA$11,0)&gt;=37,OFFSET(EM!$B$17,ROW($A29)-ROW($A$26)+(ROW(EM!$C$46)-ROW(EM!$C$14))*(MATCH(AA$22,EM!$B$6:$B$9,0)-1),MIN(AA$23-EM!$B$16+36,EM!$AF$16-EM!$B$16)),0)+
IF(ROUND(AA$11,0)&gt;=38,OFFSET(EM!$B$17,ROW($A29)-ROW($A$26)+(ROW(EM!$C$46)-ROW(EM!$C$14))*(MATCH(AA$22,EM!$B$6:$B$9,0)-1),MIN(AA$23-EM!$B$16+37,EM!$AF$16-EM!$B$16)),0)+
IF(ROUND(AA$11,0)&gt;=39,OFFSET(EM!$B$17,ROW($A29)-ROW($A$26)+(ROW(EM!$C$46)-ROW(EM!$C$14))*(MATCH(AA$22,EM!$B$6:$B$9,0)-1),MIN(AA$23-EM!$B$16+38,EM!$AF$16-EM!$B$16)),0)+
IF(ROUND(AA$11,0)&gt;=40,OFFSET(EM!$B$17,ROW($A29)-ROW($A$26)+(ROW(EM!$C$46)-ROW(EM!$C$14))*(MATCH(AA$22,EM!$B$6:$B$9,0)-1),MIN(AA$23-EM!$B$16+39,EM!$AF$16-EM!$B$16)),0)
)/ROUND(AA$11,0),NA()))</f>
        <v>3.4347831172193803E-2</v>
      </c>
      <c r="AB29" s="2046">
        <f ca="1">IF(AB$19=GPG!$A$28,IF(ROW(AB29)-ROW(AB$26)+1=MATCH(AB$20,GPG!$A$5:$A$11,0),1,0),
IF(AB$19=GPG!$A$29,
(IF(ROUND(AB$11,0)&gt;=1,OFFSET(EM!$B$17,ROW($A29)-ROW($A$26)+(ROW(EM!$C$46)-ROW(EM!$C$14))*(MATCH(AB$22,EM!$B$6:$B$9,0)-1),MIN(AB$23-EM!$B$16,EM!$AF$16-EM!$B$16)),0)+
IF(ROUND(AB$11,0)&gt;=2,OFFSET(EM!$B$17,ROW($A29)-ROW($A$26)+(ROW(EM!$C$46)-ROW(EM!$C$14))*(MATCH(AB$22,EM!$B$6:$B$9,0)-1),MIN(AB$23-EM!$B$16+1,EM!$AF$16-EM!$B$16)),0)+
IF(ROUND(AB$11,0)&gt;=3,OFFSET(EM!$B$17,ROW($A29)-ROW($A$26)+(ROW(EM!$C$46)-ROW(EM!$C$14))*(MATCH(AB$22,EM!$B$6:$B$9,0)-1),MIN(AB$23-EM!$B$16+2,EM!$AF$16-EM!$B$16)),0)+
IF(ROUND(AB$11,0)&gt;=4,OFFSET(EM!$B$17,ROW($A29)-ROW($A$26)+(ROW(EM!$C$46)-ROW(EM!$C$14))*(MATCH(AB$22,EM!$B$6:$B$9,0)-1),MIN(AB$23-EM!$B$16+3,EM!$AF$16-EM!$B$16)),0)+
IF(ROUND(AB$11,0)&gt;=5,OFFSET(EM!$B$17,ROW($A29)-ROW($A$26)+(ROW(EM!$C$46)-ROW(EM!$C$14))*(MATCH(AB$22,EM!$B$6:$B$9,0)-1),MIN(AB$23-EM!$B$16+4,EM!$AF$16-EM!$B$16)),0)+
IF(ROUND(AB$11,0)&gt;=6,OFFSET(EM!$B$17,ROW($A29)-ROW($A$26)+(ROW(EM!$C$46)-ROW(EM!$C$14))*(MATCH(AB$22,EM!$B$6:$B$9,0)-1),MIN(AB$23-EM!$B$16+5,EM!$AF$16-EM!$B$16)),0)+
IF(ROUND(AB$11,0)&gt;=7,OFFSET(EM!$B$17,ROW($A29)-ROW($A$26)+(ROW(EM!$C$46)-ROW(EM!$C$14))*(MATCH(AB$22,EM!$B$6:$B$9,0)-1),MIN(AB$23-EM!$B$16+6,EM!$AF$16-EM!$B$16)),0)+
IF(ROUND(AB$11,0)&gt;=8,OFFSET(EM!$B$17,ROW($A29)-ROW($A$26)+(ROW(EM!$C$46)-ROW(EM!$C$14))*(MATCH(AB$22,EM!$B$6:$B$9,0)-1),MIN(AB$23-EM!$B$16+7,EM!$AF$16-EM!$B$16)),0)+
IF(ROUND(AB$11,0)&gt;=9,OFFSET(EM!$B$17,ROW($A29)-ROW($A$26)+(ROW(EM!$C$46)-ROW(EM!$C$14))*(MATCH(AB$22,EM!$B$6:$B$9,0)-1),MIN(AB$23-EM!$B$16+8,EM!$AF$16-EM!$B$16)),0)+
IF(ROUND(AB$11,0)&gt;=10,OFFSET(EM!$B$17,ROW($A29)-ROW($A$26)+(ROW(EM!$C$46)-ROW(EM!$C$14))*(MATCH(AB$22,EM!$B$6:$B$9,0)-1),MIN(AB$23-EM!$B$16+9,EM!$AF$16-EM!$B$16)),0)+
IF(ROUND(AB$11,0)&gt;=11,OFFSET(EM!$B$17,ROW($A29)-ROW($A$26)+(ROW(EM!$C$46)-ROW(EM!$C$14))*(MATCH(AB$22,EM!$B$6:$B$9,0)-1),MIN(AB$23-EM!$B$16+10,EM!$AF$16-EM!$B$16)),0)+
IF(ROUND(AB$11,0)&gt;=12,OFFSET(EM!$B$17,ROW($A29)-ROW($A$26)+(ROW(EM!$C$46)-ROW(EM!$C$14))*(MATCH(AB$22,EM!$B$6:$B$9,0)-1),MIN(AB$23-EM!$B$16+11,EM!$AF$16-EM!$B$16)),0)+
IF(ROUND(AB$11,0)&gt;=13,OFFSET(EM!$B$17,ROW($A29)-ROW($A$26)+(ROW(EM!$C$46)-ROW(EM!$C$14))*(MATCH(AB$22,EM!$B$6:$B$9,0)-1),MIN(AB$23-EM!$B$16+12,EM!$AF$16-EM!$B$16)),0)+
IF(ROUND(AB$11,0)&gt;=14,OFFSET(EM!$B$17,ROW($A29)-ROW($A$26)+(ROW(EM!$C$46)-ROW(EM!$C$14))*(MATCH(AB$22,EM!$B$6:$B$9,0)-1),MIN(AB$23-EM!$B$16+13,EM!$AF$16-EM!$B$16)),0)+
IF(ROUND(AB$11,0)&gt;=15,OFFSET(EM!$B$17,ROW($A29)-ROW($A$26)+(ROW(EM!$C$46)-ROW(EM!$C$14))*(MATCH(AB$22,EM!$B$6:$B$9,0)-1),MIN(AB$23-EM!$B$16+14,EM!$AF$16-EM!$B$16)),0)+
IF(ROUND(AB$11,0)&gt;=16,OFFSET(EM!$B$17,ROW($A29)-ROW($A$26)+(ROW(EM!$C$46)-ROW(EM!$C$14))*(MATCH(AB$22,EM!$B$6:$B$9,0)-1),MIN(AB$23-EM!$B$16+15,EM!$AF$16-EM!$B$16)),0)+
IF(ROUND(AB$11,0)&gt;=17,OFFSET(EM!$B$17,ROW($A29)-ROW($A$26)+(ROW(EM!$C$46)-ROW(EM!$C$14))*(MATCH(AB$22,EM!$B$6:$B$9,0)-1),MIN(AB$23-EM!$B$16+16,EM!$AF$16-EM!$B$16)),0)+
IF(ROUND(AB$11,0)&gt;=18,OFFSET(EM!$B$17,ROW($A29)-ROW($A$26)+(ROW(EM!$C$46)-ROW(EM!$C$14))*(MATCH(AB$22,EM!$B$6:$B$9,0)-1),MIN(AB$23-EM!$B$16+17,EM!$AF$16-EM!$B$16)),0)+
IF(ROUND(AB$11,0)&gt;=19,OFFSET(EM!$B$17,ROW($A29)-ROW($A$26)+(ROW(EM!$C$46)-ROW(EM!$C$14))*(MATCH(AB$22,EM!$B$6:$B$9,0)-1),MIN(AB$23-EM!$B$16+18,EM!$AF$16-EM!$B$16)),0)+
IF(ROUND(AB$11,0)&gt;=20,OFFSET(EM!$B$17,ROW($A29)-ROW($A$26)+(ROW(EM!$C$46)-ROW(EM!$C$14))*(MATCH(AB$22,EM!$B$6:$B$9,0)-1),MIN(AB$23-EM!$B$16+19,EM!$AF$16-EM!$B$16)),0)+
IF(ROUND(AB$11,0)&gt;=21,OFFSET(EM!$B$17,ROW($A29)-ROW($A$26)+(ROW(EM!$C$46)-ROW(EM!$C$14))*(MATCH(AB$22,EM!$B$6:$B$9,0)-1),MIN(AB$23-EM!$B$16+20,EM!$AF$16-EM!$B$16)),0)+
IF(ROUND(AB$11,0)&gt;=22,OFFSET(EM!$B$17,ROW($A29)-ROW($A$26)+(ROW(EM!$C$46)-ROW(EM!$C$14))*(MATCH(AB$22,EM!$B$6:$B$9,0)-1),MIN(AB$23-EM!$B$16+21,EM!$AF$16-EM!$B$16)),0)+
IF(ROUND(AB$11,0)&gt;=23,OFFSET(EM!$B$17,ROW($A29)-ROW($A$26)+(ROW(EM!$C$46)-ROW(EM!$C$14))*(MATCH(AB$22,EM!$B$6:$B$9,0)-1),MIN(AB$23-EM!$B$16+22,EM!$AF$16-EM!$B$16)),0)+
IF(ROUND(AB$11,0)&gt;=24,OFFSET(EM!$B$17,ROW($A29)-ROW($A$26)+(ROW(EM!$C$46)-ROW(EM!$C$14))*(MATCH(AB$22,EM!$B$6:$B$9,0)-1),MIN(AB$23-EM!$B$16+23,EM!$AF$16-EM!$B$16)),0)+
IF(ROUND(AB$11,0)&gt;=25,OFFSET(EM!$B$17,ROW($A29)-ROW($A$26)+(ROW(EM!$C$46)-ROW(EM!$C$14))*(MATCH(AB$22,EM!$B$6:$B$9,0)-1),MIN(AB$23-EM!$B$16+24,EM!$AF$16-EM!$B$16)),0)+
IF(ROUND(AB$11,0)&gt;=26,OFFSET(EM!$B$17,ROW($A29)-ROW($A$26)+(ROW(EM!$C$46)-ROW(EM!$C$14))*(MATCH(AB$22,EM!$B$6:$B$9,0)-1),MIN(AB$23-EM!$B$16+25,EM!$AF$16-EM!$B$16)),0)+
IF(ROUND(AB$11,0)&gt;=27,OFFSET(EM!$B$17,ROW($A29)-ROW($A$26)+(ROW(EM!$C$46)-ROW(EM!$C$14))*(MATCH(AB$22,EM!$B$6:$B$9,0)-1),MIN(AB$23-EM!$B$16+26,EM!$AF$16-EM!$B$16)),0)+
IF(ROUND(AB$11,0)&gt;=28,OFFSET(EM!$B$17,ROW($A29)-ROW($A$26)+(ROW(EM!$C$46)-ROW(EM!$C$14))*(MATCH(AB$22,EM!$B$6:$B$9,0)-1),MIN(AB$23-EM!$B$16+27,EM!$AF$16-EM!$B$16)),0)+
IF(ROUND(AB$11,0)&gt;=29,OFFSET(EM!$B$17,ROW($A29)-ROW($A$26)+(ROW(EM!$C$46)-ROW(EM!$C$14))*(MATCH(AB$22,EM!$B$6:$B$9,0)-1),MIN(AB$23-EM!$B$16+28,EM!$AF$16-EM!$B$16)),0)+
IF(ROUND(AB$11,0)&gt;=30,OFFSET(EM!$B$17,ROW($A29)-ROW($A$26)+(ROW(EM!$C$46)-ROW(EM!$C$14))*(MATCH(AB$22,EM!$B$6:$B$9,0)-1),MIN(AB$23-EM!$B$16+29,EM!$AF$16-EM!$B$16)),0)+
IF(ROUND(AB$11,0)&gt;=31,OFFSET(EM!$B$17,ROW($A29)-ROW($A$26)+(ROW(EM!$C$46)-ROW(EM!$C$14))*(MATCH(AB$22,EM!$B$6:$B$9,0)-1),MIN(AB$23-EM!$B$16+30,EM!$AF$16-EM!$B$16)),0)+
IF(ROUND(AB$11,0)&gt;=32,OFFSET(EM!$B$17,ROW($A29)-ROW($A$26)+(ROW(EM!$C$46)-ROW(EM!$C$14))*(MATCH(AB$22,EM!$B$6:$B$9,0)-1),MIN(AB$23-EM!$B$16+31,EM!$AF$16-EM!$B$16)),0)+
IF(ROUND(AB$11,0)&gt;=33,OFFSET(EM!$B$17,ROW($A29)-ROW($A$26)+(ROW(EM!$C$46)-ROW(EM!$C$14))*(MATCH(AB$22,EM!$B$6:$B$9,0)-1),MIN(AB$23-EM!$B$16+32,EM!$AF$16-EM!$B$16)),0)+
IF(ROUND(AB$11,0)&gt;=34,OFFSET(EM!$B$17,ROW($A29)-ROW($A$26)+(ROW(EM!$C$46)-ROW(EM!$C$14))*(MATCH(AB$22,EM!$B$6:$B$9,0)-1),MIN(AB$23-EM!$B$16+33,EM!$AF$16-EM!$B$16)),0)+
IF(ROUND(AB$11,0)&gt;=35,OFFSET(EM!$B$17,ROW($A29)-ROW($A$26)+(ROW(EM!$C$46)-ROW(EM!$C$14))*(MATCH(AB$22,EM!$B$6:$B$9,0)-1),MIN(AB$23-EM!$B$16+34,EM!$AF$16-EM!$B$16)),0)+
IF(ROUND(AB$11,0)&gt;=36,OFFSET(EM!$B$17,ROW($A29)-ROW($A$26)+(ROW(EM!$C$46)-ROW(EM!$C$14))*(MATCH(AB$22,EM!$B$6:$B$9,0)-1),MIN(AB$23-EM!$B$16+35,EM!$AF$16-EM!$B$16)),0)+
IF(ROUND(AB$11,0)&gt;=37,OFFSET(EM!$B$17,ROW($A29)-ROW($A$26)+(ROW(EM!$C$46)-ROW(EM!$C$14))*(MATCH(AB$22,EM!$B$6:$B$9,0)-1),MIN(AB$23-EM!$B$16+36,EM!$AF$16-EM!$B$16)),0)+
IF(ROUND(AB$11,0)&gt;=38,OFFSET(EM!$B$17,ROW($A29)-ROW($A$26)+(ROW(EM!$C$46)-ROW(EM!$C$14))*(MATCH(AB$22,EM!$B$6:$B$9,0)-1),MIN(AB$23-EM!$B$16+37,EM!$AF$16-EM!$B$16)),0)+
IF(ROUND(AB$11,0)&gt;=39,OFFSET(EM!$B$17,ROW($A29)-ROW($A$26)+(ROW(EM!$C$46)-ROW(EM!$C$14))*(MATCH(AB$22,EM!$B$6:$B$9,0)-1),MIN(AB$23-EM!$B$16+38,EM!$AF$16-EM!$B$16)),0)+
IF(ROUND(AB$11,0)&gt;=40,OFFSET(EM!$B$17,ROW($A29)-ROW($A$26)+(ROW(EM!$C$46)-ROW(EM!$C$14))*(MATCH(AB$22,EM!$B$6:$B$9,0)-1),MIN(AB$23-EM!$B$16+39,EM!$AF$16-EM!$B$16)),0)
)/ROUND(AB$11,0),NA()))</f>
        <v>3.4347831172193803E-2</v>
      </c>
    </row>
    <row r="30" spans="1:28" x14ac:dyDescent="0.45">
      <c r="A30" s="1421" t="s">
        <v>1079</v>
      </c>
      <c r="B30" s="2035"/>
      <c r="C30" s="2046">
        <f ca="1">IF(C$19=GPG!$A$28,IF(ROW(C30)-ROW(C$26)+1=MATCH(C$20,GPG!$A$5:$A$11,0),1,0),
IF(C$19=GPG!$A$29,
(IF(ROUND(C$11,0)&gt;=1,OFFSET(EM!$B$17,ROW($A30)-ROW($A$26)+(ROW(EM!$C$46)-ROW(EM!$C$14))*(MATCH(C$22,EM!$B$6:$B$9,0)-1),MIN(C$23-EM!$B$16,EM!$AF$16-EM!$B$16)),0)+
IF(ROUND(C$11,0)&gt;=2,OFFSET(EM!$B$17,ROW($A30)-ROW($A$26)+(ROW(EM!$C$46)-ROW(EM!$C$14))*(MATCH(C$22,EM!$B$6:$B$9,0)-1),MIN(C$23-EM!$B$16+1,EM!$AF$16-EM!$B$16)),0)+
IF(ROUND(C$11,0)&gt;=3,OFFSET(EM!$B$17,ROW($A30)-ROW($A$26)+(ROW(EM!$C$46)-ROW(EM!$C$14))*(MATCH(C$22,EM!$B$6:$B$9,0)-1),MIN(C$23-EM!$B$16+2,EM!$AF$16-EM!$B$16)),0)+
IF(ROUND(C$11,0)&gt;=4,OFFSET(EM!$B$17,ROW($A30)-ROW($A$26)+(ROW(EM!$C$46)-ROW(EM!$C$14))*(MATCH(C$22,EM!$B$6:$B$9,0)-1),MIN(C$23-EM!$B$16+3,EM!$AF$16-EM!$B$16)),0)+
IF(ROUND(C$11,0)&gt;=5,OFFSET(EM!$B$17,ROW($A30)-ROW($A$26)+(ROW(EM!$C$46)-ROW(EM!$C$14))*(MATCH(C$22,EM!$B$6:$B$9,0)-1),MIN(C$23-EM!$B$16+4,EM!$AF$16-EM!$B$16)),0)+
IF(ROUND(C$11,0)&gt;=6,OFFSET(EM!$B$17,ROW($A30)-ROW($A$26)+(ROW(EM!$C$46)-ROW(EM!$C$14))*(MATCH(C$22,EM!$B$6:$B$9,0)-1),MIN(C$23-EM!$B$16+5,EM!$AF$16-EM!$B$16)),0)+
IF(ROUND(C$11,0)&gt;=7,OFFSET(EM!$B$17,ROW($A30)-ROW($A$26)+(ROW(EM!$C$46)-ROW(EM!$C$14))*(MATCH(C$22,EM!$B$6:$B$9,0)-1),MIN(C$23-EM!$B$16+6,EM!$AF$16-EM!$B$16)),0)+
IF(ROUND(C$11,0)&gt;=8,OFFSET(EM!$B$17,ROW($A30)-ROW($A$26)+(ROW(EM!$C$46)-ROW(EM!$C$14))*(MATCH(C$22,EM!$B$6:$B$9,0)-1),MIN(C$23-EM!$B$16+7,EM!$AF$16-EM!$B$16)),0)+
IF(ROUND(C$11,0)&gt;=9,OFFSET(EM!$B$17,ROW($A30)-ROW($A$26)+(ROW(EM!$C$46)-ROW(EM!$C$14))*(MATCH(C$22,EM!$B$6:$B$9,0)-1),MIN(C$23-EM!$B$16+8,EM!$AF$16-EM!$B$16)),0)+
IF(ROUND(C$11,0)&gt;=10,OFFSET(EM!$B$17,ROW($A30)-ROW($A$26)+(ROW(EM!$C$46)-ROW(EM!$C$14))*(MATCH(C$22,EM!$B$6:$B$9,0)-1),MIN(C$23-EM!$B$16+9,EM!$AF$16-EM!$B$16)),0)+
IF(ROUND(C$11,0)&gt;=11,OFFSET(EM!$B$17,ROW($A30)-ROW($A$26)+(ROW(EM!$C$46)-ROW(EM!$C$14))*(MATCH(C$22,EM!$B$6:$B$9,0)-1),MIN(C$23-EM!$B$16+10,EM!$AF$16-EM!$B$16)),0)+
IF(ROUND(C$11,0)&gt;=12,OFFSET(EM!$B$17,ROW($A30)-ROW($A$26)+(ROW(EM!$C$46)-ROW(EM!$C$14))*(MATCH(C$22,EM!$B$6:$B$9,0)-1),MIN(C$23-EM!$B$16+11,EM!$AF$16-EM!$B$16)),0)+
IF(ROUND(C$11,0)&gt;=13,OFFSET(EM!$B$17,ROW($A30)-ROW($A$26)+(ROW(EM!$C$46)-ROW(EM!$C$14))*(MATCH(C$22,EM!$B$6:$B$9,0)-1),MIN(C$23-EM!$B$16+12,EM!$AF$16-EM!$B$16)),0)+
IF(ROUND(C$11,0)&gt;=14,OFFSET(EM!$B$17,ROW($A30)-ROW($A$26)+(ROW(EM!$C$46)-ROW(EM!$C$14))*(MATCH(C$22,EM!$B$6:$B$9,0)-1),MIN(C$23-EM!$B$16+13,EM!$AF$16-EM!$B$16)),0)+
IF(ROUND(C$11,0)&gt;=15,OFFSET(EM!$B$17,ROW($A30)-ROW($A$26)+(ROW(EM!$C$46)-ROW(EM!$C$14))*(MATCH(C$22,EM!$B$6:$B$9,0)-1),MIN(C$23-EM!$B$16+14,EM!$AF$16-EM!$B$16)),0)+
IF(ROUND(C$11,0)&gt;=16,OFFSET(EM!$B$17,ROW($A30)-ROW($A$26)+(ROW(EM!$C$46)-ROW(EM!$C$14))*(MATCH(C$22,EM!$B$6:$B$9,0)-1),MIN(C$23-EM!$B$16+15,EM!$AF$16-EM!$B$16)),0)+
IF(ROUND(C$11,0)&gt;=17,OFFSET(EM!$B$17,ROW($A30)-ROW($A$26)+(ROW(EM!$C$46)-ROW(EM!$C$14))*(MATCH(C$22,EM!$B$6:$B$9,0)-1),MIN(C$23-EM!$B$16+16,EM!$AF$16-EM!$B$16)),0)+
IF(ROUND(C$11,0)&gt;=18,OFFSET(EM!$B$17,ROW($A30)-ROW($A$26)+(ROW(EM!$C$46)-ROW(EM!$C$14))*(MATCH(C$22,EM!$B$6:$B$9,0)-1),MIN(C$23-EM!$B$16+17,EM!$AF$16-EM!$B$16)),0)+
IF(ROUND(C$11,0)&gt;=19,OFFSET(EM!$B$17,ROW($A30)-ROW($A$26)+(ROW(EM!$C$46)-ROW(EM!$C$14))*(MATCH(C$22,EM!$B$6:$B$9,0)-1),MIN(C$23-EM!$B$16+18,EM!$AF$16-EM!$B$16)),0)+
IF(ROUND(C$11,0)&gt;=20,OFFSET(EM!$B$17,ROW($A30)-ROW($A$26)+(ROW(EM!$C$46)-ROW(EM!$C$14))*(MATCH(C$22,EM!$B$6:$B$9,0)-1),MIN(C$23-EM!$B$16+19,EM!$AF$16-EM!$B$16)),0)+
IF(ROUND(C$11,0)&gt;=21,OFFSET(EM!$B$17,ROW($A30)-ROW($A$26)+(ROW(EM!$C$46)-ROW(EM!$C$14))*(MATCH(C$22,EM!$B$6:$B$9,0)-1),MIN(C$23-EM!$B$16+20,EM!$AF$16-EM!$B$16)),0)+
IF(ROUND(C$11,0)&gt;=22,OFFSET(EM!$B$17,ROW($A30)-ROW($A$26)+(ROW(EM!$C$46)-ROW(EM!$C$14))*(MATCH(C$22,EM!$B$6:$B$9,0)-1),MIN(C$23-EM!$B$16+21,EM!$AF$16-EM!$B$16)),0)+
IF(ROUND(C$11,0)&gt;=23,OFFSET(EM!$B$17,ROW($A30)-ROW($A$26)+(ROW(EM!$C$46)-ROW(EM!$C$14))*(MATCH(C$22,EM!$B$6:$B$9,0)-1),MIN(C$23-EM!$B$16+22,EM!$AF$16-EM!$B$16)),0)+
IF(ROUND(C$11,0)&gt;=24,OFFSET(EM!$B$17,ROW($A30)-ROW($A$26)+(ROW(EM!$C$46)-ROW(EM!$C$14))*(MATCH(C$22,EM!$B$6:$B$9,0)-1),MIN(C$23-EM!$B$16+23,EM!$AF$16-EM!$B$16)),0)+
IF(ROUND(C$11,0)&gt;=25,OFFSET(EM!$B$17,ROW($A30)-ROW($A$26)+(ROW(EM!$C$46)-ROW(EM!$C$14))*(MATCH(C$22,EM!$B$6:$B$9,0)-1),MIN(C$23-EM!$B$16+24,EM!$AF$16-EM!$B$16)),0)+
IF(ROUND(C$11,0)&gt;=26,OFFSET(EM!$B$17,ROW($A30)-ROW($A$26)+(ROW(EM!$C$46)-ROW(EM!$C$14))*(MATCH(C$22,EM!$B$6:$B$9,0)-1),MIN(C$23-EM!$B$16+25,EM!$AF$16-EM!$B$16)),0)+
IF(ROUND(C$11,0)&gt;=27,OFFSET(EM!$B$17,ROW($A30)-ROW($A$26)+(ROW(EM!$C$46)-ROW(EM!$C$14))*(MATCH(C$22,EM!$B$6:$B$9,0)-1),MIN(C$23-EM!$B$16+26,EM!$AF$16-EM!$B$16)),0)+
IF(ROUND(C$11,0)&gt;=28,OFFSET(EM!$B$17,ROW($A30)-ROW($A$26)+(ROW(EM!$C$46)-ROW(EM!$C$14))*(MATCH(C$22,EM!$B$6:$B$9,0)-1),MIN(C$23-EM!$B$16+27,EM!$AF$16-EM!$B$16)),0)+
IF(ROUND(C$11,0)&gt;=29,OFFSET(EM!$B$17,ROW($A30)-ROW($A$26)+(ROW(EM!$C$46)-ROW(EM!$C$14))*(MATCH(C$22,EM!$B$6:$B$9,0)-1),MIN(C$23-EM!$B$16+28,EM!$AF$16-EM!$B$16)),0)+
IF(ROUND(C$11,0)&gt;=30,OFFSET(EM!$B$17,ROW($A30)-ROW($A$26)+(ROW(EM!$C$46)-ROW(EM!$C$14))*(MATCH(C$22,EM!$B$6:$B$9,0)-1),MIN(C$23-EM!$B$16+29,EM!$AF$16-EM!$B$16)),0)+
IF(ROUND(C$11,0)&gt;=31,OFFSET(EM!$B$17,ROW($A30)-ROW($A$26)+(ROW(EM!$C$46)-ROW(EM!$C$14))*(MATCH(C$22,EM!$B$6:$B$9,0)-1),MIN(C$23-EM!$B$16+30,EM!$AF$16-EM!$B$16)),0)+
IF(ROUND(C$11,0)&gt;=32,OFFSET(EM!$B$17,ROW($A30)-ROW($A$26)+(ROW(EM!$C$46)-ROW(EM!$C$14))*(MATCH(C$22,EM!$B$6:$B$9,0)-1),MIN(C$23-EM!$B$16+31,EM!$AF$16-EM!$B$16)),0)+
IF(ROUND(C$11,0)&gt;=33,OFFSET(EM!$B$17,ROW($A30)-ROW($A$26)+(ROW(EM!$C$46)-ROW(EM!$C$14))*(MATCH(C$22,EM!$B$6:$B$9,0)-1),MIN(C$23-EM!$B$16+32,EM!$AF$16-EM!$B$16)),0)+
IF(ROUND(C$11,0)&gt;=34,OFFSET(EM!$B$17,ROW($A30)-ROW($A$26)+(ROW(EM!$C$46)-ROW(EM!$C$14))*(MATCH(C$22,EM!$B$6:$B$9,0)-1),MIN(C$23-EM!$B$16+33,EM!$AF$16-EM!$B$16)),0)+
IF(ROUND(C$11,0)&gt;=35,OFFSET(EM!$B$17,ROW($A30)-ROW($A$26)+(ROW(EM!$C$46)-ROW(EM!$C$14))*(MATCH(C$22,EM!$B$6:$B$9,0)-1),MIN(C$23-EM!$B$16+34,EM!$AF$16-EM!$B$16)),0)+
IF(ROUND(C$11,0)&gt;=36,OFFSET(EM!$B$17,ROW($A30)-ROW($A$26)+(ROW(EM!$C$46)-ROW(EM!$C$14))*(MATCH(C$22,EM!$B$6:$B$9,0)-1),MIN(C$23-EM!$B$16+35,EM!$AF$16-EM!$B$16)),0)+
IF(ROUND(C$11,0)&gt;=37,OFFSET(EM!$B$17,ROW($A30)-ROW($A$26)+(ROW(EM!$C$46)-ROW(EM!$C$14))*(MATCH(C$22,EM!$B$6:$B$9,0)-1),MIN(C$23-EM!$B$16+36,EM!$AF$16-EM!$B$16)),0)+
IF(ROUND(C$11,0)&gt;=38,OFFSET(EM!$B$17,ROW($A30)-ROW($A$26)+(ROW(EM!$C$46)-ROW(EM!$C$14))*(MATCH(C$22,EM!$B$6:$B$9,0)-1),MIN(C$23-EM!$B$16+37,EM!$AF$16-EM!$B$16)),0)+
IF(ROUND(C$11,0)&gt;=39,OFFSET(EM!$B$17,ROW($A30)-ROW($A$26)+(ROW(EM!$C$46)-ROW(EM!$C$14))*(MATCH(C$22,EM!$B$6:$B$9,0)-1),MIN(C$23-EM!$B$16+38,EM!$AF$16-EM!$B$16)),0)+
IF(ROUND(C$11,0)&gt;=40,OFFSET(EM!$B$17,ROW($A30)-ROW($A$26)+(ROW(EM!$C$46)-ROW(EM!$C$14))*(MATCH(C$22,EM!$B$6:$B$9,0)-1),MIN(C$23-EM!$B$16+39,EM!$AF$16-EM!$B$16)),0)
)/ROUND(C$11,0),NA()))</f>
        <v>1.6297589170822038E-2</v>
      </c>
      <c r="D30" s="2046">
        <f ca="1">IF(D$19=GPG!$A$28,IF(ROW(D30)-ROW(D$26)+1=MATCH(D$20,GPG!$A$5:$A$11,0),1,0),
IF(D$19=GPG!$A$29,
(IF(ROUND(D$11,0)&gt;=1,OFFSET(EM!$B$17,ROW($A30)-ROW($A$26)+(ROW(EM!$C$46)-ROW(EM!$C$14))*(MATCH(D$22,EM!$B$6:$B$9,0)-1),MIN(D$23-EM!$B$16,EM!$AF$16-EM!$B$16)),0)+
IF(ROUND(D$11,0)&gt;=2,OFFSET(EM!$B$17,ROW($A30)-ROW($A$26)+(ROW(EM!$C$46)-ROW(EM!$C$14))*(MATCH(D$22,EM!$B$6:$B$9,0)-1),MIN(D$23-EM!$B$16+1,EM!$AF$16-EM!$B$16)),0)+
IF(ROUND(D$11,0)&gt;=3,OFFSET(EM!$B$17,ROW($A30)-ROW($A$26)+(ROW(EM!$C$46)-ROW(EM!$C$14))*(MATCH(D$22,EM!$B$6:$B$9,0)-1),MIN(D$23-EM!$B$16+2,EM!$AF$16-EM!$B$16)),0)+
IF(ROUND(D$11,0)&gt;=4,OFFSET(EM!$B$17,ROW($A30)-ROW($A$26)+(ROW(EM!$C$46)-ROW(EM!$C$14))*(MATCH(D$22,EM!$B$6:$B$9,0)-1),MIN(D$23-EM!$B$16+3,EM!$AF$16-EM!$B$16)),0)+
IF(ROUND(D$11,0)&gt;=5,OFFSET(EM!$B$17,ROW($A30)-ROW($A$26)+(ROW(EM!$C$46)-ROW(EM!$C$14))*(MATCH(D$22,EM!$B$6:$B$9,0)-1),MIN(D$23-EM!$B$16+4,EM!$AF$16-EM!$B$16)),0)+
IF(ROUND(D$11,0)&gt;=6,OFFSET(EM!$B$17,ROW($A30)-ROW($A$26)+(ROW(EM!$C$46)-ROW(EM!$C$14))*(MATCH(D$22,EM!$B$6:$B$9,0)-1),MIN(D$23-EM!$B$16+5,EM!$AF$16-EM!$B$16)),0)+
IF(ROUND(D$11,0)&gt;=7,OFFSET(EM!$B$17,ROW($A30)-ROW($A$26)+(ROW(EM!$C$46)-ROW(EM!$C$14))*(MATCH(D$22,EM!$B$6:$B$9,0)-1),MIN(D$23-EM!$B$16+6,EM!$AF$16-EM!$B$16)),0)+
IF(ROUND(D$11,0)&gt;=8,OFFSET(EM!$B$17,ROW($A30)-ROW($A$26)+(ROW(EM!$C$46)-ROW(EM!$C$14))*(MATCH(D$22,EM!$B$6:$B$9,0)-1),MIN(D$23-EM!$B$16+7,EM!$AF$16-EM!$B$16)),0)+
IF(ROUND(D$11,0)&gt;=9,OFFSET(EM!$B$17,ROW($A30)-ROW($A$26)+(ROW(EM!$C$46)-ROW(EM!$C$14))*(MATCH(D$22,EM!$B$6:$B$9,0)-1),MIN(D$23-EM!$B$16+8,EM!$AF$16-EM!$B$16)),0)+
IF(ROUND(D$11,0)&gt;=10,OFFSET(EM!$B$17,ROW($A30)-ROW($A$26)+(ROW(EM!$C$46)-ROW(EM!$C$14))*(MATCH(D$22,EM!$B$6:$B$9,0)-1),MIN(D$23-EM!$B$16+9,EM!$AF$16-EM!$B$16)),0)+
IF(ROUND(D$11,0)&gt;=11,OFFSET(EM!$B$17,ROW($A30)-ROW($A$26)+(ROW(EM!$C$46)-ROW(EM!$C$14))*(MATCH(D$22,EM!$B$6:$B$9,0)-1),MIN(D$23-EM!$B$16+10,EM!$AF$16-EM!$B$16)),0)+
IF(ROUND(D$11,0)&gt;=12,OFFSET(EM!$B$17,ROW($A30)-ROW($A$26)+(ROW(EM!$C$46)-ROW(EM!$C$14))*(MATCH(D$22,EM!$B$6:$B$9,0)-1),MIN(D$23-EM!$B$16+11,EM!$AF$16-EM!$B$16)),0)+
IF(ROUND(D$11,0)&gt;=13,OFFSET(EM!$B$17,ROW($A30)-ROW($A$26)+(ROW(EM!$C$46)-ROW(EM!$C$14))*(MATCH(D$22,EM!$B$6:$B$9,0)-1),MIN(D$23-EM!$B$16+12,EM!$AF$16-EM!$B$16)),0)+
IF(ROUND(D$11,0)&gt;=14,OFFSET(EM!$B$17,ROW($A30)-ROW($A$26)+(ROW(EM!$C$46)-ROW(EM!$C$14))*(MATCH(D$22,EM!$B$6:$B$9,0)-1),MIN(D$23-EM!$B$16+13,EM!$AF$16-EM!$B$16)),0)+
IF(ROUND(D$11,0)&gt;=15,OFFSET(EM!$B$17,ROW($A30)-ROW($A$26)+(ROW(EM!$C$46)-ROW(EM!$C$14))*(MATCH(D$22,EM!$B$6:$B$9,0)-1),MIN(D$23-EM!$B$16+14,EM!$AF$16-EM!$B$16)),0)+
IF(ROUND(D$11,0)&gt;=16,OFFSET(EM!$B$17,ROW($A30)-ROW($A$26)+(ROW(EM!$C$46)-ROW(EM!$C$14))*(MATCH(D$22,EM!$B$6:$B$9,0)-1),MIN(D$23-EM!$B$16+15,EM!$AF$16-EM!$B$16)),0)+
IF(ROUND(D$11,0)&gt;=17,OFFSET(EM!$B$17,ROW($A30)-ROW($A$26)+(ROW(EM!$C$46)-ROW(EM!$C$14))*(MATCH(D$22,EM!$B$6:$B$9,0)-1),MIN(D$23-EM!$B$16+16,EM!$AF$16-EM!$B$16)),0)+
IF(ROUND(D$11,0)&gt;=18,OFFSET(EM!$B$17,ROW($A30)-ROW($A$26)+(ROW(EM!$C$46)-ROW(EM!$C$14))*(MATCH(D$22,EM!$B$6:$B$9,0)-1),MIN(D$23-EM!$B$16+17,EM!$AF$16-EM!$B$16)),0)+
IF(ROUND(D$11,0)&gt;=19,OFFSET(EM!$B$17,ROW($A30)-ROW($A$26)+(ROW(EM!$C$46)-ROW(EM!$C$14))*(MATCH(D$22,EM!$B$6:$B$9,0)-1),MIN(D$23-EM!$B$16+18,EM!$AF$16-EM!$B$16)),0)+
IF(ROUND(D$11,0)&gt;=20,OFFSET(EM!$B$17,ROW($A30)-ROW($A$26)+(ROW(EM!$C$46)-ROW(EM!$C$14))*(MATCH(D$22,EM!$B$6:$B$9,0)-1),MIN(D$23-EM!$B$16+19,EM!$AF$16-EM!$B$16)),0)+
IF(ROUND(D$11,0)&gt;=21,OFFSET(EM!$B$17,ROW($A30)-ROW($A$26)+(ROW(EM!$C$46)-ROW(EM!$C$14))*(MATCH(D$22,EM!$B$6:$B$9,0)-1),MIN(D$23-EM!$B$16+20,EM!$AF$16-EM!$B$16)),0)+
IF(ROUND(D$11,0)&gt;=22,OFFSET(EM!$B$17,ROW($A30)-ROW($A$26)+(ROW(EM!$C$46)-ROW(EM!$C$14))*(MATCH(D$22,EM!$B$6:$B$9,0)-1),MIN(D$23-EM!$B$16+21,EM!$AF$16-EM!$B$16)),0)+
IF(ROUND(D$11,0)&gt;=23,OFFSET(EM!$B$17,ROW($A30)-ROW($A$26)+(ROW(EM!$C$46)-ROW(EM!$C$14))*(MATCH(D$22,EM!$B$6:$B$9,0)-1),MIN(D$23-EM!$B$16+22,EM!$AF$16-EM!$B$16)),0)+
IF(ROUND(D$11,0)&gt;=24,OFFSET(EM!$B$17,ROW($A30)-ROW($A$26)+(ROW(EM!$C$46)-ROW(EM!$C$14))*(MATCH(D$22,EM!$B$6:$B$9,0)-1),MIN(D$23-EM!$B$16+23,EM!$AF$16-EM!$B$16)),0)+
IF(ROUND(D$11,0)&gt;=25,OFFSET(EM!$B$17,ROW($A30)-ROW($A$26)+(ROW(EM!$C$46)-ROW(EM!$C$14))*(MATCH(D$22,EM!$B$6:$B$9,0)-1),MIN(D$23-EM!$B$16+24,EM!$AF$16-EM!$B$16)),0)+
IF(ROUND(D$11,0)&gt;=26,OFFSET(EM!$B$17,ROW($A30)-ROW($A$26)+(ROW(EM!$C$46)-ROW(EM!$C$14))*(MATCH(D$22,EM!$B$6:$B$9,0)-1),MIN(D$23-EM!$B$16+25,EM!$AF$16-EM!$B$16)),0)+
IF(ROUND(D$11,0)&gt;=27,OFFSET(EM!$B$17,ROW($A30)-ROW($A$26)+(ROW(EM!$C$46)-ROW(EM!$C$14))*(MATCH(D$22,EM!$B$6:$B$9,0)-1),MIN(D$23-EM!$B$16+26,EM!$AF$16-EM!$B$16)),0)+
IF(ROUND(D$11,0)&gt;=28,OFFSET(EM!$B$17,ROW($A30)-ROW($A$26)+(ROW(EM!$C$46)-ROW(EM!$C$14))*(MATCH(D$22,EM!$B$6:$B$9,0)-1),MIN(D$23-EM!$B$16+27,EM!$AF$16-EM!$B$16)),0)+
IF(ROUND(D$11,0)&gt;=29,OFFSET(EM!$B$17,ROW($A30)-ROW($A$26)+(ROW(EM!$C$46)-ROW(EM!$C$14))*(MATCH(D$22,EM!$B$6:$B$9,0)-1),MIN(D$23-EM!$B$16+28,EM!$AF$16-EM!$B$16)),0)+
IF(ROUND(D$11,0)&gt;=30,OFFSET(EM!$B$17,ROW($A30)-ROW($A$26)+(ROW(EM!$C$46)-ROW(EM!$C$14))*(MATCH(D$22,EM!$B$6:$B$9,0)-1),MIN(D$23-EM!$B$16+29,EM!$AF$16-EM!$B$16)),0)+
IF(ROUND(D$11,0)&gt;=31,OFFSET(EM!$B$17,ROW($A30)-ROW($A$26)+(ROW(EM!$C$46)-ROW(EM!$C$14))*(MATCH(D$22,EM!$B$6:$B$9,0)-1),MIN(D$23-EM!$B$16+30,EM!$AF$16-EM!$B$16)),0)+
IF(ROUND(D$11,0)&gt;=32,OFFSET(EM!$B$17,ROW($A30)-ROW($A$26)+(ROW(EM!$C$46)-ROW(EM!$C$14))*(MATCH(D$22,EM!$B$6:$B$9,0)-1),MIN(D$23-EM!$B$16+31,EM!$AF$16-EM!$B$16)),0)+
IF(ROUND(D$11,0)&gt;=33,OFFSET(EM!$B$17,ROW($A30)-ROW($A$26)+(ROW(EM!$C$46)-ROW(EM!$C$14))*(MATCH(D$22,EM!$B$6:$B$9,0)-1),MIN(D$23-EM!$B$16+32,EM!$AF$16-EM!$B$16)),0)+
IF(ROUND(D$11,0)&gt;=34,OFFSET(EM!$B$17,ROW($A30)-ROW($A$26)+(ROW(EM!$C$46)-ROW(EM!$C$14))*(MATCH(D$22,EM!$B$6:$B$9,0)-1),MIN(D$23-EM!$B$16+33,EM!$AF$16-EM!$B$16)),0)+
IF(ROUND(D$11,0)&gt;=35,OFFSET(EM!$B$17,ROW($A30)-ROW($A$26)+(ROW(EM!$C$46)-ROW(EM!$C$14))*(MATCH(D$22,EM!$B$6:$B$9,0)-1),MIN(D$23-EM!$B$16+34,EM!$AF$16-EM!$B$16)),0)+
IF(ROUND(D$11,0)&gt;=36,OFFSET(EM!$B$17,ROW($A30)-ROW($A$26)+(ROW(EM!$C$46)-ROW(EM!$C$14))*(MATCH(D$22,EM!$B$6:$B$9,0)-1),MIN(D$23-EM!$B$16+35,EM!$AF$16-EM!$B$16)),0)+
IF(ROUND(D$11,0)&gt;=37,OFFSET(EM!$B$17,ROW($A30)-ROW($A$26)+(ROW(EM!$C$46)-ROW(EM!$C$14))*(MATCH(D$22,EM!$B$6:$B$9,0)-1),MIN(D$23-EM!$B$16+36,EM!$AF$16-EM!$B$16)),0)+
IF(ROUND(D$11,0)&gt;=38,OFFSET(EM!$B$17,ROW($A30)-ROW($A$26)+(ROW(EM!$C$46)-ROW(EM!$C$14))*(MATCH(D$22,EM!$B$6:$B$9,0)-1),MIN(D$23-EM!$B$16+37,EM!$AF$16-EM!$B$16)),0)+
IF(ROUND(D$11,0)&gt;=39,OFFSET(EM!$B$17,ROW($A30)-ROW($A$26)+(ROW(EM!$C$46)-ROW(EM!$C$14))*(MATCH(D$22,EM!$B$6:$B$9,0)-1),MIN(D$23-EM!$B$16+38,EM!$AF$16-EM!$B$16)),0)+
IF(ROUND(D$11,0)&gt;=40,OFFSET(EM!$B$17,ROW($A30)-ROW($A$26)+(ROW(EM!$C$46)-ROW(EM!$C$14))*(MATCH(D$22,EM!$B$6:$B$9,0)-1),MIN(D$23-EM!$B$16+39,EM!$AF$16-EM!$B$16)),0)
)/ROUND(D$11,0),NA()))</f>
        <v>1.7504398632274241E-2</v>
      </c>
      <c r="E30" s="2046">
        <f ca="1">IF(E$19=GPG!$A$28,IF(ROW(E30)-ROW(E$26)+1=MATCH(E$20,GPG!$A$5:$A$11,0),1,0),
IF(E$19=GPG!$A$29,
(IF(ROUND(E$11,0)&gt;=1,OFFSET(EM!$B$17,ROW($A30)-ROW($A$26)+(ROW(EM!$C$46)-ROW(EM!$C$14))*(MATCH(E$22,EM!$B$6:$B$9,0)-1),MIN(E$23-EM!$B$16,EM!$AF$16-EM!$B$16)),0)+
IF(ROUND(E$11,0)&gt;=2,OFFSET(EM!$B$17,ROW($A30)-ROW($A$26)+(ROW(EM!$C$46)-ROW(EM!$C$14))*(MATCH(E$22,EM!$B$6:$B$9,0)-1),MIN(E$23-EM!$B$16+1,EM!$AF$16-EM!$B$16)),0)+
IF(ROUND(E$11,0)&gt;=3,OFFSET(EM!$B$17,ROW($A30)-ROW($A$26)+(ROW(EM!$C$46)-ROW(EM!$C$14))*(MATCH(E$22,EM!$B$6:$B$9,0)-1),MIN(E$23-EM!$B$16+2,EM!$AF$16-EM!$B$16)),0)+
IF(ROUND(E$11,0)&gt;=4,OFFSET(EM!$B$17,ROW($A30)-ROW($A$26)+(ROW(EM!$C$46)-ROW(EM!$C$14))*(MATCH(E$22,EM!$B$6:$B$9,0)-1),MIN(E$23-EM!$B$16+3,EM!$AF$16-EM!$B$16)),0)+
IF(ROUND(E$11,0)&gt;=5,OFFSET(EM!$B$17,ROW($A30)-ROW($A$26)+(ROW(EM!$C$46)-ROW(EM!$C$14))*(MATCH(E$22,EM!$B$6:$B$9,0)-1),MIN(E$23-EM!$B$16+4,EM!$AF$16-EM!$B$16)),0)+
IF(ROUND(E$11,0)&gt;=6,OFFSET(EM!$B$17,ROW($A30)-ROW($A$26)+(ROW(EM!$C$46)-ROW(EM!$C$14))*(MATCH(E$22,EM!$B$6:$B$9,0)-1),MIN(E$23-EM!$B$16+5,EM!$AF$16-EM!$B$16)),0)+
IF(ROUND(E$11,0)&gt;=7,OFFSET(EM!$B$17,ROW($A30)-ROW($A$26)+(ROW(EM!$C$46)-ROW(EM!$C$14))*(MATCH(E$22,EM!$B$6:$B$9,0)-1),MIN(E$23-EM!$B$16+6,EM!$AF$16-EM!$B$16)),0)+
IF(ROUND(E$11,0)&gt;=8,OFFSET(EM!$B$17,ROW($A30)-ROW($A$26)+(ROW(EM!$C$46)-ROW(EM!$C$14))*(MATCH(E$22,EM!$B$6:$B$9,0)-1),MIN(E$23-EM!$B$16+7,EM!$AF$16-EM!$B$16)),0)+
IF(ROUND(E$11,0)&gt;=9,OFFSET(EM!$B$17,ROW($A30)-ROW($A$26)+(ROW(EM!$C$46)-ROW(EM!$C$14))*(MATCH(E$22,EM!$B$6:$B$9,0)-1),MIN(E$23-EM!$B$16+8,EM!$AF$16-EM!$B$16)),0)+
IF(ROUND(E$11,0)&gt;=10,OFFSET(EM!$B$17,ROW($A30)-ROW($A$26)+(ROW(EM!$C$46)-ROW(EM!$C$14))*(MATCH(E$22,EM!$B$6:$B$9,0)-1),MIN(E$23-EM!$B$16+9,EM!$AF$16-EM!$B$16)),0)+
IF(ROUND(E$11,0)&gt;=11,OFFSET(EM!$B$17,ROW($A30)-ROW($A$26)+(ROW(EM!$C$46)-ROW(EM!$C$14))*(MATCH(E$22,EM!$B$6:$B$9,0)-1),MIN(E$23-EM!$B$16+10,EM!$AF$16-EM!$B$16)),0)+
IF(ROUND(E$11,0)&gt;=12,OFFSET(EM!$B$17,ROW($A30)-ROW($A$26)+(ROW(EM!$C$46)-ROW(EM!$C$14))*(MATCH(E$22,EM!$B$6:$B$9,0)-1),MIN(E$23-EM!$B$16+11,EM!$AF$16-EM!$B$16)),0)+
IF(ROUND(E$11,0)&gt;=13,OFFSET(EM!$B$17,ROW($A30)-ROW($A$26)+(ROW(EM!$C$46)-ROW(EM!$C$14))*(MATCH(E$22,EM!$B$6:$B$9,0)-1),MIN(E$23-EM!$B$16+12,EM!$AF$16-EM!$B$16)),0)+
IF(ROUND(E$11,0)&gt;=14,OFFSET(EM!$B$17,ROW($A30)-ROW($A$26)+(ROW(EM!$C$46)-ROW(EM!$C$14))*(MATCH(E$22,EM!$B$6:$B$9,0)-1),MIN(E$23-EM!$B$16+13,EM!$AF$16-EM!$B$16)),0)+
IF(ROUND(E$11,0)&gt;=15,OFFSET(EM!$B$17,ROW($A30)-ROW($A$26)+(ROW(EM!$C$46)-ROW(EM!$C$14))*(MATCH(E$22,EM!$B$6:$B$9,0)-1),MIN(E$23-EM!$B$16+14,EM!$AF$16-EM!$B$16)),0)+
IF(ROUND(E$11,0)&gt;=16,OFFSET(EM!$B$17,ROW($A30)-ROW($A$26)+(ROW(EM!$C$46)-ROW(EM!$C$14))*(MATCH(E$22,EM!$B$6:$B$9,0)-1),MIN(E$23-EM!$B$16+15,EM!$AF$16-EM!$B$16)),0)+
IF(ROUND(E$11,0)&gt;=17,OFFSET(EM!$B$17,ROW($A30)-ROW($A$26)+(ROW(EM!$C$46)-ROW(EM!$C$14))*(MATCH(E$22,EM!$B$6:$B$9,0)-1),MIN(E$23-EM!$B$16+16,EM!$AF$16-EM!$B$16)),0)+
IF(ROUND(E$11,0)&gt;=18,OFFSET(EM!$B$17,ROW($A30)-ROW($A$26)+(ROW(EM!$C$46)-ROW(EM!$C$14))*(MATCH(E$22,EM!$B$6:$B$9,0)-1),MIN(E$23-EM!$B$16+17,EM!$AF$16-EM!$B$16)),0)+
IF(ROUND(E$11,0)&gt;=19,OFFSET(EM!$B$17,ROW($A30)-ROW($A$26)+(ROW(EM!$C$46)-ROW(EM!$C$14))*(MATCH(E$22,EM!$B$6:$B$9,0)-1),MIN(E$23-EM!$B$16+18,EM!$AF$16-EM!$B$16)),0)+
IF(ROUND(E$11,0)&gt;=20,OFFSET(EM!$B$17,ROW($A30)-ROW($A$26)+(ROW(EM!$C$46)-ROW(EM!$C$14))*(MATCH(E$22,EM!$B$6:$B$9,0)-1),MIN(E$23-EM!$B$16+19,EM!$AF$16-EM!$B$16)),0)+
IF(ROUND(E$11,0)&gt;=21,OFFSET(EM!$B$17,ROW($A30)-ROW($A$26)+(ROW(EM!$C$46)-ROW(EM!$C$14))*(MATCH(E$22,EM!$B$6:$B$9,0)-1),MIN(E$23-EM!$B$16+20,EM!$AF$16-EM!$B$16)),0)+
IF(ROUND(E$11,0)&gt;=22,OFFSET(EM!$B$17,ROW($A30)-ROW($A$26)+(ROW(EM!$C$46)-ROW(EM!$C$14))*(MATCH(E$22,EM!$B$6:$B$9,0)-1),MIN(E$23-EM!$B$16+21,EM!$AF$16-EM!$B$16)),0)+
IF(ROUND(E$11,0)&gt;=23,OFFSET(EM!$B$17,ROW($A30)-ROW($A$26)+(ROW(EM!$C$46)-ROW(EM!$C$14))*(MATCH(E$22,EM!$B$6:$B$9,0)-1),MIN(E$23-EM!$B$16+22,EM!$AF$16-EM!$B$16)),0)+
IF(ROUND(E$11,0)&gt;=24,OFFSET(EM!$B$17,ROW($A30)-ROW($A$26)+(ROW(EM!$C$46)-ROW(EM!$C$14))*(MATCH(E$22,EM!$B$6:$B$9,0)-1),MIN(E$23-EM!$B$16+23,EM!$AF$16-EM!$B$16)),0)+
IF(ROUND(E$11,0)&gt;=25,OFFSET(EM!$B$17,ROW($A30)-ROW($A$26)+(ROW(EM!$C$46)-ROW(EM!$C$14))*(MATCH(E$22,EM!$B$6:$B$9,0)-1),MIN(E$23-EM!$B$16+24,EM!$AF$16-EM!$B$16)),0)+
IF(ROUND(E$11,0)&gt;=26,OFFSET(EM!$B$17,ROW($A30)-ROW($A$26)+(ROW(EM!$C$46)-ROW(EM!$C$14))*(MATCH(E$22,EM!$B$6:$B$9,0)-1),MIN(E$23-EM!$B$16+25,EM!$AF$16-EM!$B$16)),0)+
IF(ROUND(E$11,0)&gt;=27,OFFSET(EM!$B$17,ROW($A30)-ROW($A$26)+(ROW(EM!$C$46)-ROW(EM!$C$14))*(MATCH(E$22,EM!$B$6:$B$9,0)-1),MIN(E$23-EM!$B$16+26,EM!$AF$16-EM!$B$16)),0)+
IF(ROUND(E$11,0)&gt;=28,OFFSET(EM!$B$17,ROW($A30)-ROW($A$26)+(ROW(EM!$C$46)-ROW(EM!$C$14))*(MATCH(E$22,EM!$B$6:$B$9,0)-1),MIN(E$23-EM!$B$16+27,EM!$AF$16-EM!$B$16)),0)+
IF(ROUND(E$11,0)&gt;=29,OFFSET(EM!$B$17,ROW($A30)-ROW($A$26)+(ROW(EM!$C$46)-ROW(EM!$C$14))*(MATCH(E$22,EM!$B$6:$B$9,0)-1),MIN(E$23-EM!$B$16+28,EM!$AF$16-EM!$B$16)),0)+
IF(ROUND(E$11,0)&gt;=30,OFFSET(EM!$B$17,ROW($A30)-ROW($A$26)+(ROW(EM!$C$46)-ROW(EM!$C$14))*(MATCH(E$22,EM!$B$6:$B$9,0)-1),MIN(E$23-EM!$B$16+29,EM!$AF$16-EM!$B$16)),0)+
IF(ROUND(E$11,0)&gt;=31,OFFSET(EM!$B$17,ROW($A30)-ROW($A$26)+(ROW(EM!$C$46)-ROW(EM!$C$14))*(MATCH(E$22,EM!$B$6:$B$9,0)-1),MIN(E$23-EM!$B$16+30,EM!$AF$16-EM!$B$16)),0)+
IF(ROUND(E$11,0)&gt;=32,OFFSET(EM!$B$17,ROW($A30)-ROW($A$26)+(ROW(EM!$C$46)-ROW(EM!$C$14))*(MATCH(E$22,EM!$B$6:$B$9,0)-1),MIN(E$23-EM!$B$16+31,EM!$AF$16-EM!$B$16)),0)+
IF(ROUND(E$11,0)&gt;=33,OFFSET(EM!$B$17,ROW($A30)-ROW($A$26)+(ROW(EM!$C$46)-ROW(EM!$C$14))*(MATCH(E$22,EM!$B$6:$B$9,0)-1),MIN(E$23-EM!$B$16+32,EM!$AF$16-EM!$B$16)),0)+
IF(ROUND(E$11,0)&gt;=34,OFFSET(EM!$B$17,ROW($A30)-ROW($A$26)+(ROW(EM!$C$46)-ROW(EM!$C$14))*(MATCH(E$22,EM!$B$6:$B$9,0)-1),MIN(E$23-EM!$B$16+33,EM!$AF$16-EM!$B$16)),0)+
IF(ROUND(E$11,0)&gt;=35,OFFSET(EM!$B$17,ROW($A30)-ROW($A$26)+(ROW(EM!$C$46)-ROW(EM!$C$14))*(MATCH(E$22,EM!$B$6:$B$9,0)-1),MIN(E$23-EM!$B$16+34,EM!$AF$16-EM!$B$16)),0)+
IF(ROUND(E$11,0)&gt;=36,OFFSET(EM!$B$17,ROW($A30)-ROW($A$26)+(ROW(EM!$C$46)-ROW(EM!$C$14))*(MATCH(E$22,EM!$B$6:$B$9,0)-1),MIN(E$23-EM!$B$16+35,EM!$AF$16-EM!$B$16)),0)+
IF(ROUND(E$11,0)&gt;=37,OFFSET(EM!$B$17,ROW($A30)-ROW($A$26)+(ROW(EM!$C$46)-ROW(EM!$C$14))*(MATCH(E$22,EM!$B$6:$B$9,0)-1),MIN(E$23-EM!$B$16+36,EM!$AF$16-EM!$B$16)),0)+
IF(ROUND(E$11,0)&gt;=38,OFFSET(EM!$B$17,ROW($A30)-ROW($A$26)+(ROW(EM!$C$46)-ROW(EM!$C$14))*(MATCH(E$22,EM!$B$6:$B$9,0)-1),MIN(E$23-EM!$B$16+37,EM!$AF$16-EM!$B$16)),0)+
IF(ROUND(E$11,0)&gt;=39,OFFSET(EM!$B$17,ROW($A30)-ROW($A$26)+(ROW(EM!$C$46)-ROW(EM!$C$14))*(MATCH(E$22,EM!$B$6:$B$9,0)-1),MIN(E$23-EM!$B$16+38,EM!$AF$16-EM!$B$16)),0)+
IF(ROUND(E$11,0)&gt;=40,OFFSET(EM!$B$17,ROW($A30)-ROW($A$26)+(ROW(EM!$C$46)-ROW(EM!$C$14))*(MATCH(E$22,EM!$B$6:$B$9,0)-1),MIN(E$23-EM!$B$16+39,EM!$AF$16-EM!$B$16)),0)
)/ROUND(E$11,0),NA()))</f>
        <v>1.6297589170822038E-2</v>
      </c>
      <c r="F30" s="2046">
        <f ca="1">IF(F$19=GPG!$A$28,IF(ROW(F30)-ROW(F$26)+1=MATCH(F$20,GPG!$A$5:$A$11,0),1,0),
IF(F$19=GPG!$A$29,
(IF(ROUND(F$11,0)&gt;=1,OFFSET(EM!$B$17,ROW($A30)-ROW($A$26)+(ROW(EM!$C$46)-ROW(EM!$C$14))*(MATCH(F$22,EM!$B$6:$B$9,0)-1),MIN(F$23-EM!$B$16,EM!$AF$16-EM!$B$16)),0)+
IF(ROUND(F$11,0)&gt;=2,OFFSET(EM!$B$17,ROW($A30)-ROW($A$26)+(ROW(EM!$C$46)-ROW(EM!$C$14))*(MATCH(F$22,EM!$B$6:$B$9,0)-1),MIN(F$23-EM!$B$16+1,EM!$AF$16-EM!$B$16)),0)+
IF(ROUND(F$11,0)&gt;=3,OFFSET(EM!$B$17,ROW($A30)-ROW($A$26)+(ROW(EM!$C$46)-ROW(EM!$C$14))*(MATCH(F$22,EM!$B$6:$B$9,0)-1),MIN(F$23-EM!$B$16+2,EM!$AF$16-EM!$B$16)),0)+
IF(ROUND(F$11,0)&gt;=4,OFFSET(EM!$B$17,ROW($A30)-ROW($A$26)+(ROW(EM!$C$46)-ROW(EM!$C$14))*(MATCH(F$22,EM!$B$6:$B$9,0)-1),MIN(F$23-EM!$B$16+3,EM!$AF$16-EM!$B$16)),0)+
IF(ROUND(F$11,0)&gt;=5,OFFSET(EM!$B$17,ROW($A30)-ROW($A$26)+(ROW(EM!$C$46)-ROW(EM!$C$14))*(MATCH(F$22,EM!$B$6:$B$9,0)-1),MIN(F$23-EM!$B$16+4,EM!$AF$16-EM!$B$16)),0)+
IF(ROUND(F$11,0)&gt;=6,OFFSET(EM!$B$17,ROW($A30)-ROW($A$26)+(ROW(EM!$C$46)-ROW(EM!$C$14))*(MATCH(F$22,EM!$B$6:$B$9,0)-1),MIN(F$23-EM!$B$16+5,EM!$AF$16-EM!$B$16)),0)+
IF(ROUND(F$11,0)&gt;=7,OFFSET(EM!$B$17,ROW($A30)-ROW($A$26)+(ROW(EM!$C$46)-ROW(EM!$C$14))*(MATCH(F$22,EM!$B$6:$B$9,0)-1),MIN(F$23-EM!$B$16+6,EM!$AF$16-EM!$B$16)),0)+
IF(ROUND(F$11,0)&gt;=8,OFFSET(EM!$B$17,ROW($A30)-ROW($A$26)+(ROW(EM!$C$46)-ROW(EM!$C$14))*(MATCH(F$22,EM!$B$6:$B$9,0)-1),MIN(F$23-EM!$B$16+7,EM!$AF$16-EM!$B$16)),0)+
IF(ROUND(F$11,0)&gt;=9,OFFSET(EM!$B$17,ROW($A30)-ROW($A$26)+(ROW(EM!$C$46)-ROW(EM!$C$14))*(MATCH(F$22,EM!$B$6:$B$9,0)-1),MIN(F$23-EM!$B$16+8,EM!$AF$16-EM!$B$16)),0)+
IF(ROUND(F$11,0)&gt;=10,OFFSET(EM!$B$17,ROW($A30)-ROW($A$26)+(ROW(EM!$C$46)-ROW(EM!$C$14))*(MATCH(F$22,EM!$B$6:$B$9,0)-1),MIN(F$23-EM!$B$16+9,EM!$AF$16-EM!$B$16)),0)+
IF(ROUND(F$11,0)&gt;=11,OFFSET(EM!$B$17,ROW($A30)-ROW($A$26)+(ROW(EM!$C$46)-ROW(EM!$C$14))*(MATCH(F$22,EM!$B$6:$B$9,0)-1),MIN(F$23-EM!$B$16+10,EM!$AF$16-EM!$B$16)),0)+
IF(ROUND(F$11,0)&gt;=12,OFFSET(EM!$B$17,ROW($A30)-ROW($A$26)+(ROW(EM!$C$46)-ROW(EM!$C$14))*(MATCH(F$22,EM!$B$6:$B$9,0)-1),MIN(F$23-EM!$B$16+11,EM!$AF$16-EM!$B$16)),0)+
IF(ROUND(F$11,0)&gt;=13,OFFSET(EM!$B$17,ROW($A30)-ROW($A$26)+(ROW(EM!$C$46)-ROW(EM!$C$14))*(MATCH(F$22,EM!$B$6:$B$9,0)-1),MIN(F$23-EM!$B$16+12,EM!$AF$16-EM!$B$16)),0)+
IF(ROUND(F$11,0)&gt;=14,OFFSET(EM!$B$17,ROW($A30)-ROW($A$26)+(ROW(EM!$C$46)-ROW(EM!$C$14))*(MATCH(F$22,EM!$B$6:$B$9,0)-1),MIN(F$23-EM!$B$16+13,EM!$AF$16-EM!$B$16)),0)+
IF(ROUND(F$11,0)&gt;=15,OFFSET(EM!$B$17,ROW($A30)-ROW($A$26)+(ROW(EM!$C$46)-ROW(EM!$C$14))*(MATCH(F$22,EM!$B$6:$B$9,0)-1),MIN(F$23-EM!$B$16+14,EM!$AF$16-EM!$B$16)),0)+
IF(ROUND(F$11,0)&gt;=16,OFFSET(EM!$B$17,ROW($A30)-ROW($A$26)+(ROW(EM!$C$46)-ROW(EM!$C$14))*(MATCH(F$22,EM!$B$6:$B$9,0)-1),MIN(F$23-EM!$B$16+15,EM!$AF$16-EM!$B$16)),0)+
IF(ROUND(F$11,0)&gt;=17,OFFSET(EM!$B$17,ROW($A30)-ROW($A$26)+(ROW(EM!$C$46)-ROW(EM!$C$14))*(MATCH(F$22,EM!$B$6:$B$9,0)-1),MIN(F$23-EM!$B$16+16,EM!$AF$16-EM!$B$16)),0)+
IF(ROUND(F$11,0)&gt;=18,OFFSET(EM!$B$17,ROW($A30)-ROW($A$26)+(ROW(EM!$C$46)-ROW(EM!$C$14))*(MATCH(F$22,EM!$B$6:$B$9,0)-1),MIN(F$23-EM!$B$16+17,EM!$AF$16-EM!$B$16)),0)+
IF(ROUND(F$11,0)&gt;=19,OFFSET(EM!$B$17,ROW($A30)-ROW($A$26)+(ROW(EM!$C$46)-ROW(EM!$C$14))*(MATCH(F$22,EM!$B$6:$B$9,0)-1),MIN(F$23-EM!$B$16+18,EM!$AF$16-EM!$B$16)),0)+
IF(ROUND(F$11,0)&gt;=20,OFFSET(EM!$B$17,ROW($A30)-ROW($A$26)+(ROW(EM!$C$46)-ROW(EM!$C$14))*(MATCH(F$22,EM!$B$6:$B$9,0)-1),MIN(F$23-EM!$B$16+19,EM!$AF$16-EM!$B$16)),0)+
IF(ROUND(F$11,0)&gt;=21,OFFSET(EM!$B$17,ROW($A30)-ROW($A$26)+(ROW(EM!$C$46)-ROW(EM!$C$14))*(MATCH(F$22,EM!$B$6:$B$9,0)-1),MIN(F$23-EM!$B$16+20,EM!$AF$16-EM!$B$16)),0)+
IF(ROUND(F$11,0)&gt;=22,OFFSET(EM!$B$17,ROW($A30)-ROW($A$26)+(ROW(EM!$C$46)-ROW(EM!$C$14))*(MATCH(F$22,EM!$B$6:$B$9,0)-1),MIN(F$23-EM!$B$16+21,EM!$AF$16-EM!$B$16)),0)+
IF(ROUND(F$11,0)&gt;=23,OFFSET(EM!$B$17,ROW($A30)-ROW($A$26)+(ROW(EM!$C$46)-ROW(EM!$C$14))*(MATCH(F$22,EM!$B$6:$B$9,0)-1),MIN(F$23-EM!$B$16+22,EM!$AF$16-EM!$B$16)),0)+
IF(ROUND(F$11,0)&gt;=24,OFFSET(EM!$B$17,ROW($A30)-ROW($A$26)+(ROW(EM!$C$46)-ROW(EM!$C$14))*(MATCH(F$22,EM!$B$6:$B$9,0)-1),MIN(F$23-EM!$B$16+23,EM!$AF$16-EM!$B$16)),0)+
IF(ROUND(F$11,0)&gt;=25,OFFSET(EM!$B$17,ROW($A30)-ROW($A$26)+(ROW(EM!$C$46)-ROW(EM!$C$14))*(MATCH(F$22,EM!$B$6:$B$9,0)-1),MIN(F$23-EM!$B$16+24,EM!$AF$16-EM!$B$16)),0)+
IF(ROUND(F$11,0)&gt;=26,OFFSET(EM!$B$17,ROW($A30)-ROW($A$26)+(ROW(EM!$C$46)-ROW(EM!$C$14))*(MATCH(F$22,EM!$B$6:$B$9,0)-1),MIN(F$23-EM!$B$16+25,EM!$AF$16-EM!$B$16)),0)+
IF(ROUND(F$11,0)&gt;=27,OFFSET(EM!$B$17,ROW($A30)-ROW($A$26)+(ROW(EM!$C$46)-ROW(EM!$C$14))*(MATCH(F$22,EM!$B$6:$B$9,0)-1),MIN(F$23-EM!$B$16+26,EM!$AF$16-EM!$B$16)),0)+
IF(ROUND(F$11,0)&gt;=28,OFFSET(EM!$B$17,ROW($A30)-ROW($A$26)+(ROW(EM!$C$46)-ROW(EM!$C$14))*(MATCH(F$22,EM!$B$6:$B$9,0)-1),MIN(F$23-EM!$B$16+27,EM!$AF$16-EM!$B$16)),0)+
IF(ROUND(F$11,0)&gt;=29,OFFSET(EM!$B$17,ROW($A30)-ROW($A$26)+(ROW(EM!$C$46)-ROW(EM!$C$14))*(MATCH(F$22,EM!$B$6:$B$9,0)-1),MIN(F$23-EM!$B$16+28,EM!$AF$16-EM!$B$16)),0)+
IF(ROUND(F$11,0)&gt;=30,OFFSET(EM!$B$17,ROW($A30)-ROW($A$26)+(ROW(EM!$C$46)-ROW(EM!$C$14))*(MATCH(F$22,EM!$B$6:$B$9,0)-1),MIN(F$23-EM!$B$16+29,EM!$AF$16-EM!$B$16)),0)+
IF(ROUND(F$11,0)&gt;=31,OFFSET(EM!$B$17,ROW($A30)-ROW($A$26)+(ROW(EM!$C$46)-ROW(EM!$C$14))*(MATCH(F$22,EM!$B$6:$B$9,0)-1),MIN(F$23-EM!$B$16+30,EM!$AF$16-EM!$B$16)),0)+
IF(ROUND(F$11,0)&gt;=32,OFFSET(EM!$B$17,ROW($A30)-ROW($A$26)+(ROW(EM!$C$46)-ROW(EM!$C$14))*(MATCH(F$22,EM!$B$6:$B$9,0)-1),MIN(F$23-EM!$B$16+31,EM!$AF$16-EM!$B$16)),0)+
IF(ROUND(F$11,0)&gt;=33,OFFSET(EM!$B$17,ROW($A30)-ROW($A$26)+(ROW(EM!$C$46)-ROW(EM!$C$14))*(MATCH(F$22,EM!$B$6:$B$9,0)-1),MIN(F$23-EM!$B$16+32,EM!$AF$16-EM!$B$16)),0)+
IF(ROUND(F$11,0)&gt;=34,OFFSET(EM!$B$17,ROW($A30)-ROW($A$26)+(ROW(EM!$C$46)-ROW(EM!$C$14))*(MATCH(F$22,EM!$B$6:$B$9,0)-1),MIN(F$23-EM!$B$16+33,EM!$AF$16-EM!$B$16)),0)+
IF(ROUND(F$11,0)&gt;=35,OFFSET(EM!$B$17,ROW($A30)-ROW($A$26)+(ROW(EM!$C$46)-ROW(EM!$C$14))*(MATCH(F$22,EM!$B$6:$B$9,0)-1),MIN(F$23-EM!$B$16+34,EM!$AF$16-EM!$B$16)),0)+
IF(ROUND(F$11,0)&gt;=36,OFFSET(EM!$B$17,ROW($A30)-ROW($A$26)+(ROW(EM!$C$46)-ROW(EM!$C$14))*(MATCH(F$22,EM!$B$6:$B$9,0)-1),MIN(F$23-EM!$B$16+35,EM!$AF$16-EM!$B$16)),0)+
IF(ROUND(F$11,0)&gt;=37,OFFSET(EM!$B$17,ROW($A30)-ROW($A$26)+(ROW(EM!$C$46)-ROW(EM!$C$14))*(MATCH(F$22,EM!$B$6:$B$9,0)-1),MIN(F$23-EM!$B$16+36,EM!$AF$16-EM!$B$16)),0)+
IF(ROUND(F$11,0)&gt;=38,OFFSET(EM!$B$17,ROW($A30)-ROW($A$26)+(ROW(EM!$C$46)-ROW(EM!$C$14))*(MATCH(F$22,EM!$B$6:$B$9,0)-1),MIN(F$23-EM!$B$16+37,EM!$AF$16-EM!$B$16)),0)+
IF(ROUND(F$11,0)&gt;=39,OFFSET(EM!$B$17,ROW($A30)-ROW($A$26)+(ROW(EM!$C$46)-ROW(EM!$C$14))*(MATCH(F$22,EM!$B$6:$B$9,0)-1),MIN(F$23-EM!$B$16+38,EM!$AF$16-EM!$B$16)),0)+
IF(ROUND(F$11,0)&gt;=40,OFFSET(EM!$B$17,ROW($A30)-ROW($A$26)+(ROW(EM!$C$46)-ROW(EM!$C$14))*(MATCH(F$22,EM!$B$6:$B$9,0)-1),MIN(F$23-EM!$B$16+39,EM!$AF$16-EM!$B$16)),0)
)/ROUND(F$11,0),NA()))</f>
        <v>1.7504398632274241E-2</v>
      </c>
      <c r="G30" s="2046">
        <f ca="1">IF(G$19=GPG!$A$28,IF(ROW(G30)-ROW(G$26)+1=MATCH(G$20,GPG!$A$5:$A$11,0),1,0),
IF(G$19=GPG!$A$29,
(IF(ROUND(G$11,0)&gt;=1,OFFSET(EM!$B$17,ROW($A30)-ROW($A$26)+(ROW(EM!$C$46)-ROW(EM!$C$14))*(MATCH(G$22,EM!$B$6:$B$9,0)-1),MIN(G$23-EM!$B$16,EM!$AF$16-EM!$B$16)),0)+
IF(ROUND(G$11,0)&gt;=2,OFFSET(EM!$B$17,ROW($A30)-ROW($A$26)+(ROW(EM!$C$46)-ROW(EM!$C$14))*(MATCH(G$22,EM!$B$6:$B$9,0)-1),MIN(G$23-EM!$B$16+1,EM!$AF$16-EM!$B$16)),0)+
IF(ROUND(G$11,0)&gt;=3,OFFSET(EM!$B$17,ROW($A30)-ROW($A$26)+(ROW(EM!$C$46)-ROW(EM!$C$14))*(MATCH(G$22,EM!$B$6:$B$9,0)-1),MIN(G$23-EM!$B$16+2,EM!$AF$16-EM!$B$16)),0)+
IF(ROUND(G$11,0)&gt;=4,OFFSET(EM!$B$17,ROW($A30)-ROW($A$26)+(ROW(EM!$C$46)-ROW(EM!$C$14))*(MATCH(G$22,EM!$B$6:$B$9,0)-1),MIN(G$23-EM!$B$16+3,EM!$AF$16-EM!$B$16)),0)+
IF(ROUND(G$11,0)&gt;=5,OFFSET(EM!$B$17,ROW($A30)-ROW($A$26)+(ROW(EM!$C$46)-ROW(EM!$C$14))*(MATCH(G$22,EM!$B$6:$B$9,0)-1),MIN(G$23-EM!$B$16+4,EM!$AF$16-EM!$B$16)),0)+
IF(ROUND(G$11,0)&gt;=6,OFFSET(EM!$B$17,ROW($A30)-ROW($A$26)+(ROW(EM!$C$46)-ROW(EM!$C$14))*(MATCH(G$22,EM!$B$6:$B$9,0)-1),MIN(G$23-EM!$B$16+5,EM!$AF$16-EM!$B$16)),0)+
IF(ROUND(G$11,0)&gt;=7,OFFSET(EM!$B$17,ROW($A30)-ROW($A$26)+(ROW(EM!$C$46)-ROW(EM!$C$14))*(MATCH(G$22,EM!$B$6:$B$9,0)-1),MIN(G$23-EM!$B$16+6,EM!$AF$16-EM!$B$16)),0)+
IF(ROUND(G$11,0)&gt;=8,OFFSET(EM!$B$17,ROW($A30)-ROW($A$26)+(ROW(EM!$C$46)-ROW(EM!$C$14))*(MATCH(G$22,EM!$B$6:$B$9,0)-1),MIN(G$23-EM!$B$16+7,EM!$AF$16-EM!$B$16)),0)+
IF(ROUND(G$11,0)&gt;=9,OFFSET(EM!$B$17,ROW($A30)-ROW($A$26)+(ROW(EM!$C$46)-ROW(EM!$C$14))*(MATCH(G$22,EM!$B$6:$B$9,0)-1),MIN(G$23-EM!$B$16+8,EM!$AF$16-EM!$B$16)),0)+
IF(ROUND(G$11,0)&gt;=10,OFFSET(EM!$B$17,ROW($A30)-ROW($A$26)+(ROW(EM!$C$46)-ROW(EM!$C$14))*(MATCH(G$22,EM!$B$6:$B$9,0)-1),MIN(G$23-EM!$B$16+9,EM!$AF$16-EM!$B$16)),0)+
IF(ROUND(G$11,0)&gt;=11,OFFSET(EM!$B$17,ROW($A30)-ROW($A$26)+(ROW(EM!$C$46)-ROW(EM!$C$14))*(MATCH(G$22,EM!$B$6:$B$9,0)-1),MIN(G$23-EM!$B$16+10,EM!$AF$16-EM!$B$16)),0)+
IF(ROUND(G$11,0)&gt;=12,OFFSET(EM!$B$17,ROW($A30)-ROW($A$26)+(ROW(EM!$C$46)-ROW(EM!$C$14))*(MATCH(G$22,EM!$B$6:$B$9,0)-1),MIN(G$23-EM!$B$16+11,EM!$AF$16-EM!$B$16)),0)+
IF(ROUND(G$11,0)&gt;=13,OFFSET(EM!$B$17,ROW($A30)-ROW($A$26)+(ROW(EM!$C$46)-ROW(EM!$C$14))*(MATCH(G$22,EM!$B$6:$B$9,0)-1),MIN(G$23-EM!$B$16+12,EM!$AF$16-EM!$B$16)),0)+
IF(ROUND(G$11,0)&gt;=14,OFFSET(EM!$B$17,ROW($A30)-ROW($A$26)+(ROW(EM!$C$46)-ROW(EM!$C$14))*(MATCH(G$22,EM!$B$6:$B$9,0)-1),MIN(G$23-EM!$B$16+13,EM!$AF$16-EM!$B$16)),0)+
IF(ROUND(G$11,0)&gt;=15,OFFSET(EM!$B$17,ROW($A30)-ROW($A$26)+(ROW(EM!$C$46)-ROW(EM!$C$14))*(MATCH(G$22,EM!$B$6:$B$9,0)-1),MIN(G$23-EM!$B$16+14,EM!$AF$16-EM!$B$16)),0)+
IF(ROUND(G$11,0)&gt;=16,OFFSET(EM!$B$17,ROW($A30)-ROW($A$26)+(ROW(EM!$C$46)-ROW(EM!$C$14))*(MATCH(G$22,EM!$B$6:$B$9,0)-1),MIN(G$23-EM!$B$16+15,EM!$AF$16-EM!$B$16)),0)+
IF(ROUND(G$11,0)&gt;=17,OFFSET(EM!$B$17,ROW($A30)-ROW($A$26)+(ROW(EM!$C$46)-ROW(EM!$C$14))*(MATCH(G$22,EM!$B$6:$B$9,0)-1),MIN(G$23-EM!$B$16+16,EM!$AF$16-EM!$B$16)),0)+
IF(ROUND(G$11,0)&gt;=18,OFFSET(EM!$B$17,ROW($A30)-ROW($A$26)+(ROW(EM!$C$46)-ROW(EM!$C$14))*(MATCH(G$22,EM!$B$6:$B$9,0)-1),MIN(G$23-EM!$B$16+17,EM!$AF$16-EM!$B$16)),0)+
IF(ROUND(G$11,0)&gt;=19,OFFSET(EM!$B$17,ROW($A30)-ROW($A$26)+(ROW(EM!$C$46)-ROW(EM!$C$14))*(MATCH(G$22,EM!$B$6:$B$9,0)-1),MIN(G$23-EM!$B$16+18,EM!$AF$16-EM!$B$16)),0)+
IF(ROUND(G$11,0)&gt;=20,OFFSET(EM!$B$17,ROW($A30)-ROW($A$26)+(ROW(EM!$C$46)-ROW(EM!$C$14))*(MATCH(G$22,EM!$B$6:$B$9,0)-1),MIN(G$23-EM!$B$16+19,EM!$AF$16-EM!$B$16)),0)+
IF(ROUND(G$11,0)&gt;=21,OFFSET(EM!$B$17,ROW($A30)-ROW($A$26)+(ROW(EM!$C$46)-ROW(EM!$C$14))*(MATCH(G$22,EM!$B$6:$B$9,0)-1),MIN(G$23-EM!$B$16+20,EM!$AF$16-EM!$B$16)),0)+
IF(ROUND(G$11,0)&gt;=22,OFFSET(EM!$B$17,ROW($A30)-ROW($A$26)+(ROW(EM!$C$46)-ROW(EM!$C$14))*(MATCH(G$22,EM!$B$6:$B$9,0)-1),MIN(G$23-EM!$B$16+21,EM!$AF$16-EM!$B$16)),0)+
IF(ROUND(G$11,0)&gt;=23,OFFSET(EM!$B$17,ROW($A30)-ROW($A$26)+(ROW(EM!$C$46)-ROW(EM!$C$14))*(MATCH(G$22,EM!$B$6:$B$9,0)-1),MIN(G$23-EM!$B$16+22,EM!$AF$16-EM!$B$16)),0)+
IF(ROUND(G$11,0)&gt;=24,OFFSET(EM!$B$17,ROW($A30)-ROW($A$26)+(ROW(EM!$C$46)-ROW(EM!$C$14))*(MATCH(G$22,EM!$B$6:$B$9,0)-1),MIN(G$23-EM!$B$16+23,EM!$AF$16-EM!$B$16)),0)+
IF(ROUND(G$11,0)&gt;=25,OFFSET(EM!$B$17,ROW($A30)-ROW($A$26)+(ROW(EM!$C$46)-ROW(EM!$C$14))*(MATCH(G$22,EM!$B$6:$B$9,0)-1),MIN(G$23-EM!$B$16+24,EM!$AF$16-EM!$B$16)),0)+
IF(ROUND(G$11,0)&gt;=26,OFFSET(EM!$B$17,ROW($A30)-ROW($A$26)+(ROW(EM!$C$46)-ROW(EM!$C$14))*(MATCH(G$22,EM!$B$6:$B$9,0)-1),MIN(G$23-EM!$B$16+25,EM!$AF$16-EM!$B$16)),0)+
IF(ROUND(G$11,0)&gt;=27,OFFSET(EM!$B$17,ROW($A30)-ROW($A$26)+(ROW(EM!$C$46)-ROW(EM!$C$14))*(MATCH(G$22,EM!$B$6:$B$9,0)-1),MIN(G$23-EM!$B$16+26,EM!$AF$16-EM!$B$16)),0)+
IF(ROUND(G$11,0)&gt;=28,OFFSET(EM!$B$17,ROW($A30)-ROW($A$26)+(ROW(EM!$C$46)-ROW(EM!$C$14))*(MATCH(G$22,EM!$B$6:$B$9,0)-1),MIN(G$23-EM!$B$16+27,EM!$AF$16-EM!$B$16)),0)+
IF(ROUND(G$11,0)&gt;=29,OFFSET(EM!$B$17,ROW($A30)-ROW($A$26)+(ROW(EM!$C$46)-ROW(EM!$C$14))*(MATCH(G$22,EM!$B$6:$B$9,0)-1),MIN(G$23-EM!$B$16+28,EM!$AF$16-EM!$B$16)),0)+
IF(ROUND(G$11,0)&gt;=30,OFFSET(EM!$B$17,ROW($A30)-ROW($A$26)+(ROW(EM!$C$46)-ROW(EM!$C$14))*(MATCH(G$22,EM!$B$6:$B$9,0)-1),MIN(G$23-EM!$B$16+29,EM!$AF$16-EM!$B$16)),0)+
IF(ROUND(G$11,0)&gt;=31,OFFSET(EM!$B$17,ROW($A30)-ROW($A$26)+(ROW(EM!$C$46)-ROW(EM!$C$14))*(MATCH(G$22,EM!$B$6:$B$9,0)-1),MIN(G$23-EM!$B$16+30,EM!$AF$16-EM!$B$16)),0)+
IF(ROUND(G$11,0)&gt;=32,OFFSET(EM!$B$17,ROW($A30)-ROW($A$26)+(ROW(EM!$C$46)-ROW(EM!$C$14))*(MATCH(G$22,EM!$B$6:$B$9,0)-1),MIN(G$23-EM!$B$16+31,EM!$AF$16-EM!$B$16)),0)+
IF(ROUND(G$11,0)&gt;=33,OFFSET(EM!$B$17,ROW($A30)-ROW($A$26)+(ROW(EM!$C$46)-ROW(EM!$C$14))*(MATCH(G$22,EM!$B$6:$B$9,0)-1),MIN(G$23-EM!$B$16+32,EM!$AF$16-EM!$B$16)),0)+
IF(ROUND(G$11,0)&gt;=34,OFFSET(EM!$B$17,ROW($A30)-ROW($A$26)+(ROW(EM!$C$46)-ROW(EM!$C$14))*(MATCH(G$22,EM!$B$6:$B$9,0)-1),MIN(G$23-EM!$B$16+33,EM!$AF$16-EM!$B$16)),0)+
IF(ROUND(G$11,0)&gt;=35,OFFSET(EM!$B$17,ROW($A30)-ROW($A$26)+(ROW(EM!$C$46)-ROW(EM!$C$14))*(MATCH(G$22,EM!$B$6:$B$9,0)-1),MIN(G$23-EM!$B$16+34,EM!$AF$16-EM!$B$16)),0)+
IF(ROUND(G$11,0)&gt;=36,OFFSET(EM!$B$17,ROW($A30)-ROW($A$26)+(ROW(EM!$C$46)-ROW(EM!$C$14))*(MATCH(G$22,EM!$B$6:$B$9,0)-1),MIN(G$23-EM!$B$16+35,EM!$AF$16-EM!$B$16)),0)+
IF(ROUND(G$11,0)&gt;=37,OFFSET(EM!$B$17,ROW($A30)-ROW($A$26)+(ROW(EM!$C$46)-ROW(EM!$C$14))*(MATCH(G$22,EM!$B$6:$B$9,0)-1),MIN(G$23-EM!$B$16+36,EM!$AF$16-EM!$B$16)),0)+
IF(ROUND(G$11,0)&gt;=38,OFFSET(EM!$B$17,ROW($A30)-ROW($A$26)+(ROW(EM!$C$46)-ROW(EM!$C$14))*(MATCH(G$22,EM!$B$6:$B$9,0)-1),MIN(G$23-EM!$B$16+37,EM!$AF$16-EM!$B$16)),0)+
IF(ROUND(G$11,0)&gt;=39,OFFSET(EM!$B$17,ROW($A30)-ROW($A$26)+(ROW(EM!$C$46)-ROW(EM!$C$14))*(MATCH(G$22,EM!$B$6:$B$9,0)-1),MIN(G$23-EM!$B$16+38,EM!$AF$16-EM!$B$16)),0)+
IF(ROUND(G$11,0)&gt;=40,OFFSET(EM!$B$17,ROW($A30)-ROW($A$26)+(ROW(EM!$C$46)-ROW(EM!$C$14))*(MATCH(G$22,EM!$B$6:$B$9,0)-1),MIN(G$23-EM!$B$16+39,EM!$AF$16-EM!$B$16)),0)
)/ROUND(G$11,0),NA()))</f>
        <v>1.6543364408074603E-2</v>
      </c>
      <c r="H30" s="2046">
        <f ca="1">IF(H$19=GPG!$A$28,IF(ROW(H30)-ROW(H$26)+1=MATCH(H$20,GPG!$A$5:$A$11,0),1,0),
IF(H$19=GPG!$A$29,
(IF(ROUND(H$11,0)&gt;=1,OFFSET(EM!$B$17,ROW($A30)-ROW($A$26)+(ROW(EM!$C$46)-ROW(EM!$C$14))*(MATCH(H$22,EM!$B$6:$B$9,0)-1),MIN(H$23-EM!$B$16,EM!$AF$16-EM!$B$16)),0)+
IF(ROUND(H$11,0)&gt;=2,OFFSET(EM!$B$17,ROW($A30)-ROW($A$26)+(ROW(EM!$C$46)-ROW(EM!$C$14))*(MATCH(H$22,EM!$B$6:$B$9,0)-1),MIN(H$23-EM!$B$16+1,EM!$AF$16-EM!$B$16)),0)+
IF(ROUND(H$11,0)&gt;=3,OFFSET(EM!$B$17,ROW($A30)-ROW($A$26)+(ROW(EM!$C$46)-ROW(EM!$C$14))*(MATCH(H$22,EM!$B$6:$B$9,0)-1),MIN(H$23-EM!$B$16+2,EM!$AF$16-EM!$B$16)),0)+
IF(ROUND(H$11,0)&gt;=4,OFFSET(EM!$B$17,ROW($A30)-ROW($A$26)+(ROW(EM!$C$46)-ROW(EM!$C$14))*(MATCH(H$22,EM!$B$6:$B$9,0)-1),MIN(H$23-EM!$B$16+3,EM!$AF$16-EM!$B$16)),0)+
IF(ROUND(H$11,0)&gt;=5,OFFSET(EM!$B$17,ROW($A30)-ROW($A$26)+(ROW(EM!$C$46)-ROW(EM!$C$14))*(MATCH(H$22,EM!$B$6:$B$9,0)-1),MIN(H$23-EM!$B$16+4,EM!$AF$16-EM!$B$16)),0)+
IF(ROUND(H$11,0)&gt;=6,OFFSET(EM!$B$17,ROW($A30)-ROW($A$26)+(ROW(EM!$C$46)-ROW(EM!$C$14))*(MATCH(H$22,EM!$B$6:$B$9,0)-1),MIN(H$23-EM!$B$16+5,EM!$AF$16-EM!$B$16)),0)+
IF(ROUND(H$11,0)&gt;=7,OFFSET(EM!$B$17,ROW($A30)-ROW($A$26)+(ROW(EM!$C$46)-ROW(EM!$C$14))*(MATCH(H$22,EM!$B$6:$B$9,0)-1),MIN(H$23-EM!$B$16+6,EM!$AF$16-EM!$B$16)),0)+
IF(ROUND(H$11,0)&gt;=8,OFFSET(EM!$B$17,ROW($A30)-ROW($A$26)+(ROW(EM!$C$46)-ROW(EM!$C$14))*(MATCH(H$22,EM!$B$6:$B$9,0)-1),MIN(H$23-EM!$B$16+7,EM!$AF$16-EM!$B$16)),0)+
IF(ROUND(H$11,0)&gt;=9,OFFSET(EM!$B$17,ROW($A30)-ROW($A$26)+(ROW(EM!$C$46)-ROW(EM!$C$14))*(MATCH(H$22,EM!$B$6:$B$9,0)-1),MIN(H$23-EM!$B$16+8,EM!$AF$16-EM!$B$16)),0)+
IF(ROUND(H$11,0)&gt;=10,OFFSET(EM!$B$17,ROW($A30)-ROW($A$26)+(ROW(EM!$C$46)-ROW(EM!$C$14))*(MATCH(H$22,EM!$B$6:$B$9,0)-1),MIN(H$23-EM!$B$16+9,EM!$AF$16-EM!$B$16)),0)+
IF(ROUND(H$11,0)&gt;=11,OFFSET(EM!$B$17,ROW($A30)-ROW($A$26)+(ROW(EM!$C$46)-ROW(EM!$C$14))*(MATCH(H$22,EM!$B$6:$B$9,0)-1),MIN(H$23-EM!$B$16+10,EM!$AF$16-EM!$B$16)),0)+
IF(ROUND(H$11,0)&gt;=12,OFFSET(EM!$B$17,ROW($A30)-ROW($A$26)+(ROW(EM!$C$46)-ROW(EM!$C$14))*(MATCH(H$22,EM!$B$6:$B$9,0)-1),MIN(H$23-EM!$B$16+11,EM!$AF$16-EM!$B$16)),0)+
IF(ROUND(H$11,0)&gt;=13,OFFSET(EM!$B$17,ROW($A30)-ROW($A$26)+(ROW(EM!$C$46)-ROW(EM!$C$14))*(MATCH(H$22,EM!$B$6:$B$9,0)-1),MIN(H$23-EM!$B$16+12,EM!$AF$16-EM!$B$16)),0)+
IF(ROUND(H$11,0)&gt;=14,OFFSET(EM!$B$17,ROW($A30)-ROW($A$26)+(ROW(EM!$C$46)-ROW(EM!$C$14))*(MATCH(H$22,EM!$B$6:$B$9,0)-1),MIN(H$23-EM!$B$16+13,EM!$AF$16-EM!$B$16)),0)+
IF(ROUND(H$11,0)&gt;=15,OFFSET(EM!$B$17,ROW($A30)-ROW($A$26)+(ROW(EM!$C$46)-ROW(EM!$C$14))*(MATCH(H$22,EM!$B$6:$B$9,0)-1),MIN(H$23-EM!$B$16+14,EM!$AF$16-EM!$B$16)),0)+
IF(ROUND(H$11,0)&gt;=16,OFFSET(EM!$B$17,ROW($A30)-ROW($A$26)+(ROW(EM!$C$46)-ROW(EM!$C$14))*(MATCH(H$22,EM!$B$6:$B$9,0)-1),MIN(H$23-EM!$B$16+15,EM!$AF$16-EM!$B$16)),0)+
IF(ROUND(H$11,0)&gt;=17,OFFSET(EM!$B$17,ROW($A30)-ROW($A$26)+(ROW(EM!$C$46)-ROW(EM!$C$14))*(MATCH(H$22,EM!$B$6:$B$9,0)-1),MIN(H$23-EM!$B$16+16,EM!$AF$16-EM!$B$16)),0)+
IF(ROUND(H$11,0)&gt;=18,OFFSET(EM!$B$17,ROW($A30)-ROW($A$26)+(ROW(EM!$C$46)-ROW(EM!$C$14))*(MATCH(H$22,EM!$B$6:$B$9,0)-1),MIN(H$23-EM!$B$16+17,EM!$AF$16-EM!$B$16)),0)+
IF(ROUND(H$11,0)&gt;=19,OFFSET(EM!$B$17,ROW($A30)-ROW($A$26)+(ROW(EM!$C$46)-ROW(EM!$C$14))*(MATCH(H$22,EM!$B$6:$B$9,0)-1),MIN(H$23-EM!$B$16+18,EM!$AF$16-EM!$B$16)),0)+
IF(ROUND(H$11,0)&gt;=20,OFFSET(EM!$B$17,ROW($A30)-ROW($A$26)+(ROW(EM!$C$46)-ROW(EM!$C$14))*(MATCH(H$22,EM!$B$6:$B$9,0)-1),MIN(H$23-EM!$B$16+19,EM!$AF$16-EM!$B$16)),0)+
IF(ROUND(H$11,0)&gt;=21,OFFSET(EM!$B$17,ROW($A30)-ROW($A$26)+(ROW(EM!$C$46)-ROW(EM!$C$14))*(MATCH(H$22,EM!$B$6:$B$9,0)-1),MIN(H$23-EM!$B$16+20,EM!$AF$16-EM!$B$16)),0)+
IF(ROUND(H$11,0)&gt;=22,OFFSET(EM!$B$17,ROW($A30)-ROW($A$26)+(ROW(EM!$C$46)-ROW(EM!$C$14))*(MATCH(H$22,EM!$B$6:$B$9,0)-1),MIN(H$23-EM!$B$16+21,EM!$AF$16-EM!$B$16)),0)+
IF(ROUND(H$11,0)&gt;=23,OFFSET(EM!$B$17,ROW($A30)-ROW($A$26)+(ROW(EM!$C$46)-ROW(EM!$C$14))*(MATCH(H$22,EM!$B$6:$B$9,0)-1),MIN(H$23-EM!$B$16+22,EM!$AF$16-EM!$B$16)),0)+
IF(ROUND(H$11,0)&gt;=24,OFFSET(EM!$B$17,ROW($A30)-ROW($A$26)+(ROW(EM!$C$46)-ROW(EM!$C$14))*(MATCH(H$22,EM!$B$6:$B$9,0)-1),MIN(H$23-EM!$B$16+23,EM!$AF$16-EM!$B$16)),0)+
IF(ROUND(H$11,0)&gt;=25,OFFSET(EM!$B$17,ROW($A30)-ROW($A$26)+(ROW(EM!$C$46)-ROW(EM!$C$14))*(MATCH(H$22,EM!$B$6:$B$9,0)-1),MIN(H$23-EM!$B$16+24,EM!$AF$16-EM!$B$16)),0)+
IF(ROUND(H$11,0)&gt;=26,OFFSET(EM!$B$17,ROW($A30)-ROW($A$26)+(ROW(EM!$C$46)-ROW(EM!$C$14))*(MATCH(H$22,EM!$B$6:$B$9,0)-1),MIN(H$23-EM!$B$16+25,EM!$AF$16-EM!$B$16)),0)+
IF(ROUND(H$11,0)&gt;=27,OFFSET(EM!$B$17,ROW($A30)-ROW($A$26)+(ROW(EM!$C$46)-ROW(EM!$C$14))*(MATCH(H$22,EM!$B$6:$B$9,0)-1),MIN(H$23-EM!$B$16+26,EM!$AF$16-EM!$B$16)),0)+
IF(ROUND(H$11,0)&gt;=28,OFFSET(EM!$B$17,ROW($A30)-ROW($A$26)+(ROW(EM!$C$46)-ROW(EM!$C$14))*(MATCH(H$22,EM!$B$6:$B$9,0)-1),MIN(H$23-EM!$B$16+27,EM!$AF$16-EM!$B$16)),0)+
IF(ROUND(H$11,0)&gt;=29,OFFSET(EM!$B$17,ROW($A30)-ROW($A$26)+(ROW(EM!$C$46)-ROW(EM!$C$14))*(MATCH(H$22,EM!$B$6:$B$9,0)-1),MIN(H$23-EM!$B$16+28,EM!$AF$16-EM!$B$16)),0)+
IF(ROUND(H$11,0)&gt;=30,OFFSET(EM!$B$17,ROW($A30)-ROW($A$26)+(ROW(EM!$C$46)-ROW(EM!$C$14))*(MATCH(H$22,EM!$B$6:$B$9,0)-1),MIN(H$23-EM!$B$16+29,EM!$AF$16-EM!$B$16)),0)+
IF(ROUND(H$11,0)&gt;=31,OFFSET(EM!$B$17,ROW($A30)-ROW($A$26)+(ROW(EM!$C$46)-ROW(EM!$C$14))*(MATCH(H$22,EM!$B$6:$B$9,0)-1),MIN(H$23-EM!$B$16+30,EM!$AF$16-EM!$B$16)),0)+
IF(ROUND(H$11,0)&gt;=32,OFFSET(EM!$B$17,ROW($A30)-ROW($A$26)+(ROW(EM!$C$46)-ROW(EM!$C$14))*(MATCH(H$22,EM!$B$6:$B$9,0)-1),MIN(H$23-EM!$B$16+31,EM!$AF$16-EM!$B$16)),0)+
IF(ROUND(H$11,0)&gt;=33,OFFSET(EM!$B$17,ROW($A30)-ROW($A$26)+(ROW(EM!$C$46)-ROW(EM!$C$14))*(MATCH(H$22,EM!$B$6:$B$9,0)-1),MIN(H$23-EM!$B$16+32,EM!$AF$16-EM!$B$16)),0)+
IF(ROUND(H$11,0)&gt;=34,OFFSET(EM!$B$17,ROW($A30)-ROW($A$26)+(ROW(EM!$C$46)-ROW(EM!$C$14))*(MATCH(H$22,EM!$B$6:$B$9,0)-1),MIN(H$23-EM!$B$16+33,EM!$AF$16-EM!$B$16)),0)+
IF(ROUND(H$11,0)&gt;=35,OFFSET(EM!$B$17,ROW($A30)-ROW($A$26)+(ROW(EM!$C$46)-ROW(EM!$C$14))*(MATCH(H$22,EM!$B$6:$B$9,0)-1),MIN(H$23-EM!$B$16+34,EM!$AF$16-EM!$B$16)),0)+
IF(ROUND(H$11,0)&gt;=36,OFFSET(EM!$B$17,ROW($A30)-ROW($A$26)+(ROW(EM!$C$46)-ROW(EM!$C$14))*(MATCH(H$22,EM!$B$6:$B$9,0)-1),MIN(H$23-EM!$B$16+35,EM!$AF$16-EM!$B$16)),0)+
IF(ROUND(H$11,0)&gt;=37,OFFSET(EM!$B$17,ROW($A30)-ROW($A$26)+(ROW(EM!$C$46)-ROW(EM!$C$14))*(MATCH(H$22,EM!$B$6:$B$9,0)-1),MIN(H$23-EM!$B$16+36,EM!$AF$16-EM!$B$16)),0)+
IF(ROUND(H$11,0)&gt;=38,OFFSET(EM!$B$17,ROW($A30)-ROW($A$26)+(ROW(EM!$C$46)-ROW(EM!$C$14))*(MATCH(H$22,EM!$B$6:$B$9,0)-1),MIN(H$23-EM!$B$16+37,EM!$AF$16-EM!$B$16)),0)+
IF(ROUND(H$11,0)&gt;=39,OFFSET(EM!$B$17,ROW($A30)-ROW($A$26)+(ROW(EM!$C$46)-ROW(EM!$C$14))*(MATCH(H$22,EM!$B$6:$B$9,0)-1),MIN(H$23-EM!$B$16+38,EM!$AF$16-EM!$B$16)),0)+
IF(ROUND(H$11,0)&gt;=40,OFFSET(EM!$B$17,ROW($A30)-ROW($A$26)+(ROW(EM!$C$46)-ROW(EM!$C$14))*(MATCH(H$22,EM!$B$6:$B$9,0)-1),MIN(H$23-EM!$B$16+39,EM!$AF$16-EM!$B$16)),0)
)/ROUND(H$11,0),NA()))</f>
        <v>1.7504398632274241E-2</v>
      </c>
      <c r="I30" s="2046">
        <f ca="1">IF(I$19=GPG!$A$28,IF(ROW(I30)-ROW(I$26)+1=MATCH(I$20,GPG!$A$5:$A$11,0),1,0),
IF(I$19=GPG!$A$29,
(IF(ROUND(I$11,0)&gt;=1,OFFSET(EM!$B$17,ROW($A30)-ROW($A$26)+(ROW(EM!$C$46)-ROW(EM!$C$14))*(MATCH(I$22,EM!$B$6:$B$9,0)-1),MIN(I$23-EM!$B$16,EM!$AF$16-EM!$B$16)),0)+
IF(ROUND(I$11,0)&gt;=2,OFFSET(EM!$B$17,ROW($A30)-ROW($A$26)+(ROW(EM!$C$46)-ROW(EM!$C$14))*(MATCH(I$22,EM!$B$6:$B$9,0)-1),MIN(I$23-EM!$B$16+1,EM!$AF$16-EM!$B$16)),0)+
IF(ROUND(I$11,0)&gt;=3,OFFSET(EM!$B$17,ROW($A30)-ROW($A$26)+(ROW(EM!$C$46)-ROW(EM!$C$14))*(MATCH(I$22,EM!$B$6:$B$9,0)-1),MIN(I$23-EM!$B$16+2,EM!$AF$16-EM!$B$16)),0)+
IF(ROUND(I$11,0)&gt;=4,OFFSET(EM!$B$17,ROW($A30)-ROW($A$26)+(ROW(EM!$C$46)-ROW(EM!$C$14))*(MATCH(I$22,EM!$B$6:$B$9,0)-1),MIN(I$23-EM!$B$16+3,EM!$AF$16-EM!$B$16)),0)+
IF(ROUND(I$11,0)&gt;=5,OFFSET(EM!$B$17,ROW($A30)-ROW($A$26)+(ROW(EM!$C$46)-ROW(EM!$C$14))*(MATCH(I$22,EM!$B$6:$B$9,0)-1),MIN(I$23-EM!$B$16+4,EM!$AF$16-EM!$B$16)),0)+
IF(ROUND(I$11,0)&gt;=6,OFFSET(EM!$B$17,ROW($A30)-ROW($A$26)+(ROW(EM!$C$46)-ROW(EM!$C$14))*(MATCH(I$22,EM!$B$6:$B$9,0)-1),MIN(I$23-EM!$B$16+5,EM!$AF$16-EM!$B$16)),0)+
IF(ROUND(I$11,0)&gt;=7,OFFSET(EM!$B$17,ROW($A30)-ROW($A$26)+(ROW(EM!$C$46)-ROW(EM!$C$14))*(MATCH(I$22,EM!$B$6:$B$9,0)-1),MIN(I$23-EM!$B$16+6,EM!$AF$16-EM!$B$16)),0)+
IF(ROUND(I$11,0)&gt;=8,OFFSET(EM!$B$17,ROW($A30)-ROW($A$26)+(ROW(EM!$C$46)-ROW(EM!$C$14))*(MATCH(I$22,EM!$B$6:$B$9,0)-1),MIN(I$23-EM!$B$16+7,EM!$AF$16-EM!$B$16)),0)+
IF(ROUND(I$11,0)&gt;=9,OFFSET(EM!$B$17,ROW($A30)-ROW($A$26)+(ROW(EM!$C$46)-ROW(EM!$C$14))*(MATCH(I$22,EM!$B$6:$B$9,0)-1),MIN(I$23-EM!$B$16+8,EM!$AF$16-EM!$B$16)),0)+
IF(ROUND(I$11,0)&gt;=10,OFFSET(EM!$B$17,ROW($A30)-ROW($A$26)+(ROW(EM!$C$46)-ROW(EM!$C$14))*(MATCH(I$22,EM!$B$6:$B$9,0)-1),MIN(I$23-EM!$B$16+9,EM!$AF$16-EM!$B$16)),0)+
IF(ROUND(I$11,0)&gt;=11,OFFSET(EM!$B$17,ROW($A30)-ROW($A$26)+(ROW(EM!$C$46)-ROW(EM!$C$14))*(MATCH(I$22,EM!$B$6:$B$9,0)-1),MIN(I$23-EM!$B$16+10,EM!$AF$16-EM!$B$16)),0)+
IF(ROUND(I$11,0)&gt;=12,OFFSET(EM!$B$17,ROW($A30)-ROW($A$26)+(ROW(EM!$C$46)-ROW(EM!$C$14))*(MATCH(I$22,EM!$B$6:$B$9,0)-1),MIN(I$23-EM!$B$16+11,EM!$AF$16-EM!$B$16)),0)+
IF(ROUND(I$11,0)&gt;=13,OFFSET(EM!$B$17,ROW($A30)-ROW($A$26)+(ROW(EM!$C$46)-ROW(EM!$C$14))*(MATCH(I$22,EM!$B$6:$B$9,0)-1),MIN(I$23-EM!$B$16+12,EM!$AF$16-EM!$B$16)),0)+
IF(ROUND(I$11,0)&gt;=14,OFFSET(EM!$B$17,ROW($A30)-ROW($A$26)+(ROW(EM!$C$46)-ROW(EM!$C$14))*(MATCH(I$22,EM!$B$6:$B$9,0)-1),MIN(I$23-EM!$B$16+13,EM!$AF$16-EM!$B$16)),0)+
IF(ROUND(I$11,0)&gt;=15,OFFSET(EM!$B$17,ROW($A30)-ROW($A$26)+(ROW(EM!$C$46)-ROW(EM!$C$14))*(MATCH(I$22,EM!$B$6:$B$9,0)-1),MIN(I$23-EM!$B$16+14,EM!$AF$16-EM!$B$16)),0)+
IF(ROUND(I$11,0)&gt;=16,OFFSET(EM!$B$17,ROW($A30)-ROW($A$26)+(ROW(EM!$C$46)-ROW(EM!$C$14))*(MATCH(I$22,EM!$B$6:$B$9,0)-1),MIN(I$23-EM!$B$16+15,EM!$AF$16-EM!$B$16)),0)+
IF(ROUND(I$11,0)&gt;=17,OFFSET(EM!$B$17,ROW($A30)-ROW($A$26)+(ROW(EM!$C$46)-ROW(EM!$C$14))*(MATCH(I$22,EM!$B$6:$B$9,0)-1),MIN(I$23-EM!$B$16+16,EM!$AF$16-EM!$B$16)),0)+
IF(ROUND(I$11,0)&gt;=18,OFFSET(EM!$B$17,ROW($A30)-ROW($A$26)+(ROW(EM!$C$46)-ROW(EM!$C$14))*(MATCH(I$22,EM!$B$6:$B$9,0)-1),MIN(I$23-EM!$B$16+17,EM!$AF$16-EM!$B$16)),0)+
IF(ROUND(I$11,0)&gt;=19,OFFSET(EM!$B$17,ROW($A30)-ROW($A$26)+(ROW(EM!$C$46)-ROW(EM!$C$14))*(MATCH(I$22,EM!$B$6:$B$9,0)-1),MIN(I$23-EM!$B$16+18,EM!$AF$16-EM!$B$16)),0)+
IF(ROUND(I$11,0)&gt;=20,OFFSET(EM!$B$17,ROW($A30)-ROW($A$26)+(ROW(EM!$C$46)-ROW(EM!$C$14))*(MATCH(I$22,EM!$B$6:$B$9,0)-1),MIN(I$23-EM!$B$16+19,EM!$AF$16-EM!$B$16)),0)+
IF(ROUND(I$11,0)&gt;=21,OFFSET(EM!$B$17,ROW($A30)-ROW($A$26)+(ROW(EM!$C$46)-ROW(EM!$C$14))*(MATCH(I$22,EM!$B$6:$B$9,0)-1),MIN(I$23-EM!$B$16+20,EM!$AF$16-EM!$B$16)),0)+
IF(ROUND(I$11,0)&gt;=22,OFFSET(EM!$B$17,ROW($A30)-ROW($A$26)+(ROW(EM!$C$46)-ROW(EM!$C$14))*(MATCH(I$22,EM!$B$6:$B$9,0)-1),MIN(I$23-EM!$B$16+21,EM!$AF$16-EM!$B$16)),0)+
IF(ROUND(I$11,0)&gt;=23,OFFSET(EM!$B$17,ROW($A30)-ROW($A$26)+(ROW(EM!$C$46)-ROW(EM!$C$14))*(MATCH(I$22,EM!$B$6:$B$9,0)-1),MIN(I$23-EM!$B$16+22,EM!$AF$16-EM!$B$16)),0)+
IF(ROUND(I$11,0)&gt;=24,OFFSET(EM!$B$17,ROW($A30)-ROW($A$26)+(ROW(EM!$C$46)-ROW(EM!$C$14))*(MATCH(I$22,EM!$B$6:$B$9,0)-1),MIN(I$23-EM!$B$16+23,EM!$AF$16-EM!$B$16)),0)+
IF(ROUND(I$11,0)&gt;=25,OFFSET(EM!$B$17,ROW($A30)-ROW($A$26)+(ROW(EM!$C$46)-ROW(EM!$C$14))*(MATCH(I$22,EM!$B$6:$B$9,0)-1),MIN(I$23-EM!$B$16+24,EM!$AF$16-EM!$B$16)),0)+
IF(ROUND(I$11,0)&gt;=26,OFFSET(EM!$B$17,ROW($A30)-ROW($A$26)+(ROW(EM!$C$46)-ROW(EM!$C$14))*(MATCH(I$22,EM!$B$6:$B$9,0)-1),MIN(I$23-EM!$B$16+25,EM!$AF$16-EM!$B$16)),0)+
IF(ROUND(I$11,0)&gt;=27,OFFSET(EM!$B$17,ROW($A30)-ROW($A$26)+(ROW(EM!$C$46)-ROW(EM!$C$14))*(MATCH(I$22,EM!$B$6:$B$9,0)-1),MIN(I$23-EM!$B$16+26,EM!$AF$16-EM!$B$16)),0)+
IF(ROUND(I$11,0)&gt;=28,OFFSET(EM!$B$17,ROW($A30)-ROW($A$26)+(ROW(EM!$C$46)-ROW(EM!$C$14))*(MATCH(I$22,EM!$B$6:$B$9,0)-1),MIN(I$23-EM!$B$16+27,EM!$AF$16-EM!$B$16)),0)+
IF(ROUND(I$11,0)&gt;=29,OFFSET(EM!$B$17,ROW($A30)-ROW($A$26)+(ROW(EM!$C$46)-ROW(EM!$C$14))*(MATCH(I$22,EM!$B$6:$B$9,0)-1),MIN(I$23-EM!$B$16+28,EM!$AF$16-EM!$B$16)),0)+
IF(ROUND(I$11,0)&gt;=30,OFFSET(EM!$B$17,ROW($A30)-ROW($A$26)+(ROW(EM!$C$46)-ROW(EM!$C$14))*(MATCH(I$22,EM!$B$6:$B$9,0)-1),MIN(I$23-EM!$B$16+29,EM!$AF$16-EM!$B$16)),0)+
IF(ROUND(I$11,0)&gt;=31,OFFSET(EM!$B$17,ROW($A30)-ROW($A$26)+(ROW(EM!$C$46)-ROW(EM!$C$14))*(MATCH(I$22,EM!$B$6:$B$9,0)-1),MIN(I$23-EM!$B$16+30,EM!$AF$16-EM!$B$16)),0)+
IF(ROUND(I$11,0)&gt;=32,OFFSET(EM!$B$17,ROW($A30)-ROW($A$26)+(ROW(EM!$C$46)-ROW(EM!$C$14))*(MATCH(I$22,EM!$B$6:$B$9,0)-1),MIN(I$23-EM!$B$16+31,EM!$AF$16-EM!$B$16)),0)+
IF(ROUND(I$11,0)&gt;=33,OFFSET(EM!$B$17,ROW($A30)-ROW($A$26)+(ROW(EM!$C$46)-ROW(EM!$C$14))*(MATCH(I$22,EM!$B$6:$B$9,0)-1),MIN(I$23-EM!$B$16+32,EM!$AF$16-EM!$B$16)),0)+
IF(ROUND(I$11,0)&gt;=34,OFFSET(EM!$B$17,ROW($A30)-ROW($A$26)+(ROW(EM!$C$46)-ROW(EM!$C$14))*(MATCH(I$22,EM!$B$6:$B$9,0)-1),MIN(I$23-EM!$B$16+33,EM!$AF$16-EM!$B$16)),0)+
IF(ROUND(I$11,0)&gt;=35,OFFSET(EM!$B$17,ROW($A30)-ROW($A$26)+(ROW(EM!$C$46)-ROW(EM!$C$14))*(MATCH(I$22,EM!$B$6:$B$9,0)-1),MIN(I$23-EM!$B$16+34,EM!$AF$16-EM!$B$16)),0)+
IF(ROUND(I$11,0)&gt;=36,OFFSET(EM!$B$17,ROW($A30)-ROW($A$26)+(ROW(EM!$C$46)-ROW(EM!$C$14))*(MATCH(I$22,EM!$B$6:$B$9,0)-1),MIN(I$23-EM!$B$16+35,EM!$AF$16-EM!$B$16)),0)+
IF(ROUND(I$11,0)&gt;=37,OFFSET(EM!$B$17,ROW($A30)-ROW($A$26)+(ROW(EM!$C$46)-ROW(EM!$C$14))*(MATCH(I$22,EM!$B$6:$B$9,0)-1),MIN(I$23-EM!$B$16+36,EM!$AF$16-EM!$B$16)),0)+
IF(ROUND(I$11,0)&gt;=38,OFFSET(EM!$B$17,ROW($A30)-ROW($A$26)+(ROW(EM!$C$46)-ROW(EM!$C$14))*(MATCH(I$22,EM!$B$6:$B$9,0)-1),MIN(I$23-EM!$B$16+37,EM!$AF$16-EM!$B$16)),0)+
IF(ROUND(I$11,0)&gt;=39,OFFSET(EM!$B$17,ROW($A30)-ROW($A$26)+(ROW(EM!$C$46)-ROW(EM!$C$14))*(MATCH(I$22,EM!$B$6:$B$9,0)-1),MIN(I$23-EM!$B$16+38,EM!$AF$16-EM!$B$16)),0)+
IF(ROUND(I$11,0)&gt;=40,OFFSET(EM!$B$17,ROW($A30)-ROW($A$26)+(ROW(EM!$C$46)-ROW(EM!$C$14))*(MATCH(I$22,EM!$B$6:$B$9,0)-1),MIN(I$23-EM!$B$16+39,EM!$AF$16-EM!$B$16)),0)
)/ROUND(I$11,0),NA()))</f>
        <v>1.6543364408074603E-2</v>
      </c>
      <c r="J30" s="2046">
        <f ca="1">IF(J$19=GPG!$A$28,IF(ROW(J30)-ROW(J$26)+1=MATCH(J$20,GPG!$A$5:$A$11,0),1,0),
IF(J$19=GPG!$A$29,
(IF(ROUND(J$11,0)&gt;=1,OFFSET(EM!$B$17,ROW($A30)-ROW($A$26)+(ROW(EM!$C$46)-ROW(EM!$C$14))*(MATCH(J$22,EM!$B$6:$B$9,0)-1),MIN(J$23-EM!$B$16,EM!$AF$16-EM!$B$16)),0)+
IF(ROUND(J$11,0)&gt;=2,OFFSET(EM!$B$17,ROW($A30)-ROW($A$26)+(ROW(EM!$C$46)-ROW(EM!$C$14))*(MATCH(J$22,EM!$B$6:$B$9,0)-1),MIN(J$23-EM!$B$16+1,EM!$AF$16-EM!$B$16)),0)+
IF(ROUND(J$11,0)&gt;=3,OFFSET(EM!$B$17,ROW($A30)-ROW($A$26)+(ROW(EM!$C$46)-ROW(EM!$C$14))*(MATCH(J$22,EM!$B$6:$B$9,0)-1),MIN(J$23-EM!$B$16+2,EM!$AF$16-EM!$B$16)),0)+
IF(ROUND(J$11,0)&gt;=4,OFFSET(EM!$B$17,ROW($A30)-ROW($A$26)+(ROW(EM!$C$46)-ROW(EM!$C$14))*(MATCH(J$22,EM!$B$6:$B$9,0)-1),MIN(J$23-EM!$B$16+3,EM!$AF$16-EM!$B$16)),0)+
IF(ROUND(J$11,0)&gt;=5,OFFSET(EM!$B$17,ROW($A30)-ROW($A$26)+(ROW(EM!$C$46)-ROW(EM!$C$14))*(MATCH(J$22,EM!$B$6:$B$9,0)-1),MIN(J$23-EM!$B$16+4,EM!$AF$16-EM!$B$16)),0)+
IF(ROUND(J$11,0)&gt;=6,OFFSET(EM!$B$17,ROW($A30)-ROW($A$26)+(ROW(EM!$C$46)-ROW(EM!$C$14))*(MATCH(J$22,EM!$B$6:$B$9,0)-1),MIN(J$23-EM!$B$16+5,EM!$AF$16-EM!$B$16)),0)+
IF(ROUND(J$11,0)&gt;=7,OFFSET(EM!$B$17,ROW($A30)-ROW($A$26)+(ROW(EM!$C$46)-ROW(EM!$C$14))*(MATCH(J$22,EM!$B$6:$B$9,0)-1),MIN(J$23-EM!$B$16+6,EM!$AF$16-EM!$B$16)),0)+
IF(ROUND(J$11,0)&gt;=8,OFFSET(EM!$B$17,ROW($A30)-ROW($A$26)+(ROW(EM!$C$46)-ROW(EM!$C$14))*(MATCH(J$22,EM!$B$6:$B$9,0)-1),MIN(J$23-EM!$B$16+7,EM!$AF$16-EM!$B$16)),0)+
IF(ROUND(J$11,0)&gt;=9,OFFSET(EM!$B$17,ROW($A30)-ROW($A$26)+(ROW(EM!$C$46)-ROW(EM!$C$14))*(MATCH(J$22,EM!$B$6:$B$9,0)-1),MIN(J$23-EM!$B$16+8,EM!$AF$16-EM!$B$16)),0)+
IF(ROUND(J$11,0)&gt;=10,OFFSET(EM!$B$17,ROW($A30)-ROW($A$26)+(ROW(EM!$C$46)-ROW(EM!$C$14))*(MATCH(J$22,EM!$B$6:$B$9,0)-1),MIN(J$23-EM!$B$16+9,EM!$AF$16-EM!$B$16)),0)+
IF(ROUND(J$11,0)&gt;=11,OFFSET(EM!$B$17,ROW($A30)-ROW($A$26)+(ROW(EM!$C$46)-ROW(EM!$C$14))*(MATCH(J$22,EM!$B$6:$B$9,0)-1),MIN(J$23-EM!$B$16+10,EM!$AF$16-EM!$B$16)),0)+
IF(ROUND(J$11,0)&gt;=12,OFFSET(EM!$B$17,ROW($A30)-ROW($A$26)+(ROW(EM!$C$46)-ROW(EM!$C$14))*(MATCH(J$22,EM!$B$6:$B$9,0)-1),MIN(J$23-EM!$B$16+11,EM!$AF$16-EM!$B$16)),0)+
IF(ROUND(J$11,0)&gt;=13,OFFSET(EM!$B$17,ROW($A30)-ROW($A$26)+(ROW(EM!$C$46)-ROW(EM!$C$14))*(MATCH(J$22,EM!$B$6:$B$9,0)-1),MIN(J$23-EM!$B$16+12,EM!$AF$16-EM!$B$16)),0)+
IF(ROUND(J$11,0)&gt;=14,OFFSET(EM!$B$17,ROW($A30)-ROW($A$26)+(ROW(EM!$C$46)-ROW(EM!$C$14))*(MATCH(J$22,EM!$B$6:$B$9,0)-1),MIN(J$23-EM!$B$16+13,EM!$AF$16-EM!$B$16)),0)+
IF(ROUND(J$11,0)&gt;=15,OFFSET(EM!$B$17,ROW($A30)-ROW($A$26)+(ROW(EM!$C$46)-ROW(EM!$C$14))*(MATCH(J$22,EM!$B$6:$B$9,0)-1),MIN(J$23-EM!$B$16+14,EM!$AF$16-EM!$B$16)),0)+
IF(ROUND(J$11,0)&gt;=16,OFFSET(EM!$B$17,ROW($A30)-ROW($A$26)+(ROW(EM!$C$46)-ROW(EM!$C$14))*(MATCH(J$22,EM!$B$6:$B$9,0)-1),MIN(J$23-EM!$B$16+15,EM!$AF$16-EM!$B$16)),0)+
IF(ROUND(J$11,0)&gt;=17,OFFSET(EM!$B$17,ROW($A30)-ROW($A$26)+(ROW(EM!$C$46)-ROW(EM!$C$14))*(MATCH(J$22,EM!$B$6:$B$9,0)-1),MIN(J$23-EM!$B$16+16,EM!$AF$16-EM!$B$16)),0)+
IF(ROUND(J$11,0)&gt;=18,OFFSET(EM!$B$17,ROW($A30)-ROW($A$26)+(ROW(EM!$C$46)-ROW(EM!$C$14))*(MATCH(J$22,EM!$B$6:$B$9,0)-1),MIN(J$23-EM!$B$16+17,EM!$AF$16-EM!$B$16)),0)+
IF(ROUND(J$11,0)&gt;=19,OFFSET(EM!$B$17,ROW($A30)-ROW($A$26)+(ROW(EM!$C$46)-ROW(EM!$C$14))*(MATCH(J$22,EM!$B$6:$B$9,0)-1),MIN(J$23-EM!$B$16+18,EM!$AF$16-EM!$B$16)),0)+
IF(ROUND(J$11,0)&gt;=20,OFFSET(EM!$B$17,ROW($A30)-ROW($A$26)+(ROW(EM!$C$46)-ROW(EM!$C$14))*(MATCH(J$22,EM!$B$6:$B$9,0)-1),MIN(J$23-EM!$B$16+19,EM!$AF$16-EM!$B$16)),0)+
IF(ROUND(J$11,0)&gt;=21,OFFSET(EM!$B$17,ROW($A30)-ROW($A$26)+(ROW(EM!$C$46)-ROW(EM!$C$14))*(MATCH(J$22,EM!$B$6:$B$9,0)-1),MIN(J$23-EM!$B$16+20,EM!$AF$16-EM!$B$16)),0)+
IF(ROUND(J$11,0)&gt;=22,OFFSET(EM!$B$17,ROW($A30)-ROW($A$26)+(ROW(EM!$C$46)-ROW(EM!$C$14))*(MATCH(J$22,EM!$B$6:$B$9,0)-1),MIN(J$23-EM!$B$16+21,EM!$AF$16-EM!$B$16)),0)+
IF(ROUND(J$11,0)&gt;=23,OFFSET(EM!$B$17,ROW($A30)-ROW($A$26)+(ROW(EM!$C$46)-ROW(EM!$C$14))*(MATCH(J$22,EM!$B$6:$B$9,0)-1),MIN(J$23-EM!$B$16+22,EM!$AF$16-EM!$B$16)),0)+
IF(ROUND(J$11,0)&gt;=24,OFFSET(EM!$B$17,ROW($A30)-ROW($A$26)+(ROW(EM!$C$46)-ROW(EM!$C$14))*(MATCH(J$22,EM!$B$6:$B$9,0)-1),MIN(J$23-EM!$B$16+23,EM!$AF$16-EM!$B$16)),0)+
IF(ROUND(J$11,0)&gt;=25,OFFSET(EM!$B$17,ROW($A30)-ROW($A$26)+(ROW(EM!$C$46)-ROW(EM!$C$14))*(MATCH(J$22,EM!$B$6:$B$9,0)-1),MIN(J$23-EM!$B$16+24,EM!$AF$16-EM!$B$16)),0)+
IF(ROUND(J$11,0)&gt;=26,OFFSET(EM!$B$17,ROW($A30)-ROW($A$26)+(ROW(EM!$C$46)-ROW(EM!$C$14))*(MATCH(J$22,EM!$B$6:$B$9,0)-1),MIN(J$23-EM!$B$16+25,EM!$AF$16-EM!$B$16)),0)+
IF(ROUND(J$11,0)&gt;=27,OFFSET(EM!$B$17,ROW($A30)-ROW($A$26)+(ROW(EM!$C$46)-ROW(EM!$C$14))*(MATCH(J$22,EM!$B$6:$B$9,0)-1),MIN(J$23-EM!$B$16+26,EM!$AF$16-EM!$B$16)),0)+
IF(ROUND(J$11,0)&gt;=28,OFFSET(EM!$B$17,ROW($A30)-ROW($A$26)+(ROW(EM!$C$46)-ROW(EM!$C$14))*(MATCH(J$22,EM!$B$6:$B$9,0)-1),MIN(J$23-EM!$B$16+27,EM!$AF$16-EM!$B$16)),0)+
IF(ROUND(J$11,0)&gt;=29,OFFSET(EM!$B$17,ROW($A30)-ROW($A$26)+(ROW(EM!$C$46)-ROW(EM!$C$14))*(MATCH(J$22,EM!$B$6:$B$9,0)-1),MIN(J$23-EM!$B$16+28,EM!$AF$16-EM!$B$16)),0)+
IF(ROUND(J$11,0)&gt;=30,OFFSET(EM!$B$17,ROW($A30)-ROW($A$26)+(ROW(EM!$C$46)-ROW(EM!$C$14))*(MATCH(J$22,EM!$B$6:$B$9,0)-1),MIN(J$23-EM!$B$16+29,EM!$AF$16-EM!$B$16)),0)+
IF(ROUND(J$11,0)&gt;=31,OFFSET(EM!$B$17,ROW($A30)-ROW($A$26)+(ROW(EM!$C$46)-ROW(EM!$C$14))*(MATCH(J$22,EM!$B$6:$B$9,0)-1),MIN(J$23-EM!$B$16+30,EM!$AF$16-EM!$B$16)),0)+
IF(ROUND(J$11,0)&gt;=32,OFFSET(EM!$B$17,ROW($A30)-ROW($A$26)+(ROW(EM!$C$46)-ROW(EM!$C$14))*(MATCH(J$22,EM!$B$6:$B$9,0)-1),MIN(J$23-EM!$B$16+31,EM!$AF$16-EM!$B$16)),0)+
IF(ROUND(J$11,0)&gt;=33,OFFSET(EM!$B$17,ROW($A30)-ROW($A$26)+(ROW(EM!$C$46)-ROW(EM!$C$14))*(MATCH(J$22,EM!$B$6:$B$9,0)-1),MIN(J$23-EM!$B$16+32,EM!$AF$16-EM!$B$16)),0)+
IF(ROUND(J$11,0)&gt;=34,OFFSET(EM!$B$17,ROW($A30)-ROW($A$26)+(ROW(EM!$C$46)-ROW(EM!$C$14))*(MATCH(J$22,EM!$B$6:$B$9,0)-1),MIN(J$23-EM!$B$16+33,EM!$AF$16-EM!$B$16)),0)+
IF(ROUND(J$11,0)&gt;=35,OFFSET(EM!$B$17,ROW($A30)-ROW($A$26)+(ROW(EM!$C$46)-ROW(EM!$C$14))*(MATCH(J$22,EM!$B$6:$B$9,0)-1),MIN(J$23-EM!$B$16+34,EM!$AF$16-EM!$B$16)),0)+
IF(ROUND(J$11,0)&gt;=36,OFFSET(EM!$B$17,ROW($A30)-ROW($A$26)+(ROW(EM!$C$46)-ROW(EM!$C$14))*(MATCH(J$22,EM!$B$6:$B$9,0)-1),MIN(J$23-EM!$B$16+35,EM!$AF$16-EM!$B$16)),0)+
IF(ROUND(J$11,0)&gt;=37,OFFSET(EM!$B$17,ROW($A30)-ROW($A$26)+(ROW(EM!$C$46)-ROW(EM!$C$14))*(MATCH(J$22,EM!$B$6:$B$9,0)-1),MIN(J$23-EM!$B$16+36,EM!$AF$16-EM!$B$16)),0)+
IF(ROUND(J$11,0)&gt;=38,OFFSET(EM!$B$17,ROW($A30)-ROW($A$26)+(ROW(EM!$C$46)-ROW(EM!$C$14))*(MATCH(J$22,EM!$B$6:$B$9,0)-1),MIN(J$23-EM!$B$16+37,EM!$AF$16-EM!$B$16)),0)+
IF(ROUND(J$11,0)&gt;=39,OFFSET(EM!$B$17,ROW($A30)-ROW($A$26)+(ROW(EM!$C$46)-ROW(EM!$C$14))*(MATCH(J$22,EM!$B$6:$B$9,0)-1),MIN(J$23-EM!$B$16+38,EM!$AF$16-EM!$B$16)),0)+
IF(ROUND(J$11,0)&gt;=40,OFFSET(EM!$B$17,ROW($A30)-ROW($A$26)+(ROW(EM!$C$46)-ROW(EM!$C$14))*(MATCH(J$22,EM!$B$6:$B$9,0)-1),MIN(J$23-EM!$B$16+39,EM!$AF$16-EM!$B$16)),0)
)/ROUND(J$11,0),NA()))</f>
        <v>1.7504398632274241E-2</v>
      </c>
      <c r="K30" s="2046">
        <f ca="1">IF(K$19=GPG!$A$28,IF(ROW(K30)-ROW(K$26)+1=MATCH(K$20,GPG!$A$5:$A$11,0),1,0),
IF(K$19=GPG!$A$29,
(IF(ROUND(K$11,0)&gt;=1,OFFSET(EM!$B$17,ROW($A30)-ROW($A$26)+(ROW(EM!$C$46)-ROW(EM!$C$14))*(MATCH(K$22,EM!$B$6:$B$9,0)-1),MIN(K$23-EM!$B$16,EM!$AF$16-EM!$B$16)),0)+
IF(ROUND(K$11,0)&gt;=2,OFFSET(EM!$B$17,ROW($A30)-ROW($A$26)+(ROW(EM!$C$46)-ROW(EM!$C$14))*(MATCH(K$22,EM!$B$6:$B$9,0)-1),MIN(K$23-EM!$B$16+1,EM!$AF$16-EM!$B$16)),0)+
IF(ROUND(K$11,0)&gt;=3,OFFSET(EM!$B$17,ROW($A30)-ROW($A$26)+(ROW(EM!$C$46)-ROW(EM!$C$14))*(MATCH(K$22,EM!$B$6:$B$9,0)-1),MIN(K$23-EM!$B$16+2,EM!$AF$16-EM!$B$16)),0)+
IF(ROUND(K$11,0)&gt;=4,OFFSET(EM!$B$17,ROW($A30)-ROW($A$26)+(ROW(EM!$C$46)-ROW(EM!$C$14))*(MATCH(K$22,EM!$B$6:$B$9,0)-1),MIN(K$23-EM!$B$16+3,EM!$AF$16-EM!$B$16)),0)+
IF(ROUND(K$11,0)&gt;=5,OFFSET(EM!$B$17,ROW($A30)-ROW($A$26)+(ROW(EM!$C$46)-ROW(EM!$C$14))*(MATCH(K$22,EM!$B$6:$B$9,0)-1),MIN(K$23-EM!$B$16+4,EM!$AF$16-EM!$B$16)),0)+
IF(ROUND(K$11,0)&gt;=6,OFFSET(EM!$B$17,ROW($A30)-ROW($A$26)+(ROW(EM!$C$46)-ROW(EM!$C$14))*(MATCH(K$22,EM!$B$6:$B$9,0)-1),MIN(K$23-EM!$B$16+5,EM!$AF$16-EM!$B$16)),0)+
IF(ROUND(K$11,0)&gt;=7,OFFSET(EM!$B$17,ROW($A30)-ROW($A$26)+(ROW(EM!$C$46)-ROW(EM!$C$14))*(MATCH(K$22,EM!$B$6:$B$9,0)-1),MIN(K$23-EM!$B$16+6,EM!$AF$16-EM!$B$16)),0)+
IF(ROUND(K$11,0)&gt;=8,OFFSET(EM!$B$17,ROW($A30)-ROW($A$26)+(ROW(EM!$C$46)-ROW(EM!$C$14))*(MATCH(K$22,EM!$B$6:$B$9,0)-1),MIN(K$23-EM!$B$16+7,EM!$AF$16-EM!$B$16)),0)+
IF(ROUND(K$11,0)&gt;=9,OFFSET(EM!$B$17,ROW($A30)-ROW($A$26)+(ROW(EM!$C$46)-ROW(EM!$C$14))*(MATCH(K$22,EM!$B$6:$B$9,0)-1),MIN(K$23-EM!$B$16+8,EM!$AF$16-EM!$B$16)),0)+
IF(ROUND(K$11,0)&gt;=10,OFFSET(EM!$B$17,ROW($A30)-ROW($A$26)+(ROW(EM!$C$46)-ROW(EM!$C$14))*(MATCH(K$22,EM!$B$6:$B$9,0)-1),MIN(K$23-EM!$B$16+9,EM!$AF$16-EM!$B$16)),0)+
IF(ROUND(K$11,0)&gt;=11,OFFSET(EM!$B$17,ROW($A30)-ROW($A$26)+(ROW(EM!$C$46)-ROW(EM!$C$14))*(MATCH(K$22,EM!$B$6:$B$9,0)-1),MIN(K$23-EM!$B$16+10,EM!$AF$16-EM!$B$16)),0)+
IF(ROUND(K$11,0)&gt;=12,OFFSET(EM!$B$17,ROW($A30)-ROW($A$26)+(ROW(EM!$C$46)-ROW(EM!$C$14))*(MATCH(K$22,EM!$B$6:$B$9,0)-1),MIN(K$23-EM!$B$16+11,EM!$AF$16-EM!$B$16)),0)+
IF(ROUND(K$11,0)&gt;=13,OFFSET(EM!$B$17,ROW($A30)-ROW($A$26)+(ROW(EM!$C$46)-ROW(EM!$C$14))*(MATCH(K$22,EM!$B$6:$B$9,0)-1),MIN(K$23-EM!$B$16+12,EM!$AF$16-EM!$B$16)),0)+
IF(ROUND(K$11,0)&gt;=14,OFFSET(EM!$B$17,ROW($A30)-ROW($A$26)+(ROW(EM!$C$46)-ROW(EM!$C$14))*(MATCH(K$22,EM!$B$6:$B$9,0)-1),MIN(K$23-EM!$B$16+13,EM!$AF$16-EM!$B$16)),0)+
IF(ROUND(K$11,0)&gt;=15,OFFSET(EM!$B$17,ROW($A30)-ROW($A$26)+(ROW(EM!$C$46)-ROW(EM!$C$14))*(MATCH(K$22,EM!$B$6:$B$9,0)-1),MIN(K$23-EM!$B$16+14,EM!$AF$16-EM!$B$16)),0)+
IF(ROUND(K$11,0)&gt;=16,OFFSET(EM!$B$17,ROW($A30)-ROW($A$26)+(ROW(EM!$C$46)-ROW(EM!$C$14))*(MATCH(K$22,EM!$B$6:$B$9,0)-1),MIN(K$23-EM!$B$16+15,EM!$AF$16-EM!$B$16)),0)+
IF(ROUND(K$11,0)&gt;=17,OFFSET(EM!$B$17,ROW($A30)-ROW($A$26)+(ROW(EM!$C$46)-ROW(EM!$C$14))*(MATCH(K$22,EM!$B$6:$B$9,0)-1),MIN(K$23-EM!$B$16+16,EM!$AF$16-EM!$B$16)),0)+
IF(ROUND(K$11,0)&gt;=18,OFFSET(EM!$B$17,ROW($A30)-ROW($A$26)+(ROW(EM!$C$46)-ROW(EM!$C$14))*(MATCH(K$22,EM!$B$6:$B$9,0)-1),MIN(K$23-EM!$B$16+17,EM!$AF$16-EM!$B$16)),0)+
IF(ROUND(K$11,0)&gt;=19,OFFSET(EM!$B$17,ROW($A30)-ROW($A$26)+(ROW(EM!$C$46)-ROW(EM!$C$14))*(MATCH(K$22,EM!$B$6:$B$9,0)-1),MIN(K$23-EM!$B$16+18,EM!$AF$16-EM!$B$16)),0)+
IF(ROUND(K$11,0)&gt;=20,OFFSET(EM!$B$17,ROW($A30)-ROW($A$26)+(ROW(EM!$C$46)-ROW(EM!$C$14))*(MATCH(K$22,EM!$B$6:$B$9,0)-1),MIN(K$23-EM!$B$16+19,EM!$AF$16-EM!$B$16)),0)+
IF(ROUND(K$11,0)&gt;=21,OFFSET(EM!$B$17,ROW($A30)-ROW($A$26)+(ROW(EM!$C$46)-ROW(EM!$C$14))*(MATCH(K$22,EM!$B$6:$B$9,0)-1),MIN(K$23-EM!$B$16+20,EM!$AF$16-EM!$B$16)),0)+
IF(ROUND(K$11,0)&gt;=22,OFFSET(EM!$B$17,ROW($A30)-ROW($A$26)+(ROW(EM!$C$46)-ROW(EM!$C$14))*(MATCH(K$22,EM!$B$6:$B$9,0)-1),MIN(K$23-EM!$B$16+21,EM!$AF$16-EM!$B$16)),0)+
IF(ROUND(K$11,0)&gt;=23,OFFSET(EM!$B$17,ROW($A30)-ROW($A$26)+(ROW(EM!$C$46)-ROW(EM!$C$14))*(MATCH(K$22,EM!$B$6:$B$9,0)-1),MIN(K$23-EM!$B$16+22,EM!$AF$16-EM!$B$16)),0)+
IF(ROUND(K$11,0)&gt;=24,OFFSET(EM!$B$17,ROW($A30)-ROW($A$26)+(ROW(EM!$C$46)-ROW(EM!$C$14))*(MATCH(K$22,EM!$B$6:$B$9,0)-1),MIN(K$23-EM!$B$16+23,EM!$AF$16-EM!$B$16)),0)+
IF(ROUND(K$11,0)&gt;=25,OFFSET(EM!$B$17,ROW($A30)-ROW($A$26)+(ROW(EM!$C$46)-ROW(EM!$C$14))*(MATCH(K$22,EM!$B$6:$B$9,0)-1),MIN(K$23-EM!$B$16+24,EM!$AF$16-EM!$B$16)),0)+
IF(ROUND(K$11,0)&gt;=26,OFFSET(EM!$B$17,ROW($A30)-ROW($A$26)+(ROW(EM!$C$46)-ROW(EM!$C$14))*(MATCH(K$22,EM!$B$6:$B$9,0)-1),MIN(K$23-EM!$B$16+25,EM!$AF$16-EM!$B$16)),0)+
IF(ROUND(K$11,0)&gt;=27,OFFSET(EM!$B$17,ROW($A30)-ROW($A$26)+(ROW(EM!$C$46)-ROW(EM!$C$14))*(MATCH(K$22,EM!$B$6:$B$9,0)-1),MIN(K$23-EM!$B$16+26,EM!$AF$16-EM!$B$16)),0)+
IF(ROUND(K$11,0)&gt;=28,OFFSET(EM!$B$17,ROW($A30)-ROW($A$26)+(ROW(EM!$C$46)-ROW(EM!$C$14))*(MATCH(K$22,EM!$B$6:$B$9,0)-1),MIN(K$23-EM!$B$16+27,EM!$AF$16-EM!$B$16)),0)+
IF(ROUND(K$11,0)&gt;=29,OFFSET(EM!$B$17,ROW($A30)-ROW($A$26)+(ROW(EM!$C$46)-ROW(EM!$C$14))*(MATCH(K$22,EM!$B$6:$B$9,0)-1),MIN(K$23-EM!$B$16+28,EM!$AF$16-EM!$B$16)),0)+
IF(ROUND(K$11,0)&gt;=30,OFFSET(EM!$B$17,ROW($A30)-ROW($A$26)+(ROW(EM!$C$46)-ROW(EM!$C$14))*(MATCH(K$22,EM!$B$6:$B$9,0)-1),MIN(K$23-EM!$B$16+29,EM!$AF$16-EM!$B$16)),0)+
IF(ROUND(K$11,0)&gt;=31,OFFSET(EM!$B$17,ROW($A30)-ROW($A$26)+(ROW(EM!$C$46)-ROW(EM!$C$14))*(MATCH(K$22,EM!$B$6:$B$9,0)-1),MIN(K$23-EM!$B$16+30,EM!$AF$16-EM!$B$16)),0)+
IF(ROUND(K$11,0)&gt;=32,OFFSET(EM!$B$17,ROW($A30)-ROW($A$26)+(ROW(EM!$C$46)-ROW(EM!$C$14))*(MATCH(K$22,EM!$B$6:$B$9,0)-1),MIN(K$23-EM!$B$16+31,EM!$AF$16-EM!$B$16)),0)+
IF(ROUND(K$11,0)&gt;=33,OFFSET(EM!$B$17,ROW($A30)-ROW($A$26)+(ROW(EM!$C$46)-ROW(EM!$C$14))*(MATCH(K$22,EM!$B$6:$B$9,0)-1),MIN(K$23-EM!$B$16+32,EM!$AF$16-EM!$B$16)),0)+
IF(ROUND(K$11,0)&gt;=34,OFFSET(EM!$B$17,ROW($A30)-ROW($A$26)+(ROW(EM!$C$46)-ROW(EM!$C$14))*(MATCH(K$22,EM!$B$6:$B$9,0)-1),MIN(K$23-EM!$B$16+33,EM!$AF$16-EM!$B$16)),0)+
IF(ROUND(K$11,0)&gt;=35,OFFSET(EM!$B$17,ROW($A30)-ROW($A$26)+(ROW(EM!$C$46)-ROW(EM!$C$14))*(MATCH(K$22,EM!$B$6:$B$9,0)-1),MIN(K$23-EM!$B$16+34,EM!$AF$16-EM!$B$16)),0)+
IF(ROUND(K$11,0)&gt;=36,OFFSET(EM!$B$17,ROW($A30)-ROW($A$26)+(ROW(EM!$C$46)-ROW(EM!$C$14))*(MATCH(K$22,EM!$B$6:$B$9,0)-1),MIN(K$23-EM!$B$16+35,EM!$AF$16-EM!$B$16)),0)+
IF(ROUND(K$11,0)&gt;=37,OFFSET(EM!$B$17,ROW($A30)-ROW($A$26)+(ROW(EM!$C$46)-ROW(EM!$C$14))*(MATCH(K$22,EM!$B$6:$B$9,0)-1),MIN(K$23-EM!$B$16+36,EM!$AF$16-EM!$B$16)),0)+
IF(ROUND(K$11,0)&gt;=38,OFFSET(EM!$B$17,ROW($A30)-ROW($A$26)+(ROW(EM!$C$46)-ROW(EM!$C$14))*(MATCH(K$22,EM!$B$6:$B$9,0)-1),MIN(K$23-EM!$B$16+37,EM!$AF$16-EM!$B$16)),0)+
IF(ROUND(K$11,0)&gt;=39,OFFSET(EM!$B$17,ROW($A30)-ROW($A$26)+(ROW(EM!$C$46)-ROW(EM!$C$14))*(MATCH(K$22,EM!$B$6:$B$9,0)-1),MIN(K$23-EM!$B$16+38,EM!$AF$16-EM!$B$16)),0)+
IF(ROUND(K$11,0)&gt;=40,OFFSET(EM!$B$17,ROW($A30)-ROW($A$26)+(ROW(EM!$C$46)-ROW(EM!$C$14))*(MATCH(K$22,EM!$B$6:$B$9,0)-1),MIN(K$23-EM!$B$16+39,EM!$AF$16-EM!$B$16)),0)
)/ROUND(K$11,0),NA()))</f>
        <v>1.6432135106735187E-2</v>
      </c>
      <c r="L30" s="2046">
        <f ca="1">IF(L$19=GPG!$A$28,IF(ROW(L30)-ROW(L$26)+1=MATCH(L$20,GPG!$A$5:$A$11,0),1,0),
IF(L$19=GPG!$A$29,
(IF(ROUND(L$11,0)&gt;=1,OFFSET(EM!$B$17,ROW($A30)-ROW($A$26)+(ROW(EM!$C$46)-ROW(EM!$C$14))*(MATCH(L$22,EM!$B$6:$B$9,0)-1),MIN(L$23-EM!$B$16,EM!$AF$16-EM!$B$16)),0)+
IF(ROUND(L$11,0)&gt;=2,OFFSET(EM!$B$17,ROW($A30)-ROW($A$26)+(ROW(EM!$C$46)-ROW(EM!$C$14))*(MATCH(L$22,EM!$B$6:$B$9,0)-1),MIN(L$23-EM!$B$16+1,EM!$AF$16-EM!$B$16)),0)+
IF(ROUND(L$11,0)&gt;=3,OFFSET(EM!$B$17,ROW($A30)-ROW($A$26)+(ROW(EM!$C$46)-ROW(EM!$C$14))*(MATCH(L$22,EM!$B$6:$B$9,0)-1),MIN(L$23-EM!$B$16+2,EM!$AF$16-EM!$B$16)),0)+
IF(ROUND(L$11,0)&gt;=4,OFFSET(EM!$B$17,ROW($A30)-ROW($A$26)+(ROW(EM!$C$46)-ROW(EM!$C$14))*(MATCH(L$22,EM!$B$6:$B$9,0)-1),MIN(L$23-EM!$B$16+3,EM!$AF$16-EM!$B$16)),0)+
IF(ROUND(L$11,0)&gt;=5,OFFSET(EM!$B$17,ROW($A30)-ROW($A$26)+(ROW(EM!$C$46)-ROW(EM!$C$14))*(MATCH(L$22,EM!$B$6:$B$9,0)-1),MIN(L$23-EM!$B$16+4,EM!$AF$16-EM!$B$16)),0)+
IF(ROUND(L$11,0)&gt;=6,OFFSET(EM!$B$17,ROW($A30)-ROW($A$26)+(ROW(EM!$C$46)-ROW(EM!$C$14))*(MATCH(L$22,EM!$B$6:$B$9,0)-1),MIN(L$23-EM!$B$16+5,EM!$AF$16-EM!$B$16)),0)+
IF(ROUND(L$11,0)&gt;=7,OFFSET(EM!$B$17,ROW($A30)-ROW($A$26)+(ROW(EM!$C$46)-ROW(EM!$C$14))*(MATCH(L$22,EM!$B$6:$B$9,0)-1),MIN(L$23-EM!$B$16+6,EM!$AF$16-EM!$B$16)),0)+
IF(ROUND(L$11,0)&gt;=8,OFFSET(EM!$B$17,ROW($A30)-ROW($A$26)+(ROW(EM!$C$46)-ROW(EM!$C$14))*(MATCH(L$22,EM!$B$6:$B$9,0)-1),MIN(L$23-EM!$B$16+7,EM!$AF$16-EM!$B$16)),0)+
IF(ROUND(L$11,0)&gt;=9,OFFSET(EM!$B$17,ROW($A30)-ROW($A$26)+(ROW(EM!$C$46)-ROW(EM!$C$14))*(MATCH(L$22,EM!$B$6:$B$9,0)-1),MIN(L$23-EM!$B$16+8,EM!$AF$16-EM!$B$16)),0)+
IF(ROUND(L$11,0)&gt;=10,OFFSET(EM!$B$17,ROW($A30)-ROW($A$26)+(ROW(EM!$C$46)-ROW(EM!$C$14))*(MATCH(L$22,EM!$B$6:$B$9,0)-1),MIN(L$23-EM!$B$16+9,EM!$AF$16-EM!$B$16)),0)+
IF(ROUND(L$11,0)&gt;=11,OFFSET(EM!$B$17,ROW($A30)-ROW($A$26)+(ROW(EM!$C$46)-ROW(EM!$C$14))*(MATCH(L$22,EM!$B$6:$B$9,0)-1),MIN(L$23-EM!$B$16+10,EM!$AF$16-EM!$B$16)),0)+
IF(ROUND(L$11,0)&gt;=12,OFFSET(EM!$B$17,ROW($A30)-ROW($A$26)+(ROW(EM!$C$46)-ROW(EM!$C$14))*(MATCH(L$22,EM!$B$6:$B$9,0)-1),MIN(L$23-EM!$B$16+11,EM!$AF$16-EM!$B$16)),0)+
IF(ROUND(L$11,0)&gt;=13,OFFSET(EM!$B$17,ROW($A30)-ROW($A$26)+(ROW(EM!$C$46)-ROW(EM!$C$14))*(MATCH(L$22,EM!$B$6:$B$9,0)-1),MIN(L$23-EM!$B$16+12,EM!$AF$16-EM!$B$16)),0)+
IF(ROUND(L$11,0)&gt;=14,OFFSET(EM!$B$17,ROW($A30)-ROW($A$26)+(ROW(EM!$C$46)-ROW(EM!$C$14))*(MATCH(L$22,EM!$B$6:$B$9,0)-1),MIN(L$23-EM!$B$16+13,EM!$AF$16-EM!$B$16)),0)+
IF(ROUND(L$11,0)&gt;=15,OFFSET(EM!$B$17,ROW($A30)-ROW($A$26)+(ROW(EM!$C$46)-ROW(EM!$C$14))*(MATCH(L$22,EM!$B$6:$B$9,0)-1),MIN(L$23-EM!$B$16+14,EM!$AF$16-EM!$B$16)),0)+
IF(ROUND(L$11,0)&gt;=16,OFFSET(EM!$B$17,ROW($A30)-ROW($A$26)+(ROW(EM!$C$46)-ROW(EM!$C$14))*(MATCH(L$22,EM!$B$6:$B$9,0)-1),MIN(L$23-EM!$B$16+15,EM!$AF$16-EM!$B$16)),0)+
IF(ROUND(L$11,0)&gt;=17,OFFSET(EM!$B$17,ROW($A30)-ROW($A$26)+(ROW(EM!$C$46)-ROW(EM!$C$14))*(MATCH(L$22,EM!$B$6:$B$9,0)-1),MIN(L$23-EM!$B$16+16,EM!$AF$16-EM!$B$16)),0)+
IF(ROUND(L$11,0)&gt;=18,OFFSET(EM!$B$17,ROW($A30)-ROW($A$26)+(ROW(EM!$C$46)-ROW(EM!$C$14))*(MATCH(L$22,EM!$B$6:$B$9,0)-1),MIN(L$23-EM!$B$16+17,EM!$AF$16-EM!$B$16)),0)+
IF(ROUND(L$11,0)&gt;=19,OFFSET(EM!$B$17,ROW($A30)-ROW($A$26)+(ROW(EM!$C$46)-ROW(EM!$C$14))*(MATCH(L$22,EM!$B$6:$B$9,0)-1),MIN(L$23-EM!$B$16+18,EM!$AF$16-EM!$B$16)),0)+
IF(ROUND(L$11,0)&gt;=20,OFFSET(EM!$B$17,ROW($A30)-ROW($A$26)+(ROW(EM!$C$46)-ROW(EM!$C$14))*(MATCH(L$22,EM!$B$6:$B$9,0)-1),MIN(L$23-EM!$B$16+19,EM!$AF$16-EM!$B$16)),0)+
IF(ROUND(L$11,0)&gt;=21,OFFSET(EM!$B$17,ROW($A30)-ROW($A$26)+(ROW(EM!$C$46)-ROW(EM!$C$14))*(MATCH(L$22,EM!$B$6:$B$9,0)-1),MIN(L$23-EM!$B$16+20,EM!$AF$16-EM!$B$16)),0)+
IF(ROUND(L$11,0)&gt;=22,OFFSET(EM!$B$17,ROW($A30)-ROW($A$26)+(ROW(EM!$C$46)-ROW(EM!$C$14))*(MATCH(L$22,EM!$B$6:$B$9,0)-1),MIN(L$23-EM!$B$16+21,EM!$AF$16-EM!$B$16)),0)+
IF(ROUND(L$11,0)&gt;=23,OFFSET(EM!$B$17,ROW($A30)-ROW($A$26)+(ROW(EM!$C$46)-ROW(EM!$C$14))*(MATCH(L$22,EM!$B$6:$B$9,0)-1),MIN(L$23-EM!$B$16+22,EM!$AF$16-EM!$B$16)),0)+
IF(ROUND(L$11,0)&gt;=24,OFFSET(EM!$B$17,ROW($A30)-ROW($A$26)+(ROW(EM!$C$46)-ROW(EM!$C$14))*(MATCH(L$22,EM!$B$6:$B$9,0)-1),MIN(L$23-EM!$B$16+23,EM!$AF$16-EM!$B$16)),0)+
IF(ROUND(L$11,0)&gt;=25,OFFSET(EM!$B$17,ROW($A30)-ROW($A$26)+(ROW(EM!$C$46)-ROW(EM!$C$14))*(MATCH(L$22,EM!$B$6:$B$9,0)-1),MIN(L$23-EM!$B$16+24,EM!$AF$16-EM!$B$16)),0)+
IF(ROUND(L$11,0)&gt;=26,OFFSET(EM!$B$17,ROW($A30)-ROW($A$26)+(ROW(EM!$C$46)-ROW(EM!$C$14))*(MATCH(L$22,EM!$B$6:$B$9,0)-1),MIN(L$23-EM!$B$16+25,EM!$AF$16-EM!$B$16)),0)+
IF(ROUND(L$11,0)&gt;=27,OFFSET(EM!$B$17,ROW($A30)-ROW($A$26)+(ROW(EM!$C$46)-ROW(EM!$C$14))*(MATCH(L$22,EM!$B$6:$B$9,0)-1),MIN(L$23-EM!$B$16+26,EM!$AF$16-EM!$B$16)),0)+
IF(ROUND(L$11,0)&gt;=28,OFFSET(EM!$B$17,ROW($A30)-ROW($A$26)+(ROW(EM!$C$46)-ROW(EM!$C$14))*(MATCH(L$22,EM!$B$6:$B$9,0)-1),MIN(L$23-EM!$B$16+27,EM!$AF$16-EM!$B$16)),0)+
IF(ROUND(L$11,0)&gt;=29,OFFSET(EM!$B$17,ROW($A30)-ROW($A$26)+(ROW(EM!$C$46)-ROW(EM!$C$14))*(MATCH(L$22,EM!$B$6:$B$9,0)-1),MIN(L$23-EM!$B$16+28,EM!$AF$16-EM!$B$16)),0)+
IF(ROUND(L$11,0)&gt;=30,OFFSET(EM!$B$17,ROW($A30)-ROW($A$26)+(ROW(EM!$C$46)-ROW(EM!$C$14))*(MATCH(L$22,EM!$B$6:$B$9,0)-1),MIN(L$23-EM!$B$16+29,EM!$AF$16-EM!$B$16)),0)+
IF(ROUND(L$11,0)&gt;=31,OFFSET(EM!$B$17,ROW($A30)-ROW($A$26)+(ROW(EM!$C$46)-ROW(EM!$C$14))*(MATCH(L$22,EM!$B$6:$B$9,0)-1),MIN(L$23-EM!$B$16+30,EM!$AF$16-EM!$B$16)),0)+
IF(ROUND(L$11,0)&gt;=32,OFFSET(EM!$B$17,ROW($A30)-ROW($A$26)+(ROW(EM!$C$46)-ROW(EM!$C$14))*(MATCH(L$22,EM!$B$6:$B$9,0)-1),MIN(L$23-EM!$B$16+31,EM!$AF$16-EM!$B$16)),0)+
IF(ROUND(L$11,0)&gt;=33,OFFSET(EM!$B$17,ROW($A30)-ROW($A$26)+(ROW(EM!$C$46)-ROW(EM!$C$14))*(MATCH(L$22,EM!$B$6:$B$9,0)-1),MIN(L$23-EM!$B$16+32,EM!$AF$16-EM!$B$16)),0)+
IF(ROUND(L$11,0)&gt;=34,OFFSET(EM!$B$17,ROW($A30)-ROW($A$26)+(ROW(EM!$C$46)-ROW(EM!$C$14))*(MATCH(L$22,EM!$B$6:$B$9,0)-1),MIN(L$23-EM!$B$16+33,EM!$AF$16-EM!$B$16)),0)+
IF(ROUND(L$11,0)&gt;=35,OFFSET(EM!$B$17,ROW($A30)-ROW($A$26)+(ROW(EM!$C$46)-ROW(EM!$C$14))*(MATCH(L$22,EM!$B$6:$B$9,0)-1),MIN(L$23-EM!$B$16+34,EM!$AF$16-EM!$B$16)),0)+
IF(ROUND(L$11,0)&gt;=36,OFFSET(EM!$B$17,ROW($A30)-ROW($A$26)+(ROW(EM!$C$46)-ROW(EM!$C$14))*(MATCH(L$22,EM!$B$6:$B$9,0)-1),MIN(L$23-EM!$B$16+35,EM!$AF$16-EM!$B$16)),0)+
IF(ROUND(L$11,0)&gt;=37,OFFSET(EM!$B$17,ROW($A30)-ROW($A$26)+(ROW(EM!$C$46)-ROW(EM!$C$14))*(MATCH(L$22,EM!$B$6:$B$9,0)-1),MIN(L$23-EM!$B$16+36,EM!$AF$16-EM!$B$16)),0)+
IF(ROUND(L$11,0)&gt;=38,OFFSET(EM!$B$17,ROW($A30)-ROW($A$26)+(ROW(EM!$C$46)-ROW(EM!$C$14))*(MATCH(L$22,EM!$B$6:$B$9,0)-1),MIN(L$23-EM!$B$16+37,EM!$AF$16-EM!$B$16)),0)+
IF(ROUND(L$11,0)&gt;=39,OFFSET(EM!$B$17,ROW($A30)-ROW($A$26)+(ROW(EM!$C$46)-ROW(EM!$C$14))*(MATCH(L$22,EM!$B$6:$B$9,0)-1),MIN(L$23-EM!$B$16+38,EM!$AF$16-EM!$B$16)),0)+
IF(ROUND(L$11,0)&gt;=40,OFFSET(EM!$B$17,ROW($A30)-ROW($A$26)+(ROW(EM!$C$46)-ROW(EM!$C$14))*(MATCH(L$22,EM!$B$6:$B$9,0)-1),MIN(L$23-EM!$B$16+39,EM!$AF$16-EM!$B$16)),0)
)/ROUND(L$11,0),NA()))</f>
        <v>1.7504398632274241E-2</v>
      </c>
      <c r="M30" s="2046">
        <f ca="1">IF(M$19=GPG!$A$28,IF(ROW(M30)-ROW(M$26)+1=MATCH(M$20,GPG!$A$5:$A$11,0),1,0),
IF(M$19=GPG!$A$29,
(IF(ROUND(M$11,0)&gt;=1,OFFSET(EM!$B$17,ROW($A30)-ROW($A$26)+(ROW(EM!$C$46)-ROW(EM!$C$14))*(MATCH(M$22,EM!$B$6:$B$9,0)-1),MIN(M$23-EM!$B$16,EM!$AF$16-EM!$B$16)),0)+
IF(ROUND(M$11,0)&gt;=2,OFFSET(EM!$B$17,ROW($A30)-ROW($A$26)+(ROW(EM!$C$46)-ROW(EM!$C$14))*(MATCH(M$22,EM!$B$6:$B$9,0)-1),MIN(M$23-EM!$B$16+1,EM!$AF$16-EM!$B$16)),0)+
IF(ROUND(M$11,0)&gt;=3,OFFSET(EM!$B$17,ROW($A30)-ROW($A$26)+(ROW(EM!$C$46)-ROW(EM!$C$14))*(MATCH(M$22,EM!$B$6:$B$9,0)-1),MIN(M$23-EM!$B$16+2,EM!$AF$16-EM!$B$16)),0)+
IF(ROUND(M$11,0)&gt;=4,OFFSET(EM!$B$17,ROW($A30)-ROW($A$26)+(ROW(EM!$C$46)-ROW(EM!$C$14))*(MATCH(M$22,EM!$B$6:$B$9,0)-1),MIN(M$23-EM!$B$16+3,EM!$AF$16-EM!$B$16)),0)+
IF(ROUND(M$11,0)&gt;=5,OFFSET(EM!$B$17,ROW($A30)-ROW($A$26)+(ROW(EM!$C$46)-ROW(EM!$C$14))*(MATCH(M$22,EM!$B$6:$B$9,0)-1),MIN(M$23-EM!$B$16+4,EM!$AF$16-EM!$B$16)),0)+
IF(ROUND(M$11,0)&gt;=6,OFFSET(EM!$B$17,ROW($A30)-ROW($A$26)+(ROW(EM!$C$46)-ROW(EM!$C$14))*(MATCH(M$22,EM!$B$6:$B$9,0)-1),MIN(M$23-EM!$B$16+5,EM!$AF$16-EM!$B$16)),0)+
IF(ROUND(M$11,0)&gt;=7,OFFSET(EM!$B$17,ROW($A30)-ROW($A$26)+(ROW(EM!$C$46)-ROW(EM!$C$14))*(MATCH(M$22,EM!$B$6:$B$9,0)-1),MIN(M$23-EM!$B$16+6,EM!$AF$16-EM!$B$16)),0)+
IF(ROUND(M$11,0)&gt;=8,OFFSET(EM!$B$17,ROW($A30)-ROW($A$26)+(ROW(EM!$C$46)-ROW(EM!$C$14))*(MATCH(M$22,EM!$B$6:$B$9,0)-1),MIN(M$23-EM!$B$16+7,EM!$AF$16-EM!$B$16)),0)+
IF(ROUND(M$11,0)&gt;=9,OFFSET(EM!$B$17,ROW($A30)-ROW($A$26)+(ROW(EM!$C$46)-ROW(EM!$C$14))*(MATCH(M$22,EM!$B$6:$B$9,0)-1),MIN(M$23-EM!$B$16+8,EM!$AF$16-EM!$B$16)),0)+
IF(ROUND(M$11,0)&gt;=10,OFFSET(EM!$B$17,ROW($A30)-ROW($A$26)+(ROW(EM!$C$46)-ROW(EM!$C$14))*(MATCH(M$22,EM!$B$6:$B$9,0)-1),MIN(M$23-EM!$B$16+9,EM!$AF$16-EM!$B$16)),0)+
IF(ROUND(M$11,0)&gt;=11,OFFSET(EM!$B$17,ROW($A30)-ROW($A$26)+(ROW(EM!$C$46)-ROW(EM!$C$14))*(MATCH(M$22,EM!$B$6:$B$9,0)-1),MIN(M$23-EM!$B$16+10,EM!$AF$16-EM!$B$16)),0)+
IF(ROUND(M$11,0)&gt;=12,OFFSET(EM!$B$17,ROW($A30)-ROW($A$26)+(ROW(EM!$C$46)-ROW(EM!$C$14))*(MATCH(M$22,EM!$B$6:$B$9,0)-1),MIN(M$23-EM!$B$16+11,EM!$AF$16-EM!$B$16)),0)+
IF(ROUND(M$11,0)&gt;=13,OFFSET(EM!$B$17,ROW($A30)-ROW($A$26)+(ROW(EM!$C$46)-ROW(EM!$C$14))*(MATCH(M$22,EM!$B$6:$B$9,0)-1),MIN(M$23-EM!$B$16+12,EM!$AF$16-EM!$B$16)),0)+
IF(ROUND(M$11,0)&gt;=14,OFFSET(EM!$B$17,ROW($A30)-ROW($A$26)+(ROW(EM!$C$46)-ROW(EM!$C$14))*(MATCH(M$22,EM!$B$6:$B$9,0)-1),MIN(M$23-EM!$B$16+13,EM!$AF$16-EM!$B$16)),0)+
IF(ROUND(M$11,0)&gt;=15,OFFSET(EM!$B$17,ROW($A30)-ROW($A$26)+(ROW(EM!$C$46)-ROW(EM!$C$14))*(MATCH(M$22,EM!$B$6:$B$9,0)-1),MIN(M$23-EM!$B$16+14,EM!$AF$16-EM!$B$16)),0)+
IF(ROUND(M$11,0)&gt;=16,OFFSET(EM!$B$17,ROW($A30)-ROW($A$26)+(ROW(EM!$C$46)-ROW(EM!$C$14))*(MATCH(M$22,EM!$B$6:$B$9,0)-1),MIN(M$23-EM!$B$16+15,EM!$AF$16-EM!$B$16)),0)+
IF(ROUND(M$11,0)&gt;=17,OFFSET(EM!$B$17,ROW($A30)-ROW($A$26)+(ROW(EM!$C$46)-ROW(EM!$C$14))*(MATCH(M$22,EM!$B$6:$B$9,0)-1),MIN(M$23-EM!$B$16+16,EM!$AF$16-EM!$B$16)),0)+
IF(ROUND(M$11,0)&gt;=18,OFFSET(EM!$B$17,ROW($A30)-ROW($A$26)+(ROW(EM!$C$46)-ROW(EM!$C$14))*(MATCH(M$22,EM!$B$6:$B$9,0)-1),MIN(M$23-EM!$B$16+17,EM!$AF$16-EM!$B$16)),0)+
IF(ROUND(M$11,0)&gt;=19,OFFSET(EM!$B$17,ROW($A30)-ROW($A$26)+(ROW(EM!$C$46)-ROW(EM!$C$14))*(MATCH(M$22,EM!$B$6:$B$9,0)-1),MIN(M$23-EM!$B$16+18,EM!$AF$16-EM!$B$16)),0)+
IF(ROUND(M$11,0)&gt;=20,OFFSET(EM!$B$17,ROW($A30)-ROW($A$26)+(ROW(EM!$C$46)-ROW(EM!$C$14))*(MATCH(M$22,EM!$B$6:$B$9,0)-1),MIN(M$23-EM!$B$16+19,EM!$AF$16-EM!$B$16)),0)+
IF(ROUND(M$11,0)&gt;=21,OFFSET(EM!$B$17,ROW($A30)-ROW($A$26)+(ROW(EM!$C$46)-ROW(EM!$C$14))*(MATCH(M$22,EM!$B$6:$B$9,0)-1),MIN(M$23-EM!$B$16+20,EM!$AF$16-EM!$B$16)),0)+
IF(ROUND(M$11,0)&gt;=22,OFFSET(EM!$B$17,ROW($A30)-ROW($A$26)+(ROW(EM!$C$46)-ROW(EM!$C$14))*(MATCH(M$22,EM!$B$6:$B$9,0)-1),MIN(M$23-EM!$B$16+21,EM!$AF$16-EM!$B$16)),0)+
IF(ROUND(M$11,0)&gt;=23,OFFSET(EM!$B$17,ROW($A30)-ROW($A$26)+(ROW(EM!$C$46)-ROW(EM!$C$14))*(MATCH(M$22,EM!$B$6:$B$9,0)-1),MIN(M$23-EM!$B$16+22,EM!$AF$16-EM!$B$16)),0)+
IF(ROUND(M$11,0)&gt;=24,OFFSET(EM!$B$17,ROW($A30)-ROW($A$26)+(ROW(EM!$C$46)-ROW(EM!$C$14))*(MATCH(M$22,EM!$B$6:$B$9,0)-1),MIN(M$23-EM!$B$16+23,EM!$AF$16-EM!$B$16)),0)+
IF(ROUND(M$11,0)&gt;=25,OFFSET(EM!$B$17,ROW($A30)-ROW($A$26)+(ROW(EM!$C$46)-ROW(EM!$C$14))*(MATCH(M$22,EM!$B$6:$B$9,0)-1),MIN(M$23-EM!$B$16+24,EM!$AF$16-EM!$B$16)),0)+
IF(ROUND(M$11,0)&gt;=26,OFFSET(EM!$B$17,ROW($A30)-ROW($A$26)+(ROW(EM!$C$46)-ROW(EM!$C$14))*(MATCH(M$22,EM!$B$6:$B$9,0)-1),MIN(M$23-EM!$B$16+25,EM!$AF$16-EM!$B$16)),0)+
IF(ROUND(M$11,0)&gt;=27,OFFSET(EM!$B$17,ROW($A30)-ROW($A$26)+(ROW(EM!$C$46)-ROW(EM!$C$14))*(MATCH(M$22,EM!$B$6:$B$9,0)-1),MIN(M$23-EM!$B$16+26,EM!$AF$16-EM!$B$16)),0)+
IF(ROUND(M$11,0)&gt;=28,OFFSET(EM!$B$17,ROW($A30)-ROW($A$26)+(ROW(EM!$C$46)-ROW(EM!$C$14))*(MATCH(M$22,EM!$B$6:$B$9,0)-1),MIN(M$23-EM!$B$16+27,EM!$AF$16-EM!$B$16)),0)+
IF(ROUND(M$11,0)&gt;=29,OFFSET(EM!$B$17,ROW($A30)-ROW($A$26)+(ROW(EM!$C$46)-ROW(EM!$C$14))*(MATCH(M$22,EM!$B$6:$B$9,0)-1),MIN(M$23-EM!$B$16+28,EM!$AF$16-EM!$B$16)),0)+
IF(ROUND(M$11,0)&gt;=30,OFFSET(EM!$B$17,ROW($A30)-ROW($A$26)+(ROW(EM!$C$46)-ROW(EM!$C$14))*(MATCH(M$22,EM!$B$6:$B$9,0)-1),MIN(M$23-EM!$B$16+29,EM!$AF$16-EM!$B$16)),0)+
IF(ROUND(M$11,0)&gt;=31,OFFSET(EM!$B$17,ROW($A30)-ROW($A$26)+(ROW(EM!$C$46)-ROW(EM!$C$14))*(MATCH(M$22,EM!$B$6:$B$9,0)-1),MIN(M$23-EM!$B$16+30,EM!$AF$16-EM!$B$16)),0)+
IF(ROUND(M$11,0)&gt;=32,OFFSET(EM!$B$17,ROW($A30)-ROW($A$26)+(ROW(EM!$C$46)-ROW(EM!$C$14))*(MATCH(M$22,EM!$B$6:$B$9,0)-1),MIN(M$23-EM!$B$16+31,EM!$AF$16-EM!$B$16)),0)+
IF(ROUND(M$11,0)&gt;=33,OFFSET(EM!$B$17,ROW($A30)-ROW($A$26)+(ROW(EM!$C$46)-ROW(EM!$C$14))*(MATCH(M$22,EM!$B$6:$B$9,0)-1),MIN(M$23-EM!$B$16+32,EM!$AF$16-EM!$B$16)),0)+
IF(ROUND(M$11,0)&gt;=34,OFFSET(EM!$B$17,ROW($A30)-ROW($A$26)+(ROW(EM!$C$46)-ROW(EM!$C$14))*(MATCH(M$22,EM!$B$6:$B$9,0)-1),MIN(M$23-EM!$B$16+33,EM!$AF$16-EM!$B$16)),0)+
IF(ROUND(M$11,0)&gt;=35,OFFSET(EM!$B$17,ROW($A30)-ROW($A$26)+(ROW(EM!$C$46)-ROW(EM!$C$14))*(MATCH(M$22,EM!$B$6:$B$9,0)-1),MIN(M$23-EM!$B$16+34,EM!$AF$16-EM!$B$16)),0)+
IF(ROUND(M$11,0)&gt;=36,OFFSET(EM!$B$17,ROW($A30)-ROW($A$26)+(ROW(EM!$C$46)-ROW(EM!$C$14))*(MATCH(M$22,EM!$B$6:$B$9,0)-1),MIN(M$23-EM!$B$16+35,EM!$AF$16-EM!$B$16)),0)+
IF(ROUND(M$11,0)&gt;=37,OFFSET(EM!$B$17,ROW($A30)-ROW($A$26)+(ROW(EM!$C$46)-ROW(EM!$C$14))*(MATCH(M$22,EM!$B$6:$B$9,0)-1),MIN(M$23-EM!$B$16+36,EM!$AF$16-EM!$B$16)),0)+
IF(ROUND(M$11,0)&gt;=38,OFFSET(EM!$B$17,ROW($A30)-ROW($A$26)+(ROW(EM!$C$46)-ROW(EM!$C$14))*(MATCH(M$22,EM!$B$6:$B$9,0)-1),MIN(M$23-EM!$B$16+37,EM!$AF$16-EM!$B$16)),0)+
IF(ROUND(M$11,0)&gt;=39,OFFSET(EM!$B$17,ROW($A30)-ROW($A$26)+(ROW(EM!$C$46)-ROW(EM!$C$14))*(MATCH(M$22,EM!$B$6:$B$9,0)-1),MIN(M$23-EM!$B$16+38,EM!$AF$16-EM!$B$16)),0)+
IF(ROUND(M$11,0)&gt;=40,OFFSET(EM!$B$17,ROW($A30)-ROW($A$26)+(ROW(EM!$C$46)-ROW(EM!$C$14))*(MATCH(M$22,EM!$B$6:$B$9,0)-1),MIN(M$23-EM!$B$16+39,EM!$AF$16-EM!$B$16)),0)
)/ROUND(M$11,0),NA()))</f>
        <v>1.6130720715384027E-2</v>
      </c>
      <c r="N30" s="2046">
        <f ca="1">IF(N$19=GPG!$A$28,IF(ROW(N30)-ROW(N$26)+1=MATCH(N$20,GPG!$A$5:$A$11,0),1,0),
IF(N$19=GPG!$A$29,
(IF(ROUND(N$11,0)&gt;=1,OFFSET(EM!$B$17,ROW($A30)-ROW($A$26)+(ROW(EM!$C$46)-ROW(EM!$C$14))*(MATCH(N$22,EM!$B$6:$B$9,0)-1),MIN(N$23-EM!$B$16,EM!$AF$16-EM!$B$16)),0)+
IF(ROUND(N$11,0)&gt;=2,OFFSET(EM!$B$17,ROW($A30)-ROW($A$26)+(ROW(EM!$C$46)-ROW(EM!$C$14))*(MATCH(N$22,EM!$B$6:$B$9,0)-1),MIN(N$23-EM!$B$16+1,EM!$AF$16-EM!$B$16)),0)+
IF(ROUND(N$11,0)&gt;=3,OFFSET(EM!$B$17,ROW($A30)-ROW($A$26)+(ROW(EM!$C$46)-ROW(EM!$C$14))*(MATCH(N$22,EM!$B$6:$B$9,0)-1),MIN(N$23-EM!$B$16+2,EM!$AF$16-EM!$B$16)),0)+
IF(ROUND(N$11,0)&gt;=4,OFFSET(EM!$B$17,ROW($A30)-ROW($A$26)+(ROW(EM!$C$46)-ROW(EM!$C$14))*(MATCH(N$22,EM!$B$6:$B$9,0)-1),MIN(N$23-EM!$B$16+3,EM!$AF$16-EM!$B$16)),0)+
IF(ROUND(N$11,0)&gt;=5,OFFSET(EM!$B$17,ROW($A30)-ROW($A$26)+(ROW(EM!$C$46)-ROW(EM!$C$14))*(MATCH(N$22,EM!$B$6:$B$9,0)-1),MIN(N$23-EM!$B$16+4,EM!$AF$16-EM!$B$16)),0)+
IF(ROUND(N$11,0)&gt;=6,OFFSET(EM!$B$17,ROW($A30)-ROW($A$26)+(ROW(EM!$C$46)-ROW(EM!$C$14))*(MATCH(N$22,EM!$B$6:$B$9,0)-1),MIN(N$23-EM!$B$16+5,EM!$AF$16-EM!$B$16)),0)+
IF(ROUND(N$11,0)&gt;=7,OFFSET(EM!$B$17,ROW($A30)-ROW($A$26)+(ROW(EM!$C$46)-ROW(EM!$C$14))*(MATCH(N$22,EM!$B$6:$B$9,0)-1),MIN(N$23-EM!$B$16+6,EM!$AF$16-EM!$B$16)),0)+
IF(ROUND(N$11,0)&gt;=8,OFFSET(EM!$B$17,ROW($A30)-ROW($A$26)+(ROW(EM!$C$46)-ROW(EM!$C$14))*(MATCH(N$22,EM!$B$6:$B$9,0)-1),MIN(N$23-EM!$B$16+7,EM!$AF$16-EM!$B$16)),0)+
IF(ROUND(N$11,0)&gt;=9,OFFSET(EM!$B$17,ROW($A30)-ROW($A$26)+(ROW(EM!$C$46)-ROW(EM!$C$14))*(MATCH(N$22,EM!$B$6:$B$9,0)-1),MIN(N$23-EM!$B$16+8,EM!$AF$16-EM!$B$16)),0)+
IF(ROUND(N$11,0)&gt;=10,OFFSET(EM!$B$17,ROW($A30)-ROW($A$26)+(ROW(EM!$C$46)-ROW(EM!$C$14))*(MATCH(N$22,EM!$B$6:$B$9,0)-1),MIN(N$23-EM!$B$16+9,EM!$AF$16-EM!$B$16)),0)+
IF(ROUND(N$11,0)&gt;=11,OFFSET(EM!$B$17,ROW($A30)-ROW($A$26)+(ROW(EM!$C$46)-ROW(EM!$C$14))*(MATCH(N$22,EM!$B$6:$B$9,0)-1),MIN(N$23-EM!$B$16+10,EM!$AF$16-EM!$B$16)),0)+
IF(ROUND(N$11,0)&gt;=12,OFFSET(EM!$B$17,ROW($A30)-ROW($A$26)+(ROW(EM!$C$46)-ROW(EM!$C$14))*(MATCH(N$22,EM!$B$6:$B$9,0)-1),MIN(N$23-EM!$B$16+11,EM!$AF$16-EM!$B$16)),0)+
IF(ROUND(N$11,0)&gt;=13,OFFSET(EM!$B$17,ROW($A30)-ROW($A$26)+(ROW(EM!$C$46)-ROW(EM!$C$14))*(MATCH(N$22,EM!$B$6:$B$9,0)-1),MIN(N$23-EM!$B$16+12,EM!$AF$16-EM!$B$16)),0)+
IF(ROUND(N$11,0)&gt;=14,OFFSET(EM!$B$17,ROW($A30)-ROW($A$26)+(ROW(EM!$C$46)-ROW(EM!$C$14))*(MATCH(N$22,EM!$B$6:$B$9,0)-1),MIN(N$23-EM!$B$16+13,EM!$AF$16-EM!$B$16)),0)+
IF(ROUND(N$11,0)&gt;=15,OFFSET(EM!$B$17,ROW($A30)-ROW($A$26)+(ROW(EM!$C$46)-ROW(EM!$C$14))*(MATCH(N$22,EM!$B$6:$B$9,0)-1),MIN(N$23-EM!$B$16+14,EM!$AF$16-EM!$B$16)),0)+
IF(ROUND(N$11,0)&gt;=16,OFFSET(EM!$B$17,ROW($A30)-ROW($A$26)+(ROW(EM!$C$46)-ROW(EM!$C$14))*(MATCH(N$22,EM!$B$6:$B$9,0)-1),MIN(N$23-EM!$B$16+15,EM!$AF$16-EM!$B$16)),0)+
IF(ROUND(N$11,0)&gt;=17,OFFSET(EM!$B$17,ROW($A30)-ROW($A$26)+(ROW(EM!$C$46)-ROW(EM!$C$14))*(MATCH(N$22,EM!$B$6:$B$9,0)-1),MIN(N$23-EM!$B$16+16,EM!$AF$16-EM!$B$16)),0)+
IF(ROUND(N$11,0)&gt;=18,OFFSET(EM!$B$17,ROW($A30)-ROW($A$26)+(ROW(EM!$C$46)-ROW(EM!$C$14))*(MATCH(N$22,EM!$B$6:$B$9,0)-1),MIN(N$23-EM!$B$16+17,EM!$AF$16-EM!$B$16)),0)+
IF(ROUND(N$11,0)&gt;=19,OFFSET(EM!$B$17,ROW($A30)-ROW($A$26)+(ROW(EM!$C$46)-ROW(EM!$C$14))*(MATCH(N$22,EM!$B$6:$B$9,0)-1),MIN(N$23-EM!$B$16+18,EM!$AF$16-EM!$B$16)),0)+
IF(ROUND(N$11,0)&gt;=20,OFFSET(EM!$B$17,ROW($A30)-ROW($A$26)+(ROW(EM!$C$46)-ROW(EM!$C$14))*(MATCH(N$22,EM!$B$6:$B$9,0)-1),MIN(N$23-EM!$B$16+19,EM!$AF$16-EM!$B$16)),0)+
IF(ROUND(N$11,0)&gt;=21,OFFSET(EM!$B$17,ROW($A30)-ROW($A$26)+(ROW(EM!$C$46)-ROW(EM!$C$14))*(MATCH(N$22,EM!$B$6:$B$9,0)-1),MIN(N$23-EM!$B$16+20,EM!$AF$16-EM!$B$16)),0)+
IF(ROUND(N$11,0)&gt;=22,OFFSET(EM!$B$17,ROW($A30)-ROW($A$26)+(ROW(EM!$C$46)-ROW(EM!$C$14))*(MATCH(N$22,EM!$B$6:$B$9,0)-1),MIN(N$23-EM!$B$16+21,EM!$AF$16-EM!$B$16)),0)+
IF(ROUND(N$11,0)&gt;=23,OFFSET(EM!$B$17,ROW($A30)-ROW($A$26)+(ROW(EM!$C$46)-ROW(EM!$C$14))*(MATCH(N$22,EM!$B$6:$B$9,0)-1),MIN(N$23-EM!$B$16+22,EM!$AF$16-EM!$B$16)),0)+
IF(ROUND(N$11,0)&gt;=24,OFFSET(EM!$B$17,ROW($A30)-ROW($A$26)+(ROW(EM!$C$46)-ROW(EM!$C$14))*(MATCH(N$22,EM!$B$6:$B$9,0)-1),MIN(N$23-EM!$B$16+23,EM!$AF$16-EM!$B$16)),0)+
IF(ROUND(N$11,0)&gt;=25,OFFSET(EM!$B$17,ROW($A30)-ROW($A$26)+(ROW(EM!$C$46)-ROW(EM!$C$14))*(MATCH(N$22,EM!$B$6:$B$9,0)-1),MIN(N$23-EM!$B$16+24,EM!$AF$16-EM!$B$16)),0)+
IF(ROUND(N$11,0)&gt;=26,OFFSET(EM!$B$17,ROW($A30)-ROW($A$26)+(ROW(EM!$C$46)-ROW(EM!$C$14))*(MATCH(N$22,EM!$B$6:$B$9,0)-1),MIN(N$23-EM!$B$16+25,EM!$AF$16-EM!$B$16)),0)+
IF(ROUND(N$11,0)&gt;=27,OFFSET(EM!$B$17,ROW($A30)-ROW($A$26)+(ROW(EM!$C$46)-ROW(EM!$C$14))*(MATCH(N$22,EM!$B$6:$B$9,0)-1),MIN(N$23-EM!$B$16+26,EM!$AF$16-EM!$B$16)),0)+
IF(ROUND(N$11,0)&gt;=28,OFFSET(EM!$B$17,ROW($A30)-ROW($A$26)+(ROW(EM!$C$46)-ROW(EM!$C$14))*(MATCH(N$22,EM!$B$6:$B$9,0)-1),MIN(N$23-EM!$B$16+27,EM!$AF$16-EM!$B$16)),0)+
IF(ROUND(N$11,0)&gt;=29,OFFSET(EM!$B$17,ROW($A30)-ROW($A$26)+(ROW(EM!$C$46)-ROW(EM!$C$14))*(MATCH(N$22,EM!$B$6:$B$9,0)-1),MIN(N$23-EM!$B$16+28,EM!$AF$16-EM!$B$16)),0)+
IF(ROUND(N$11,0)&gt;=30,OFFSET(EM!$B$17,ROW($A30)-ROW($A$26)+(ROW(EM!$C$46)-ROW(EM!$C$14))*(MATCH(N$22,EM!$B$6:$B$9,0)-1),MIN(N$23-EM!$B$16+29,EM!$AF$16-EM!$B$16)),0)+
IF(ROUND(N$11,0)&gt;=31,OFFSET(EM!$B$17,ROW($A30)-ROW($A$26)+(ROW(EM!$C$46)-ROW(EM!$C$14))*(MATCH(N$22,EM!$B$6:$B$9,0)-1),MIN(N$23-EM!$B$16+30,EM!$AF$16-EM!$B$16)),0)+
IF(ROUND(N$11,0)&gt;=32,OFFSET(EM!$B$17,ROW($A30)-ROW($A$26)+(ROW(EM!$C$46)-ROW(EM!$C$14))*(MATCH(N$22,EM!$B$6:$B$9,0)-1),MIN(N$23-EM!$B$16+31,EM!$AF$16-EM!$B$16)),0)+
IF(ROUND(N$11,0)&gt;=33,OFFSET(EM!$B$17,ROW($A30)-ROW($A$26)+(ROW(EM!$C$46)-ROW(EM!$C$14))*(MATCH(N$22,EM!$B$6:$B$9,0)-1),MIN(N$23-EM!$B$16+32,EM!$AF$16-EM!$B$16)),0)+
IF(ROUND(N$11,0)&gt;=34,OFFSET(EM!$B$17,ROW($A30)-ROW($A$26)+(ROW(EM!$C$46)-ROW(EM!$C$14))*(MATCH(N$22,EM!$B$6:$B$9,0)-1),MIN(N$23-EM!$B$16+33,EM!$AF$16-EM!$B$16)),0)+
IF(ROUND(N$11,0)&gt;=35,OFFSET(EM!$B$17,ROW($A30)-ROW($A$26)+(ROW(EM!$C$46)-ROW(EM!$C$14))*(MATCH(N$22,EM!$B$6:$B$9,0)-1),MIN(N$23-EM!$B$16+34,EM!$AF$16-EM!$B$16)),0)+
IF(ROUND(N$11,0)&gt;=36,OFFSET(EM!$B$17,ROW($A30)-ROW($A$26)+(ROW(EM!$C$46)-ROW(EM!$C$14))*(MATCH(N$22,EM!$B$6:$B$9,0)-1),MIN(N$23-EM!$B$16+35,EM!$AF$16-EM!$B$16)),0)+
IF(ROUND(N$11,0)&gt;=37,OFFSET(EM!$B$17,ROW($A30)-ROW($A$26)+(ROW(EM!$C$46)-ROW(EM!$C$14))*(MATCH(N$22,EM!$B$6:$B$9,0)-1),MIN(N$23-EM!$B$16+36,EM!$AF$16-EM!$B$16)),0)+
IF(ROUND(N$11,0)&gt;=38,OFFSET(EM!$B$17,ROW($A30)-ROW($A$26)+(ROW(EM!$C$46)-ROW(EM!$C$14))*(MATCH(N$22,EM!$B$6:$B$9,0)-1),MIN(N$23-EM!$B$16+37,EM!$AF$16-EM!$B$16)),0)+
IF(ROUND(N$11,0)&gt;=39,OFFSET(EM!$B$17,ROW($A30)-ROW($A$26)+(ROW(EM!$C$46)-ROW(EM!$C$14))*(MATCH(N$22,EM!$B$6:$B$9,0)-1),MIN(N$23-EM!$B$16+38,EM!$AF$16-EM!$B$16)),0)+
IF(ROUND(N$11,0)&gt;=40,OFFSET(EM!$B$17,ROW($A30)-ROW($A$26)+(ROW(EM!$C$46)-ROW(EM!$C$14))*(MATCH(N$22,EM!$B$6:$B$9,0)-1),MIN(N$23-EM!$B$16+39,EM!$AF$16-EM!$B$16)),0)
)/ROUND(N$11,0),NA()))</f>
        <v>1.6130720715384027E-2</v>
      </c>
      <c r="O30" s="2046">
        <f ca="1">IF(O$19=GPG!$A$28,IF(ROW(O30)-ROW(O$26)+1=MATCH(O$20,GPG!$A$5:$A$11,0),1,0),
IF(O$19=GPG!$A$29,
(IF(ROUND(O$11,0)&gt;=1,OFFSET(EM!$B$17,ROW($A30)-ROW($A$26)+(ROW(EM!$C$46)-ROW(EM!$C$14))*(MATCH(O$22,EM!$B$6:$B$9,0)-1),MIN(O$23-EM!$B$16,EM!$AF$16-EM!$B$16)),0)+
IF(ROUND(O$11,0)&gt;=2,OFFSET(EM!$B$17,ROW($A30)-ROW($A$26)+(ROW(EM!$C$46)-ROW(EM!$C$14))*(MATCH(O$22,EM!$B$6:$B$9,0)-1),MIN(O$23-EM!$B$16+1,EM!$AF$16-EM!$B$16)),0)+
IF(ROUND(O$11,0)&gt;=3,OFFSET(EM!$B$17,ROW($A30)-ROW($A$26)+(ROW(EM!$C$46)-ROW(EM!$C$14))*(MATCH(O$22,EM!$B$6:$B$9,0)-1),MIN(O$23-EM!$B$16+2,EM!$AF$16-EM!$B$16)),0)+
IF(ROUND(O$11,0)&gt;=4,OFFSET(EM!$B$17,ROW($A30)-ROW($A$26)+(ROW(EM!$C$46)-ROW(EM!$C$14))*(MATCH(O$22,EM!$B$6:$B$9,0)-1),MIN(O$23-EM!$B$16+3,EM!$AF$16-EM!$B$16)),0)+
IF(ROUND(O$11,0)&gt;=5,OFFSET(EM!$B$17,ROW($A30)-ROW($A$26)+(ROW(EM!$C$46)-ROW(EM!$C$14))*(MATCH(O$22,EM!$B$6:$B$9,0)-1),MIN(O$23-EM!$B$16+4,EM!$AF$16-EM!$B$16)),0)+
IF(ROUND(O$11,0)&gt;=6,OFFSET(EM!$B$17,ROW($A30)-ROW($A$26)+(ROW(EM!$C$46)-ROW(EM!$C$14))*(MATCH(O$22,EM!$B$6:$B$9,0)-1),MIN(O$23-EM!$B$16+5,EM!$AF$16-EM!$B$16)),0)+
IF(ROUND(O$11,0)&gt;=7,OFFSET(EM!$B$17,ROW($A30)-ROW($A$26)+(ROW(EM!$C$46)-ROW(EM!$C$14))*(MATCH(O$22,EM!$B$6:$B$9,0)-1),MIN(O$23-EM!$B$16+6,EM!$AF$16-EM!$B$16)),0)+
IF(ROUND(O$11,0)&gt;=8,OFFSET(EM!$B$17,ROW($A30)-ROW($A$26)+(ROW(EM!$C$46)-ROW(EM!$C$14))*(MATCH(O$22,EM!$B$6:$B$9,0)-1),MIN(O$23-EM!$B$16+7,EM!$AF$16-EM!$B$16)),0)+
IF(ROUND(O$11,0)&gt;=9,OFFSET(EM!$B$17,ROW($A30)-ROW($A$26)+(ROW(EM!$C$46)-ROW(EM!$C$14))*(MATCH(O$22,EM!$B$6:$B$9,0)-1),MIN(O$23-EM!$B$16+8,EM!$AF$16-EM!$B$16)),0)+
IF(ROUND(O$11,0)&gt;=10,OFFSET(EM!$B$17,ROW($A30)-ROW($A$26)+(ROW(EM!$C$46)-ROW(EM!$C$14))*(MATCH(O$22,EM!$B$6:$B$9,0)-1),MIN(O$23-EM!$B$16+9,EM!$AF$16-EM!$B$16)),0)+
IF(ROUND(O$11,0)&gt;=11,OFFSET(EM!$B$17,ROW($A30)-ROW($A$26)+(ROW(EM!$C$46)-ROW(EM!$C$14))*(MATCH(O$22,EM!$B$6:$B$9,0)-1),MIN(O$23-EM!$B$16+10,EM!$AF$16-EM!$B$16)),0)+
IF(ROUND(O$11,0)&gt;=12,OFFSET(EM!$B$17,ROW($A30)-ROW($A$26)+(ROW(EM!$C$46)-ROW(EM!$C$14))*(MATCH(O$22,EM!$B$6:$B$9,0)-1),MIN(O$23-EM!$B$16+11,EM!$AF$16-EM!$B$16)),0)+
IF(ROUND(O$11,0)&gt;=13,OFFSET(EM!$B$17,ROW($A30)-ROW($A$26)+(ROW(EM!$C$46)-ROW(EM!$C$14))*(MATCH(O$22,EM!$B$6:$B$9,0)-1),MIN(O$23-EM!$B$16+12,EM!$AF$16-EM!$B$16)),0)+
IF(ROUND(O$11,0)&gt;=14,OFFSET(EM!$B$17,ROW($A30)-ROW($A$26)+(ROW(EM!$C$46)-ROW(EM!$C$14))*(MATCH(O$22,EM!$B$6:$B$9,0)-1),MIN(O$23-EM!$B$16+13,EM!$AF$16-EM!$B$16)),0)+
IF(ROUND(O$11,0)&gt;=15,OFFSET(EM!$B$17,ROW($A30)-ROW($A$26)+(ROW(EM!$C$46)-ROW(EM!$C$14))*(MATCH(O$22,EM!$B$6:$B$9,0)-1),MIN(O$23-EM!$B$16+14,EM!$AF$16-EM!$B$16)),0)+
IF(ROUND(O$11,0)&gt;=16,OFFSET(EM!$B$17,ROW($A30)-ROW($A$26)+(ROW(EM!$C$46)-ROW(EM!$C$14))*(MATCH(O$22,EM!$B$6:$B$9,0)-1),MIN(O$23-EM!$B$16+15,EM!$AF$16-EM!$B$16)),0)+
IF(ROUND(O$11,0)&gt;=17,OFFSET(EM!$B$17,ROW($A30)-ROW($A$26)+(ROW(EM!$C$46)-ROW(EM!$C$14))*(MATCH(O$22,EM!$B$6:$B$9,0)-1),MIN(O$23-EM!$B$16+16,EM!$AF$16-EM!$B$16)),0)+
IF(ROUND(O$11,0)&gt;=18,OFFSET(EM!$B$17,ROW($A30)-ROW($A$26)+(ROW(EM!$C$46)-ROW(EM!$C$14))*(MATCH(O$22,EM!$B$6:$B$9,0)-1),MIN(O$23-EM!$B$16+17,EM!$AF$16-EM!$B$16)),0)+
IF(ROUND(O$11,0)&gt;=19,OFFSET(EM!$B$17,ROW($A30)-ROW($A$26)+(ROW(EM!$C$46)-ROW(EM!$C$14))*(MATCH(O$22,EM!$B$6:$B$9,0)-1),MIN(O$23-EM!$B$16+18,EM!$AF$16-EM!$B$16)),0)+
IF(ROUND(O$11,0)&gt;=20,OFFSET(EM!$B$17,ROW($A30)-ROW($A$26)+(ROW(EM!$C$46)-ROW(EM!$C$14))*(MATCH(O$22,EM!$B$6:$B$9,0)-1),MIN(O$23-EM!$B$16+19,EM!$AF$16-EM!$B$16)),0)+
IF(ROUND(O$11,0)&gt;=21,OFFSET(EM!$B$17,ROW($A30)-ROW($A$26)+(ROW(EM!$C$46)-ROW(EM!$C$14))*(MATCH(O$22,EM!$B$6:$B$9,0)-1),MIN(O$23-EM!$B$16+20,EM!$AF$16-EM!$B$16)),0)+
IF(ROUND(O$11,0)&gt;=22,OFFSET(EM!$B$17,ROW($A30)-ROW($A$26)+(ROW(EM!$C$46)-ROW(EM!$C$14))*(MATCH(O$22,EM!$B$6:$B$9,0)-1),MIN(O$23-EM!$B$16+21,EM!$AF$16-EM!$B$16)),0)+
IF(ROUND(O$11,0)&gt;=23,OFFSET(EM!$B$17,ROW($A30)-ROW($A$26)+(ROW(EM!$C$46)-ROW(EM!$C$14))*(MATCH(O$22,EM!$B$6:$B$9,0)-1),MIN(O$23-EM!$B$16+22,EM!$AF$16-EM!$B$16)),0)+
IF(ROUND(O$11,0)&gt;=24,OFFSET(EM!$B$17,ROW($A30)-ROW($A$26)+(ROW(EM!$C$46)-ROW(EM!$C$14))*(MATCH(O$22,EM!$B$6:$B$9,0)-1),MIN(O$23-EM!$B$16+23,EM!$AF$16-EM!$B$16)),0)+
IF(ROUND(O$11,0)&gt;=25,OFFSET(EM!$B$17,ROW($A30)-ROW($A$26)+(ROW(EM!$C$46)-ROW(EM!$C$14))*(MATCH(O$22,EM!$B$6:$B$9,0)-1),MIN(O$23-EM!$B$16+24,EM!$AF$16-EM!$B$16)),0)+
IF(ROUND(O$11,0)&gt;=26,OFFSET(EM!$B$17,ROW($A30)-ROW($A$26)+(ROW(EM!$C$46)-ROW(EM!$C$14))*(MATCH(O$22,EM!$B$6:$B$9,0)-1),MIN(O$23-EM!$B$16+25,EM!$AF$16-EM!$B$16)),0)+
IF(ROUND(O$11,0)&gt;=27,OFFSET(EM!$B$17,ROW($A30)-ROW($A$26)+(ROW(EM!$C$46)-ROW(EM!$C$14))*(MATCH(O$22,EM!$B$6:$B$9,0)-1),MIN(O$23-EM!$B$16+26,EM!$AF$16-EM!$B$16)),0)+
IF(ROUND(O$11,0)&gt;=28,OFFSET(EM!$B$17,ROW($A30)-ROW($A$26)+(ROW(EM!$C$46)-ROW(EM!$C$14))*(MATCH(O$22,EM!$B$6:$B$9,0)-1),MIN(O$23-EM!$B$16+27,EM!$AF$16-EM!$B$16)),0)+
IF(ROUND(O$11,0)&gt;=29,OFFSET(EM!$B$17,ROW($A30)-ROW($A$26)+(ROW(EM!$C$46)-ROW(EM!$C$14))*(MATCH(O$22,EM!$B$6:$B$9,0)-1),MIN(O$23-EM!$B$16+28,EM!$AF$16-EM!$B$16)),0)+
IF(ROUND(O$11,0)&gt;=30,OFFSET(EM!$B$17,ROW($A30)-ROW($A$26)+(ROW(EM!$C$46)-ROW(EM!$C$14))*(MATCH(O$22,EM!$B$6:$B$9,0)-1),MIN(O$23-EM!$B$16+29,EM!$AF$16-EM!$B$16)),0)+
IF(ROUND(O$11,0)&gt;=31,OFFSET(EM!$B$17,ROW($A30)-ROW($A$26)+(ROW(EM!$C$46)-ROW(EM!$C$14))*(MATCH(O$22,EM!$B$6:$B$9,0)-1),MIN(O$23-EM!$B$16+30,EM!$AF$16-EM!$B$16)),0)+
IF(ROUND(O$11,0)&gt;=32,OFFSET(EM!$B$17,ROW($A30)-ROW($A$26)+(ROW(EM!$C$46)-ROW(EM!$C$14))*(MATCH(O$22,EM!$B$6:$B$9,0)-1),MIN(O$23-EM!$B$16+31,EM!$AF$16-EM!$B$16)),0)+
IF(ROUND(O$11,0)&gt;=33,OFFSET(EM!$B$17,ROW($A30)-ROW($A$26)+(ROW(EM!$C$46)-ROW(EM!$C$14))*(MATCH(O$22,EM!$B$6:$B$9,0)-1),MIN(O$23-EM!$B$16+32,EM!$AF$16-EM!$B$16)),0)+
IF(ROUND(O$11,0)&gt;=34,OFFSET(EM!$B$17,ROW($A30)-ROW($A$26)+(ROW(EM!$C$46)-ROW(EM!$C$14))*(MATCH(O$22,EM!$B$6:$B$9,0)-1),MIN(O$23-EM!$B$16+33,EM!$AF$16-EM!$B$16)),0)+
IF(ROUND(O$11,0)&gt;=35,OFFSET(EM!$B$17,ROW($A30)-ROW($A$26)+(ROW(EM!$C$46)-ROW(EM!$C$14))*(MATCH(O$22,EM!$B$6:$B$9,0)-1),MIN(O$23-EM!$B$16+34,EM!$AF$16-EM!$B$16)),0)+
IF(ROUND(O$11,0)&gt;=36,OFFSET(EM!$B$17,ROW($A30)-ROW($A$26)+(ROW(EM!$C$46)-ROW(EM!$C$14))*(MATCH(O$22,EM!$B$6:$B$9,0)-1),MIN(O$23-EM!$B$16+35,EM!$AF$16-EM!$B$16)),0)+
IF(ROUND(O$11,0)&gt;=37,OFFSET(EM!$B$17,ROW($A30)-ROW($A$26)+(ROW(EM!$C$46)-ROW(EM!$C$14))*(MATCH(O$22,EM!$B$6:$B$9,0)-1),MIN(O$23-EM!$B$16+36,EM!$AF$16-EM!$B$16)),0)+
IF(ROUND(O$11,0)&gt;=38,OFFSET(EM!$B$17,ROW($A30)-ROW($A$26)+(ROW(EM!$C$46)-ROW(EM!$C$14))*(MATCH(O$22,EM!$B$6:$B$9,0)-1),MIN(O$23-EM!$B$16+37,EM!$AF$16-EM!$B$16)),0)+
IF(ROUND(O$11,0)&gt;=39,OFFSET(EM!$B$17,ROW($A30)-ROW($A$26)+(ROW(EM!$C$46)-ROW(EM!$C$14))*(MATCH(O$22,EM!$B$6:$B$9,0)-1),MIN(O$23-EM!$B$16+38,EM!$AF$16-EM!$B$16)),0)+
IF(ROUND(O$11,0)&gt;=40,OFFSET(EM!$B$17,ROW($A30)-ROW($A$26)+(ROW(EM!$C$46)-ROW(EM!$C$14))*(MATCH(O$22,EM!$B$6:$B$9,0)-1),MIN(O$23-EM!$B$16+39,EM!$AF$16-EM!$B$16)),0)
)/ROUND(O$11,0),NA()))</f>
        <v>1.7504398632274241E-2</v>
      </c>
      <c r="P30" s="2046">
        <f ca="1">IF(P$19=GPG!$A$28,IF(ROW(P30)-ROW(P$26)+1=MATCH(P$20,GPG!$A$5:$A$11,0),1,0),
IF(P$19=GPG!$A$29,
(IF(ROUND(P$11,0)&gt;=1,OFFSET(EM!$B$17,ROW($A30)-ROW($A$26)+(ROW(EM!$C$46)-ROW(EM!$C$14))*(MATCH(P$22,EM!$B$6:$B$9,0)-1),MIN(P$23-EM!$B$16,EM!$AF$16-EM!$B$16)),0)+
IF(ROUND(P$11,0)&gt;=2,OFFSET(EM!$B$17,ROW($A30)-ROW($A$26)+(ROW(EM!$C$46)-ROW(EM!$C$14))*(MATCH(P$22,EM!$B$6:$B$9,0)-1),MIN(P$23-EM!$B$16+1,EM!$AF$16-EM!$B$16)),0)+
IF(ROUND(P$11,0)&gt;=3,OFFSET(EM!$B$17,ROW($A30)-ROW($A$26)+(ROW(EM!$C$46)-ROW(EM!$C$14))*(MATCH(P$22,EM!$B$6:$B$9,0)-1),MIN(P$23-EM!$B$16+2,EM!$AF$16-EM!$B$16)),0)+
IF(ROUND(P$11,0)&gt;=4,OFFSET(EM!$B$17,ROW($A30)-ROW($A$26)+(ROW(EM!$C$46)-ROW(EM!$C$14))*(MATCH(P$22,EM!$B$6:$B$9,0)-1),MIN(P$23-EM!$B$16+3,EM!$AF$16-EM!$B$16)),0)+
IF(ROUND(P$11,0)&gt;=5,OFFSET(EM!$B$17,ROW($A30)-ROW($A$26)+(ROW(EM!$C$46)-ROW(EM!$C$14))*(MATCH(P$22,EM!$B$6:$B$9,0)-1),MIN(P$23-EM!$B$16+4,EM!$AF$16-EM!$B$16)),0)+
IF(ROUND(P$11,0)&gt;=6,OFFSET(EM!$B$17,ROW($A30)-ROW($A$26)+(ROW(EM!$C$46)-ROW(EM!$C$14))*(MATCH(P$22,EM!$B$6:$B$9,0)-1),MIN(P$23-EM!$B$16+5,EM!$AF$16-EM!$B$16)),0)+
IF(ROUND(P$11,0)&gt;=7,OFFSET(EM!$B$17,ROW($A30)-ROW($A$26)+(ROW(EM!$C$46)-ROW(EM!$C$14))*(MATCH(P$22,EM!$B$6:$B$9,0)-1),MIN(P$23-EM!$B$16+6,EM!$AF$16-EM!$B$16)),0)+
IF(ROUND(P$11,0)&gt;=8,OFFSET(EM!$B$17,ROW($A30)-ROW($A$26)+(ROW(EM!$C$46)-ROW(EM!$C$14))*(MATCH(P$22,EM!$B$6:$B$9,0)-1),MIN(P$23-EM!$B$16+7,EM!$AF$16-EM!$B$16)),0)+
IF(ROUND(P$11,0)&gt;=9,OFFSET(EM!$B$17,ROW($A30)-ROW($A$26)+(ROW(EM!$C$46)-ROW(EM!$C$14))*(MATCH(P$22,EM!$B$6:$B$9,0)-1),MIN(P$23-EM!$B$16+8,EM!$AF$16-EM!$B$16)),0)+
IF(ROUND(P$11,0)&gt;=10,OFFSET(EM!$B$17,ROW($A30)-ROW($A$26)+(ROW(EM!$C$46)-ROW(EM!$C$14))*(MATCH(P$22,EM!$B$6:$B$9,0)-1),MIN(P$23-EM!$B$16+9,EM!$AF$16-EM!$B$16)),0)+
IF(ROUND(P$11,0)&gt;=11,OFFSET(EM!$B$17,ROW($A30)-ROW($A$26)+(ROW(EM!$C$46)-ROW(EM!$C$14))*(MATCH(P$22,EM!$B$6:$B$9,0)-1),MIN(P$23-EM!$B$16+10,EM!$AF$16-EM!$B$16)),0)+
IF(ROUND(P$11,0)&gt;=12,OFFSET(EM!$B$17,ROW($A30)-ROW($A$26)+(ROW(EM!$C$46)-ROW(EM!$C$14))*(MATCH(P$22,EM!$B$6:$B$9,0)-1),MIN(P$23-EM!$B$16+11,EM!$AF$16-EM!$B$16)),0)+
IF(ROUND(P$11,0)&gt;=13,OFFSET(EM!$B$17,ROW($A30)-ROW($A$26)+(ROW(EM!$C$46)-ROW(EM!$C$14))*(MATCH(P$22,EM!$B$6:$B$9,0)-1),MIN(P$23-EM!$B$16+12,EM!$AF$16-EM!$B$16)),0)+
IF(ROUND(P$11,0)&gt;=14,OFFSET(EM!$B$17,ROW($A30)-ROW($A$26)+(ROW(EM!$C$46)-ROW(EM!$C$14))*(MATCH(P$22,EM!$B$6:$B$9,0)-1),MIN(P$23-EM!$B$16+13,EM!$AF$16-EM!$B$16)),0)+
IF(ROUND(P$11,0)&gt;=15,OFFSET(EM!$B$17,ROW($A30)-ROW($A$26)+(ROW(EM!$C$46)-ROW(EM!$C$14))*(MATCH(P$22,EM!$B$6:$B$9,0)-1),MIN(P$23-EM!$B$16+14,EM!$AF$16-EM!$B$16)),0)+
IF(ROUND(P$11,0)&gt;=16,OFFSET(EM!$B$17,ROW($A30)-ROW($A$26)+(ROW(EM!$C$46)-ROW(EM!$C$14))*(MATCH(P$22,EM!$B$6:$B$9,0)-1),MIN(P$23-EM!$B$16+15,EM!$AF$16-EM!$B$16)),0)+
IF(ROUND(P$11,0)&gt;=17,OFFSET(EM!$B$17,ROW($A30)-ROW($A$26)+(ROW(EM!$C$46)-ROW(EM!$C$14))*(MATCH(P$22,EM!$B$6:$B$9,0)-1),MIN(P$23-EM!$B$16+16,EM!$AF$16-EM!$B$16)),0)+
IF(ROUND(P$11,0)&gt;=18,OFFSET(EM!$B$17,ROW($A30)-ROW($A$26)+(ROW(EM!$C$46)-ROW(EM!$C$14))*(MATCH(P$22,EM!$B$6:$B$9,0)-1),MIN(P$23-EM!$B$16+17,EM!$AF$16-EM!$B$16)),0)+
IF(ROUND(P$11,0)&gt;=19,OFFSET(EM!$B$17,ROW($A30)-ROW($A$26)+(ROW(EM!$C$46)-ROW(EM!$C$14))*(MATCH(P$22,EM!$B$6:$B$9,0)-1),MIN(P$23-EM!$B$16+18,EM!$AF$16-EM!$B$16)),0)+
IF(ROUND(P$11,0)&gt;=20,OFFSET(EM!$B$17,ROW($A30)-ROW($A$26)+(ROW(EM!$C$46)-ROW(EM!$C$14))*(MATCH(P$22,EM!$B$6:$B$9,0)-1),MIN(P$23-EM!$B$16+19,EM!$AF$16-EM!$B$16)),0)+
IF(ROUND(P$11,0)&gt;=21,OFFSET(EM!$B$17,ROW($A30)-ROW($A$26)+(ROW(EM!$C$46)-ROW(EM!$C$14))*(MATCH(P$22,EM!$B$6:$B$9,0)-1),MIN(P$23-EM!$B$16+20,EM!$AF$16-EM!$B$16)),0)+
IF(ROUND(P$11,0)&gt;=22,OFFSET(EM!$B$17,ROW($A30)-ROW($A$26)+(ROW(EM!$C$46)-ROW(EM!$C$14))*(MATCH(P$22,EM!$B$6:$B$9,0)-1),MIN(P$23-EM!$B$16+21,EM!$AF$16-EM!$B$16)),0)+
IF(ROUND(P$11,0)&gt;=23,OFFSET(EM!$B$17,ROW($A30)-ROW($A$26)+(ROW(EM!$C$46)-ROW(EM!$C$14))*(MATCH(P$22,EM!$B$6:$B$9,0)-1),MIN(P$23-EM!$B$16+22,EM!$AF$16-EM!$B$16)),0)+
IF(ROUND(P$11,0)&gt;=24,OFFSET(EM!$B$17,ROW($A30)-ROW($A$26)+(ROW(EM!$C$46)-ROW(EM!$C$14))*(MATCH(P$22,EM!$B$6:$B$9,0)-1),MIN(P$23-EM!$B$16+23,EM!$AF$16-EM!$B$16)),0)+
IF(ROUND(P$11,0)&gt;=25,OFFSET(EM!$B$17,ROW($A30)-ROW($A$26)+(ROW(EM!$C$46)-ROW(EM!$C$14))*(MATCH(P$22,EM!$B$6:$B$9,0)-1),MIN(P$23-EM!$B$16+24,EM!$AF$16-EM!$B$16)),0)+
IF(ROUND(P$11,0)&gt;=26,OFFSET(EM!$B$17,ROW($A30)-ROW($A$26)+(ROW(EM!$C$46)-ROW(EM!$C$14))*(MATCH(P$22,EM!$B$6:$B$9,0)-1),MIN(P$23-EM!$B$16+25,EM!$AF$16-EM!$B$16)),0)+
IF(ROUND(P$11,0)&gt;=27,OFFSET(EM!$B$17,ROW($A30)-ROW($A$26)+(ROW(EM!$C$46)-ROW(EM!$C$14))*(MATCH(P$22,EM!$B$6:$B$9,0)-1),MIN(P$23-EM!$B$16+26,EM!$AF$16-EM!$B$16)),0)+
IF(ROUND(P$11,0)&gt;=28,OFFSET(EM!$B$17,ROW($A30)-ROW($A$26)+(ROW(EM!$C$46)-ROW(EM!$C$14))*(MATCH(P$22,EM!$B$6:$B$9,0)-1),MIN(P$23-EM!$B$16+27,EM!$AF$16-EM!$B$16)),0)+
IF(ROUND(P$11,0)&gt;=29,OFFSET(EM!$B$17,ROW($A30)-ROW($A$26)+(ROW(EM!$C$46)-ROW(EM!$C$14))*(MATCH(P$22,EM!$B$6:$B$9,0)-1),MIN(P$23-EM!$B$16+28,EM!$AF$16-EM!$B$16)),0)+
IF(ROUND(P$11,0)&gt;=30,OFFSET(EM!$B$17,ROW($A30)-ROW($A$26)+(ROW(EM!$C$46)-ROW(EM!$C$14))*(MATCH(P$22,EM!$B$6:$B$9,0)-1),MIN(P$23-EM!$B$16+29,EM!$AF$16-EM!$B$16)),0)+
IF(ROUND(P$11,0)&gt;=31,OFFSET(EM!$B$17,ROW($A30)-ROW($A$26)+(ROW(EM!$C$46)-ROW(EM!$C$14))*(MATCH(P$22,EM!$B$6:$B$9,0)-1),MIN(P$23-EM!$B$16+30,EM!$AF$16-EM!$B$16)),0)+
IF(ROUND(P$11,0)&gt;=32,OFFSET(EM!$B$17,ROW($A30)-ROW($A$26)+(ROW(EM!$C$46)-ROW(EM!$C$14))*(MATCH(P$22,EM!$B$6:$B$9,0)-1),MIN(P$23-EM!$B$16+31,EM!$AF$16-EM!$B$16)),0)+
IF(ROUND(P$11,0)&gt;=33,OFFSET(EM!$B$17,ROW($A30)-ROW($A$26)+(ROW(EM!$C$46)-ROW(EM!$C$14))*(MATCH(P$22,EM!$B$6:$B$9,0)-1),MIN(P$23-EM!$B$16+32,EM!$AF$16-EM!$B$16)),0)+
IF(ROUND(P$11,0)&gt;=34,OFFSET(EM!$B$17,ROW($A30)-ROW($A$26)+(ROW(EM!$C$46)-ROW(EM!$C$14))*(MATCH(P$22,EM!$B$6:$B$9,0)-1),MIN(P$23-EM!$B$16+33,EM!$AF$16-EM!$B$16)),0)+
IF(ROUND(P$11,0)&gt;=35,OFFSET(EM!$B$17,ROW($A30)-ROW($A$26)+(ROW(EM!$C$46)-ROW(EM!$C$14))*(MATCH(P$22,EM!$B$6:$B$9,0)-1),MIN(P$23-EM!$B$16+34,EM!$AF$16-EM!$B$16)),0)+
IF(ROUND(P$11,0)&gt;=36,OFFSET(EM!$B$17,ROW($A30)-ROW($A$26)+(ROW(EM!$C$46)-ROW(EM!$C$14))*(MATCH(P$22,EM!$B$6:$B$9,0)-1),MIN(P$23-EM!$B$16+35,EM!$AF$16-EM!$B$16)),0)+
IF(ROUND(P$11,0)&gt;=37,OFFSET(EM!$B$17,ROW($A30)-ROW($A$26)+(ROW(EM!$C$46)-ROW(EM!$C$14))*(MATCH(P$22,EM!$B$6:$B$9,0)-1),MIN(P$23-EM!$B$16+36,EM!$AF$16-EM!$B$16)),0)+
IF(ROUND(P$11,0)&gt;=38,OFFSET(EM!$B$17,ROW($A30)-ROW($A$26)+(ROW(EM!$C$46)-ROW(EM!$C$14))*(MATCH(P$22,EM!$B$6:$B$9,0)-1),MIN(P$23-EM!$B$16+37,EM!$AF$16-EM!$B$16)),0)+
IF(ROUND(P$11,0)&gt;=39,OFFSET(EM!$B$17,ROW($A30)-ROW($A$26)+(ROW(EM!$C$46)-ROW(EM!$C$14))*(MATCH(P$22,EM!$B$6:$B$9,0)-1),MIN(P$23-EM!$B$16+38,EM!$AF$16-EM!$B$16)),0)+
IF(ROUND(P$11,0)&gt;=40,OFFSET(EM!$B$17,ROW($A30)-ROW($A$26)+(ROW(EM!$C$46)-ROW(EM!$C$14))*(MATCH(P$22,EM!$B$6:$B$9,0)-1),MIN(P$23-EM!$B$16+39,EM!$AF$16-EM!$B$16)),0)
)/ROUND(P$11,0),NA()))</f>
        <v>1.7504398632274241E-2</v>
      </c>
      <c r="Q30" s="2046">
        <f ca="1">IF(Q$19=GPG!$A$28,IF(ROW(Q30)-ROW(Q$26)+1=MATCH(Q$20,GPG!$A$5:$A$11,0),1,0),
IF(Q$19=GPG!$A$29,
(IF(ROUND(Q$11,0)&gt;=1,OFFSET(EM!$B$17,ROW($A30)-ROW($A$26)+(ROW(EM!$C$46)-ROW(EM!$C$14))*(MATCH(Q$22,EM!$B$6:$B$9,0)-1),MIN(Q$23-EM!$B$16,EM!$AF$16-EM!$B$16)),0)+
IF(ROUND(Q$11,0)&gt;=2,OFFSET(EM!$B$17,ROW($A30)-ROW($A$26)+(ROW(EM!$C$46)-ROW(EM!$C$14))*(MATCH(Q$22,EM!$B$6:$B$9,0)-1),MIN(Q$23-EM!$B$16+1,EM!$AF$16-EM!$B$16)),0)+
IF(ROUND(Q$11,0)&gt;=3,OFFSET(EM!$B$17,ROW($A30)-ROW($A$26)+(ROW(EM!$C$46)-ROW(EM!$C$14))*(MATCH(Q$22,EM!$B$6:$B$9,0)-1),MIN(Q$23-EM!$B$16+2,EM!$AF$16-EM!$B$16)),0)+
IF(ROUND(Q$11,0)&gt;=4,OFFSET(EM!$B$17,ROW($A30)-ROW($A$26)+(ROW(EM!$C$46)-ROW(EM!$C$14))*(MATCH(Q$22,EM!$B$6:$B$9,0)-1),MIN(Q$23-EM!$B$16+3,EM!$AF$16-EM!$B$16)),0)+
IF(ROUND(Q$11,0)&gt;=5,OFFSET(EM!$B$17,ROW($A30)-ROW($A$26)+(ROW(EM!$C$46)-ROW(EM!$C$14))*(MATCH(Q$22,EM!$B$6:$B$9,0)-1),MIN(Q$23-EM!$B$16+4,EM!$AF$16-EM!$B$16)),0)+
IF(ROUND(Q$11,0)&gt;=6,OFFSET(EM!$B$17,ROW($A30)-ROW($A$26)+(ROW(EM!$C$46)-ROW(EM!$C$14))*(MATCH(Q$22,EM!$B$6:$B$9,0)-1),MIN(Q$23-EM!$B$16+5,EM!$AF$16-EM!$B$16)),0)+
IF(ROUND(Q$11,0)&gt;=7,OFFSET(EM!$B$17,ROW($A30)-ROW($A$26)+(ROW(EM!$C$46)-ROW(EM!$C$14))*(MATCH(Q$22,EM!$B$6:$B$9,0)-1),MIN(Q$23-EM!$B$16+6,EM!$AF$16-EM!$B$16)),0)+
IF(ROUND(Q$11,0)&gt;=8,OFFSET(EM!$B$17,ROW($A30)-ROW($A$26)+(ROW(EM!$C$46)-ROW(EM!$C$14))*(MATCH(Q$22,EM!$B$6:$B$9,0)-1),MIN(Q$23-EM!$B$16+7,EM!$AF$16-EM!$B$16)),0)+
IF(ROUND(Q$11,0)&gt;=9,OFFSET(EM!$B$17,ROW($A30)-ROW($A$26)+(ROW(EM!$C$46)-ROW(EM!$C$14))*(MATCH(Q$22,EM!$B$6:$B$9,0)-1),MIN(Q$23-EM!$B$16+8,EM!$AF$16-EM!$B$16)),0)+
IF(ROUND(Q$11,0)&gt;=10,OFFSET(EM!$B$17,ROW($A30)-ROW($A$26)+(ROW(EM!$C$46)-ROW(EM!$C$14))*(MATCH(Q$22,EM!$B$6:$B$9,0)-1),MIN(Q$23-EM!$B$16+9,EM!$AF$16-EM!$B$16)),0)+
IF(ROUND(Q$11,0)&gt;=11,OFFSET(EM!$B$17,ROW($A30)-ROW($A$26)+(ROW(EM!$C$46)-ROW(EM!$C$14))*(MATCH(Q$22,EM!$B$6:$B$9,0)-1),MIN(Q$23-EM!$B$16+10,EM!$AF$16-EM!$B$16)),0)+
IF(ROUND(Q$11,0)&gt;=12,OFFSET(EM!$B$17,ROW($A30)-ROW($A$26)+(ROW(EM!$C$46)-ROW(EM!$C$14))*(MATCH(Q$22,EM!$B$6:$B$9,0)-1),MIN(Q$23-EM!$B$16+11,EM!$AF$16-EM!$B$16)),0)+
IF(ROUND(Q$11,0)&gt;=13,OFFSET(EM!$B$17,ROW($A30)-ROW($A$26)+(ROW(EM!$C$46)-ROW(EM!$C$14))*(MATCH(Q$22,EM!$B$6:$B$9,0)-1),MIN(Q$23-EM!$B$16+12,EM!$AF$16-EM!$B$16)),0)+
IF(ROUND(Q$11,0)&gt;=14,OFFSET(EM!$B$17,ROW($A30)-ROW($A$26)+(ROW(EM!$C$46)-ROW(EM!$C$14))*(MATCH(Q$22,EM!$B$6:$B$9,0)-1),MIN(Q$23-EM!$B$16+13,EM!$AF$16-EM!$B$16)),0)+
IF(ROUND(Q$11,0)&gt;=15,OFFSET(EM!$B$17,ROW($A30)-ROW($A$26)+(ROW(EM!$C$46)-ROW(EM!$C$14))*(MATCH(Q$22,EM!$B$6:$B$9,0)-1),MIN(Q$23-EM!$B$16+14,EM!$AF$16-EM!$B$16)),0)+
IF(ROUND(Q$11,0)&gt;=16,OFFSET(EM!$B$17,ROW($A30)-ROW($A$26)+(ROW(EM!$C$46)-ROW(EM!$C$14))*(MATCH(Q$22,EM!$B$6:$B$9,0)-1),MIN(Q$23-EM!$B$16+15,EM!$AF$16-EM!$B$16)),0)+
IF(ROUND(Q$11,0)&gt;=17,OFFSET(EM!$B$17,ROW($A30)-ROW($A$26)+(ROW(EM!$C$46)-ROW(EM!$C$14))*(MATCH(Q$22,EM!$B$6:$B$9,0)-1),MIN(Q$23-EM!$B$16+16,EM!$AF$16-EM!$B$16)),0)+
IF(ROUND(Q$11,0)&gt;=18,OFFSET(EM!$B$17,ROW($A30)-ROW($A$26)+(ROW(EM!$C$46)-ROW(EM!$C$14))*(MATCH(Q$22,EM!$B$6:$B$9,0)-1),MIN(Q$23-EM!$B$16+17,EM!$AF$16-EM!$B$16)),0)+
IF(ROUND(Q$11,0)&gt;=19,OFFSET(EM!$B$17,ROW($A30)-ROW($A$26)+(ROW(EM!$C$46)-ROW(EM!$C$14))*(MATCH(Q$22,EM!$B$6:$B$9,0)-1),MIN(Q$23-EM!$B$16+18,EM!$AF$16-EM!$B$16)),0)+
IF(ROUND(Q$11,0)&gt;=20,OFFSET(EM!$B$17,ROW($A30)-ROW($A$26)+(ROW(EM!$C$46)-ROW(EM!$C$14))*(MATCH(Q$22,EM!$B$6:$B$9,0)-1),MIN(Q$23-EM!$B$16+19,EM!$AF$16-EM!$B$16)),0)+
IF(ROUND(Q$11,0)&gt;=21,OFFSET(EM!$B$17,ROW($A30)-ROW($A$26)+(ROW(EM!$C$46)-ROW(EM!$C$14))*(MATCH(Q$22,EM!$B$6:$B$9,0)-1),MIN(Q$23-EM!$B$16+20,EM!$AF$16-EM!$B$16)),0)+
IF(ROUND(Q$11,0)&gt;=22,OFFSET(EM!$B$17,ROW($A30)-ROW($A$26)+(ROW(EM!$C$46)-ROW(EM!$C$14))*(MATCH(Q$22,EM!$B$6:$B$9,0)-1),MIN(Q$23-EM!$B$16+21,EM!$AF$16-EM!$B$16)),0)+
IF(ROUND(Q$11,0)&gt;=23,OFFSET(EM!$B$17,ROW($A30)-ROW($A$26)+(ROW(EM!$C$46)-ROW(EM!$C$14))*(MATCH(Q$22,EM!$B$6:$B$9,0)-1),MIN(Q$23-EM!$B$16+22,EM!$AF$16-EM!$B$16)),0)+
IF(ROUND(Q$11,0)&gt;=24,OFFSET(EM!$B$17,ROW($A30)-ROW($A$26)+(ROW(EM!$C$46)-ROW(EM!$C$14))*(MATCH(Q$22,EM!$B$6:$B$9,0)-1),MIN(Q$23-EM!$B$16+23,EM!$AF$16-EM!$B$16)),0)+
IF(ROUND(Q$11,0)&gt;=25,OFFSET(EM!$B$17,ROW($A30)-ROW($A$26)+(ROW(EM!$C$46)-ROW(EM!$C$14))*(MATCH(Q$22,EM!$B$6:$B$9,0)-1),MIN(Q$23-EM!$B$16+24,EM!$AF$16-EM!$B$16)),0)+
IF(ROUND(Q$11,0)&gt;=26,OFFSET(EM!$B$17,ROW($A30)-ROW($A$26)+(ROW(EM!$C$46)-ROW(EM!$C$14))*(MATCH(Q$22,EM!$B$6:$B$9,0)-1),MIN(Q$23-EM!$B$16+25,EM!$AF$16-EM!$B$16)),0)+
IF(ROUND(Q$11,0)&gt;=27,OFFSET(EM!$B$17,ROW($A30)-ROW($A$26)+(ROW(EM!$C$46)-ROW(EM!$C$14))*(MATCH(Q$22,EM!$B$6:$B$9,0)-1),MIN(Q$23-EM!$B$16+26,EM!$AF$16-EM!$B$16)),0)+
IF(ROUND(Q$11,0)&gt;=28,OFFSET(EM!$B$17,ROW($A30)-ROW($A$26)+(ROW(EM!$C$46)-ROW(EM!$C$14))*(MATCH(Q$22,EM!$B$6:$B$9,0)-1),MIN(Q$23-EM!$B$16+27,EM!$AF$16-EM!$B$16)),0)+
IF(ROUND(Q$11,0)&gt;=29,OFFSET(EM!$B$17,ROW($A30)-ROW($A$26)+(ROW(EM!$C$46)-ROW(EM!$C$14))*(MATCH(Q$22,EM!$B$6:$B$9,0)-1),MIN(Q$23-EM!$B$16+28,EM!$AF$16-EM!$B$16)),0)+
IF(ROUND(Q$11,0)&gt;=30,OFFSET(EM!$B$17,ROW($A30)-ROW($A$26)+(ROW(EM!$C$46)-ROW(EM!$C$14))*(MATCH(Q$22,EM!$B$6:$B$9,0)-1),MIN(Q$23-EM!$B$16+29,EM!$AF$16-EM!$B$16)),0)+
IF(ROUND(Q$11,0)&gt;=31,OFFSET(EM!$B$17,ROW($A30)-ROW($A$26)+(ROW(EM!$C$46)-ROW(EM!$C$14))*(MATCH(Q$22,EM!$B$6:$B$9,0)-1),MIN(Q$23-EM!$B$16+30,EM!$AF$16-EM!$B$16)),0)+
IF(ROUND(Q$11,0)&gt;=32,OFFSET(EM!$B$17,ROW($A30)-ROW($A$26)+(ROW(EM!$C$46)-ROW(EM!$C$14))*(MATCH(Q$22,EM!$B$6:$B$9,0)-1),MIN(Q$23-EM!$B$16+31,EM!$AF$16-EM!$B$16)),0)+
IF(ROUND(Q$11,0)&gt;=33,OFFSET(EM!$B$17,ROW($A30)-ROW($A$26)+(ROW(EM!$C$46)-ROW(EM!$C$14))*(MATCH(Q$22,EM!$B$6:$B$9,0)-1),MIN(Q$23-EM!$B$16+32,EM!$AF$16-EM!$B$16)),0)+
IF(ROUND(Q$11,0)&gt;=34,OFFSET(EM!$B$17,ROW($A30)-ROW($A$26)+(ROW(EM!$C$46)-ROW(EM!$C$14))*(MATCH(Q$22,EM!$B$6:$B$9,0)-1),MIN(Q$23-EM!$B$16+33,EM!$AF$16-EM!$B$16)),0)+
IF(ROUND(Q$11,0)&gt;=35,OFFSET(EM!$B$17,ROW($A30)-ROW($A$26)+(ROW(EM!$C$46)-ROW(EM!$C$14))*(MATCH(Q$22,EM!$B$6:$B$9,0)-1),MIN(Q$23-EM!$B$16+34,EM!$AF$16-EM!$B$16)),0)+
IF(ROUND(Q$11,0)&gt;=36,OFFSET(EM!$B$17,ROW($A30)-ROW($A$26)+(ROW(EM!$C$46)-ROW(EM!$C$14))*(MATCH(Q$22,EM!$B$6:$B$9,0)-1),MIN(Q$23-EM!$B$16+35,EM!$AF$16-EM!$B$16)),0)+
IF(ROUND(Q$11,0)&gt;=37,OFFSET(EM!$B$17,ROW($A30)-ROW($A$26)+(ROW(EM!$C$46)-ROW(EM!$C$14))*(MATCH(Q$22,EM!$B$6:$B$9,0)-1),MIN(Q$23-EM!$B$16+36,EM!$AF$16-EM!$B$16)),0)+
IF(ROUND(Q$11,0)&gt;=38,OFFSET(EM!$B$17,ROW($A30)-ROW($A$26)+(ROW(EM!$C$46)-ROW(EM!$C$14))*(MATCH(Q$22,EM!$B$6:$B$9,0)-1),MIN(Q$23-EM!$B$16+37,EM!$AF$16-EM!$B$16)),0)+
IF(ROUND(Q$11,0)&gt;=39,OFFSET(EM!$B$17,ROW($A30)-ROW($A$26)+(ROW(EM!$C$46)-ROW(EM!$C$14))*(MATCH(Q$22,EM!$B$6:$B$9,0)-1),MIN(Q$23-EM!$B$16+38,EM!$AF$16-EM!$B$16)),0)+
IF(ROUND(Q$11,0)&gt;=40,OFFSET(EM!$B$17,ROW($A30)-ROW($A$26)+(ROW(EM!$C$46)-ROW(EM!$C$14))*(MATCH(Q$22,EM!$B$6:$B$9,0)-1),MIN(Q$23-EM!$B$16+39,EM!$AF$16-EM!$B$16)),0)
)/ROUND(Q$11,0),NA()))</f>
        <v>1.7504398632274241E-2</v>
      </c>
      <c r="R30" s="2046">
        <f ca="1">IF(R$19=GPG!$A$28,IF(ROW(R30)-ROW(R$26)+1=MATCH(R$20,GPG!$A$5:$A$11,0),1,0),
IF(R$19=GPG!$A$29,
(IF(ROUND(R$11,0)&gt;=1,OFFSET(EM!$B$17,ROW($A30)-ROW($A$26)+(ROW(EM!$C$46)-ROW(EM!$C$14))*(MATCH(R$22,EM!$B$6:$B$9,0)-1),MIN(R$23-EM!$B$16,EM!$AF$16-EM!$B$16)),0)+
IF(ROUND(R$11,0)&gt;=2,OFFSET(EM!$B$17,ROW($A30)-ROW($A$26)+(ROW(EM!$C$46)-ROW(EM!$C$14))*(MATCH(R$22,EM!$B$6:$B$9,0)-1),MIN(R$23-EM!$B$16+1,EM!$AF$16-EM!$B$16)),0)+
IF(ROUND(R$11,0)&gt;=3,OFFSET(EM!$B$17,ROW($A30)-ROW($A$26)+(ROW(EM!$C$46)-ROW(EM!$C$14))*(MATCH(R$22,EM!$B$6:$B$9,0)-1),MIN(R$23-EM!$B$16+2,EM!$AF$16-EM!$B$16)),0)+
IF(ROUND(R$11,0)&gt;=4,OFFSET(EM!$B$17,ROW($A30)-ROW($A$26)+(ROW(EM!$C$46)-ROW(EM!$C$14))*(MATCH(R$22,EM!$B$6:$B$9,0)-1),MIN(R$23-EM!$B$16+3,EM!$AF$16-EM!$B$16)),0)+
IF(ROUND(R$11,0)&gt;=5,OFFSET(EM!$B$17,ROW($A30)-ROW($A$26)+(ROW(EM!$C$46)-ROW(EM!$C$14))*(MATCH(R$22,EM!$B$6:$B$9,0)-1),MIN(R$23-EM!$B$16+4,EM!$AF$16-EM!$B$16)),0)+
IF(ROUND(R$11,0)&gt;=6,OFFSET(EM!$B$17,ROW($A30)-ROW($A$26)+(ROW(EM!$C$46)-ROW(EM!$C$14))*(MATCH(R$22,EM!$B$6:$B$9,0)-1),MIN(R$23-EM!$B$16+5,EM!$AF$16-EM!$B$16)),0)+
IF(ROUND(R$11,0)&gt;=7,OFFSET(EM!$B$17,ROW($A30)-ROW($A$26)+(ROW(EM!$C$46)-ROW(EM!$C$14))*(MATCH(R$22,EM!$B$6:$B$9,0)-1),MIN(R$23-EM!$B$16+6,EM!$AF$16-EM!$B$16)),0)+
IF(ROUND(R$11,0)&gt;=8,OFFSET(EM!$B$17,ROW($A30)-ROW($A$26)+(ROW(EM!$C$46)-ROW(EM!$C$14))*(MATCH(R$22,EM!$B$6:$B$9,0)-1),MIN(R$23-EM!$B$16+7,EM!$AF$16-EM!$B$16)),0)+
IF(ROUND(R$11,0)&gt;=9,OFFSET(EM!$B$17,ROW($A30)-ROW($A$26)+(ROW(EM!$C$46)-ROW(EM!$C$14))*(MATCH(R$22,EM!$B$6:$B$9,0)-1),MIN(R$23-EM!$B$16+8,EM!$AF$16-EM!$B$16)),0)+
IF(ROUND(R$11,0)&gt;=10,OFFSET(EM!$B$17,ROW($A30)-ROW($A$26)+(ROW(EM!$C$46)-ROW(EM!$C$14))*(MATCH(R$22,EM!$B$6:$B$9,0)-1),MIN(R$23-EM!$B$16+9,EM!$AF$16-EM!$B$16)),0)+
IF(ROUND(R$11,0)&gt;=11,OFFSET(EM!$B$17,ROW($A30)-ROW($A$26)+(ROW(EM!$C$46)-ROW(EM!$C$14))*(MATCH(R$22,EM!$B$6:$B$9,0)-1),MIN(R$23-EM!$B$16+10,EM!$AF$16-EM!$B$16)),0)+
IF(ROUND(R$11,0)&gt;=12,OFFSET(EM!$B$17,ROW($A30)-ROW($A$26)+(ROW(EM!$C$46)-ROW(EM!$C$14))*(MATCH(R$22,EM!$B$6:$B$9,0)-1),MIN(R$23-EM!$B$16+11,EM!$AF$16-EM!$B$16)),0)+
IF(ROUND(R$11,0)&gt;=13,OFFSET(EM!$B$17,ROW($A30)-ROW($A$26)+(ROW(EM!$C$46)-ROW(EM!$C$14))*(MATCH(R$22,EM!$B$6:$B$9,0)-1),MIN(R$23-EM!$B$16+12,EM!$AF$16-EM!$B$16)),0)+
IF(ROUND(R$11,0)&gt;=14,OFFSET(EM!$B$17,ROW($A30)-ROW($A$26)+(ROW(EM!$C$46)-ROW(EM!$C$14))*(MATCH(R$22,EM!$B$6:$B$9,0)-1),MIN(R$23-EM!$B$16+13,EM!$AF$16-EM!$B$16)),0)+
IF(ROUND(R$11,0)&gt;=15,OFFSET(EM!$B$17,ROW($A30)-ROW($A$26)+(ROW(EM!$C$46)-ROW(EM!$C$14))*(MATCH(R$22,EM!$B$6:$B$9,0)-1),MIN(R$23-EM!$B$16+14,EM!$AF$16-EM!$B$16)),0)+
IF(ROUND(R$11,0)&gt;=16,OFFSET(EM!$B$17,ROW($A30)-ROW($A$26)+(ROW(EM!$C$46)-ROW(EM!$C$14))*(MATCH(R$22,EM!$B$6:$B$9,0)-1),MIN(R$23-EM!$B$16+15,EM!$AF$16-EM!$B$16)),0)+
IF(ROUND(R$11,0)&gt;=17,OFFSET(EM!$B$17,ROW($A30)-ROW($A$26)+(ROW(EM!$C$46)-ROW(EM!$C$14))*(MATCH(R$22,EM!$B$6:$B$9,0)-1),MIN(R$23-EM!$B$16+16,EM!$AF$16-EM!$B$16)),0)+
IF(ROUND(R$11,0)&gt;=18,OFFSET(EM!$B$17,ROW($A30)-ROW($A$26)+(ROW(EM!$C$46)-ROW(EM!$C$14))*(MATCH(R$22,EM!$B$6:$B$9,0)-1),MIN(R$23-EM!$B$16+17,EM!$AF$16-EM!$B$16)),0)+
IF(ROUND(R$11,0)&gt;=19,OFFSET(EM!$B$17,ROW($A30)-ROW($A$26)+(ROW(EM!$C$46)-ROW(EM!$C$14))*(MATCH(R$22,EM!$B$6:$B$9,0)-1),MIN(R$23-EM!$B$16+18,EM!$AF$16-EM!$B$16)),0)+
IF(ROUND(R$11,0)&gt;=20,OFFSET(EM!$B$17,ROW($A30)-ROW($A$26)+(ROW(EM!$C$46)-ROW(EM!$C$14))*(MATCH(R$22,EM!$B$6:$B$9,0)-1),MIN(R$23-EM!$B$16+19,EM!$AF$16-EM!$B$16)),0)+
IF(ROUND(R$11,0)&gt;=21,OFFSET(EM!$B$17,ROW($A30)-ROW($A$26)+(ROW(EM!$C$46)-ROW(EM!$C$14))*(MATCH(R$22,EM!$B$6:$B$9,0)-1),MIN(R$23-EM!$B$16+20,EM!$AF$16-EM!$B$16)),0)+
IF(ROUND(R$11,0)&gt;=22,OFFSET(EM!$B$17,ROW($A30)-ROW($A$26)+(ROW(EM!$C$46)-ROW(EM!$C$14))*(MATCH(R$22,EM!$B$6:$B$9,0)-1),MIN(R$23-EM!$B$16+21,EM!$AF$16-EM!$B$16)),0)+
IF(ROUND(R$11,0)&gt;=23,OFFSET(EM!$B$17,ROW($A30)-ROW($A$26)+(ROW(EM!$C$46)-ROW(EM!$C$14))*(MATCH(R$22,EM!$B$6:$B$9,0)-1),MIN(R$23-EM!$B$16+22,EM!$AF$16-EM!$B$16)),0)+
IF(ROUND(R$11,0)&gt;=24,OFFSET(EM!$B$17,ROW($A30)-ROW($A$26)+(ROW(EM!$C$46)-ROW(EM!$C$14))*(MATCH(R$22,EM!$B$6:$B$9,0)-1),MIN(R$23-EM!$B$16+23,EM!$AF$16-EM!$B$16)),0)+
IF(ROUND(R$11,0)&gt;=25,OFFSET(EM!$B$17,ROW($A30)-ROW($A$26)+(ROW(EM!$C$46)-ROW(EM!$C$14))*(MATCH(R$22,EM!$B$6:$B$9,0)-1),MIN(R$23-EM!$B$16+24,EM!$AF$16-EM!$B$16)),0)+
IF(ROUND(R$11,0)&gt;=26,OFFSET(EM!$B$17,ROW($A30)-ROW($A$26)+(ROW(EM!$C$46)-ROW(EM!$C$14))*(MATCH(R$22,EM!$B$6:$B$9,0)-1),MIN(R$23-EM!$B$16+25,EM!$AF$16-EM!$B$16)),0)+
IF(ROUND(R$11,0)&gt;=27,OFFSET(EM!$B$17,ROW($A30)-ROW($A$26)+(ROW(EM!$C$46)-ROW(EM!$C$14))*(MATCH(R$22,EM!$B$6:$B$9,0)-1),MIN(R$23-EM!$B$16+26,EM!$AF$16-EM!$B$16)),0)+
IF(ROUND(R$11,0)&gt;=28,OFFSET(EM!$B$17,ROW($A30)-ROW($A$26)+(ROW(EM!$C$46)-ROW(EM!$C$14))*(MATCH(R$22,EM!$B$6:$B$9,0)-1),MIN(R$23-EM!$B$16+27,EM!$AF$16-EM!$B$16)),0)+
IF(ROUND(R$11,0)&gt;=29,OFFSET(EM!$B$17,ROW($A30)-ROW($A$26)+(ROW(EM!$C$46)-ROW(EM!$C$14))*(MATCH(R$22,EM!$B$6:$B$9,0)-1),MIN(R$23-EM!$B$16+28,EM!$AF$16-EM!$B$16)),0)+
IF(ROUND(R$11,0)&gt;=30,OFFSET(EM!$B$17,ROW($A30)-ROW($A$26)+(ROW(EM!$C$46)-ROW(EM!$C$14))*(MATCH(R$22,EM!$B$6:$B$9,0)-1),MIN(R$23-EM!$B$16+29,EM!$AF$16-EM!$B$16)),0)+
IF(ROUND(R$11,0)&gt;=31,OFFSET(EM!$B$17,ROW($A30)-ROW($A$26)+(ROW(EM!$C$46)-ROW(EM!$C$14))*(MATCH(R$22,EM!$B$6:$B$9,0)-1),MIN(R$23-EM!$B$16+30,EM!$AF$16-EM!$B$16)),0)+
IF(ROUND(R$11,0)&gt;=32,OFFSET(EM!$B$17,ROW($A30)-ROW($A$26)+(ROW(EM!$C$46)-ROW(EM!$C$14))*(MATCH(R$22,EM!$B$6:$B$9,0)-1),MIN(R$23-EM!$B$16+31,EM!$AF$16-EM!$B$16)),0)+
IF(ROUND(R$11,0)&gt;=33,OFFSET(EM!$B$17,ROW($A30)-ROW($A$26)+(ROW(EM!$C$46)-ROW(EM!$C$14))*(MATCH(R$22,EM!$B$6:$B$9,0)-1),MIN(R$23-EM!$B$16+32,EM!$AF$16-EM!$B$16)),0)+
IF(ROUND(R$11,0)&gt;=34,OFFSET(EM!$B$17,ROW($A30)-ROW($A$26)+(ROW(EM!$C$46)-ROW(EM!$C$14))*(MATCH(R$22,EM!$B$6:$B$9,0)-1),MIN(R$23-EM!$B$16+33,EM!$AF$16-EM!$B$16)),0)+
IF(ROUND(R$11,0)&gt;=35,OFFSET(EM!$B$17,ROW($A30)-ROW($A$26)+(ROW(EM!$C$46)-ROW(EM!$C$14))*(MATCH(R$22,EM!$B$6:$B$9,0)-1),MIN(R$23-EM!$B$16+34,EM!$AF$16-EM!$B$16)),0)+
IF(ROUND(R$11,0)&gt;=36,OFFSET(EM!$B$17,ROW($A30)-ROW($A$26)+(ROW(EM!$C$46)-ROW(EM!$C$14))*(MATCH(R$22,EM!$B$6:$B$9,0)-1),MIN(R$23-EM!$B$16+35,EM!$AF$16-EM!$B$16)),0)+
IF(ROUND(R$11,0)&gt;=37,OFFSET(EM!$B$17,ROW($A30)-ROW($A$26)+(ROW(EM!$C$46)-ROW(EM!$C$14))*(MATCH(R$22,EM!$B$6:$B$9,0)-1),MIN(R$23-EM!$B$16+36,EM!$AF$16-EM!$B$16)),0)+
IF(ROUND(R$11,0)&gt;=38,OFFSET(EM!$B$17,ROW($A30)-ROW($A$26)+(ROW(EM!$C$46)-ROW(EM!$C$14))*(MATCH(R$22,EM!$B$6:$B$9,0)-1),MIN(R$23-EM!$B$16+37,EM!$AF$16-EM!$B$16)),0)+
IF(ROUND(R$11,0)&gt;=39,OFFSET(EM!$B$17,ROW($A30)-ROW($A$26)+(ROW(EM!$C$46)-ROW(EM!$C$14))*(MATCH(R$22,EM!$B$6:$B$9,0)-1),MIN(R$23-EM!$B$16+38,EM!$AF$16-EM!$B$16)),0)+
IF(ROUND(R$11,0)&gt;=40,OFFSET(EM!$B$17,ROW($A30)-ROW($A$26)+(ROW(EM!$C$46)-ROW(EM!$C$14))*(MATCH(R$22,EM!$B$6:$B$9,0)-1),MIN(R$23-EM!$B$16+39,EM!$AF$16-EM!$B$16)),0)
)/ROUND(R$11,0),NA()))</f>
        <v>1.7504398632274241E-2</v>
      </c>
      <c r="S30" s="2046">
        <f ca="1">IF(S$19=GPG!$A$28,IF(ROW(S30)-ROW(S$26)+1=MATCH(S$20,GPG!$A$5:$A$11,0),1,0),
IF(S$19=GPG!$A$29,
(IF(ROUND(S$11,0)&gt;=1,OFFSET(EM!$B$17,ROW($A30)-ROW($A$26)+(ROW(EM!$C$46)-ROW(EM!$C$14))*(MATCH(S$22,EM!$B$6:$B$9,0)-1),MIN(S$23-EM!$B$16,EM!$AF$16-EM!$B$16)),0)+
IF(ROUND(S$11,0)&gt;=2,OFFSET(EM!$B$17,ROW($A30)-ROW($A$26)+(ROW(EM!$C$46)-ROW(EM!$C$14))*(MATCH(S$22,EM!$B$6:$B$9,0)-1),MIN(S$23-EM!$B$16+1,EM!$AF$16-EM!$B$16)),0)+
IF(ROUND(S$11,0)&gt;=3,OFFSET(EM!$B$17,ROW($A30)-ROW($A$26)+(ROW(EM!$C$46)-ROW(EM!$C$14))*(MATCH(S$22,EM!$B$6:$B$9,0)-1),MIN(S$23-EM!$B$16+2,EM!$AF$16-EM!$B$16)),0)+
IF(ROUND(S$11,0)&gt;=4,OFFSET(EM!$B$17,ROW($A30)-ROW($A$26)+(ROW(EM!$C$46)-ROW(EM!$C$14))*(MATCH(S$22,EM!$B$6:$B$9,0)-1),MIN(S$23-EM!$B$16+3,EM!$AF$16-EM!$B$16)),0)+
IF(ROUND(S$11,0)&gt;=5,OFFSET(EM!$B$17,ROW($A30)-ROW($A$26)+(ROW(EM!$C$46)-ROW(EM!$C$14))*(MATCH(S$22,EM!$B$6:$B$9,0)-1),MIN(S$23-EM!$B$16+4,EM!$AF$16-EM!$B$16)),0)+
IF(ROUND(S$11,0)&gt;=6,OFFSET(EM!$B$17,ROW($A30)-ROW($A$26)+(ROW(EM!$C$46)-ROW(EM!$C$14))*(MATCH(S$22,EM!$B$6:$B$9,0)-1),MIN(S$23-EM!$B$16+5,EM!$AF$16-EM!$B$16)),0)+
IF(ROUND(S$11,0)&gt;=7,OFFSET(EM!$B$17,ROW($A30)-ROW($A$26)+(ROW(EM!$C$46)-ROW(EM!$C$14))*(MATCH(S$22,EM!$B$6:$B$9,0)-1),MIN(S$23-EM!$B$16+6,EM!$AF$16-EM!$B$16)),0)+
IF(ROUND(S$11,0)&gt;=8,OFFSET(EM!$B$17,ROW($A30)-ROW($A$26)+(ROW(EM!$C$46)-ROW(EM!$C$14))*(MATCH(S$22,EM!$B$6:$B$9,0)-1),MIN(S$23-EM!$B$16+7,EM!$AF$16-EM!$B$16)),0)+
IF(ROUND(S$11,0)&gt;=9,OFFSET(EM!$B$17,ROW($A30)-ROW($A$26)+(ROW(EM!$C$46)-ROW(EM!$C$14))*(MATCH(S$22,EM!$B$6:$B$9,0)-1),MIN(S$23-EM!$B$16+8,EM!$AF$16-EM!$B$16)),0)+
IF(ROUND(S$11,0)&gt;=10,OFFSET(EM!$B$17,ROW($A30)-ROW($A$26)+(ROW(EM!$C$46)-ROW(EM!$C$14))*(MATCH(S$22,EM!$B$6:$B$9,0)-1),MIN(S$23-EM!$B$16+9,EM!$AF$16-EM!$B$16)),0)+
IF(ROUND(S$11,0)&gt;=11,OFFSET(EM!$B$17,ROW($A30)-ROW($A$26)+(ROW(EM!$C$46)-ROW(EM!$C$14))*(MATCH(S$22,EM!$B$6:$B$9,0)-1),MIN(S$23-EM!$B$16+10,EM!$AF$16-EM!$B$16)),0)+
IF(ROUND(S$11,0)&gt;=12,OFFSET(EM!$B$17,ROW($A30)-ROW($A$26)+(ROW(EM!$C$46)-ROW(EM!$C$14))*(MATCH(S$22,EM!$B$6:$B$9,0)-1),MIN(S$23-EM!$B$16+11,EM!$AF$16-EM!$B$16)),0)+
IF(ROUND(S$11,0)&gt;=13,OFFSET(EM!$B$17,ROW($A30)-ROW($A$26)+(ROW(EM!$C$46)-ROW(EM!$C$14))*(MATCH(S$22,EM!$B$6:$B$9,0)-1),MIN(S$23-EM!$B$16+12,EM!$AF$16-EM!$B$16)),0)+
IF(ROUND(S$11,0)&gt;=14,OFFSET(EM!$B$17,ROW($A30)-ROW($A$26)+(ROW(EM!$C$46)-ROW(EM!$C$14))*(MATCH(S$22,EM!$B$6:$B$9,0)-1),MIN(S$23-EM!$B$16+13,EM!$AF$16-EM!$B$16)),0)+
IF(ROUND(S$11,0)&gt;=15,OFFSET(EM!$B$17,ROW($A30)-ROW($A$26)+(ROW(EM!$C$46)-ROW(EM!$C$14))*(MATCH(S$22,EM!$B$6:$B$9,0)-1),MIN(S$23-EM!$B$16+14,EM!$AF$16-EM!$B$16)),0)+
IF(ROUND(S$11,0)&gt;=16,OFFSET(EM!$B$17,ROW($A30)-ROW($A$26)+(ROW(EM!$C$46)-ROW(EM!$C$14))*(MATCH(S$22,EM!$B$6:$B$9,0)-1),MIN(S$23-EM!$B$16+15,EM!$AF$16-EM!$B$16)),0)+
IF(ROUND(S$11,0)&gt;=17,OFFSET(EM!$B$17,ROW($A30)-ROW($A$26)+(ROW(EM!$C$46)-ROW(EM!$C$14))*(MATCH(S$22,EM!$B$6:$B$9,0)-1),MIN(S$23-EM!$B$16+16,EM!$AF$16-EM!$B$16)),0)+
IF(ROUND(S$11,0)&gt;=18,OFFSET(EM!$B$17,ROW($A30)-ROW($A$26)+(ROW(EM!$C$46)-ROW(EM!$C$14))*(MATCH(S$22,EM!$B$6:$B$9,0)-1),MIN(S$23-EM!$B$16+17,EM!$AF$16-EM!$B$16)),0)+
IF(ROUND(S$11,0)&gt;=19,OFFSET(EM!$B$17,ROW($A30)-ROW($A$26)+(ROW(EM!$C$46)-ROW(EM!$C$14))*(MATCH(S$22,EM!$B$6:$B$9,0)-1),MIN(S$23-EM!$B$16+18,EM!$AF$16-EM!$B$16)),0)+
IF(ROUND(S$11,0)&gt;=20,OFFSET(EM!$B$17,ROW($A30)-ROW($A$26)+(ROW(EM!$C$46)-ROW(EM!$C$14))*(MATCH(S$22,EM!$B$6:$B$9,0)-1),MIN(S$23-EM!$B$16+19,EM!$AF$16-EM!$B$16)),0)+
IF(ROUND(S$11,0)&gt;=21,OFFSET(EM!$B$17,ROW($A30)-ROW($A$26)+(ROW(EM!$C$46)-ROW(EM!$C$14))*(MATCH(S$22,EM!$B$6:$B$9,0)-1),MIN(S$23-EM!$B$16+20,EM!$AF$16-EM!$B$16)),0)+
IF(ROUND(S$11,0)&gt;=22,OFFSET(EM!$B$17,ROW($A30)-ROW($A$26)+(ROW(EM!$C$46)-ROW(EM!$C$14))*(MATCH(S$22,EM!$B$6:$B$9,0)-1),MIN(S$23-EM!$B$16+21,EM!$AF$16-EM!$B$16)),0)+
IF(ROUND(S$11,0)&gt;=23,OFFSET(EM!$B$17,ROW($A30)-ROW($A$26)+(ROW(EM!$C$46)-ROW(EM!$C$14))*(MATCH(S$22,EM!$B$6:$B$9,0)-1),MIN(S$23-EM!$B$16+22,EM!$AF$16-EM!$B$16)),0)+
IF(ROUND(S$11,0)&gt;=24,OFFSET(EM!$B$17,ROW($A30)-ROW($A$26)+(ROW(EM!$C$46)-ROW(EM!$C$14))*(MATCH(S$22,EM!$B$6:$B$9,0)-1),MIN(S$23-EM!$B$16+23,EM!$AF$16-EM!$B$16)),0)+
IF(ROUND(S$11,0)&gt;=25,OFFSET(EM!$B$17,ROW($A30)-ROW($A$26)+(ROW(EM!$C$46)-ROW(EM!$C$14))*(MATCH(S$22,EM!$B$6:$B$9,0)-1),MIN(S$23-EM!$B$16+24,EM!$AF$16-EM!$B$16)),0)+
IF(ROUND(S$11,0)&gt;=26,OFFSET(EM!$B$17,ROW($A30)-ROW($A$26)+(ROW(EM!$C$46)-ROW(EM!$C$14))*(MATCH(S$22,EM!$B$6:$B$9,0)-1),MIN(S$23-EM!$B$16+25,EM!$AF$16-EM!$B$16)),0)+
IF(ROUND(S$11,0)&gt;=27,OFFSET(EM!$B$17,ROW($A30)-ROW($A$26)+(ROW(EM!$C$46)-ROW(EM!$C$14))*(MATCH(S$22,EM!$B$6:$B$9,0)-1),MIN(S$23-EM!$B$16+26,EM!$AF$16-EM!$B$16)),0)+
IF(ROUND(S$11,0)&gt;=28,OFFSET(EM!$B$17,ROW($A30)-ROW($A$26)+(ROW(EM!$C$46)-ROW(EM!$C$14))*(MATCH(S$22,EM!$B$6:$B$9,0)-1),MIN(S$23-EM!$B$16+27,EM!$AF$16-EM!$B$16)),0)+
IF(ROUND(S$11,0)&gt;=29,OFFSET(EM!$B$17,ROW($A30)-ROW($A$26)+(ROW(EM!$C$46)-ROW(EM!$C$14))*(MATCH(S$22,EM!$B$6:$B$9,0)-1),MIN(S$23-EM!$B$16+28,EM!$AF$16-EM!$B$16)),0)+
IF(ROUND(S$11,0)&gt;=30,OFFSET(EM!$B$17,ROW($A30)-ROW($A$26)+(ROW(EM!$C$46)-ROW(EM!$C$14))*(MATCH(S$22,EM!$B$6:$B$9,0)-1),MIN(S$23-EM!$B$16+29,EM!$AF$16-EM!$B$16)),0)+
IF(ROUND(S$11,0)&gt;=31,OFFSET(EM!$B$17,ROW($A30)-ROW($A$26)+(ROW(EM!$C$46)-ROW(EM!$C$14))*(MATCH(S$22,EM!$B$6:$B$9,0)-1),MIN(S$23-EM!$B$16+30,EM!$AF$16-EM!$B$16)),0)+
IF(ROUND(S$11,0)&gt;=32,OFFSET(EM!$B$17,ROW($A30)-ROW($A$26)+(ROW(EM!$C$46)-ROW(EM!$C$14))*(MATCH(S$22,EM!$B$6:$B$9,0)-1),MIN(S$23-EM!$B$16+31,EM!$AF$16-EM!$B$16)),0)+
IF(ROUND(S$11,0)&gt;=33,OFFSET(EM!$B$17,ROW($A30)-ROW($A$26)+(ROW(EM!$C$46)-ROW(EM!$C$14))*(MATCH(S$22,EM!$B$6:$B$9,0)-1),MIN(S$23-EM!$B$16+32,EM!$AF$16-EM!$B$16)),0)+
IF(ROUND(S$11,0)&gt;=34,OFFSET(EM!$B$17,ROW($A30)-ROW($A$26)+(ROW(EM!$C$46)-ROW(EM!$C$14))*(MATCH(S$22,EM!$B$6:$B$9,0)-1),MIN(S$23-EM!$B$16+33,EM!$AF$16-EM!$B$16)),0)+
IF(ROUND(S$11,0)&gt;=35,OFFSET(EM!$B$17,ROW($A30)-ROW($A$26)+(ROW(EM!$C$46)-ROW(EM!$C$14))*(MATCH(S$22,EM!$B$6:$B$9,0)-1),MIN(S$23-EM!$B$16+34,EM!$AF$16-EM!$B$16)),0)+
IF(ROUND(S$11,0)&gt;=36,OFFSET(EM!$B$17,ROW($A30)-ROW($A$26)+(ROW(EM!$C$46)-ROW(EM!$C$14))*(MATCH(S$22,EM!$B$6:$B$9,0)-1),MIN(S$23-EM!$B$16+35,EM!$AF$16-EM!$B$16)),0)+
IF(ROUND(S$11,0)&gt;=37,OFFSET(EM!$B$17,ROW($A30)-ROW($A$26)+(ROW(EM!$C$46)-ROW(EM!$C$14))*(MATCH(S$22,EM!$B$6:$B$9,0)-1),MIN(S$23-EM!$B$16+36,EM!$AF$16-EM!$B$16)),0)+
IF(ROUND(S$11,0)&gt;=38,OFFSET(EM!$B$17,ROW($A30)-ROW($A$26)+(ROW(EM!$C$46)-ROW(EM!$C$14))*(MATCH(S$22,EM!$B$6:$B$9,0)-1),MIN(S$23-EM!$B$16+37,EM!$AF$16-EM!$B$16)),0)+
IF(ROUND(S$11,0)&gt;=39,OFFSET(EM!$B$17,ROW($A30)-ROW($A$26)+(ROW(EM!$C$46)-ROW(EM!$C$14))*(MATCH(S$22,EM!$B$6:$B$9,0)-1),MIN(S$23-EM!$B$16+38,EM!$AF$16-EM!$B$16)),0)+
IF(ROUND(S$11,0)&gt;=40,OFFSET(EM!$B$17,ROW($A30)-ROW($A$26)+(ROW(EM!$C$46)-ROW(EM!$C$14))*(MATCH(S$22,EM!$B$6:$B$9,0)-1),MIN(S$23-EM!$B$16+39,EM!$AF$16-EM!$B$16)),0)
)/ROUND(S$11,0),NA()))</f>
        <v>1.7504398632274241E-2</v>
      </c>
      <c r="T30" s="2046">
        <f ca="1">IF(T$19=GPG!$A$28,IF(ROW(T30)-ROW(T$26)+1=MATCH(T$20,GPG!$A$5:$A$11,0),1,0),
IF(T$19=GPG!$A$29,
(IF(ROUND(T$11,0)&gt;=1,OFFSET(EM!$B$17,ROW($A30)-ROW($A$26)+(ROW(EM!$C$46)-ROW(EM!$C$14))*(MATCH(T$22,EM!$B$6:$B$9,0)-1),MIN(T$23-EM!$B$16,EM!$AF$16-EM!$B$16)),0)+
IF(ROUND(T$11,0)&gt;=2,OFFSET(EM!$B$17,ROW($A30)-ROW($A$26)+(ROW(EM!$C$46)-ROW(EM!$C$14))*(MATCH(T$22,EM!$B$6:$B$9,0)-1),MIN(T$23-EM!$B$16+1,EM!$AF$16-EM!$B$16)),0)+
IF(ROUND(T$11,0)&gt;=3,OFFSET(EM!$B$17,ROW($A30)-ROW($A$26)+(ROW(EM!$C$46)-ROW(EM!$C$14))*(MATCH(T$22,EM!$B$6:$B$9,0)-1),MIN(T$23-EM!$B$16+2,EM!$AF$16-EM!$B$16)),0)+
IF(ROUND(T$11,0)&gt;=4,OFFSET(EM!$B$17,ROW($A30)-ROW($A$26)+(ROW(EM!$C$46)-ROW(EM!$C$14))*(MATCH(T$22,EM!$B$6:$B$9,0)-1),MIN(T$23-EM!$B$16+3,EM!$AF$16-EM!$B$16)),0)+
IF(ROUND(T$11,0)&gt;=5,OFFSET(EM!$B$17,ROW($A30)-ROW($A$26)+(ROW(EM!$C$46)-ROW(EM!$C$14))*(MATCH(T$22,EM!$B$6:$B$9,0)-1),MIN(T$23-EM!$B$16+4,EM!$AF$16-EM!$B$16)),0)+
IF(ROUND(T$11,0)&gt;=6,OFFSET(EM!$B$17,ROW($A30)-ROW($A$26)+(ROW(EM!$C$46)-ROW(EM!$C$14))*(MATCH(T$22,EM!$B$6:$B$9,0)-1),MIN(T$23-EM!$B$16+5,EM!$AF$16-EM!$B$16)),0)+
IF(ROUND(T$11,0)&gt;=7,OFFSET(EM!$B$17,ROW($A30)-ROW($A$26)+(ROW(EM!$C$46)-ROW(EM!$C$14))*(MATCH(T$22,EM!$B$6:$B$9,0)-1),MIN(T$23-EM!$B$16+6,EM!$AF$16-EM!$B$16)),0)+
IF(ROUND(T$11,0)&gt;=8,OFFSET(EM!$B$17,ROW($A30)-ROW($A$26)+(ROW(EM!$C$46)-ROW(EM!$C$14))*(MATCH(T$22,EM!$B$6:$B$9,0)-1),MIN(T$23-EM!$B$16+7,EM!$AF$16-EM!$B$16)),0)+
IF(ROUND(T$11,0)&gt;=9,OFFSET(EM!$B$17,ROW($A30)-ROW($A$26)+(ROW(EM!$C$46)-ROW(EM!$C$14))*(MATCH(T$22,EM!$B$6:$B$9,0)-1),MIN(T$23-EM!$B$16+8,EM!$AF$16-EM!$B$16)),0)+
IF(ROUND(T$11,0)&gt;=10,OFFSET(EM!$B$17,ROW($A30)-ROW($A$26)+(ROW(EM!$C$46)-ROW(EM!$C$14))*(MATCH(T$22,EM!$B$6:$B$9,0)-1),MIN(T$23-EM!$B$16+9,EM!$AF$16-EM!$B$16)),0)+
IF(ROUND(T$11,0)&gt;=11,OFFSET(EM!$B$17,ROW($A30)-ROW($A$26)+(ROW(EM!$C$46)-ROW(EM!$C$14))*(MATCH(T$22,EM!$B$6:$B$9,0)-1),MIN(T$23-EM!$B$16+10,EM!$AF$16-EM!$B$16)),0)+
IF(ROUND(T$11,0)&gt;=12,OFFSET(EM!$B$17,ROW($A30)-ROW($A$26)+(ROW(EM!$C$46)-ROW(EM!$C$14))*(MATCH(T$22,EM!$B$6:$B$9,0)-1),MIN(T$23-EM!$B$16+11,EM!$AF$16-EM!$B$16)),0)+
IF(ROUND(T$11,0)&gt;=13,OFFSET(EM!$B$17,ROW($A30)-ROW($A$26)+(ROW(EM!$C$46)-ROW(EM!$C$14))*(MATCH(T$22,EM!$B$6:$B$9,0)-1),MIN(T$23-EM!$B$16+12,EM!$AF$16-EM!$B$16)),0)+
IF(ROUND(T$11,0)&gt;=14,OFFSET(EM!$B$17,ROW($A30)-ROW($A$26)+(ROW(EM!$C$46)-ROW(EM!$C$14))*(MATCH(T$22,EM!$B$6:$B$9,0)-1),MIN(T$23-EM!$B$16+13,EM!$AF$16-EM!$B$16)),0)+
IF(ROUND(T$11,0)&gt;=15,OFFSET(EM!$B$17,ROW($A30)-ROW($A$26)+(ROW(EM!$C$46)-ROW(EM!$C$14))*(MATCH(T$22,EM!$B$6:$B$9,0)-1),MIN(T$23-EM!$B$16+14,EM!$AF$16-EM!$B$16)),0)+
IF(ROUND(T$11,0)&gt;=16,OFFSET(EM!$B$17,ROW($A30)-ROW($A$26)+(ROW(EM!$C$46)-ROW(EM!$C$14))*(MATCH(T$22,EM!$B$6:$B$9,0)-1),MIN(T$23-EM!$B$16+15,EM!$AF$16-EM!$B$16)),0)+
IF(ROUND(T$11,0)&gt;=17,OFFSET(EM!$B$17,ROW($A30)-ROW($A$26)+(ROW(EM!$C$46)-ROW(EM!$C$14))*(MATCH(T$22,EM!$B$6:$B$9,0)-1),MIN(T$23-EM!$B$16+16,EM!$AF$16-EM!$B$16)),0)+
IF(ROUND(T$11,0)&gt;=18,OFFSET(EM!$B$17,ROW($A30)-ROW($A$26)+(ROW(EM!$C$46)-ROW(EM!$C$14))*(MATCH(T$22,EM!$B$6:$B$9,0)-1),MIN(T$23-EM!$B$16+17,EM!$AF$16-EM!$B$16)),0)+
IF(ROUND(T$11,0)&gt;=19,OFFSET(EM!$B$17,ROW($A30)-ROW($A$26)+(ROW(EM!$C$46)-ROW(EM!$C$14))*(MATCH(T$22,EM!$B$6:$B$9,0)-1),MIN(T$23-EM!$B$16+18,EM!$AF$16-EM!$B$16)),0)+
IF(ROUND(T$11,0)&gt;=20,OFFSET(EM!$B$17,ROW($A30)-ROW($A$26)+(ROW(EM!$C$46)-ROW(EM!$C$14))*(MATCH(T$22,EM!$B$6:$B$9,0)-1),MIN(T$23-EM!$B$16+19,EM!$AF$16-EM!$B$16)),0)+
IF(ROUND(T$11,0)&gt;=21,OFFSET(EM!$B$17,ROW($A30)-ROW($A$26)+(ROW(EM!$C$46)-ROW(EM!$C$14))*(MATCH(T$22,EM!$B$6:$B$9,0)-1),MIN(T$23-EM!$B$16+20,EM!$AF$16-EM!$B$16)),0)+
IF(ROUND(T$11,0)&gt;=22,OFFSET(EM!$B$17,ROW($A30)-ROW($A$26)+(ROW(EM!$C$46)-ROW(EM!$C$14))*(MATCH(T$22,EM!$B$6:$B$9,0)-1),MIN(T$23-EM!$B$16+21,EM!$AF$16-EM!$B$16)),0)+
IF(ROUND(T$11,0)&gt;=23,OFFSET(EM!$B$17,ROW($A30)-ROW($A$26)+(ROW(EM!$C$46)-ROW(EM!$C$14))*(MATCH(T$22,EM!$B$6:$B$9,0)-1),MIN(T$23-EM!$B$16+22,EM!$AF$16-EM!$B$16)),0)+
IF(ROUND(T$11,0)&gt;=24,OFFSET(EM!$B$17,ROW($A30)-ROW($A$26)+(ROW(EM!$C$46)-ROW(EM!$C$14))*(MATCH(T$22,EM!$B$6:$B$9,0)-1),MIN(T$23-EM!$B$16+23,EM!$AF$16-EM!$B$16)),0)+
IF(ROUND(T$11,0)&gt;=25,OFFSET(EM!$B$17,ROW($A30)-ROW($A$26)+(ROW(EM!$C$46)-ROW(EM!$C$14))*(MATCH(T$22,EM!$B$6:$B$9,0)-1),MIN(T$23-EM!$B$16+24,EM!$AF$16-EM!$B$16)),0)+
IF(ROUND(T$11,0)&gt;=26,OFFSET(EM!$B$17,ROW($A30)-ROW($A$26)+(ROW(EM!$C$46)-ROW(EM!$C$14))*(MATCH(T$22,EM!$B$6:$B$9,0)-1),MIN(T$23-EM!$B$16+25,EM!$AF$16-EM!$B$16)),0)+
IF(ROUND(T$11,0)&gt;=27,OFFSET(EM!$B$17,ROW($A30)-ROW($A$26)+(ROW(EM!$C$46)-ROW(EM!$C$14))*(MATCH(T$22,EM!$B$6:$B$9,0)-1),MIN(T$23-EM!$B$16+26,EM!$AF$16-EM!$B$16)),0)+
IF(ROUND(T$11,0)&gt;=28,OFFSET(EM!$B$17,ROW($A30)-ROW($A$26)+(ROW(EM!$C$46)-ROW(EM!$C$14))*(MATCH(T$22,EM!$B$6:$B$9,0)-1),MIN(T$23-EM!$B$16+27,EM!$AF$16-EM!$B$16)),0)+
IF(ROUND(T$11,0)&gt;=29,OFFSET(EM!$B$17,ROW($A30)-ROW($A$26)+(ROW(EM!$C$46)-ROW(EM!$C$14))*(MATCH(T$22,EM!$B$6:$B$9,0)-1),MIN(T$23-EM!$B$16+28,EM!$AF$16-EM!$B$16)),0)+
IF(ROUND(T$11,0)&gt;=30,OFFSET(EM!$B$17,ROW($A30)-ROW($A$26)+(ROW(EM!$C$46)-ROW(EM!$C$14))*(MATCH(T$22,EM!$B$6:$B$9,0)-1),MIN(T$23-EM!$B$16+29,EM!$AF$16-EM!$B$16)),0)+
IF(ROUND(T$11,0)&gt;=31,OFFSET(EM!$B$17,ROW($A30)-ROW($A$26)+(ROW(EM!$C$46)-ROW(EM!$C$14))*(MATCH(T$22,EM!$B$6:$B$9,0)-1),MIN(T$23-EM!$B$16+30,EM!$AF$16-EM!$B$16)),0)+
IF(ROUND(T$11,0)&gt;=32,OFFSET(EM!$B$17,ROW($A30)-ROW($A$26)+(ROW(EM!$C$46)-ROW(EM!$C$14))*(MATCH(T$22,EM!$B$6:$B$9,0)-1),MIN(T$23-EM!$B$16+31,EM!$AF$16-EM!$B$16)),0)+
IF(ROUND(T$11,0)&gt;=33,OFFSET(EM!$B$17,ROW($A30)-ROW($A$26)+(ROW(EM!$C$46)-ROW(EM!$C$14))*(MATCH(T$22,EM!$B$6:$B$9,0)-1),MIN(T$23-EM!$B$16+32,EM!$AF$16-EM!$B$16)),0)+
IF(ROUND(T$11,0)&gt;=34,OFFSET(EM!$B$17,ROW($A30)-ROW($A$26)+(ROW(EM!$C$46)-ROW(EM!$C$14))*(MATCH(T$22,EM!$B$6:$B$9,0)-1),MIN(T$23-EM!$B$16+33,EM!$AF$16-EM!$B$16)),0)+
IF(ROUND(T$11,0)&gt;=35,OFFSET(EM!$B$17,ROW($A30)-ROW($A$26)+(ROW(EM!$C$46)-ROW(EM!$C$14))*(MATCH(T$22,EM!$B$6:$B$9,0)-1),MIN(T$23-EM!$B$16+34,EM!$AF$16-EM!$B$16)),0)+
IF(ROUND(T$11,0)&gt;=36,OFFSET(EM!$B$17,ROW($A30)-ROW($A$26)+(ROW(EM!$C$46)-ROW(EM!$C$14))*(MATCH(T$22,EM!$B$6:$B$9,0)-1),MIN(T$23-EM!$B$16+35,EM!$AF$16-EM!$B$16)),0)+
IF(ROUND(T$11,0)&gt;=37,OFFSET(EM!$B$17,ROW($A30)-ROW($A$26)+(ROW(EM!$C$46)-ROW(EM!$C$14))*(MATCH(T$22,EM!$B$6:$B$9,0)-1),MIN(T$23-EM!$B$16+36,EM!$AF$16-EM!$B$16)),0)+
IF(ROUND(T$11,0)&gt;=38,OFFSET(EM!$B$17,ROW($A30)-ROW($A$26)+(ROW(EM!$C$46)-ROW(EM!$C$14))*(MATCH(T$22,EM!$B$6:$B$9,0)-1),MIN(T$23-EM!$B$16+37,EM!$AF$16-EM!$B$16)),0)+
IF(ROUND(T$11,0)&gt;=39,OFFSET(EM!$B$17,ROW($A30)-ROW($A$26)+(ROW(EM!$C$46)-ROW(EM!$C$14))*(MATCH(T$22,EM!$B$6:$B$9,0)-1),MIN(T$23-EM!$B$16+38,EM!$AF$16-EM!$B$16)),0)+
IF(ROUND(T$11,0)&gt;=40,OFFSET(EM!$B$17,ROW($A30)-ROW($A$26)+(ROW(EM!$C$46)-ROW(EM!$C$14))*(MATCH(T$22,EM!$B$6:$B$9,0)-1),MIN(T$23-EM!$B$16+39,EM!$AF$16-EM!$B$16)),0)
)/ROUND(T$11,0),NA()))</f>
        <v>1.7504398632274241E-2</v>
      </c>
      <c r="U30" s="2046">
        <f ca="1">IF(U$19=GPG!$A$28,IF(ROW(U30)-ROW(U$26)+1=MATCH(U$20,GPG!$A$5:$A$11,0),1,0),
IF(U$19=GPG!$A$29,
(IF(ROUND(U$11,0)&gt;=1,OFFSET(EM!$B$17,ROW($A30)-ROW($A$26)+(ROW(EM!$C$46)-ROW(EM!$C$14))*(MATCH(U$22,EM!$B$6:$B$9,0)-1),MIN(U$23-EM!$B$16,EM!$AF$16-EM!$B$16)),0)+
IF(ROUND(U$11,0)&gt;=2,OFFSET(EM!$B$17,ROW($A30)-ROW($A$26)+(ROW(EM!$C$46)-ROW(EM!$C$14))*(MATCH(U$22,EM!$B$6:$B$9,0)-1),MIN(U$23-EM!$B$16+1,EM!$AF$16-EM!$B$16)),0)+
IF(ROUND(U$11,0)&gt;=3,OFFSET(EM!$B$17,ROW($A30)-ROW($A$26)+(ROW(EM!$C$46)-ROW(EM!$C$14))*(MATCH(U$22,EM!$B$6:$B$9,0)-1),MIN(U$23-EM!$B$16+2,EM!$AF$16-EM!$B$16)),0)+
IF(ROUND(U$11,0)&gt;=4,OFFSET(EM!$B$17,ROW($A30)-ROW($A$26)+(ROW(EM!$C$46)-ROW(EM!$C$14))*(MATCH(U$22,EM!$B$6:$B$9,0)-1),MIN(U$23-EM!$B$16+3,EM!$AF$16-EM!$B$16)),0)+
IF(ROUND(U$11,0)&gt;=5,OFFSET(EM!$B$17,ROW($A30)-ROW($A$26)+(ROW(EM!$C$46)-ROW(EM!$C$14))*(MATCH(U$22,EM!$B$6:$B$9,0)-1),MIN(U$23-EM!$B$16+4,EM!$AF$16-EM!$B$16)),0)+
IF(ROUND(U$11,0)&gt;=6,OFFSET(EM!$B$17,ROW($A30)-ROW($A$26)+(ROW(EM!$C$46)-ROW(EM!$C$14))*(MATCH(U$22,EM!$B$6:$B$9,0)-1),MIN(U$23-EM!$B$16+5,EM!$AF$16-EM!$B$16)),0)+
IF(ROUND(U$11,0)&gt;=7,OFFSET(EM!$B$17,ROW($A30)-ROW($A$26)+(ROW(EM!$C$46)-ROW(EM!$C$14))*(MATCH(U$22,EM!$B$6:$B$9,0)-1),MIN(U$23-EM!$B$16+6,EM!$AF$16-EM!$B$16)),0)+
IF(ROUND(U$11,0)&gt;=8,OFFSET(EM!$B$17,ROW($A30)-ROW($A$26)+(ROW(EM!$C$46)-ROW(EM!$C$14))*(MATCH(U$22,EM!$B$6:$B$9,0)-1),MIN(U$23-EM!$B$16+7,EM!$AF$16-EM!$B$16)),0)+
IF(ROUND(U$11,0)&gt;=9,OFFSET(EM!$B$17,ROW($A30)-ROW($A$26)+(ROW(EM!$C$46)-ROW(EM!$C$14))*(MATCH(U$22,EM!$B$6:$B$9,0)-1),MIN(U$23-EM!$B$16+8,EM!$AF$16-EM!$B$16)),0)+
IF(ROUND(U$11,0)&gt;=10,OFFSET(EM!$B$17,ROW($A30)-ROW($A$26)+(ROW(EM!$C$46)-ROW(EM!$C$14))*(MATCH(U$22,EM!$B$6:$B$9,0)-1),MIN(U$23-EM!$B$16+9,EM!$AF$16-EM!$B$16)),0)+
IF(ROUND(U$11,0)&gt;=11,OFFSET(EM!$B$17,ROW($A30)-ROW($A$26)+(ROW(EM!$C$46)-ROW(EM!$C$14))*(MATCH(U$22,EM!$B$6:$B$9,0)-1),MIN(U$23-EM!$B$16+10,EM!$AF$16-EM!$B$16)),0)+
IF(ROUND(U$11,0)&gt;=12,OFFSET(EM!$B$17,ROW($A30)-ROW($A$26)+(ROW(EM!$C$46)-ROW(EM!$C$14))*(MATCH(U$22,EM!$B$6:$B$9,0)-1),MIN(U$23-EM!$B$16+11,EM!$AF$16-EM!$B$16)),0)+
IF(ROUND(U$11,0)&gt;=13,OFFSET(EM!$B$17,ROW($A30)-ROW($A$26)+(ROW(EM!$C$46)-ROW(EM!$C$14))*(MATCH(U$22,EM!$B$6:$B$9,0)-1),MIN(U$23-EM!$B$16+12,EM!$AF$16-EM!$B$16)),0)+
IF(ROUND(U$11,0)&gt;=14,OFFSET(EM!$B$17,ROW($A30)-ROW($A$26)+(ROW(EM!$C$46)-ROW(EM!$C$14))*(MATCH(U$22,EM!$B$6:$B$9,0)-1),MIN(U$23-EM!$B$16+13,EM!$AF$16-EM!$B$16)),0)+
IF(ROUND(U$11,0)&gt;=15,OFFSET(EM!$B$17,ROW($A30)-ROW($A$26)+(ROW(EM!$C$46)-ROW(EM!$C$14))*(MATCH(U$22,EM!$B$6:$B$9,0)-1),MIN(U$23-EM!$B$16+14,EM!$AF$16-EM!$B$16)),0)+
IF(ROUND(U$11,0)&gt;=16,OFFSET(EM!$B$17,ROW($A30)-ROW($A$26)+(ROW(EM!$C$46)-ROW(EM!$C$14))*(MATCH(U$22,EM!$B$6:$B$9,0)-1),MIN(U$23-EM!$B$16+15,EM!$AF$16-EM!$B$16)),0)+
IF(ROUND(U$11,0)&gt;=17,OFFSET(EM!$B$17,ROW($A30)-ROW($A$26)+(ROW(EM!$C$46)-ROW(EM!$C$14))*(MATCH(U$22,EM!$B$6:$B$9,0)-1),MIN(U$23-EM!$B$16+16,EM!$AF$16-EM!$B$16)),0)+
IF(ROUND(U$11,0)&gt;=18,OFFSET(EM!$B$17,ROW($A30)-ROW($A$26)+(ROW(EM!$C$46)-ROW(EM!$C$14))*(MATCH(U$22,EM!$B$6:$B$9,0)-1),MIN(U$23-EM!$B$16+17,EM!$AF$16-EM!$B$16)),0)+
IF(ROUND(U$11,0)&gt;=19,OFFSET(EM!$B$17,ROW($A30)-ROW($A$26)+(ROW(EM!$C$46)-ROW(EM!$C$14))*(MATCH(U$22,EM!$B$6:$B$9,0)-1),MIN(U$23-EM!$B$16+18,EM!$AF$16-EM!$B$16)),0)+
IF(ROUND(U$11,0)&gt;=20,OFFSET(EM!$B$17,ROW($A30)-ROW($A$26)+(ROW(EM!$C$46)-ROW(EM!$C$14))*(MATCH(U$22,EM!$B$6:$B$9,0)-1),MIN(U$23-EM!$B$16+19,EM!$AF$16-EM!$B$16)),0)+
IF(ROUND(U$11,0)&gt;=21,OFFSET(EM!$B$17,ROW($A30)-ROW($A$26)+(ROW(EM!$C$46)-ROW(EM!$C$14))*(MATCH(U$22,EM!$B$6:$B$9,0)-1),MIN(U$23-EM!$B$16+20,EM!$AF$16-EM!$B$16)),0)+
IF(ROUND(U$11,0)&gt;=22,OFFSET(EM!$B$17,ROW($A30)-ROW($A$26)+(ROW(EM!$C$46)-ROW(EM!$C$14))*(MATCH(U$22,EM!$B$6:$B$9,0)-1),MIN(U$23-EM!$B$16+21,EM!$AF$16-EM!$B$16)),0)+
IF(ROUND(U$11,0)&gt;=23,OFFSET(EM!$B$17,ROW($A30)-ROW($A$26)+(ROW(EM!$C$46)-ROW(EM!$C$14))*(MATCH(U$22,EM!$B$6:$B$9,0)-1),MIN(U$23-EM!$B$16+22,EM!$AF$16-EM!$B$16)),0)+
IF(ROUND(U$11,0)&gt;=24,OFFSET(EM!$B$17,ROW($A30)-ROW($A$26)+(ROW(EM!$C$46)-ROW(EM!$C$14))*(MATCH(U$22,EM!$B$6:$B$9,0)-1),MIN(U$23-EM!$B$16+23,EM!$AF$16-EM!$B$16)),0)+
IF(ROUND(U$11,0)&gt;=25,OFFSET(EM!$B$17,ROW($A30)-ROW($A$26)+(ROW(EM!$C$46)-ROW(EM!$C$14))*(MATCH(U$22,EM!$B$6:$B$9,0)-1),MIN(U$23-EM!$B$16+24,EM!$AF$16-EM!$B$16)),0)+
IF(ROUND(U$11,0)&gt;=26,OFFSET(EM!$B$17,ROW($A30)-ROW($A$26)+(ROW(EM!$C$46)-ROW(EM!$C$14))*(MATCH(U$22,EM!$B$6:$B$9,0)-1),MIN(U$23-EM!$B$16+25,EM!$AF$16-EM!$B$16)),0)+
IF(ROUND(U$11,0)&gt;=27,OFFSET(EM!$B$17,ROW($A30)-ROW($A$26)+(ROW(EM!$C$46)-ROW(EM!$C$14))*(MATCH(U$22,EM!$B$6:$B$9,0)-1),MIN(U$23-EM!$B$16+26,EM!$AF$16-EM!$B$16)),0)+
IF(ROUND(U$11,0)&gt;=28,OFFSET(EM!$B$17,ROW($A30)-ROW($A$26)+(ROW(EM!$C$46)-ROW(EM!$C$14))*(MATCH(U$22,EM!$B$6:$B$9,0)-1),MIN(U$23-EM!$B$16+27,EM!$AF$16-EM!$B$16)),0)+
IF(ROUND(U$11,0)&gt;=29,OFFSET(EM!$B$17,ROW($A30)-ROW($A$26)+(ROW(EM!$C$46)-ROW(EM!$C$14))*(MATCH(U$22,EM!$B$6:$B$9,0)-1),MIN(U$23-EM!$B$16+28,EM!$AF$16-EM!$B$16)),0)+
IF(ROUND(U$11,0)&gt;=30,OFFSET(EM!$B$17,ROW($A30)-ROW($A$26)+(ROW(EM!$C$46)-ROW(EM!$C$14))*(MATCH(U$22,EM!$B$6:$B$9,0)-1),MIN(U$23-EM!$B$16+29,EM!$AF$16-EM!$B$16)),0)+
IF(ROUND(U$11,0)&gt;=31,OFFSET(EM!$B$17,ROW($A30)-ROW($A$26)+(ROW(EM!$C$46)-ROW(EM!$C$14))*(MATCH(U$22,EM!$B$6:$B$9,0)-1),MIN(U$23-EM!$B$16+30,EM!$AF$16-EM!$B$16)),0)+
IF(ROUND(U$11,0)&gt;=32,OFFSET(EM!$B$17,ROW($A30)-ROW($A$26)+(ROW(EM!$C$46)-ROW(EM!$C$14))*(MATCH(U$22,EM!$B$6:$B$9,0)-1),MIN(U$23-EM!$B$16+31,EM!$AF$16-EM!$B$16)),0)+
IF(ROUND(U$11,0)&gt;=33,OFFSET(EM!$B$17,ROW($A30)-ROW($A$26)+(ROW(EM!$C$46)-ROW(EM!$C$14))*(MATCH(U$22,EM!$B$6:$B$9,0)-1),MIN(U$23-EM!$B$16+32,EM!$AF$16-EM!$B$16)),0)+
IF(ROUND(U$11,0)&gt;=34,OFFSET(EM!$B$17,ROW($A30)-ROW($A$26)+(ROW(EM!$C$46)-ROW(EM!$C$14))*(MATCH(U$22,EM!$B$6:$B$9,0)-1),MIN(U$23-EM!$B$16+33,EM!$AF$16-EM!$B$16)),0)+
IF(ROUND(U$11,0)&gt;=35,OFFSET(EM!$B$17,ROW($A30)-ROW($A$26)+(ROW(EM!$C$46)-ROW(EM!$C$14))*(MATCH(U$22,EM!$B$6:$B$9,0)-1),MIN(U$23-EM!$B$16+34,EM!$AF$16-EM!$B$16)),0)+
IF(ROUND(U$11,0)&gt;=36,OFFSET(EM!$B$17,ROW($A30)-ROW($A$26)+(ROW(EM!$C$46)-ROW(EM!$C$14))*(MATCH(U$22,EM!$B$6:$B$9,0)-1),MIN(U$23-EM!$B$16+35,EM!$AF$16-EM!$B$16)),0)+
IF(ROUND(U$11,0)&gt;=37,OFFSET(EM!$B$17,ROW($A30)-ROW($A$26)+(ROW(EM!$C$46)-ROW(EM!$C$14))*(MATCH(U$22,EM!$B$6:$B$9,0)-1),MIN(U$23-EM!$B$16+36,EM!$AF$16-EM!$B$16)),0)+
IF(ROUND(U$11,0)&gt;=38,OFFSET(EM!$B$17,ROW($A30)-ROW($A$26)+(ROW(EM!$C$46)-ROW(EM!$C$14))*(MATCH(U$22,EM!$B$6:$B$9,0)-1),MIN(U$23-EM!$B$16+37,EM!$AF$16-EM!$B$16)),0)+
IF(ROUND(U$11,0)&gt;=39,OFFSET(EM!$B$17,ROW($A30)-ROW($A$26)+(ROW(EM!$C$46)-ROW(EM!$C$14))*(MATCH(U$22,EM!$B$6:$B$9,0)-1),MIN(U$23-EM!$B$16+38,EM!$AF$16-EM!$B$16)),0)+
IF(ROUND(U$11,0)&gt;=40,OFFSET(EM!$B$17,ROW($A30)-ROW($A$26)+(ROW(EM!$C$46)-ROW(EM!$C$14))*(MATCH(U$22,EM!$B$6:$B$9,0)-1),MIN(U$23-EM!$B$16+39,EM!$AF$16-EM!$B$16)),0)
)/ROUND(U$11,0),NA()))</f>
        <v>1.7504398632274241E-2</v>
      </c>
      <c r="V30" s="2046">
        <f ca="1">IF(V$19=GPG!$A$28,IF(ROW(V30)-ROW(V$26)+1=MATCH(V$20,GPG!$A$5:$A$11,0),1,0),
IF(V$19=GPG!$A$29,
(IF(ROUND(V$11,0)&gt;=1,OFFSET(EM!$B$17,ROW($A30)-ROW($A$26)+(ROW(EM!$C$46)-ROW(EM!$C$14))*(MATCH(V$22,EM!$B$6:$B$9,0)-1),MIN(V$23-EM!$B$16,EM!$AF$16-EM!$B$16)),0)+
IF(ROUND(V$11,0)&gt;=2,OFFSET(EM!$B$17,ROW($A30)-ROW($A$26)+(ROW(EM!$C$46)-ROW(EM!$C$14))*(MATCH(V$22,EM!$B$6:$B$9,0)-1),MIN(V$23-EM!$B$16+1,EM!$AF$16-EM!$B$16)),0)+
IF(ROUND(V$11,0)&gt;=3,OFFSET(EM!$B$17,ROW($A30)-ROW($A$26)+(ROW(EM!$C$46)-ROW(EM!$C$14))*(MATCH(V$22,EM!$B$6:$B$9,0)-1),MIN(V$23-EM!$B$16+2,EM!$AF$16-EM!$B$16)),0)+
IF(ROUND(V$11,0)&gt;=4,OFFSET(EM!$B$17,ROW($A30)-ROW($A$26)+(ROW(EM!$C$46)-ROW(EM!$C$14))*(MATCH(V$22,EM!$B$6:$B$9,0)-1),MIN(V$23-EM!$B$16+3,EM!$AF$16-EM!$B$16)),0)+
IF(ROUND(V$11,0)&gt;=5,OFFSET(EM!$B$17,ROW($A30)-ROW($A$26)+(ROW(EM!$C$46)-ROW(EM!$C$14))*(MATCH(V$22,EM!$B$6:$B$9,0)-1),MIN(V$23-EM!$B$16+4,EM!$AF$16-EM!$B$16)),0)+
IF(ROUND(V$11,0)&gt;=6,OFFSET(EM!$B$17,ROW($A30)-ROW($A$26)+(ROW(EM!$C$46)-ROW(EM!$C$14))*(MATCH(V$22,EM!$B$6:$B$9,0)-1),MIN(V$23-EM!$B$16+5,EM!$AF$16-EM!$B$16)),0)+
IF(ROUND(V$11,0)&gt;=7,OFFSET(EM!$B$17,ROW($A30)-ROW($A$26)+(ROW(EM!$C$46)-ROW(EM!$C$14))*(MATCH(V$22,EM!$B$6:$B$9,0)-1),MIN(V$23-EM!$B$16+6,EM!$AF$16-EM!$B$16)),0)+
IF(ROUND(V$11,0)&gt;=8,OFFSET(EM!$B$17,ROW($A30)-ROW($A$26)+(ROW(EM!$C$46)-ROW(EM!$C$14))*(MATCH(V$22,EM!$B$6:$B$9,0)-1),MIN(V$23-EM!$B$16+7,EM!$AF$16-EM!$B$16)),0)+
IF(ROUND(V$11,0)&gt;=9,OFFSET(EM!$B$17,ROW($A30)-ROW($A$26)+(ROW(EM!$C$46)-ROW(EM!$C$14))*(MATCH(V$22,EM!$B$6:$B$9,0)-1),MIN(V$23-EM!$B$16+8,EM!$AF$16-EM!$B$16)),0)+
IF(ROUND(V$11,0)&gt;=10,OFFSET(EM!$B$17,ROW($A30)-ROW($A$26)+(ROW(EM!$C$46)-ROW(EM!$C$14))*(MATCH(V$22,EM!$B$6:$B$9,0)-1),MIN(V$23-EM!$B$16+9,EM!$AF$16-EM!$B$16)),0)+
IF(ROUND(V$11,0)&gt;=11,OFFSET(EM!$B$17,ROW($A30)-ROW($A$26)+(ROW(EM!$C$46)-ROW(EM!$C$14))*(MATCH(V$22,EM!$B$6:$B$9,0)-1),MIN(V$23-EM!$B$16+10,EM!$AF$16-EM!$B$16)),0)+
IF(ROUND(V$11,0)&gt;=12,OFFSET(EM!$B$17,ROW($A30)-ROW($A$26)+(ROW(EM!$C$46)-ROW(EM!$C$14))*(MATCH(V$22,EM!$B$6:$B$9,0)-1),MIN(V$23-EM!$B$16+11,EM!$AF$16-EM!$B$16)),0)+
IF(ROUND(V$11,0)&gt;=13,OFFSET(EM!$B$17,ROW($A30)-ROW($A$26)+(ROW(EM!$C$46)-ROW(EM!$C$14))*(MATCH(V$22,EM!$B$6:$B$9,0)-1),MIN(V$23-EM!$B$16+12,EM!$AF$16-EM!$B$16)),0)+
IF(ROUND(V$11,0)&gt;=14,OFFSET(EM!$B$17,ROW($A30)-ROW($A$26)+(ROW(EM!$C$46)-ROW(EM!$C$14))*(MATCH(V$22,EM!$B$6:$B$9,0)-1),MIN(V$23-EM!$B$16+13,EM!$AF$16-EM!$B$16)),0)+
IF(ROUND(V$11,0)&gt;=15,OFFSET(EM!$B$17,ROW($A30)-ROW($A$26)+(ROW(EM!$C$46)-ROW(EM!$C$14))*(MATCH(V$22,EM!$B$6:$B$9,0)-1),MIN(V$23-EM!$B$16+14,EM!$AF$16-EM!$B$16)),0)+
IF(ROUND(V$11,0)&gt;=16,OFFSET(EM!$B$17,ROW($A30)-ROW($A$26)+(ROW(EM!$C$46)-ROW(EM!$C$14))*(MATCH(V$22,EM!$B$6:$B$9,0)-1),MIN(V$23-EM!$B$16+15,EM!$AF$16-EM!$B$16)),0)+
IF(ROUND(V$11,0)&gt;=17,OFFSET(EM!$B$17,ROW($A30)-ROW($A$26)+(ROW(EM!$C$46)-ROW(EM!$C$14))*(MATCH(V$22,EM!$B$6:$B$9,0)-1),MIN(V$23-EM!$B$16+16,EM!$AF$16-EM!$B$16)),0)+
IF(ROUND(V$11,0)&gt;=18,OFFSET(EM!$B$17,ROW($A30)-ROW($A$26)+(ROW(EM!$C$46)-ROW(EM!$C$14))*(MATCH(V$22,EM!$B$6:$B$9,0)-1),MIN(V$23-EM!$B$16+17,EM!$AF$16-EM!$B$16)),0)+
IF(ROUND(V$11,0)&gt;=19,OFFSET(EM!$B$17,ROW($A30)-ROW($A$26)+(ROW(EM!$C$46)-ROW(EM!$C$14))*(MATCH(V$22,EM!$B$6:$B$9,0)-1),MIN(V$23-EM!$B$16+18,EM!$AF$16-EM!$B$16)),0)+
IF(ROUND(V$11,0)&gt;=20,OFFSET(EM!$B$17,ROW($A30)-ROW($A$26)+(ROW(EM!$C$46)-ROW(EM!$C$14))*(MATCH(V$22,EM!$B$6:$B$9,0)-1),MIN(V$23-EM!$B$16+19,EM!$AF$16-EM!$B$16)),0)+
IF(ROUND(V$11,0)&gt;=21,OFFSET(EM!$B$17,ROW($A30)-ROW($A$26)+(ROW(EM!$C$46)-ROW(EM!$C$14))*(MATCH(V$22,EM!$B$6:$B$9,0)-1),MIN(V$23-EM!$B$16+20,EM!$AF$16-EM!$B$16)),0)+
IF(ROUND(V$11,0)&gt;=22,OFFSET(EM!$B$17,ROW($A30)-ROW($A$26)+(ROW(EM!$C$46)-ROW(EM!$C$14))*(MATCH(V$22,EM!$B$6:$B$9,0)-1),MIN(V$23-EM!$B$16+21,EM!$AF$16-EM!$B$16)),0)+
IF(ROUND(V$11,0)&gt;=23,OFFSET(EM!$B$17,ROW($A30)-ROW($A$26)+(ROW(EM!$C$46)-ROW(EM!$C$14))*(MATCH(V$22,EM!$B$6:$B$9,0)-1),MIN(V$23-EM!$B$16+22,EM!$AF$16-EM!$B$16)),0)+
IF(ROUND(V$11,0)&gt;=24,OFFSET(EM!$B$17,ROW($A30)-ROW($A$26)+(ROW(EM!$C$46)-ROW(EM!$C$14))*(MATCH(V$22,EM!$B$6:$B$9,0)-1),MIN(V$23-EM!$B$16+23,EM!$AF$16-EM!$B$16)),0)+
IF(ROUND(V$11,0)&gt;=25,OFFSET(EM!$B$17,ROW($A30)-ROW($A$26)+(ROW(EM!$C$46)-ROW(EM!$C$14))*(MATCH(V$22,EM!$B$6:$B$9,0)-1),MIN(V$23-EM!$B$16+24,EM!$AF$16-EM!$B$16)),0)+
IF(ROUND(V$11,0)&gt;=26,OFFSET(EM!$B$17,ROW($A30)-ROW($A$26)+(ROW(EM!$C$46)-ROW(EM!$C$14))*(MATCH(V$22,EM!$B$6:$B$9,0)-1),MIN(V$23-EM!$B$16+25,EM!$AF$16-EM!$B$16)),0)+
IF(ROUND(V$11,0)&gt;=27,OFFSET(EM!$B$17,ROW($A30)-ROW($A$26)+(ROW(EM!$C$46)-ROW(EM!$C$14))*(MATCH(V$22,EM!$B$6:$B$9,0)-1),MIN(V$23-EM!$B$16+26,EM!$AF$16-EM!$B$16)),0)+
IF(ROUND(V$11,0)&gt;=28,OFFSET(EM!$B$17,ROW($A30)-ROW($A$26)+(ROW(EM!$C$46)-ROW(EM!$C$14))*(MATCH(V$22,EM!$B$6:$B$9,0)-1),MIN(V$23-EM!$B$16+27,EM!$AF$16-EM!$B$16)),0)+
IF(ROUND(V$11,0)&gt;=29,OFFSET(EM!$B$17,ROW($A30)-ROW($A$26)+(ROW(EM!$C$46)-ROW(EM!$C$14))*(MATCH(V$22,EM!$B$6:$B$9,0)-1),MIN(V$23-EM!$B$16+28,EM!$AF$16-EM!$B$16)),0)+
IF(ROUND(V$11,0)&gt;=30,OFFSET(EM!$B$17,ROW($A30)-ROW($A$26)+(ROW(EM!$C$46)-ROW(EM!$C$14))*(MATCH(V$22,EM!$B$6:$B$9,0)-1),MIN(V$23-EM!$B$16+29,EM!$AF$16-EM!$B$16)),0)+
IF(ROUND(V$11,0)&gt;=31,OFFSET(EM!$B$17,ROW($A30)-ROW($A$26)+(ROW(EM!$C$46)-ROW(EM!$C$14))*(MATCH(V$22,EM!$B$6:$B$9,0)-1),MIN(V$23-EM!$B$16+30,EM!$AF$16-EM!$B$16)),0)+
IF(ROUND(V$11,0)&gt;=32,OFFSET(EM!$B$17,ROW($A30)-ROW($A$26)+(ROW(EM!$C$46)-ROW(EM!$C$14))*(MATCH(V$22,EM!$B$6:$B$9,0)-1),MIN(V$23-EM!$B$16+31,EM!$AF$16-EM!$B$16)),0)+
IF(ROUND(V$11,0)&gt;=33,OFFSET(EM!$B$17,ROW($A30)-ROW($A$26)+(ROW(EM!$C$46)-ROW(EM!$C$14))*(MATCH(V$22,EM!$B$6:$B$9,0)-1),MIN(V$23-EM!$B$16+32,EM!$AF$16-EM!$B$16)),0)+
IF(ROUND(V$11,0)&gt;=34,OFFSET(EM!$B$17,ROW($A30)-ROW($A$26)+(ROW(EM!$C$46)-ROW(EM!$C$14))*(MATCH(V$22,EM!$B$6:$B$9,0)-1),MIN(V$23-EM!$B$16+33,EM!$AF$16-EM!$B$16)),0)+
IF(ROUND(V$11,0)&gt;=35,OFFSET(EM!$B$17,ROW($A30)-ROW($A$26)+(ROW(EM!$C$46)-ROW(EM!$C$14))*(MATCH(V$22,EM!$B$6:$B$9,0)-1),MIN(V$23-EM!$B$16+34,EM!$AF$16-EM!$B$16)),0)+
IF(ROUND(V$11,0)&gt;=36,OFFSET(EM!$B$17,ROW($A30)-ROW($A$26)+(ROW(EM!$C$46)-ROW(EM!$C$14))*(MATCH(V$22,EM!$B$6:$B$9,0)-1),MIN(V$23-EM!$B$16+35,EM!$AF$16-EM!$B$16)),0)+
IF(ROUND(V$11,0)&gt;=37,OFFSET(EM!$B$17,ROW($A30)-ROW($A$26)+(ROW(EM!$C$46)-ROW(EM!$C$14))*(MATCH(V$22,EM!$B$6:$B$9,0)-1),MIN(V$23-EM!$B$16+36,EM!$AF$16-EM!$B$16)),0)+
IF(ROUND(V$11,0)&gt;=38,OFFSET(EM!$B$17,ROW($A30)-ROW($A$26)+(ROW(EM!$C$46)-ROW(EM!$C$14))*(MATCH(V$22,EM!$B$6:$B$9,0)-1),MIN(V$23-EM!$B$16+37,EM!$AF$16-EM!$B$16)),0)+
IF(ROUND(V$11,0)&gt;=39,OFFSET(EM!$B$17,ROW($A30)-ROW($A$26)+(ROW(EM!$C$46)-ROW(EM!$C$14))*(MATCH(V$22,EM!$B$6:$B$9,0)-1),MIN(V$23-EM!$B$16+38,EM!$AF$16-EM!$B$16)),0)+
IF(ROUND(V$11,0)&gt;=40,OFFSET(EM!$B$17,ROW($A30)-ROW($A$26)+(ROW(EM!$C$46)-ROW(EM!$C$14))*(MATCH(V$22,EM!$B$6:$B$9,0)-1),MIN(V$23-EM!$B$16+39,EM!$AF$16-EM!$B$16)),0)
)/ROUND(V$11,0),NA()))</f>
        <v>1.7504398632274241E-2</v>
      </c>
      <c r="W30" s="2046">
        <f ca="1">IF(W$19=GPG!$A$28,IF(ROW(W30)-ROW(W$26)+1=MATCH(W$20,GPG!$A$5:$A$11,0),1,0),
IF(W$19=GPG!$A$29,
(IF(ROUND(W$11,0)&gt;=1,OFFSET(EM!$B$17,ROW($A30)-ROW($A$26)+(ROW(EM!$C$46)-ROW(EM!$C$14))*(MATCH(W$22,EM!$B$6:$B$9,0)-1),MIN(W$23-EM!$B$16,EM!$AF$16-EM!$B$16)),0)+
IF(ROUND(W$11,0)&gt;=2,OFFSET(EM!$B$17,ROW($A30)-ROW($A$26)+(ROW(EM!$C$46)-ROW(EM!$C$14))*(MATCH(W$22,EM!$B$6:$B$9,0)-1),MIN(W$23-EM!$B$16+1,EM!$AF$16-EM!$B$16)),0)+
IF(ROUND(W$11,0)&gt;=3,OFFSET(EM!$B$17,ROW($A30)-ROW($A$26)+(ROW(EM!$C$46)-ROW(EM!$C$14))*(MATCH(W$22,EM!$B$6:$B$9,0)-1),MIN(W$23-EM!$B$16+2,EM!$AF$16-EM!$B$16)),0)+
IF(ROUND(W$11,0)&gt;=4,OFFSET(EM!$B$17,ROW($A30)-ROW($A$26)+(ROW(EM!$C$46)-ROW(EM!$C$14))*(MATCH(W$22,EM!$B$6:$B$9,0)-1),MIN(W$23-EM!$B$16+3,EM!$AF$16-EM!$B$16)),0)+
IF(ROUND(W$11,0)&gt;=5,OFFSET(EM!$B$17,ROW($A30)-ROW($A$26)+(ROW(EM!$C$46)-ROW(EM!$C$14))*(MATCH(W$22,EM!$B$6:$B$9,0)-1),MIN(W$23-EM!$B$16+4,EM!$AF$16-EM!$B$16)),0)+
IF(ROUND(W$11,0)&gt;=6,OFFSET(EM!$B$17,ROW($A30)-ROW($A$26)+(ROW(EM!$C$46)-ROW(EM!$C$14))*(MATCH(W$22,EM!$B$6:$B$9,0)-1),MIN(W$23-EM!$B$16+5,EM!$AF$16-EM!$B$16)),0)+
IF(ROUND(W$11,0)&gt;=7,OFFSET(EM!$B$17,ROW($A30)-ROW($A$26)+(ROW(EM!$C$46)-ROW(EM!$C$14))*(MATCH(W$22,EM!$B$6:$B$9,0)-1),MIN(W$23-EM!$B$16+6,EM!$AF$16-EM!$B$16)),0)+
IF(ROUND(W$11,0)&gt;=8,OFFSET(EM!$B$17,ROW($A30)-ROW($A$26)+(ROW(EM!$C$46)-ROW(EM!$C$14))*(MATCH(W$22,EM!$B$6:$B$9,0)-1),MIN(W$23-EM!$B$16+7,EM!$AF$16-EM!$B$16)),0)+
IF(ROUND(W$11,0)&gt;=9,OFFSET(EM!$B$17,ROW($A30)-ROW($A$26)+(ROW(EM!$C$46)-ROW(EM!$C$14))*(MATCH(W$22,EM!$B$6:$B$9,0)-1),MIN(W$23-EM!$B$16+8,EM!$AF$16-EM!$B$16)),0)+
IF(ROUND(W$11,0)&gt;=10,OFFSET(EM!$B$17,ROW($A30)-ROW($A$26)+(ROW(EM!$C$46)-ROW(EM!$C$14))*(MATCH(W$22,EM!$B$6:$B$9,0)-1),MIN(W$23-EM!$B$16+9,EM!$AF$16-EM!$B$16)),0)+
IF(ROUND(W$11,0)&gt;=11,OFFSET(EM!$B$17,ROW($A30)-ROW($A$26)+(ROW(EM!$C$46)-ROW(EM!$C$14))*(MATCH(W$22,EM!$B$6:$B$9,0)-1),MIN(W$23-EM!$B$16+10,EM!$AF$16-EM!$B$16)),0)+
IF(ROUND(W$11,0)&gt;=12,OFFSET(EM!$B$17,ROW($A30)-ROW($A$26)+(ROW(EM!$C$46)-ROW(EM!$C$14))*(MATCH(W$22,EM!$B$6:$B$9,0)-1),MIN(W$23-EM!$B$16+11,EM!$AF$16-EM!$B$16)),0)+
IF(ROUND(W$11,0)&gt;=13,OFFSET(EM!$B$17,ROW($A30)-ROW($A$26)+(ROW(EM!$C$46)-ROW(EM!$C$14))*(MATCH(W$22,EM!$B$6:$B$9,0)-1),MIN(W$23-EM!$B$16+12,EM!$AF$16-EM!$B$16)),0)+
IF(ROUND(W$11,0)&gt;=14,OFFSET(EM!$B$17,ROW($A30)-ROW($A$26)+(ROW(EM!$C$46)-ROW(EM!$C$14))*(MATCH(W$22,EM!$B$6:$B$9,0)-1),MIN(W$23-EM!$B$16+13,EM!$AF$16-EM!$B$16)),0)+
IF(ROUND(W$11,0)&gt;=15,OFFSET(EM!$B$17,ROW($A30)-ROW($A$26)+(ROW(EM!$C$46)-ROW(EM!$C$14))*(MATCH(W$22,EM!$B$6:$B$9,0)-1),MIN(W$23-EM!$B$16+14,EM!$AF$16-EM!$B$16)),0)+
IF(ROUND(W$11,0)&gt;=16,OFFSET(EM!$B$17,ROW($A30)-ROW($A$26)+(ROW(EM!$C$46)-ROW(EM!$C$14))*(MATCH(W$22,EM!$B$6:$B$9,0)-1),MIN(W$23-EM!$B$16+15,EM!$AF$16-EM!$B$16)),0)+
IF(ROUND(W$11,0)&gt;=17,OFFSET(EM!$B$17,ROW($A30)-ROW($A$26)+(ROW(EM!$C$46)-ROW(EM!$C$14))*(MATCH(W$22,EM!$B$6:$B$9,0)-1),MIN(W$23-EM!$B$16+16,EM!$AF$16-EM!$B$16)),0)+
IF(ROUND(W$11,0)&gt;=18,OFFSET(EM!$B$17,ROW($A30)-ROW($A$26)+(ROW(EM!$C$46)-ROW(EM!$C$14))*(MATCH(W$22,EM!$B$6:$B$9,0)-1),MIN(W$23-EM!$B$16+17,EM!$AF$16-EM!$B$16)),0)+
IF(ROUND(W$11,0)&gt;=19,OFFSET(EM!$B$17,ROW($A30)-ROW($A$26)+(ROW(EM!$C$46)-ROW(EM!$C$14))*(MATCH(W$22,EM!$B$6:$B$9,0)-1),MIN(W$23-EM!$B$16+18,EM!$AF$16-EM!$B$16)),0)+
IF(ROUND(W$11,0)&gt;=20,OFFSET(EM!$B$17,ROW($A30)-ROW($A$26)+(ROW(EM!$C$46)-ROW(EM!$C$14))*(MATCH(W$22,EM!$B$6:$B$9,0)-1),MIN(W$23-EM!$B$16+19,EM!$AF$16-EM!$B$16)),0)+
IF(ROUND(W$11,0)&gt;=21,OFFSET(EM!$B$17,ROW($A30)-ROW($A$26)+(ROW(EM!$C$46)-ROW(EM!$C$14))*(MATCH(W$22,EM!$B$6:$B$9,0)-1),MIN(W$23-EM!$B$16+20,EM!$AF$16-EM!$B$16)),0)+
IF(ROUND(W$11,0)&gt;=22,OFFSET(EM!$B$17,ROW($A30)-ROW($A$26)+(ROW(EM!$C$46)-ROW(EM!$C$14))*(MATCH(W$22,EM!$B$6:$B$9,0)-1),MIN(W$23-EM!$B$16+21,EM!$AF$16-EM!$B$16)),0)+
IF(ROUND(W$11,0)&gt;=23,OFFSET(EM!$B$17,ROW($A30)-ROW($A$26)+(ROW(EM!$C$46)-ROW(EM!$C$14))*(MATCH(W$22,EM!$B$6:$B$9,0)-1),MIN(W$23-EM!$B$16+22,EM!$AF$16-EM!$B$16)),0)+
IF(ROUND(W$11,0)&gt;=24,OFFSET(EM!$B$17,ROW($A30)-ROW($A$26)+(ROW(EM!$C$46)-ROW(EM!$C$14))*(MATCH(W$22,EM!$B$6:$B$9,0)-1),MIN(W$23-EM!$B$16+23,EM!$AF$16-EM!$B$16)),0)+
IF(ROUND(W$11,0)&gt;=25,OFFSET(EM!$B$17,ROW($A30)-ROW($A$26)+(ROW(EM!$C$46)-ROW(EM!$C$14))*(MATCH(W$22,EM!$B$6:$B$9,0)-1),MIN(W$23-EM!$B$16+24,EM!$AF$16-EM!$B$16)),0)+
IF(ROUND(W$11,0)&gt;=26,OFFSET(EM!$B$17,ROW($A30)-ROW($A$26)+(ROW(EM!$C$46)-ROW(EM!$C$14))*(MATCH(W$22,EM!$B$6:$B$9,0)-1),MIN(W$23-EM!$B$16+25,EM!$AF$16-EM!$B$16)),0)+
IF(ROUND(W$11,0)&gt;=27,OFFSET(EM!$B$17,ROW($A30)-ROW($A$26)+(ROW(EM!$C$46)-ROW(EM!$C$14))*(MATCH(W$22,EM!$B$6:$B$9,0)-1),MIN(W$23-EM!$B$16+26,EM!$AF$16-EM!$B$16)),0)+
IF(ROUND(W$11,0)&gt;=28,OFFSET(EM!$B$17,ROW($A30)-ROW($A$26)+(ROW(EM!$C$46)-ROW(EM!$C$14))*(MATCH(W$22,EM!$B$6:$B$9,0)-1),MIN(W$23-EM!$B$16+27,EM!$AF$16-EM!$B$16)),0)+
IF(ROUND(W$11,0)&gt;=29,OFFSET(EM!$B$17,ROW($A30)-ROW($A$26)+(ROW(EM!$C$46)-ROW(EM!$C$14))*(MATCH(W$22,EM!$B$6:$B$9,0)-1),MIN(W$23-EM!$B$16+28,EM!$AF$16-EM!$B$16)),0)+
IF(ROUND(W$11,0)&gt;=30,OFFSET(EM!$B$17,ROW($A30)-ROW($A$26)+(ROW(EM!$C$46)-ROW(EM!$C$14))*(MATCH(W$22,EM!$B$6:$B$9,0)-1),MIN(W$23-EM!$B$16+29,EM!$AF$16-EM!$B$16)),0)+
IF(ROUND(W$11,0)&gt;=31,OFFSET(EM!$B$17,ROW($A30)-ROW($A$26)+(ROW(EM!$C$46)-ROW(EM!$C$14))*(MATCH(W$22,EM!$B$6:$B$9,0)-1),MIN(W$23-EM!$B$16+30,EM!$AF$16-EM!$B$16)),0)+
IF(ROUND(W$11,0)&gt;=32,OFFSET(EM!$B$17,ROW($A30)-ROW($A$26)+(ROW(EM!$C$46)-ROW(EM!$C$14))*(MATCH(W$22,EM!$B$6:$B$9,0)-1),MIN(W$23-EM!$B$16+31,EM!$AF$16-EM!$B$16)),0)+
IF(ROUND(W$11,0)&gt;=33,OFFSET(EM!$B$17,ROW($A30)-ROW($A$26)+(ROW(EM!$C$46)-ROW(EM!$C$14))*(MATCH(W$22,EM!$B$6:$B$9,0)-1),MIN(W$23-EM!$B$16+32,EM!$AF$16-EM!$B$16)),0)+
IF(ROUND(W$11,0)&gt;=34,OFFSET(EM!$B$17,ROW($A30)-ROW($A$26)+(ROW(EM!$C$46)-ROW(EM!$C$14))*(MATCH(W$22,EM!$B$6:$B$9,0)-1),MIN(W$23-EM!$B$16+33,EM!$AF$16-EM!$B$16)),0)+
IF(ROUND(W$11,0)&gt;=35,OFFSET(EM!$B$17,ROW($A30)-ROW($A$26)+(ROW(EM!$C$46)-ROW(EM!$C$14))*(MATCH(W$22,EM!$B$6:$B$9,0)-1),MIN(W$23-EM!$B$16+34,EM!$AF$16-EM!$B$16)),0)+
IF(ROUND(W$11,0)&gt;=36,OFFSET(EM!$B$17,ROW($A30)-ROW($A$26)+(ROW(EM!$C$46)-ROW(EM!$C$14))*(MATCH(W$22,EM!$B$6:$B$9,0)-1),MIN(W$23-EM!$B$16+35,EM!$AF$16-EM!$B$16)),0)+
IF(ROUND(W$11,0)&gt;=37,OFFSET(EM!$B$17,ROW($A30)-ROW($A$26)+(ROW(EM!$C$46)-ROW(EM!$C$14))*(MATCH(W$22,EM!$B$6:$B$9,0)-1),MIN(W$23-EM!$B$16+36,EM!$AF$16-EM!$B$16)),0)+
IF(ROUND(W$11,0)&gt;=38,OFFSET(EM!$B$17,ROW($A30)-ROW($A$26)+(ROW(EM!$C$46)-ROW(EM!$C$14))*(MATCH(W$22,EM!$B$6:$B$9,0)-1),MIN(W$23-EM!$B$16+37,EM!$AF$16-EM!$B$16)),0)+
IF(ROUND(W$11,0)&gt;=39,OFFSET(EM!$B$17,ROW($A30)-ROW($A$26)+(ROW(EM!$C$46)-ROW(EM!$C$14))*(MATCH(W$22,EM!$B$6:$B$9,0)-1),MIN(W$23-EM!$B$16+38,EM!$AF$16-EM!$B$16)),0)+
IF(ROUND(W$11,0)&gt;=40,OFFSET(EM!$B$17,ROW($A30)-ROW($A$26)+(ROW(EM!$C$46)-ROW(EM!$C$14))*(MATCH(W$22,EM!$B$6:$B$9,0)-1),MIN(W$23-EM!$B$16+39,EM!$AF$16-EM!$B$16)),0)
)/ROUND(W$11,0),NA()))</f>
        <v>1.7504398632274241E-2</v>
      </c>
      <c r="X30" s="2046">
        <f ca="1">IF(X$19=GPG!$A$28,IF(ROW(X30)-ROW(X$26)+1=MATCH(X$20,GPG!$A$5:$A$11,0),1,0),
IF(X$19=GPG!$A$29,
(IF(ROUND(X$11,0)&gt;=1,OFFSET(EM!$B$17,ROW($A30)-ROW($A$26)+(ROW(EM!$C$46)-ROW(EM!$C$14))*(MATCH(X$22,EM!$B$6:$B$9,0)-1),MIN(X$23-EM!$B$16,EM!$AF$16-EM!$B$16)),0)+
IF(ROUND(X$11,0)&gt;=2,OFFSET(EM!$B$17,ROW($A30)-ROW($A$26)+(ROW(EM!$C$46)-ROW(EM!$C$14))*(MATCH(X$22,EM!$B$6:$B$9,0)-1),MIN(X$23-EM!$B$16+1,EM!$AF$16-EM!$B$16)),0)+
IF(ROUND(X$11,0)&gt;=3,OFFSET(EM!$B$17,ROW($A30)-ROW($A$26)+(ROW(EM!$C$46)-ROW(EM!$C$14))*(MATCH(X$22,EM!$B$6:$B$9,0)-1),MIN(X$23-EM!$B$16+2,EM!$AF$16-EM!$B$16)),0)+
IF(ROUND(X$11,0)&gt;=4,OFFSET(EM!$B$17,ROW($A30)-ROW($A$26)+(ROW(EM!$C$46)-ROW(EM!$C$14))*(MATCH(X$22,EM!$B$6:$B$9,0)-1),MIN(X$23-EM!$B$16+3,EM!$AF$16-EM!$B$16)),0)+
IF(ROUND(X$11,0)&gt;=5,OFFSET(EM!$B$17,ROW($A30)-ROW($A$26)+(ROW(EM!$C$46)-ROW(EM!$C$14))*(MATCH(X$22,EM!$B$6:$B$9,0)-1),MIN(X$23-EM!$B$16+4,EM!$AF$16-EM!$B$16)),0)+
IF(ROUND(X$11,0)&gt;=6,OFFSET(EM!$B$17,ROW($A30)-ROW($A$26)+(ROW(EM!$C$46)-ROW(EM!$C$14))*(MATCH(X$22,EM!$B$6:$B$9,0)-1),MIN(X$23-EM!$B$16+5,EM!$AF$16-EM!$B$16)),0)+
IF(ROUND(X$11,0)&gt;=7,OFFSET(EM!$B$17,ROW($A30)-ROW($A$26)+(ROW(EM!$C$46)-ROW(EM!$C$14))*(MATCH(X$22,EM!$B$6:$B$9,0)-1),MIN(X$23-EM!$B$16+6,EM!$AF$16-EM!$B$16)),0)+
IF(ROUND(X$11,0)&gt;=8,OFFSET(EM!$B$17,ROW($A30)-ROW($A$26)+(ROW(EM!$C$46)-ROW(EM!$C$14))*(MATCH(X$22,EM!$B$6:$B$9,0)-1),MIN(X$23-EM!$B$16+7,EM!$AF$16-EM!$B$16)),0)+
IF(ROUND(X$11,0)&gt;=9,OFFSET(EM!$B$17,ROW($A30)-ROW($A$26)+(ROW(EM!$C$46)-ROW(EM!$C$14))*(MATCH(X$22,EM!$B$6:$B$9,0)-1),MIN(X$23-EM!$B$16+8,EM!$AF$16-EM!$B$16)),0)+
IF(ROUND(X$11,0)&gt;=10,OFFSET(EM!$B$17,ROW($A30)-ROW($A$26)+(ROW(EM!$C$46)-ROW(EM!$C$14))*(MATCH(X$22,EM!$B$6:$B$9,0)-1),MIN(X$23-EM!$B$16+9,EM!$AF$16-EM!$B$16)),0)+
IF(ROUND(X$11,0)&gt;=11,OFFSET(EM!$B$17,ROW($A30)-ROW($A$26)+(ROW(EM!$C$46)-ROW(EM!$C$14))*(MATCH(X$22,EM!$B$6:$B$9,0)-1),MIN(X$23-EM!$B$16+10,EM!$AF$16-EM!$B$16)),0)+
IF(ROUND(X$11,0)&gt;=12,OFFSET(EM!$B$17,ROW($A30)-ROW($A$26)+(ROW(EM!$C$46)-ROW(EM!$C$14))*(MATCH(X$22,EM!$B$6:$B$9,0)-1),MIN(X$23-EM!$B$16+11,EM!$AF$16-EM!$B$16)),0)+
IF(ROUND(X$11,0)&gt;=13,OFFSET(EM!$B$17,ROW($A30)-ROW($A$26)+(ROW(EM!$C$46)-ROW(EM!$C$14))*(MATCH(X$22,EM!$B$6:$B$9,0)-1),MIN(X$23-EM!$B$16+12,EM!$AF$16-EM!$B$16)),0)+
IF(ROUND(X$11,0)&gt;=14,OFFSET(EM!$B$17,ROW($A30)-ROW($A$26)+(ROW(EM!$C$46)-ROW(EM!$C$14))*(MATCH(X$22,EM!$B$6:$B$9,0)-1),MIN(X$23-EM!$B$16+13,EM!$AF$16-EM!$B$16)),0)+
IF(ROUND(X$11,0)&gt;=15,OFFSET(EM!$B$17,ROW($A30)-ROW($A$26)+(ROW(EM!$C$46)-ROW(EM!$C$14))*(MATCH(X$22,EM!$B$6:$B$9,0)-1),MIN(X$23-EM!$B$16+14,EM!$AF$16-EM!$B$16)),0)+
IF(ROUND(X$11,0)&gt;=16,OFFSET(EM!$B$17,ROW($A30)-ROW($A$26)+(ROW(EM!$C$46)-ROW(EM!$C$14))*(MATCH(X$22,EM!$B$6:$B$9,0)-1),MIN(X$23-EM!$B$16+15,EM!$AF$16-EM!$B$16)),0)+
IF(ROUND(X$11,0)&gt;=17,OFFSET(EM!$B$17,ROW($A30)-ROW($A$26)+(ROW(EM!$C$46)-ROW(EM!$C$14))*(MATCH(X$22,EM!$B$6:$B$9,0)-1),MIN(X$23-EM!$B$16+16,EM!$AF$16-EM!$B$16)),0)+
IF(ROUND(X$11,0)&gt;=18,OFFSET(EM!$B$17,ROW($A30)-ROW($A$26)+(ROW(EM!$C$46)-ROW(EM!$C$14))*(MATCH(X$22,EM!$B$6:$B$9,0)-1),MIN(X$23-EM!$B$16+17,EM!$AF$16-EM!$B$16)),0)+
IF(ROUND(X$11,0)&gt;=19,OFFSET(EM!$B$17,ROW($A30)-ROW($A$26)+(ROW(EM!$C$46)-ROW(EM!$C$14))*(MATCH(X$22,EM!$B$6:$B$9,0)-1),MIN(X$23-EM!$B$16+18,EM!$AF$16-EM!$B$16)),0)+
IF(ROUND(X$11,0)&gt;=20,OFFSET(EM!$B$17,ROW($A30)-ROW($A$26)+(ROW(EM!$C$46)-ROW(EM!$C$14))*(MATCH(X$22,EM!$B$6:$B$9,0)-1),MIN(X$23-EM!$B$16+19,EM!$AF$16-EM!$B$16)),0)+
IF(ROUND(X$11,0)&gt;=21,OFFSET(EM!$B$17,ROW($A30)-ROW($A$26)+(ROW(EM!$C$46)-ROW(EM!$C$14))*(MATCH(X$22,EM!$B$6:$B$9,0)-1),MIN(X$23-EM!$B$16+20,EM!$AF$16-EM!$B$16)),0)+
IF(ROUND(X$11,0)&gt;=22,OFFSET(EM!$B$17,ROW($A30)-ROW($A$26)+(ROW(EM!$C$46)-ROW(EM!$C$14))*(MATCH(X$22,EM!$B$6:$B$9,0)-1),MIN(X$23-EM!$B$16+21,EM!$AF$16-EM!$B$16)),0)+
IF(ROUND(X$11,0)&gt;=23,OFFSET(EM!$B$17,ROW($A30)-ROW($A$26)+(ROW(EM!$C$46)-ROW(EM!$C$14))*(MATCH(X$22,EM!$B$6:$B$9,0)-1),MIN(X$23-EM!$B$16+22,EM!$AF$16-EM!$B$16)),0)+
IF(ROUND(X$11,0)&gt;=24,OFFSET(EM!$B$17,ROW($A30)-ROW($A$26)+(ROW(EM!$C$46)-ROW(EM!$C$14))*(MATCH(X$22,EM!$B$6:$B$9,0)-1),MIN(X$23-EM!$B$16+23,EM!$AF$16-EM!$B$16)),0)+
IF(ROUND(X$11,0)&gt;=25,OFFSET(EM!$B$17,ROW($A30)-ROW($A$26)+(ROW(EM!$C$46)-ROW(EM!$C$14))*(MATCH(X$22,EM!$B$6:$B$9,0)-1),MIN(X$23-EM!$B$16+24,EM!$AF$16-EM!$B$16)),0)+
IF(ROUND(X$11,0)&gt;=26,OFFSET(EM!$B$17,ROW($A30)-ROW($A$26)+(ROW(EM!$C$46)-ROW(EM!$C$14))*(MATCH(X$22,EM!$B$6:$B$9,0)-1),MIN(X$23-EM!$B$16+25,EM!$AF$16-EM!$B$16)),0)+
IF(ROUND(X$11,0)&gt;=27,OFFSET(EM!$B$17,ROW($A30)-ROW($A$26)+(ROW(EM!$C$46)-ROW(EM!$C$14))*(MATCH(X$22,EM!$B$6:$B$9,0)-1),MIN(X$23-EM!$B$16+26,EM!$AF$16-EM!$B$16)),0)+
IF(ROUND(X$11,0)&gt;=28,OFFSET(EM!$B$17,ROW($A30)-ROW($A$26)+(ROW(EM!$C$46)-ROW(EM!$C$14))*(MATCH(X$22,EM!$B$6:$B$9,0)-1),MIN(X$23-EM!$B$16+27,EM!$AF$16-EM!$B$16)),0)+
IF(ROUND(X$11,0)&gt;=29,OFFSET(EM!$B$17,ROW($A30)-ROW($A$26)+(ROW(EM!$C$46)-ROW(EM!$C$14))*(MATCH(X$22,EM!$B$6:$B$9,0)-1),MIN(X$23-EM!$B$16+28,EM!$AF$16-EM!$B$16)),0)+
IF(ROUND(X$11,0)&gt;=30,OFFSET(EM!$B$17,ROW($A30)-ROW($A$26)+(ROW(EM!$C$46)-ROW(EM!$C$14))*(MATCH(X$22,EM!$B$6:$B$9,0)-1),MIN(X$23-EM!$B$16+29,EM!$AF$16-EM!$B$16)),0)+
IF(ROUND(X$11,0)&gt;=31,OFFSET(EM!$B$17,ROW($A30)-ROW($A$26)+(ROW(EM!$C$46)-ROW(EM!$C$14))*(MATCH(X$22,EM!$B$6:$B$9,0)-1),MIN(X$23-EM!$B$16+30,EM!$AF$16-EM!$B$16)),0)+
IF(ROUND(X$11,0)&gt;=32,OFFSET(EM!$B$17,ROW($A30)-ROW($A$26)+(ROW(EM!$C$46)-ROW(EM!$C$14))*(MATCH(X$22,EM!$B$6:$B$9,0)-1),MIN(X$23-EM!$B$16+31,EM!$AF$16-EM!$B$16)),0)+
IF(ROUND(X$11,0)&gt;=33,OFFSET(EM!$B$17,ROW($A30)-ROW($A$26)+(ROW(EM!$C$46)-ROW(EM!$C$14))*(MATCH(X$22,EM!$B$6:$B$9,0)-1),MIN(X$23-EM!$B$16+32,EM!$AF$16-EM!$B$16)),0)+
IF(ROUND(X$11,0)&gt;=34,OFFSET(EM!$B$17,ROW($A30)-ROW($A$26)+(ROW(EM!$C$46)-ROW(EM!$C$14))*(MATCH(X$22,EM!$B$6:$B$9,0)-1),MIN(X$23-EM!$B$16+33,EM!$AF$16-EM!$B$16)),0)+
IF(ROUND(X$11,0)&gt;=35,OFFSET(EM!$B$17,ROW($A30)-ROW($A$26)+(ROW(EM!$C$46)-ROW(EM!$C$14))*(MATCH(X$22,EM!$B$6:$B$9,0)-1),MIN(X$23-EM!$B$16+34,EM!$AF$16-EM!$B$16)),0)+
IF(ROUND(X$11,0)&gt;=36,OFFSET(EM!$B$17,ROW($A30)-ROW($A$26)+(ROW(EM!$C$46)-ROW(EM!$C$14))*(MATCH(X$22,EM!$B$6:$B$9,0)-1),MIN(X$23-EM!$B$16+35,EM!$AF$16-EM!$B$16)),0)+
IF(ROUND(X$11,0)&gt;=37,OFFSET(EM!$B$17,ROW($A30)-ROW($A$26)+(ROW(EM!$C$46)-ROW(EM!$C$14))*(MATCH(X$22,EM!$B$6:$B$9,0)-1),MIN(X$23-EM!$B$16+36,EM!$AF$16-EM!$B$16)),0)+
IF(ROUND(X$11,0)&gt;=38,OFFSET(EM!$B$17,ROW($A30)-ROW($A$26)+(ROW(EM!$C$46)-ROW(EM!$C$14))*(MATCH(X$22,EM!$B$6:$B$9,0)-1),MIN(X$23-EM!$B$16+37,EM!$AF$16-EM!$B$16)),0)+
IF(ROUND(X$11,0)&gt;=39,OFFSET(EM!$B$17,ROW($A30)-ROW($A$26)+(ROW(EM!$C$46)-ROW(EM!$C$14))*(MATCH(X$22,EM!$B$6:$B$9,0)-1),MIN(X$23-EM!$B$16+38,EM!$AF$16-EM!$B$16)),0)+
IF(ROUND(X$11,0)&gt;=40,OFFSET(EM!$B$17,ROW($A30)-ROW($A$26)+(ROW(EM!$C$46)-ROW(EM!$C$14))*(MATCH(X$22,EM!$B$6:$B$9,0)-1),MIN(X$23-EM!$B$16+39,EM!$AF$16-EM!$B$16)),0)
)/ROUND(X$11,0),NA()))</f>
        <v>0</v>
      </c>
      <c r="Y30" s="2046">
        <f ca="1">IF(Y$19=GPG!$A$28,IF(ROW(Y30)-ROW(Y$26)+1=MATCH(Y$20,GPG!$A$5:$A$11,0),1,0),
IF(Y$19=GPG!$A$29,
(IF(ROUND(Y$11,0)&gt;=1,OFFSET(EM!$B$17,ROW($A30)-ROW($A$26)+(ROW(EM!$C$46)-ROW(EM!$C$14))*(MATCH(Y$22,EM!$B$6:$B$9,0)-1),MIN(Y$23-EM!$B$16,EM!$AF$16-EM!$B$16)),0)+
IF(ROUND(Y$11,0)&gt;=2,OFFSET(EM!$B$17,ROW($A30)-ROW($A$26)+(ROW(EM!$C$46)-ROW(EM!$C$14))*(MATCH(Y$22,EM!$B$6:$B$9,0)-1),MIN(Y$23-EM!$B$16+1,EM!$AF$16-EM!$B$16)),0)+
IF(ROUND(Y$11,0)&gt;=3,OFFSET(EM!$B$17,ROW($A30)-ROW($A$26)+(ROW(EM!$C$46)-ROW(EM!$C$14))*(MATCH(Y$22,EM!$B$6:$B$9,0)-1),MIN(Y$23-EM!$B$16+2,EM!$AF$16-EM!$B$16)),0)+
IF(ROUND(Y$11,0)&gt;=4,OFFSET(EM!$B$17,ROW($A30)-ROW($A$26)+(ROW(EM!$C$46)-ROW(EM!$C$14))*(MATCH(Y$22,EM!$B$6:$B$9,0)-1),MIN(Y$23-EM!$B$16+3,EM!$AF$16-EM!$B$16)),0)+
IF(ROUND(Y$11,0)&gt;=5,OFFSET(EM!$B$17,ROW($A30)-ROW($A$26)+(ROW(EM!$C$46)-ROW(EM!$C$14))*(MATCH(Y$22,EM!$B$6:$B$9,0)-1),MIN(Y$23-EM!$B$16+4,EM!$AF$16-EM!$B$16)),0)+
IF(ROUND(Y$11,0)&gt;=6,OFFSET(EM!$B$17,ROW($A30)-ROW($A$26)+(ROW(EM!$C$46)-ROW(EM!$C$14))*(MATCH(Y$22,EM!$B$6:$B$9,0)-1),MIN(Y$23-EM!$B$16+5,EM!$AF$16-EM!$B$16)),0)+
IF(ROUND(Y$11,0)&gt;=7,OFFSET(EM!$B$17,ROW($A30)-ROW($A$26)+(ROW(EM!$C$46)-ROW(EM!$C$14))*(MATCH(Y$22,EM!$B$6:$B$9,0)-1),MIN(Y$23-EM!$B$16+6,EM!$AF$16-EM!$B$16)),0)+
IF(ROUND(Y$11,0)&gt;=8,OFFSET(EM!$B$17,ROW($A30)-ROW($A$26)+(ROW(EM!$C$46)-ROW(EM!$C$14))*(MATCH(Y$22,EM!$B$6:$B$9,0)-1),MIN(Y$23-EM!$B$16+7,EM!$AF$16-EM!$B$16)),0)+
IF(ROUND(Y$11,0)&gt;=9,OFFSET(EM!$B$17,ROW($A30)-ROW($A$26)+(ROW(EM!$C$46)-ROW(EM!$C$14))*(MATCH(Y$22,EM!$B$6:$B$9,0)-1),MIN(Y$23-EM!$B$16+8,EM!$AF$16-EM!$B$16)),0)+
IF(ROUND(Y$11,0)&gt;=10,OFFSET(EM!$B$17,ROW($A30)-ROW($A$26)+(ROW(EM!$C$46)-ROW(EM!$C$14))*(MATCH(Y$22,EM!$B$6:$B$9,0)-1),MIN(Y$23-EM!$B$16+9,EM!$AF$16-EM!$B$16)),0)+
IF(ROUND(Y$11,0)&gt;=11,OFFSET(EM!$B$17,ROW($A30)-ROW($A$26)+(ROW(EM!$C$46)-ROW(EM!$C$14))*(MATCH(Y$22,EM!$B$6:$B$9,0)-1),MIN(Y$23-EM!$B$16+10,EM!$AF$16-EM!$B$16)),0)+
IF(ROUND(Y$11,0)&gt;=12,OFFSET(EM!$B$17,ROW($A30)-ROW($A$26)+(ROW(EM!$C$46)-ROW(EM!$C$14))*(MATCH(Y$22,EM!$B$6:$B$9,0)-1),MIN(Y$23-EM!$B$16+11,EM!$AF$16-EM!$B$16)),0)+
IF(ROUND(Y$11,0)&gt;=13,OFFSET(EM!$B$17,ROW($A30)-ROW($A$26)+(ROW(EM!$C$46)-ROW(EM!$C$14))*(MATCH(Y$22,EM!$B$6:$B$9,0)-1),MIN(Y$23-EM!$B$16+12,EM!$AF$16-EM!$B$16)),0)+
IF(ROUND(Y$11,0)&gt;=14,OFFSET(EM!$B$17,ROW($A30)-ROW($A$26)+(ROW(EM!$C$46)-ROW(EM!$C$14))*(MATCH(Y$22,EM!$B$6:$B$9,0)-1),MIN(Y$23-EM!$B$16+13,EM!$AF$16-EM!$B$16)),0)+
IF(ROUND(Y$11,0)&gt;=15,OFFSET(EM!$B$17,ROW($A30)-ROW($A$26)+(ROW(EM!$C$46)-ROW(EM!$C$14))*(MATCH(Y$22,EM!$B$6:$B$9,0)-1),MIN(Y$23-EM!$B$16+14,EM!$AF$16-EM!$B$16)),0)+
IF(ROUND(Y$11,0)&gt;=16,OFFSET(EM!$B$17,ROW($A30)-ROW($A$26)+(ROW(EM!$C$46)-ROW(EM!$C$14))*(MATCH(Y$22,EM!$B$6:$B$9,0)-1),MIN(Y$23-EM!$B$16+15,EM!$AF$16-EM!$B$16)),0)+
IF(ROUND(Y$11,0)&gt;=17,OFFSET(EM!$B$17,ROW($A30)-ROW($A$26)+(ROW(EM!$C$46)-ROW(EM!$C$14))*(MATCH(Y$22,EM!$B$6:$B$9,0)-1),MIN(Y$23-EM!$B$16+16,EM!$AF$16-EM!$B$16)),0)+
IF(ROUND(Y$11,0)&gt;=18,OFFSET(EM!$B$17,ROW($A30)-ROW($A$26)+(ROW(EM!$C$46)-ROW(EM!$C$14))*(MATCH(Y$22,EM!$B$6:$B$9,0)-1),MIN(Y$23-EM!$B$16+17,EM!$AF$16-EM!$B$16)),0)+
IF(ROUND(Y$11,0)&gt;=19,OFFSET(EM!$B$17,ROW($A30)-ROW($A$26)+(ROW(EM!$C$46)-ROW(EM!$C$14))*(MATCH(Y$22,EM!$B$6:$B$9,0)-1),MIN(Y$23-EM!$B$16+18,EM!$AF$16-EM!$B$16)),0)+
IF(ROUND(Y$11,0)&gt;=20,OFFSET(EM!$B$17,ROW($A30)-ROW($A$26)+(ROW(EM!$C$46)-ROW(EM!$C$14))*(MATCH(Y$22,EM!$B$6:$B$9,0)-1),MIN(Y$23-EM!$B$16+19,EM!$AF$16-EM!$B$16)),0)+
IF(ROUND(Y$11,0)&gt;=21,OFFSET(EM!$B$17,ROW($A30)-ROW($A$26)+(ROW(EM!$C$46)-ROW(EM!$C$14))*(MATCH(Y$22,EM!$B$6:$B$9,0)-1),MIN(Y$23-EM!$B$16+20,EM!$AF$16-EM!$B$16)),0)+
IF(ROUND(Y$11,0)&gt;=22,OFFSET(EM!$B$17,ROW($A30)-ROW($A$26)+(ROW(EM!$C$46)-ROW(EM!$C$14))*(MATCH(Y$22,EM!$B$6:$B$9,0)-1),MIN(Y$23-EM!$B$16+21,EM!$AF$16-EM!$B$16)),0)+
IF(ROUND(Y$11,0)&gt;=23,OFFSET(EM!$B$17,ROW($A30)-ROW($A$26)+(ROW(EM!$C$46)-ROW(EM!$C$14))*(MATCH(Y$22,EM!$B$6:$B$9,0)-1),MIN(Y$23-EM!$B$16+22,EM!$AF$16-EM!$B$16)),0)+
IF(ROUND(Y$11,0)&gt;=24,OFFSET(EM!$B$17,ROW($A30)-ROW($A$26)+(ROW(EM!$C$46)-ROW(EM!$C$14))*(MATCH(Y$22,EM!$B$6:$B$9,0)-1),MIN(Y$23-EM!$B$16+23,EM!$AF$16-EM!$B$16)),0)+
IF(ROUND(Y$11,0)&gt;=25,OFFSET(EM!$B$17,ROW($A30)-ROW($A$26)+(ROW(EM!$C$46)-ROW(EM!$C$14))*(MATCH(Y$22,EM!$B$6:$B$9,0)-1),MIN(Y$23-EM!$B$16+24,EM!$AF$16-EM!$B$16)),0)+
IF(ROUND(Y$11,0)&gt;=26,OFFSET(EM!$B$17,ROW($A30)-ROW($A$26)+(ROW(EM!$C$46)-ROW(EM!$C$14))*(MATCH(Y$22,EM!$B$6:$B$9,0)-1),MIN(Y$23-EM!$B$16+25,EM!$AF$16-EM!$B$16)),0)+
IF(ROUND(Y$11,0)&gt;=27,OFFSET(EM!$B$17,ROW($A30)-ROW($A$26)+(ROW(EM!$C$46)-ROW(EM!$C$14))*(MATCH(Y$22,EM!$B$6:$B$9,0)-1),MIN(Y$23-EM!$B$16+26,EM!$AF$16-EM!$B$16)),0)+
IF(ROUND(Y$11,0)&gt;=28,OFFSET(EM!$B$17,ROW($A30)-ROW($A$26)+(ROW(EM!$C$46)-ROW(EM!$C$14))*(MATCH(Y$22,EM!$B$6:$B$9,0)-1),MIN(Y$23-EM!$B$16+27,EM!$AF$16-EM!$B$16)),0)+
IF(ROUND(Y$11,0)&gt;=29,OFFSET(EM!$B$17,ROW($A30)-ROW($A$26)+(ROW(EM!$C$46)-ROW(EM!$C$14))*(MATCH(Y$22,EM!$B$6:$B$9,0)-1),MIN(Y$23-EM!$B$16+28,EM!$AF$16-EM!$B$16)),0)+
IF(ROUND(Y$11,0)&gt;=30,OFFSET(EM!$B$17,ROW($A30)-ROW($A$26)+(ROW(EM!$C$46)-ROW(EM!$C$14))*(MATCH(Y$22,EM!$B$6:$B$9,0)-1),MIN(Y$23-EM!$B$16+29,EM!$AF$16-EM!$B$16)),0)+
IF(ROUND(Y$11,0)&gt;=31,OFFSET(EM!$B$17,ROW($A30)-ROW($A$26)+(ROW(EM!$C$46)-ROW(EM!$C$14))*(MATCH(Y$22,EM!$B$6:$B$9,0)-1),MIN(Y$23-EM!$B$16+30,EM!$AF$16-EM!$B$16)),0)+
IF(ROUND(Y$11,0)&gt;=32,OFFSET(EM!$B$17,ROW($A30)-ROW($A$26)+(ROW(EM!$C$46)-ROW(EM!$C$14))*(MATCH(Y$22,EM!$B$6:$B$9,0)-1),MIN(Y$23-EM!$B$16+31,EM!$AF$16-EM!$B$16)),0)+
IF(ROUND(Y$11,0)&gt;=33,OFFSET(EM!$B$17,ROW($A30)-ROW($A$26)+(ROW(EM!$C$46)-ROW(EM!$C$14))*(MATCH(Y$22,EM!$B$6:$B$9,0)-1),MIN(Y$23-EM!$B$16+32,EM!$AF$16-EM!$B$16)),0)+
IF(ROUND(Y$11,0)&gt;=34,OFFSET(EM!$B$17,ROW($A30)-ROW($A$26)+(ROW(EM!$C$46)-ROW(EM!$C$14))*(MATCH(Y$22,EM!$B$6:$B$9,0)-1),MIN(Y$23-EM!$B$16+33,EM!$AF$16-EM!$B$16)),0)+
IF(ROUND(Y$11,0)&gt;=35,OFFSET(EM!$B$17,ROW($A30)-ROW($A$26)+(ROW(EM!$C$46)-ROW(EM!$C$14))*(MATCH(Y$22,EM!$B$6:$B$9,0)-1),MIN(Y$23-EM!$B$16+34,EM!$AF$16-EM!$B$16)),0)+
IF(ROUND(Y$11,0)&gt;=36,OFFSET(EM!$B$17,ROW($A30)-ROW($A$26)+(ROW(EM!$C$46)-ROW(EM!$C$14))*(MATCH(Y$22,EM!$B$6:$B$9,0)-1),MIN(Y$23-EM!$B$16+35,EM!$AF$16-EM!$B$16)),0)+
IF(ROUND(Y$11,0)&gt;=37,OFFSET(EM!$B$17,ROW($A30)-ROW($A$26)+(ROW(EM!$C$46)-ROW(EM!$C$14))*(MATCH(Y$22,EM!$B$6:$B$9,0)-1),MIN(Y$23-EM!$B$16+36,EM!$AF$16-EM!$B$16)),0)+
IF(ROUND(Y$11,0)&gt;=38,OFFSET(EM!$B$17,ROW($A30)-ROW($A$26)+(ROW(EM!$C$46)-ROW(EM!$C$14))*(MATCH(Y$22,EM!$B$6:$B$9,0)-1),MIN(Y$23-EM!$B$16+37,EM!$AF$16-EM!$B$16)),0)+
IF(ROUND(Y$11,0)&gt;=39,OFFSET(EM!$B$17,ROW($A30)-ROW($A$26)+(ROW(EM!$C$46)-ROW(EM!$C$14))*(MATCH(Y$22,EM!$B$6:$B$9,0)-1),MIN(Y$23-EM!$B$16+38,EM!$AF$16-EM!$B$16)),0)+
IF(ROUND(Y$11,0)&gt;=40,OFFSET(EM!$B$17,ROW($A30)-ROW($A$26)+(ROW(EM!$C$46)-ROW(EM!$C$14))*(MATCH(Y$22,EM!$B$6:$B$9,0)-1),MIN(Y$23-EM!$B$16+39,EM!$AF$16-EM!$B$16)),0)
)/ROUND(Y$11,0),NA()))</f>
        <v>1.7504398632274241E-2</v>
      </c>
      <c r="Z30" s="2046">
        <f ca="1">IF(Z$19=GPG!$A$28,IF(ROW(Z30)-ROW(Z$26)+1=MATCH(Z$20,GPG!$A$5:$A$11,0),1,0),
IF(Z$19=GPG!$A$29,
(IF(ROUND(Z$11,0)&gt;=1,OFFSET(EM!$B$17,ROW($A30)-ROW($A$26)+(ROW(EM!$C$46)-ROW(EM!$C$14))*(MATCH(Z$22,EM!$B$6:$B$9,0)-1),MIN(Z$23-EM!$B$16,EM!$AF$16-EM!$B$16)),0)+
IF(ROUND(Z$11,0)&gt;=2,OFFSET(EM!$B$17,ROW($A30)-ROW($A$26)+(ROW(EM!$C$46)-ROW(EM!$C$14))*(MATCH(Z$22,EM!$B$6:$B$9,0)-1),MIN(Z$23-EM!$B$16+1,EM!$AF$16-EM!$B$16)),0)+
IF(ROUND(Z$11,0)&gt;=3,OFFSET(EM!$B$17,ROW($A30)-ROW($A$26)+(ROW(EM!$C$46)-ROW(EM!$C$14))*(MATCH(Z$22,EM!$B$6:$B$9,0)-1),MIN(Z$23-EM!$B$16+2,EM!$AF$16-EM!$B$16)),0)+
IF(ROUND(Z$11,0)&gt;=4,OFFSET(EM!$B$17,ROW($A30)-ROW($A$26)+(ROW(EM!$C$46)-ROW(EM!$C$14))*(MATCH(Z$22,EM!$B$6:$B$9,0)-1),MIN(Z$23-EM!$B$16+3,EM!$AF$16-EM!$B$16)),0)+
IF(ROUND(Z$11,0)&gt;=5,OFFSET(EM!$B$17,ROW($A30)-ROW($A$26)+(ROW(EM!$C$46)-ROW(EM!$C$14))*(MATCH(Z$22,EM!$B$6:$B$9,0)-1),MIN(Z$23-EM!$B$16+4,EM!$AF$16-EM!$B$16)),0)+
IF(ROUND(Z$11,0)&gt;=6,OFFSET(EM!$B$17,ROW($A30)-ROW($A$26)+(ROW(EM!$C$46)-ROW(EM!$C$14))*(MATCH(Z$22,EM!$B$6:$B$9,0)-1),MIN(Z$23-EM!$B$16+5,EM!$AF$16-EM!$B$16)),0)+
IF(ROUND(Z$11,0)&gt;=7,OFFSET(EM!$B$17,ROW($A30)-ROW($A$26)+(ROW(EM!$C$46)-ROW(EM!$C$14))*(MATCH(Z$22,EM!$B$6:$B$9,0)-1),MIN(Z$23-EM!$B$16+6,EM!$AF$16-EM!$B$16)),0)+
IF(ROUND(Z$11,0)&gt;=8,OFFSET(EM!$B$17,ROW($A30)-ROW($A$26)+(ROW(EM!$C$46)-ROW(EM!$C$14))*(MATCH(Z$22,EM!$B$6:$B$9,0)-1),MIN(Z$23-EM!$B$16+7,EM!$AF$16-EM!$B$16)),0)+
IF(ROUND(Z$11,0)&gt;=9,OFFSET(EM!$B$17,ROW($A30)-ROW($A$26)+(ROW(EM!$C$46)-ROW(EM!$C$14))*(MATCH(Z$22,EM!$B$6:$B$9,0)-1),MIN(Z$23-EM!$B$16+8,EM!$AF$16-EM!$B$16)),0)+
IF(ROUND(Z$11,0)&gt;=10,OFFSET(EM!$B$17,ROW($A30)-ROW($A$26)+(ROW(EM!$C$46)-ROW(EM!$C$14))*(MATCH(Z$22,EM!$B$6:$B$9,0)-1),MIN(Z$23-EM!$B$16+9,EM!$AF$16-EM!$B$16)),0)+
IF(ROUND(Z$11,0)&gt;=11,OFFSET(EM!$B$17,ROW($A30)-ROW($A$26)+(ROW(EM!$C$46)-ROW(EM!$C$14))*(MATCH(Z$22,EM!$B$6:$B$9,0)-1),MIN(Z$23-EM!$B$16+10,EM!$AF$16-EM!$B$16)),0)+
IF(ROUND(Z$11,0)&gt;=12,OFFSET(EM!$B$17,ROW($A30)-ROW($A$26)+(ROW(EM!$C$46)-ROW(EM!$C$14))*(MATCH(Z$22,EM!$B$6:$B$9,0)-1),MIN(Z$23-EM!$B$16+11,EM!$AF$16-EM!$B$16)),0)+
IF(ROUND(Z$11,0)&gt;=13,OFFSET(EM!$B$17,ROW($A30)-ROW($A$26)+(ROW(EM!$C$46)-ROW(EM!$C$14))*(MATCH(Z$22,EM!$B$6:$B$9,0)-1),MIN(Z$23-EM!$B$16+12,EM!$AF$16-EM!$B$16)),0)+
IF(ROUND(Z$11,0)&gt;=14,OFFSET(EM!$B$17,ROW($A30)-ROW($A$26)+(ROW(EM!$C$46)-ROW(EM!$C$14))*(MATCH(Z$22,EM!$B$6:$B$9,0)-1),MIN(Z$23-EM!$B$16+13,EM!$AF$16-EM!$B$16)),0)+
IF(ROUND(Z$11,0)&gt;=15,OFFSET(EM!$B$17,ROW($A30)-ROW($A$26)+(ROW(EM!$C$46)-ROW(EM!$C$14))*(MATCH(Z$22,EM!$B$6:$B$9,0)-1),MIN(Z$23-EM!$B$16+14,EM!$AF$16-EM!$B$16)),0)+
IF(ROUND(Z$11,0)&gt;=16,OFFSET(EM!$B$17,ROW($A30)-ROW($A$26)+(ROW(EM!$C$46)-ROW(EM!$C$14))*(MATCH(Z$22,EM!$B$6:$B$9,0)-1),MIN(Z$23-EM!$B$16+15,EM!$AF$16-EM!$B$16)),0)+
IF(ROUND(Z$11,0)&gt;=17,OFFSET(EM!$B$17,ROW($A30)-ROW($A$26)+(ROW(EM!$C$46)-ROW(EM!$C$14))*(MATCH(Z$22,EM!$B$6:$B$9,0)-1),MIN(Z$23-EM!$B$16+16,EM!$AF$16-EM!$B$16)),0)+
IF(ROUND(Z$11,0)&gt;=18,OFFSET(EM!$B$17,ROW($A30)-ROW($A$26)+(ROW(EM!$C$46)-ROW(EM!$C$14))*(MATCH(Z$22,EM!$B$6:$B$9,0)-1),MIN(Z$23-EM!$B$16+17,EM!$AF$16-EM!$B$16)),0)+
IF(ROUND(Z$11,0)&gt;=19,OFFSET(EM!$B$17,ROW($A30)-ROW($A$26)+(ROW(EM!$C$46)-ROW(EM!$C$14))*(MATCH(Z$22,EM!$B$6:$B$9,0)-1),MIN(Z$23-EM!$B$16+18,EM!$AF$16-EM!$B$16)),0)+
IF(ROUND(Z$11,0)&gt;=20,OFFSET(EM!$B$17,ROW($A30)-ROW($A$26)+(ROW(EM!$C$46)-ROW(EM!$C$14))*(MATCH(Z$22,EM!$B$6:$B$9,0)-1),MIN(Z$23-EM!$B$16+19,EM!$AF$16-EM!$B$16)),0)+
IF(ROUND(Z$11,0)&gt;=21,OFFSET(EM!$B$17,ROW($A30)-ROW($A$26)+(ROW(EM!$C$46)-ROW(EM!$C$14))*(MATCH(Z$22,EM!$B$6:$B$9,0)-1),MIN(Z$23-EM!$B$16+20,EM!$AF$16-EM!$B$16)),0)+
IF(ROUND(Z$11,0)&gt;=22,OFFSET(EM!$B$17,ROW($A30)-ROW($A$26)+(ROW(EM!$C$46)-ROW(EM!$C$14))*(MATCH(Z$22,EM!$B$6:$B$9,0)-1),MIN(Z$23-EM!$B$16+21,EM!$AF$16-EM!$B$16)),0)+
IF(ROUND(Z$11,0)&gt;=23,OFFSET(EM!$B$17,ROW($A30)-ROW($A$26)+(ROW(EM!$C$46)-ROW(EM!$C$14))*(MATCH(Z$22,EM!$B$6:$B$9,0)-1),MIN(Z$23-EM!$B$16+22,EM!$AF$16-EM!$B$16)),0)+
IF(ROUND(Z$11,0)&gt;=24,OFFSET(EM!$B$17,ROW($A30)-ROW($A$26)+(ROW(EM!$C$46)-ROW(EM!$C$14))*(MATCH(Z$22,EM!$B$6:$B$9,0)-1),MIN(Z$23-EM!$B$16+23,EM!$AF$16-EM!$B$16)),0)+
IF(ROUND(Z$11,0)&gt;=25,OFFSET(EM!$B$17,ROW($A30)-ROW($A$26)+(ROW(EM!$C$46)-ROW(EM!$C$14))*(MATCH(Z$22,EM!$B$6:$B$9,0)-1),MIN(Z$23-EM!$B$16+24,EM!$AF$16-EM!$B$16)),0)+
IF(ROUND(Z$11,0)&gt;=26,OFFSET(EM!$B$17,ROW($A30)-ROW($A$26)+(ROW(EM!$C$46)-ROW(EM!$C$14))*(MATCH(Z$22,EM!$B$6:$B$9,0)-1),MIN(Z$23-EM!$B$16+25,EM!$AF$16-EM!$B$16)),0)+
IF(ROUND(Z$11,0)&gt;=27,OFFSET(EM!$B$17,ROW($A30)-ROW($A$26)+(ROW(EM!$C$46)-ROW(EM!$C$14))*(MATCH(Z$22,EM!$B$6:$B$9,0)-1),MIN(Z$23-EM!$B$16+26,EM!$AF$16-EM!$B$16)),0)+
IF(ROUND(Z$11,0)&gt;=28,OFFSET(EM!$B$17,ROW($A30)-ROW($A$26)+(ROW(EM!$C$46)-ROW(EM!$C$14))*(MATCH(Z$22,EM!$B$6:$B$9,0)-1),MIN(Z$23-EM!$B$16+27,EM!$AF$16-EM!$B$16)),0)+
IF(ROUND(Z$11,0)&gt;=29,OFFSET(EM!$B$17,ROW($A30)-ROW($A$26)+(ROW(EM!$C$46)-ROW(EM!$C$14))*(MATCH(Z$22,EM!$B$6:$B$9,0)-1),MIN(Z$23-EM!$B$16+28,EM!$AF$16-EM!$B$16)),0)+
IF(ROUND(Z$11,0)&gt;=30,OFFSET(EM!$B$17,ROW($A30)-ROW($A$26)+(ROW(EM!$C$46)-ROW(EM!$C$14))*(MATCH(Z$22,EM!$B$6:$B$9,0)-1),MIN(Z$23-EM!$B$16+29,EM!$AF$16-EM!$B$16)),0)+
IF(ROUND(Z$11,0)&gt;=31,OFFSET(EM!$B$17,ROW($A30)-ROW($A$26)+(ROW(EM!$C$46)-ROW(EM!$C$14))*(MATCH(Z$22,EM!$B$6:$B$9,0)-1),MIN(Z$23-EM!$B$16+30,EM!$AF$16-EM!$B$16)),0)+
IF(ROUND(Z$11,0)&gt;=32,OFFSET(EM!$B$17,ROW($A30)-ROW($A$26)+(ROW(EM!$C$46)-ROW(EM!$C$14))*(MATCH(Z$22,EM!$B$6:$B$9,0)-1),MIN(Z$23-EM!$B$16+31,EM!$AF$16-EM!$B$16)),0)+
IF(ROUND(Z$11,0)&gt;=33,OFFSET(EM!$B$17,ROW($A30)-ROW($A$26)+(ROW(EM!$C$46)-ROW(EM!$C$14))*(MATCH(Z$22,EM!$B$6:$B$9,0)-1),MIN(Z$23-EM!$B$16+32,EM!$AF$16-EM!$B$16)),0)+
IF(ROUND(Z$11,0)&gt;=34,OFFSET(EM!$B$17,ROW($A30)-ROW($A$26)+(ROW(EM!$C$46)-ROW(EM!$C$14))*(MATCH(Z$22,EM!$B$6:$B$9,0)-1),MIN(Z$23-EM!$B$16+33,EM!$AF$16-EM!$B$16)),0)+
IF(ROUND(Z$11,0)&gt;=35,OFFSET(EM!$B$17,ROW($A30)-ROW($A$26)+(ROW(EM!$C$46)-ROW(EM!$C$14))*(MATCH(Z$22,EM!$B$6:$B$9,0)-1),MIN(Z$23-EM!$B$16+34,EM!$AF$16-EM!$B$16)),0)+
IF(ROUND(Z$11,0)&gt;=36,OFFSET(EM!$B$17,ROW($A30)-ROW($A$26)+(ROW(EM!$C$46)-ROW(EM!$C$14))*(MATCH(Z$22,EM!$B$6:$B$9,0)-1),MIN(Z$23-EM!$B$16+35,EM!$AF$16-EM!$B$16)),0)+
IF(ROUND(Z$11,0)&gt;=37,OFFSET(EM!$B$17,ROW($A30)-ROW($A$26)+(ROW(EM!$C$46)-ROW(EM!$C$14))*(MATCH(Z$22,EM!$B$6:$B$9,0)-1),MIN(Z$23-EM!$B$16+36,EM!$AF$16-EM!$B$16)),0)+
IF(ROUND(Z$11,0)&gt;=38,OFFSET(EM!$B$17,ROW($A30)-ROW($A$26)+(ROW(EM!$C$46)-ROW(EM!$C$14))*(MATCH(Z$22,EM!$B$6:$B$9,0)-1),MIN(Z$23-EM!$B$16+37,EM!$AF$16-EM!$B$16)),0)+
IF(ROUND(Z$11,0)&gt;=39,OFFSET(EM!$B$17,ROW($A30)-ROW($A$26)+(ROW(EM!$C$46)-ROW(EM!$C$14))*(MATCH(Z$22,EM!$B$6:$B$9,0)-1),MIN(Z$23-EM!$B$16+38,EM!$AF$16-EM!$B$16)),0)+
IF(ROUND(Z$11,0)&gt;=40,OFFSET(EM!$B$17,ROW($A30)-ROW($A$26)+(ROW(EM!$C$46)-ROW(EM!$C$14))*(MATCH(Z$22,EM!$B$6:$B$9,0)-1),MIN(Z$23-EM!$B$16+39,EM!$AF$16-EM!$B$16)),0)
)/ROUND(Z$11,0),NA()))</f>
        <v>1.6297589170822038E-2</v>
      </c>
      <c r="AA30" s="2046">
        <f ca="1">IF(AA$19=GPG!$A$28,IF(ROW(AA30)-ROW(AA$26)+1=MATCH(AA$20,GPG!$A$5:$A$11,0),1,0),
IF(AA$19=GPG!$A$29,
(IF(ROUND(AA$11,0)&gt;=1,OFFSET(EM!$B$17,ROW($A30)-ROW($A$26)+(ROW(EM!$C$46)-ROW(EM!$C$14))*(MATCH(AA$22,EM!$B$6:$B$9,0)-1),MIN(AA$23-EM!$B$16,EM!$AF$16-EM!$B$16)),0)+
IF(ROUND(AA$11,0)&gt;=2,OFFSET(EM!$B$17,ROW($A30)-ROW($A$26)+(ROW(EM!$C$46)-ROW(EM!$C$14))*(MATCH(AA$22,EM!$B$6:$B$9,0)-1),MIN(AA$23-EM!$B$16+1,EM!$AF$16-EM!$B$16)),0)+
IF(ROUND(AA$11,0)&gt;=3,OFFSET(EM!$B$17,ROW($A30)-ROW($A$26)+(ROW(EM!$C$46)-ROW(EM!$C$14))*(MATCH(AA$22,EM!$B$6:$B$9,0)-1),MIN(AA$23-EM!$B$16+2,EM!$AF$16-EM!$B$16)),0)+
IF(ROUND(AA$11,0)&gt;=4,OFFSET(EM!$B$17,ROW($A30)-ROW($A$26)+(ROW(EM!$C$46)-ROW(EM!$C$14))*(MATCH(AA$22,EM!$B$6:$B$9,0)-1),MIN(AA$23-EM!$B$16+3,EM!$AF$16-EM!$B$16)),0)+
IF(ROUND(AA$11,0)&gt;=5,OFFSET(EM!$B$17,ROW($A30)-ROW($A$26)+(ROW(EM!$C$46)-ROW(EM!$C$14))*(MATCH(AA$22,EM!$B$6:$B$9,0)-1),MIN(AA$23-EM!$B$16+4,EM!$AF$16-EM!$B$16)),0)+
IF(ROUND(AA$11,0)&gt;=6,OFFSET(EM!$B$17,ROW($A30)-ROW($A$26)+(ROW(EM!$C$46)-ROW(EM!$C$14))*(MATCH(AA$22,EM!$B$6:$B$9,0)-1),MIN(AA$23-EM!$B$16+5,EM!$AF$16-EM!$B$16)),0)+
IF(ROUND(AA$11,0)&gt;=7,OFFSET(EM!$B$17,ROW($A30)-ROW($A$26)+(ROW(EM!$C$46)-ROW(EM!$C$14))*(MATCH(AA$22,EM!$B$6:$B$9,0)-1),MIN(AA$23-EM!$B$16+6,EM!$AF$16-EM!$B$16)),0)+
IF(ROUND(AA$11,0)&gt;=8,OFFSET(EM!$B$17,ROW($A30)-ROW($A$26)+(ROW(EM!$C$46)-ROW(EM!$C$14))*(MATCH(AA$22,EM!$B$6:$B$9,0)-1),MIN(AA$23-EM!$B$16+7,EM!$AF$16-EM!$B$16)),0)+
IF(ROUND(AA$11,0)&gt;=9,OFFSET(EM!$B$17,ROW($A30)-ROW($A$26)+(ROW(EM!$C$46)-ROW(EM!$C$14))*(MATCH(AA$22,EM!$B$6:$B$9,0)-1),MIN(AA$23-EM!$B$16+8,EM!$AF$16-EM!$B$16)),0)+
IF(ROUND(AA$11,0)&gt;=10,OFFSET(EM!$B$17,ROW($A30)-ROW($A$26)+(ROW(EM!$C$46)-ROW(EM!$C$14))*(MATCH(AA$22,EM!$B$6:$B$9,0)-1),MIN(AA$23-EM!$B$16+9,EM!$AF$16-EM!$B$16)),0)+
IF(ROUND(AA$11,0)&gt;=11,OFFSET(EM!$B$17,ROW($A30)-ROW($A$26)+(ROW(EM!$C$46)-ROW(EM!$C$14))*(MATCH(AA$22,EM!$B$6:$B$9,0)-1),MIN(AA$23-EM!$B$16+10,EM!$AF$16-EM!$B$16)),0)+
IF(ROUND(AA$11,0)&gt;=12,OFFSET(EM!$B$17,ROW($A30)-ROW($A$26)+(ROW(EM!$C$46)-ROW(EM!$C$14))*(MATCH(AA$22,EM!$B$6:$B$9,0)-1),MIN(AA$23-EM!$B$16+11,EM!$AF$16-EM!$B$16)),0)+
IF(ROUND(AA$11,0)&gt;=13,OFFSET(EM!$B$17,ROW($A30)-ROW($A$26)+(ROW(EM!$C$46)-ROW(EM!$C$14))*(MATCH(AA$22,EM!$B$6:$B$9,0)-1),MIN(AA$23-EM!$B$16+12,EM!$AF$16-EM!$B$16)),0)+
IF(ROUND(AA$11,0)&gt;=14,OFFSET(EM!$B$17,ROW($A30)-ROW($A$26)+(ROW(EM!$C$46)-ROW(EM!$C$14))*(MATCH(AA$22,EM!$B$6:$B$9,0)-1),MIN(AA$23-EM!$B$16+13,EM!$AF$16-EM!$B$16)),0)+
IF(ROUND(AA$11,0)&gt;=15,OFFSET(EM!$B$17,ROW($A30)-ROW($A$26)+(ROW(EM!$C$46)-ROW(EM!$C$14))*(MATCH(AA$22,EM!$B$6:$B$9,0)-1),MIN(AA$23-EM!$B$16+14,EM!$AF$16-EM!$B$16)),0)+
IF(ROUND(AA$11,0)&gt;=16,OFFSET(EM!$B$17,ROW($A30)-ROW($A$26)+(ROW(EM!$C$46)-ROW(EM!$C$14))*(MATCH(AA$22,EM!$B$6:$B$9,0)-1),MIN(AA$23-EM!$B$16+15,EM!$AF$16-EM!$B$16)),0)+
IF(ROUND(AA$11,0)&gt;=17,OFFSET(EM!$B$17,ROW($A30)-ROW($A$26)+(ROW(EM!$C$46)-ROW(EM!$C$14))*(MATCH(AA$22,EM!$B$6:$B$9,0)-1),MIN(AA$23-EM!$B$16+16,EM!$AF$16-EM!$B$16)),0)+
IF(ROUND(AA$11,0)&gt;=18,OFFSET(EM!$B$17,ROW($A30)-ROW($A$26)+(ROW(EM!$C$46)-ROW(EM!$C$14))*(MATCH(AA$22,EM!$B$6:$B$9,0)-1),MIN(AA$23-EM!$B$16+17,EM!$AF$16-EM!$B$16)),0)+
IF(ROUND(AA$11,0)&gt;=19,OFFSET(EM!$B$17,ROW($A30)-ROW($A$26)+(ROW(EM!$C$46)-ROW(EM!$C$14))*(MATCH(AA$22,EM!$B$6:$B$9,0)-1),MIN(AA$23-EM!$B$16+18,EM!$AF$16-EM!$B$16)),0)+
IF(ROUND(AA$11,0)&gt;=20,OFFSET(EM!$B$17,ROW($A30)-ROW($A$26)+(ROW(EM!$C$46)-ROW(EM!$C$14))*(MATCH(AA$22,EM!$B$6:$B$9,0)-1),MIN(AA$23-EM!$B$16+19,EM!$AF$16-EM!$B$16)),0)+
IF(ROUND(AA$11,0)&gt;=21,OFFSET(EM!$B$17,ROW($A30)-ROW($A$26)+(ROW(EM!$C$46)-ROW(EM!$C$14))*(MATCH(AA$22,EM!$B$6:$B$9,0)-1),MIN(AA$23-EM!$B$16+20,EM!$AF$16-EM!$B$16)),0)+
IF(ROUND(AA$11,0)&gt;=22,OFFSET(EM!$B$17,ROW($A30)-ROW($A$26)+(ROW(EM!$C$46)-ROW(EM!$C$14))*(MATCH(AA$22,EM!$B$6:$B$9,0)-1),MIN(AA$23-EM!$B$16+21,EM!$AF$16-EM!$B$16)),0)+
IF(ROUND(AA$11,0)&gt;=23,OFFSET(EM!$B$17,ROW($A30)-ROW($A$26)+(ROW(EM!$C$46)-ROW(EM!$C$14))*(MATCH(AA$22,EM!$B$6:$B$9,0)-1),MIN(AA$23-EM!$B$16+22,EM!$AF$16-EM!$B$16)),0)+
IF(ROUND(AA$11,0)&gt;=24,OFFSET(EM!$B$17,ROW($A30)-ROW($A$26)+(ROW(EM!$C$46)-ROW(EM!$C$14))*(MATCH(AA$22,EM!$B$6:$B$9,0)-1),MIN(AA$23-EM!$B$16+23,EM!$AF$16-EM!$B$16)),0)+
IF(ROUND(AA$11,0)&gt;=25,OFFSET(EM!$B$17,ROW($A30)-ROW($A$26)+(ROW(EM!$C$46)-ROW(EM!$C$14))*(MATCH(AA$22,EM!$B$6:$B$9,0)-1),MIN(AA$23-EM!$B$16+24,EM!$AF$16-EM!$B$16)),0)+
IF(ROUND(AA$11,0)&gt;=26,OFFSET(EM!$B$17,ROW($A30)-ROW($A$26)+(ROW(EM!$C$46)-ROW(EM!$C$14))*(MATCH(AA$22,EM!$B$6:$B$9,0)-1),MIN(AA$23-EM!$B$16+25,EM!$AF$16-EM!$B$16)),0)+
IF(ROUND(AA$11,0)&gt;=27,OFFSET(EM!$B$17,ROW($A30)-ROW($A$26)+(ROW(EM!$C$46)-ROW(EM!$C$14))*(MATCH(AA$22,EM!$B$6:$B$9,0)-1),MIN(AA$23-EM!$B$16+26,EM!$AF$16-EM!$B$16)),0)+
IF(ROUND(AA$11,0)&gt;=28,OFFSET(EM!$B$17,ROW($A30)-ROW($A$26)+(ROW(EM!$C$46)-ROW(EM!$C$14))*(MATCH(AA$22,EM!$B$6:$B$9,0)-1),MIN(AA$23-EM!$B$16+27,EM!$AF$16-EM!$B$16)),0)+
IF(ROUND(AA$11,0)&gt;=29,OFFSET(EM!$B$17,ROW($A30)-ROW($A$26)+(ROW(EM!$C$46)-ROW(EM!$C$14))*(MATCH(AA$22,EM!$B$6:$B$9,0)-1),MIN(AA$23-EM!$B$16+28,EM!$AF$16-EM!$B$16)),0)+
IF(ROUND(AA$11,0)&gt;=30,OFFSET(EM!$B$17,ROW($A30)-ROW($A$26)+(ROW(EM!$C$46)-ROW(EM!$C$14))*(MATCH(AA$22,EM!$B$6:$B$9,0)-1),MIN(AA$23-EM!$B$16+29,EM!$AF$16-EM!$B$16)),0)+
IF(ROUND(AA$11,0)&gt;=31,OFFSET(EM!$B$17,ROW($A30)-ROW($A$26)+(ROW(EM!$C$46)-ROW(EM!$C$14))*(MATCH(AA$22,EM!$B$6:$B$9,0)-1),MIN(AA$23-EM!$B$16+30,EM!$AF$16-EM!$B$16)),0)+
IF(ROUND(AA$11,0)&gt;=32,OFFSET(EM!$B$17,ROW($A30)-ROW($A$26)+(ROW(EM!$C$46)-ROW(EM!$C$14))*(MATCH(AA$22,EM!$B$6:$B$9,0)-1),MIN(AA$23-EM!$B$16+31,EM!$AF$16-EM!$B$16)),0)+
IF(ROUND(AA$11,0)&gt;=33,OFFSET(EM!$B$17,ROW($A30)-ROW($A$26)+(ROW(EM!$C$46)-ROW(EM!$C$14))*(MATCH(AA$22,EM!$B$6:$B$9,0)-1),MIN(AA$23-EM!$B$16+32,EM!$AF$16-EM!$B$16)),0)+
IF(ROUND(AA$11,0)&gt;=34,OFFSET(EM!$B$17,ROW($A30)-ROW($A$26)+(ROW(EM!$C$46)-ROW(EM!$C$14))*(MATCH(AA$22,EM!$B$6:$B$9,0)-1),MIN(AA$23-EM!$B$16+33,EM!$AF$16-EM!$B$16)),0)+
IF(ROUND(AA$11,0)&gt;=35,OFFSET(EM!$B$17,ROW($A30)-ROW($A$26)+(ROW(EM!$C$46)-ROW(EM!$C$14))*(MATCH(AA$22,EM!$B$6:$B$9,0)-1),MIN(AA$23-EM!$B$16+34,EM!$AF$16-EM!$B$16)),0)+
IF(ROUND(AA$11,0)&gt;=36,OFFSET(EM!$B$17,ROW($A30)-ROW($A$26)+(ROW(EM!$C$46)-ROW(EM!$C$14))*(MATCH(AA$22,EM!$B$6:$B$9,0)-1),MIN(AA$23-EM!$B$16+35,EM!$AF$16-EM!$B$16)),0)+
IF(ROUND(AA$11,0)&gt;=37,OFFSET(EM!$B$17,ROW($A30)-ROW($A$26)+(ROW(EM!$C$46)-ROW(EM!$C$14))*(MATCH(AA$22,EM!$B$6:$B$9,0)-1),MIN(AA$23-EM!$B$16+36,EM!$AF$16-EM!$B$16)),0)+
IF(ROUND(AA$11,0)&gt;=38,OFFSET(EM!$B$17,ROW($A30)-ROW($A$26)+(ROW(EM!$C$46)-ROW(EM!$C$14))*(MATCH(AA$22,EM!$B$6:$B$9,0)-1),MIN(AA$23-EM!$B$16+37,EM!$AF$16-EM!$B$16)),0)+
IF(ROUND(AA$11,0)&gt;=39,OFFSET(EM!$B$17,ROW($A30)-ROW($A$26)+(ROW(EM!$C$46)-ROW(EM!$C$14))*(MATCH(AA$22,EM!$B$6:$B$9,0)-1),MIN(AA$23-EM!$B$16+38,EM!$AF$16-EM!$B$16)),0)+
IF(ROUND(AA$11,0)&gt;=40,OFFSET(EM!$B$17,ROW($A30)-ROW($A$26)+(ROW(EM!$C$46)-ROW(EM!$C$14))*(MATCH(AA$22,EM!$B$6:$B$9,0)-1),MIN(AA$23-EM!$B$16+39,EM!$AF$16-EM!$B$16)),0)
)/ROUND(AA$11,0),NA()))</f>
        <v>1.7504398632274241E-2</v>
      </c>
      <c r="AB30" s="2046">
        <f ca="1">IF(AB$19=GPG!$A$28,IF(ROW(AB30)-ROW(AB$26)+1=MATCH(AB$20,GPG!$A$5:$A$11,0),1,0),
IF(AB$19=GPG!$A$29,
(IF(ROUND(AB$11,0)&gt;=1,OFFSET(EM!$B$17,ROW($A30)-ROW($A$26)+(ROW(EM!$C$46)-ROW(EM!$C$14))*(MATCH(AB$22,EM!$B$6:$B$9,0)-1),MIN(AB$23-EM!$B$16,EM!$AF$16-EM!$B$16)),0)+
IF(ROUND(AB$11,0)&gt;=2,OFFSET(EM!$B$17,ROW($A30)-ROW($A$26)+(ROW(EM!$C$46)-ROW(EM!$C$14))*(MATCH(AB$22,EM!$B$6:$B$9,0)-1),MIN(AB$23-EM!$B$16+1,EM!$AF$16-EM!$B$16)),0)+
IF(ROUND(AB$11,0)&gt;=3,OFFSET(EM!$B$17,ROW($A30)-ROW($A$26)+(ROW(EM!$C$46)-ROW(EM!$C$14))*(MATCH(AB$22,EM!$B$6:$B$9,0)-1),MIN(AB$23-EM!$B$16+2,EM!$AF$16-EM!$B$16)),0)+
IF(ROUND(AB$11,0)&gt;=4,OFFSET(EM!$B$17,ROW($A30)-ROW($A$26)+(ROW(EM!$C$46)-ROW(EM!$C$14))*(MATCH(AB$22,EM!$B$6:$B$9,0)-1),MIN(AB$23-EM!$B$16+3,EM!$AF$16-EM!$B$16)),0)+
IF(ROUND(AB$11,0)&gt;=5,OFFSET(EM!$B$17,ROW($A30)-ROW($A$26)+(ROW(EM!$C$46)-ROW(EM!$C$14))*(MATCH(AB$22,EM!$B$6:$B$9,0)-1),MIN(AB$23-EM!$B$16+4,EM!$AF$16-EM!$B$16)),0)+
IF(ROUND(AB$11,0)&gt;=6,OFFSET(EM!$B$17,ROW($A30)-ROW($A$26)+(ROW(EM!$C$46)-ROW(EM!$C$14))*(MATCH(AB$22,EM!$B$6:$B$9,0)-1),MIN(AB$23-EM!$B$16+5,EM!$AF$16-EM!$B$16)),0)+
IF(ROUND(AB$11,0)&gt;=7,OFFSET(EM!$B$17,ROW($A30)-ROW($A$26)+(ROW(EM!$C$46)-ROW(EM!$C$14))*(MATCH(AB$22,EM!$B$6:$B$9,0)-1),MIN(AB$23-EM!$B$16+6,EM!$AF$16-EM!$B$16)),0)+
IF(ROUND(AB$11,0)&gt;=8,OFFSET(EM!$B$17,ROW($A30)-ROW($A$26)+(ROW(EM!$C$46)-ROW(EM!$C$14))*(MATCH(AB$22,EM!$B$6:$B$9,0)-1),MIN(AB$23-EM!$B$16+7,EM!$AF$16-EM!$B$16)),0)+
IF(ROUND(AB$11,0)&gt;=9,OFFSET(EM!$B$17,ROW($A30)-ROW($A$26)+(ROW(EM!$C$46)-ROW(EM!$C$14))*(MATCH(AB$22,EM!$B$6:$B$9,0)-1),MIN(AB$23-EM!$B$16+8,EM!$AF$16-EM!$B$16)),0)+
IF(ROUND(AB$11,0)&gt;=10,OFFSET(EM!$B$17,ROW($A30)-ROW($A$26)+(ROW(EM!$C$46)-ROW(EM!$C$14))*(MATCH(AB$22,EM!$B$6:$B$9,0)-1),MIN(AB$23-EM!$B$16+9,EM!$AF$16-EM!$B$16)),0)+
IF(ROUND(AB$11,0)&gt;=11,OFFSET(EM!$B$17,ROW($A30)-ROW($A$26)+(ROW(EM!$C$46)-ROW(EM!$C$14))*(MATCH(AB$22,EM!$B$6:$B$9,0)-1),MIN(AB$23-EM!$B$16+10,EM!$AF$16-EM!$B$16)),0)+
IF(ROUND(AB$11,0)&gt;=12,OFFSET(EM!$B$17,ROW($A30)-ROW($A$26)+(ROW(EM!$C$46)-ROW(EM!$C$14))*(MATCH(AB$22,EM!$B$6:$B$9,0)-1),MIN(AB$23-EM!$B$16+11,EM!$AF$16-EM!$B$16)),0)+
IF(ROUND(AB$11,0)&gt;=13,OFFSET(EM!$B$17,ROW($A30)-ROW($A$26)+(ROW(EM!$C$46)-ROW(EM!$C$14))*(MATCH(AB$22,EM!$B$6:$B$9,0)-1),MIN(AB$23-EM!$B$16+12,EM!$AF$16-EM!$B$16)),0)+
IF(ROUND(AB$11,0)&gt;=14,OFFSET(EM!$B$17,ROW($A30)-ROW($A$26)+(ROW(EM!$C$46)-ROW(EM!$C$14))*(MATCH(AB$22,EM!$B$6:$B$9,0)-1),MIN(AB$23-EM!$B$16+13,EM!$AF$16-EM!$B$16)),0)+
IF(ROUND(AB$11,0)&gt;=15,OFFSET(EM!$B$17,ROW($A30)-ROW($A$26)+(ROW(EM!$C$46)-ROW(EM!$C$14))*(MATCH(AB$22,EM!$B$6:$B$9,0)-1),MIN(AB$23-EM!$B$16+14,EM!$AF$16-EM!$B$16)),0)+
IF(ROUND(AB$11,0)&gt;=16,OFFSET(EM!$B$17,ROW($A30)-ROW($A$26)+(ROW(EM!$C$46)-ROW(EM!$C$14))*(MATCH(AB$22,EM!$B$6:$B$9,0)-1),MIN(AB$23-EM!$B$16+15,EM!$AF$16-EM!$B$16)),0)+
IF(ROUND(AB$11,0)&gt;=17,OFFSET(EM!$B$17,ROW($A30)-ROW($A$26)+(ROW(EM!$C$46)-ROW(EM!$C$14))*(MATCH(AB$22,EM!$B$6:$B$9,0)-1),MIN(AB$23-EM!$B$16+16,EM!$AF$16-EM!$B$16)),0)+
IF(ROUND(AB$11,0)&gt;=18,OFFSET(EM!$B$17,ROW($A30)-ROW($A$26)+(ROW(EM!$C$46)-ROW(EM!$C$14))*(MATCH(AB$22,EM!$B$6:$B$9,0)-1),MIN(AB$23-EM!$B$16+17,EM!$AF$16-EM!$B$16)),0)+
IF(ROUND(AB$11,0)&gt;=19,OFFSET(EM!$B$17,ROW($A30)-ROW($A$26)+(ROW(EM!$C$46)-ROW(EM!$C$14))*(MATCH(AB$22,EM!$B$6:$B$9,0)-1),MIN(AB$23-EM!$B$16+18,EM!$AF$16-EM!$B$16)),0)+
IF(ROUND(AB$11,0)&gt;=20,OFFSET(EM!$B$17,ROW($A30)-ROW($A$26)+(ROW(EM!$C$46)-ROW(EM!$C$14))*(MATCH(AB$22,EM!$B$6:$B$9,0)-1),MIN(AB$23-EM!$B$16+19,EM!$AF$16-EM!$B$16)),0)+
IF(ROUND(AB$11,0)&gt;=21,OFFSET(EM!$B$17,ROW($A30)-ROW($A$26)+(ROW(EM!$C$46)-ROW(EM!$C$14))*(MATCH(AB$22,EM!$B$6:$B$9,0)-1),MIN(AB$23-EM!$B$16+20,EM!$AF$16-EM!$B$16)),0)+
IF(ROUND(AB$11,0)&gt;=22,OFFSET(EM!$B$17,ROW($A30)-ROW($A$26)+(ROW(EM!$C$46)-ROW(EM!$C$14))*(MATCH(AB$22,EM!$B$6:$B$9,0)-1),MIN(AB$23-EM!$B$16+21,EM!$AF$16-EM!$B$16)),0)+
IF(ROUND(AB$11,0)&gt;=23,OFFSET(EM!$B$17,ROW($A30)-ROW($A$26)+(ROW(EM!$C$46)-ROW(EM!$C$14))*(MATCH(AB$22,EM!$B$6:$B$9,0)-1),MIN(AB$23-EM!$B$16+22,EM!$AF$16-EM!$B$16)),0)+
IF(ROUND(AB$11,0)&gt;=24,OFFSET(EM!$B$17,ROW($A30)-ROW($A$26)+(ROW(EM!$C$46)-ROW(EM!$C$14))*(MATCH(AB$22,EM!$B$6:$B$9,0)-1),MIN(AB$23-EM!$B$16+23,EM!$AF$16-EM!$B$16)),0)+
IF(ROUND(AB$11,0)&gt;=25,OFFSET(EM!$B$17,ROW($A30)-ROW($A$26)+(ROW(EM!$C$46)-ROW(EM!$C$14))*(MATCH(AB$22,EM!$B$6:$B$9,0)-1),MIN(AB$23-EM!$B$16+24,EM!$AF$16-EM!$B$16)),0)+
IF(ROUND(AB$11,0)&gt;=26,OFFSET(EM!$B$17,ROW($A30)-ROW($A$26)+(ROW(EM!$C$46)-ROW(EM!$C$14))*(MATCH(AB$22,EM!$B$6:$B$9,0)-1),MIN(AB$23-EM!$B$16+25,EM!$AF$16-EM!$B$16)),0)+
IF(ROUND(AB$11,0)&gt;=27,OFFSET(EM!$B$17,ROW($A30)-ROW($A$26)+(ROW(EM!$C$46)-ROW(EM!$C$14))*(MATCH(AB$22,EM!$B$6:$B$9,0)-1),MIN(AB$23-EM!$B$16+26,EM!$AF$16-EM!$B$16)),0)+
IF(ROUND(AB$11,0)&gt;=28,OFFSET(EM!$B$17,ROW($A30)-ROW($A$26)+(ROW(EM!$C$46)-ROW(EM!$C$14))*(MATCH(AB$22,EM!$B$6:$B$9,0)-1),MIN(AB$23-EM!$B$16+27,EM!$AF$16-EM!$B$16)),0)+
IF(ROUND(AB$11,0)&gt;=29,OFFSET(EM!$B$17,ROW($A30)-ROW($A$26)+(ROW(EM!$C$46)-ROW(EM!$C$14))*(MATCH(AB$22,EM!$B$6:$B$9,0)-1),MIN(AB$23-EM!$B$16+28,EM!$AF$16-EM!$B$16)),0)+
IF(ROUND(AB$11,0)&gt;=30,OFFSET(EM!$B$17,ROW($A30)-ROW($A$26)+(ROW(EM!$C$46)-ROW(EM!$C$14))*(MATCH(AB$22,EM!$B$6:$B$9,0)-1),MIN(AB$23-EM!$B$16+29,EM!$AF$16-EM!$B$16)),0)+
IF(ROUND(AB$11,0)&gt;=31,OFFSET(EM!$B$17,ROW($A30)-ROW($A$26)+(ROW(EM!$C$46)-ROW(EM!$C$14))*(MATCH(AB$22,EM!$B$6:$B$9,0)-1),MIN(AB$23-EM!$B$16+30,EM!$AF$16-EM!$B$16)),0)+
IF(ROUND(AB$11,0)&gt;=32,OFFSET(EM!$B$17,ROW($A30)-ROW($A$26)+(ROW(EM!$C$46)-ROW(EM!$C$14))*(MATCH(AB$22,EM!$B$6:$B$9,0)-1),MIN(AB$23-EM!$B$16+31,EM!$AF$16-EM!$B$16)),0)+
IF(ROUND(AB$11,0)&gt;=33,OFFSET(EM!$B$17,ROW($A30)-ROW($A$26)+(ROW(EM!$C$46)-ROW(EM!$C$14))*(MATCH(AB$22,EM!$B$6:$B$9,0)-1),MIN(AB$23-EM!$B$16+32,EM!$AF$16-EM!$B$16)),0)+
IF(ROUND(AB$11,0)&gt;=34,OFFSET(EM!$B$17,ROW($A30)-ROW($A$26)+(ROW(EM!$C$46)-ROW(EM!$C$14))*(MATCH(AB$22,EM!$B$6:$B$9,0)-1),MIN(AB$23-EM!$B$16+33,EM!$AF$16-EM!$B$16)),0)+
IF(ROUND(AB$11,0)&gt;=35,OFFSET(EM!$B$17,ROW($A30)-ROW($A$26)+(ROW(EM!$C$46)-ROW(EM!$C$14))*(MATCH(AB$22,EM!$B$6:$B$9,0)-1),MIN(AB$23-EM!$B$16+34,EM!$AF$16-EM!$B$16)),0)+
IF(ROUND(AB$11,0)&gt;=36,OFFSET(EM!$B$17,ROW($A30)-ROW($A$26)+(ROW(EM!$C$46)-ROW(EM!$C$14))*(MATCH(AB$22,EM!$B$6:$B$9,0)-1),MIN(AB$23-EM!$B$16+35,EM!$AF$16-EM!$B$16)),0)+
IF(ROUND(AB$11,0)&gt;=37,OFFSET(EM!$B$17,ROW($A30)-ROW($A$26)+(ROW(EM!$C$46)-ROW(EM!$C$14))*(MATCH(AB$22,EM!$B$6:$B$9,0)-1),MIN(AB$23-EM!$B$16+36,EM!$AF$16-EM!$B$16)),0)+
IF(ROUND(AB$11,0)&gt;=38,OFFSET(EM!$B$17,ROW($A30)-ROW($A$26)+(ROW(EM!$C$46)-ROW(EM!$C$14))*(MATCH(AB$22,EM!$B$6:$B$9,0)-1),MIN(AB$23-EM!$B$16+37,EM!$AF$16-EM!$B$16)),0)+
IF(ROUND(AB$11,0)&gt;=39,OFFSET(EM!$B$17,ROW($A30)-ROW($A$26)+(ROW(EM!$C$46)-ROW(EM!$C$14))*(MATCH(AB$22,EM!$B$6:$B$9,0)-1),MIN(AB$23-EM!$B$16+38,EM!$AF$16-EM!$B$16)),0)+
IF(ROUND(AB$11,0)&gt;=40,OFFSET(EM!$B$17,ROW($A30)-ROW($A$26)+(ROW(EM!$C$46)-ROW(EM!$C$14))*(MATCH(AB$22,EM!$B$6:$B$9,0)-1),MIN(AB$23-EM!$B$16+39,EM!$AF$16-EM!$B$16)),0)
)/ROUND(AB$11,0),NA()))</f>
        <v>1.7504398632274255E-2</v>
      </c>
    </row>
    <row r="31" spans="1:28" x14ac:dyDescent="0.45">
      <c r="A31" s="1421" t="s">
        <v>1080</v>
      </c>
      <c r="B31" s="2035"/>
      <c r="C31" s="2046">
        <f ca="1">IF(C$19=GPG!$A$28,IF(ROW(C31)-ROW(C$26)+1=MATCH(C$20,GPG!$A$5:$A$11,0),1,0),
IF(C$19=GPG!$A$29,
(IF(ROUND(C$11,0)&gt;=1,OFFSET(EM!$B$17,ROW($A31)-ROW($A$26)+(ROW(EM!$C$46)-ROW(EM!$C$14))*(MATCH(C$22,EM!$B$6:$B$9,0)-1),MIN(C$23-EM!$B$16,EM!$AF$16-EM!$B$16)),0)+
IF(ROUND(C$11,0)&gt;=2,OFFSET(EM!$B$17,ROW($A31)-ROW($A$26)+(ROW(EM!$C$46)-ROW(EM!$C$14))*(MATCH(C$22,EM!$B$6:$B$9,0)-1),MIN(C$23-EM!$B$16+1,EM!$AF$16-EM!$B$16)),0)+
IF(ROUND(C$11,0)&gt;=3,OFFSET(EM!$B$17,ROW($A31)-ROW($A$26)+(ROW(EM!$C$46)-ROW(EM!$C$14))*(MATCH(C$22,EM!$B$6:$B$9,0)-1),MIN(C$23-EM!$B$16+2,EM!$AF$16-EM!$B$16)),0)+
IF(ROUND(C$11,0)&gt;=4,OFFSET(EM!$B$17,ROW($A31)-ROW($A$26)+(ROW(EM!$C$46)-ROW(EM!$C$14))*(MATCH(C$22,EM!$B$6:$B$9,0)-1),MIN(C$23-EM!$B$16+3,EM!$AF$16-EM!$B$16)),0)+
IF(ROUND(C$11,0)&gt;=5,OFFSET(EM!$B$17,ROW($A31)-ROW($A$26)+(ROW(EM!$C$46)-ROW(EM!$C$14))*(MATCH(C$22,EM!$B$6:$B$9,0)-1),MIN(C$23-EM!$B$16+4,EM!$AF$16-EM!$B$16)),0)+
IF(ROUND(C$11,0)&gt;=6,OFFSET(EM!$B$17,ROW($A31)-ROW($A$26)+(ROW(EM!$C$46)-ROW(EM!$C$14))*(MATCH(C$22,EM!$B$6:$B$9,0)-1),MIN(C$23-EM!$B$16+5,EM!$AF$16-EM!$B$16)),0)+
IF(ROUND(C$11,0)&gt;=7,OFFSET(EM!$B$17,ROW($A31)-ROW($A$26)+(ROW(EM!$C$46)-ROW(EM!$C$14))*(MATCH(C$22,EM!$B$6:$B$9,0)-1),MIN(C$23-EM!$B$16+6,EM!$AF$16-EM!$B$16)),0)+
IF(ROUND(C$11,0)&gt;=8,OFFSET(EM!$B$17,ROW($A31)-ROW($A$26)+(ROW(EM!$C$46)-ROW(EM!$C$14))*(MATCH(C$22,EM!$B$6:$B$9,0)-1),MIN(C$23-EM!$B$16+7,EM!$AF$16-EM!$B$16)),0)+
IF(ROUND(C$11,0)&gt;=9,OFFSET(EM!$B$17,ROW($A31)-ROW($A$26)+(ROW(EM!$C$46)-ROW(EM!$C$14))*(MATCH(C$22,EM!$B$6:$B$9,0)-1),MIN(C$23-EM!$B$16+8,EM!$AF$16-EM!$B$16)),0)+
IF(ROUND(C$11,0)&gt;=10,OFFSET(EM!$B$17,ROW($A31)-ROW($A$26)+(ROW(EM!$C$46)-ROW(EM!$C$14))*(MATCH(C$22,EM!$B$6:$B$9,0)-1),MIN(C$23-EM!$B$16+9,EM!$AF$16-EM!$B$16)),0)+
IF(ROUND(C$11,0)&gt;=11,OFFSET(EM!$B$17,ROW($A31)-ROW($A$26)+(ROW(EM!$C$46)-ROW(EM!$C$14))*(MATCH(C$22,EM!$B$6:$B$9,0)-1),MIN(C$23-EM!$B$16+10,EM!$AF$16-EM!$B$16)),0)+
IF(ROUND(C$11,0)&gt;=12,OFFSET(EM!$B$17,ROW($A31)-ROW($A$26)+(ROW(EM!$C$46)-ROW(EM!$C$14))*(MATCH(C$22,EM!$B$6:$B$9,0)-1),MIN(C$23-EM!$B$16+11,EM!$AF$16-EM!$B$16)),0)+
IF(ROUND(C$11,0)&gt;=13,OFFSET(EM!$B$17,ROW($A31)-ROW($A$26)+(ROW(EM!$C$46)-ROW(EM!$C$14))*(MATCH(C$22,EM!$B$6:$B$9,0)-1),MIN(C$23-EM!$B$16+12,EM!$AF$16-EM!$B$16)),0)+
IF(ROUND(C$11,0)&gt;=14,OFFSET(EM!$B$17,ROW($A31)-ROW($A$26)+(ROW(EM!$C$46)-ROW(EM!$C$14))*(MATCH(C$22,EM!$B$6:$B$9,0)-1),MIN(C$23-EM!$B$16+13,EM!$AF$16-EM!$B$16)),0)+
IF(ROUND(C$11,0)&gt;=15,OFFSET(EM!$B$17,ROW($A31)-ROW($A$26)+(ROW(EM!$C$46)-ROW(EM!$C$14))*(MATCH(C$22,EM!$B$6:$B$9,0)-1),MIN(C$23-EM!$B$16+14,EM!$AF$16-EM!$B$16)),0)+
IF(ROUND(C$11,0)&gt;=16,OFFSET(EM!$B$17,ROW($A31)-ROW($A$26)+(ROW(EM!$C$46)-ROW(EM!$C$14))*(MATCH(C$22,EM!$B$6:$B$9,0)-1),MIN(C$23-EM!$B$16+15,EM!$AF$16-EM!$B$16)),0)+
IF(ROUND(C$11,0)&gt;=17,OFFSET(EM!$B$17,ROW($A31)-ROW($A$26)+(ROW(EM!$C$46)-ROW(EM!$C$14))*(MATCH(C$22,EM!$B$6:$B$9,0)-1),MIN(C$23-EM!$B$16+16,EM!$AF$16-EM!$B$16)),0)+
IF(ROUND(C$11,0)&gt;=18,OFFSET(EM!$B$17,ROW($A31)-ROW($A$26)+(ROW(EM!$C$46)-ROW(EM!$C$14))*(MATCH(C$22,EM!$B$6:$B$9,0)-1),MIN(C$23-EM!$B$16+17,EM!$AF$16-EM!$B$16)),0)+
IF(ROUND(C$11,0)&gt;=19,OFFSET(EM!$B$17,ROW($A31)-ROW($A$26)+(ROW(EM!$C$46)-ROW(EM!$C$14))*(MATCH(C$22,EM!$B$6:$B$9,0)-1),MIN(C$23-EM!$B$16+18,EM!$AF$16-EM!$B$16)),0)+
IF(ROUND(C$11,0)&gt;=20,OFFSET(EM!$B$17,ROW($A31)-ROW($A$26)+(ROW(EM!$C$46)-ROW(EM!$C$14))*(MATCH(C$22,EM!$B$6:$B$9,0)-1),MIN(C$23-EM!$B$16+19,EM!$AF$16-EM!$B$16)),0)+
IF(ROUND(C$11,0)&gt;=21,OFFSET(EM!$B$17,ROW($A31)-ROW($A$26)+(ROW(EM!$C$46)-ROW(EM!$C$14))*(MATCH(C$22,EM!$B$6:$B$9,0)-1),MIN(C$23-EM!$B$16+20,EM!$AF$16-EM!$B$16)),0)+
IF(ROUND(C$11,0)&gt;=22,OFFSET(EM!$B$17,ROW($A31)-ROW($A$26)+(ROW(EM!$C$46)-ROW(EM!$C$14))*(MATCH(C$22,EM!$B$6:$B$9,0)-1),MIN(C$23-EM!$B$16+21,EM!$AF$16-EM!$B$16)),0)+
IF(ROUND(C$11,0)&gt;=23,OFFSET(EM!$B$17,ROW($A31)-ROW($A$26)+(ROW(EM!$C$46)-ROW(EM!$C$14))*(MATCH(C$22,EM!$B$6:$B$9,0)-1),MIN(C$23-EM!$B$16+22,EM!$AF$16-EM!$B$16)),0)+
IF(ROUND(C$11,0)&gt;=24,OFFSET(EM!$B$17,ROW($A31)-ROW($A$26)+(ROW(EM!$C$46)-ROW(EM!$C$14))*(MATCH(C$22,EM!$B$6:$B$9,0)-1),MIN(C$23-EM!$B$16+23,EM!$AF$16-EM!$B$16)),0)+
IF(ROUND(C$11,0)&gt;=25,OFFSET(EM!$B$17,ROW($A31)-ROW($A$26)+(ROW(EM!$C$46)-ROW(EM!$C$14))*(MATCH(C$22,EM!$B$6:$B$9,0)-1),MIN(C$23-EM!$B$16+24,EM!$AF$16-EM!$B$16)),0)+
IF(ROUND(C$11,0)&gt;=26,OFFSET(EM!$B$17,ROW($A31)-ROW($A$26)+(ROW(EM!$C$46)-ROW(EM!$C$14))*(MATCH(C$22,EM!$B$6:$B$9,0)-1),MIN(C$23-EM!$B$16+25,EM!$AF$16-EM!$B$16)),0)+
IF(ROUND(C$11,0)&gt;=27,OFFSET(EM!$B$17,ROW($A31)-ROW($A$26)+(ROW(EM!$C$46)-ROW(EM!$C$14))*(MATCH(C$22,EM!$B$6:$B$9,0)-1),MIN(C$23-EM!$B$16+26,EM!$AF$16-EM!$B$16)),0)+
IF(ROUND(C$11,0)&gt;=28,OFFSET(EM!$B$17,ROW($A31)-ROW($A$26)+(ROW(EM!$C$46)-ROW(EM!$C$14))*(MATCH(C$22,EM!$B$6:$B$9,0)-1),MIN(C$23-EM!$B$16+27,EM!$AF$16-EM!$B$16)),0)+
IF(ROUND(C$11,0)&gt;=29,OFFSET(EM!$B$17,ROW($A31)-ROW($A$26)+(ROW(EM!$C$46)-ROW(EM!$C$14))*(MATCH(C$22,EM!$B$6:$B$9,0)-1),MIN(C$23-EM!$B$16+28,EM!$AF$16-EM!$B$16)),0)+
IF(ROUND(C$11,0)&gt;=30,OFFSET(EM!$B$17,ROW($A31)-ROW($A$26)+(ROW(EM!$C$46)-ROW(EM!$C$14))*(MATCH(C$22,EM!$B$6:$B$9,0)-1),MIN(C$23-EM!$B$16+29,EM!$AF$16-EM!$B$16)),0)+
IF(ROUND(C$11,0)&gt;=31,OFFSET(EM!$B$17,ROW($A31)-ROW($A$26)+(ROW(EM!$C$46)-ROW(EM!$C$14))*(MATCH(C$22,EM!$B$6:$B$9,0)-1),MIN(C$23-EM!$B$16+30,EM!$AF$16-EM!$B$16)),0)+
IF(ROUND(C$11,0)&gt;=32,OFFSET(EM!$B$17,ROW($A31)-ROW($A$26)+(ROW(EM!$C$46)-ROW(EM!$C$14))*(MATCH(C$22,EM!$B$6:$B$9,0)-1),MIN(C$23-EM!$B$16+31,EM!$AF$16-EM!$B$16)),0)+
IF(ROUND(C$11,0)&gt;=33,OFFSET(EM!$B$17,ROW($A31)-ROW($A$26)+(ROW(EM!$C$46)-ROW(EM!$C$14))*(MATCH(C$22,EM!$B$6:$B$9,0)-1),MIN(C$23-EM!$B$16+32,EM!$AF$16-EM!$B$16)),0)+
IF(ROUND(C$11,0)&gt;=34,OFFSET(EM!$B$17,ROW($A31)-ROW($A$26)+(ROW(EM!$C$46)-ROW(EM!$C$14))*(MATCH(C$22,EM!$B$6:$B$9,0)-1),MIN(C$23-EM!$B$16+33,EM!$AF$16-EM!$B$16)),0)+
IF(ROUND(C$11,0)&gt;=35,OFFSET(EM!$B$17,ROW($A31)-ROW($A$26)+(ROW(EM!$C$46)-ROW(EM!$C$14))*(MATCH(C$22,EM!$B$6:$B$9,0)-1),MIN(C$23-EM!$B$16+34,EM!$AF$16-EM!$B$16)),0)+
IF(ROUND(C$11,0)&gt;=36,OFFSET(EM!$B$17,ROW($A31)-ROW($A$26)+(ROW(EM!$C$46)-ROW(EM!$C$14))*(MATCH(C$22,EM!$B$6:$B$9,0)-1),MIN(C$23-EM!$B$16+35,EM!$AF$16-EM!$B$16)),0)+
IF(ROUND(C$11,0)&gt;=37,OFFSET(EM!$B$17,ROW($A31)-ROW($A$26)+(ROW(EM!$C$46)-ROW(EM!$C$14))*(MATCH(C$22,EM!$B$6:$B$9,0)-1),MIN(C$23-EM!$B$16+36,EM!$AF$16-EM!$B$16)),0)+
IF(ROUND(C$11,0)&gt;=38,OFFSET(EM!$B$17,ROW($A31)-ROW($A$26)+(ROW(EM!$C$46)-ROW(EM!$C$14))*(MATCH(C$22,EM!$B$6:$B$9,0)-1),MIN(C$23-EM!$B$16+37,EM!$AF$16-EM!$B$16)),0)+
IF(ROUND(C$11,0)&gt;=39,OFFSET(EM!$B$17,ROW($A31)-ROW($A$26)+(ROW(EM!$C$46)-ROW(EM!$C$14))*(MATCH(C$22,EM!$B$6:$B$9,0)-1),MIN(C$23-EM!$B$16+38,EM!$AF$16-EM!$B$16)),0)+
IF(ROUND(C$11,0)&gt;=40,OFFSET(EM!$B$17,ROW($A31)-ROW($A$26)+(ROW(EM!$C$46)-ROW(EM!$C$14))*(MATCH(C$22,EM!$B$6:$B$9,0)-1),MIN(C$23-EM!$B$16+39,EM!$AF$16-EM!$B$16)),0)
)/ROUND(C$11,0),NA()))</f>
        <v>0.32150758866209128</v>
      </c>
      <c r="D31" s="2046">
        <f ca="1">IF(D$19=GPG!$A$28,IF(ROW(D31)-ROW(D$26)+1=MATCH(D$20,GPG!$A$5:$A$11,0),1,0),
IF(D$19=GPG!$A$29,
(IF(ROUND(D$11,0)&gt;=1,OFFSET(EM!$B$17,ROW($A31)-ROW($A$26)+(ROW(EM!$C$46)-ROW(EM!$C$14))*(MATCH(D$22,EM!$B$6:$B$9,0)-1),MIN(D$23-EM!$B$16,EM!$AF$16-EM!$B$16)),0)+
IF(ROUND(D$11,0)&gt;=2,OFFSET(EM!$B$17,ROW($A31)-ROW($A$26)+(ROW(EM!$C$46)-ROW(EM!$C$14))*(MATCH(D$22,EM!$B$6:$B$9,0)-1),MIN(D$23-EM!$B$16+1,EM!$AF$16-EM!$B$16)),0)+
IF(ROUND(D$11,0)&gt;=3,OFFSET(EM!$B$17,ROW($A31)-ROW($A$26)+(ROW(EM!$C$46)-ROW(EM!$C$14))*(MATCH(D$22,EM!$B$6:$B$9,0)-1),MIN(D$23-EM!$B$16+2,EM!$AF$16-EM!$B$16)),0)+
IF(ROUND(D$11,0)&gt;=4,OFFSET(EM!$B$17,ROW($A31)-ROW($A$26)+(ROW(EM!$C$46)-ROW(EM!$C$14))*(MATCH(D$22,EM!$B$6:$B$9,0)-1),MIN(D$23-EM!$B$16+3,EM!$AF$16-EM!$B$16)),0)+
IF(ROUND(D$11,0)&gt;=5,OFFSET(EM!$B$17,ROW($A31)-ROW($A$26)+(ROW(EM!$C$46)-ROW(EM!$C$14))*(MATCH(D$22,EM!$B$6:$B$9,0)-1),MIN(D$23-EM!$B$16+4,EM!$AF$16-EM!$B$16)),0)+
IF(ROUND(D$11,0)&gt;=6,OFFSET(EM!$B$17,ROW($A31)-ROW($A$26)+(ROW(EM!$C$46)-ROW(EM!$C$14))*(MATCH(D$22,EM!$B$6:$B$9,0)-1),MIN(D$23-EM!$B$16+5,EM!$AF$16-EM!$B$16)),0)+
IF(ROUND(D$11,0)&gt;=7,OFFSET(EM!$B$17,ROW($A31)-ROW($A$26)+(ROW(EM!$C$46)-ROW(EM!$C$14))*(MATCH(D$22,EM!$B$6:$B$9,0)-1),MIN(D$23-EM!$B$16+6,EM!$AF$16-EM!$B$16)),0)+
IF(ROUND(D$11,0)&gt;=8,OFFSET(EM!$B$17,ROW($A31)-ROW($A$26)+(ROW(EM!$C$46)-ROW(EM!$C$14))*(MATCH(D$22,EM!$B$6:$B$9,0)-1),MIN(D$23-EM!$B$16+7,EM!$AF$16-EM!$B$16)),0)+
IF(ROUND(D$11,0)&gt;=9,OFFSET(EM!$B$17,ROW($A31)-ROW($A$26)+(ROW(EM!$C$46)-ROW(EM!$C$14))*(MATCH(D$22,EM!$B$6:$B$9,0)-1),MIN(D$23-EM!$B$16+8,EM!$AF$16-EM!$B$16)),0)+
IF(ROUND(D$11,0)&gt;=10,OFFSET(EM!$B$17,ROW($A31)-ROW($A$26)+(ROW(EM!$C$46)-ROW(EM!$C$14))*(MATCH(D$22,EM!$B$6:$B$9,0)-1),MIN(D$23-EM!$B$16+9,EM!$AF$16-EM!$B$16)),0)+
IF(ROUND(D$11,0)&gt;=11,OFFSET(EM!$B$17,ROW($A31)-ROW($A$26)+(ROW(EM!$C$46)-ROW(EM!$C$14))*(MATCH(D$22,EM!$B$6:$B$9,0)-1),MIN(D$23-EM!$B$16+10,EM!$AF$16-EM!$B$16)),0)+
IF(ROUND(D$11,0)&gt;=12,OFFSET(EM!$B$17,ROW($A31)-ROW($A$26)+(ROW(EM!$C$46)-ROW(EM!$C$14))*(MATCH(D$22,EM!$B$6:$B$9,0)-1),MIN(D$23-EM!$B$16+11,EM!$AF$16-EM!$B$16)),0)+
IF(ROUND(D$11,0)&gt;=13,OFFSET(EM!$B$17,ROW($A31)-ROW($A$26)+(ROW(EM!$C$46)-ROW(EM!$C$14))*(MATCH(D$22,EM!$B$6:$B$9,0)-1),MIN(D$23-EM!$B$16+12,EM!$AF$16-EM!$B$16)),0)+
IF(ROUND(D$11,0)&gt;=14,OFFSET(EM!$B$17,ROW($A31)-ROW($A$26)+(ROW(EM!$C$46)-ROW(EM!$C$14))*(MATCH(D$22,EM!$B$6:$B$9,0)-1),MIN(D$23-EM!$B$16+13,EM!$AF$16-EM!$B$16)),0)+
IF(ROUND(D$11,0)&gt;=15,OFFSET(EM!$B$17,ROW($A31)-ROW($A$26)+(ROW(EM!$C$46)-ROW(EM!$C$14))*(MATCH(D$22,EM!$B$6:$B$9,0)-1),MIN(D$23-EM!$B$16+14,EM!$AF$16-EM!$B$16)),0)+
IF(ROUND(D$11,0)&gt;=16,OFFSET(EM!$B$17,ROW($A31)-ROW($A$26)+(ROW(EM!$C$46)-ROW(EM!$C$14))*(MATCH(D$22,EM!$B$6:$B$9,0)-1),MIN(D$23-EM!$B$16+15,EM!$AF$16-EM!$B$16)),0)+
IF(ROUND(D$11,0)&gt;=17,OFFSET(EM!$B$17,ROW($A31)-ROW($A$26)+(ROW(EM!$C$46)-ROW(EM!$C$14))*(MATCH(D$22,EM!$B$6:$B$9,0)-1),MIN(D$23-EM!$B$16+16,EM!$AF$16-EM!$B$16)),0)+
IF(ROUND(D$11,0)&gt;=18,OFFSET(EM!$B$17,ROW($A31)-ROW($A$26)+(ROW(EM!$C$46)-ROW(EM!$C$14))*(MATCH(D$22,EM!$B$6:$B$9,0)-1),MIN(D$23-EM!$B$16+17,EM!$AF$16-EM!$B$16)),0)+
IF(ROUND(D$11,0)&gt;=19,OFFSET(EM!$B$17,ROW($A31)-ROW($A$26)+(ROW(EM!$C$46)-ROW(EM!$C$14))*(MATCH(D$22,EM!$B$6:$B$9,0)-1),MIN(D$23-EM!$B$16+18,EM!$AF$16-EM!$B$16)),0)+
IF(ROUND(D$11,0)&gt;=20,OFFSET(EM!$B$17,ROW($A31)-ROW($A$26)+(ROW(EM!$C$46)-ROW(EM!$C$14))*(MATCH(D$22,EM!$B$6:$B$9,0)-1),MIN(D$23-EM!$B$16+19,EM!$AF$16-EM!$B$16)),0)+
IF(ROUND(D$11,0)&gt;=21,OFFSET(EM!$B$17,ROW($A31)-ROW($A$26)+(ROW(EM!$C$46)-ROW(EM!$C$14))*(MATCH(D$22,EM!$B$6:$B$9,0)-1),MIN(D$23-EM!$B$16+20,EM!$AF$16-EM!$B$16)),0)+
IF(ROUND(D$11,0)&gt;=22,OFFSET(EM!$B$17,ROW($A31)-ROW($A$26)+(ROW(EM!$C$46)-ROW(EM!$C$14))*(MATCH(D$22,EM!$B$6:$B$9,0)-1),MIN(D$23-EM!$B$16+21,EM!$AF$16-EM!$B$16)),0)+
IF(ROUND(D$11,0)&gt;=23,OFFSET(EM!$B$17,ROW($A31)-ROW($A$26)+(ROW(EM!$C$46)-ROW(EM!$C$14))*(MATCH(D$22,EM!$B$6:$B$9,0)-1),MIN(D$23-EM!$B$16+22,EM!$AF$16-EM!$B$16)),0)+
IF(ROUND(D$11,0)&gt;=24,OFFSET(EM!$B$17,ROW($A31)-ROW($A$26)+(ROW(EM!$C$46)-ROW(EM!$C$14))*(MATCH(D$22,EM!$B$6:$B$9,0)-1),MIN(D$23-EM!$B$16+23,EM!$AF$16-EM!$B$16)),0)+
IF(ROUND(D$11,0)&gt;=25,OFFSET(EM!$B$17,ROW($A31)-ROW($A$26)+(ROW(EM!$C$46)-ROW(EM!$C$14))*(MATCH(D$22,EM!$B$6:$B$9,0)-1),MIN(D$23-EM!$B$16+24,EM!$AF$16-EM!$B$16)),0)+
IF(ROUND(D$11,0)&gt;=26,OFFSET(EM!$B$17,ROW($A31)-ROW($A$26)+(ROW(EM!$C$46)-ROW(EM!$C$14))*(MATCH(D$22,EM!$B$6:$B$9,0)-1),MIN(D$23-EM!$B$16+25,EM!$AF$16-EM!$B$16)),0)+
IF(ROUND(D$11,0)&gt;=27,OFFSET(EM!$B$17,ROW($A31)-ROW($A$26)+(ROW(EM!$C$46)-ROW(EM!$C$14))*(MATCH(D$22,EM!$B$6:$B$9,0)-1),MIN(D$23-EM!$B$16+26,EM!$AF$16-EM!$B$16)),0)+
IF(ROUND(D$11,0)&gt;=28,OFFSET(EM!$B$17,ROW($A31)-ROW($A$26)+(ROW(EM!$C$46)-ROW(EM!$C$14))*(MATCH(D$22,EM!$B$6:$B$9,0)-1),MIN(D$23-EM!$B$16+27,EM!$AF$16-EM!$B$16)),0)+
IF(ROUND(D$11,0)&gt;=29,OFFSET(EM!$B$17,ROW($A31)-ROW($A$26)+(ROW(EM!$C$46)-ROW(EM!$C$14))*(MATCH(D$22,EM!$B$6:$B$9,0)-1),MIN(D$23-EM!$B$16+28,EM!$AF$16-EM!$B$16)),0)+
IF(ROUND(D$11,0)&gt;=30,OFFSET(EM!$B$17,ROW($A31)-ROW($A$26)+(ROW(EM!$C$46)-ROW(EM!$C$14))*(MATCH(D$22,EM!$B$6:$B$9,0)-1),MIN(D$23-EM!$B$16+29,EM!$AF$16-EM!$B$16)),0)+
IF(ROUND(D$11,0)&gt;=31,OFFSET(EM!$B$17,ROW($A31)-ROW($A$26)+(ROW(EM!$C$46)-ROW(EM!$C$14))*(MATCH(D$22,EM!$B$6:$B$9,0)-1),MIN(D$23-EM!$B$16+30,EM!$AF$16-EM!$B$16)),0)+
IF(ROUND(D$11,0)&gt;=32,OFFSET(EM!$B$17,ROW($A31)-ROW($A$26)+(ROW(EM!$C$46)-ROW(EM!$C$14))*(MATCH(D$22,EM!$B$6:$B$9,0)-1),MIN(D$23-EM!$B$16+31,EM!$AF$16-EM!$B$16)),0)+
IF(ROUND(D$11,0)&gt;=33,OFFSET(EM!$B$17,ROW($A31)-ROW($A$26)+(ROW(EM!$C$46)-ROW(EM!$C$14))*(MATCH(D$22,EM!$B$6:$B$9,0)-1),MIN(D$23-EM!$B$16+32,EM!$AF$16-EM!$B$16)),0)+
IF(ROUND(D$11,0)&gt;=34,OFFSET(EM!$B$17,ROW($A31)-ROW($A$26)+(ROW(EM!$C$46)-ROW(EM!$C$14))*(MATCH(D$22,EM!$B$6:$B$9,0)-1),MIN(D$23-EM!$B$16+33,EM!$AF$16-EM!$B$16)),0)+
IF(ROUND(D$11,0)&gt;=35,OFFSET(EM!$B$17,ROW($A31)-ROW($A$26)+(ROW(EM!$C$46)-ROW(EM!$C$14))*(MATCH(D$22,EM!$B$6:$B$9,0)-1),MIN(D$23-EM!$B$16+34,EM!$AF$16-EM!$B$16)),0)+
IF(ROUND(D$11,0)&gt;=36,OFFSET(EM!$B$17,ROW($A31)-ROW($A$26)+(ROW(EM!$C$46)-ROW(EM!$C$14))*(MATCH(D$22,EM!$B$6:$B$9,0)-1),MIN(D$23-EM!$B$16+35,EM!$AF$16-EM!$B$16)),0)+
IF(ROUND(D$11,0)&gt;=37,OFFSET(EM!$B$17,ROW($A31)-ROW($A$26)+(ROW(EM!$C$46)-ROW(EM!$C$14))*(MATCH(D$22,EM!$B$6:$B$9,0)-1),MIN(D$23-EM!$B$16+36,EM!$AF$16-EM!$B$16)),0)+
IF(ROUND(D$11,0)&gt;=38,OFFSET(EM!$B$17,ROW($A31)-ROW($A$26)+(ROW(EM!$C$46)-ROW(EM!$C$14))*(MATCH(D$22,EM!$B$6:$B$9,0)-1),MIN(D$23-EM!$B$16+37,EM!$AF$16-EM!$B$16)),0)+
IF(ROUND(D$11,0)&gt;=39,OFFSET(EM!$B$17,ROW($A31)-ROW($A$26)+(ROW(EM!$C$46)-ROW(EM!$C$14))*(MATCH(D$22,EM!$B$6:$B$9,0)-1),MIN(D$23-EM!$B$16+38,EM!$AF$16-EM!$B$16)),0)+
IF(ROUND(D$11,0)&gt;=40,OFFSET(EM!$B$17,ROW($A31)-ROW($A$26)+(ROW(EM!$C$46)-ROW(EM!$C$14))*(MATCH(D$22,EM!$B$6:$B$9,0)-1),MIN(D$23-EM!$B$16+39,EM!$AF$16-EM!$B$16)),0)
)/ROUND(D$11,0),NA()))</f>
        <v>0.19126569597021811</v>
      </c>
      <c r="E31" s="2046">
        <f ca="1">IF(E$19=GPG!$A$28,IF(ROW(E31)-ROW(E$26)+1=MATCH(E$20,GPG!$A$5:$A$11,0),1,0),
IF(E$19=GPG!$A$29,
(IF(ROUND(E$11,0)&gt;=1,OFFSET(EM!$B$17,ROW($A31)-ROW($A$26)+(ROW(EM!$C$46)-ROW(EM!$C$14))*(MATCH(E$22,EM!$B$6:$B$9,0)-1),MIN(E$23-EM!$B$16,EM!$AF$16-EM!$B$16)),0)+
IF(ROUND(E$11,0)&gt;=2,OFFSET(EM!$B$17,ROW($A31)-ROW($A$26)+(ROW(EM!$C$46)-ROW(EM!$C$14))*(MATCH(E$22,EM!$B$6:$B$9,0)-1),MIN(E$23-EM!$B$16+1,EM!$AF$16-EM!$B$16)),0)+
IF(ROUND(E$11,0)&gt;=3,OFFSET(EM!$B$17,ROW($A31)-ROW($A$26)+(ROW(EM!$C$46)-ROW(EM!$C$14))*(MATCH(E$22,EM!$B$6:$B$9,0)-1),MIN(E$23-EM!$B$16+2,EM!$AF$16-EM!$B$16)),0)+
IF(ROUND(E$11,0)&gt;=4,OFFSET(EM!$B$17,ROW($A31)-ROW($A$26)+(ROW(EM!$C$46)-ROW(EM!$C$14))*(MATCH(E$22,EM!$B$6:$B$9,0)-1),MIN(E$23-EM!$B$16+3,EM!$AF$16-EM!$B$16)),0)+
IF(ROUND(E$11,0)&gt;=5,OFFSET(EM!$B$17,ROW($A31)-ROW($A$26)+(ROW(EM!$C$46)-ROW(EM!$C$14))*(MATCH(E$22,EM!$B$6:$B$9,0)-1),MIN(E$23-EM!$B$16+4,EM!$AF$16-EM!$B$16)),0)+
IF(ROUND(E$11,0)&gt;=6,OFFSET(EM!$B$17,ROW($A31)-ROW($A$26)+(ROW(EM!$C$46)-ROW(EM!$C$14))*(MATCH(E$22,EM!$B$6:$B$9,0)-1),MIN(E$23-EM!$B$16+5,EM!$AF$16-EM!$B$16)),0)+
IF(ROUND(E$11,0)&gt;=7,OFFSET(EM!$B$17,ROW($A31)-ROW($A$26)+(ROW(EM!$C$46)-ROW(EM!$C$14))*(MATCH(E$22,EM!$B$6:$B$9,0)-1),MIN(E$23-EM!$B$16+6,EM!$AF$16-EM!$B$16)),0)+
IF(ROUND(E$11,0)&gt;=8,OFFSET(EM!$B$17,ROW($A31)-ROW($A$26)+(ROW(EM!$C$46)-ROW(EM!$C$14))*(MATCH(E$22,EM!$B$6:$B$9,0)-1),MIN(E$23-EM!$B$16+7,EM!$AF$16-EM!$B$16)),0)+
IF(ROUND(E$11,0)&gt;=9,OFFSET(EM!$B$17,ROW($A31)-ROW($A$26)+(ROW(EM!$C$46)-ROW(EM!$C$14))*(MATCH(E$22,EM!$B$6:$B$9,0)-1),MIN(E$23-EM!$B$16+8,EM!$AF$16-EM!$B$16)),0)+
IF(ROUND(E$11,0)&gt;=10,OFFSET(EM!$B$17,ROW($A31)-ROW($A$26)+(ROW(EM!$C$46)-ROW(EM!$C$14))*(MATCH(E$22,EM!$B$6:$B$9,0)-1),MIN(E$23-EM!$B$16+9,EM!$AF$16-EM!$B$16)),0)+
IF(ROUND(E$11,0)&gt;=11,OFFSET(EM!$B$17,ROW($A31)-ROW($A$26)+(ROW(EM!$C$46)-ROW(EM!$C$14))*(MATCH(E$22,EM!$B$6:$B$9,0)-1),MIN(E$23-EM!$B$16+10,EM!$AF$16-EM!$B$16)),0)+
IF(ROUND(E$11,0)&gt;=12,OFFSET(EM!$B$17,ROW($A31)-ROW($A$26)+(ROW(EM!$C$46)-ROW(EM!$C$14))*(MATCH(E$22,EM!$B$6:$B$9,0)-1),MIN(E$23-EM!$B$16+11,EM!$AF$16-EM!$B$16)),0)+
IF(ROUND(E$11,0)&gt;=13,OFFSET(EM!$B$17,ROW($A31)-ROW($A$26)+(ROW(EM!$C$46)-ROW(EM!$C$14))*(MATCH(E$22,EM!$B$6:$B$9,0)-1),MIN(E$23-EM!$B$16+12,EM!$AF$16-EM!$B$16)),0)+
IF(ROUND(E$11,0)&gt;=14,OFFSET(EM!$B$17,ROW($A31)-ROW($A$26)+(ROW(EM!$C$46)-ROW(EM!$C$14))*(MATCH(E$22,EM!$B$6:$B$9,0)-1),MIN(E$23-EM!$B$16+13,EM!$AF$16-EM!$B$16)),0)+
IF(ROUND(E$11,0)&gt;=15,OFFSET(EM!$B$17,ROW($A31)-ROW($A$26)+(ROW(EM!$C$46)-ROW(EM!$C$14))*(MATCH(E$22,EM!$B$6:$B$9,0)-1),MIN(E$23-EM!$B$16+14,EM!$AF$16-EM!$B$16)),0)+
IF(ROUND(E$11,0)&gt;=16,OFFSET(EM!$B$17,ROW($A31)-ROW($A$26)+(ROW(EM!$C$46)-ROW(EM!$C$14))*(MATCH(E$22,EM!$B$6:$B$9,0)-1),MIN(E$23-EM!$B$16+15,EM!$AF$16-EM!$B$16)),0)+
IF(ROUND(E$11,0)&gt;=17,OFFSET(EM!$B$17,ROW($A31)-ROW($A$26)+(ROW(EM!$C$46)-ROW(EM!$C$14))*(MATCH(E$22,EM!$B$6:$B$9,0)-1),MIN(E$23-EM!$B$16+16,EM!$AF$16-EM!$B$16)),0)+
IF(ROUND(E$11,0)&gt;=18,OFFSET(EM!$B$17,ROW($A31)-ROW($A$26)+(ROW(EM!$C$46)-ROW(EM!$C$14))*(MATCH(E$22,EM!$B$6:$B$9,0)-1),MIN(E$23-EM!$B$16+17,EM!$AF$16-EM!$B$16)),0)+
IF(ROUND(E$11,0)&gt;=19,OFFSET(EM!$B$17,ROW($A31)-ROW($A$26)+(ROW(EM!$C$46)-ROW(EM!$C$14))*(MATCH(E$22,EM!$B$6:$B$9,0)-1),MIN(E$23-EM!$B$16+18,EM!$AF$16-EM!$B$16)),0)+
IF(ROUND(E$11,0)&gt;=20,OFFSET(EM!$B$17,ROW($A31)-ROW($A$26)+(ROW(EM!$C$46)-ROW(EM!$C$14))*(MATCH(E$22,EM!$B$6:$B$9,0)-1),MIN(E$23-EM!$B$16+19,EM!$AF$16-EM!$B$16)),0)+
IF(ROUND(E$11,0)&gt;=21,OFFSET(EM!$B$17,ROW($A31)-ROW($A$26)+(ROW(EM!$C$46)-ROW(EM!$C$14))*(MATCH(E$22,EM!$B$6:$B$9,0)-1),MIN(E$23-EM!$B$16+20,EM!$AF$16-EM!$B$16)),0)+
IF(ROUND(E$11,0)&gt;=22,OFFSET(EM!$B$17,ROW($A31)-ROW($A$26)+(ROW(EM!$C$46)-ROW(EM!$C$14))*(MATCH(E$22,EM!$B$6:$B$9,0)-1),MIN(E$23-EM!$B$16+21,EM!$AF$16-EM!$B$16)),0)+
IF(ROUND(E$11,0)&gt;=23,OFFSET(EM!$B$17,ROW($A31)-ROW($A$26)+(ROW(EM!$C$46)-ROW(EM!$C$14))*(MATCH(E$22,EM!$B$6:$B$9,0)-1),MIN(E$23-EM!$B$16+22,EM!$AF$16-EM!$B$16)),0)+
IF(ROUND(E$11,0)&gt;=24,OFFSET(EM!$B$17,ROW($A31)-ROW($A$26)+(ROW(EM!$C$46)-ROW(EM!$C$14))*(MATCH(E$22,EM!$B$6:$B$9,0)-1),MIN(E$23-EM!$B$16+23,EM!$AF$16-EM!$B$16)),0)+
IF(ROUND(E$11,0)&gt;=25,OFFSET(EM!$B$17,ROW($A31)-ROW($A$26)+(ROW(EM!$C$46)-ROW(EM!$C$14))*(MATCH(E$22,EM!$B$6:$B$9,0)-1),MIN(E$23-EM!$B$16+24,EM!$AF$16-EM!$B$16)),0)+
IF(ROUND(E$11,0)&gt;=26,OFFSET(EM!$B$17,ROW($A31)-ROW($A$26)+(ROW(EM!$C$46)-ROW(EM!$C$14))*(MATCH(E$22,EM!$B$6:$B$9,0)-1),MIN(E$23-EM!$B$16+25,EM!$AF$16-EM!$B$16)),0)+
IF(ROUND(E$11,0)&gt;=27,OFFSET(EM!$B$17,ROW($A31)-ROW($A$26)+(ROW(EM!$C$46)-ROW(EM!$C$14))*(MATCH(E$22,EM!$B$6:$B$9,0)-1),MIN(E$23-EM!$B$16+26,EM!$AF$16-EM!$B$16)),0)+
IF(ROUND(E$11,0)&gt;=28,OFFSET(EM!$B$17,ROW($A31)-ROW($A$26)+(ROW(EM!$C$46)-ROW(EM!$C$14))*(MATCH(E$22,EM!$B$6:$B$9,0)-1),MIN(E$23-EM!$B$16+27,EM!$AF$16-EM!$B$16)),0)+
IF(ROUND(E$11,0)&gt;=29,OFFSET(EM!$B$17,ROW($A31)-ROW($A$26)+(ROW(EM!$C$46)-ROW(EM!$C$14))*(MATCH(E$22,EM!$B$6:$B$9,0)-1),MIN(E$23-EM!$B$16+28,EM!$AF$16-EM!$B$16)),0)+
IF(ROUND(E$11,0)&gt;=30,OFFSET(EM!$B$17,ROW($A31)-ROW($A$26)+(ROW(EM!$C$46)-ROW(EM!$C$14))*(MATCH(E$22,EM!$B$6:$B$9,0)-1),MIN(E$23-EM!$B$16+29,EM!$AF$16-EM!$B$16)),0)+
IF(ROUND(E$11,0)&gt;=31,OFFSET(EM!$B$17,ROW($A31)-ROW($A$26)+(ROW(EM!$C$46)-ROW(EM!$C$14))*(MATCH(E$22,EM!$B$6:$B$9,0)-1),MIN(E$23-EM!$B$16+30,EM!$AF$16-EM!$B$16)),0)+
IF(ROUND(E$11,0)&gt;=32,OFFSET(EM!$B$17,ROW($A31)-ROW($A$26)+(ROW(EM!$C$46)-ROW(EM!$C$14))*(MATCH(E$22,EM!$B$6:$B$9,0)-1),MIN(E$23-EM!$B$16+31,EM!$AF$16-EM!$B$16)),0)+
IF(ROUND(E$11,0)&gt;=33,OFFSET(EM!$B$17,ROW($A31)-ROW($A$26)+(ROW(EM!$C$46)-ROW(EM!$C$14))*(MATCH(E$22,EM!$B$6:$B$9,0)-1),MIN(E$23-EM!$B$16+32,EM!$AF$16-EM!$B$16)),0)+
IF(ROUND(E$11,0)&gt;=34,OFFSET(EM!$B$17,ROW($A31)-ROW($A$26)+(ROW(EM!$C$46)-ROW(EM!$C$14))*(MATCH(E$22,EM!$B$6:$B$9,0)-1),MIN(E$23-EM!$B$16+33,EM!$AF$16-EM!$B$16)),0)+
IF(ROUND(E$11,0)&gt;=35,OFFSET(EM!$B$17,ROW($A31)-ROW($A$26)+(ROW(EM!$C$46)-ROW(EM!$C$14))*(MATCH(E$22,EM!$B$6:$B$9,0)-1),MIN(E$23-EM!$B$16+34,EM!$AF$16-EM!$B$16)),0)+
IF(ROUND(E$11,0)&gt;=36,OFFSET(EM!$B$17,ROW($A31)-ROW($A$26)+(ROW(EM!$C$46)-ROW(EM!$C$14))*(MATCH(E$22,EM!$B$6:$B$9,0)-1),MIN(E$23-EM!$B$16+35,EM!$AF$16-EM!$B$16)),0)+
IF(ROUND(E$11,0)&gt;=37,OFFSET(EM!$B$17,ROW($A31)-ROW($A$26)+(ROW(EM!$C$46)-ROW(EM!$C$14))*(MATCH(E$22,EM!$B$6:$B$9,0)-1),MIN(E$23-EM!$B$16+36,EM!$AF$16-EM!$B$16)),0)+
IF(ROUND(E$11,0)&gt;=38,OFFSET(EM!$B$17,ROW($A31)-ROW($A$26)+(ROW(EM!$C$46)-ROW(EM!$C$14))*(MATCH(E$22,EM!$B$6:$B$9,0)-1),MIN(E$23-EM!$B$16+37,EM!$AF$16-EM!$B$16)),0)+
IF(ROUND(E$11,0)&gt;=39,OFFSET(EM!$B$17,ROW($A31)-ROW($A$26)+(ROW(EM!$C$46)-ROW(EM!$C$14))*(MATCH(E$22,EM!$B$6:$B$9,0)-1),MIN(E$23-EM!$B$16+38,EM!$AF$16-EM!$B$16)),0)+
IF(ROUND(E$11,0)&gt;=40,OFFSET(EM!$B$17,ROW($A31)-ROW($A$26)+(ROW(EM!$C$46)-ROW(EM!$C$14))*(MATCH(E$22,EM!$B$6:$B$9,0)-1),MIN(E$23-EM!$B$16+39,EM!$AF$16-EM!$B$16)),0)
)/ROUND(E$11,0),NA()))</f>
        <v>0.32150758866209128</v>
      </c>
      <c r="F31" s="2046">
        <f ca="1">IF(F$19=GPG!$A$28,IF(ROW(F31)-ROW(F$26)+1=MATCH(F$20,GPG!$A$5:$A$11,0),1,0),
IF(F$19=GPG!$A$29,
(IF(ROUND(F$11,0)&gt;=1,OFFSET(EM!$B$17,ROW($A31)-ROW($A$26)+(ROW(EM!$C$46)-ROW(EM!$C$14))*(MATCH(F$22,EM!$B$6:$B$9,0)-1),MIN(F$23-EM!$B$16,EM!$AF$16-EM!$B$16)),0)+
IF(ROUND(F$11,0)&gt;=2,OFFSET(EM!$B$17,ROW($A31)-ROW($A$26)+(ROW(EM!$C$46)-ROW(EM!$C$14))*(MATCH(F$22,EM!$B$6:$B$9,0)-1),MIN(F$23-EM!$B$16+1,EM!$AF$16-EM!$B$16)),0)+
IF(ROUND(F$11,0)&gt;=3,OFFSET(EM!$B$17,ROW($A31)-ROW($A$26)+(ROW(EM!$C$46)-ROW(EM!$C$14))*(MATCH(F$22,EM!$B$6:$B$9,0)-1),MIN(F$23-EM!$B$16+2,EM!$AF$16-EM!$B$16)),0)+
IF(ROUND(F$11,0)&gt;=4,OFFSET(EM!$B$17,ROW($A31)-ROW($A$26)+(ROW(EM!$C$46)-ROW(EM!$C$14))*(MATCH(F$22,EM!$B$6:$B$9,0)-1),MIN(F$23-EM!$B$16+3,EM!$AF$16-EM!$B$16)),0)+
IF(ROUND(F$11,0)&gt;=5,OFFSET(EM!$B$17,ROW($A31)-ROW($A$26)+(ROW(EM!$C$46)-ROW(EM!$C$14))*(MATCH(F$22,EM!$B$6:$B$9,0)-1),MIN(F$23-EM!$B$16+4,EM!$AF$16-EM!$B$16)),0)+
IF(ROUND(F$11,0)&gt;=6,OFFSET(EM!$B$17,ROW($A31)-ROW($A$26)+(ROW(EM!$C$46)-ROW(EM!$C$14))*(MATCH(F$22,EM!$B$6:$B$9,0)-1),MIN(F$23-EM!$B$16+5,EM!$AF$16-EM!$B$16)),0)+
IF(ROUND(F$11,0)&gt;=7,OFFSET(EM!$B$17,ROW($A31)-ROW($A$26)+(ROW(EM!$C$46)-ROW(EM!$C$14))*(MATCH(F$22,EM!$B$6:$B$9,0)-1),MIN(F$23-EM!$B$16+6,EM!$AF$16-EM!$B$16)),0)+
IF(ROUND(F$11,0)&gt;=8,OFFSET(EM!$B$17,ROW($A31)-ROW($A$26)+(ROW(EM!$C$46)-ROW(EM!$C$14))*(MATCH(F$22,EM!$B$6:$B$9,0)-1),MIN(F$23-EM!$B$16+7,EM!$AF$16-EM!$B$16)),0)+
IF(ROUND(F$11,0)&gt;=9,OFFSET(EM!$B$17,ROW($A31)-ROW($A$26)+(ROW(EM!$C$46)-ROW(EM!$C$14))*(MATCH(F$22,EM!$B$6:$B$9,0)-1),MIN(F$23-EM!$B$16+8,EM!$AF$16-EM!$B$16)),0)+
IF(ROUND(F$11,0)&gt;=10,OFFSET(EM!$B$17,ROW($A31)-ROW($A$26)+(ROW(EM!$C$46)-ROW(EM!$C$14))*(MATCH(F$22,EM!$B$6:$B$9,0)-1),MIN(F$23-EM!$B$16+9,EM!$AF$16-EM!$B$16)),0)+
IF(ROUND(F$11,0)&gt;=11,OFFSET(EM!$B$17,ROW($A31)-ROW($A$26)+(ROW(EM!$C$46)-ROW(EM!$C$14))*(MATCH(F$22,EM!$B$6:$B$9,0)-1),MIN(F$23-EM!$B$16+10,EM!$AF$16-EM!$B$16)),0)+
IF(ROUND(F$11,0)&gt;=12,OFFSET(EM!$B$17,ROW($A31)-ROW($A$26)+(ROW(EM!$C$46)-ROW(EM!$C$14))*(MATCH(F$22,EM!$B$6:$B$9,0)-1),MIN(F$23-EM!$B$16+11,EM!$AF$16-EM!$B$16)),0)+
IF(ROUND(F$11,0)&gt;=13,OFFSET(EM!$B$17,ROW($A31)-ROW($A$26)+(ROW(EM!$C$46)-ROW(EM!$C$14))*(MATCH(F$22,EM!$B$6:$B$9,0)-1),MIN(F$23-EM!$B$16+12,EM!$AF$16-EM!$B$16)),0)+
IF(ROUND(F$11,0)&gt;=14,OFFSET(EM!$B$17,ROW($A31)-ROW($A$26)+(ROW(EM!$C$46)-ROW(EM!$C$14))*(MATCH(F$22,EM!$B$6:$B$9,0)-1),MIN(F$23-EM!$B$16+13,EM!$AF$16-EM!$B$16)),0)+
IF(ROUND(F$11,0)&gt;=15,OFFSET(EM!$B$17,ROW($A31)-ROW($A$26)+(ROW(EM!$C$46)-ROW(EM!$C$14))*(MATCH(F$22,EM!$B$6:$B$9,0)-1),MIN(F$23-EM!$B$16+14,EM!$AF$16-EM!$B$16)),0)+
IF(ROUND(F$11,0)&gt;=16,OFFSET(EM!$B$17,ROW($A31)-ROW($A$26)+(ROW(EM!$C$46)-ROW(EM!$C$14))*(MATCH(F$22,EM!$B$6:$B$9,0)-1),MIN(F$23-EM!$B$16+15,EM!$AF$16-EM!$B$16)),0)+
IF(ROUND(F$11,0)&gt;=17,OFFSET(EM!$B$17,ROW($A31)-ROW($A$26)+(ROW(EM!$C$46)-ROW(EM!$C$14))*(MATCH(F$22,EM!$B$6:$B$9,0)-1),MIN(F$23-EM!$B$16+16,EM!$AF$16-EM!$B$16)),0)+
IF(ROUND(F$11,0)&gt;=18,OFFSET(EM!$B$17,ROW($A31)-ROW($A$26)+(ROW(EM!$C$46)-ROW(EM!$C$14))*(MATCH(F$22,EM!$B$6:$B$9,0)-1),MIN(F$23-EM!$B$16+17,EM!$AF$16-EM!$B$16)),0)+
IF(ROUND(F$11,0)&gt;=19,OFFSET(EM!$B$17,ROW($A31)-ROW($A$26)+(ROW(EM!$C$46)-ROW(EM!$C$14))*(MATCH(F$22,EM!$B$6:$B$9,0)-1),MIN(F$23-EM!$B$16+18,EM!$AF$16-EM!$B$16)),0)+
IF(ROUND(F$11,0)&gt;=20,OFFSET(EM!$B$17,ROW($A31)-ROW($A$26)+(ROW(EM!$C$46)-ROW(EM!$C$14))*(MATCH(F$22,EM!$B$6:$B$9,0)-1),MIN(F$23-EM!$B$16+19,EM!$AF$16-EM!$B$16)),0)+
IF(ROUND(F$11,0)&gt;=21,OFFSET(EM!$B$17,ROW($A31)-ROW($A$26)+(ROW(EM!$C$46)-ROW(EM!$C$14))*(MATCH(F$22,EM!$B$6:$B$9,0)-1),MIN(F$23-EM!$B$16+20,EM!$AF$16-EM!$B$16)),0)+
IF(ROUND(F$11,0)&gt;=22,OFFSET(EM!$B$17,ROW($A31)-ROW($A$26)+(ROW(EM!$C$46)-ROW(EM!$C$14))*(MATCH(F$22,EM!$B$6:$B$9,0)-1),MIN(F$23-EM!$B$16+21,EM!$AF$16-EM!$B$16)),0)+
IF(ROUND(F$11,0)&gt;=23,OFFSET(EM!$B$17,ROW($A31)-ROW($A$26)+(ROW(EM!$C$46)-ROW(EM!$C$14))*(MATCH(F$22,EM!$B$6:$B$9,0)-1),MIN(F$23-EM!$B$16+22,EM!$AF$16-EM!$B$16)),0)+
IF(ROUND(F$11,0)&gt;=24,OFFSET(EM!$B$17,ROW($A31)-ROW($A$26)+(ROW(EM!$C$46)-ROW(EM!$C$14))*(MATCH(F$22,EM!$B$6:$B$9,0)-1),MIN(F$23-EM!$B$16+23,EM!$AF$16-EM!$B$16)),0)+
IF(ROUND(F$11,0)&gt;=25,OFFSET(EM!$B$17,ROW($A31)-ROW($A$26)+(ROW(EM!$C$46)-ROW(EM!$C$14))*(MATCH(F$22,EM!$B$6:$B$9,0)-1),MIN(F$23-EM!$B$16+24,EM!$AF$16-EM!$B$16)),0)+
IF(ROUND(F$11,0)&gt;=26,OFFSET(EM!$B$17,ROW($A31)-ROW($A$26)+(ROW(EM!$C$46)-ROW(EM!$C$14))*(MATCH(F$22,EM!$B$6:$B$9,0)-1),MIN(F$23-EM!$B$16+25,EM!$AF$16-EM!$B$16)),0)+
IF(ROUND(F$11,0)&gt;=27,OFFSET(EM!$B$17,ROW($A31)-ROW($A$26)+(ROW(EM!$C$46)-ROW(EM!$C$14))*(MATCH(F$22,EM!$B$6:$B$9,0)-1),MIN(F$23-EM!$B$16+26,EM!$AF$16-EM!$B$16)),0)+
IF(ROUND(F$11,0)&gt;=28,OFFSET(EM!$B$17,ROW($A31)-ROW($A$26)+(ROW(EM!$C$46)-ROW(EM!$C$14))*(MATCH(F$22,EM!$B$6:$B$9,0)-1),MIN(F$23-EM!$B$16+27,EM!$AF$16-EM!$B$16)),0)+
IF(ROUND(F$11,0)&gt;=29,OFFSET(EM!$B$17,ROW($A31)-ROW($A$26)+(ROW(EM!$C$46)-ROW(EM!$C$14))*(MATCH(F$22,EM!$B$6:$B$9,0)-1),MIN(F$23-EM!$B$16+28,EM!$AF$16-EM!$B$16)),0)+
IF(ROUND(F$11,0)&gt;=30,OFFSET(EM!$B$17,ROW($A31)-ROW($A$26)+(ROW(EM!$C$46)-ROW(EM!$C$14))*(MATCH(F$22,EM!$B$6:$B$9,0)-1),MIN(F$23-EM!$B$16+29,EM!$AF$16-EM!$B$16)),0)+
IF(ROUND(F$11,0)&gt;=31,OFFSET(EM!$B$17,ROW($A31)-ROW($A$26)+(ROW(EM!$C$46)-ROW(EM!$C$14))*(MATCH(F$22,EM!$B$6:$B$9,0)-1),MIN(F$23-EM!$B$16+30,EM!$AF$16-EM!$B$16)),0)+
IF(ROUND(F$11,0)&gt;=32,OFFSET(EM!$B$17,ROW($A31)-ROW($A$26)+(ROW(EM!$C$46)-ROW(EM!$C$14))*(MATCH(F$22,EM!$B$6:$B$9,0)-1),MIN(F$23-EM!$B$16+31,EM!$AF$16-EM!$B$16)),0)+
IF(ROUND(F$11,0)&gt;=33,OFFSET(EM!$B$17,ROW($A31)-ROW($A$26)+(ROW(EM!$C$46)-ROW(EM!$C$14))*(MATCH(F$22,EM!$B$6:$B$9,0)-1),MIN(F$23-EM!$B$16+32,EM!$AF$16-EM!$B$16)),0)+
IF(ROUND(F$11,0)&gt;=34,OFFSET(EM!$B$17,ROW($A31)-ROW($A$26)+(ROW(EM!$C$46)-ROW(EM!$C$14))*(MATCH(F$22,EM!$B$6:$B$9,0)-1),MIN(F$23-EM!$B$16+33,EM!$AF$16-EM!$B$16)),0)+
IF(ROUND(F$11,0)&gt;=35,OFFSET(EM!$B$17,ROW($A31)-ROW($A$26)+(ROW(EM!$C$46)-ROW(EM!$C$14))*(MATCH(F$22,EM!$B$6:$B$9,0)-1),MIN(F$23-EM!$B$16+34,EM!$AF$16-EM!$B$16)),0)+
IF(ROUND(F$11,0)&gt;=36,OFFSET(EM!$B$17,ROW($A31)-ROW($A$26)+(ROW(EM!$C$46)-ROW(EM!$C$14))*(MATCH(F$22,EM!$B$6:$B$9,0)-1),MIN(F$23-EM!$B$16+35,EM!$AF$16-EM!$B$16)),0)+
IF(ROUND(F$11,0)&gt;=37,OFFSET(EM!$B$17,ROW($A31)-ROW($A$26)+(ROW(EM!$C$46)-ROW(EM!$C$14))*(MATCH(F$22,EM!$B$6:$B$9,0)-1),MIN(F$23-EM!$B$16+36,EM!$AF$16-EM!$B$16)),0)+
IF(ROUND(F$11,0)&gt;=38,OFFSET(EM!$B$17,ROW($A31)-ROW($A$26)+(ROW(EM!$C$46)-ROW(EM!$C$14))*(MATCH(F$22,EM!$B$6:$B$9,0)-1),MIN(F$23-EM!$B$16+37,EM!$AF$16-EM!$B$16)),0)+
IF(ROUND(F$11,0)&gt;=39,OFFSET(EM!$B$17,ROW($A31)-ROW($A$26)+(ROW(EM!$C$46)-ROW(EM!$C$14))*(MATCH(F$22,EM!$B$6:$B$9,0)-1),MIN(F$23-EM!$B$16+38,EM!$AF$16-EM!$B$16)),0)+
IF(ROUND(F$11,0)&gt;=40,OFFSET(EM!$B$17,ROW($A31)-ROW($A$26)+(ROW(EM!$C$46)-ROW(EM!$C$14))*(MATCH(F$22,EM!$B$6:$B$9,0)-1),MIN(F$23-EM!$B$16+39,EM!$AF$16-EM!$B$16)),0)
)/ROUND(F$11,0),NA()))</f>
        <v>0.19126569597021811</v>
      </c>
      <c r="G31" s="2046">
        <f ca="1">IF(G$19=GPG!$A$28,IF(ROW(G31)-ROW(G$26)+1=MATCH(G$20,GPG!$A$5:$A$11,0),1,0),
IF(G$19=GPG!$A$29,
(IF(ROUND(G$11,0)&gt;=1,OFFSET(EM!$B$17,ROW($A31)-ROW($A$26)+(ROW(EM!$C$46)-ROW(EM!$C$14))*(MATCH(G$22,EM!$B$6:$B$9,0)-1),MIN(G$23-EM!$B$16,EM!$AF$16-EM!$B$16)),0)+
IF(ROUND(G$11,0)&gt;=2,OFFSET(EM!$B$17,ROW($A31)-ROW($A$26)+(ROW(EM!$C$46)-ROW(EM!$C$14))*(MATCH(G$22,EM!$B$6:$B$9,0)-1),MIN(G$23-EM!$B$16+1,EM!$AF$16-EM!$B$16)),0)+
IF(ROUND(G$11,0)&gt;=3,OFFSET(EM!$B$17,ROW($A31)-ROW($A$26)+(ROW(EM!$C$46)-ROW(EM!$C$14))*(MATCH(G$22,EM!$B$6:$B$9,0)-1),MIN(G$23-EM!$B$16+2,EM!$AF$16-EM!$B$16)),0)+
IF(ROUND(G$11,0)&gt;=4,OFFSET(EM!$B$17,ROW($A31)-ROW($A$26)+(ROW(EM!$C$46)-ROW(EM!$C$14))*(MATCH(G$22,EM!$B$6:$B$9,0)-1),MIN(G$23-EM!$B$16+3,EM!$AF$16-EM!$B$16)),0)+
IF(ROUND(G$11,0)&gt;=5,OFFSET(EM!$B$17,ROW($A31)-ROW($A$26)+(ROW(EM!$C$46)-ROW(EM!$C$14))*(MATCH(G$22,EM!$B$6:$B$9,0)-1),MIN(G$23-EM!$B$16+4,EM!$AF$16-EM!$B$16)),0)+
IF(ROUND(G$11,0)&gt;=6,OFFSET(EM!$B$17,ROW($A31)-ROW($A$26)+(ROW(EM!$C$46)-ROW(EM!$C$14))*(MATCH(G$22,EM!$B$6:$B$9,0)-1),MIN(G$23-EM!$B$16+5,EM!$AF$16-EM!$B$16)),0)+
IF(ROUND(G$11,0)&gt;=7,OFFSET(EM!$B$17,ROW($A31)-ROW($A$26)+(ROW(EM!$C$46)-ROW(EM!$C$14))*(MATCH(G$22,EM!$B$6:$B$9,0)-1),MIN(G$23-EM!$B$16+6,EM!$AF$16-EM!$B$16)),0)+
IF(ROUND(G$11,0)&gt;=8,OFFSET(EM!$B$17,ROW($A31)-ROW($A$26)+(ROW(EM!$C$46)-ROW(EM!$C$14))*(MATCH(G$22,EM!$B$6:$B$9,0)-1),MIN(G$23-EM!$B$16+7,EM!$AF$16-EM!$B$16)),0)+
IF(ROUND(G$11,0)&gt;=9,OFFSET(EM!$B$17,ROW($A31)-ROW($A$26)+(ROW(EM!$C$46)-ROW(EM!$C$14))*(MATCH(G$22,EM!$B$6:$B$9,0)-1),MIN(G$23-EM!$B$16+8,EM!$AF$16-EM!$B$16)),0)+
IF(ROUND(G$11,0)&gt;=10,OFFSET(EM!$B$17,ROW($A31)-ROW($A$26)+(ROW(EM!$C$46)-ROW(EM!$C$14))*(MATCH(G$22,EM!$B$6:$B$9,0)-1),MIN(G$23-EM!$B$16+9,EM!$AF$16-EM!$B$16)),0)+
IF(ROUND(G$11,0)&gt;=11,OFFSET(EM!$B$17,ROW($A31)-ROW($A$26)+(ROW(EM!$C$46)-ROW(EM!$C$14))*(MATCH(G$22,EM!$B$6:$B$9,0)-1),MIN(G$23-EM!$B$16+10,EM!$AF$16-EM!$B$16)),0)+
IF(ROUND(G$11,0)&gt;=12,OFFSET(EM!$B$17,ROW($A31)-ROW($A$26)+(ROW(EM!$C$46)-ROW(EM!$C$14))*(MATCH(G$22,EM!$B$6:$B$9,0)-1),MIN(G$23-EM!$B$16+11,EM!$AF$16-EM!$B$16)),0)+
IF(ROUND(G$11,0)&gt;=13,OFFSET(EM!$B$17,ROW($A31)-ROW($A$26)+(ROW(EM!$C$46)-ROW(EM!$C$14))*(MATCH(G$22,EM!$B$6:$B$9,0)-1),MIN(G$23-EM!$B$16+12,EM!$AF$16-EM!$B$16)),0)+
IF(ROUND(G$11,0)&gt;=14,OFFSET(EM!$B$17,ROW($A31)-ROW($A$26)+(ROW(EM!$C$46)-ROW(EM!$C$14))*(MATCH(G$22,EM!$B$6:$B$9,0)-1),MIN(G$23-EM!$B$16+13,EM!$AF$16-EM!$B$16)),0)+
IF(ROUND(G$11,0)&gt;=15,OFFSET(EM!$B$17,ROW($A31)-ROW($A$26)+(ROW(EM!$C$46)-ROW(EM!$C$14))*(MATCH(G$22,EM!$B$6:$B$9,0)-1),MIN(G$23-EM!$B$16+14,EM!$AF$16-EM!$B$16)),0)+
IF(ROUND(G$11,0)&gt;=16,OFFSET(EM!$B$17,ROW($A31)-ROW($A$26)+(ROW(EM!$C$46)-ROW(EM!$C$14))*(MATCH(G$22,EM!$B$6:$B$9,0)-1),MIN(G$23-EM!$B$16+15,EM!$AF$16-EM!$B$16)),0)+
IF(ROUND(G$11,0)&gt;=17,OFFSET(EM!$B$17,ROW($A31)-ROW($A$26)+(ROW(EM!$C$46)-ROW(EM!$C$14))*(MATCH(G$22,EM!$B$6:$B$9,0)-1),MIN(G$23-EM!$B$16+16,EM!$AF$16-EM!$B$16)),0)+
IF(ROUND(G$11,0)&gt;=18,OFFSET(EM!$B$17,ROW($A31)-ROW($A$26)+(ROW(EM!$C$46)-ROW(EM!$C$14))*(MATCH(G$22,EM!$B$6:$B$9,0)-1),MIN(G$23-EM!$B$16+17,EM!$AF$16-EM!$B$16)),0)+
IF(ROUND(G$11,0)&gt;=19,OFFSET(EM!$B$17,ROW($A31)-ROW($A$26)+(ROW(EM!$C$46)-ROW(EM!$C$14))*(MATCH(G$22,EM!$B$6:$B$9,0)-1),MIN(G$23-EM!$B$16+18,EM!$AF$16-EM!$B$16)),0)+
IF(ROUND(G$11,0)&gt;=20,OFFSET(EM!$B$17,ROW($A31)-ROW($A$26)+(ROW(EM!$C$46)-ROW(EM!$C$14))*(MATCH(G$22,EM!$B$6:$B$9,0)-1),MIN(G$23-EM!$B$16+19,EM!$AF$16-EM!$B$16)),0)+
IF(ROUND(G$11,0)&gt;=21,OFFSET(EM!$B$17,ROW($A31)-ROW($A$26)+(ROW(EM!$C$46)-ROW(EM!$C$14))*(MATCH(G$22,EM!$B$6:$B$9,0)-1),MIN(G$23-EM!$B$16+20,EM!$AF$16-EM!$B$16)),0)+
IF(ROUND(G$11,0)&gt;=22,OFFSET(EM!$B$17,ROW($A31)-ROW($A$26)+(ROW(EM!$C$46)-ROW(EM!$C$14))*(MATCH(G$22,EM!$B$6:$B$9,0)-1),MIN(G$23-EM!$B$16+21,EM!$AF$16-EM!$B$16)),0)+
IF(ROUND(G$11,0)&gt;=23,OFFSET(EM!$B$17,ROW($A31)-ROW($A$26)+(ROW(EM!$C$46)-ROW(EM!$C$14))*(MATCH(G$22,EM!$B$6:$B$9,0)-1),MIN(G$23-EM!$B$16+22,EM!$AF$16-EM!$B$16)),0)+
IF(ROUND(G$11,0)&gt;=24,OFFSET(EM!$B$17,ROW($A31)-ROW($A$26)+(ROW(EM!$C$46)-ROW(EM!$C$14))*(MATCH(G$22,EM!$B$6:$B$9,0)-1),MIN(G$23-EM!$B$16+23,EM!$AF$16-EM!$B$16)),0)+
IF(ROUND(G$11,0)&gt;=25,OFFSET(EM!$B$17,ROW($A31)-ROW($A$26)+(ROW(EM!$C$46)-ROW(EM!$C$14))*(MATCH(G$22,EM!$B$6:$B$9,0)-1),MIN(G$23-EM!$B$16+24,EM!$AF$16-EM!$B$16)),0)+
IF(ROUND(G$11,0)&gt;=26,OFFSET(EM!$B$17,ROW($A31)-ROW($A$26)+(ROW(EM!$C$46)-ROW(EM!$C$14))*(MATCH(G$22,EM!$B$6:$B$9,0)-1),MIN(G$23-EM!$B$16+25,EM!$AF$16-EM!$B$16)),0)+
IF(ROUND(G$11,0)&gt;=27,OFFSET(EM!$B$17,ROW($A31)-ROW($A$26)+(ROW(EM!$C$46)-ROW(EM!$C$14))*(MATCH(G$22,EM!$B$6:$B$9,0)-1),MIN(G$23-EM!$B$16+26,EM!$AF$16-EM!$B$16)),0)+
IF(ROUND(G$11,0)&gt;=28,OFFSET(EM!$B$17,ROW($A31)-ROW($A$26)+(ROW(EM!$C$46)-ROW(EM!$C$14))*(MATCH(G$22,EM!$B$6:$B$9,0)-1),MIN(G$23-EM!$B$16+27,EM!$AF$16-EM!$B$16)),0)+
IF(ROUND(G$11,0)&gt;=29,OFFSET(EM!$B$17,ROW($A31)-ROW($A$26)+(ROW(EM!$C$46)-ROW(EM!$C$14))*(MATCH(G$22,EM!$B$6:$B$9,0)-1),MIN(G$23-EM!$B$16+28,EM!$AF$16-EM!$B$16)),0)+
IF(ROUND(G$11,0)&gt;=30,OFFSET(EM!$B$17,ROW($A31)-ROW($A$26)+(ROW(EM!$C$46)-ROW(EM!$C$14))*(MATCH(G$22,EM!$B$6:$B$9,0)-1),MIN(G$23-EM!$B$16+29,EM!$AF$16-EM!$B$16)),0)+
IF(ROUND(G$11,0)&gt;=31,OFFSET(EM!$B$17,ROW($A31)-ROW($A$26)+(ROW(EM!$C$46)-ROW(EM!$C$14))*(MATCH(G$22,EM!$B$6:$B$9,0)-1),MIN(G$23-EM!$B$16+30,EM!$AF$16-EM!$B$16)),0)+
IF(ROUND(G$11,0)&gt;=32,OFFSET(EM!$B$17,ROW($A31)-ROW($A$26)+(ROW(EM!$C$46)-ROW(EM!$C$14))*(MATCH(G$22,EM!$B$6:$B$9,0)-1),MIN(G$23-EM!$B$16+31,EM!$AF$16-EM!$B$16)),0)+
IF(ROUND(G$11,0)&gt;=33,OFFSET(EM!$B$17,ROW($A31)-ROW($A$26)+(ROW(EM!$C$46)-ROW(EM!$C$14))*(MATCH(G$22,EM!$B$6:$B$9,0)-1),MIN(G$23-EM!$B$16+32,EM!$AF$16-EM!$B$16)),0)+
IF(ROUND(G$11,0)&gt;=34,OFFSET(EM!$B$17,ROW($A31)-ROW($A$26)+(ROW(EM!$C$46)-ROW(EM!$C$14))*(MATCH(G$22,EM!$B$6:$B$9,0)-1),MIN(G$23-EM!$B$16+33,EM!$AF$16-EM!$B$16)),0)+
IF(ROUND(G$11,0)&gt;=35,OFFSET(EM!$B$17,ROW($A31)-ROW($A$26)+(ROW(EM!$C$46)-ROW(EM!$C$14))*(MATCH(G$22,EM!$B$6:$B$9,0)-1),MIN(G$23-EM!$B$16+34,EM!$AF$16-EM!$B$16)),0)+
IF(ROUND(G$11,0)&gt;=36,OFFSET(EM!$B$17,ROW($A31)-ROW($A$26)+(ROW(EM!$C$46)-ROW(EM!$C$14))*(MATCH(G$22,EM!$B$6:$B$9,0)-1),MIN(G$23-EM!$B$16+35,EM!$AF$16-EM!$B$16)),0)+
IF(ROUND(G$11,0)&gt;=37,OFFSET(EM!$B$17,ROW($A31)-ROW($A$26)+(ROW(EM!$C$46)-ROW(EM!$C$14))*(MATCH(G$22,EM!$B$6:$B$9,0)-1),MIN(G$23-EM!$B$16+36,EM!$AF$16-EM!$B$16)),0)+
IF(ROUND(G$11,0)&gt;=38,OFFSET(EM!$B$17,ROW($A31)-ROW($A$26)+(ROW(EM!$C$46)-ROW(EM!$C$14))*(MATCH(G$22,EM!$B$6:$B$9,0)-1),MIN(G$23-EM!$B$16+37,EM!$AF$16-EM!$B$16)),0)+
IF(ROUND(G$11,0)&gt;=39,OFFSET(EM!$B$17,ROW($A31)-ROW($A$26)+(ROW(EM!$C$46)-ROW(EM!$C$14))*(MATCH(G$22,EM!$B$6:$B$9,0)-1),MIN(G$23-EM!$B$16+38,EM!$AF$16-EM!$B$16)),0)+
IF(ROUND(G$11,0)&gt;=40,OFFSET(EM!$B$17,ROW($A31)-ROW($A$26)+(ROW(EM!$C$46)-ROW(EM!$C$14))*(MATCH(G$22,EM!$B$6:$B$9,0)-1),MIN(G$23-EM!$B$16+39,EM!$AF$16-EM!$B$16)),0)
)/ROUND(G$11,0),NA()))</f>
        <v>0.28141428587262046</v>
      </c>
      <c r="H31" s="2046">
        <f ca="1">IF(H$19=GPG!$A$28,IF(ROW(H31)-ROW(H$26)+1=MATCH(H$20,GPG!$A$5:$A$11,0),1,0),
IF(H$19=GPG!$A$29,
(IF(ROUND(H$11,0)&gt;=1,OFFSET(EM!$B$17,ROW($A31)-ROW($A$26)+(ROW(EM!$C$46)-ROW(EM!$C$14))*(MATCH(H$22,EM!$B$6:$B$9,0)-1),MIN(H$23-EM!$B$16,EM!$AF$16-EM!$B$16)),0)+
IF(ROUND(H$11,0)&gt;=2,OFFSET(EM!$B$17,ROW($A31)-ROW($A$26)+(ROW(EM!$C$46)-ROW(EM!$C$14))*(MATCH(H$22,EM!$B$6:$B$9,0)-1),MIN(H$23-EM!$B$16+1,EM!$AF$16-EM!$B$16)),0)+
IF(ROUND(H$11,0)&gt;=3,OFFSET(EM!$B$17,ROW($A31)-ROW($A$26)+(ROW(EM!$C$46)-ROW(EM!$C$14))*(MATCH(H$22,EM!$B$6:$B$9,0)-1),MIN(H$23-EM!$B$16+2,EM!$AF$16-EM!$B$16)),0)+
IF(ROUND(H$11,0)&gt;=4,OFFSET(EM!$B$17,ROW($A31)-ROW($A$26)+(ROW(EM!$C$46)-ROW(EM!$C$14))*(MATCH(H$22,EM!$B$6:$B$9,0)-1),MIN(H$23-EM!$B$16+3,EM!$AF$16-EM!$B$16)),0)+
IF(ROUND(H$11,0)&gt;=5,OFFSET(EM!$B$17,ROW($A31)-ROW($A$26)+(ROW(EM!$C$46)-ROW(EM!$C$14))*(MATCH(H$22,EM!$B$6:$B$9,0)-1),MIN(H$23-EM!$B$16+4,EM!$AF$16-EM!$B$16)),0)+
IF(ROUND(H$11,0)&gt;=6,OFFSET(EM!$B$17,ROW($A31)-ROW($A$26)+(ROW(EM!$C$46)-ROW(EM!$C$14))*(MATCH(H$22,EM!$B$6:$B$9,0)-1),MIN(H$23-EM!$B$16+5,EM!$AF$16-EM!$B$16)),0)+
IF(ROUND(H$11,0)&gt;=7,OFFSET(EM!$B$17,ROW($A31)-ROW($A$26)+(ROW(EM!$C$46)-ROW(EM!$C$14))*(MATCH(H$22,EM!$B$6:$B$9,0)-1),MIN(H$23-EM!$B$16+6,EM!$AF$16-EM!$B$16)),0)+
IF(ROUND(H$11,0)&gt;=8,OFFSET(EM!$B$17,ROW($A31)-ROW($A$26)+(ROW(EM!$C$46)-ROW(EM!$C$14))*(MATCH(H$22,EM!$B$6:$B$9,0)-1),MIN(H$23-EM!$B$16+7,EM!$AF$16-EM!$B$16)),0)+
IF(ROUND(H$11,0)&gt;=9,OFFSET(EM!$B$17,ROW($A31)-ROW($A$26)+(ROW(EM!$C$46)-ROW(EM!$C$14))*(MATCH(H$22,EM!$B$6:$B$9,0)-1),MIN(H$23-EM!$B$16+8,EM!$AF$16-EM!$B$16)),0)+
IF(ROUND(H$11,0)&gt;=10,OFFSET(EM!$B$17,ROW($A31)-ROW($A$26)+(ROW(EM!$C$46)-ROW(EM!$C$14))*(MATCH(H$22,EM!$B$6:$B$9,0)-1),MIN(H$23-EM!$B$16+9,EM!$AF$16-EM!$B$16)),0)+
IF(ROUND(H$11,0)&gt;=11,OFFSET(EM!$B$17,ROW($A31)-ROW($A$26)+(ROW(EM!$C$46)-ROW(EM!$C$14))*(MATCH(H$22,EM!$B$6:$B$9,0)-1),MIN(H$23-EM!$B$16+10,EM!$AF$16-EM!$B$16)),0)+
IF(ROUND(H$11,0)&gt;=12,OFFSET(EM!$B$17,ROW($A31)-ROW($A$26)+(ROW(EM!$C$46)-ROW(EM!$C$14))*(MATCH(H$22,EM!$B$6:$B$9,0)-1),MIN(H$23-EM!$B$16+11,EM!$AF$16-EM!$B$16)),0)+
IF(ROUND(H$11,0)&gt;=13,OFFSET(EM!$B$17,ROW($A31)-ROW($A$26)+(ROW(EM!$C$46)-ROW(EM!$C$14))*(MATCH(H$22,EM!$B$6:$B$9,0)-1),MIN(H$23-EM!$B$16+12,EM!$AF$16-EM!$B$16)),0)+
IF(ROUND(H$11,0)&gt;=14,OFFSET(EM!$B$17,ROW($A31)-ROW($A$26)+(ROW(EM!$C$46)-ROW(EM!$C$14))*(MATCH(H$22,EM!$B$6:$B$9,0)-1),MIN(H$23-EM!$B$16+13,EM!$AF$16-EM!$B$16)),0)+
IF(ROUND(H$11,0)&gt;=15,OFFSET(EM!$B$17,ROW($A31)-ROW($A$26)+(ROW(EM!$C$46)-ROW(EM!$C$14))*(MATCH(H$22,EM!$B$6:$B$9,0)-1),MIN(H$23-EM!$B$16+14,EM!$AF$16-EM!$B$16)),0)+
IF(ROUND(H$11,0)&gt;=16,OFFSET(EM!$B$17,ROW($A31)-ROW($A$26)+(ROW(EM!$C$46)-ROW(EM!$C$14))*(MATCH(H$22,EM!$B$6:$B$9,0)-1),MIN(H$23-EM!$B$16+15,EM!$AF$16-EM!$B$16)),0)+
IF(ROUND(H$11,0)&gt;=17,OFFSET(EM!$B$17,ROW($A31)-ROW($A$26)+(ROW(EM!$C$46)-ROW(EM!$C$14))*(MATCH(H$22,EM!$B$6:$B$9,0)-1),MIN(H$23-EM!$B$16+16,EM!$AF$16-EM!$B$16)),0)+
IF(ROUND(H$11,0)&gt;=18,OFFSET(EM!$B$17,ROW($A31)-ROW($A$26)+(ROW(EM!$C$46)-ROW(EM!$C$14))*(MATCH(H$22,EM!$B$6:$B$9,0)-1),MIN(H$23-EM!$B$16+17,EM!$AF$16-EM!$B$16)),0)+
IF(ROUND(H$11,0)&gt;=19,OFFSET(EM!$B$17,ROW($A31)-ROW($A$26)+(ROW(EM!$C$46)-ROW(EM!$C$14))*(MATCH(H$22,EM!$B$6:$B$9,0)-1),MIN(H$23-EM!$B$16+18,EM!$AF$16-EM!$B$16)),0)+
IF(ROUND(H$11,0)&gt;=20,OFFSET(EM!$B$17,ROW($A31)-ROW($A$26)+(ROW(EM!$C$46)-ROW(EM!$C$14))*(MATCH(H$22,EM!$B$6:$B$9,0)-1),MIN(H$23-EM!$B$16+19,EM!$AF$16-EM!$B$16)),0)+
IF(ROUND(H$11,0)&gt;=21,OFFSET(EM!$B$17,ROW($A31)-ROW($A$26)+(ROW(EM!$C$46)-ROW(EM!$C$14))*(MATCH(H$22,EM!$B$6:$B$9,0)-1),MIN(H$23-EM!$B$16+20,EM!$AF$16-EM!$B$16)),0)+
IF(ROUND(H$11,0)&gt;=22,OFFSET(EM!$B$17,ROW($A31)-ROW($A$26)+(ROW(EM!$C$46)-ROW(EM!$C$14))*(MATCH(H$22,EM!$B$6:$B$9,0)-1),MIN(H$23-EM!$B$16+21,EM!$AF$16-EM!$B$16)),0)+
IF(ROUND(H$11,0)&gt;=23,OFFSET(EM!$B$17,ROW($A31)-ROW($A$26)+(ROW(EM!$C$46)-ROW(EM!$C$14))*(MATCH(H$22,EM!$B$6:$B$9,0)-1),MIN(H$23-EM!$B$16+22,EM!$AF$16-EM!$B$16)),0)+
IF(ROUND(H$11,0)&gt;=24,OFFSET(EM!$B$17,ROW($A31)-ROW($A$26)+(ROW(EM!$C$46)-ROW(EM!$C$14))*(MATCH(H$22,EM!$B$6:$B$9,0)-1),MIN(H$23-EM!$B$16+23,EM!$AF$16-EM!$B$16)),0)+
IF(ROUND(H$11,0)&gt;=25,OFFSET(EM!$B$17,ROW($A31)-ROW($A$26)+(ROW(EM!$C$46)-ROW(EM!$C$14))*(MATCH(H$22,EM!$B$6:$B$9,0)-1),MIN(H$23-EM!$B$16+24,EM!$AF$16-EM!$B$16)),0)+
IF(ROUND(H$11,0)&gt;=26,OFFSET(EM!$B$17,ROW($A31)-ROW($A$26)+(ROW(EM!$C$46)-ROW(EM!$C$14))*(MATCH(H$22,EM!$B$6:$B$9,0)-1),MIN(H$23-EM!$B$16+25,EM!$AF$16-EM!$B$16)),0)+
IF(ROUND(H$11,0)&gt;=27,OFFSET(EM!$B$17,ROW($A31)-ROW($A$26)+(ROW(EM!$C$46)-ROW(EM!$C$14))*(MATCH(H$22,EM!$B$6:$B$9,0)-1),MIN(H$23-EM!$B$16+26,EM!$AF$16-EM!$B$16)),0)+
IF(ROUND(H$11,0)&gt;=28,OFFSET(EM!$B$17,ROW($A31)-ROW($A$26)+(ROW(EM!$C$46)-ROW(EM!$C$14))*(MATCH(H$22,EM!$B$6:$B$9,0)-1),MIN(H$23-EM!$B$16+27,EM!$AF$16-EM!$B$16)),0)+
IF(ROUND(H$11,0)&gt;=29,OFFSET(EM!$B$17,ROW($A31)-ROW($A$26)+(ROW(EM!$C$46)-ROW(EM!$C$14))*(MATCH(H$22,EM!$B$6:$B$9,0)-1),MIN(H$23-EM!$B$16+28,EM!$AF$16-EM!$B$16)),0)+
IF(ROUND(H$11,0)&gt;=30,OFFSET(EM!$B$17,ROW($A31)-ROW($A$26)+(ROW(EM!$C$46)-ROW(EM!$C$14))*(MATCH(H$22,EM!$B$6:$B$9,0)-1),MIN(H$23-EM!$B$16+29,EM!$AF$16-EM!$B$16)),0)+
IF(ROUND(H$11,0)&gt;=31,OFFSET(EM!$B$17,ROW($A31)-ROW($A$26)+(ROW(EM!$C$46)-ROW(EM!$C$14))*(MATCH(H$22,EM!$B$6:$B$9,0)-1),MIN(H$23-EM!$B$16+30,EM!$AF$16-EM!$B$16)),0)+
IF(ROUND(H$11,0)&gt;=32,OFFSET(EM!$B$17,ROW($A31)-ROW($A$26)+(ROW(EM!$C$46)-ROW(EM!$C$14))*(MATCH(H$22,EM!$B$6:$B$9,0)-1),MIN(H$23-EM!$B$16+31,EM!$AF$16-EM!$B$16)),0)+
IF(ROUND(H$11,0)&gt;=33,OFFSET(EM!$B$17,ROW($A31)-ROW($A$26)+(ROW(EM!$C$46)-ROW(EM!$C$14))*(MATCH(H$22,EM!$B$6:$B$9,0)-1),MIN(H$23-EM!$B$16+32,EM!$AF$16-EM!$B$16)),0)+
IF(ROUND(H$11,0)&gt;=34,OFFSET(EM!$B$17,ROW($A31)-ROW($A$26)+(ROW(EM!$C$46)-ROW(EM!$C$14))*(MATCH(H$22,EM!$B$6:$B$9,0)-1),MIN(H$23-EM!$B$16+33,EM!$AF$16-EM!$B$16)),0)+
IF(ROUND(H$11,0)&gt;=35,OFFSET(EM!$B$17,ROW($A31)-ROW($A$26)+(ROW(EM!$C$46)-ROW(EM!$C$14))*(MATCH(H$22,EM!$B$6:$B$9,0)-1),MIN(H$23-EM!$B$16+34,EM!$AF$16-EM!$B$16)),0)+
IF(ROUND(H$11,0)&gt;=36,OFFSET(EM!$B$17,ROW($A31)-ROW($A$26)+(ROW(EM!$C$46)-ROW(EM!$C$14))*(MATCH(H$22,EM!$B$6:$B$9,0)-1),MIN(H$23-EM!$B$16+35,EM!$AF$16-EM!$B$16)),0)+
IF(ROUND(H$11,0)&gt;=37,OFFSET(EM!$B$17,ROW($A31)-ROW($A$26)+(ROW(EM!$C$46)-ROW(EM!$C$14))*(MATCH(H$22,EM!$B$6:$B$9,0)-1),MIN(H$23-EM!$B$16+36,EM!$AF$16-EM!$B$16)),0)+
IF(ROUND(H$11,0)&gt;=38,OFFSET(EM!$B$17,ROW($A31)-ROW($A$26)+(ROW(EM!$C$46)-ROW(EM!$C$14))*(MATCH(H$22,EM!$B$6:$B$9,0)-1),MIN(H$23-EM!$B$16+37,EM!$AF$16-EM!$B$16)),0)+
IF(ROUND(H$11,0)&gt;=39,OFFSET(EM!$B$17,ROW($A31)-ROW($A$26)+(ROW(EM!$C$46)-ROW(EM!$C$14))*(MATCH(H$22,EM!$B$6:$B$9,0)-1),MIN(H$23-EM!$B$16+38,EM!$AF$16-EM!$B$16)),0)+
IF(ROUND(H$11,0)&gt;=40,OFFSET(EM!$B$17,ROW($A31)-ROW($A$26)+(ROW(EM!$C$46)-ROW(EM!$C$14))*(MATCH(H$22,EM!$B$6:$B$9,0)-1),MIN(H$23-EM!$B$16+39,EM!$AF$16-EM!$B$16)),0)
)/ROUND(H$11,0),NA()))</f>
        <v>0.19126569597021811</v>
      </c>
      <c r="I31" s="2046">
        <f ca="1">IF(I$19=GPG!$A$28,IF(ROW(I31)-ROW(I$26)+1=MATCH(I$20,GPG!$A$5:$A$11,0),1,0),
IF(I$19=GPG!$A$29,
(IF(ROUND(I$11,0)&gt;=1,OFFSET(EM!$B$17,ROW($A31)-ROW($A$26)+(ROW(EM!$C$46)-ROW(EM!$C$14))*(MATCH(I$22,EM!$B$6:$B$9,0)-1),MIN(I$23-EM!$B$16,EM!$AF$16-EM!$B$16)),0)+
IF(ROUND(I$11,0)&gt;=2,OFFSET(EM!$B$17,ROW($A31)-ROW($A$26)+(ROW(EM!$C$46)-ROW(EM!$C$14))*(MATCH(I$22,EM!$B$6:$B$9,0)-1),MIN(I$23-EM!$B$16+1,EM!$AF$16-EM!$B$16)),0)+
IF(ROUND(I$11,0)&gt;=3,OFFSET(EM!$B$17,ROW($A31)-ROW($A$26)+(ROW(EM!$C$46)-ROW(EM!$C$14))*(MATCH(I$22,EM!$B$6:$B$9,0)-1),MIN(I$23-EM!$B$16+2,EM!$AF$16-EM!$B$16)),0)+
IF(ROUND(I$11,0)&gt;=4,OFFSET(EM!$B$17,ROW($A31)-ROW($A$26)+(ROW(EM!$C$46)-ROW(EM!$C$14))*(MATCH(I$22,EM!$B$6:$B$9,0)-1),MIN(I$23-EM!$B$16+3,EM!$AF$16-EM!$B$16)),0)+
IF(ROUND(I$11,0)&gt;=5,OFFSET(EM!$B$17,ROW($A31)-ROW($A$26)+(ROW(EM!$C$46)-ROW(EM!$C$14))*(MATCH(I$22,EM!$B$6:$B$9,0)-1),MIN(I$23-EM!$B$16+4,EM!$AF$16-EM!$B$16)),0)+
IF(ROUND(I$11,0)&gt;=6,OFFSET(EM!$B$17,ROW($A31)-ROW($A$26)+(ROW(EM!$C$46)-ROW(EM!$C$14))*(MATCH(I$22,EM!$B$6:$B$9,0)-1),MIN(I$23-EM!$B$16+5,EM!$AF$16-EM!$B$16)),0)+
IF(ROUND(I$11,0)&gt;=7,OFFSET(EM!$B$17,ROW($A31)-ROW($A$26)+(ROW(EM!$C$46)-ROW(EM!$C$14))*(MATCH(I$22,EM!$B$6:$B$9,0)-1),MIN(I$23-EM!$B$16+6,EM!$AF$16-EM!$B$16)),0)+
IF(ROUND(I$11,0)&gt;=8,OFFSET(EM!$B$17,ROW($A31)-ROW($A$26)+(ROW(EM!$C$46)-ROW(EM!$C$14))*(MATCH(I$22,EM!$B$6:$B$9,0)-1),MIN(I$23-EM!$B$16+7,EM!$AF$16-EM!$B$16)),0)+
IF(ROUND(I$11,0)&gt;=9,OFFSET(EM!$B$17,ROW($A31)-ROW($A$26)+(ROW(EM!$C$46)-ROW(EM!$C$14))*(MATCH(I$22,EM!$B$6:$B$9,0)-1),MIN(I$23-EM!$B$16+8,EM!$AF$16-EM!$B$16)),0)+
IF(ROUND(I$11,0)&gt;=10,OFFSET(EM!$B$17,ROW($A31)-ROW($A$26)+(ROW(EM!$C$46)-ROW(EM!$C$14))*(MATCH(I$22,EM!$B$6:$B$9,0)-1),MIN(I$23-EM!$B$16+9,EM!$AF$16-EM!$B$16)),0)+
IF(ROUND(I$11,0)&gt;=11,OFFSET(EM!$B$17,ROW($A31)-ROW($A$26)+(ROW(EM!$C$46)-ROW(EM!$C$14))*(MATCH(I$22,EM!$B$6:$B$9,0)-1),MIN(I$23-EM!$B$16+10,EM!$AF$16-EM!$B$16)),0)+
IF(ROUND(I$11,0)&gt;=12,OFFSET(EM!$B$17,ROW($A31)-ROW($A$26)+(ROW(EM!$C$46)-ROW(EM!$C$14))*(MATCH(I$22,EM!$B$6:$B$9,0)-1),MIN(I$23-EM!$B$16+11,EM!$AF$16-EM!$B$16)),0)+
IF(ROUND(I$11,0)&gt;=13,OFFSET(EM!$B$17,ROW($A31)-ROW($A$26)+(ROW(EM!$C$46)-ROW(EM!$C$14))*(MATCH(I$22,EM!$B$6:$B$9,0)-1),MIN(I$23-EM!$B$16+12,EM!$AF$16-EM!$B$16)),0)+
IF(ROUND(I$11,0)&gt;=14,OFFSET(EM!$B$17,ROW($A31)-ROW($A$26)+(ROW(EM!$C$46)-ROW(EM!$C$14))*(MATCH(I$22,EM!$B$6:$B$9,0)-1),MIN(I$23-EM!$B$16+13,EM!$AF$16-EM!$B$16)),0)+
IF(ROUND(I$11,0)&gt;=15,OFFSET(EM!$B$17,ROW($A31)-ROW($A$26)+(ROW(EM!$C$46)-ROW(EM!$C$14))*(MATCH(I$22,EM!$B$6:$B$9,0)-1),MIN(I$23-EM!$B$16+14,EM!$AF$16-EM!$B$16)),0)+
IF(ROUND(I$11,0)&gt;=16,OFFSET(EM!$B$17,ROW($A31)-ROW($A$26)+(ROW(EM!$C$46)-ROW(EM!$C$14))*(MATCH(I$22,EM!$B$6:$B$9,0)-1),MIN(I$23-EM!$B$16+15,EM!$AF$16-EM!$B$16)),0)+
IF(ROUND(I$11,0)&gt;=17,OFFSET(EM!$B$17,ROW($A31)-ROW($A$26)+(ROW(EM!$C$46)-ROW(EM!$C$14))*(MATCH(I$22,EM!$B$6:$B$9,0)-1),MIN(I$23-EM!$B$16+16,EM!$AF$16-EM!$B$16)),0)+
IF(ROUND(I$11,0)&gt;=18,OFFSET(EM!$B$17,ROW($A31)-ROW($A$26)+(ROW(EM!$C$46)-ROW(EM!$C$14))*(MATCH(I$22,EM!$B$6:$B$9,0)-1),MIN(I$23-EM!$B$16+17,EM!$AF$16-EM!$B$16)),0)+
IF(ROUND(I$11,0)&gt;=19,OFFSET(EM!$B$17,ROW($A31)-ROW($A$26)+(ROW(EM!$C$46)-ROW(EM!$C$14))*(MATCH(I$22,EM!$B$6:$B$9,0)-1),MIN(I$23-EM!$B$16+18,EM!$AF$16-EM!$B$16)),0)+
IF(ROUND(I$11,0)&gt;=20,OFFSET(EM!$B$17,ROW($A31)-ROW($A$26)+(ROW(EM!$C$46)-ROW(EM!$C$14))*(MATCH(I$22,EM!$B$6:$B$9,0)-1),MIN(I$23-EM!$B$16+19,EM!$AF$16-EM!$B$16)),0)+
IF(ROUND(I$11,0)&gt;=21,OFFSET(EM!$B$17,ROW($A31)-ROW($A$26)+(ROW(EM!$C$46)-ROW(EM!$C$14))*(MATCH(I$22,EM!$B$6:$B$9,0)-1),MIN(I$23-EM!$B$16+20,EM!$AF$16-EM!$B$16)),0)+
IF(ROUND(I$11,0)&gt;=22,OFFSET(EM!$B$17,ROW($A31)-ROW($A$26)+(ROW(EM!$C$46)-ROW(EM!$C$14))*(MATCH(I$22,EM!$B$6:$B$9,0)-1),MIN(I$23-EM!$B$16+21,EM!$AF$16-EM!$B$16)),0)+
IF(ROUND(I$11,0)&gt;=23,OFFSET(EM!$B$17,ROW($A31)-ROW($A$26)+(ROW(EM!$C$46)-ROW(EM!$C$14))*(MATCH(I$22,EM!$B$6:$B$9,0)-1),MIN(I$23-EM!$B$16+22,EM!$AF$16-EM!$B$16)),0)+
IF(ROUND(I$11,0)&gt;=24,OFFSET(EM!$B$17,ROW($A31)-ROW($A$26)+(ROW(EM!$C$46)-ROW(EM!$C$14))*(MATCH(I$22,EM!$B$6:$B$9,0)-1),MIN(I$23-EM!$B$16+23,EM!$AF$16-EM!$B$16)),0)+
IF(ROUND(I$11,0)&gt;=25,OFFSET(EM!$B$17,ROW($A31)-ROW($A$26)+(ROW(EM!$C$46)-ROW(EM!$C$14))*(MATCH(I$22,EM!$B$6:$B$9,0)-1),MIN(I$23-EM!$B$16+24,EM!$AF$16-EM!$B$16)),0)+
IF(ROUND(I$11,0)&gt;=26,OFFSET(EM!$B$17,ROW($A31)-ROW($A$26)+(ROW(EM!$C$46)-ROW(EM!$C$14))*(MATCH(I$22,EM!$B$6:$B$9,0)-1),MIN(I$23-EM!$B$16+25,EM!$AF$16-EM!$B$16)),0)+
IF(ROUND(I$11,0)&gt;=27,OFFSET(EM!$B$17,ROW($A31)-ROW($A$26)+(ROW(EM!$C$46)-ROW(EM!$C$14))*(MATCH(I$22,EM!$B$6:$B$9,0)-1),MIN(I$23-EM!$B$16+26,EM!$AF$16-EM!$B$16)),0)+
IF(ROUND(I$11,0)&gt;=28,OFFSET(EM!$B$17,ROW($A31)-ROW($A$26)+(ROW(EM!$C$46)-ROW(EM!$C$14))*(MATCH(I$22,EM!$B$6:$B$9,0)-1),MIN(I$23-EM!$B$16+27,EM!$AF$16-EM!$B$16)),0)+
IF(ROUND(I$11,0)&gt;=29,OFFSET(EM!$B$17,ROW($A31)-ROW($A$26)+(ROW(EM!$C$46)-ROW(EM!$C$14))*(MATCH(I$22,EM!$B$6:$B$9,0)-1),MIN(I$23-EM!$B$16+28,EM!$AF$16-EM!$B$16)),0)+
IF(ROUND(I$11,0)&gt;=30,OFFSET(EM!$B$17,ROW($A31)-ROW($A$26)+(ROW(EM!$C$46)-ROW(EM!$C$14))*(MATCH(I$22,EM!$B$6:$B$9,0)-1),MIN(I$23-EM!$B$16+29,EM!$AF$16-EM!$B$16)),0)+
IF(ROUND(I$11,0)&gt;=31,OFFSET(EM!$B$17,ROW($A31)-ROW($A$26)+(ROW(EM!$C$46)-ROW(EM!$C$14))*(MATCH(I$22,EM!$B$6:$B$9,0)-1),MIN(I$23-EM!$B$16+30,EM!$AF$16-EM!$B$16)),0)+
IF(ROUND(I$11,0)&gt;=32,OFFSET(EM!$B$17,ROW($A31)-ROW($A$26)+(ROW(EM!$C$46)-ROW(EM!$C$14))*(MATCH(I$22,EM!$B$6:$B$9,0)-1),MIN(I$23-EM!$B$16+31,EM!$AF$16-EM!$B$16)),0)+
IF(ROUND(I$11,0)&gt;=33,OFFSET(EM!$B$17,ROW($A31)-ROW($A$26)+(ROW(EM!$C$46)-ROW(EM!$C$14))*(MATCH(I$22,EM!$B$6:$B$9,0)-1),MIN(I$23-EM!$B$16+32,EM!$AF$16-EM!$B$16)),0)+
IF(ROUND(I$11,0)&gt;=34,OFFSET(EM!$B$17,ROW($A31)-ROW($A$26)+(ROW(EM!$C$46)-ROW(EM!$C$14))*(MATCH(I$22,EM!$B$6:$B$9,0)-1),MIN(I$23-EM!$B$16+33,EM!$AF$16-EM!$B$16)),0)+
IF(ROUND(I$11,0)&gt;=35,OFFSET(EM!$B$17,ROW($A31)-ROW($A$26)+(ROW(EM!$C$46)-ROW(EM!$C$14))*(MATCH(I$22,EM!$B$6:$B$9,0)-1),MIN(I$23-EM!$B$16+34,EM!$AF$16-EM!$B$16)),0)+
IF(ROUND(I$11,0)&gt;=36,OFFSET(EM!$B$17,ROW($A31)-ROW($A$26)+(ROW(EM!$C$46)-ROW(EM!$C$14))*(MATCH(I$22,EM!$B$6:$B$9,0)-1),MIN(I$23-EM!$B$16+35,EM!$AF$16-EM!$B$16)),0)+
IF(ROUND(I$11,0)&gt;=37,OFFSET(EM!$B$17,ROW($A31)-ROW($A$26)+(ROW(EM!$C$46)-ROW(EM!$C$14))*(MATCH(I$22,EM!$B$6:$B$9,0)-1),MIN(I$23-EM!$B$16+36,EM!$AF$16-EM!$B$16)),0)+
IF(ROUND(I$11,0)&gt;=38,OFFSET(EM!$B$17,ROW($A31)-ROW($A$26)+(ROW(EM!$C$46)-ROW(EM!$C$14))*(MATCH(I$22,EM!$B$6:$B$9,0)-1),MIN(I$23-EM!$B$16+37,EM!$AF$16-EM!$B$16)),0)+
IF(ROUND(I$11,0)&gt;=39,OFFSET(EM!$B$17,ROW($A31)-ROW($A$26)+(ROW(EM!$C$46)-ROW(EM!$C$14))*(MATCH(I$22,EM!$B$6:$B$9,0)-1),MIN(I$23-EM!$B$16+38,EM!$AF$16-EM!$B$16)),0)+
IF(ROUND(I$11,0)&gt;=40,OFFSET(EM!$B$17,ROW($A31)-ROW($A$26)+(ROW(EM!$C$46)-ROW(EM!$C$14))*(MATCH(I$22,EM!$B$6:$B$9,0)-1),MIN(I$23-EM!$B$16+39,EM!$AF$16-EM!$B$16)),0)
)/ROUND(I$11,0),NA()))</f>
        <v>0.28141428587262046</v>
      </c>
      <c r="J31" s="2046">
        <f ca="1">IF(J$19=GPG!$A$28,IF(ROW(J31)-ROW(J$26)+1=MATCH(J$20,GPG!$A$5:$A$11,0),1,0),
IF(J$19=GPG!$A$29,
(IF(ROUND(J$11,0)&gt;=1,OFFSET(EM!$B$17,ROW($A31)-ROW($A$26)+(ROW(EM!$C$46)-ROW(EM!$C$14))*(MATCH(J$22,EM!$B$6:$B$9,0)-1),MIN(J$23-EM!$B$16,EM!$AF$16-EM!$B$16)),0)+
IF(ROUND(J$11,0)&gt;=2,OFFSET(EM!$B$17,ROW($A31)-ROW($A$26)+(ROW(EM!$C$46)-ROW(EM!$C$14))*(MATCH(J$22,EM!$B$6:$B$9,0)-1),MIN(J$23-EM!$B$16+1,EM!$AF$16-EM!$B$16)),0)+
IF(ROUND(J$11,0)&gt;=3,OFFSET(EM!$B$17,ROW($A31)-ROW($A$26)+(ROW(EM!$C$46)-ROW(EM!$C$14))*(MATCH(J$22,EM!$B$6:$B$9,0)-1),MIN(J$23-EM!$B$16+2,EM!$AF$16-EM!$B$16)),0)+
IF(ROUND(J$11,0)&gt;=4,OFFSET(EM!$B$17,ROW($A31)-ROW($A$26)+(ROW(EM!$C$46)-ROW(EM!$C$14))*(MATCH(J$22,EM!$B$6:$B$9,0)-1),MIN(J$23-EM!$B$16+3,EM!$AF$16-EM!$B$16)),0)+
IF(ROUND(J$11,0)&gt;=5,OFFSET(EM!$B$17,ROW($A31)-ROW($A$26)+(ROW(EM!$C$46)-ROW(EM!$C$14))*(MATCH(J$22,EM!$B$6:$B$9,0)-1),MIN(J$23-EM!$B$16+4,EM!$AF$16-EM!$B$16)),0)+
IF(ROUND(J$11,0)&gt;=6,OFFSET(EM!$B$17,ROW($A31)-ROW($A$26)+(ROW(EM!$C$46)-ROW(EM!$C$14))*(MATCH(J$22,EM!$B$6:$B$9,0)-1),MIN(J$23-EM!$B$16+5,EM!$AF$16-EM!$B$16)),0)+
IF(ROUND(J$11,0)&gt;=7,OFFSET(EM!$B$17,ROW($A31)-ROW($A$26)+(ROW(EM!$C$46)-ROW(EM!$C$14))*(MATCH(J$22,EM!$B$6:$B$9,0)-1),MIN(J$23-EM!$B$16+6,EM!$AF$16-EM!$B$16)),0)+
IF(ROUND(J$11,0)&gt;=8,OFFSET(EM!$B$17,ROW($A31)-ROW($A$26)+(ROW(EM!$C$46)-ROW(EM!$C$14))*(MATCH(J$22,EM!$B$6:$B$9,0)-1),MIN(J$23-EM!$B$16+7,EM!$AF$16-EM!$B$16)),0)+
IF(ROUND(J$11,0)&gt;=9,OFFSET(EM!$B$17,ROW($A31)-ROW($A$26)+(ROW(EM!$C$46)-ROW(EM!$C$14))*(MATCH(J$22,EM!$B$6:$B$9,0)-1),MIN(J$23-EM!$B$16+8,EM!$AF$16-EM!$B$16)),0)+
IF(ROUND(J$11,0)&gt;=10,OFFSET(EM!$B$17,ROW($A31)-ROW($A$26)+(ROW(EM!$C$46)-ROW(EM!$C$14))*(MATCH(J$22,EM!$B$6:$B$9,0)-1),MIN(J$23-EM!$B$16+9,EM!$AF$16-EM!$B$16)),0)+
IF(ROUND(J$11,0)&gt;=11,OFFSET(EM!$B$17,ROW($A31)-ROW($A$26)+(ROW(EM!$C$46)-ROW(EM!$C$14))*(MATCH(J$22,EM!$B$6:$B$9,0)-1),MIN(J$23-EM!$B$16+10,EM!$AF$16-EM!$B$16)),0)+
IF(ROUND(J$11,0)&gt;=12,OFFSET(EM!$B$17,ROW($A31)-ROW($A$26)+(ROW(EM!$C$46)-ROW(EM!$C$14))*(MATCH(J$22,EM!$B$6:$B$9,0)-1),MIN(J$23-EM!$B$16+11,EM!$AF$16-EM!$B$16)),0)+
IF(ROUND(J$11,0)&gt;=13,OFFSET(EM!$B$17,ROW($A31)-ROW($A$26)+(ROW(EM!$C$46)-ROW(EM!$C$14))*(MATCH(J$22,EM!$B$6:$B$9,0)-1),MIN(J$23-EM!$B$16+12,EM!$AF$16-EM!$B$16)),0)+
IF(ROUND(J$11,0)&gt;=14,OFFSET(EM!$B$17,ROW($A31)-ROW($A$26)+(ROW(EM!$C$46)-ROW(EM!$C$14))*(MATCH(J$22,EM!$B$6:$B$9,0)-1),MIN(J$23-EM!$B$16+13,EM!$AF$16-EM!$B$16)),0)+
IF(ROUND(J$11,0)&gt;=15,OFFSET(EM!$B$17,ROW($A31)-ROW($A$26)+(ROW(EM!$C$46)-ROW(EM!$C$14))*(MATCH(J$22,EM!$B$6:$B$9,0)-1),MIN(J$23-EM!$B$16+14,EM!$AF$16-EM!$B$16)),0)+
IF(ROUND(J$11,0)&gt;=16,OFFSET(EM!$B$17,ROW($A31)-ROW($A$26)+(ROW(EM!$C$46)-ROW(EM!$C$14))*(MATCH(J$22,EM!$B$6:$B$9,0)-1),MIN(J$23-EM!$B$16+15,EM!$AF$16-EM!$B$16)),0)+
IF(ROUND(J$11,0)&gt;=17,OFFSET(EM!$B$17,ROW($A31)-ROW($A$26)+(ROW(EM!$C$46)-ROW(EM!$C$14))*(MATCH(J$22,EM!$B$6:$B$9,0)-1),MIN(J$23-EM!$B$16+16,EM!$AF$16-EM!$B$16)),0)+
IF(ROUND(J$11,0)&gt;=18,OFFSET(EM!$B$17,ROW($A31)-ROW($A$26)+(ROW(EM!$C$46)-ROW(EM!$C$14))*(MATCH(J$22,EM!$B$6:$B$9,0)-1),MIN(J$23-EM!$B$16+17,EM!$AF$16-EM!$B$16)),0)+
IF(ROUND(J$11,0)&gt;=19,OFFSET(EM!$B$17,ROW($A31)-ROW($A$26)+(ROW(EM!$C$46)-ROW(EM!$C$14))*(MATCH(J$22,EM!$B$6:$B$9,0)-1),MIN(J$23-EM!$B$16+18,EM!$AF$16-EM!$B$16)),0)+
IF(ROUND(J$11,0)&gt;=20,OFFSET(EM!$B$17,ROW($A31)-ROW($A$26)+(ROW(EM!$C$46)-ROW(EM!$C$14))*(MATCH(J$22,EM!$B$6:$B$9,0)-1),MIN(J$23-EM!$B$16+19,EM!$AF$16-EM!$B$16)),0)+
IF(ROUND(J$11,0)&gt;=21,OFFSET(EM!$B$17,ROW($A31)-ROW($A$26)+(ROW(EM!$C$46)-ROW(EM!$C$14))*(MATCH(J$22,EM!$B$6:$B$9,0)-1),MIN(J$23-EM!$B$16+20,EM!$AF$16-EM!$B$16)),0)+
IF(ROUND(J$11,0)&gt;=22,OFFSET(EM!$B$17,ROW($A31)-ROW($A$26)+(ROW(EM!$C$46)-ROW(EM!$C$14))*(MATCH(J$22,EM!$B$6:$B$9,0)-1),MIN(J$23-EM!$B$16+21,EM!$AF$16-EM!$B$16)),0)+
IF(ROUND(J$11,0)&gt;=23,OFFSET(EM!$B$17,ROW($A31)-ROW($A$26)+(ROW(EM!$C$46)-ROW(EM!$C$14))*(MATCH(J$22,EM!$B$6:$B$9,0)-1),MIN(J$23-EM!$B$16+22,EM!$AF$16-EM!$B$16)),0)+
IF(ROUND(J$11,0)&gt;=24,OFFSET(EM!$B$17,ROW($A31)-ROW($A$26)+(ROW(EM!$C$46)-ROW(EM!$C$14))*(MATCH(J$22,EM!$B$6:$B$9,0)-1),MIN(J$23-EM!$B$16+23,EM!$AF$16-EM!$B$16)),0)+
IF(ROUND(J$11,0)&gt;=25,OFFSET(EM!$B$17,ROW($A31)-ROW($A$26)+(ROW(EM!$C$46)-ROW(EM!$C$14))*(MATCH(J$22,EM!$B$6:$B$9,0)-1),MIN(J$23-EM!$B$16+24,EM!$AF$16-EM!$B$16)),0)+
IF(ROUND(J$11,0)&gt;=26,OFFSET(EM!$B$17,ROW($A31)-ROW($A$26)+(ROW(EM!$C$46)-ROW(EM!$C$14))*(MATCH(J$22,EM!$B$6:$B$9,0)-1),MIN(J$23-EM!$B$16+25,EM!$AF$16-EM!$B$16)),0)+
IF(ROUND(J$11,0)&gt;=27,OFFSET(EM!$B$17,ROW($A31)-ROW($A$26)+(ROW(EM!$C$46)-ROW(EM!$C$14))*(MATCH(J$22,EM!$B$6:$B$9,0)-1),MIN(J$23-EM!$B$16+26,EM!$AF$16-EM!$B$16)),0)+
IF(ROUND(J$11,0)&gt;=28,OFFSET(EM!$B$17,ROW($A31)-ROW($A$26)+(ROW(EM!$C$46)-ROW(EM!$C$14))*(MATCH(J$22,EM!$B$6:$B$9,0)-1),MIN(J$23-EM!$B$16+27,EM!$AF$16-EM!$B$16)),0)+
IF(ROUND(J$11,0)&gt;=29,OFFSET(EM!$B$17,ROW($A31)-ROW($A$26)+(ROW(EM!$C$46)-ROW(EM!$C$14))*(MATCH(J$22,EM!$B$6:$B$9,0)-1),MIN(J$23-EM!$B$16+28,EM!$AF$16-EM!$B$16)),0)+
IF(ROUND(J$11,0)&gt;=30,OFFSET(EM!$B$17,ROW($A31)-ROW($A$26)+(ROW(EM!$C$46)-ROW(EM!$C$14))*(MATCH(J$22,EM!$B$6:$B$9,0)-1),MIN(J$23-EM!$B$16+29,EM!$AF$16-EM!$B$16)),0)+
IF(ROUND(J$11,0)&gt;=31,OFFSET(EM!$B$17,ROW($A31)-ROW($A$26)+(ROW(EM!$C$46)-ROW(EM!$C$14))*(MATCH(J$22,EM!$B$6:$B$9,0)-1),MIN(J$23-EM!$B$16+30,EM!$AF$16-EM!$B$16)),0)+
IF(ROUND(J$11,0)&gt;=32,OFFSET(EM!$B$17,ROW($A31)-ROW($A$26)+(ROW(EM!$C$46)-ROW(EM!$C$14))*(MATCH(J$22,EM!$B$6:$B$9,0)-1),MIN(J$23-EM!$B$16+31,EM!$AF$16-EM!$B$16)),0)+
IF(ROUND(J$11,0)&gt;=33,OFFSET(EM!$B$17,ROW($A31)-ROW($A$26)+(ROW(EM!$C$46)-ROW(EM!$C$14))*(MATCH(J$22,EM!$B$6:$B$9,0)-1),MIN(J$23-EM!$B$16+32,EM!$AF$16-EM!$B$16)),0)+
IF(ROUND(J$11,0)&gt;=34,OFFSET(EM!$B$17,ROW($A31)-ROW($A$26)+(ROW(EM!$C$46)-ROW(EM!$C$14))*(MATCH(J$22,EM!$B$6:$B$9,0)-1),MIN(J$23-EM!$B$16+33,EM!$AF$16-EM!$B$16)),0)+
IF(ROUND(J$11,0)&gt;=35,OFFSET(EM!$B$17,ROW($A31)-ROW($A$26)+(ROW(EM!$C$46)-ROW(EM!$C$14))*(MATCH(J$22,EM!$B$6:$B$9,0)-1),MIN(J$23-EM!$B$16+34,EM!$AF$16-EM!$B$16)),0)+
IF(ROUND(J$11,0)&gt;=36,OFFSET(EM!$B$17,ROW($A31)-ROW($A$26)+(ROW(EM!$C$46)-ROW(EM!$C$14))*(MATCH(J$22,EM!$B$6:$B$9,0)-1),MIN(J$23-EM!$B$16+35,EM!$AF$16-EM!$B$16)),0)+
IF(ROUND(J$11,0)&gt;=37,OFFSET(EM!$B$17,ROW($A31)-ROW($A$26)+(ROW(EM!$C$46)-ROW(EM!$C$14))*(MATCH(J$22,EM!$B$6:$B$9,0)-1),MIN(J$23-EM!$B$16+36,EM!$AF$16-EM!$B$16)),0)+
IF(ROUND(J$11,0)&gt;=38,OFFSET(EM!$B$17,ROW($A31)-ROW($A$26)+(ROW(EM!$C$46)-ROW(EM!$C$14))*(MATCH(J$22,EM!$B$6:$B$9,0)-1),MIN(J$23-EM!$B$16+37,EM!$AF$16-EM!$B$16)),0)+
IF(ROUND(J$11,0)&gt;=39,OFFSET(EM!$B$17,ROW($A31)-ROW($A$26)+(ROW(EM!$C$46)-ROW(EM!$C$14))*(MATCH(J$22,EM!$B$6:$B$9,0)-1),MIN(J$23-EM!$B$16+38,EM!$AF$16-EM!$B$16)),0)+
IF(ROUND(J$11,0)&gt;=40,OFFSET(EM!$B$17,ROW($A31)-ROW($A$26)+(ROW(EM!$C$46)-ROW(EM!$C$14))*(MATCH(J$22,EM!$B$6:$B$9,0)-1),MIN(J$23-EM!$B$16+39,EM!$AF$16-EM!$B$16)),0)
)/ROUND(J$11,0),NA()))</f>
        <v>0.19126569597021811</v>
      </c>
      <c r="K31" s="2046">
        <f ca="1">IF(K$19=GPG!$A$28,IF(ROW(K31)-ROW(K$26)+1=MATCH(K$20,GPG!$A$5:$A$11,0),1,0),
IF(K$19=GPG!$A$29,
(IF(ROUND(K$11,0)&gt;=1,OFFSET(EM!$B$17,ROW($A31)-ROW($A$26)+(ROW(EM!$C$46)-ROW(EM!$C$14))*(MATCH(K$22,EM!$B$6:$B$9,0)-1),MIN(K$23-EM!$B$16,EM!$AF$16-EM!$B$16)),0)+
IF(ROUND(K$11,0)&gt;=2,OFFSET(EM!$B$17,ROW($A31)-ROW($A$26)+(ROW(EM!$C$46)-ROW(EM!$C$14))*(MATCH(K$22,EM!$B$6:$B$9,0)-1),MIN(K$23-EM!$B$16+1,EM!$AF$16-EM!$B$16)),0)+
IF(ROUND(K$11,0)&gt;=3,OFFSET(EM!$B$17,ROW($A31)-ROW($A$26)+(ROW(EM!$C$46)-ROW(EM!$C$14))*(MATCH(K$22,EM!$B$6:$B$9,0)-1),MIN(K$23-EM!$B$16+2,EM!$AF$16-EM!$B$16)),0)+
IF(ROUND(K$11,0)&gt;=4,OFFSET(EM!$B$17,ROW($A31)-ROW($A$26)+(ROW(EM!$C$46)-ROW(EM!$C$14))*(MATCH(K$22,EM!$B$6:$B$9,0)-1),MIN(K$23-EM!$B$16+3,EM!$AF$16-EM!$B$16)),0)+
IF(ROUND(K$11,0)&gt;=5,OFFSET(EM!$B$17,ROW($A31)-ROW($A$26)+(ROW(EM!$C$46)-ROW(EM!$C$14))*(MATCH(K$22,EM!$B$6:$B$9,0)-1),MIN(K$23-EM!$B$16+4,EM!$AF$16-EM!$B$16)),0)+
IF(ROUND(K$11,0)&gt;=6,OFFSET(EM!$B$17,ROW($A31)-ROW($A$26)+(ROW(EM!$C$46)-ROW(EM!$C$14))*(MATCH(K$22,EM!$B$6:$B$9,0)-1),MIN(K$23-EM!$B$16+5,EM!$AF$16-EM!$B$16)),0)+
IF(ROUND(K$11,0)&gt;=7,OFFSET(EM!$B$17,ROW($A31)-ROW($A$26)+(ROW(EM!$C$46)-ROW(EM!$C$14))*(MATCH(K$22,EM!$B$6:$B$9,0)-1),MIN(K$23-EM!$B$16+6,EM!$AF$16-EM!$B$16)),0)+
IF(ROUND(K$11,0)&gt;=8,OFFSET(EM!$B$17,ROW($A31)-ROW($A$26)+(ROW(EM!$C$46)-ROW(EM!$C$14))*(MATCH(K$22,EM!$B$6:$B$9,0)-1),MIN(K$23-EM!$B$16+7,EM!$AF$16-EM!$B$16)),0)+
IF(ROUND(K$11,0)&gt;=9,OFFSET(EM!$B$17,ROW($A31)-ROW($A$26)+(ROW(EM!$C$46)-ROW(EM!$C$14))*(MATCH(K$22,EM!$B$6:$B$9,0)-1),MIN(K$23-EM!$B$16+8,EM!$AF$16-EM!$B$16)),0)+
IF(ROUND(K$11,0)&gt;=10,OFFSET(EM!$B$17,ROW($A31)-ROW($A$26)+(ROW(EM!$C$46)-ROW(EM!$C$14))*(MATCH(K$22,EM!$B$6:$B$9,0)-1),MIN(K$23-EM!$B$16+9,EM!$AF$16-EM!$B$16)),0)+
IF(ROUND(K$11,0)&gt;=11,OFFSET(EM!$B$17,ROW($A31)-ROW($A$26)+(ROW(EM!$C$46)-ROW(EM!$C$14))*(MATCH(K$22,EM!$B$6:$B$9,0)-1),MIN(K$23-EM!$B$16+10,EM!$AF$16-EM!$B$16)),0)+
IF(ROUND(K$11,0)&gt;=12,OFFSET(EM!$B$17,ROW($A31)-ROW($A$26)+(ROW(EM!$C$46)-ROW(EM!$C$14))*(MATCH(K$22,EM!$B$6:$B$9,0)-1),MIN(K$23-EM!$B$16+11,EM!$AF$16-EM!$B$16)),0)+
IF(ROUND(K$11,0)&gt;=13,OFFSET(EM!$B$17,ROW($A31)-ROW($A$26)+(ROW(EM!$C$46)-ROW(EM!$C$14))*(MATCH(K$22,EM!$B$6:$B$9,0)-1),MIN(K$23-EM!$B$16+12,EM!$AF$16-EM!$B$16)),0)+
IF(ROUND(K$11,0)&gt;=14,OFFSET(EM!$B$17,ROW($A31)-ROW($A$26)+(ROW(EM!$C$46)-ROW(EM!$C$14))*(MATCH(K$22,EM!$B$6:$B$9,0)-1),MIN(K$23-EM!$B$16+13,EM!$AF$16-EM!$B$16)),0)+
IF(ROUND(K$11,0)&gt;=15,OFFSET(EM!$B$17,ROW($A31)-ROW($A$26)+(ROW(EM!$C$46)-ROW(EM!$C$14))*(MATCH(K$22,EM!$B$6:$B$9,0)-1),MIN(K$23-EM!$B$16+14,EM!$AF$16-EM!$B$16)),0)+
IF(ROUND(K$11,0)&gt;=16,OFFSET(EM!$B$17,ROW($A31)-ROW($A$26)+(ROW(EM!$C$46)-ROW(EM!$C$14))*(MATCH(K$22,EM!$B$6:$B$9,0)-1),MIN(K$23-EM!$B$16+15,EM!$AF$16-EM!$B$16)),0)+
IF(ROUND(K$11,0)&gt;=17,OFFSET(EM!$B$17,ROW($A31)-ROW($A$26)+(ROW(EM!$C$46)-ROW(EM!$C$14))*(MATCH(K$22,EM!$B$6:$B$9,0)-1),MIN(K$23-EM!$B$16+16,EM!$AF$16-EM!$B$16)),0)+
IF(ROUND(K$11,0)&gt;=18,OFFSET(EM!$B$17,ROW($A31)-ROW($A$26)+(ROW(EM!$C$46)-ROW(EM!$C$14))*(MATCH(K$22,EM!$B$6:$B$9,0)-1),MIN(K$23-EM!$B$16+17,EM!$AF$16-EM!$B$16)),0)+
IF(ROUND(K$11,0)&gt;=19,OFFSET(EM!$B$17,ROW($A31)-ROW($A$26)+(ROW(EM!$C$46)-ROW(EM!$C$14))*(MATCH(K$22,EM!$B$6:$B$9,0)-1),MIN(K$23-EM!$B$16+18,EM!$AF$16-EM!$B$16)),0)+
IF(ROUND(K$11,0)&gt;=20,OFFSET(EM!$B$17,ROW($A31)-ROW($A$26)+(ROW(EM!$C$46)-ROW(EM!$C$14))*(MATCH(K$22,EM!$B$6:$B$9,0)-1),MIN(K$23-EM!$B$16+19,EM!$AF$16-EM!$B$16)),0)+
IF(ROUND(K$11,0)&gt;=21,OFFSET(EM!$B$17,ROW($A31)-ROW($A$26)+(ROW(EM!$C$46)-ROW(EM!$C$14))*(MATCH(K$22,EM!$B$6:$B$9,0)-1),MIN(K$23-EM!$B$16+20,EM!$AF$16-EM!$B$16)),0)+
IF(ROUND(K$11,0)&gt;=22,OFFSET(EM!$B$17,ROW($A31)-ROW($A$26)+(ROW(EM!$C$46)-ROW(EM!$C$14))*(MATCH(K$22,EM!$B$6:$B$9,0)-1),MIN(K$23-EM!$B$16+21,EM!$AF$16-EM!$B$16)),0)+
IF(ROUND(K$11,0)&gt;=23,OFFSET(EM!$B$17,ROW($A31)-ROW($A$26)+(ROW(EM!$C$46)-ROW(EM!$C$14))*(MATCH(K$22,EM!$B$6:$B$9,0)-1),MIN(K$23-EM!$B$16+22,EM!$AF$16-EM!$B$16)),0)+
IF(ROUND(K$11,0)&gt;=24,OFFSET(EM!$B$17,ROW($A31)-ROW($A$26)+(ROW(EM!$C$46)-ROW(EM!$C$14))*(MATCH(K$22,EM!$B$6:$B$9,0)-1),MIN(K$23-EM!$B$16+23,EM!$AF$16-EM!$B$16)),0)+
IF(ROUND(K$11,0)&gt;=25,OFFSET(EM!$B$17,ROW($A31)-ROW($A$26)+(ROW(EM!$C$46)-ROW(EM!$C$14))*(MATCH(K$22,EM!$B$6:$B$9,0)-1),MIN(K$23-EM!$B$16+24,EM!$AF$16-EM!$B$16)),0)+
IF(ROUND(K$11,0)&gt;=26,OFFSET(EM!$B$17,ROW($A31)-ROW($A$26)+(ROW(EM!$C$46)-ROW(EM!$C$14))*(MATCH(K$22,EM!$B$6:$B$9,0)-1),MIN(K$23-EM!$B$16+25,EM!$AF$16-EM!$B$16)),0)+
IF(ROUND(K$11,0)&gt;=27,OFFSET(EM!$B$17,ROW($A31)-ROW($A$26)+(ROW(EM!$C$46)-ROW(EM!$C$14))*(MATCH(K$22,EM!$B$6:$B$9,0)-1),MIN(K$23-EM!$B$16+26,EM!$AF$16-EM!$B$16)),0)+
IF(ROUND(K$11,0)&gt;=28,OFFSET(EM!$B$17,ROW($A31)-ROW($A$26)+(ROW(EM!$C$46)-ROW(EM!$C$14))*(MATCH(K$22,EM!$B$6:$B$9,0)-1),MIN(K$23-EM!$B$16+27,EM!$AF$16-EM!$B$16)),0)+
IF(ROUND(K$11,0)&gt;=29,OFFSET(EM!$B$17,ROW($A31)-ROW($A$26)+(ROW(EM!$C$46)-ROW(EM!$C$14))*(MATCH(K$22,EM!$B$6:$B$9,0)-1),MIN(K$23-EM!$B$16+28,EM!$AF$16-EM!$B$16)),0)+
IF(ROUND(K$11,0)&gt;=30,OFFSET(EM!$B$17,ROW($A31)-ROW($A$26)+(ROW(EM!$C$46)-ROW(EM!$C$14))*(MATCH(K$22,EM!$B$6:$B$9,0)-1),MIN(K$23-EM!$B$16+29,EM!$AF$16-EM!$B$16)),0)+
IF(ROUND(K$11,0)&gt;=31,OFFSET(EM!$B$17,ROW($A31)-ROW($A$26)+(ROW(EM!$C$46)-ROW(EM!$C$14))*(MATCH(K$22,EM!$B$6:$B$9,0)-1),MIN(K$23-EM!$B$16+30,EM!$AF$16-EM!$B$16)),0)+
IF(ROUND(K$11,0)&gt;=32,OFFSET(EM!$B$17,ROW($A31)-ROW($A$26)+(ROW(EM!$C$46)-ROW(EM!$C$14))*(MATCH(K$22,EM!$B$6:$B$9,0)-1),MIN(K$23-EM!$B$16+31,EM!$AF$16-EM!$B$16)),0)+
IF(ROUND(K$11,0)&gt;=33,OFFSET(EM!$B$17,ROW($A31)-ROW($A$26)+(ROW(EM!$C$46)-ROW(EM!$C$14))*(MATCH(K$22,EM!$B$6:$B$9,0)-1),MIN(K$23-EM!$B$16+32,EM!$AF$16-EM!$B$16)),0)+
IF(ROUND(K$11,0)&gt;=34,OFFSET(EM!$B$17,ROW($A31)-ROW($A$26)+(ROW(EM!$C$46)-ROW(EM!$C$14))*(MATCH(K$22,EM!$B$6:$B$9,0)-1),MIN(K$23-EM!$B$16+33,EM!$AF$16-EM!$B$16)),0)+
IF(ROUND(K$11,0)&gt;=35,OFFSET(EM!$B$17,ROW($A31)-ROW($A$26)+(ROW(EM!$C$46)-ROW(EM!$C$14))*(MATCH(K$22,EM!$B$6:$B$9,0)-1),MIN(K$23-EM!$B$16+34,EM!$AF$16-EM!$B$16)),0)+
IF(ROUND(K$11,0)&gt;=36,OFFSET(EM!$B$17,ROW($A31)-ROW($A$26)+(ROW(EM!$C$46)-ROW(EM!$C$14))*(MATCH(K$22,EM!$B$6:$B$9,0)-1),MIN(K$23-EM!$B$16+35,EM!$AF$16-EM!$B$16)),0)+
IF(ROUND(K$11,0)&gt;=37,OFFSET(EM!$B$17,ROW($A31)-ROW($A$26)+(ROW(EM!$C$46)-ROW(EM!$C$14))*(MATCH(K$22,EM!$B$6:$B$9,0)-1),MIN(K$23-EM!$B$16+36,EM!$AF$16-EM!$B$16)),0)+
IF(ROUND(K$11,0)&gt;=38,OFFSET(EM!$B$17,ROW($A31)-ROW($A$26)+(ROW(EM!$C$46)-ROW(EM!$C$14))*(MATCH(K$22,EM!$B$6:$B$9,0)-1),MIN(K$23-EM!$B$16+37,EM!$AF$16-EM!$B$16)),0)+
IF(ROUND(K$11,0)&gt;=39,OFFSET(EM!$B$17,ROW($A31)-ROW($A$26)+(ROW(EM!$C$46)-ROW(EM!$C$14))*(MATCH(K$22,EM!$B$6:$B$9,0)-1),MIN(K$23-EM!$B$16+38,EM!$AF$16-EM!$B$16)),0)+
IF(ROUND(K$11,0)&gt;=40,OFFSET(EM!$B$17,ROW($A31)-ROW($A$26)+(ROW(EM!$C$46)-ROW(EM!$C$14))*(MATCH(K$22,EM!$B$6:$B$9,0)-1),MIN(K$23-EM!$B$16+39,EM!$AF$16-EM!$B$16)),0)
)/ROUND(K$11,0),NA()))</f>
        <v>0.30143030330660509</v>
      </c>
      <c r="L31" s="2046">
        <f ca="1">IF(L$19=GPG!$A$28,IF(ROW(L31)-ROW(L$26)+1=MATCH(L$20,GPG!$A$5:$A$11,0),1,0),
IF(L$19=GPG!$A$29,
(IF(ROUND(L$11,0)&gt;=1,OFFSET(EM!$B$17,ROW($A31)-ROW($A$26)+(ROW(EM!$C$46)-ROW(EM!$C$14))*(MATCH(L$22,EM!$B$6:$B$9,0)-1),MIN(L$23-EM!$B$16,EM!$AF$16-EM!$B$16)),0)+
IF(ROUND(L$11,0)&gt;=2,OFFSET(EM!$B$17,ROW($A31)-ROW($A$26)+(ROW(EM!$C$46)-ROW(EM!$C$14))*(MATCH(L$22,EM!$B$6:$B$9,0)-1),MIN(L$23-EM!$B$16+1,EM!$AF$16-EM!$B$16)),0)+
IF(ROUND(L$11,0)&gt;=3,OFFSET(EM!$B$17,ROW($A31)-ROW($A$26)+(ROW(EM!$C$46)-ROW(EM!$C$14))*(MATCH(L$22,EM!$B$6:$B$9,0)-1),MIN(L$23-EM!$B$16+2,EM!$AF$16-EM!$B$16)),0)+
IF(ROUND(L$11,0)&gt;=4,OFFSET(EM!$B$17,ROW($A31)-ROW($A$26)+(ROW(EM!$C$46)-ROW(EM!$C$14))*(MATCH(L$22,EM!$B$6:$B$9,0)-1),MIN(L$23-EM!$B$16+3,EM!$AF$16-EM!$B$16)),0)+
IF(ROUND(L$11,0)&gt;=5,OFFSET(EM!$B$17,ROW($A31)-ROW($A$26)+(ROW(EM!$C$46)-ROW(EM!$C$14))*(MATCH(L$22,EM!$B$6:$B$9,0)-1),MIN(L$23-EM!$B$16+4,EM!$AF$16-EM!$B$16)),0)+
IF(ROUND(L$11,0)&gt;=6,OFFSET(EM!$B$17,ROW($A31)-ROW($A$26)+(ROW(EM!$C$46)-ROW(EM!$C$14))*(MATCH(L$22,EM!$B$6:$B$9,0)-1),MIN(L$23-EM!$B$16+5,EM!$AF$16-EM!$B$16)),0)+
IF(ROUND(L$11,0)&gt;=7,OFFSET(EM!$B$17,ROW($A31)-ROW($A$26)+(ROW(EM!$C$46)-ROW(EM!$C$14))*(MATCH(L$22,EM!$B$6:$B$9,0)-1),MIN(L$23-EM!$B$16+6,EM!$AF$16-EM!$B$16)),0)+
IF(ROUND(L$11,0)&gt;=8,OFFSET(EM!$B$17,ROW($A31)-ROW($A$26)+(ROW(EM!$C$46)-ROW(EM!$C$14))*(MATCH(L$22,EM!$B$6:$B$9,0)-1),MIN(L$23-EM!$B$16+7,EM!$AF$16-EM!$B$16)),0)+
IF(ROUND(L$11,0)&gt;=9,OFFSET(EM!$B$17,ROW($A31)-ROW($A$26)+(ROW(EM!$C$46)-ROW(EM!$C$14))*(MATCH(L$22,EM!$B$6:$B$9,0)-1),MIN(L$23-EM!$B$16+8,EM!$AF$16-EM!$B$16)),0)+
IF(ROUND(L$11,0)&gt;=10,OFFSET(EM!$B$17,ROW($A31)-ROW($A$26)+(ROW(EM!$C$46)-ROW(EM!$C$14))*(MATCH(L$22,EM!$B$6:$B$9,0)-1),MIN(L$23-EM!$B$16+9,EM!$AF$16-EM!$B$16)),0)+
IF(ROUND(L$11,0)&gt;=11,OFFSET(EM!$B$17,ROW($A31)-ROW($A$26)+(ROW(EM!$C$46)-ROW(EM!$C$14))*(MATCH(L$22,EM!$B$6:$B$9,0)-1),MIN(L$23-EM!$B$16+10,EM!$AF$16-EM!$B$16)),0)+
IF(ROUND(L$11,0)&gt;=12,OFFSET(EM!$B$17,ROW($A31)-ROW($A$26)+(ROW(EM!$C$46)-ROW(EM!$C$14))*(MATCH(L$22,EM!$B$6:$B$9,0)-1),MIN(L$23-EM!$B$16+11,EM!$AF$16-EM!$B$16)),0)+
IF(ROUND(L$11,0)&gt;=13,OFFSET(EM!$B$17,ROW($A31)-ROW($A$26)+(ROW(EM!$C$46)-ROW(EM!$C$14))*(MATCH(L$22,EM!$B$6:$B$9,0)-1),MIN(L$23-EM!$B$16+12,EM!$AF$16-EM!$B$16)),0)+
IF(ROUND(L$11,0)&gt;=14,OFFSET(EM!$B$17,ROW($A31)-ROW($A$26)+(ROW(EM!$C$46)-ROW(EM!$C$14))*(MATCH(L$22,EM!$B$6:$B$9,0)-1),MIN(L$23-EM!$B$16+13,EM!$AF$16-EM!$B$16)),0)+
IF(ROUND(L$11,0)&gt;=15,OFFSET(EM!$B$17,ROW($A31)-ROW($A$26)+(ROW(EM!$C$46)-ROW(EM!$C$14))*(MATCH(L$22,EM!$B$6:$B$9,0)-1),MIN(L$23-EM!$B$16+14,EM!$AF$16-EM!$B$16)),0)+
IF(ROUND(L$11,0)&gt;=16,OFFSET(EM!$B$17,ROW($A31)-ROW($A$26)+(ROW(EM!$C$46)-ROW(EM!$C$14))*(MATCH(L$22,EM!$B$6:$B$9,0)-1),MIN(L$23-EM!$B$16+15,EM!$AF$16-EM!$B$16)),0)+
IF(ROUND(L$11,0)&gt;=17,OFFSET(EM!$B$17,ROW($A31)-ROW($A$26)+(ROW(EM!$C$46)-ROW(EM!$C$14))*(MATCH(L$22,EM!$B$6:$B$9,0)-1),MIN(L$23-EM!$B$16+16,EM!$AF$16-EM!$B$16)),0)+
IF(ROUND(L$11,0)&gt;=18,OFFSET(EM!$B$17,ROW($A31)-ROW($A$26)+(ROW(EM!$C$46)-ROW(EM!$C$14))*(MATCH(L$22,EM!$B$6:$B$9,0)-1),MIN(L$23-EM!$B$16+17,EM!$AF$16-EM!$B$16)),0)+
IF(ROUND(L$11,0)&gt;=19,OFFSET(EM!$B$17,ROW($A31)-ROW($A$26)+(ROW(EM!$C$46)-ROW(EM!$C$14))*(MATCH(L$22,EM!$B$6:$B$9,0)-1),MIN(L$23-EM!$B$16+18,EM!$AF$16-EM!$B$16)),0)+
IF(ROUND(L$11,0)&gt;=20,OFFSET(EM!$B$17,ROW($A31)-ROW($A$26)+(ROW(EM!$C$46)-ROW(EM!$C$14))*(MATCH(L$22,EM!$B$6:$B$9,0)-1),MIN(L$23-EM!$B$16+19,EM!$AF$16-EM!$B$16)),0)+
IF(ROUND(L$11,0)&gt;=21,OFFSET(EM!$B$17,ROW($A31)-ROW($A$26)+(ROW(EM!$C$46)-ROW(EM!$C$14))*(MATCH(L$22,EM!$B$6:$B$9,0)-1),MIN(L$23-EM!$B$16+20,EM!$AF$16-EM!$B$16)),0)+
IF(ROUND(L$11,0)&gt;=22,OFFSET(EM!$B$17,ROW($A31)-ROW($A$26)+(ROW(EM!$C$46)-ROW(EM!$C$14))*(MATCH(L$22,EM!$B$6:$B$9,0)-1),MIN(L$23-EM!$B$16+21,EM!$AF$16-EM!$B$16)),0)+
IF(ROUND(L$11,0)&gt;=23,OFFSET(EM!$B$17,ROW($A31)-ROW($A$26)+(ROW(EM!$C$46)-ROW(EM!$C$14))*(MATCH(L$22,EM!$B$6:$B$9,0)-1),MIN(L$23-EM!$B$16+22,EM!$AF$16-EM!$B$16)),0)+
IF(ROUND(L$11,0)&gt;=24,OFFSET(EM!$B$17,ROW($A31)-ROW($A$26)+(ROW(EM!$C$46)-ROW(EM!$C$14))*(MATCH(L$22,EM!$B$6:$B$9,0)-1),MIN(L$23-EM!$B$16+23,EM!$AF$16-EM!$B$16)),0)+
IF(ROUND(L$11,0)&gt;=25,OFFSET(EM!$B$17,ROW($A31)-ROW($A$26)+(ROW(EM!$C$46)-ROW(EM!$C$14))*(MATCH(L$22,EM!$B$6:$B$9,0)-1),MIN(L$23-EM!$B$16+24,EM!$AF$16-EM!$B$16)),0)+
IF(ROUND(L$11,0)&gt;=26,OFFSET(EM!$B$17,ROW($A31)-ROW($A$26)+(ROW(EM!$C$46)-ROW(EM!$C$14))*(MATCH(L$22,EM!$B$6:$B$9,0)-1),MIN(L$23-EM!$B$16+25,EM!$AF$16-EM!$B$16)),0)+
IF(ROUND(L$11,0)&gt;=27,OFFSET(EM!$B$17,ROW($A31)-ROW($A$26)+(ROW(EM!$C$46)-ROW(EM!$C$14))*(MATCH(L$22,EM!$B$6:$B$9,0)-1),MIN(L$23-EM!$B$16+26,EM!$AF$16-EM!$B$16)),0)+
IF(ROUND(L$11,0)&gt;=28,OFFSET(EM!$B$17,ROW($A31)-ROW($A$26)+(ROW(EM!$C$46)-ROW(EM!$C$14))*(MATCH(L$22,EM!$B$6:$B$9,0)-1),MIN(L$23-EM!$B$16+27,EM!$AF$16-EM!$B$16)),0)+
IF(ROUND(L$11,0)&gt;=29,OFFSET(EM!$B$17,ROW($A31)-ROW($A$26)+(ROW(EM!$C$46)-ROW(EM!$C$14))*(MATCH(L$22,EM!$B$6:$B$9,0)-1),MIN(L$23-EM!$B$16+28,EM!$AF$16-EM!$B$16)),0)+
IF(ROUND(L$11,0)&gt;=30,OFFSET(EM!$B$17,ROW($A31)-ROW($A$26)+(ROW(EM!$C$46)-ROW(EM!$C$14))*(MATCH(L$22,EM!$B$6:$B$9,0)-1),MIN(L$23-EM!$B$16+29,EM!$AF$16-EM!$B$16)),0)+
IF(ROUND(L$11,0)&gt;=31,OFFSET(EM!$B$17,ROW($A31)-ROW($A$26)+(ROW(EM!$C$46)-ROW(EM!$C$14))*(MATCH(L$22,EM!$B$6:$B$9,0)-1),MIN(L$23-EM!$B$16+30,EM!$AF$16-EM!$B$16)),0)+
IF(ROUND(L$11,0)&gt;=32,OFFSET(EM!$B$17,ROW($A31)-ROW($A$26)+(ROW(EM!$C$46)-ROW(EM!$C$14))*(MATCH(L$22,EM!$B$6:$B$9,0)-1),MIN(L$23-EM!$B$16+31,EM!$AF$16-EM!$B$16)),0)+
IF(ROUND(L$11,0)&gt;=33,OFFSET(EM!$B$17,ROW($A31)-ROW($A$26)+(ROW(EM!$C$46)-ROW(EM!$C$14))*(MATCH(L$22,EM!$B$6:$B$9,0)-1),MIN(L$23-EM!$B$16+32,EM!$AF$16-EM!$B$16)),0)+
IF(ROUND(L$11,0)&gt;=34,OFFSET(EM!$B$17,ROW($A31)-ROW($A$26)+(ROW(EM!$C$46)-ROW(EM!$C$14))*(MATCH(L$22,EM!$B$6:$B$9,0)-1),MIN(L$23-EM!$B$16+33,EM!$AF$16-EM!$B$16)),0)+
IF(ROUND(L$11,0)&gt;=35,OFFSET(EM!$B$17,ROW($A31)-ROW($A$26)+(ROW(EM!$C$46)-ROW(EM!$C$14))*(MATCH(L$22,EM!$B$6:$B$9,0)-1),MIN(L$23-EM!$B$16+34,EM!$AF$16-EM!$B$16)),0)+
IF(ROUND(L$11,0)&gt;=36,OFFSET(EM!$B$17,ROW($A31)-ROW($A$26)+(ROW(EM!$C$46)-ROW(EM!$C$14))*(MATCH(L$22,EM!$B$6:$B$9,0)-1),MIN(L$23-EM!$B$16+35,EM!$AF$16-EM!$B$16)),0)+
IF(ROUND(L$11,0)&gt;=37,OFFSET(EM!$B$17,ROW($A31)-ROW($A$26)+(ROW(EM!$C$46)-ROW(EM!$C$14))*(MATCH(L$22,EM!$B$6:$B$9,0)-1),MIN(L$23-EM!$B$16+36,EM!$AF$16-EM!$B$16)),0)+
IF(ROUND(L$11,0)&gt;=38,OFFSET(EM!$B$17,ROW($A31)-ROW($A$26)+(ROW(EM!$C$46)-ROW(EM!$C$14))*(MATCH(L$22,EM!$B$6:$B$9,0)-1),MIN(L$23-EM!$B$16+37,EM!$AF$16-EM!$B$16)),0)+
IF(ROUND(L$11,0)&gt;=39,OFFSET(EM!$B$17,ROW($A31)-ROW($A$26)+(ROW(EM!$C$46)-ROW(EM!$C$14))*(MATCH(L$22,EM!$B$6:$B$9,0)-1),MIN(L$23-EM!$B$16+38,EM!$AF$16-EM!$B$16)),0)+
IF(ROUND(L$11,0)&gt;=40,OFFSET(EM!$B$17,ROW($A31)-ROW($A$26)+(ROW(EM!$C$46)-ROW(EM!$C$14))*(MATCH(L$22,EM!$B$6:$B$9,0)-1),MIN(L$23-EM!$B$16+39,EM!$AF$16-EM!$B$16)),0)
)/ROUND(L$11,0),NA()))</f>
        <v>0.19126569597021811</v>
      </c>
      <c r="M31" s="2046">
        <f ca="1">IF(M$19=GPG!$A$28,IF(ROW(M31)-ROW(M$26)+1=MATCH(M$20,GPG!$A$5:$A$11,0),1,0),
IF(M$19=GPG!$A$29,
(IF(ROUND(M$11,0)&gt;=1,OFFSET(EM!$B$17,ROW($A31)-ROW($A$26)+(ROW(EM!$C$46)-ROW(EM!$C$14))*(MATCH(M$22,EM!$B$6:$B$9,0)-1),MIN(M$23-EM!$B$16,EM!$AF$16-EM!$B$16)),0)+
IF(ROUND(M$11,0)&gt;=2,OFFSET(EM!$B$17,ROW($A31)-ROW($A$26)+(ROW(EM!$C$46)-ROW(EM!$C$14))*(MATCH(M$22,EM!$B$6:$B$9,0)-1),MIN(M$23-EM!$B$16+1,EM!$AF$16-EM!$B$16)),0)+
IF(ROUND(M$11,0)&gt;=3,OFFSET(EM!$B$17,ROW($A31)-ROW($A$26)+(ROW(EM!$C$46)-ROW(EM!$C$14))*(MATCH(M$22,EM!$B$6:$B$9,0)-1),MIN(M$23-EM!$B$16+2,EM!$AF$16-EM!$B$16)),0)+
IF(ROUND(M$11,0)&gt;=4,OFFSET(EM!$B$17,ROW($A31)-ROW($A$26)+(ROW(EM!$C$46)-ROW(EM!$C$14))*(MATCH(M$22,EM!$B$6:$B$9,0)-1),MIN(M$23-EM!$B$16+3,EM!$AF$16-EM!$B$16)),0)+
IF(ROUND(M$11,0)&gt;=5,OFFSET(EM!$B$17,ROW($A31)-ROW($A$26)+(ROW(EM!$C$46)-ROW(EM!$C$14))*(MATCH(M$22,EM!$B$6:$B$9,0)-1),MIN(M$23-EM!$B$16+4,EM!$AF$16-EM!$B$16)),0)+
IF(ROUND(M$11,0)&gt;=6,OFFSET(EM!$B$17,ROW($A31)-ROW($A$26)+(ROW(EM!$C$46)-ROW(EM!$C$14))*(MATCH(M$22,EM!$B$6:$B$9,0)-1),MIN(M$23-EM!$B$16+5,EM!$AF$16-EM!$B$16)),0)+
IF(ROUND(M$11,0)&gt;=7,OFFSET(EM!$B$17,ROW($A31)-ROW($A$26)+(ROW(EM!$C$46)-ROW(EM!$C$14))*(MATCH(M$22,EM!$B$6:$B$9,0)-1),MIN(M$23-EM!$B$16+6,EM!$AF$16-EM!$B$16)),0)+
IF(ROUND(M$11,0)&gt;=8,OFFSET(EM!$B$17,ROW($A31)-ROW($A$26)+(ROW(EM!$C$46)-ROW(EM!$C$14))*(MATCH(M$22,EM!$B$6:$B$9,0)-1),MIN(M$23-EM!$B$16+7,EM!$AF$16-EM!$B$16)),0)+
IF(ROUND(M$11,0)&gt;=9,OFFSET(EM!$B$17,ROW($A31)-ROW($A$26)+(ROW(EM!$C$46)-ROW(EM!$C$14))*(MATCH(M$22,EM!$B$6:$B$9,0)-1),MIN(M$23-EM!$B$16+8,EM!$AF$16-EM!$B$16)),0)+
IF(ROUND(M$11,0)&gt;=10,OFFSET(EM!$B$17,ROW($A31)-ROW($A$26)+(ROW(EM!$C$46)-ROW(EM!$C$14))*(MATCH(M$22,EM!$B$6:$B$9,0)-1),MIN(M$23-EM!$B$16+9,EM!$AF$16-EM!$B$16)),0)+
IF(ROUND(M$11,0)&gt;=11,OFFSET(EM!$B$17,ROW($A31)-ROW($A$26)+(ROW(EM!$C$46)-ROW(EM!$C$14))*(MATCH(M$22,EM!$B$6:$B$9,0)-1),MIN(M$23-EM!$B$16+10,EM!$AF$16-EM!$B$16)),0)+
IF(ROUND(M$11,0)&gt;=12,OFFSET(EM!$B$17,ROW($A31)-ROW($A$26)+(ROW(EM!$C$46)-ROW(EM!$C$14))*(MATCH(M$22,EM!$B$6:$B$9,0)-1),MIN(M$23-EM!$B$16+11,EM!$AF$16-EM!$B$16)),0)+
IF(ROUND(M$11,0)&gt;=13,OFFSET(EM!$B$17,ROW($A31)-ROW($A$26)+(ROW(EM!$C$46)-ROW(EM!$C$14))*(MATCH(M$22,EM!$B$6:$B$9,0)-1),MIN(M$23-EM!$B$16+12,EM!$AF$16-EM!$B$16)),0)+
IF(ROUND(M$11,0)&gt;=14,OFFSET(EM!$B$17,ROW($A31)-ROW($A$26)+(ROW(EM!$C$46)-ROW(EM!$C$14))*(MATCH(M$22,EM!$B$6:$B$9,0)-1),MIN(M$23-EM!$B$16+13,EM!$AF$16-EM!$B$16)),0)+
IF(ROUND(M$11,0)&gt;=15,OFFSET(EM!$B$17,ROW($A31)-ROW($A$26)+(ROW(EM!$C$46)-ROW(EM!$C$14))*(MATCH(M$22,EM!$B$6:$B$9,0)-1),MIN(M$23-EM!$B$16+14,EM!$AF$16-EM!$B$16)),0)+
IF(ROUND(M$11,0)&gt;=16,OFFSET(EM!$B$17,ROW($A31)-ROW($A$26)+(ROW(EM!$C$46)-ROW(EM!$C$14))*(MATCH(M$22,EM!$B$6:$B$9,0)-1),MIN(M$23-EM!$B$16+15,EM!$AF$16-EM!$B$16)),0)+
IF(ROUND(M$11,0)&gt;=17,OFFSET(EM!$B$17,ROW($A31)-ROW($A$26)+(ROW(EM!$C$46)-ROW(EM!$C$14))*(MATCH(M$22,EM!$B$6:$B$9,0)-1),MIN(M$23-EM!$B$16+16,EM!$AF$16-EM!$B$16)),0)+
IF(ROUND(M$11,0)&gt;=18,OFFSET(EM!$B$17,ROW($A31)-ROW($A$26)+(ROW(EM!$C$46)-ROW(EM!$C$14))*(MATCH(M$22,EM!$B$6:$B$9,0)-1),MIN(M$23-EM!$B$16+17,EM!$AF$16-EM!$B$16)),0)+
IF(ROUND(M$11,0)&gt;=19,OFFSET(EM!$B$17,ROW($A31)-ROW($A$26)+(ROW(EM!$C$46)-ROW(EM!$C$14))*(MATCH(M$22,EM!$B$6:$B$9,0)-1),MIN(M$23-EM!$B$16+18,EM!$AF$16-EM!$B$16)),0)+
IF(ROUND(M$11,0)&gt;=20,OFFSET(EM!$B$17,ROW($A31)-ROW($A$26)+(ROW(EM!$C$46)-ROW(EM!$C$14))*(MATCH(M$22,EM!$B$6:$B$9,0)-1),MIN(M$23-EM!$B$16+19,EM!$AF$16-EM!$B$16)),0)+
IF(ROUND(M$11,0)&gt;=21,OFFSET(EM!$B$17,ROW($A31)-ROW($A$26)+(ROW(EM!$C$46)-ROW(EM!$C$14))*(MATCH(M$22,EM!$B$6:$B$9,0)-1),MIN(M$23-EM!$B$16+20,EM!$AF$16-EM!$B$16)),0)+
IF(ROUND(M$11,0)&gt;=22,OFFSET(EM!$B$17,ROW($A31)-ROW($A$26)+(ROW(EM!$C$46)-ROW(EM!$C$14))*(MATCH(M$22,EM!$B$6:$B$9,0)-1),MIN(M$23-EM!$B$16+21,EM!$AF$16-EM!$B$16)),0)+
IF(ROUND(M$11,0)&gt;=23,OFFSET(EM!$B$17,ROW($A31)-ROW($A$26)+(ROW(EM!$C$46)-ROW(EM!$C$14))*(MATCH(M$22,EM!$B$6:$B$9,0)-1),MIN(M$23-EM!$B$16+22,EM!$AF$16-EM!$B$16)),0)+
IF(ROUND(M$11,0)&gt;=24,OFFSET(EM!$B$17,ROW($A31)-ROW($A$26)+(ROW(EM!$C$46)-ROW(EM!$C$14))*(MATCH(M$22,EM!$B$6:$B$9,0)-1),MIN(M$23-EM!$B$16+23,EM!$AF$16-EM!$B$16)),0)+
IF(ROUND(M$11,0)&gt;=25,OFFSET(EM!$B$17,ROW($A31)-ROW($A$26)+(ROW(EM!$C$46)-ROW(EM!$C$14))*(MATCH(M$22,EM!$B$6:$B$9,0)-1),MIN(M$23-EM!$B$16+24,EM!$AF$16-EM!$B$16)),0)+
IF(ROUND(M$11,0)&gt;=26,OFFSET(EM!$B$17,ROW($A31)-ROW($A$26)+(ROW(EM!$C$46)-ROW(EM!$C$14))*(MATCH(M$22,EM!$B$6:$B$9,0)-1),MIN(M$23-EM!$B$16+25,EM!$AF$16-EM!$B$16)),0)+
IF(ROUND(M$11,0)&gt;=27,OFFSET(EM!$B$17,ROW($A31)-ROW($A$26)+(ROW(EM!$C$46)-ROW(EM!$C$14))*(MATCH(M$22,EM!$B$6:$B$9,0)-1),MIN(M$23-EM!$B$16+26,EM!$AF$16-EM!$B$16)),0)+
IF(ROUND(M$11,0)&gt;=28,OFFSET(EM!$B$17,ROW($A31)-ROW($A$26)+(ROW(EM!$C$46)-ROW(EM!$C$14))*(MATCH(M$22,EM!$B$6:$B$9,0)-1),MIN(M$23-EM!$B$16+27,EM!$AF$16-EM!$B$16)),0)+
IF(ROUND(M$11,0)&gt;=29,OFFSET(EM!$B$17,ROW($A31)-ROW($A$26)+(ROW(EM!$C$46)-ROW(EM!$C$14))*(MATCH(M$22,EM!$B$6:$B$9,0)-1),MIN(M$23-EM!$B$16+28,EM!$AF$16-EM!$B$16)),0)+
IF(ROUND(M$11,0)&gt;=30,OFFSET(EM!$B$17,ROW($A31)-ROW($A$26)+(ROW(EM!$C$46)-ROW(EM!$C$14))*(MATCH(M$22,EM!$B$6:$B$9,0)-1),MIN(M$23-EM!$B$16+29,EM!$AF$16-EM!$B$16)),0)+
IF(ROUND(M$11,0)&gt;=31,OFFSET(EM!$B$17,ROW($A31)-ROW($A$26)+(ROW(EM!$C$46)-ROW(EM!$C$14))*(MATCH(M$22,EM!$B$6:$B$9,0)-1),MIN(M$23-EM!$B$16+30,EM!$AF$16-EM!$B$16)),0)+
IF(ROUND(M$11,0)&gt;=32,OFFSET(EM!$B$17,ROW($A31)-ROW($A$26)+(ROW(EM!$C$46)-ROW(EM!$C$14))*(MATCH(M$22,EM!$B$6:$B$9,0)-1),MIN(M$23-EM!$B$16+31,EM!$AF$16-EM!$B$16)),0)+
IF(ROUND(M$11,0)&gt;=33,OFFSET(EM!$B$17,ROW($A31)-ROW($A$26)+(ROW(EM!$C$46)-ROW(EM!$C$14))*(MATCH(M$22,EM!$B$6:$B$9,0)-1),MIN(M$23-EM!$B$16+32,EM!$AF$16-EM!$B$16)),0)+
IF(ROUND(M$11,0)&gt;=34,OFFSET(EM!$B$17,ROW($A31)-ROW($A$26)+(ROW(EM!$C$46)-ROW(EM!$C$14))*(MATCH(M$22,EM!$B$6:$B$9,0)-1),MIN(M$23-EM!$B$16+33,EM!$AF$16-EM!$B$16)),0)+
IF(ROUND(M$11,0)&gt;=35,OFFSET(EM!$B$17,ROW($A31)-ROW($A$26)+(ROW(EM!$C$46)-ROW(EM!$C$14))*(MATCH(M$22,EM!$B$6:$B$9,0)-1),MIN(M$23-EM!$B$16+34,EM!$AF$16-EM!$B$16)),0)+
IF(ROUND(M$11,0)&gt;=36,OFFSET(EM!$B$17,ROW($A31)-ROW($A$26)+(ROW(EM!$C$46)-ROW(EM!$C$14))*(MATCH(M$22,EM!$B$6:$B$9,0)-1),MIN(M$23-EM!$B$16+35,EM!$AF$16-EM!$B$16)),0)+
IF(ROUND(M$11,0)&gt;=37,OFFSET(EM!$B$17,ROW($A31)-ROW($A$26)+(ROW(EM!$C$46)-ROW(EM!$C$14))*(MATCH(M$22,EM!$B$6:$B$9,0)-1),MIN(M$23-EM!$B$16+36,EM!$AF$16-EM!$B$16)),0)+
IF(ROUND(M$11,0)&gt;=38,OFFSET(EM!$B$17,ROW($A31)-ROW($A$26)+(ROW(EM!$C$46)-ROW(EM!$C$14))*(MATCH(M$22,EM!$B$6:$B$9,0)-1),MIN(M$23-EM!$B$16+37,EM!$AF$16-EM!$B$16)),0)+
IF(ROUND(M$11,0)&gt;=39,OFFSET(EM!$B$17,ROW($A31)-ROW($A$26)+(ROW(EM!$C$46)-ROW(EM!$C$14))*(MATCH(M$22,EM!$B$6:$B$9,0)-1),MIN(M$23-EM!$B$16+38,EM!$AF$16-EM!$B$16)),0)+
IF(ROUND(M$11,0)&gt;=40,OFFSET(EM!$B$17,ROW($A31)-ROW($A$26)+(ROW(EM!$C$46)-ROW(EM!$C$14))*(MATCH(M$22,EM!$B$6:$B$9,0)-1),MIN(M$23-EM!$B$16+39,EM!$AF$16-EM!$B$16)),0)
)/ROUND(M$11,0),NA()))</f>
        <v>0.34112519930607266</v>
      </c>
      <c r="N31" s="2046">
        <f ca="1">IF(N$19=GPG!$A$28,IF(ROW(N31)-ROW(N$26)+1=MATCH(N$20,GPG!$A$5:$A$11,0),1,0),
IF(N$19=GPG!$A$29,
(IF(ROUND(N$11,0)&gt;=1,OFFSET(EM!$B$17,ROW($A31)-ROW($A$26)+(ROW(EM!$C$46)-ROW(EM!$C$14))*(MATCH(N$22,EM!$B$6:$B$9,0)-1),MIN(N$23-EM!$B$16,EM!$AF$16-EM!$B$16)),0)+
IF(ROUND(N$11,0)&gt;=2,OFFSET(EM!$B$17,ROW($A31)-ROW($A$26)+(ROW(EM!$C$46)-ROW(EM!$C$14))*(MATCH(N$22,EM!$B$6:$B$9,0)-1),MIN(N$23-EM!$B$16+1,EM!$AF$16-EM!$B$16)),0)+
IF(ROUND(N$11,0)&gt;=3,OFFSET(EM!$B$17,ROW($A31)-ROW($A$26)+(ROW(EM!$C$46)-ROW(EM!$C$14))*(MATCH(N$22,EM!$B$6:$B$9,0)-1),MIN(N$23-EM!$B$16+2,EM!$AF$16-EM!$B$16)),0)+
IF(ROUND(N$11,0)&gt;=4,OFFSET(EM!$B$17,ROW($A31)-ROW($A$26)+(ROW(EM!$C$46)-ROW(EM!$C$14))*(MATCH(N$22,EM!$B$6:$B$9,0)-1),MIN(N$23-EM!$B$16+3,EM!$AF$16-EM!$B$16)),0)+
IF(ROUND(N$11,0)&gt;=5,OFFSET(EM!$B$17,ROW($A31)-ROW($A$26)+(ROW(EM!$C$46)-ROW(EM!$C$14))*(MATCH(N$22,EM!$B$6:$B$9,0)-1),MIN(N$23-EM!$B$16+4,EM!$AF$16-EM!$B$16)),0)+
IF(ROUND(N$11,0)&gt;=6,OFFSET(EM!$B$17,ROW($A31)-ROW($A$26)+(ROW(EM!$C$46)-ROW(EM!$C$14))*(MATCH(N$22,EM!$B$6:$B$9,0)-1),MIN(N$23-EM!$B$16+5,EM!$AF$16-EM!$B$16)),0)+
IF(ROUND(N$11,0)&gt;=7,OFFSET(EM!$B$17,ROW($A31)-ROW($A$26)+(ROW(EM!$C$46)-ROW(EM!$C$14))*(MATCH(N$22,EM!$B$6:$B$9,0)-1),MIN(N$23-EM!$B$16+6,EM!$AF$16-EM!$B$16)),0)+
IF(ROUND(N$11,0)&gt;=8,OFFSET(EM!$B$17,ROW($A31)-ROW($A$26)+(ROW(EM!$C$46)-ROW(EM!$C$14))*(MATCH(N$22,EM!$B$6:$B$9,0)-1),MIN(N$23-EM!$B$16+7,EM!$AF$16-EM!$B$16)),0)+
IF(ROUND(N$11,0)&gt;=9,OFFSET(EM!$B$17,ROW($A31)-ROW($A$26)+(ROW(EM!$C$46)-ROW(EM!$C$14))*(MATCH(N$22,EM!$B$6:$B$9,0)-1),MIN(N$23-EM!$B$16+8,EM!$AF$16-EM!$B$16)),0)+
IF(ROUND(N$11,0)&gt;=10,OFFSET(EM!$B$17,ROW($A31)-ROW($A$26)+(ROW(EM!$C$46)-ROW(EM!$C$14))*(MATCH(N$22,EM!$B$6:$B$9,0)-1),MIN(N$23-EM!$B$16+9,EM!$AF$16-EM!$B$16)),0)+
IF(ROUND(N$11,0)&gt;=11,OFFSET(EM!$B$17,ROW($A31)-ROW($A$26)+(ROW(EM!$C$46)-ROW(EM!$C$14))*(MATCH(N$22,EM!$B$6:$B$9,0)-1),MIN(N$23-EM!$B$16+10,EM!$AF$16-EM!$B$16)),0)+
IF(ROUND(N$11,0)&gt;=12,OFFSET(EM!$B$17,ROW($A31)-ROW($A$26)+(ROW(EM!$C$46)-ROW(EM!$C$14))*(MATCH(N$22,EM!$B$6:$B$9,0)-1),MIN(N$23-EM!$B$16+11,EM!$AF$16-EM!$B$16)),0)+
IF(ROUND(N$11,0)&gt;=13,OFFSET(EM!$B$17,ROW($A31)-ROW($A$26)+(ROW(EM!$C$46)-ROW(EM!$C$14))*(MATCH(N$22,EM!$B$6:$B$9,0)-1),MIN(N$23-EM!$B$16+12,EM!$AF$16-EM!$B$16)),0)+
IF(ROUND(N$11,0)&gt;=14,OFFSET(EM!$B$17,ROW($A31)-ROW($A$26)+(ROW(EM!$C$46)-ROW(EM!$C$14))*(MATCH(N$22,EM!$B$6:$B$9,0)-1),MIN(N$23-EM!$B$16+13,EM!$AF$16-EM!$B$16)),0)+
IF(ROUND(N$11,0)&gt;=15,OFFSET(EM!$B$17,ROW($A31)-ROW($A$26)+(ROW(EM!$C$46)-ROW(EM!$C$14))*(MATCH(N$22,EM!$B$6:$B$9,0)-1),MIN(N$23-EM!$B$16+14,EM!$AF$16-EM!$B$16)),0)+
IF(ROUND(N$11,0)&gt;=16,OFFSET(EM!$B$17,ROW($A31)-ROW($A$26)+(ROW(EM!$C$46)-ROW(EM!$C$14))*(MATCH(N$22,EM!$B$6:$B$9,0)-1),MIN(N$23-EM!$B$16+15,EM!$AF$16-EM!$B$16)),0)+
IF(ROUND(N$11,0)&gt;=17,OFFSET(EM!$B$17,ROW($A31)-ROW($A$26)+(ROW(EM!$C$46)-ROW(EM!$C$14))*(MATCH(N$22,EM!$B$6:$B$9,0)-1),MIN(N$23-EM!$B$16+16,EM!$AF$16-EM!$B$16)),0)+
IF(ROUND(N$11,0)&gt;=18,OFFSET(EM!$B$17,ROW($A31)-ROW($A$26)+(ROW(EM!$C$46)-ROW(EM!$C$14))*(MATCH(N$22,EM!$B$6:$B$9,0)-1),MIN(N$23-EM!$B$16+17,EM!$AF$16-EM!$B$16)),0)+
IF(ROUND(N$11,0)&gt;=19,OFFSET(EM!$B$17,ROW($A31)-ROW($A$26)+(ROW(EM!$C$46)-ROW(EM!$C$14))*(MATCH(N$22,EM!$B$6:$B$9,0)-1),MIN(N$23-EM!$B$16+18,EM!$AF$16-EM!$B$16)),0)+
IF(ROUND(N$11,0)&gt;=20,OFFSET(EM!$B$17,ROW($A31)-ROW($A$26)+(ROW(EM!$C$46)-ROW(EM!$C$14))*(MATCH(N$22,EM!$B$6:$B$9,0)-1),MIN(N$23-EM!$B$16+19,EM!$AF$16-EM!$B$16)),0)+
IF(ROUND(N$11,0)&gt;=21,OFFSET(EM!$B$17,ROW($A31)-ROW($A$26)+(ROW(EM!$C$46)-ROW(EM!$C$14))*(MATCH(N$22,EM!$B$6:$B$9,0)-1),MIN(N$23-EM!$B$16+20,EM!$AF$16-EM!$B$16)),0)+
IF(ROUND(N$11,0)&gt;=22,OFFSET(EM!$B$17,ROW($A31)-ROW($A$26)+(ROW(EM!$C$46)-ROW(EM!$C$14))*(MATCH(N$22,EM!$B$6:$B$9,0)-1),MIN(N$23-EM!$B$16+21,EM!$AF$16-EM!$B$16)),0)+
IF(ROUND(N$11,0)&gt;=23,OFFSET(EM!$B$17,ROW($A31)-ROW($A$26)+(ROW(EM!$C$46)-ROW(EM!$C$14))*(MATCH(N$22,EM!$B$6:$B$9,0)-1),MIN(N$23-EM!$B$16+22,EM!$AF$16-EM!$B$16)),0)+
IF(ROUND(N$11,0)&gt;=24,OFFSET(EM!$B$17,ROW($A31)-ROW($A$26)+(ROW(EM!$C$46)-ROW(EM!$C$14))*(MATCH(N$22,EM!$B$6:$B$9,0)-1),MIN(N$23-EM!$B$16+23,EM!$AF$16-EM!$B$16)),0)+
IF(ROUND(N$11,0)&gt;=25,OFFSET(EM!$B$17,ROW($A31)-ROW($A$26)+(ROW(EM!$C$46)-ROW(EM!$C$14))*(MATCH(N$22,EM!$B$6:$B$9,0)-1),MIN(N$23-EM!$B$16+24,EM!$AF$16-EM!$B$16)),0)+
IF(ROUND(N$11,0)&gt;=26,OFFSET(EM!$B$17,ROW($A31)-ROW($A$26)+(ROW(EM!$C$46)-ROW(EM!$C$14))*(MATCH(N$22,EM!$B$6:$B$9,0)-1),MIN(N$23-EM!$B$16+25,EM!$AF$16-EM!$B$16)),0)+
IF(ROUND(N$11,0)&gt;=27,OFFSET(EM!$B$17,ROW($A31)-ROW($A$26)+(ROW(EM!$C$46)-ROW(EM!$C$14))*(MATCH(N$22,EM!$B$6:$B$9,0)-1),MIN(N$23-EM!$B$16+26,EM!$AF$16-EM!$B$16)),0)+
IF(ROUND(N$11,0)&gt;=28,OFFSET(EM!$B$17,ROW($A31)-ROW($A$26)+(ROW(EM!$C$46)-ROW(EM!$C$14))*(MATCH(N$22,EM!$B$6:$B$9,0)-1),MIN(N$23-EM!$B$16+27,EM!$AF$16-EM!$B$16)),0)+
IF(ROUND(N$11,0)&gt;=29,OFFSET(EM!$B$17,ROW($A31)-ROW($A$26)+(ROW(EM!$C$46)-ROW(EM!$C$14))*(MATCH(N$22,EM!$B$6:$B$9,0)-1),MIN(N$23-EM!$B$16+28,EM!$AF$16-EM!$B$16)),0)+
IF(ROUND(N$11,0)&gt;=30,OFFSET(EM!$B$17,ROW($A31)-ROW($A$26)+(ROW(EM!$C$46)-ROW(EM!$C$14))*(MATCH(N$22,EM!$B$6:$B$9,0)-1),MIN(N$23-EM!$B$16+29,EM!$AF$16-EM!$B$16)),0)+
IF(ROUND(N$11,0)&gt;=31,OFFSET(EM!$B$17,ROW($A31)-ROW($A$26)+(ROW(EM!$C$46)-ROW(EM!$C$14))*(MATCH(N$22,EM!$B$6:$B$9,0)-1),MIN(N$23-EM!$B$16+30,EM!$AF$16-EM!$B$16)),0)+
IF(ROUND(N$11,0)&gt;=32,OFFSET(EM!$B$17,ROW($A31)-ROW($A$26)+(ROW(EM!$C$46)-ROW(EM!$C$14))*(MATCH(N$22,EM!$B$6:$B$9,0)-1),MIN(N$23-EM!$B$16+31,EM!$AF$16-EM!$B$16)),0)+
IF(ROUND(N$11,0)&gt;=33,OFFSET(EM!$B$17,ROW($A31)-ROW($A$26)+(ROW(EM!$C$46)-ROW(EM!$C$14))*(MATCH(N$22,EM!$B$6:$B$9,0)-1),MIN(N$23-EM!$B$16+32,EM!$AF$16-EM!$B$16)),0)+
IF(ROUND(N$11,0)&gt;=34,OFFSET(EM!$B$17,ROW($A31)-ROW($A$26)+(ROW(EM!$C$46)-ROW(EM!$C$14))*(MATCH(N$22,EM!$B$6:$B$9,0)-1),MIN(N$23-EM!$B$16+33,EM!$AF$16-EM!$B$16)),0)+
IF(ROUND(N$11,0)&gt;=35,OFFSET(EM!$B$17,ROW($A31)-ROW($A$26)+(ROW(EM!$C$46)-ROW(EM!$C$14))*(MATCH(N$22,EM!$B$6:$B$9,0)-1),MIN(N$23-EM!$B$16+34,EM!$AF$16-EM!$B$16)),0)+
IF(ROUND(N$11,0)&gt;=36,OFFSET(EM!$B$17,ROW($A31)-ROW($A$26)+(ROW(EM!$C$46)-ROW(EM!$C$14))*(MATCH(N$22,EM!$B$6:$B$9,0)-1),MIN(N$23-EM!$B$16+35,EM!$AF$16-EM!$B$16)),0)+
IF(ROUND(N$11,0)&gt;=37,OFFSET(EM!$B$17,ROW($A31)-ROW($A$26)+(ROW(EM!$C$46)-ROW(EM!$C$14))*(MATCH(N$22,EM!$B$6:$B$9,0)-1),MIN(N$23-EM!$B$16+36,EM!$AF$16-EM!$B$16)),0)+
IF(ROUND(N$11,0)&gt;=38,OFFSET(EM!$B$17,ROW($A31)-ROW($A$26)+(ROW(EM!$C$46)-ROW(EM!$C$14))*(MATCH(N$22,EM!$B$6:$B$9,0)-1),MIN(N$23-EM!$B$16+37,EM!$AF$16-EM!$B$16)),0)+
IF(ROUND(N$11,0)&gt;=39,OFFSET(EM!$B$17,ROW($A31)-ROW($A$26)+(ROW(EM!$C$46)-ROW(EM!$C$14))*(MATCH(N$22,EM!$B$6:$B$9,0)-1),MIN(N$23-EM!$B$16+38,EM!$AF$16-EM!$B$16)),0)+
IF(ROUND(N$11,0)&gt;=40,OFFSET(EM!$B$17,ROW($A31)-ROW($A$26)+(ROW(EM!$C$46)-ROW(EM!$C$14))*(MATCH(N$22,EM!$B$6:$B$9,0)-1),MIN(N$23-EM!$B$16+39,EM!$AF$16-EM!$B$16)),0)
)/ROUND(N$11,0),NA()))</f>
        <v>0.34112519930607266</v>
      </c>
      <c r="O31" s="2046">
        <f ca="1">IF(O$19=GPG!$A$28,IF(ROW(O31)-ROW(O$26)+1=MATCH(O$20,GPG!$A$5:$A$11,0),1,0),
IF(O$19=GPG!$A$29,
(IF(ROUND(O$11,0)&gt;=1,OFFSET(EM!$B$17,ROW($A31)-ROW($A$26)+(ROW(EM!$C$46)-ROW(EM!$C$14))*(MATCH(O$22,EM!$B$6:$B$9,0)-1),MIN(O$23-EM!$B$16,EM!$AF$16-EM!$B$16)),0)+
IF(ROUND(O$11,0)&gt;=2,OFFSET(EM!$B$17,ROW($A31)-ROW($A$26)+(ROW(EM!$C$46)-ROW(EM!$C$14))*(MATCH(O$22,EM!$B$6:$B$9,0)-1),MIN(O$23-EM!$B$16+1,EM!$AF$16-EM!$B$16)),0)+
IF(ROUND(O$11,0)&gt;=3,OFFSET(EM!$B$17,ROW($A31)-ROW($A$26)+(ROW(EM!$C$46)-ROW(EM!$C$14))*(MATCH(O$22,EM!$B$6:$B$9,0)-1),MIN(O$23-EM!$B$16+2,EM!$AF$16-EM!$B$16)),0)+
IF(ROUND(O$11,0)&gt;=4,OFFSET(EM!$B$17,ROW($A31)-ROW($A$26)+(ROW(EM!$C$46)-ROW(EM!$C$14))*(MATCH(O$22,EM!$B$6:$B$9,0)-1),MIN(O$23-EM!$B$16+3,EM!$AF$16-EM!$B$16)),0)+
IF(ROUND(O$11,0)&gt;=5,OFFSET(EM!$B$17,ROW($A31)-ROW($A$26)+(ROW(EM!$C$46)-ROW(EM!$C$14))*(MATCH(O$22,EM!$B$6:$B$9,0)-1),MIN(O$23-EM!$B$16+4,EM!$AF$16-EM!$B$16)),0)+
IF(ROUND(O$11,0)&gt;=6,OFFSET(EM!$B$17,ROW($A31)-ROW($A$26)+(ROW(EM!$C$46)-ROW(EM!$C$14))*(MATCH(O$22,EM!$B$6:$B$9,0)-1),MIN(O$23-EM!$B$16+5,EM!$AF$16-EM!$B$16)),0)+
IF(ROUND(O$11,0)&gt;=7,OFFSET(EM!$B$17,ROW($A31)-ROW($A$26)+(ROW(EM!$C$46)-ROW(EM!$C$14))*(MATCH(O$22,EM!$B$6:$B$9,0)-1),MIN(O$23-EM!$B$16+6,EM!$AF$16-EM!$B$16)),0)+
IF(ROUND(O$11,0)&gt;=8,OFFSET(EM!$B$17,ROW($A31)-ROW($A$26)+(ROW(EM!$C$46)-ROW(EM!$C$14))*(MATCH(O$22,EM!$B$6:$B$9,0)-1),MIN(O$23-EM!$B$16+7,EM!$AF$16-EM!$B$16)),0)+
IF(ROUND(O$11,0)&gt;=9,OFFSET(EM!$B$17,ROW($A31)-ROW($A$26)+(ROW(EM!$C$46)-ROW(EM!$C$14))*(MATCH(O$22,EM!$B$6:$B$9,0)-1),MIN(O$23-EM!$B$16+8,EM!$AF$16-EM!$B$16)),0)+
IF(ROUND(O$11,0)&gt;=10,OFFSET(EM!$B$17,ROW($A31)-ROW($A$26)+(ROW(EM!$C$46)-ROW(EM!$C$14))*(MATCH(O$22,EM!$B$6:$B$9,0)-1),MIN(O$23-EM!$B$16+9,EM!$AF$16-EM!$B$16)),0)+
IF(ROUND(O$11,0)&gt;=11,OFFSET(EM!$B$17,ROW($A31)-ROW($A$26)+(ROW(EM!$C$46)-ROW(EM!$C$14))*(MATCH(O$22,EM!$B$6:$B$9,0)-1),MIN(O$23-EM!$B$16+10,EM!$AF$16-EM!$B$16)),0)+
IF(ROUND(O$11,0)&gt;=12,OFFSET(EM!$B$17,ROW($A31)-ROW($A$26)+(ROW(EM!$C$46)-ROW(EM!$C$14))*(MATCH(O$22,EM!$B$6:$B$9,0)-1),MIN(O$23-EM!$B$16+11,EM!$AF$16-EM!$B$16)),0)+
IF(ROUND(O$11,0)&gt;=13,OFFSET(EM!$B$17,ROW($A31)-ROW($A$26)+(ROW(EM!$C$46)-ROW(EM!$C$14))*(MATCH(O$22,EM!$B$6:$B$9,0)-1),MIN(O$23-EM!$B$16+12,EM!$AF$16-EM!$B$16)),0)+
IF(ROUND(O$11,0)&gt;=14,OFFSET(EM!$B$17,ROW($A31)-ROW($A$26)+(ROW(EM!$C$46)-ROW(EM!$C$14))*(MATCH(O$22,EM!$B$6:$B$9,0)-1),MIN(O$23-EM!$B$16+13,EM!$AF$16-EM!$B$16)),0)+
IF(ROUND(O$11,0)&gt;=15,OFFSET(EM!$B$17,ROW($A31)-ROW($A$26)+(ROW(EM!$C$46)-ROW(EM!$C$14))*(MATCH(O$22,EM!$B$6:$B$9,0)-1),MIN(O$23-EM!$B$16+14,EM!$AF$16-EM!$B$16)),0)+
IF(ROUND(O$11,0)&gt;=16,OFFSET(EM!$B$17,ROW($A31)-ROW($A$26)+(ROW(EM!$C$46)-ROW(EM!$C$14))*(MATCH(O$22,EM!$B$6:$B$9,0)-1),MIN(O$23-EM!$B$16+15,EM!$AF$16-EM!$B$16)),0)+
IF(ROUND(O$11,0)&gt;=17,OFFSET(EM!$B$17,ROW($A31)-ROW($A$26)+(ROW(EM!$C$46)-ROW(EM!$C$14))*(MATCH(O$22,EM!$B$6:$B$9,0)-1),MIN(O$23-EM!$B$16+16,EM!$AF$16-EM!$B$16)),0)+
IF(ROUND(O$11,0)&gt;=18,OFFSET(EM!$B$17,ROW($A31)-ROW($A$26)+(ROW(EM!$C$46)-ROW(EM!$C$14))*(MATCH(O$22,EM!$B$6:$B$9,0)-1),MIN(O$23-EM!$B$16+17,EM!$AF$16-EM!$B$16)),0)+
IF(ROUND(O$11,0)&gt;=19,OFFSET(EM!$B$17,ROW($A31)-ROW($A$26)+(ROW(EM!$C$46)-ROW(EM!$C$14))*(MATCH(O$22,EM!$B$6:$B$9,0)-1),MIN(O$23-EM!$B$16+18,EM!$AF$16-EM!$B$16)),0)+
IF(ROUND(O$11,0)&gt;=20,OFFSET(EM!$B$17,ROW($A31)-ROW($A$26)+(ROW(EM!$C$46)-ROW(EM!$C$14))*(MATCH(O$22,EM!$B$6:$B$9,0)-1),MIN(O$23-EM!$B$16+19,EM!$AF$16-EM!$B$16)),0)+
IF(ROUND(O$11,0)&gt;=21,OFFSET(EM!$B$17,ROW($A31)-ROW($A$26)+(ROW(EM!$C$46)-ROW(EM!$C$14))*(MATCH(O$22,EM!$B$6:$B$9,0)-1),MIN(O$23-EM!$B$16+20,EM!$AF$16-EM!$B$16)),0)+
IF(ROUND(O$11,0)&gt;=22,OFFSET(EM!$B$17,ROW($A31)-ROW($A$26)+(ROW(EM!$C$46)-ROW(EM!$C$14))*(MATCH(O$22,EM!$B$6:$B$9,0)-1),MIN(O$23-EM!$B$16+21,EM!$AF$16-EM!$B$16)),0)+
IF(ROUND(O$11,0)&gt;=23,OFFSET(EM!$B$17,ROW($A31)-ROW($A$26)+(ROW(EM!$C$46)-ROW(EM!$C$14))*(MATCH(O$22,EM!$B$6:$B$9,0)-1),MIN(O$23-EM!$B$16+22,EM!$AF$16-EM!$B$16)),0)+
IF(ROUND(O$11,0)&gt;=24,OFFSET(EM!$B$17,ROW($A31)-ROW($A$26)+(ROW(EM!$C$46)-ROW(EM!$C$14))*(MATCH(O$22,EM!$B$6:$B$9,0)-1),MIN(O$23-EM!$B$16+23,EM!$AF$16-EM!$B$16)),0)+
IF(ROUND(O$11,0)&gt;=25,OFFSET(EM!$B$17,ROW($A31)-ROW($A$26)+(ROW(EM!$C$46)-ROW(EM!$C$14))*(MATCH(O$22,EM!$B$6:$B$9,0)-1),MIN(O$23-EM!$B$16+24,EM!$AF$16-EM!$B$16)),0)+
IF(ROUND(O$11,0)&gt;=26,OFFSET(EM!$B$17,ROW($A31)-ROW($A$26)+(ROW(EM!$C$46)-ROW(EM!$C$14))*(MATCH(O$22,EM!$B$6:$B$9,0)-1),MIN(O$23-EM!$B$16+25,EM!$AF$16-EM!$B$16)),0)+
IF(ROUND(O$11,0)&gt;=27,OFFSET(EM!$B$17,ROW($A31)-ROW($A$26)+(ROW(EM!$C$46)-ROW(EM!$C$14))*(MATCH(O$22,EM!$B$6:$B$9,0)-1),MIN(O$23-EM!$B$16+26,EM!$AF$16-EM!$B$16)),0)+
IF(ROUND(O$11,0)&gt;=28,OFFSET(EM!$B$17,ROW($A31)-ROW($A$26)+(ROW(EM!$C$46)-ROW(EM!$C$14))*(MATCH(O$22,EM!$B$6:$B$9,0)-1),MIN(O$23-EM!$B$16+27,EM!$AF$16-EM!$B$16)),0)+
IF(ROUND(O$11,0)&gt;=29,OFFSET(EM!$B$17,ROW($A31)-ROW($A$26)+(ROW(EM!$C$46)-ROW(EM!$C$14))*(MATCH(O$22,EM!$B$6:$B$9,0)-1),MIN(O$23-EM!$B$16+28,EM!$AF$16-EM!$B$16)),0)+
IF(ROUND(O$11,0)&gt;=30,OFFSET(EM!$B$17,ROW($A31)-ROW($A$26)+(ROW(EM!$C$46)-ROW(EM!$C$14))*(MATCH(O$22,EM!$B$6:$B$9,0)-1),MIN(O$23-EM!$B$16+29,EM!$AF$16-EM!$B$16)),0)+
IF(ROUND(O$11,0)&gt;=31,OFFSET(EM!$B$17,ROW($A31)-ROW($A$26)+(ROW(EM!$C$46)-ROW(EM!$C$14))*(MATCH(O$22,EM!$B$6:$B$9,0)-1),MIN(O$23-EM!$B$16+30,EM!$AF$16-EM!$B$16)),0)+
IF(ROUND(O$11,0)&gt;=32,OFFSET(EM!$B$17,ROW($A31)-ROW($A$26)+(ROW(EM!$C$46)-ROW(EM!$C$14))*(MATCH(O$22,EM!$B$6:$B$9,0)-1),MIN(O$23-EM!$B$16+31,EM!$AF$16-EM!$B$16)),0)+
IF(ROUND(O$11,0)&gt;=33,OFFSET(EM!$B$17,ROW($A31)-ROW($A$26)+(ROW(EM!$C$46)-ROW(EM!$C$14))*(MATCH(O$22,EM!$B$6:$B$9,0)-1),MIN(O$23-EM!$B$16+32,EM!$AF$16-EM!$B$16)),0)+
IF(ROUND(O$11,0)&gt;=34,OFFSET(EM!$B$17,ROW($A31)-ROW($A$26)+(ROW(EM!$C$46)-ROW(EM!$C$14))*(MATCH(O$22,EM!$B$6:$B$9,0)-1),MIN(O$23-EM!$B$16+33,EM!$AF$16-EM!$B$16)),0)+
IF(ROUND(O$11,0)&gt;=35,OFFSET(EM!$B$17,ROW($A31)-ROW($A$26)+(ROW(EM!$C$46)-ROW(EM!$C$14))*(MATCH(O$22,EM!$B$6:$B$9,0)-1),MIN(O$23-EM!$B$16+34,EM!$AF$16-EM!$B$16)),0)+
IF(ROUND(O$11,0)&gt;=36,OFFSET(EM!$B$17,ROW($A31)-ROW($A$26)+(ROW(EM!$C$46)-ROW(EM!$C$14))*(MATCH(O$22,EM!$B$6:$B$9,0)-1),MIN(O$23-EM!$B$16+35,EM!$AF$16-EM!$B$16)),0)+
IF(ROUND(O$11,0)&gt;=37,OFFSET(EM!$B$17,ROW($A31)-ROW($A$26)+(ROW(EM!$C$46)-ROW(EM!$C$14))*(MATCH(O$22,EM!$B$6:$B$9,0)-1),MIN(O$23-EM!$B$16+36,EM!$AF$16-EM!$B$16)),0)+
IF(ROUND(O$11,0)&gt;=38,OFFSET(EM!$B$17,ROW($A31)-ROW($A$26)+(ROW(EM!$C$46)-ROW(EM!$C$14))*(MATCH(O$22,EM!$B$6:$B$9,0)-1),MIN(O$23-EM!$B$16+37,EM!$AF$16-EM!$B$16)),0)+
IF(ROUND(O$11,0)&gt;=39,OFFSET(EM!$B$17,ROW($A31)-ROW($A$26)+(ROW(EM!$C$46)-ROW(EM!$C$14))*(MATCH(O$22,EM!$B$6:$B$9,0)-1),MIN(O$23-EM!$B$16+38,EM!$AF$16-EM!$B$16)),0)+
IF(ROUND(O$11,0)&gt;=40,OFFSET(EM!$B$17,ROW($A31)-ROW($A$26)+(ROW(EM!$C$46)-ROW(EM!$C$14))*(MATCH(O$22,EM!$B$6:$B$9,0)-1),MIN(O$23-EM!$B$16+39,EM!$AF$16-EM!$B$16)),0)
)/ROUND(O$11,0),NA()))</f>
        <v>0.19126569597021811</v>
      </c>
      <c r="P31" s="2046">
        <f ca="1">IF(P$19=GPG!$A$28,IF(ROW(P31)-ROW(P$26)+1=MATCH(P$20,GPG!$A$5:$A$11,0),1,0),
IF(P$19=GPG!$A$29,
(IF(ROUND(P$11,0)&gt;=1,OFFSET(EM!$B$17,ROW($A31)-ROW($A$26)+(ROW(EM!$C$46)-ROW(EM!$C$14))*(MATCH(P$22,EM!$B$6:$B$9,0)-1),MIN(P$23-EM!$B$16,EM!$AF$16-EM!$B$16)),0)+
IF(ROUND(P$11,0)&gt;=2,OFFSET(EM!$B$17,ROW($A31)-ROW($A$26)+(ROW(EM!$C$46)-ROW(EM!$C$14))*(MATCH(P$22,EM!$B$6:$B$9,0)-1),MIN(P$23-EM!$B$16+1,EM!$AF$16-EM!$B$16)),0)+
IF(ROUND(P$11,0)&gt;=3,OFFSET(EM!$B$17,ROW($A31)-ROW($A$26)+(ROW(EM!$C$46)-ROW(EM!$C$14))*(MATCH(P$22,EM!$B$6:$B$9,0)-1),MIN(P$23-EM!$B$16+2,EM!$AF$16-EM!$B$16)),0)+
IF(ROUND(P$11,0)&gt;=4,OFFSET(EM!$B$17,ROW($A31)-ROW($A$26)+(ROW(EM!$C$46)-ROW(EM!$C$14))*(MATCH(P$22,EM!$B$6:$B$9,0)-1),MIN(P$23-EM!$B$16+3,EM!$AF$16-EM!$B$16)),0)+
IF(ROUND(P$11,0)&gt;=5,OFFSET(EM!$B$17,ROW($A31)-ROW($A$26)+(ROW(EM!$C$46)-ROW(EM!$C$14))*(MATCH(P$22,EM!$B$6:$B$9,0)-1),MIN(P$23-EM!$B$16+4,EM!$AF$16-EM!$B$16)),0)+
IF(ROUND(P$11,0)&gt;=6,OFFSET(EM!$B$17,ROW($A31)-ROW($A$26)+(ROW(EM!$C$46)-ROW(EM!$C$14))*(MATCH(P$22,EM!$B$6:$B$9,0)-1),MIN(P$23-EM!$B$16+5,EM!$AF$16-EM!$B$16)),0)+
IF(ROUND(P$11,0)&gt;=7,OFFSET(EM!$B$17,ROW($A31)-ROW($A$26)+(ROW(EM!$C$46)-ROW(EM!$C$14))*(MATCH(P$22,EM!$B$6:$B$9,0)-1),MIN(P$23-EM!$B$16+6,EM!$AF$16-EM!$B$16)),0)+
IF(ROUND(P$11,0)&gt;=8,OFFSET(EM!$B$17,ROW($A31)-ROW($A$26)+(ROW(EM!$C$46)-ROW(EM!$C$14))*(MATCH(P$22,EM!$B$6:$B$9,0)-1),MIN(P$23-EM!$B$16+7,EM!$AF$16-EM!$B$16)),0)+
IF(ROUND(P$11,0)&gt;=9,OFFSET(EM!$B$17,ROW($A31)-ROW($A$26)+(ROW(EM!$C$46)-ROW(EM!$C$14))*(MATCH(P$22,EM!$B$6:$B$9,0)-1),MIN(P$23-EM!$B$16+8,EM!$AF$16-EM!$B$16)),0)+
IF(ROUND(P$11,0)&gt;=10,OFFSET(EM!$B$17,ROW($A31)-ROW($A$26)+(ROW(EM!$C$46)-ROW(EM!$C$14))*(MATCH(P$22,EM!$B$6:$B$9,0)-1),MIN(P$23-EM!$B$16+9,EM!$AF$16-EM!$B$16)),0)+
IF(ROUND(P$11,0)&gt;=11,OFFSET(EM!$B$17,ROW($A31)-ROW($A$26)+(ROW(EM!$C$46)-ROW(EM!$C$14))*(MATCH(P$22,EM!$B$6:$B$9,0)-1),MIN(P$23-EM!$B$16+10,EM!$AF$16-EM!$B$16)),0)+
IF(ROUND(P$11,0)&gt;=12,OFFSET(EM!$B$17,ROW($A31)-ROW($A$26)+(ROW(EM!$C$46)-ROW(EM!$C$14))*(MATCH(P$22,EM!$B$6:$B$9,0)-1),MIN(P$23-EM!$B$16+11,EM!$AF$16-EM!$B$16)),0)+
IF(ROUND(P$11,0)&gt;=13,OFFSET(EM!$B$17,ROW($A31)-ROW($A$26)+(ROW(EM!$C$46)-ROW(EM!$C$14))*(MATCH(P$22,EM!$B$6:$B$9,0)-1),MIN(P$23-EM!$B$16+12,EM!$AF$16-EM!$B$16)),0)+
IF(ROUND(P$11,0)&gt;=14,OFFSET(EM!$B$17,ROW($A31)-ROW($A$26)+(ROW(EM!$C$46)-ROW(EM!$C$14))*(MATCH(P$22,EM!$B$6:$B$9,0)-1),MIN(P$23-EM!$B$16+13,EM!$AF$16-EM!$B$16)),0)+
IF(ROUND(P$11,0)&gt;=15,OFFSET(EM!$B$17,ROW($A31)-ROW($A$26)+(ROW(EM!$C$46)-ROW(EM!$C$14))*(MATCH(P$22,EM!$B$6:$B$9,0)-1),MIN(P$23-EM!$B$16+14,EM!$AF$16-EM!$B$16)),0)+
IF(ROUND(P$11,0)&gt;=16,OFFSET(EM!$B$17,ROW($A31)-ROW($A$26)+(ROW(EM!$C$46)-ROW(EM!$C$14))*(MATCH(P$22,EM!$B$6:$B$9,0)-1),MIN(P$23-EM!$B$16+15,EM!$AF$16-EM!$B$16)),0)+
IF(ROUND(P$11,0)&gt;=17,OFFSET(EM!$B$17,ROW($A31)-ROW($A$26)+(ROW(EM!$C$46)-ROW(EM!$C$14))*(MATCH(P$22,EM!$B$6:$B$9,0)-1),MIN(P$23-EM!$B$16+16,EM!$AF$16-EM!$B$16)),0)+
IF(ROUND(P$11,0)&gt;=18,OFFSET(EM!$B$17,ROW($A31)-ROW($A$26)+(ROW(EM!$C$46)-ROW(EM!$C$14))*(MATCH(P$22,EM!$B$6:$B$9,0)-1),MIN(P$23-EM!$B$16+17,EM!$AF$16-EM!$B$16)),0)+
IF(ROUND(P$11,0)&gt;=19,OFFSET(EM!$B$17,ROW($A31)-ROW($A$26)+(ROW(EM!$C$46)-ROW(EM!$C$14))*(MATCH(P$22,EM!$B$6:$B$9,0)-1),MIN(P$23-EM!$B$16+18,EM!$AF$16-EM!$B$16)),0)+
IF(ROUND(P$11,0)&gt;=20,OFFSET(EM!$B$17,ROW($A31)-ROW($A$26)+(ROW(EM!$C$46)-ROW(EM!$C$14))*(MATCH(P$22,EM!$B$6:$B$9,0)-1),MIN(P$23-EM!$B$16+19,EM!$AF$16-EM!$B$16)),0)+
IF(ROUND(P$11,0)&gt;=21,OFFSET(EM!$B$17,ROW($A31)-ROW($A$26)+(ROW(EM!$C$46)-ROW(EM!$C$14))*(MATCH(P$22,EM!$B$6:$B$9,0)-1),MIN(P$23-EM!$B$16+20,EM!$AF$16-EM!$B$16)),0)+
IF(ROUND(P$11,0)&gt;=22,OFFSET(EM!$B$17,ROW($A31)-ROW($A$26)+(ROW(EM!$C$46)-ROW(EM!$C$14))*(MATCH(P$22,EM!$B$6:$B$9,0)-1),MIN(P$23-EM!$B$16+21,EM!$AF$16-EM!$B$16)),0)+
IF(ROUND(P$11,0)&gt;=23,OFFSET(EM!$B$17,ROW($A31)-ROW($A$26)+(ROW(EM!$C$46)-ROW(EM!$C$14))*(MATCH(P$22,EM!$B$6:$B$9,0)-1),MIN(P$23-EM!$B$16+22,EM!$AF$16-EM!$B$16)),0)+
IF(ROUND(P$11,0)&gt;=24,OFFSET(EM!$B$17,ROW($A31)-ROW($A$26)+(ROW(EM!$C$46)-ROW(EM!$C$14))*(MATCH(P$22,EM!$B$6:$B$9,0)-1),MIN(P$23-EM!$B$16+23,EM!$AF$16-EM!$B$16)),0)+
IF(ROUND(P$11,0)&gt;=25,OFFSET(EM!$B$17,ROW($A31)-ROW($A$26)+(ROW(EM!$C$46)-ROW(EM!$C$14))*(MATCH(P$22,EM!$B$6:$B$9,0)-1),MIN(P$23-EM!$B$16+24,EM!$AF$16-EM!$B$16)),0)+
IF(ROUND(P$11,0)&gt;=26,OFFSET(EM!$B$17,ROW($A31)-ROW($A$26)+(ROW(EM!$C$46)-ROW(EM!$C$14))*(MATCH(P$22,EM!$B$6:$B$9,0)-1),MIN(P$23-EM!$B$16+25,EM!$AF$16-EM!$B$16)),0)+
IF(ROUND(P$11,0)&gt;=27,OFFSET(EM!$B$17,ROW($A31)-ROW($A$26)+(ROW(EM!$C$46)-ROW(EM!$C$14))*(MATCH(P$22,EM!$B$6:$B$9,0)-1),MIN(P$23-EM!$B$16+26,EM!$AF$16-EM!$B$16)),0)+
IF(ROUND(P$11,0)&gt;=28,OFFSET(EM!$B$17,ROW($A31)-ROW($A$26)+(ROW(EM!$C$46)-ROW(EM!$C$14))*(MATCH(P$22,EM!$B$6:$B$9,0)-1),MIN(P$23-EM!$B$16+27,EM!$AF$16-EM!$B$16)),0)+
IF(ROUND(P$11,0)&gt;=29,OFFSET(EM!$B$17,ROW($A31)-ROW($A$26)+(ROW(EM!$C$46)-ROW(EM!$C$14))*(MATCH(P$22,EM!$B$6:$B$9,0)-1),MIN(P$23-EM!$B$16+28,EM!$AF$16-EM!$B$16)),0)+
IF(ROUND(P$11,0)&gt;=30,OFFSET(EM!$B$17,ROW($A31)-ROW($A$26)+(ROW(EM!$C$46)-ROW(EM!$C$14))*(MATCH(P$22,EM!$B$6:$B$9,0)-1),MIN(P$23-EM!$B$16+29,EM!$AF$16-EM!$B$16)),0)+
IF(ROUND(P$11,0)&gt;=31,OFFSET(EM!$B$17,ROW($A31)-ROW($A$26)+(ROW(EM!$C$46)-ROW(EM!$C$14))*(MATCH(P$22,EM!$B$6:$B$9,0)-1),MIN(P$23-EM!$B$16+30,EM!$AF$16-EM!$B$16)),0)+
IF(ROUND(P$11,0)&gt;=32,OFFSET(EM!$B$17,ROW($A31)-ROW($A$26)+(ROW(EM!$C$46)-ROW(EM!$C$14))*(MATCH(P$22,EM!$B$6:$B$9,0)-1),MIN(P$23-EM!$B$16+31,EM!$AF$16-EM!$B$16)),0)+
IF(ROUND(P$11,0)&gt;=33,OFFSET(EM!$B$17,ROW($A31)-ROW($A$26)+(ROW(EM!$C$46)-ROW(EM!$C$14))*(MATCH(P$22,EM!$B$6:$B$9,0)-1),MIN(P$23-EM!$B$16+32,EM!$AF$16-EM!$B$16)),0)+
IF(ROUND(P$11,0)&gt;=34,OFFSET(EM!$B$17,ROW($A31)-ROW($A$26)+(ROW(EM!$C$46)-ROW(EM!$C$14))*(MATCH(P$22,EM!$B$6:$B$9,0)-1),MIN(P$23-EM!$B$16+33,EM!$AF$16-EM!$B$16)),0)+
IF(ROUND(P$11,0)&gt;=35,OFFSET(EM!$B$17,ROW($A31)-ROW($A$26)+(ROW(EM!$C$46)-ROW(EM!$C$14))*(MATCH(P$22,EM!$B$6:$B$9,0)-1),MIN(P$23-EM!$B$16+34,EM!$AF$16-EM!$B$16)),0)+
IF(ROUND(P$11,0)&gt;=36,OFFSET(EM!$B$17,ROW($A31)-ROW($A$26)+(ROW(EM!$C$46)-ROW(EM!$C$14))*(MATCH(P$22,EM!$B$6:$B$9,0)-1),MIN(P$23-EM!$B$16+35,EM!$AF$16-EM!$B$16)),0)+
IF(ROUND(P$11,0)&gt;=37,OFFSET(EM!$B$17,ROW($A31)-ROW($A$26)+(ROW(EM!$C$46)-ROW(EM!$C$14))*(MATCH(P$22,EM!$B$6:$B$9,0)-1),MIN(P$23-EM!$B$16+36,EM!$AF$16-EM!$B$16)),0)+
IF(ROUND(P$11,0)&gt;=38,OFFSET(EM!$B$17,ROW($A31)-ROW($A$26)+(ROW(EM!$C$46)-ROW(EM!$C$14))*(MATCH(P$22,EM!$B$6:$B$9,0)-1),MIN(P$23-EM!$B$16+37,EM!$AF$16-EM!$B$16)),0)+
IF(ROUND(P$11,0)&gt;=39,OFFSET(EM!$B$17,ROW($A31)-ROW($A$26)+(ROW(EM!$C$46)-ROW(EM!$C$14))*(MATCH(P$22,EM!$B$6:$B$9,0)-1),MIN(P$23-EM!$B$16+38,EM!$AF$16-EM!$B$16)),0)+
IF(ROUND(P$11,0)&gt;=40,OFFSET(EM!$B$17,ROW($A31)-ROW($A$26)+(ROW(EM!$C$46)-ROW(EM!$C$14))*(MATCH(P$22,EM!$B$6:$B$9,0)-1),MIN(P$23-EM!$B$16+39,EM!$AF$16-EM!$B$16)),0)
)/ROUND(P$11,0),NA()))</f>
        <v>0.19126569597021811</v>
      </c>
      <c r="Q31" s="2046">
        <f ca="1">IF(Q$19=GPG!$A$28,IF(ROW(Q31)-ROW(Q$26)+1=MATCH(Q$20,GPG!$A$5:$A$11,0),1,0),
IF(Q$19=GPG!$A$29,
(IF(ROUND(Q$11,0)&gt;=1,OFFSET(EM!$B$17,ROW($A31)-ROW($A$26)+(ROW(EM!$C$46)-ROW(EM!$C$14))*(MATCH(Q$22,EM!$B$6:$B$9,0)-1),MIN(Q$23-EM!$B$16,EM!$AF$16-EM!$B$16)),0)+
IF(ROUND(Q$11,0)&gt;=2,OFFSET(EM!$B$17,ROW($A31)-ROW($A$26)+(ROW(EM!$C$46)-ROW(EM!$C$14))*(MATCH(Q$22,EM!$B$6:$B$9,0)-1),MIN(Q$23-EM!$B$16+1,EM!$AF$16-EM!$B$16)),0)+
IF(ROUND(Q$11,0)&gt;=3,OFFSET(EM!$B$17,ROW($A31)-ROW($A$26)+(ROW(EM!$C$46)-ROW(EM!$C$14))*(MATCH(Q$22,EM!$B$6:$B$9,0)-1),MIN(Q$23-EM!$B$16+2,EM!$AF$16-EM!$B$16)),0)+
IF(ROUND(Q$11,0)&gt;=4,OFFSET(EM!$B$17,ROW($A31)-ROW($A$26)+(ROW(EM!$C$46)-ROW(EM!$C$14))*(MATCH(Q$22,EM!$B$6:$B$9,0)-1),MIN(Q$23-EM!$B$16+3,EM!$AF$16-EM!$B$16)),0)+
IF(ROUND(Q$11,0)&gt;=5,OFFSET(EM!$B$17,ROW($A31)-ROW($A$26)+(ROW(EM!$C$46)-ROW(EM!$C$14))*(MATCH(Q$22,EM!$B$6:$B$9,0)-1),MIN(Q$23-EM!$B$16+4,EM!$AF$16-EM!$B$16)),0)+
IF(ROUND(Q$11,0)&gt;=6,OFFSET(EM!$B$17,ROW($A31)-ROW($A$26)+(ROW(EM!$C$46)-ROW(EM!$C$14))*(MATCH(Q$22,EM!$B$6:$B$9,0)-1),MIN(Q$23-EM!$B$16+5,EM!$AF$16-EM!$B$16)),0)+
IF(ROUND(Q$11,0)&gt;=7,OFFSET(EM!$B$17,ROW($A31)-ROW($A$26)+(ROW(EM!$C$46)-ROW(EM!$C$14))*(MATCH(Q$22,EM!$B$6:$B$9,0)-1),MIN(Q$23-EM!$B$16+6,EM!$AF$16-EM!$B$16)),0)+
IF(ROUND(Q$11,0)&gt;=8,OFFSET(EM!$B$17,ROW($A31)-ROW($A$26)+(ROW(EM!$C$46)-ROW(EM!$C$14))*(MATCH(Q$22,EM!$B$6:$B$9,0)-1),MIN(Q$23-EM!$B$16+7,EM!$AF$16-EM!$B$16)),0)+
IF(ROUND(Q$11,0)&gt;=9,OFFSET(EM!$B$17,ROW($A31)-ROW($A$26)+(ROW(EM!$C$46)-ROW(EM!$C$14))*(MATCH(Q$22,EM!$B$6:$B$9,0)-1),MIN(Q$23-EM!$B$16+8,EM!$AF$16-EM!$B$16)),0)+
IF(ROUND(Q$11,0)&gt;=10,OFFSET(EM!$B$17,ROW($A31)-ROW($A$26)+(ROW(EM!$C$46)-ROW(EM!$C$14))*(MATCH(Q$22,EM!$B$6:$B$9,0)-1),MIN(Q$23-EM!$B$16+9,EM!$AF$16-EM!$B$16)),0)+
IF(ROUND(Q$11,0)&gt;=11,OFFSET(EM!$B$17,ROW($A31)-ROW($A$26)+(ROW(EM!$C$46)-ROW(EM!$C$14))*(MATCH(Q$22,EM!$B$6:$B$9,0)-1),MIN(Q$23-EM!$B$16+10,EM!$AF$16-EM!$B$16)),0)+
IF(ROUND(Q$11,0)&gt;=12,OFFSET(EM!$B$17,ROW($A31)-ROW($A$26)+(ROW(EM!$C$46)-ROW(EM!$C$14))*(MATCH(Q$22,EM!$B$6:$B$9,0)-1),MIN(Q$23-EM!$B$16+11,EM!$AF$16-EM!$B$16)),0)+
IF(ROUND(Q$11,0)&gt;=13,OFFSET(EM!$B$17,ROW($A31)-ROW($A$26)+(ROW(EM!$C$46)-ROW(EM!$C$14))*(MATCH(Q$22,EM!$B$6:$B$9,0)-1),MIN(Q$23-EM!$B$16+12,EM!$AF$16-EM!$B$16)),0)+
IF(ROUND(Q$11,0)&gt;=14,OFFSET(EM!$B$17,ROW($A31)-ROW($A$26)+(ROW(EM!$C$46)-ROW(EM!$C$14))*(MATCH(Q$22,EM!$B$6:$B$9,0)-1),MIN(Q$23-EM!$B$16+13,EM!$AF$16-EM!$B$16)),0)+
IF(ROUND(Q$11,0)&gt;=15,OFFSET(EM!$B$17,ROW($A31)-ROW($A$26)+(ROW(EM!$C$46)-ROW(EM!$C$14))*(MATCH(Q$22,EM!$B$6:$B$9,0)-1),MIN(Q$23-EM!$B$16+14,EM!$AF$16-EM!$B$16)),0)+
IF(ROUND(Q$11,0)&gt;=16,OFFSET(EM!$B$17,ROW($A31)-ROW($A$26)+(ROW(EM!$C$46)-ROW(EM!$C$14))*(MATCH(Q$22,EM!$B$6:$B$9,0)-1),MIN(Q$23-EM!$B$16+15,EM!$AF$16-EM!$B$16)),0)+
IF(ROUND(Q$11,0)&gt;=17,OFFSET(EM!$B$17,ROW($A31)-ROW($A$26)+(ROW(EM!$C$46)-ROW(EM!$C$14))*(MATCH(Q$22,EM!$B$6:$B$9,0)-1),MIN(Q$23-EM!$B$16+16,EM!$AF$16-EM!$B$16)),0)+
IF(ROUND(Q$11,0)&gt;=18,OFFSET(EM!$B$17,ROW($A31)-ROW($A$26)+(ROW(EM!$C$46)-ROW(EM!$C$14))*(MATCH(Q$22,EM!$B$6:$B$9,0)-1),MIN(Q$23-EM!$B$16+17,EM!$AF$16-EM!$B$16)),0)+
IF(ROUND(Q$11,0)&gt;=19,OFFSET(EM!$B$17,ROW($A31)-ROW($A$26)+(ROW(EM!$C$46)-ROW(EM!$C$14))*(MATCH(Q$22,EM!$B$6:$B$9,0)-1),MIN(Q$23-EM!$B$16+18,EM!$AF$16-EM!$B$16)),0)+
IF(ROUND(Q$11,0)&gt;=20,OFFSET(EM!$B$17,ROW($A31)-ROW($A$26)+(ROW(EM!$C$46)-ROW(EM!$C$14))*(MATCH(Q$22,EM!$B$6:$B$9,0)-1),MIN(Q$23-EM!$B$16+19,EM!$AF$16-EM!$B$16)),0)+
IF(ROUND(Q$11,0)&gt;=21,OFFSET(EM!$B$17,ROW($A31)-ROW($A$26)+(ROW(EM!$C$46)-ROW(EM!$C$14))*(MATCH(Q$22,EM!$B$6:$B$9,0)-1),MIN(Q$23-EM!$B$16+20,EM!$AF$16-EM!$B$16)),0)+
IF(ROUND(Q$11,0)&gt;=22,OFFSET(EM!$B$17,ROW($A31)-ROW($A$26)+(ROW(EM!$C$46)-ROW(EM!$C$14))*(MATCH(Q$22,EM!$B$6:$B$9,0)-1),MIN(Q$23-EM!$B$16+21,EM!$AF$16-EM!$B$16)),0)+
IF(ROUND(Q$11,0)&gt;=23,OFFSET(EM!$B$17,ROW($A31)-ROW($A$26)+(ROW(EM!$C$46)-ROW(EM!$C$14))*(MATCH(Q$22,EM!$B$6:$B$9,0)-1),MIN(Q$23-EM!$B$16+22,EM!$AF$16-EM!$B$16)),0)+
IF(ROUND(Q$11,0)&gt;=24,OFFSET(EM!$B$17,ROW($A31)-ROW($A$26)+(ROW(EM!$C$46)-ROW(EM!$C$14))*(MATCH(Q$22,EM!$B$6:$B$9,0)-1),MIN(Q$23-EM!$B$16+23,EM!$AF$16-EM!$B$16)),0)+
IF(ROUND(Q$11,0)&gt;=25,OFFSET(EM!$B$17,ROW($A31)-ROW($A$26)+(ROW(EM!$C$46)-ROW(EM!$C$14))*(MATCH(Q$22,EM!$B$6:$B$9,0)-1),MIN(Q$23-EM!$B$16+24,EM!$AF$16-EM!$B$16)),0)+
IF(ROUND(Q$11,0)&gt;=26,OFFSET(EM!$B$17,ROW($A31)-ROW($A$26)+(ROW(EM!$C$46)-ROW(EM!$C$14))*(MATCH(Q$22,EM!$B$6:$B$9,0)-1),MIN(Q$23-EM!$B$16+25,EM!$AF$16-EM!$B$16)),0)+
IF(ROUND(Q$11,0)&gt;=27,OFFSET(EM!$B$17,ROW($A31)-ROW($A$26)+(ROW(EM!$C$46)-ROW(EM!$C$14))*(MATCH(Q$22,EM!$B$6:$B$9,0)-1),MIN(Q$23-EM!$B$16+26,EM!$AF$16-EM!$B$16)),0)+
IF(ROUND(Q$11,0)&gt;=28,OFFSET(EM!$B$17,ROW($A31)-ROW($A$26)+(ROW(EM!$C$46)-ROW(EM!$C$14))*(MATCH(Q$22,EM!$B$6:$B$9,0)-1),MIN(Q$23-EM!$B$16+27,EM!$AF$16-EM!$B$16)),0)+
IF(ROUND(Q$11,0)&gt;=29,OFFSET(EM!$B$17,ROW($A31)-ROW($A$26)+(ROW(EM!$C$46)-ROW(EM!$C$14))*(MATCH(Q$22,EM!$B$6:$B$9,0)-1),MIN(Q$23-EM!$B$16+28,EM!$AF$16-EM!$B$16)),0)+
IF(ROUND(Q$11,0)&gt;=30,OFFSET(EM!$B$17,ROW($A31)-ROW($A$26)+(ROW(EM!$C$46)-ROW(EM!$C$14))*(MATCH(Q$22,EM!$B$6:$B$9,0)-1),MIN(Q$23-EM!$B$16+29,EM!$AF$16-EM!$B$16)),0)+
IF(ROUND(Q$11,0)&gt;=31,OFFSET(EM!$B$17,ROW($A31)-ROW($A$26)+(ROW(EM!$C$46)-ROW(EM!$C$14))*(MATCH(Q$22,EM!$B$6:$B$9,0)-1),MIN(Q$23-EM!$B$16+30,EM!$AF$16-EM!$B$16)),0)+
IF(ROUND(Q$11,0)&gt;=32,OFFSET(EM!$B$17,ROW($A31)-ROW($A$26)+(ROW(EM!$C$46)-ROW(EM!$C$14))*(MATCH(Q$22,EM!$B$6:$B$9,0)-1),MIN(Q$23-EM!$B$16+31,EM!$AF$16-EM!$B$16)),0)+
IF(ROUND(Q$11,0)&gt;=33,OFFSET(EM!$B$17,ROW($A31)-ROW($A$26)+(ROW(EM!$C$46)-ROW(EM!$C$14))*(MATCH(Q$22,EM!$B$6:$B$9,0)-1),MIN(Q$23-EM!$B$16+32,EM!$AF$16-EM!$B$16)),0)+
IF(ROUND(Q$11,0)&gt;=34,OFFSET(EM!$B$17,ROW($A31)-ROW($A$26)+(ROW(EM!$C$46)-ROW(EM!$C$14))*(MATCH(Q$22,EM!$B$6:$B$9,0)-1),MIN(Q$23-EM!$B$16+33,EM!$AF$16-EM!$B$16)),0)+
IF(ROUND(Q$11,0)&gt;=35,OFFSET(EM!$B$17,ROW($A31)-ROW($A$26)+(ROW(EM!$C$46)-ROW(EM!$C$14))*(MATCH(Q$22,EM!$B$6:$B$9,0)-1),MIN(Q$23-EM!$B$16+34,EM!$AF$16-EM!$B$16)),0)+
IF(ROUND(Q$11,0)&gt;=36,OFFSET(EM!$B$17,ROW($A31)-ROW($A$26)+(ROW(EM!$C$46)-ROW(EM!$C$14))*(MATCH(Q$22,EM!$B$6:$B$9,0)-1),MIN(Q$23-EM!$B$16+35,EM!$AF$16-EM!$B$16)),0)+
IF(ROUND(Q$11,0)&gt;=37,OFFSET(EM!$B$17,ROW($A31)-ROW($A$26)+(ROW(EM!$C$46)-ROW(EM!$C$14))*(MATCH(Q$22,EM!$B$6:$B$9,0)-1),MIN(Q$23-EM!$B$16+36,EM!$AF$16-EM!$B$16)),0)+
IF(ROUND(Q$11,0)&gt;=38,OFFSET(EM!$B$17,ROW($A31)-ROW($A$26)+(ROW(EM!$C$46)-ROW(EM!$C$14))*(MATCH(Q$22,EM!$B$6:$B$9,0)-1),MIN(Q$23-EM!$B$16+37,EM!$AF$16-EM!$B$16)),0)+
IF(ROUND(Q$11,0)&gt;=39,OFFSET(EM!$B$17,ROW($A31)-ROW($A$26)+(ROW(EM!$C$46)-ROW(EM!$C$14))*(MATCH(Q$22,EM!$B$6:$B$9,0)-1),MIN(Q$23-EM!$B$16+38,EM!$AF$16-EM!$B$16)),0)+
IF(ROUND(Q$11,0)&gt;=40,OFFSET(EM!$B$17,ROW($A31)-ROW($A$26)+(ROW(EM!$C$46)-ROW(EM!$C$14))*(MATCH(Q$22,EM!$B$6:$B$9,0)-1),MIN(Q$23-EM!$B$16+39,EM!$AF$16-EM!$B$16)),0)
)/ROUND(Q$11,0),NA()))</f>
        <v>0.19126569597021811</v>
      </c>
      <c r="R31" s="2046">
        <f ca="1">IF(R$19=GPG!$A$28,IF(ROW(R31)-ROW(R$26)+1=MATCH(R$20,GPG!$A$5:$A$11,0),1,0),
IF(R$19=GPG!$A$29,
(IF(ROUND(R$11,0)&gt;=1,OFFSET(EM!$B$17,ROW($A31)-ROW($A$26)+(ROW(EM!$C$46)-ROW(EM!$C$14))*(MATCH(R$22,EM!$B$6:$B$9,0)-1),MIN(R$23-EM!$B$16,EM!$AF$16-EM!$B$16)),0)+
IF(ROUND(R$11,0)&gt;=2,OFFSET(EM!$B$17,ROW($A31)-ROW($A$26)+(ROW(EM!$C$46)-ROW(EM!$C$14))*(MATCH(R$22,EM!$B$6:$B$9,0)-1),MIN(R$23-EM!$B$16+1,EM!$AF$16-EM!$B$16)),0)+
IF(ROUND(R$11,0)&gt;=3,OFFSET(EM!$B$17,ROW($A31)-ROW($A$26)+(ROW(EM!$C$46)-ROW(EM!$C$14))*(MATCH(R$22,EM!$B$6:$B$9,0)-1),MIN(R$23-EM!$B$16+2,EM!$AF$16-EM!$B$16)),0)+
IF(ROUND(R$11,0)&gt;=4,OFFSET(EM!$B$17,ROW($A31)-ROW($A$26)+(ROW(EM!$C$46)-ROW(EM!$C$14))*(MATCH(R$22,EM!$B$6:$B$9,0)-1),MIN(R$23-EM!$B$16+3,EM!$AF$16-EM!$B$16)),0)+
IF(ROUND(R$11,0)&gt;=5,OFFSET(EM!$B$17,ROW($A31)-ROW($A$26)+(ROW(EM!$C$46)-ROW(EM!$C$14))*(MATCH(R$22,EM!$B$6:$B$9,0)-1),MIN(R$23-EM!$B$16+4,EM!$AF$16-EM!$B$16)),0)+
IF(ROUND(R$11,0)&gt;=6,OFFSET(EM!$B$17,ROW($A31)-ROW($A$26)+(ROW(EM!$C$46)-ROW(EM!$C$14))*(MATCH(R$22,EM!$B$6:$B$9,0)-1),MIN(R$23-EM!$B$16+5,EM!$AF$16-EM!$B$16)),0)+
IF(ROUND(R$11,0)&gt;=7,OFFSET(EM!$B$17,ROW($A31)-ROW($A$26)+(ROW(EM!$C$46)-ROW(EM!$C$14))*(MATCH(R$22,EM!$B$6:$B$9,0)-1),MIN(R$23-EM!$B$16+6,EM!$AF$16-EM!$B$16)),0)+
IF(ROUND(R$11,0)&gt;=8,OFFSET(EM!$B$17,ROW($A31)-ROW($A$26)+(ROW(EM!$C$46)-ROW(EM!$C$14))*(MATCH(R$22,EM!$B$6:$B$9,0)-1),MIN(R$23-EM!$B$16+7,EM!$AF$16-EM!$B$16)),0)+
IF(ROUND(R$11,0)&gt;=9,OFFSET(EM!$B$17,ROW($A31)-ROW($A$26)+(ROW(EM!$C$46)-ROW(EM!$C$14))*(MATCH(R$22,EM!$B$6:$B$9,0)-1),MIN(R$23-EM!$B$16+8,EM!$AF$16-EM!$B$16)),0)+
IF(ROUND(R$11,0)&gt;=10,OFFSET(EM!$B$17,ROW($A31)-ROW($A$26)+(ROW(EM!$C$46)-ROW(EM!$C$14))*(MATCH(R$22,EM!$B$6:$B$9,0)-1),MIN(R$23-EM!$B$16+9,EM!$AF$16-EM!$B$16)),0)+
IF(ROUND(R$11,0)&gt;=11,OFFSET(EM!$B$17,ROW($A31)-ROW($A$26)+(ROW(EM!$C$46)-ROW(EM!$C$14))*(MATCH(R$22,EM!$B$6:$B$9,0)-1),MIN(R$23-EM!$B$16+10,EM!$AF$16-EM!$B$16)),0)+
IF(ROUND(R$11,0)&gt;=12,OFFSET(EM!$B$17,ROW($A31)-ROW($A$26)+(ROW(EM!$C$46)-ROW(EM!$C$14))*(MATCH(R$22,EM!$B$6:$B$9,0)-1),MIN(R$23-EM!$B$16+11,EM!$AF$16-EM!$B$16)),0)+
IF(ROUND(R$11,0)&gt;=13,OFFSET(EM!$B$17,ROW($A31)-ROW($A$26)+(ROW(EM!$C$46)-ROW(EM!$C$14))*(MATCH(R$22,EM!$B$6:$B$9,0)-1),MIN(R$23-EM!$B$16+12,EM!$AF$16-EM!$B$16)),0)+
IF(ROUND(R$11,0)&gt;=14,OFFSET(EM!$B$17,ROW($A31)-ROW($A$26)+(ROW(EM!$C$46)-ROW(EM!$C$14))*(MATCH(R$22,EM!$B$6:$B$9,0)-1),MIN(R$23-EM!$B$16+13,EM!$AF$16-EM!$B$16)),0)+
IF(ROUND(R$11,0)&gt;=15,OFFSET(EM!$B$17,ROW($A31)-ROW($A$26)+(ROW(EM!$C$46)-ROW(EM!$C$14))*(MATCH(R$22,EM!$B$6:$B$9,0)-1),MIN(R$23-EM!$B$16+14,EM!$AF$16-EM!$B$16)),0)+
IF(ROUND(R$11,0)&gt;=16,OFFSET(EM!$B$17,ROW($A31)-ROW($A$26)+(ROW(EM!$C$46)-ROW(EM!$C$14))*(MATCH(R$22,EM!$B$6:$B$9,0)-1),MIN(R$23-EM!$B$16+15,EM!$AF$16-EM!$B$16)),0)+
IF(ROUND(R$11,0)&gt;=17,OFFSET(EM!$B$17,ROW($A31)-ROW($A$26)+(ROW(EM!$C$46)-ROW(EM!$C$14))*(MATCH(R$22,EM!$B$6:$B$9,0)-1),MIN(R$23-EM!$B$16+16,EM!$AF$16-EM!$B$16)),0)+
IF(ROUND(R$11,0)&gt;=18,OFFSET(EM!$B$17,ROW($A31)-ROW($A$26)+(ROW(EM!$C$46)-ROW(EM!$C$14))*(MATCH(R$22,EM!$B$6:$B$9,0)-1),MIN(R$23-EM!$B$16+17,EM!$AF$16-EM!$B$16)),0)+
IF(ROUND(R$11,0)&gt;=19,OFFSET(EM!$B$17,ROW($A31)-ROW($A$26)+(ROW(EM!$C$46)-ROW(EM!$C$14))*(MATCH(R$22,EM!$B$6:$B$9,0)-1),MIN(R$23-EM!$B$16+18,EM!$AF$16-EM!$B$16)),0)+
IF(ROUND(R$11,0)&gt;=20,OFFSET(EM!$B$17,ROW($A31)-ROW($A$26)+(ROW(EM!$C$46)-ROW(EM!$C$14))*(MATCH(R$22,EM!$B$6:$B$9,0)-1),MIN(R$23-EM!$B$16+19,EM!$AF$16-EM!$B$16)),0)+
IF(ROUND(R$11,0)&gt;=21,OFFSET(EM!$B$17,ROW($A31)-ROW($A$26)+(ROW(EM!$C$46)-ROW(EM!$C$14))*(MATCH(R$22,EM!$B$6:$B$9,0)-1),MIN(R$23-EM!$B$16+20,EM!$AF$16-EM!$B$16)),0)+
IF(ROUND(R$11,0)&gt;=22,OFFSET(EM!$B$17,ROW($A31)-ROW($A$26)+(ROW(EM!$C$46)-ROW(EM!$C$14))*(MATCH(R$22,EM!$B$6:$B$9,0)-1),MIN(R$23-EM!$B$16+21,EM!$AF$16-EM!$B$16)),0)+
IF(ROUND(R$11,0)&gt;=23,OFFSET(EM!$B$17,ROW($A31)-ROW($A$26)+(ROW(EM!$C$46)-ROW(EM!$C$14))*(MATCH(R$22,EM!$B$6:$B$9,0)-1),MIN(R$23-EM!$B$16+22,EM!$AF$16-EM!$B$16)),0)+
IF(ROUND(R$11,0)&gt;=24,OFFSET(EM!$B$17,ROW($A31)-ROW($A$26)+(ROW(EM!$C$46)-ROW(EM!$C$14))*(MATCH(R$22,EM!$B$6:$B$9,0)-1),MIN(R$23-EM!$B$16+23,EM!$AF$16-EM!$B$16)),0)+
IF(ROUND(R$11,0)&gt;=25,OFFSET(EM!$B$17,ROW($A31)-ROW($A$26)+(ROW(EM!$C$46)-ROW(EM!$C$14))*(MATCH(R$22,EM!$B$6:$B$9,0)-1),MIN(R$23-EM!$B$16+24,EM!$AF$16-EM!$B$16)),0)+
IF(ROUND(R$11,0)&gt;=26,OFFSET(EM!$B$17,ROW($A31)-ROW($A$26)+(ROW(EM!$C$46)-ROW(EM!$C$14))*(MATCH(R$22,EM!$B$6:$B$9,0)-1),MIN(R$23-EM!$B$16+25,EM!$AF$16-EM!$B$16)),0)+
IF(ROUND(R$11,0)&gt;=27,OFFSET(EM!$B$17,ROW($A31)-ROW($A$26)+(ROW(EM!$C$46)-ROW(EM!$C$14))*(MATCH(R$22,EM!$B$6:$B$9,0)-1),MIN(R$23-EM!$B$16+26,EM!$AF$16-EM!$B$16)),0)+
IF(ROUND(R$11,0)&gt;=28,OFFSET(EM!$B$17,ROW($A31)-ROW($A$26)+(ROW(EM!$C$46)-ROW(EM!$C$14))*(MATCH(R$22,EM!$B$6:$B$9,0)-1),MIN(R$23-EM!$B$16+27,EM!$AF$16-EM!$B$16)),0)+
IF(ROUND(R$11,0)&gt;=29,OFFSET(EM!$B$17,ROW($A31)-ROW($A$26)+(ROW(EM!$C$46)-ROW(EM!$C$14))*(MATCH(R$22,EM!$B$6:$B$9,0)-1),MIN(R$23-EM!$B$16+28,EM!$AF$16-EM!$B$16)),0)+
IF(ROUND(R$11,0)&gt;=30,OFFSET(EM!$B$17,ROW($A31)-ROW($A$26)+(ROW(EM!$C$46)-ROW(EM!$C$14))*(MATCH(R$22,EM!$B$6:$B$9,0)-1),MIN(R$23-EM!$B$16+29,EM!$AF$16-EM!$B$16)),0)+
IF(ROUND(R$11,0)&gt;=31,OFFSET(EM!$B$17,ROW($A31)-ROW($A$26)+(ROW(EM!$C$46)-ROW(EM!$C$14))*(MATCH(R$22,EM!$B$6:$B$9,0)-1),MIN(R$23-EM!$B$16+30,EM!$AF$16-EM!$B$16)),0)+
IF(ROUND(R$11,0)&gt;=32,OFFSET(EM!$B$17,ROW($A31)-ROW($A$26)+(ROW(EM!$C$46)-ROW(EM!$C$14))*(MATCH(R$22,EM!$B$6:$B$9,0)-1),MIN(R$23-EM!$B$16+31,EM!$AF$16-EM!$B$16)),0)+
IF(ROUND(R$11,0)&gt;=33,OFFSET(EM!$B$17,ROW($A31)-ROW($A$26)+(ROW(EM!$C$46)-ROW(EM!$C$14))*(MATCH(R$22,EM!$B$6:$B$9,0)-1),MIN(R$23-EM!$B$16+32,EM!$AF$16-EM!$B$16)),0)+
IF(ROUND(R$11,0)&gt;=34,OFFSET(EM!$B$17,ROW($A31)-ROW($A$26)+(ROW(EM!$C$46)-ROW(EM!$C$14))*(MATCH(R$22,EM!$B$6:$B$9,0)-1),MIN(R$23-EM!$B$16+33,EM!$AF$16-EM!$B$16)),0)+
IF(ROUND(R$11,0)&gt;=35,OFFSET(EM!$B$17,ROW($A31)-ROW($A$26)+(ROW(EM!$C$46)-ROW(EM!$C$14))*(MATCH(R$22,EM!$B$6:$B$9,0)-1),MIN(R$23-EM!$B$16+34,EM!$AF$16-EM!$B$16)),0)+
IF(ROUND(R$11,0)&gt;=36,OFFSET(EM!$B$17,ROW($A31)-ROW($A$26)+(ROW(EM!$C$46)-ROW(EM!$C$14))*(MATCH(R$22,EM!$B$6:$B$9,0)-1),MIN(R$23-EM!$B$16+35,EM!$AF$16-EM!$B$16)),0)+
IF(ROUND(R$11,0)&gt;=37,OFFSET(EM!$B$17,ROW($A31)-ROW($A$26)+(ROW(EM!$C$46)-ROW(EM!$C$14))*(MATCH(R$22,EM!$B$6:$B$9,0)-1),MIN(R$23-EM!$B$16+36,EM!$AF$16-EM!$B$16)),0)+
IF(ROUND(R$11,0)&gt;=38,OFFSET(EM!$B$17,ROW($A31)-ROW($A$26)+(ROW(EM!$C$46)-ROW(EM!$C$14))*(MATCH(R$22,EM!$B$6:$B$9,0)-1),MIN(R$23-EM!$B$16+37,EM!$AF$16-EM!$B$16)),0)+
IF(ROUND(R$11,0)&gt;=39,OFFSET(EM!$B$17,ROW($A31)-ROW($A$26)+(ROW(EM!$C$46)-ROW(EM!$C$14))*(MATCH(R$22,EM!$B$6:$B$9,0)-1),MIN(R$23-EM!$B$16+38,EM!$AF$16-EM!$B$16)),0)+
IF(ROUND(R$11,0)&gt;=40,OFFSET(EM!$B$17,ROW($A31)-ROW($A$26)+(ROW(EM!$C$46)-ROW(EM!$C$14))*(MATCH(R$22,EM!$B$6:$B$9,0)-1),MIN(R$23-EM!$B$16+39,EM!$AF$16-EM!$B$16)),0)
)/ROUND(R$11,0),NA()))</f>
        <v>0.19126569597021811</v>
      </c>
      <c r="S31" s="2046">
        <f ca="1">IF(S$19=GPG!$A$28,IF(ROW(S31)-ROW(S$26)+1=MATCH(S$20,GPG!$A$5:$A$11,0),1,0),
IF(S$19=GPG!$A$29,
(IF(ROUND(S$11,0)&gt;=1,OFFSET(EM!$B$17,ROW($A31)-ROW($A$26)+(ROW(EM!$C$46)-ROW(EM!$C$14))*(MATCH(S$22,EM!$B$6:$B$9,0)-1),MIN(S$23-EM!$B$16,EM!$AF$16-EM!$B$16)),0)+
IF(ROUND(S$11,0)&gt;=2,OFFSET(EM!$B$17,ROW($A31)-ROW($A$26)+(ROW(EM!$C$46)-ROW(EM!$C$14))*(MATCH(S$22,EM!$B$6:$B$9,0)-1),MIN(S$23-EM!$B$16+1,EM!$AF$16-EM!$B$16)),0)+
IF(ROUND(S$11,0)&gt;=3,OFFSET(EM!$B$17,ROW($A31)-ROW($A$26)+(ROW(EM!$C$46)-ROW(EM!$C$14))*(MATCH(S$22,EM!$B$6:$B$9,0)-1),MIN(S$23-EM!$B$16+2,EM!$AF$16-EM!$B$16)),0)+
IF(ROUND(S$11,0)&gt;=4,OFFSET(EM!$B$17,ROW($A31)-ROW($A$26)+(ROW(EM!$C$46)-ROW(EM!$C$14))*(MATCH(S$22,EM!$B$6:$B$9,0)-1),MIN(S$23-EM!$B$16+3,EM!$AF$16-EM!$B$16)),0)+
IF(ROUND(S$11,0)&gt;=5,OFFSET(EM!$B$17,ROW($A31)-ROW($A$26)+(ROW(EM!$C$46)-ROW(EM!$C$14))*(MATCH(S$22,EM!$B$6:$B$9,0)-1),MIN(S$23-EM!$B$16+4,EM!$AF$16-EM!$B$16)),0)+
IF(ROUND(S$11,0)&gt;=6,OFFSET(EM!$B$17,ROW($A31)-ROW($A$26)+(ROW(EM!$C$46)-ROW(EM!$C$14))*(MATCH(S$22,EM!$B$6:$B$9,0)-1),MIN(S$23-EM!$B$16+5,EM!$AF$16-EM!$B$16)),0)+
IF(ROUND(S$11,0)&gt;=7,OFFSET(EM!$B$17,ROW($A31)-ROW($A$26)+(ROW(EM!$C$46)-ROW(EM!$C$14))*(MATCH(S$22,EM!$B$6:$B$9,0)-1),MIN(S$23-EM!$B$16+6,EM!$AF$16-EM!$B$16)),0)+
IF(ROUND(S$11,0)&gt;=8,OFFSET(EM!$B$17,ROW($A31)-ROW($A$26)+(ROW(EM!$C$46)-ROW(EM!$C$14))*(MATCH(S$22,EM!$B$6:$B$9,0)-1),MIN(S$23-EM!$B$16+7,EM!$AF$16-EM!$B$16)),0)+
IF(ROUND(S$11,0)&gt;=9,OFFSET(EM!$B$17,ROW($A31)-ROW($A$26)+(ROW(EM!$C$46)-ROW(EM!$C$14))*(MATCH(S$22,EM!$B$6:$B$9,0)-1),MIN(S$23-EM!$B$16+8,EM!$AF$16-EM!$B$16)),0)+
IF(ROUND(S$11,0)&gt;=10,OFFSET(EM!$B$17,ROW($A31)-ROW($A$26)+(ROW(EM!$C$46)-ROW(EM!$C$14))*(MATCH(S$22,EM!$B$6:$B$9,0)-1),MIN(S$23-EM!$B$16+9,EM!$AF$16-EM!$B$16)),0)+
IF(ROUND(S$11,0)&gt;=11,OFFSET(EM!$B$17,ROW($A31)-ROW($A$26)+(ROW(EM!$C$46)-ROW(EM!$C$14))*(MATCH(S$22,EM!$B$6:$B$9,0)-1),MIN(S$23-EM!$B$16+10,EM!$AF$16-EM!$B$16)),0)+
IF(ROUND(S$11,0)&gt;=12,OFFSET(EM!$B$17,ROW($A31)-ROW($A$26)+(ROW(EM!$C$46)-ROW(EM!$C$14))*(MATCH(S$22,EM!$B$6:$B$9,0)-1),MIN(S$23-EM!$B$16+11,EM!$AF$16-EM!$B$16)),0)+
IF(ROUND(S$11,0)&gt;=13,OFFSET(EM!$B$17,ROW($A31)-ROW($A$26)+(ROW(EM!$C$46)-ROW(EM!$C$14))*(MATCH(S$22,EM!$B$6:$B$9,0)-1),MIN(S$23-EM!$B$16+12,EM!$AF$16-EM!$B$16)),0)+
IF(ROUND(S$11,0)&gt;=14,OFFSET(EM!$B$17,ROW($A31)-ROW($A$26)+(ROW(EM!$C$46)-ROW(EM!$C$14))*(MATCH(S$22,EM!$B$6:$B$9,0)-1),MIN(S$23-EM!$B$16+13,EM!$AF$16-EM!$B$16)),0)+
IF(ROUND(S$11,0)&gt;=15,OFFSET(EM!$B$17,ROW($A31)-ROW($A$26)+(ROW(EM!$C$46)-ROW(EM!$C$14))*(MATCH(S$22,EM!$B$6:$B$9,0)-1),MIN(S$23-EM!$B$16+14,EM!$AF$16-EM!$B$16)),0)+
IF(ROUND(S$11,0)&gt;=16,OFFSET(EM!$B$17,ROW($A31)-ROW($A$26)+(ROW(EM!$C$46)-ROW(EM!$C$14))*(MATCH(S$22,EM!$B$6:$B$9,0)-1),MIN(S$23-EM!$B$16+15,EM!$AF$16-EM!$B$16)),0)+
IF(ROUND(S$11,0)&gt;=17,OFFSET(EM!$B$17,ROW($A31)-ROW($A$26)+(ROW(EM!$C$46)-ROW(EM!$C$14))*(MATCH(S$22,EM!$B$6:$B$9,0)-1),MIN(S$23-EM!$B$16+16,EM!$AF$16-EM!$B$16)),0)+
IF(ROUND(S$11,0)&gt;=18,OFFSET(EM!$B$17,ROW($A31)-ROW($A$26)+(ROW(EM!$C$46)-ROW(EM!$C$14))*(MATCH(S$22,EM!$B$6:$B$9,0)-1),MIN(S$23-EM!$B$16+17,EM!$AF$16-EM!$B$16)),0)+
IF(ROUND(S$11,0)&gt;=19,OFFSET(EM!$B$17,ROW($A31)-ROW($A$26)+(ROW(EM!$C$46)-ROW(EM!$C$14))*(MATCH(S$22,EM!$B$6:$B$9,0)-1),MIN(S$23-EM!$B$16+18,EM!$AF$16-EM!$B$16)),0)+
IF(ROUND(S$11,0)&gt;=20,OFFSET(EM!$B$17,ROW($A31)-ROW($A$26)+(ROW(EM!$C$46)-ROW(EM!$C$14))*(MATCH(S$22,EM!$B$6:$B$9,0)-1),MIN(S$23-EM!$B$16+19,EM!$AF$16-EM!$B$16)),0)+
IF(ROUND(S$11,0)&gt;=21,OFFSET(EM!$B$17,ROW($A31)-ROW($A$26)+(ROW(EM!$C$46)-ROW(EM!$C$14))*(MATCH(S$22,EM!$B$6:$B$9,0)-1),MIN(S$23-EM!$B$16+20,EM!$AF$16-EM!$B$16)),0)+
IF(ROUND(S$11,0)&gt;=22,OFFSET(EM!$B$17,ROW($A31)-ROW($A$26)+(ROW(EM!$C$46)-ROW(EM!$C$14))*(MATCH(S$22,EM!$B$6:$B$9,0)-1),MIN(S$23-EM!$B$16+21,EM!$AF$16-EM!$B$16)),0)+
IF(ROUND(S$11,0)&gt;=23,OFFSET(EM!$B$17,ROW($A31)-ROW($A$26)+(ROW(EM!$C$46)-ROW(EM!$C$14))*(MATCH(S$22,EM!$B$6:$B$9,0)-1),MIN(S$23-EM!$B$16+22,EM!$AF$16-EM!$B$16)),0)+
IF(ROUND(S$11,0)&gt;=24,OFFSET(EM!$B$17,ROW($A31)-ROW($A$26)+(ROW(EM!$C$46)-ROW(EM!$C$14))*(MATCH(S$22,EM!$B$6:$B$9,0)-1),MIN(S$23-EM!$B$16+23,EM!$AF$16-EM!$B$16)),0)+
IF(ROUND(S$11,0)&gt;=25,OFFSET(EM!$B$17,ROW($A31)-ROW($A$26)+(ROW(EM!$C$46)-ROW(EM!$C$14))*(MATCH(S$22,EM!$B$6:$B$9,0)-1),MIN(S$23-EM!$B$16+24,EM!$AF$16-EM!$B$16)),0)+
IF(ROUND(S$11,0)&gt;=26,OFFSET(EM!$B$17,ROW($A31)-ROW($A$26)+(ROW(EM!$C$46)-ROW(EM!$C$14))*(MATCH(S$22,EM!$B$6:$B$9,0)-1),MIN(S$23-EM!$B$16+25,EM!$AF$16-EM!$B$16)),0)+
IF(ROUND(S$11,0)&gt;=27,OFFSET(EM!$B$17,ROW($A31)-ROW($A$26)+(ROW(EM!$C$46)-ROW(EM!$C$14))*(MATCH(S$22,EM!$B$6:$B$9,0)-1),MIN(S$23-EM!$B$16+26,EM!$AF$16-EM!$B$16)),0)+
IF(ROUND(S$11,0)&gt;=28,OFFSET(EM!$B$17,ROW($A31)-ROW($A$26)+(ROW(EM!$C$46)-ROW(EM!$C$14))*(MATCH(S$22,EM!$B$6:$B$9,0)-1),MIN(S$23-EM!$B$16+27,EM!$AF$16-EM!$B$16)),0)+
IF(ROUND(S$11,0)&gt;=29,OFFSET(EM!$B$17,ROW($A31)-ROW($A$26)+(ROW(EM!$C$46)-ROW(EM!$C$14))*(MATCH(S$22,EM!$B$6:$B$9,0)-1),MIN(S$23-EM!$B$16+28,EM!$AF$16-EM!$B$16)),0)+
IF(ROUND(S$11,0)&gt;=30,OFFSET(EM!$B$17,ROW($A31)-ROW($A$26)+(ROW(EM!$C$46)-ROW(EM!$C$14))*(MATCH(S$22,EM!$B$6:$B$9,0)-1),MIN(S$23-EM!$B$16+29,EM!$AF$16-EM!$B$16)),0)+
IF(ROUND(S$11,0)&gt;=31,OFFSET(EM!$B$17,ROW($A31)-ROW($A$26)+(ROW(EM!$C$46)-ROW(EM!$C$14))*(MATCH(S$22,EM!$B$6:$B$9,0)-1),MIN(S$23-EM!$B$16+30,EM!$AF$16-EM!$B$16)),0)+
IF(ROUND(S$11,0)&gt;=32,OFFSET(EM!$B$17,ROW($A31)-ROW($A$26)+(ROW(EM!$C$46)-ROW(EM!$C$14))*(MATCH(S$22,EM!$B$6:$B$9,0)-1),MIN(S$23-EM!$B$16+31,EM!$AF$16-EM!$B$16)),0)+
IF(ROUND(S$11,0)&gt;=33,OFFSET(EM!$B$17,ROW($A31)-ROW($A$26)+(ROW(EM!$C$46)-ROW(EM!$C$14))*(MATCH(S$22,EM!$B$6:$B$9,0)-1),MIN(S$23-EM!$B$16+32,EM!$AF$16-EM!$B$16)),0)+
IF(ROUND(S$11,0)&gt;=34,OFFSET(EM!$B$17,ROW($A31)-ROW($A$26)+(ROW(EM!$C$46)-ROW(EM!$C$14))*(MATCH(S$22,EM!$B$6:$B$9,0)-1),MIN(S$23-EM!$B$16+33,EM!$AF$16-EM!$B$16)),0)+
IF(ROUND(S$11,0)&gt;=35,OFFSET(EM!$B$17,ROW($A31)-ROW($A$26)+(ROW(EM!$C$46)-ROW(EM!$C$14))*(MATCH(S$22,EM!$B$6:$B$9,0)-1),MIN(S$23-EM!$B$16+34,EM!$AF$16-EM!$B$16)),0)+
IF(ROUND(S$11,0)&gt;=36,OFFSET(EM!$B$17,ROW($A31)-ROW($A$26)+(ROW(EM!$C$46)-ROW(EM!$C$14))*(MATCH(S$22,EM!$B$6:$B$9,0)-1),MIN(S$23-EM!$B$16+35,EM!$AF$16-EM!$B$16)),0)+
IF(ROUND(S$11,0)&gt;=37,OFFSET(EM!$B$17,ROW($A31)-ROW($A$26)+(ROW(EM!$C$46)-ROW(EM!$C$14))*(MATCH(S$22,EM!$B$6:$B$9,0)-1),MIN(S$23-EM!$B$16+36,EM!$AF$16-EM!$B$16)),0)+
IF(ROUND(S$11,0)&gt;=38,OFFSET(EM!$B$17,ROW($A31)-ROW($A$26)+(ROW(EM!$C$46)-ROW(EM!$C$14))*(MATCH(S$22,EM!$B$6:$B$9,0)-1),MIN(S$23-EM!$B$16+37,EM!$AF$16-EM!$B$16)),0)+
IF(ROUND(S$11,0)&gt;=39,OFFSET(EM!$B$17,ROW($A31)-ROW($A$26)+(ROW(EM!$C$46)-ROW(EM!$C$14))*(MATCH(S$22,EM!$B$6:$B$9,0)-1),MIN(S$23-EM!$B$16+38,EM!$AF$16-EM!$B$16)),0)+
IF(ROUND(S$11,0)&gt;=40,OFFSET(EM!$B$17,ROW($A31)-ROW($A$26)+(ROW(EM!$C$46)-ROW(EM!$C$14))*(MATCH(S$22,EM!$B$6:$B$9,0)-1),MIN(S$23-EM!$B$16+39,EM!$AF$16-EM!$B$16)),0)
)/ROUND(S$11,0),NA()))</f>
        <v>0.19126569597021811</v>
      </c>
      <c r="T31" s="2046">
        <f ca="1">IF(T$19=GPG!$A$28,IF(ROW(T31)-ROW(T$26)+1=MATCH(T$20,GPG!$A$5:$A$11,0),1,0),
IF(T$19=GPG!$A$29,
(IF(ROUND(T$11,0)&gt;=1,OFFSET(EM!$B$17,ROW($A31)-ROW($A$26)+(ROW(EM!$C$46)-ROW(EM!$C$14))*(MATCH(T$22,EM!$B$6:$B$9,0)-1),MIN(T$23-EM!$B$16,EM!$AF$16-EM!$B$16)),0)+
IF(ROUND(T$11,0)&gt;=2,OFFSET(EM!$B$17,ROW($A31)-ROW($A$26)+(ROW(EM!$C$46)-ROW(EM!$C$14))*(MATCH(T$22,EM!$B$6:$B$9,0)-1),MIN(T$23-EM!$B$16+1,EM!$AF$16-EM!$B$16)),0)+
IF(ROUND(T$11,0)&gt;=3,OFFSET(EM!$B$17,ROW($A31)-ROW($A$26)+(ROW(EM!$C$46)-ROW(EM!$C$14))*(MATCH(T$22,EM!$B$6:$B$9,0)-1),MIN(T$23-EM!$B$16+2,EM!$AF$16-EM!$B$16)),0)+
IF(ROUND(T$11,0)&gt;=4,OFFSET(EM!$B$17,ROW($A31)-ROW($A$26)+(ROW(EM!$C$46)-ROW(EM!$C$14))*(MATCH(T$22,EM!$B$6:$B$9,0)-1),MIN(T$23-EM!$B$16+3,EM!$AF$16-EM!$B$16)),0)+
IF(ROUND(T$11,0)&gt;=5,OFFSET(EM!$B$17,ROW($A31)-ROW($A$26)+(ROW(EM!$C$46)-ROW(EM!$C$14))*(MATCH(T$22,EM!$B$6:$B$9,0)-1),MIN(T$23-EM!$B$16+4,EM!$AF$16-EM!$B$16)),0)+
IF(ROUND(T$11,0)&gt;=6,OFFSET(EM!$B$17,ROW($A31)-ROW($A$26)+(ROW(EM!$C$46)-ROW(EM!$C$14))*(MATCH(T$22,EM!$B$6:$B$9,0)-1),MIN(T$23-EM!$B$16+5,EM!$AF$16-EM!$B$16)),0)+
IF(ROUND(T$11,0)&gt;=7,OFFSET(EM!$B$17,ROW($A31)-ROW($A$26)+(ROW(EM!$C$46)-ROW(EM!$C$14))*(MATCH(T$22,EM!$B$6:$B$9,0)-1),MIN(T$23-EM!$B$16+6,EM!$AF$16-EM!$B$16)),0)+
IF(ROUND(T$11,0)&gt;=8,OFFSET(EM!$B$17,ROW($A31)-ROW($A$26)+(ROW(EM!$C$46)-ROW(EM!$C$14))*(MATCH(T$22,EM!$B$6:$B$9,0)-1),MIN(T$23-EM!$B$16+7,EM!$AF$16-EM!$B$16)),0)+
IF(ROUND(T$11,0)&gt;=9,OFFSET(EM!$B$17,ROW($A31)-ROW($A$26)+(ROW(EM!$C$46)-ROW(EM!$C$14))*(MATCH(T$22,EM!$B$6:$B$9,0)-1),MIN(T$23-EM!$B$16+8,EM!$AF$16-EM!$B$16)),0)+
IF(ROUND(T$11,0)&gt;=10,OFFSET(EM!$B$17,ROW($A31)-ROW($A$26)+(ROW(EM!$C$46)-ROW(EM!$C$14))*(MATCH(T$22,EM!$B$6:$B$9,0)-1),MIN(T$23-EM!$B$16+9,EM!$AF$16-EM!$B$16)),0)+
IF(ROUND(T$11,0)&gt;=11,OFFSET(EM!$B$17,ROW($A31)-ROW($A$26)+(ROW(EM!$C$46)-ROW(EM!$C$14))*(MATCH(T$22,EM!$B$6:$B$9,0)-1),MIN(T$23-EM!$B$16+10,EM!$AF$16-EM!$B$16)),0)+
IF(ROUND(T$11,0)&gt;=12,OFFSET(EM!$B$17,ROW($A31)-ROW($A$26)+(ROW(EM!$C$46)-ROW(EM!$C$14))*(MATCH(T$22,EM!$B$6:$B$9,0)-1),MIN(T$23-EM!$B$16+11,EM!$AF$16-EM!$B$16)),0)+
IF(ROUND(T$11,0)&gt;=13,OFFSET(EM!$B$17,ROW($A31)-ROW($A$26)+(ROW(EM!$C$46)-ROW(EM!$C$14))*(MATCH(T$22,EM!$B$6:$B$9,0)-1),MIN(T$23-EM!$B$16+12,EM!$AF$16-EM!$B$16)),0)+
IF(ROUND(T$11,0)&gt;=14,OFFSET(EM!$B$17,ROW($A31)-ROW($A$26)+(ROW(EM!$C$46)-ROW(EM!$C$14))*(MATCH(T$22,EM!$B$6:$B$9,0)-1),MIN(T$23-EM!$B$16+13,EM!$AF$16-EM!$B$16)),0)+
IF(ROUND(T$11,0)&gt;=15,OFFSET(EM!$B$17,ROW($A31)-ROW($A$26)+(ROW(EM!$C$46)-ROW(EM!$C$14))*(MATCH(T$22,EM!$B$6:$B$9,0)-1),MIN(T$23-EM!$B$16+14,EM!$AF$16-EM!$B$16)),0)+
IF(ROUND(T$11,0)&gt;=16,OFFSET(EM!$B$17,ROW($A31)-ROW($A$26)+(ROW(EM!$C$46)-ROW(EM!$C$14))*(MATCH(T$22,EM!$B$6:$B$9,0)-1),MIN(T$23-EM!$B$16+15,EM!$AF$16-EM!$B$16)),0)+
IF(ROUND(T$11,0)&gt;=17,OFFSET(EM!$B$17,ROW($A31)-ROW($A$26)+(ROW(EM!$C$46)-ROW(EM!$C$14))*(MATCH(T$22,EM!$B$6:$B$9,0)-1),MIN(T$23-EM!$B$16+16,EM!$AF$16-EM!$B$16)),0)+
IF(ROUND(T$11,0)&gt;=18,OFFSET(EM!$B$17,ROW($A31)-ROW($A$26)+(ROW(EM!$C$46)-ROW(EM!$C$14))*(MATCH(T$22,EM!$B$6:$B$9,0)-1),MIN(T$23-EM!$B$16+17,EM!$AF$16-EM!$B$16)),0)+
IF(ROUND(T$11,0)&gt;=19,OFFSET(EM!$B$17,ROW($A31)-ROW($A$26)+(ROW(EM!$C$46)-ROW(EM!$C$14))*(MATCH(T$22,EM!$B$6:$B$9,0)-1),MIN(T$23-EM!$B$16+18,EM!$AF$16-EM!$B$16)),0)+
IF(ROUND(T$11,0)&gt;=20,OFFSET(EM!$B$17,ROW($A31)-ROW($A$26)+(ROW(EM!$C$46)-ROW(EM!$C$14))*(MATCH(T$22,EM!$B$6:$B$9,0)-1),MIN(T$23-EM!$B$16+19,EM!$AF$16-EM!$B$16)),0)+
IF(ROUND(T$11,0)&gt;=21,OFFSET(EM!$B$17,ROW($A31)-ROW($A$26)+(ROW(EM!$C$46)-ROW(EM!$C$14))*(MATCH(T$22,EM!$B$6:$B$9,0)-1),MIN(T$23-EM!$B$16+20,EM!$AF$16-EM!$B$16)),0)+
IF(ROUND(T$11,0)&gt;=22,OFFSET(EM!$B$17,ROW($A31)-ROW($A$26)+(ROW(EM!$C$46)-ROW(EM!$C$14))*(MATCH(T$22,EM!$B$6:$B$9,0)-1),MIN(T$23-EM!$B$16+21,EM!$AF$16-EM!$B$16)),0)+
IF(ROUND(T$11,0)&gt;=23,OFFSET(EM!$B$17,ROW($A31)-ROW($A$26)+(ROW(EM!$C$46)-ROW(EM!$C$14))*(MATCH(T$22,EM!$B$6:$B$9,0)-1),MIN(T$23-EM!$B$16+22,EM!$AF$16-EM!$B$16)),0)+
IF(ROUND(T$11,0)&gt;=24,OFFSET(EM!$B$17,ROW($A31)-ROW($A$26)+(ROW(EM!$C$46)-ROW(EM!$C$14))*(MATCH(T$22,EM!$B$6:$B$9,0)-1),MIN(T$23-EM!$B$16+23,EM!$AF$16-EM!$B$16)),0)+
IF(ROUND(T$11,0)&gt;=25,OFFSET(EM!$B$17,ROW($A31)-ROW($A$26)+(ROW(EM!$C$46)-ROW(EM!$C$14))*(MATCH(T$22,EM!$B$6:$B$9,0)-1),MIN(T$23-EM!$B$16+24,EM!$AF$16-EM!$B$16)),0)+
IF(ROUND(T$11,0)&gt;=26,OFFSET(EM!$B$17,ROW($A31)-ROW($A$26)+(ROW(EM!$C$46)-ROW(EM!$C$14))*(MATCH(T$22,EM!$B$6:$B$9,0)-1),MIN(T$23-EM!$B$16+25,EM!$AF$16-EM!$B$16)),0)+
IF(ROUND(T$11,0)&gt;=27,OFFSET(EM!$B$17,ROW($A31)-ROW($A$26)+(ROW(EM!$C$46)-ROW(EM!$C$14))*(MATCH(T$22,EM!$B$6:$B$9,0)-1),MIN(T$23-EM!$B$16+26,EM!$AF$16-EM!$B$16)),0)+
IF(ROUND(T$11,0)&gt;=28,OFFSET(EM!$B$17,ROW($A31)-ROW($A$26)+(ROW(EM!$C$46)-ROW(EM!$C$14))*(MATCH(T$22,EM!$B$6:$B$9,0)-1),MIN(T$23-EM!$B$16+27,EM!$AF$16-EM!$B$16)),0)+
IF(ROUND(T$11,0)&gt;=29,OFFSET(EM!$B$17,ROW($A31)-ROW($A$26)+(ROW(EM!$C$46)-ROW(EM!$C$14))*(MATCH(T$22,EM!$B$6:$B$9,0)-1),MIN(T$23-EM!$B$16+28,EM!$AF$16-EM!$B$16)),0)+
IF(ROUND(T$11,0)&gt;=30,OFFSET(EM!$B$17,ROW($A31)-ROW($A$26)+(ROW(EM!$C$46)-ROW(EM!$C$14))*(MATCH(T$22,EM!$B$6:$B$9,0)-1),MIN(T$23-EM!$B$16+29,EM!$AF$16-EM!$B$16)),0)+
IF(ROUND(T$11,0)&gt;=31,OFFSET(EM!$B$17,ROW($A31)-ROW($A$26)+(ROW(EM!$C$46)-ROW(EM!$C$14))*(MATCH(T$22,EM!$B$6:$B$9,0)-1),MIN(T$23-EM!$B$16+30,EM!$AF$16-EM!$B$16)),0)+
IF(ROUND(T$11,0)&gt;=32,OFFSET(EM!$B$17,ROW($A31)-ROW($A$26)+(ROW(EM!$C$46)-ROW(EM!$C$14))*(MATCH(T$22,EM!$B$6:$B$9,0)-1),MIN(T$23-EM!$B$16+31,EM!$AF$16-EM!$B$16)),0)+
IF(ROUND(T$11,0)&gt;=33,OFFSET(EM!$B$17,ROW($A31)-ROW($A$26)+(ROW(EM!$C$46)-ROW(EM!$C$14))*(MATCH(T$22,EM!$B$6:$B$9,0)-1),MIN(T$23-EM!$B$16+32,EM!$AF$16-EM!$B$16)),0)+
IF(ROUND(T$11,0)&gt;=34,OFFSET(EM!$B$17,ROW($A31)-ROW($A$26)+(ROW(EM!$C$46)-ROW(EM!$C$14))*(MATCH(T$22,EM!$B$6:$B$9,0)-1),MIN(T$23-EM!$B$16+33,EM!$AF$16-EM!$B$16)),0)+
IF(ROUND(T$11,0)&gt;=35,OFFSET(EM!$B$17,ROW($A31)-ROW($A$26)+(ROW(EM!$C$46)-ROW(EM!$C$14))*(MATCH(T$22,EM!$B$6:$B$9,0)-1),MIN(T$23-EM!$B$16+34,EM!$AF$16-EM!$B$16)),0)+
IF(ROUND(T$11,0)&gt;=36,OFFSET(EM!$B$17,ROW($A31)-ROW($A$26)+(ROW(EM!$C$46)-ROW(EM!$C$14))*(MATCH(T$22,EM!$B$6:$B$9,0)-1),MIN(T$23-EM!$B$16+35,EM!$AF$16-EM!$B$16)),0)+
IF(ROUND(T$11,0)&gt;=37,OFFSET(EM!$B$17,ROW($A31)-ROW($A$26)+(ROW(EM!$C$46)-ROW(EM!$C$14))*(MATCH(T$22,EM!$B$6:$B$9,0)-1),MIN(T$23-EM!$B$16+36,EM!$AF$16-EM!$B$16)),0)+
IF(ROUND(T$11,0)&gt;=38,OFFSET(EM!$B$17,ROW($A31)-ROW($A$26)+(ROW(EM!$C$46)-ROW(EM!$C$14))*(MATCH(T$22,EM!$B$6:$B$9,0)-1),MIN(T$23-EM!$B$16+37,EM!$AF$16-EM!$B$16)),0)+
IF(ROUND(T$11,0)&gt;=39,OFFSET(EM!$B$17,ROW($A31)-ROW($A$26)+(ROW(EM!$C$46)-ROW(EM!$C$14))*(MATCH(T$22,EM!$B$6:$B$9,0)-1),MIN(T$23-EM!$B$16+38,EM!$AF$16-EM!$B$16)),0)+
IF(ROUND(T$11,0)&gt;=40,OFFSET(EM!$B$17,ROW($A31)-ROW($A$26)+(ROW(EM!$C$46)-ROW(EM!$C$14))*(MATCH(T$22,EM!$B$6:$B$9,0)-1),MIN(T$23-EM!$B$16+39,EM!$AF$16-EM!$B$16)),0)
)/ROUND(T$11,0),NA()))</f>
        <v>0.19126569597021811</v>
      </c>
      <c r="U31" s="2046">
        <f ca="1">IF(U$19=GPG!$A$28,IF(ROW(U31)-ROW(U$26)+1=MATCH(U$20,GPG!$A$5:$A$11,0),1,0),
IF(U$19=GPG!$A$29,
(IF(ROUND(U$11,0)&gt;=1,OFFSET(EM!$B$17,ROW($A31)-ROW($A$26)+(ROW(EM!$C$46)-ROW(EM!$C$14))*(MATCH(U$22,EM!$B$6:$B$9,0)-1),MIN(U$23-EM!$B$16,EM!$AF$16-EM!$B$16)),0)+
IF(ROUND(U$11,0)&gt;=2,OFFSET(EM!$B$17,ROW($A31)-ROW($A$26)+(ROW(EM!$C$46)-ROW(EM!$C$14))*(MATCH(U$22,EM!$B$6:$B$9,0)-1),MIN(U$23-EM!$B$16+1,EM!$AF$16-EM!$B$16)),0)+
IF(ROUND(U$11,0)&gt;=3,OFFSET(EM!$B$17,ROW($A31)-ROW($A$26)+(ROW(EM!$C$46)-ROW(EM!$C$14))*(MATCH(U$22,EM!$B$6:$B$9,0)-1),MIN(U$23-EM!$B$16+2,EM!$AF$16-EM!$B$16)),0)+
IF(ROUND(U$11,0)&gt;=4,OFFSET(EM!$B$17,ROW($A31)-ROW($A$26)+(ROW(EM!$C$46)-ROW(EM!$C$14))*(MATCH(U$22,EM!$B$6:$B$9,0)-1),MIN(U$23-EM!$B$16+3,EM!$AF$16-EM!$B$16)),0)+
IF(ROUND(U$11,0)&gt;=5,OFFSET(EM!$B$17,ROW($A31)-ROW($A$26)+(ROW(EM!$C$46)-ROW(EM!$C$14))*(MATCH(U$22,EM!$B$6:$B$9,0)-1),MIN(U$23-EM!$B$16+4,EM!$AF$16-EM!$B$16)),0)+
IF(ROUND(U$11,0)&gt;=6,OFFSET(EM!$B$17,ROW($A31)-ROW($A$26)+(ROW(EM!$C$46)-ROW(EM!$C$14))*(MATCH(U$22,EM!$B$6:$B$9,0)-1),MIN(U$23-EM!$B$16+5,EM!$AF$16-EM!$B$16)),0)+
IF(ROUND(U$11,0)&gt;=7,OFFSET(EM!$B$17,ROW($A31)-ROW($A$26)+(ROW(EM!$C$46)-ROW(EM!$C$14))*(MATCH(U$22,EM!$B$6:$B$9,0)-1),MIN(U$23-EM!$B$16+6,EM!$AF$16-EM!$B$16)),0)+
IF(ROUND(U$11,0)&gt;=8,OFFSET(EM!$B$17,ROW($A31)-ROW($A$26)+(ROW(EM!$C$46)-ROW(EM!$C$14))*(MATCH(U$22,EM!$B$6:$B$9,0)-1),MIN(U$23-EM!$B$16+7,EM!$AF$16-EM!$B$16)),0)+
IF(ROUND(U$11,0)&gt;=9,OFFSET(EM!$B$17,ROW($A31)-ROW($A$26)+(ROW(EM!$C$46)-ROW(EM!$C$14))*(MATCH(U$22,EM!$B$6:$B$9,0)-1),MIN(U$23-EM!$B$16+8,EM!$AF$16-EM!$B$16)),0)+
IF(ROUND(U$11,0)&gt;=10,OFFSET(EM!$B$17,ROW($A31)-ROW($A$26)+(ROW(EM!$C$46)-ROW(EM!$C$14))*(MATCH(U$22,EM!$B$6:$B$9,0)-1),MIN(U$23-EM!$B$16+9,EM!$AF$16-EM!$B$16)),0)+
IF(ROUND(U$11,0)&gt;=11,OFFSET(EM!$B$17,ROW($A31)-ROW($A$26)+(ROW(EM!$C$46)-ROW(EM!$C$14))*(MATCH(U$22,EM!$B$6:$B$9,0)-1),MIN(U$23-EM!$B$16+10,EM!$AF$16-EM!$B$16)),0)+
IF(ROUND(U$11,0)&gt;=12,OFFSET(EM!$B$17,ROW($A31)-ROW($A$26)+(ROW(EM!$C$46)-ROW(EM!$C$14))*(MATCH(U$22,EM!$B$6:$B$9,0)-1),MIN(U$23-EM!$B$16+11,EM!$AF$16-EM!$B$16)),0)+
IF(ROUND(U$11,0)&gt;=13,OFFSET(EM!$B$17,ROW($A31)-ROW($A$26)+(ROW(EM!$C$46)-ROW(EM!$C$14))*(MATCH(U$22,EM!$B$6:$B$9,0)-1),MIN(U$23-EM!$B$16+12,EM!$AF$16-EM!$B$16)),0)+
IF(ROUND(U$11,0)&gt;=14,OFFSET(EM!$B$17,ROW($A31)-ROW($A$26)+(ROW(EM!$C$46)-ROW(EM!$C$14))*(MATCH(U$22,EM!$B$6:$B$9,0)-1),MIN(U$23-EM!$B$16+13,EM!$AF$16-EM!$B$16)),0)+
IF(ROUND(U$11,0)&gt;=15,OFFSET(EM!$B$17,ROW($A31)-ROW($A$26)+(ROW(EM!$C$46)-ROW(EM!$C$14))*(MATCH(U$22,EM!$B$6:$B$9,0)-1),MIN(U$23-EM!$B$16+14,EM!$AF$16-EM!$B$16)),0)+
IF(ROUND(U$11,0)&gt;=16,OFFSET(EM!$B$17,ROW($A31)-ROW($A$26)+(ROW(EM!$C$46)-ROW(EM!$C$14))*(MATCH(U$22,EM!$B$6:$B$9,0)-1),MIN(U$23-EM!$B$16+15,EM!$AF$16-EM!$B$16)),0)+
IF(ROUND(U$11,0)&gt;=17,OFFSET(EM!$B$17,ROW($A31)-ROW($A$26)+(ROW(EM!$C$46)-ROW(EM!$C$14))*(MATCH(U$22,EM!$B$6:$B$9,0)-1),MIN(U$23-EM!$B$16+16,EM!$AF$16-EM!$B$16)),0)+
IF(ROUND(U$11,0)&gt;=18,OFFSET(EM!$B$17,ROW($A31)-ROW($A$26)+(ROW(EM!$C$46)-ROW(EM!$C$14))*(MATCH(U$22,EM!$B$6:$B$9,0)-1),MIN(U$23-EM!$B$16+17,EM!$AF$16-EM!$B$16)),0)+
IF(ROUND(U$11,0)&gt;=19,OFFSET(EM!$B$17,ROW($A31)-ROW($A$26)+(ROW(EM!$C$46)-ROW(EM!$C$14))*(MATCH(U$22,EM!$B$6:$B$9,0)-1),MIN(U$23-EM!$B$16+18,EM!$AF$16-EM!$B$16)),0)+
IF(ROUND(U$11,0)&gt;=20,OFFSET(EM!$B$17,ROW($A31)-ROW($A$26)+(ROW(EM!$C$46)-ROW(EM!$C$14))*(MATCH(U$22,EM!$B$6:$B$9,0)-1),MIN(U$23-EM!$B$16+19,EM!$AF$16-EM!$B$16)),0)+
IF(ROUND(U$11,0)&gt;=21,OFFSET(EM!$B$17,ROW($A31)-ROW($A$26)+(ROW(EM!$C$46)-ROW(EM!$C$14))*(MATCH(U$22,EM!$B$6:$B$9,0)-1),MIN(U$23-EM!$B$16+20,EM!$AF$16-EM!$B$16)),0)+
IF(ROUND(U$11,0)&gt;=22,OFFSET(EM!$B$17,ROW($A31)-ROW($A$26)+(ROW(EM!$C$46)-ROW(EM!$C$14))*(MATCH(U$22,EM!$B$6:$B$9,0)-1),MIN(U$23-EM!$B$16+21,EM!$AF$16-EM!$B$16)),0)+
IF(ROUND(U$11,0)&gt;=23,OFFSET(EM!$B$17,ROW($A31)-ROW($A$26)+(ROW(EM!$C$46)-ROW(EM!$C$14))*(MATCH(U$22,EM!$B$6:$B$9,0)-1),MIN(U$23-EM!$B$16+22,EM!$AF$16-EM!$B$16)),0)+
IF(ROUND(U$11,0)&gt;=24,OFFSET(EM!$B$17,ROW($A31)-ROW($A$26)+(ROW(EM!$C$46)-ROW(EM!$C$14))*(MATCH(U$22,EM!$B$6:$B$9,0)-1),MIN(U$23-EM!$B$16+23,EM!$AF$16-EM!$B$16)),0)+
IF(ROUND(U$11,0)&gt;=25,OFFSET(EM!$B$17,ROW($A31)-ROW($A$26)+(ROW(EM!$C$46)-ROW(EM!$C$14))*(MATCH(U$22,EM!$B$6:$B$9,0)-1),MIN(U$23-EM!$B$16+24,EM!$AF$16-EM!$B$16)),0)+
IF(ROUND(U$11,0)&gt;=26,OFFSET(EM!$B$17,ROW($A31)-ROW($A$26)+(ROW(EM!$C$46)-ROW(EM!$C$14))*(MATCH(U$22,EM!$B$6:$B$9,0)-1),MIN(U$23-EM!$B$16+25,EM!$AF$16-EM!$B$16)),0)+
IF(ROUND(U$11,0)&gt;=27,OFFSET(EM!$B$17,ROW($A31)-ROW($A$26)+(ROW(EM!$C$46)-ROW(EM!$C$14))*(MATCH(U$22,EM!$B$6:$B$9,0)-1),MIN(U$23-EM!$B$16+26,EM!$AF$16-EM!$B$16)),0)+
IF(ROUND(U$11,0)&gt;=28,OFFSET(EM!$B$17,ROW($A31)-ROW($A$26)+(ROW(EM!$C$46)-ROW(EM!$C$14))*(MATCH(U$22,EM!$B$6:$B$9,0)-1),MIN(U$23-EM!$B$16+27,EM!$AF$16-EM!$B$16)),0)+
IF(ROUND(U$11,0)&gt;=29,OFFSET(EM!$B$17,ROW($A31)-ROW($A$26)+(ROW(EM!$C$46)-ROW(EM!$C$14))*(MATCH(U$22,EM!$B$6:$B$9,0)-1),MIN(U$23-EM!$B$16+28,EM!$AF$16-EM!$B$16)),0)+
IF(ROUND(U$11,0)&gt;=30,OFFSET(EM!$B$17,ROW($A31)-ROW($A$26)+(ROW(EM!$C$46)-ROW(EM!$C$14))*(MATCH(U$22,EM!$B$6:$B$9,0)-1),MIN(U$23-EM!$B$16+29,EM!$AF$16-EM!$B$16)),0)+
IF(ROUND(U$11,0)&gt;=31,OFFSET(EM!$B$17,ROW($A31)-ROW($A$26)+(ROW(EM!$C$46)-ROW(EM!$C$14))*(MATCH(U$22,EM!$B$6:$B$9,0)-1),MIN(U$23-EM!$B$16+30,EM!$AF$16-EM!$B$16)),0)+
IF(ROUND(U$11,0)&gt;=32,OFFSET(EM!$B$17,ROW($A31)-ROW($A$26)+(ROW(EM!$C$46)-ROW(EM!$C$14))*(MATCH(U$22,EM!$B$6:$B$9,0)-1),MIN(U$23-EM!$B$16+31,EM!$AF$16-EM!$B$16)),0)+
IF(ROUND(U$11,0)&gt;=33,OFFSET(EM!$B$17,ROW($A31)-ROW($A$26)+(ROW(EM!$C$46)-ROW(EM!$C$14))*(MATCH(U$22,EM!$B$6:$B$9,0)-1),MIN(U$23-EM!$B$16+32,EM!$AF$16-EM!$B$16)),0)+
IF(ROUND(U$11,0)&gt;=34,OFFSET(EM!$B$17,ROW($A31)-ROW($A$26)+(ROW(EM!$C$46)-ROW(EM!$C$14))*(MATCH(U$22,EM!$B$6:$B$9,0)-1),MIN(U$23-EM!$B$16+33,EM!$AF$16-EM!$B$16)),0)+
IF(ROUND(U$11,0)&gt;=35,OFFSET(EM!$B$17,ROW($A31)-ROW($A$26)+(ROW(EM!$C$46)-ROW(EM!$C$14))*(MATCH(U$22,EM!$B$6:$B$9,0)-1),MIN(U$23-EM!$B$16+34,EM!$AF$16-EM!$B$16)),0)+
IF(ROUND(U$11,0)&gt;=36,OFFSET(EM!$B$17,ROW($A31)-ROW($A$26)+(ROW(EM!$C$46)-ROW(EM!$C$14))*(MATCH(U$22,EM!$B$6:$B$9,0)-1),MIN(U$23-EM!$B$16+35,EM!$AF$16-EM!$B$16)),0)+
IF(ROUND(U$11,0)&gt;=37,OFFSET(EM!$B$17,ROW($A31)-ROW($A$26)+(ROW(EM!$C$46)-ROW(EM!$C$14))*(MATCH(U$22,EM!$B$6:$B$9,0)-1),MIN(U$23-EM!$B$16+36,EM!$AF$16-EM!$B$16)),0)+
IF(ROUND(U$11,0)&gt;=38,OFFSET(EM!$B$17,ROW($A31)-ROW($A$26)+(ROW(EM!$C$46)-ROW(EM!$C$14))*(MATCH(U$22,EM!$B$6:$B$9,0)-1),MIN(U$23-EM!$B$16+37,EM!$AF$16-EM!$B$16)),0)+
IF(ROUND(U$11,0)&gt;=39,OFFSET(EM!$B$17,ROW($A31)-ROW($A$26)+(ROW(EM!$C$46)-ROW(EM!$C$14))*(MATCH(U$22,EM!$B$6:$B$9,0)-1),MIN(U$23-EM!$B$16+38,EM!$AF$16-EM!$B$16)),0)+
IF(ROUND(U$11,0)&gt;=40,OFFSET(EM!$B$17,ROW($A31)-ROW($A$26)+(ROW(EM!$C$46)-ROW(EM!$C$14))*(MATCH(U$22,EM!$B$6:$B$9,0)-1),MIN(U$23-EM!$B$16+39,EM!$AF$16-EM!$B$16)),0)
)/ROUND(U$11,0),NA()))</f>
        <v>0.19126569597021811</v>
      </c>
      <c r="V31" s="2046">
        <f ca="1">IF(V$19=GPG!$A$28,IF(ROW(V31)-ROW(V$26)+1=MATCH(V$20,GPG!$A$5:$A$11,0),1,0),
IF(V$19=GPG!$A$29,
(IF(ROUND(V$11,0)&gt;=1,OFFSET(EM!$B$17,ROW($A31)-ROW($A$26)+(ROW(EM!$C$46)-ROW(EM!$C$14))*(MATCH(V$22,EM!$B$6:$B$9,0)-1),MIN(V$23-EM!$B$16,EM!$AF$16-EM!$B$16)),0)+
IF(ROUND(V$11,0)&gt;=2,OFFSET(EM!$B$17,ROW($A31)-ROW($A$26)+(ROW(EM!$C$46)-ROW(EM!$C$14))*(MATCH(V$22,EM!$B$6:$B$9,0)-1),MIN(V$23-EM!$B$16+1,EM!$AF$16-EM!$B$16)),0)+
IF(ROUND(V$11,0)&gt;=3,OFFSET(EM!$B$17,ROW($A31)-ROW($A$26)+(ROW(EM!$C$46)-ROW(EM!$C$14))*(MATCH(V$22,EM!$B$6:$B$9,0)-1),MIN(V$23-EM!$B$16+2,EM!$AF$16-EM!$B$16)),0)+
IF(ROUND(V$11,0)&gt;=4,OFFSET(EM!$B$17,ROW($A31)-ROW($A$26)+(ROW(EM!$C$46)-ROW(EM!$C$14))*(MATCH(V$22,EM!$B$6:$B$9,0)-1),MIN(V$23-EM!$B$16+3,EM!$AF$16-EM!$B$16)),0)+
IF(ROUND(V$11,0)&gt;=5,OFFSET(EM!$B$17,ROW($A31)-ROW($A$26)+(ROW(EM!$C$46)-ROW(EM!$C$14))*(MATCH(V$22,EM!$B$6:$B$9,0)-1),MIN(V$23-EM!$B$16+4,EM!$AF$16-EM!$B$16)),0)+
IF(ROUND(V$11,0)&gt;=6,OFFSET(EM!$B$17,ROW($A31)-ROW($A$26)+(ROW(EM!$C$46)-ROW(EM!$C$14))*(MATCH(V$22,EM!$B$6:$B$9,0)-1),MIN(V$23-EM!$B$16+5,EM!$AF$16-EM!$B$16)),0)+
IF(ROUND(V$11,0)&gt;=7,OFFSET(EM!$B$17,ROW($A31)-ROW($A$26)+(ROW(EM!$C$46)-ROW(EM!$C$14))*(MATCH(V$22,EM!$B$6:$B$9,0)-1),MIN(V$23-EM!$B$16+6,EM!$AF$16-EM!$B$16)),0)+
IF(ROUND(V$11,0)&gt;=8,OFFSET(EM!$B$17,ROW($A31)-ROW($A$26)+(ROW(EM!$C$46)-ROW(EM!$C$14))*(MATCH(V$22,EM!$B$6:$B$9,0)-1),MIN(V$23-EM!$B$16+7,EM!$AF$16-EM!$B$16)),0)+
IF(ROUND(V$11,0)&gt;=9,OFFSET(EM!$B$17,ROW($A31)-ROW($A$26)+(ROW(EM!$C$46)-ROW(EM!$C$14))*(MATCH(V$22,EM!$B$6:$B$9,0)-1),MIN(V$23-EM!$B$16+8,EM!$AF$16-EM!$B$16)),0)+
IF(ROUND(V$11,0)&gt;=10,OFFSET(EM!$B$17,ROW($A31)-ROW($A$26)+(ROW(EM!$C$46)-ROW(EM!$C$14))*(MATCH(V$22,EM!$B$6:$B$9,0)-1),MIN(V$23-EM!$B$16+9,EM!$AF$16-EM!$B$16)),0)+
IF(ROUND(V$11,0)&gt;=11,OFFSET(EM!$B$17,ROW($A31)-ROW($A$26)+(ROW(EM!$C$46)-ROW(EM!$C$14))*(MATCH(V$22,EM!$B$6:$B$9,0)-1),MIN(V$23-EM!$B$16+10,EM!$AF$16-EM!$B$16)),0)+
IF(ROUND(V$11,0)&gt;=12,OFFSET(EM!$B$17,ROW($A31)-ROW($A$26)+(ROW(EM!$C$46)-ROW(EM!$C$14))*(MATCH(V$22,EM!$B$6:$B$9,0)-1),MIN(V$23-EM!$B$16+11,EM!$AF$16-EM!$B$16)),0)+
IF(ROUND(V$11,0)&gt;=13,OFFSET(EM!$B$17,ROW($A31)-ROW($A$26)+(ROW(EM!$C$46)-ROW(EM!$C$14))*(MATCH(V$22,EM!$B$6:$B$9,0)-1),MIN(V$23-EM!$B$16+12,EM!$AF$16-EM!$B$16)),0)+
IF(ROUND(V$11,0)&gt;=14,OFFSET(EM!$B$17,ROW($A31)-ROW($A$26)+(ROW(EM!$C$46)-ROW(EM!$C$14))*(MATCH(V$22,EM!$B$6:$B$9,0)-1),MIN(V$23-EM!$B$16+13,EM!$AF$16-EM!$B$16)),0)+
IF(ROUND(V$11,0)&gt;=15,OFFSET(EM!$B$17,ROW($A31)-ROW($A$26)+(ROW(EM!$C$46)-ROW(EM!$C$14))*(MATCH(V$22,EM!$B$6:$B$9,0)-1),MIN(V$23-EM!$B$16+14,EM!$AF$16-EM!$B$16)),0)+
IF(ROUND(V$11,0)&gt;=16,OFFSET(EM!$B$17,ROW($A31)-ROW($A$26)+(ROW(EM!$C$46)-ROW(EM!$C$14))*(MATCH(V$22,EM!$B$6:$B$9,0)-1),MIN(V$23-EM!$B$16+15,EM!$AF$16-EM!$B$16)),0)+
IF(ROUND(V$11,0)&gt;=17,OFFSET(EM!$B$17,ROW($A31)-ROW($A$26)+(ROW(EM!$C$46)-ROW(EM!$C$14))*(MATCH(V$22,EM!$B$6:$B$9,0)-1),MIN(V$23-EM!$B$16+16,EM!$AF$16-EM!$B$16)),0)+
IF(ROUND(V$11,0)&gt;=18,OFFSET(EM!$B$17,ROW($A31)-ROW($A$26)+(ROW(EM!$C$46)-ROW(EM!$C$14))*(MATCH(V$22,EM!$B$6:$B$9,0)-1),MIN(V$23-EM!$B$16+17,EM!$AF$16-EM!$B$16)),0)+
IF(ROUND(V$11,0)&gt;=19,OFFSET(EM!$B$17,ROW($A31)-ROW($A$26)+(ROW(EM!$C$46)-ROW(EM!$C$14))*(MATCH(V$22,EM!$B$6:$B$9,0)-1),MIN(V$23-EM!$B$16+18,EM!$AF$16-EM!$B$16)),0)+
IF(ROUND(V$11,0)&gt;=20,OFFSET(EM!$B$17,ROW($A31)-ROW($A$26)+(ROW(EM!$C$46)-ROW(EM!$C$14))*(MATCH(V$22,EM!$B$6:$B$9,0)-1),MIN(V$23-EM!$B$16+19,EM!$AF$16-EM!$B$16)),0)+
IF(ROUND(V$11,0)&gt;=21,OFFSET(EM!$B$17,ROW($A31)-ROW($A$26)+(ROW(EM!$C$46)-ROW(EM!$C$14))*(MATCH(V$22,EM!$B$6:$B$9,0)-1),MIN(V$23-EM!$B$16+20,EM!$AF$16-EM!$B$16)),0)+
IF(ROUND(V$11,0)&gt;=22,OFFSET(EM!$B$17,ROW($A31)-ROW($A$26)+(ROW(EM!$C$46)-ROW(EM!$C$14))*(MATCH(V$22,EM!$B$6:$B$9,0)-1),MIN(V$23-EM!$B$16+21,EM!$AF$16-EM!$B$16)),0)+
IF(ROUND(V$11,0)&gt;=23,OFFSET(EM!$B$17,ROW($A31)-ROW($A$26)+(ROW(EM!$C$46)-ROW(EM!$C$14))*(MATCH(V$22,EM!$B$6:$B$9,0)-1),MIN(V$23-EM!$B$16+22,EM!$AF$16-EM!$B$16)),0)+
IF(ROUND(V$11,0)&gt;=24,OFFSET(EM!$B$17,ROW($A31)-ROW($A$26)+(ROW(EM!$C$46)-ROW(EM!$C$14))*(MATCH(V$22,EM!$B$6:$B$9,0)-1),MIN(V$23-EM!$B$16+23,EM!$AF$16-EM!$B$16)),0)+
IF(ROUND(V$11,0)&gt;=25,OFFSET(EM!$B$17,ROW($A31)-ROW($A$26)+(ROW(EM!$C$46)-ROW(EM!$C$14))*(MATCH(V$22,EM!$B$6:$B$9,0)-1),MIN(V$23-EM!$B$16+24,EM!$AF$16-EM!$B$16)),0)+
IF(ROUND(V$11,0)&gt;=26,OFFSET(EM!$B$17,ROW($A31)-ROW($A$26)+(ROW(EM!$C$46)-ROW(EM!$C$14))*(MATCH(V$22,EM!$B$6:$B$9,0)-1),MIN(V$23-EM!$B$16+25,EM!$AF$16-EM!$B$16)),0)+
IF(ROUND(V$11,0)&gt;=27,OFFSET(EM!$B$17,ROW($A31)-ROW($A$26)+(ROW(EM!$C$46)-ROW(EM!$C$14))*(MATCH(V$22,EM!$B$6:$B$9,0)-1),MIN(V$23-EM!$B$16+26,EM!$AF$16-EM!$B$16)),0)+
IF(ROUND(V$11,0)&gt;=28,OFFSET(EM!$B$17,ROW($A31)-ROW($A$26)+(ROW(EM!$C$46)-ROW(EM!$C$14))*(MATCH(V$22,EM!$B$6:$B$9,0)-1),MIN(V$23-EM!$B$16+27,EM!$AF$16-EM!$B$16)),0)+
IF(ROUND(V$11,0)&gt;=29,OFFSET(EM!$B$17,ROW($A31)-ROW($A$26)+(ROW(EM!$C$46)-ROW(EM!$C$14))*(MATCH(V$22,EM!$B$6:$B$9,0)-1),MIN(V$23-EM!$B$16+28,EM!$AF$16-EM!$B$16)),0)+
IF(ROUND(V$11,0)&gt;=30,OFFSET(EM!$B$17,ROW($A31)-ROW($A$26)+(ROW(EM!$C$46)-ROW(EM!$C$14))*(MATCH(V$22,EM!$B$6:$B$9,0)-1),MIN(V$23-EM!$B$16+29,EM!$AF$16-EM!$B$16)),0)+
IF(ROUND(V$11,0)&gt;=31,OFFSET(EM!$B$17,ROW($A31)-ROW($A$26)+(ROW(EM!$C$46)-ROW(EM!$C$14))*(MATCH(V$22,EM!$B$6:$B$9,0)-1),MIN(V$23-EM!$B$16+30,EM!$AF$16-EM!$B$16)),0)+
IF(ROUND(V$11,0)&gt;=32,OFFSET(EM!$B$17,ROW($A31)-ROW($A$26)+(ROW(EM!$C$46)-ROW(EM!$C$14))*(MATCH(V$22,EM!$B$6:$B$9,0)-1),MIN(V$23-EM!$B$16+31,EM!$AF$16-EM!$B$16)),0)+
IF(ROUND(V$11,0)&gt;=33,OFFSET(EM!$B$17,ROW($A31)-ROW($A$26)+(ROW(EM!$C$46)-ROW(EM!$C$14))*(MATCH(V$22,EM!$B$6:$B$9,0)-1),MIN(V$23-EM!$B$16+32,EM!$AF$16-EM!$B$16)),0)+
IF(ROUND(V$11,0)&gt;=34,OFFSET(EM!$B$17,ROW($A31)-ROW($A$26)+(ROW(EM!$C$46)-ROW(EM!$C$14))*(MATCH(V$22,EM!$B$6:$B$9,0)-1),MIN(V$23-EM!$B$16+33,EM!$AF$16-EM!$B$16)),0)+
IF(ROUND(V$11,0)&gt;=35,OFFSET(EM!$B$17,ROW($A31)-ROW($A$26)+(ROW(EM!$C$46)-ROW(EM!$C$14))*(MATCH(V$22,EM!$B$6:$B$9,0)-1),MIN(V$23-EM!$B$16+34,EM!$AF$16-EM!$B$16)),0)+
IF(ROUND(V$11,0)&gt;=36,OFFSET(EM!$B$17,ROW($A31)-ROW($A$26)+(ROW(EM!$C$46)-ROW(EM!$C$14))*(MATCH(V$22,EM!$B$6:$B$9,0)-1),MIN(V$23-EM!$B$16+35,EM!$AF$16-EM!$B$16)),0)+
IF(ROUND(V$11,0)&gt;=37,OFFSET(EM!$B$17,ROW($A31)-ROW($A$26)+(ROW(EM!$C$46)-ROW(EM!$C$14))*(MATCH(V$22,EM!$B$6:$B$9,0)-1),MIN(V$23-EM!$B$16+36,EM!$AF$16-EM!$B$16)),0)+
IF(ROUND(V$11,0)&gt;=38,OFFSET(EM!$B$17,ROW($A31)-ROW($A$26)+(ROW(EM!$C$46)-ROW(EM!$C$14))*(MATCH(V$22,EM!$B$6:$B$9,0)-1),MIN(V$23-EM!$B$16+37,EM!$AF$16-EM!$B$16)),0)+
IF(ROUND(V$11,0)&gt;=39,OFFSET(EM!$B$17,ROW($A31)-ROW($A$26)+(ROW(EM!$C$46)-ROW(EM!$C$14))*(MATCH(V$22,EM!$B$6:$B$9,0)-1),MIN(V$23-EM!$B$16+38,EM!$AF$16-EM!$B$16)),0)+
IF(ROUND(V$11,0)&gt;=40,OFFSET(EM!$B$17,ROW($A31)-ROW($A$26)+(ROW(EM!$C$46)-ROW(EM!$C$14))*(MATCH(V$22,EM!$B$6:$B$9,0)-1),MIN(V$23-EM!$B$16+39,EM!$AF$16-EM!$B$16)),0)
)/ROUND(V$11,0),NA()))</f>
        <v>0.19126569597021811</v>
      </c>
      <c r="W31" s="2046">
        <f ca="1">IF(W$19=GPG!$A$28,IF(ROW(W31)-ROW(W$26)+1=MATCH(W$20,GPG!$A$5:$A$11,0),1,0),
IF(W$19=GPG!$A$29,
(IF(ROUND(W$11,0)&gt;=1,OFFSET(EM!$B$17,ROW($A31)-ROW($A$26)+(ROW(EM!$C$46)-ROW(EM!$C$14))*(MATCH(W$22,EM!$B$6:$B$9,0)-1),MIN(W$23-EM!$B$16,EM!$AF$16-EM!$B$16)),0)+
IF(ROUND(W$11,0)&gt;=2,OFFSET(EM!$B$17,ROW($A31)-ROW($A$26)+(ROW(EM!$C$46)-ROW(EM!$C$14))*(MATCH(W$22,EM!$B$6:$B$9,0)-1),MIN(W$23-EM!$B$16+1,EM!$AF$16-EM!$B$16)),0)+
IF(ROUND(W$11,0)&gt;=3,OFFSET(EM!$B$17,ROW($A31)-ROW($A$26)+(ROW(EM!$C$46)-ROW(EM!$C$14))*(MATCH(W$22,EM!$B$6:$B$9,0)-1),MIN(W$23-EM!$B$16+2,EM!$AF$16-EM!$B$16)),0)+
IF(ROUND(W$11,0)&gt;=4,OFFSET(EM!$B$17,ROW($A31)-ROW($A$26)+(ROW(EM!$C$46)-ROW(EM!$C$14))*(MATCH(W$22,EM!$B$6:$B$9,0)-1),MIN(W$23-EM!$B$16+3,EM!$AF$16-EM!$B$16)),0)+
IF(ROUND(W$11,0)&gt;=5,OFFSET(EM!$B$17,ROW($A31)-ROW($A$26)+(ROW(EM!$C$46)-ROW(EM!$C$14))*(MATCH(W$22,EM!$B$6:$B$9,0)-1),MIN(W$23-EM!$B$16+4,EM!$AF$16-EM!$B$16)),0)+
IF(ROUND(W$11,0)&gt;=6,OFFSET(EM!$B$17,ROW($A31)-ROW($A$26)+(ROW(EM!$C$46)-ROW(EM!$C$14))*(MATCH(W$22,EM!$B$6:$B$9,0)-1),MIN(W$23-EM!$B$16+5,EM!$AF$16-EM!$B$16)),0)+
IF(ROUND(W$11,0)&gt;=7,OFFSET(EM!$B$17,ROW($A31)-ROW($A$26)+(ROW(EM!$C$46)-ROW(EM!$C$14))*(MATCH(W$22,EM!$B$6:$B$9,0)-1),MIN(W$23-EM!$B$16+6,EM!$AF$16-EM!$B$16)),0)+
IF(ROUND(W$11,0)&gt;=8,OFFSET(EM!$B$17,ROW($A31)-ROW($A$26)+(ROW(EM!$C$46)-ROW(EM!$C$14))*(MATCH(W$22,EM!$B$6:$B$9,0)-1),MIN(W$23-EM!$B$16+7,EM!$AF$16-EM!$B$16)),0)+
IF(ROUND(W$11,0)&gt;=9,OFFSET(EM!$B$17,ROW($A31)-ROW($A$26)+(ROW(EM!$C$46)-ROW(EM!$C$14))*(MATCH(W$22,EM!$B$6:$B$9,0)-1),MIN(W$23-EM!$B$16+8,EM!$AF$16-EM!$B$16)),0)+
IF(ROUND(W$11,0)&gt;=10,OFFSET(EM!$B$17,ROW($A31)-ROW($A$26)+(ROW(EM!$C$46)-ROW(EM!$C$14))*(MATCH(W$22,EM!$B$6:$B$9,0)-1),MIN(W$23-EM!$B$16+9,EM!$AF$16-EM!$B$16)),0)+
IF(ROUND(W$11,0)&gt;=11,OFFSET(EM!$B$17,ROW($A31)-ROW($A$26)+(ROW(EM!$C$46)-ROW(EM!$C$14))*(MATCH(W$22,EM!$B$6:$B$9,0)-1),MIN(W$23-EM!$B$16+10,EM!$AF$16-EM!$B$16)),0)+
IF(ROUND(W$11,0)&gt;=12,OFFSET(EM!$B$17,ROW($A31)-ROW($A$26)+(ROW(EM!$C$46)-ROW(EM!$C$14))*(MATCH(W$22,EM!$B$6:$B$9,0)-1),MIN(W$23-EM!$B$16+11,EM!$AF$16-EM!$B$16)),0)+
IF(ROUND(W$11,0)&gt;=13,OFFSET(EM!$B$17,ROW($A31)-ROW($A$26)+(ROW(EM!$C$46)-ROW(EM!$C$14))*(MATCH(W$22,EM!$B$6:$B$9,0)-1),MIN(W$23-EM!$B$16+12,EM!$AF$16-EM!$B$16)),0)+
IF(ROUND(W$11,0)&gt;=14,OFFSET(EM!$B$17,ROW($A31)-ROW($A$26)+(ROW(EM!$C$46)-ROW(EM!$C$14))*(MATCH(W$22,EM!$B$6:$B$9,0)-1),MIN(W$23-EM!$B$16+13,EM!$AF$16-EM!$B$16)),0)+
IF(ROUND(W$11,0)&gt;=15,OFFSET(EM!$B$17,ROW($A31)-ROW($A$26)+(ROW(EM!$C$46)-ROW(EM!$C$14))*(MATCH(W$22,EM!$B$6:$B$9,0)-1),MIN(W$23-EM!$B$16+14,EM!$AF$16-EM!$B$16)),0)+
IF(ROUND(W$11,0)&gt;=16,OFFSET(EM!$B$17,ROW($A31)-ROW($A$26)+(ROW(EM!$C$46)-ROW(EM!$C$14))*(MATCH(W$22,EM!$B$6:$B$9,0)-1),MIN(W$23-EM!$B$16+15,EM!$AF$16-EM!$B$16)),0)+
IF(ROUND(W$11,0)&gt;=17,OFFSET(EM!$B$17,ROW($A31)-ROW($A$26)+(ROW(EM!$C$46)-ROW(EM!$C$14))*(MATCH(W$22,EM!$B$6:$B$9,0)-1),MIN(W$23-EM!$B$16+16,EM!$AF$16-EM!$B$16)),0)+
IF(ROUND(W$11,0)&gt;=18,OFFSET(EM!$B$17,ROW($A31)-ROW($A$26)+(ROW(EM!$C$46)-ROW(EM!$C$14))*(MATCH(W$22,EM!$B$6:$B$9,0)-1),MIN(W$23-EM!$B$16+17,EM!$AF$16-EM!$B$16)),0)+
IF(ROUND(W$11,0)&gt;=19,OFFSET(EM!$B$17,ROW($A31)-ROW($A$26)+(ROW(EM!$C$46)-ROW(EM!$C$14))*(MATCH(W$22,EM!$B$6:$B$9,0)-1),MIN(W$23-EM!$B$16+18,EM!$AF$16-EM!$B$16)),0)+
IF(ROUND(W$11,0)&gt;=20,OFFSET(EM!$B$17,ROW($A31)-ROW($A$26)+(ROW(EM!$C$46)-ROW(EM!$C$14))*(MATCH(W$22,EM!$B$6:$B$9,0)-1),MIN(W$23-EM!$B$16+19,EM!$AF$16-EM!$B$16)),0)+
IF(ROUND(W$11,0)&gt;=21,OFFSET(EM!$B$17,ROW($A31)-ROW($A$26)+(ROW(EM!$C$46)-ROW(EM!$C$14))*(MATCH(W$22,EM!$B$6:$B$9,0)-1),MIN(W$23-EM!$B$16+20,EM!$AF$16-EM!$B$16)),0)+
IF(ROUND(W$11,0)&gt;=22,OFFSET(EM!$B$17,ROW($A31)-ROW($A$26)+(ROW(EM!$C$46)-ROW(EM!$C$14))*(MATCH(W$22,EM!$B$6:$B$9,0)-1),MIN(W$23-EM!$B$16+21,EM!$AF$16-EM!$B$16)),0)+
IF(ROUND(W$11,0)&gt;=23,OFFSET(EM!$B$17,ROW($A31)-ROW($A$26)+(ROW(EM!$C$46)-ROW(EM!$C$14))*(MATCH(W$22,EM!$B$6:$B$9,0)-1),MIN(W$23-EM!$B$16+22,EM!$AF$16-EM!$B$16)),0)+
IF(ROUND(W$11,0)&gt;=24,OFFSET(EM!$B$17,ROW($A31)-ROW($A$26)+(ROW(EM!$C$46)-ROW(EM!$C$14))*(MATCH(W$22,EM!$B$6:$B$9,0)-1),MIN(W$23-EM!$B$16+23,EM!$AF$16-EM!$B$16)),0)+
IF(ROUND(W$11,0)&gt;=25,OFFSET(EM!$B$17,ROW($A31)-ROW($A$26)+(ROW(EM!$C$46)-ROW(EM!$C$14))*(MATCH(W$22,EM!$B$6:$B$9,0)-1),MIN(W$23-EM!$B$16+24,EM!$AF$16-EM!$B$16)),0)+
IF(ROUND(W$11,0)&gt;=26,OFFSET(EM!$B$17,ROW($A31)-ROW($A$26)+(ROW(EM!$C$46)-ROW(EM!$C$14))*(MATCH(W$22,EM!$B$6:$B$9,0)-1),MIN(W$23-EM!$B$16+25,EM!$AF$16-EM!$B$16)),0)+
IF(ROUND(W$11,0)&gt;=27,OFFSET(EM!$B$17,ROW($A31)-ROW($A$26)+(ROW(EM!$C$46)-ROW(EM!$C$14))*(MATCH(W$22,EM!$B$6:$B$9,0)-1),MIN(W$23-EM!$B$16+26,EM!$AF$16-EM!$B$16)),0)+
IF(ROUND(W$11,0)&gt;=28,OFFSET(EM!$B$17,ROW($A31)-ROW($A$26)+(ROW(EM!$C$46)-ROW(EM!$C$14))*(MATCH(W$22,EM!$B$6:$B$9,0)-1),MIN(W$23-EM!$B$16+27,EM!$AF$16-EM!$B$16)),0)+
IF(ROUND(W$11,0)&gt;=29,OFFSET(EM!$B$17,ROW($A31)-ROW($A$26)+(ROW(EM!$C$46)-ROW(EM!$C$14))*(MATCH(W$22,EM!$B$6:$B$9,0)-1),MIN(W$23-EM!$B$16+28,EM!$AF$16-EM!$B$16)),0)+
IF(ROUND(W$11,0)&gt;=30,OFFSET(EM!$B$17,ROW($A31)-ROW($A$26)+(ROW(EM!$C$46)-ROW(EM!$C$14))*(MATCH(W$22,EM!$B$6:$B$9,0)-1),MIN(W$23-EM!$B$16+29,EM!$AF$16-EM!$B$16)),0)+
IF(ROUND(W$11,0)&gt;=31,OFFSET(EM!$B$17,ROW($A31)-ROW($A$26)+(ROW(EM!$C$46)-ROW(EM!$C$14))*(MATCH(W$22,EM!$B$6:$B$9,0)-1),MIN(W$23-EM!$B$16+30,EM!$AF$16-EM!$B$16)),0)+
IF(ROUND(W$11,0)&gt;=32,OFFSET(EM!$B$17,ROW($A31)-ROW($A$26)+(ROW(EM!$C$46)-ROW(EM!$C$14))*(MATCH(W$22,EM!$B$6:$B$9,0)-1),MIN(W$23-EM!$B$16+31,EM!$AF$16-EM!$B$16)),0)+
IF(ROUND(W$11,0)&gt;=33,OFFSET(EM!$B$17,ROW($A31)-ROW($A$26)+(ROW(EM!$C$46)-ROW(EM!$C$14))*(MATCH(W$22,EM!$B$6:$B$9,0)-1),MIN(W$23-EM!$B$16+32,EM!$AF$16-EM!$B$16)),0)+
IF(ROUND(W$11,0)&gt;=34,OFFSET(EM!$B$17,ROW($A31)-ROW($A$26)+(ROW(EM!$C$46)-ROW(EM!$C$14))*(MATCH(W$22,EM!$B$6:$B$9,0)-1),MIN(W$23-EM!$B$16+33,EM!$AF$16-EM!$B$16)),0)+
IF(ROUND(W$11,0)&gt;=35,OFFSET(EM!$B$17,ROW($A31)-ROW($A$26)+(ROW(EM!$C$46)-ROW(EM!$C$14))*(MATCH(W$22,EM!$B$6:$B$9,0)-1),MIN(W$23-EM!$B$16+34,EM!$AF$16-EM!$B$16)),0)+
IF(ROUND(W$11,0)&gt;=36,OFFSET(EM!$B$17,ROW($A31)-ROW($A$26)+(ROW(EM!$C$46)-ROW(EM!$C$14))*(MATCH(W$22,EM!$B$6:$B$9,0)-1),MIN(W$23-EM!$B$16+35,EM!$AF$16-EM!$B$16)),0)+
IF(ROUND(W$11,0)&gt;=37,OFFSET(EM!$B$17,ROW($A31)-ROW($A$26)+(ROW(EM!$C$46)-ROW(EM!$C$14))*(MATCH(W$22,EM!$B$6:$B$9,0)-1),MIN(W$23-EM!$B$16+36,EM!$AF$16-EM!$B$16)),0)+
IF(ROUND(W$11,0)&gt;=38,OFFSET(EM!$B$17,ROW($A31)-ROW($A$26)+(ROW(EM!$C$46)-ROW(EM!$C$14))*(MATCH(W$22,EM!$B$6:$B$9,0)-1),MIN(W$23-EM!$B$16+37,EM!$AF$16-EM!$B$16)),0)+
IF(ROUND(W$11,0)&gt;=39,OFFSET(EM!$B$17,ROW($A31)-ROW($A$26)+(ROW(EM!$C$46)-ROW(EM!$C$14))*(MATCH(W$22,EM!$B$6:$B$9,0)-1),MIN(W$23-EM!$B$16+38,EM!$AF$16-EM!$B$16)),0)+
IF(ROUND(W$11,0)&gt;=40,OFFSET(EM!$B$17,ROW($A31)-ROW($A$26)+(ROW(EM!$C$46)-ROW(EM!$C$14))*(MATCH(W$22,EM!$B$6:$B$9,0)-1),MIN(W$23-EM!$B$16+39,EM!$AF$16-EM!$B$16)),0)
)/ROUND(W$11,0),NA()))</f>
        <v>0.19126569597021811</v>
      </c>
      <c r="X31" s="2046">
        <f ca="1">IF(X$19=GPG!$A$28,IF(ROW(X31)-ROW(X$26)+1=MATCH(X$20,GPG!$A$5:$A$11,0),1,0),
IF(X$19=GPG!$A$29,
(IF(ROUND(X$11,0)&gt;=1,OFFSET(EM!$B$17,ROW($A31)-ROW($A$26)+(ROW(EM!$C$46)-ROW(EM!$C$14))*(MATCH(X$22,EM!$B$6:$B$9,0)-1),MIN(X$23-EM!$B$16,EM!$AF$16-EM!$B$16)),0)+
IF(ROUND(X$11,0)&gt;=2,OFFSET(EM!$B$17,ROW($A31)-ROW($A$26)+(ROW(EM!$C$46)-ROW(EM!$C$14))*(MATCH(X$22,EM!$B$6:$B$9,0)-1),MIN(X$23-EM!$B$16+1,EM!$AF$16-EM!$B$16)),0)+
IF(ROUND(X$11,0)&gt;=3,OFFSET(EM!$B$17,ROW($A31)-ROW($A$26)+(ROW(EM!$C$46)-ROW(EM!$C$14))*(MATCH(X$22,EM!$B$6:$B$9,0)-1),MIN(X$23-EM!$B$16+2,EM!$AF$16-EM!$B$16)),0)+
IF(ROUND(X$11,0)&gt;=4,OFFSET(EM!$B$17,ROW($A31)-ROW($A$26)+(ROW(EM!$C$46)-ROW(EM!$C$14))*(MATCH(X$22,EM!$B$6:$B$9,0)-1),MIN(X$23-EM!$B$16+3,EM!$AF$16-EM!$B$16)),0)+
IF(ROUND(X$11,0)&gt;=5,OFFSET(EM!$B$17,ROW($A31)-ROW($A$26)+(ROW(EM!$C$46)-ROW(EM!$C$14))*(MATCH(X$22,EM!$B$6:$B$9,0)-1),MIN(X$23-EM!$B$16+4,EM!$AF$16-EM!$B$16)),0)+
IF(ROUND(X$11,0)&gt;=6,OFFSET(EM!$B$17,ROW($A31)-ROW($A$26)+(ROW(EM!$C$46)-ROW(EM!$C$14))*(MATCH(X$22,EM!$B$6:$B$9,0)-1),MIN(X$23-EM!$B$16+5,EM!$AF$16-EM!$B$16)),0)+
IF(ROUND(X$11,0)&gt;=7,OFFSET(EM!$B$17,ROW($A31)-ROW($A$26)+(ROW(EM!$C$46)-ROW(EM!$C$14))*(MATCH(X$22,EM!$B$6:$B$9,0)-1),MIN(X$23-EM!$B$16+6,EM!$AF$16-EM!$B$16)),0)+
IF(ROUND(X$11,0)&gt;=8,OFFSET(EM!$B$17,ROW($A31)-ROW($A$26)+(ROW(EM!$C$46)-ROW(EM!$C$14))*(MATCH(X$22,EM!$B$6:$B$9,0)-1),MIN(X$23-EM!$B$16+7,EM!$AF$16-EM!$B$16)),0)+
IF(ROUND(X$11,0)&gt;=9,OFFSET(EM!$B$17,ROW($A31)-ROW($A$26)+(ROW(EM!$C$46)-ROW(EM!$C$14))*(MATCH(X$22,EM!$B$6:$B$9,0)-1),MIN(X$23-EM!$B$16+8,EM!$AF$16-EM!$B$16)),0)+
IF(ROUND(X$11,0)&gt;=10,OFFSET(EM!$B$17,ROW($A31)-ROW($A$26)+(ROW(EM!$C$46)-ROW(EM!$C$14))*(MATCH(X$22,EM!$B$6:$B$9,0)-1),MIN(X$23-EM!$B$16+9,EM!$AF$16-EM!$B$16)),0)+
IF(ROUND(X$11,0)&gt;=11,OFFSET(EM!$B$17,ROW($A31)-ROW($A$26)+(ROW(EM!$C$46)-ROW(EM!$C$14))*(MATCH(X$22,EM!$B$6:$B$9,0)-1),MIN(X$23-EM!$B$16+10,EM!$AF$16-EM!$B$16)),0)+
IF(ROUND(X$11,0)&gt;=12,OFFSET(EM!$B$17,ROW($A31)-ROW($A$26)+(ROW(EM!$C$46)-ROW(EM!$C$14))*(MATCH(X$22,EM!$B$6:$B$9,0)-1),MIN(X$23-EM!$B$16+11,EM!$AF$16-EM!$B$16)),0)+
IF(ROUND(X$11,0)&gt;=13,OFFSET(EM!$B$17,ROW($A31)-ROW($A$26)+(ROW(EM!$C$46)-ROW(EM!$C$14))*(MATCH(X$22,EM!$B$6:$B$9,0)-1),MIN(X$23-EM!$B$16+12,EM!$AF$16-EM!$B$16)),0)+
IF(ROUND(X$11,0)&gt;=14,OFFSET(EM!$B$17,ROW($A31)-ROW($A$26)+(ROW(EM!$C$46)-ROW(EM!$C$14))*(MATCH(X$22,EM!$B$6:$B$9,0)-1),MIN(X$23-EM!$B$16+13,EM!$AF$16-EM!$B$16)),0)+
IF(ROUND(X$11,0)&gt;=15,OFFSET(EM!$B$17,ROW($A31)-ROW($A$26)+(ROW(EM!$C$46)-ROW(EM!$C$14))*(MATCH(X$22,EM!$B$6:$B$9,0)-1),MIN(X$23-EM!$B$16+14,EM!$AF$16-EM!$B$16)),0)+
IF(ROUND(X$11,0)&gt;=16,OFFSET(EM!$B$17,ROW($A31)-ROW($A$26)+(ROW(EM!$C$46)-ROW(EM!$C$14))*(MATCH(X$22,EM!$B$6:$B$9,0)-1),MIN(X$23-EM!$B$16+15,EM!$AF$16-EM!$B$16)),0)+
IF(ROUND(X$11,0)&gt;=17,OFFSET(EM!$B$17,ROW($A31)-ROW($A$26)+(ROW(EM!$C$46)-ROW(EM!$C$14))*(MATCH(X$22,EM!$B$6:$B$9,0)-1),MIN(X$23-EM!$B$16+16,EM!$AF$16-EM!$B$16)),0)+
IF(ROUND(X$11,0)&gt;=18,OFFSET(EM!$B$17,ROW($A31)-ROW($A$26)+(ROW(EM!$C$46)-ROW(EM!$C$14))*(MATCH(X$22,EM!$B$6:$B$9,0)-1),MIN(X$23-EM!$B$16+17,EM!$AF$16-EM!$B$16)),0)+
IF(ROUND(X$11,0)&gt;=19,OFFSET(EM!$B$17,ROW($A31)-ROW($A$26)+(ROW(EM!$C$46)-ROW(EM!$C$14))*(MATCH(X$22,EM!$B$6:$B$9,0)-1),MIN(X$23-EM!$B$16+18,EM!$AF$16-EM!$B$16)),0)+
IF(ROUND(X$11,0)&gt;=20,OFFSET(EM!$B$17,ROW($A31)-ROW($A$26)+(ROW(EM!$C$46)-ROW(EM!$C$14))*(MATCH(X$22,EM!$B$6:$B$9,0)-1),MIN(X$23-EM!$B$16+19,EM!$AF$16-EM!$B$16)),0)+
IF(ROUND(X$11,0)&gt;=21,OFFSET(EM!$B$17,ROW($A31)-ROW($A$26)+(ROW(EM!$C$46)-ROW(EM!$C$14))*(MATCH(X$22,EM!$B$6:$B$9,0)-1),MIN(X$23-EM!$B$16+20,EM!$AF$16-EM!$B$16)),0)+
IF(ROUND(X$11,0)&gt;=22,OFFSET(EM!$B$17,ROW($A31)-ROW($A$26)+(ROW(EM!$C$46)-ROW(EM!$C$14))*(MATCH(X$22,EM!$B$6:$B$9,0)-1),MIN(X$23-EM!$B$16+21,EM!$AF$16-EM!$B$16)),0)+
IF(ROUND(X$11,0)&gt;=23,OFFSET(EM!$B$17,ROW($A31)-ROW($A$26)+(ROW(EM!$C$46)-ROW(EM!$C$14))*(MATCH(X$22,EM!$B$6:$B$9,0)-1),MIN(X$23-EM!$B$16+22,EM!$AF$16-EM!$B$16)),0)+
IF(ROUND(X$11,0)&gt;=24,OFFSET(EM!$B$17,ROW($A31)-ROW($A$26)+(ROW(EM!$C$46)-ROW(EM!$C$14))*(MATCH(X$22,EM!$B$6:$B$9,0)-1),MIN(X$23-EM!$B$16+23,EM!$AF$16-EM!$B$16)),0)+
IF(ROUND(X$11,0)&gt;=25,OFFSET(EM!$B$17,ROW($A31)-ROW($A$26)+(ROW(EM!$C$46)-ROW(EM!$C$14))*(MATCH(X$22,EM!$B$6:$B$9,0)-1),MIN(X$23-EM!$B$16+24,EM!$AF$16-EM!$B$16)),0)+
IF(ROUND(X$11,0)&gt;=26,OFFSET(EM!$B$17,ROW($A31)-ROW($A$26)+(ROW(EM!$C$46)-ROW(EM!$C$14))*(MATCH(X$22,EM!$B$6:$B$9,0)-1),MIN(X$23-EM!$B$16+25,EM!$AF$16-EM!$B$16)),0)+
IF(ROUND(X$11,0)&gt;=27,OFFSET(EM!$B$17,ROW($A31)-ROW($A$26)+(ROW(EM!$C$46)-ROW(EM!$C$14))*(MATCH(X$22,EM!$B$6:$B$9,0)-1),MIN(X$23-EM!$B$16+26,EM!$AF$16-EM!$B$16)),0)+
IF(ROUND(X$11,0)&gt;=28,OFFSET(EM!$B$17,ROW($A31)-ROW($A$26)+(ROW(EM!$C$46)-ROW(EM!$C$14))*(MATCH(X$22,EM!$B$6:$B$9,0)-1),MIN(X$23-EM!$B$16+27,EM!$AF$16-EM!$B$16)),0)+
IF(ROUND(X$11,0)&gt;=29,OFFSET(EM!$B$17,ROW($A31)-ROW($A$26)+(ROW(EM!$C$46)-ROW(EM!$C$14))*(MATCH(X$22,EM!$B$6:$B$9,0)-1),MIN(X$23-EM!$B$16+28,EM!$AF$16-EM!$B$16)),0)+
IF(ROUND(X$11,0)&gt;=30,OFFSET(EM!$B$17,ROW($A31)-ROW($A$26)+(ROW(EM!$C$46)-ROW(EM!$C$14))*(MATCH(X$22,EM!$B$6:$B$9,0)-1),MIN(X$23-EM!$B$16+29,EM!$AF$16-EM!$B$16)),0)+
IF(ROUND(X$11,0)&gt;=31,OFFSET(EM!$B$17,ROW($A31)-ROW($A$26)+(ROW(EM!$C$46)-ROW(EM!$C$14))*(MATCH(X$22,EM!$B$6:$B$9,0)-1),MIN(X$23-EM!$B$16+30,EM!$AF$16-EM!$B$16)),0)+
IF(ROUND(X$11,0)&gt;=32,OFFSET(EM!$B$17,ROW($A31)-ROW($A$26)+(ROW(EM!$C$46)-ROW(EM!$C$14))*(MATCH(X$22,EM!$B$6:$B$9,0)-1),MIN(X$23-EM!$B$16+31,EM!$AF$16-EM!$B$16)),0)+
IF(ROUND(X$11,0)&gt;=33,OFFSET(EM!$B$17,ROW($A31)-ROW($A$26)+(ROW(EM!$C$46)-ROW(EM!$C$14))*(MATCH(X$22,EM!$B$6:$B$9,0)-1),MIN(X$23-EM!$B$16+32,EM!$AF$16-EM!$B$16)),0)+
IF(ROUND(X$11,0)&gt;=34,OFFSET(EM!$B$17,ROW($A31)-ROW($A$26)+(ROW(EM!$C$46)-ROW(EM!$C$14))*(MATCH(X$22,EM!$B$6:$B$9,0)-1),MIN(X$23-EM!$B$16+33,EM!$AF$16-EM!$B$16)),0)+
IF(ROUND(X$11,0)&gt;=35,OFFSET(EM!$B$17,ROW($A31)-ROW($A$26)+(ROW(EM!$C$46)-ROW(EM!$C$14))*(MATCH(X$22,EM!$B$6:$B$9,0)-1),MIN(X$23-EM!$B$16+34,EM!$AF$16-EM!$B$16)),0)+
IF(ROUND(X$11,0)&gt;=36,OFFSET(EM!$B$17,ROW($A31)-ROW($A$26)+(ROW(EM!$C$46)-ROW(EM!$C$14))*(MATCH(X$22,EM!$B$6:$B$9,0)-1),MIN(X$23-EM!$B$16+35,EM!$AF$16-EM!$B$16)),0)+
IF(ROUND(X$11,0)&gt;=37,OFFSET(EM!$B$17,ROW($A31)-ROW($A$26)+(ROW(EM!$C$46)-ROW(EM!$C$14))*(MATCH(X$22,EM!$B$6:$B$9,0)-1),MIN(X$23-EM!$B$16+36,EM!$AF$16-EM!$B$16)),0)+
IF(ROUND(X$11,0)&gt;=38,OFFSET(EM!$B$17,ROW($A31)-ROW($A$26)+(ROW(EM!$C$46)-ROW(EM!$C$14))*(MATCH(X$22,EM!$B$6:$B$9,0)-1),MIN(X$23-EM!$B$16+37,EM!$AF$16-EM!$B$16)),0)+
IF(ROUND(X$11,0)&gt;=39,OFFSET(EM!$B$17,ROW($A31)-ROW($A$26)+(ROW(EM!$C$46)-ROW(EM!$C$14))*(MATCH(X$22,EM!$B$6:$B$9,0)-1),MIN(X$23-EM!$B$16+38,EM!$AF$16-EM!$B$16)),0)+
IF(ROUND(X$11,0)&gt;=40,OFFSET(EM!$B$17,ROW($A31)-ROW($A$26)+(ROW(EM!$C$46)-ROW(EM!$C$14))*(MATCH(X$22,EM!$B$6:$B$9,0)-1),MIN(X$23-EM!$B$16+39,EM!$AF$16-EM!$B$16)),0)
)/ROUND(X$11,0),NA()))</f>
        <v>0</v>
      </c>
      <c r="Y31" s="2046">
        <f ca="1">IF(Y$19=GPG!$A$28,IF(ROW(Y31)-ROW(Y$26)+1=MATCH(Y$20,GPG!$A$5:$A$11,0),1,0),
IF(Y$19=GPG!$A$29,
(IF(ROUND(Y$11,0)&gt;=1,OFFSET(EM!$B$17,ROW($A31)-ROW($A$26)+(ROW(EM!$C$46)-ROW(EM!$C$14))*(MATCH(Y$22,EM!$B$6:$B$9,0)-1),MIN(Y$23-EM!$B$16,EM!$AF$16-EM!$B$16)),0)+
IF(ROUND(Y$11,0)&gt;=2,OFFSET(EM!$B$17,ROW($A31)-ROW($A$26)+(ROW(EM!$C$46)-ROW(EM!$C$14))*(MATCH(Y$22,EM!$B$6:$B$9,0)-1),MIN(Y$23-EM!$B$16+1,EM!$AF$16-EM!$B$16)),0)+
IF(ROUND(Y$11,0)&gt;=3,OFFSET(EM!$B$17,ROW($A31)-ROW($A$26)+(ROW(EM!$C$46)-ROW(EM!$C$14))*(MATCH(Y$22,EM!$B$6:$B$9,0)-1),MIN(Y$23-EM!$B$16+2,EM!$AF$16-EM!$B$16)),0)+
IF(ROUND(Y$11,0)&gt;=4,OFFSET(EM!$B$17,ROW($A31)-ROW($A$26)+(ROW(EM!$C$46)-ROW(EM!$C$14))*(MATCH(Y$22,EM!$B$6:$B$9,0)-1),MIN(Y$23-EM!$B$16+3,EM!$AF$16-EM!$B$16)),0)+
IF(ROUND(Y$11,0)&gt;=5,OFFSET(EM!$B$17,ROW($A31)-ROW($A$26)+(ROW(EM!$C$46)-ROW(EM!$C$14))*(MATCH(Y$22,EM!$B$6:$B$9,0)-1),MIN(Y$23-EM!$B$16+4,EM!$AF$16-EM!$B$16)),0)+
IF(ROUND(Y$11,0)&gt;=6,OFFSET(EM!$B$17,ROW($A31)-ROW($A$26)+(ROW(EM!$C$46)-ROW(EM!$C$14))*(MATCH(Y$22,EM!$B$6:$B$9,0)-1),MIN(Y$23-EM!$B$16+5,EM!$AF$16-EM!$B$16)),0)+
IF(ROUND(Y$11,0)&gt;=7,OFFSET(EM!$B$17,ROW($A31)-ROW($A$26)+(ROW(EM!$C$46)-ROW(EM!$C$14))*(MATCH(Y$22,EM!$B$6:$B$9,0)-1),MIN(Y$23-EM!$B$16+6,EM!$AF$16-EM!$B$16)),0)+
IF(ROUND(Y$11,0)&gt;=8,OFFSET(EM!$B$17,ROW($A31)-ROW($A$26)+(ROW(EM!$C$46)-ROW(EM!$C$14))*(MATCH(Y$22,EM!$B$6:$B$9,0)-1),MIN(Y$23-EM!$B$16+7,EM!$AF$16-EM!$B$16)),0)+
IF(ROUND(Y$11,0)&gt;=9,OFFSET(EM!$B$17,ROW($A31)-ROW($A$26)+(ROW(EM!$C$46)-ROW(EM!$C$14))*(MATCH(Y$22,EM!$B$6:$B$9,0)-1),MIN(Y$23-EM!$B$16+8,EM!$AF$16-EM!$B$16)),0)+
IF(ROUND(Y$11,0)&gt;=10,OFFSET(EM!$B$17,ROW($A31)-ROW($A$26)+(ROW(EM!$C$46)-ROW(EM!$C$14))*(MATCH(Y$22,EM!$B$6:$B$9,0)-1),MIN(Y$23-EM!$B$16+9,EM!$AF$16-EM!$B$16)),0)+
IF(ROUND(Y$11,0)&gt;=11,OFFSET(EM!$B$17,ROW($A31)-ROW($A$26)+(ROW(EM!$C$46)-ROW(EM!$C$14))*(MATCH(Y$22,EM!$B$6:$B$9,0)-1),MIN(Y$23-EM!$B$16+10,EM!$AF$16-EM!$B$16)),0)+
IF(ROUND(Y$11,0)&gt;=12,OFFSET(EM!$B$17,ROW($A31)-ROW($A$26)+(ROW(EM!$C$46)-ROW(EM!$C$14))*(MATCH(Y$22,EM!$B$6:$B$9,0)-1),MIN(Y$23-EM!$B$16+11,EM!$AF$16-EM!$B$16)),0)+
IF(ROUND(Y$11,0)&gt;=13,OFFSET(EM!$B$17,ROW($A31)-ROW($A$26)+(ROW(EM!$C$46)-ROW(EM!$C$14))*(MATCH(Y$22,EM!$B$6:$B$9,0)-1),MIN(Y$23-EM!$B$16+12,EM!$AF$16-EM!$B$16)),0)+
IF(ROUND(Y$11,0)&gt;=14,OFFSET(EM!$B$17,ROW($A31)-ROW($A$26)+(ROW(EM!$C$46)-ROW(EM!$C$14))*(MATCH(Y$22,EM!$B$6:$B$9,0)-1),MIN(Y$23-EM!$B$16+13,EM!$AF$16-EM!$B$16)),0)+
IF(ROUND(Y$11,0)&gt;=15,OFFSET(EM!$B$17,ROW($A31)-ROW($A$26)+(ROW(EM!$C$46)-ROW(EM!$C$14))*(MATCH(Y$22,EM!$B$6:$B$9,0)-1),MIN(Y$23-EM!$B$16+14,EM!$AF$16-EM!$B$16)),0)+
IF(ROUND(Y$11,0)&gt;=16,OFFSET(EM!$B$17,ROW($A31)-ROW($A$26)+(ROW(EM!$C$46)-ROW(EM!$C$14))*(MATCH(Y$22,EM!$B$6:$B$9,0)-1),MIN(Y$23-EM!$B$16+15,EM!$AF$16-EM!$B$16)),0)+
IF(ROUND(Y$11,0)&gt;=17,OFFSET(EM!$B$17,ROW($A31)-ROW($A$26)+(ROW(EM!$C$46)-ROW(EM!$C$14))*(MATCH(Y$22,EM!$B$6:$B$9,0)-1),MIN(Y$23-EM!$B$16+16,EM!$AF$16-EM!$B$16)),0)+
IF(ROUND(Y$11,0)&gt;=18,OFFSET(EM!$B$17,ROW($A31)-ROW($A$26)+(ROW(EM!$C$46)-ROW(EM!$C$14))*(MATCH(Y$22,EM!$B$6:$B$9,0)-1),MIN(Y$23-EM!$B$16+17,EM!$AF$16-EM!$B$16)),0)+
IF(ROUND(Y$11,0)&gt;=19,OFFSET(EM!$B$17,ROW($A31)-ROW($A$26)+(ROW(EM!$C$46)-ROW(EM!$C$14))*(MATCH(Y$22,EM!$B$6:$B$9,0)-1),MIN(Y$23-EM!$B$16+18,EM!$AF$16-EM!$B$16)),0)+
IF(ROUND(Y$11,0)&gt;=20,OFFSET(EM!$B$17,ROW($A31)-ROW($A$26)+(ROW(EM!$C$46)-ROW(EM!$C$14))*(MATCH(Y$22,EM!$B$6:$B$9,0)-1),MIN(Y$23-EM!$B$16+19,EM!$AF$16-EM!$B$16)),0)+
IF(ROUND(Y$11,0)&gt;=21,OFFSET(EM!$B$17,ROW($A31)-ROW($A$26)+(ROW(EM!$C$46)-ROW(EM!$C$14))*(MATCH(Y$22,EM!$B$6:$B$9,0)-1),MIN(Y$23-EM!$B$16+20,EM!$AF$16-EM!$B$16)),0)+
IF(ROUND(Y$11,0)&gt;=22,OFFSET(EM!$B$17,ROW($A31)-ROW($A$26)+(ROW(EM!$C$46)-ROW(EM!$C$14))*(MATCH(Y$22,EM!$B$6:$B$9,0)-1),MIN(Y$23-EM!$B$16+21,EM!$AF$16-EM!$B$16)),0)+
IF(ROUND(Y$11,0)&gt;=23,OFFSET(EM!$B$17,ROW($A31)-ROW($A$26)+(ROW(EM!$C$46)-ROW(EM!$C$14))*(MATCH(Y$22,EM!$B$6:$B$9,0)-1),MIN(Y$23-EM!$B$16+22,EM!$AF$16-EM!$B$16)),0)+
IF(ROUND(Y$11,0)&gt;=24,OFFSET(EM!$B$17,ROW($A31)-ROW($A$26)+(ROW(EM!$C$46)-ROW(EM!$C$14))*(MATCH(Y$22,EM!$B$6:$B$9,0)-1),MIN(Y$23-EM!$B$16+23,EM!$AF$16-EM!$B$16)),0)+
IF(ROUND(Y$11,0)&gt;=25,OFFSET(EM!$B$17,ROW($A31)-ROW($A$26)+(ROW(EM!$C$46)-ROW(EM!$C$14))*(MATCH(Y$22,EM!$B$6:$B$9,0)-1),MIN(Y$23-EM!$B$16+24,EM!$AF$16-EM!$B$16)),0)+
IF(ROUND(Y$11,0)&gt;=26,OFFSET(EM!$B$17,ROW($A31)-ROW($A$26)+(ROW(EM!$C$46)-ROW(EM!$C$14))*(MATCH(Y$22,EM!$B$6:$B$9,0)-1),MIN(Y$23-EM!$B$16+25,EM!$AF$16-EM!$B$16)),0)+
IF(ROUND(Y$11,0)&gt;=27,OFFSET(EM!$B$17,ROW($A31)-ROW($A$26)+(ROW(EM!$C$46)-ROW(EM!$C$14))*(MATCH(Y$22,EM!$B$6:$B$9,0)-1),MIN(Y$23-EM!$B$16+26,EM!$AF$16-EM!$B$16)),0)+
IF(ROUND(Y$11,0)&gt;=28,OFFSET(EM!$B$17,ROW($A31)-ROW($A$26)+(ROW(EM!$C$46)-ROW(EM!$C$14))*(MATCH(Y$22,EM!$B$6:$B$9,0)-1),MIN(Y$23-EM!$B$16+27,EM!$AF$16-EM!$B$16)),0)+
IF(ROUND(Y$11,0)&gt;=29,OFFSET(EM!$B$17,ROW($A31)-ROW($A$26)+(ROW(EM!$C$46)-ROW(EM!$C$14))*(MATCH(Y$22,EM!$B$6:$B$9,0)-1),MIN(Y$23-EM!$B$16+28,EM!$AF$16-EM!$B$16)),0)+
IF(ROUND(Y$11,0)&gt;=30,OFFSET(EM!$B$17,ROW($A31)-ROW($A$26)+(ROW(EM!$C$46)-ROW(EM!$C$14))*(MATCH(Y$22,EM!$B$6:$B$9,0)-1),MIN(Y$23-EM!$B$16+29,EM!$AF$16-EM!$B$16)),0)+
IF(ROUND(Y$11,0)&gt;=31,OFFSET(EM!$B$17,ROW($A31)-ROW($A$26)+(ROW(EM!$C$46)-ROW(EM!$C$14))*(MATCH(Y$22,EM!$B$6:$B$9,0)-1),MIN(Y$23-EM!$B$16+30,EM!$AF$16-EM!$B$16)),0)+
IF(ROUND(Y$11,0)&gt;=32,OFFSET(EM!$B$17,ROW($A31)-ROW($A$26)+(ROW(EM!$C$46)-ROW(EM!$C$14))*(MATCH(Y$22,EM!$B$6:$B$9,0)-1),MIN(Y$23-EM!$B$16+31,EM!$AF$16-EM!$B$16)),0)+
IF(ROUND(Y$11,0)&gt;=33,OFFSET(EM!$B$17,ROW($A31)-ROW($A$26)+(ROW(EM!$C$46)-ROW(EM!$C$14))*(MATCH(Y$22,EM!$B$6:$B$9,0)-1),MIN(Y$23-EM!$B$16+32,EM!$AF$16-EM!$B$16)),0)+
IF(ROUND(Y$11,0)&gt;=34,OFFSET(EM!$B$17,ROW($A31)-ROW($A$26)+(ROW(EM!$C$46)-ROW(EM!$C$14))*(MATCH(Y$22,EM!$B$6:$B$9,0)-1),MIN(Y$23-EM!$B$16+33,EM!$AF$16-EM!$B$16)),0)+
IF(ROUND(Y$11,0)&gt;=35,OFFSET(EM!$B$17,ROW($A31)-ROW($A$26)+(ROW(EM!$C$46)-ROW(EM!$C$14))*(MATCH(Y$22,EM!$B$6:$B$9,0)-1),MIN(Y$23-EM!$B$16+34,EM!$AF$16-EM!$B$16)),0)+
IF(ROUND(Y$11,0)&gt;=36,OFFSET(EM!$B$17,ROW($A31)-ROW($A$26)+(ROW(EM!$C$46)-ROW(EM!$C$14))*(MATCH(Y$22,EM!$B$6:$B$9,0)-1),MIN(Y$23-EM!$B$16+35,EM!$AF$16-EM!$B$16)),0)+
IF(ROUND(Y$11,0)&gt;=37,OFFSET(EM!$B$17,ROW($A31)-ROW($A$26)+(ROW(EM!$C$46)-ROW(EM!$C$14))*(MATCH(Y$22,EM!$B$6:$B$9,0)-1),MIN(Y$23-EM!$B$16+36,EM!$AF$16-EM!$B$16)),0)+
IF(ROUND(Y$11,0)&gt;=38,OFFSET(EM!$B$17,ROW($A31)-ROW($A$26)+(ROW(EM!$C$46)-ROW(EM!$C$14))*(MATCH(Y$22,EM!$B$6:$B$9,0)-1),MIN(Y$23-EM!$B$16+37,EM!$AF$16-EM!$B$16)),0)+
IF(ROUND(Y$11,0)&gt;=39,OFFSET(EM!$B$17,ROW($A31)-ROW($A$26)+(ROW(EM!$C$46)-ROW(EM!$C$14))*(MATCH(Y$22,EM!$B$6:$B$9,0)-1),MIN(Y$23-EM!$B$16+38,EM!$AF$16-EM!$B$16)),0)+
IF(ROUND(Y$11,0)&gt;=40,OFFSET(EM!$B$17,ROW($A31)-ROW($A$26)+(ROW(EM!$C$46)-ROW(EM!$C$14))*(MATCH(Y$22,EM!$B$6:$B$9,0)-1),MIN(Y$23-EM!$B$16+39,EM!$AF$16-EM!$B$16)),0)
)/ROUND(Y$11,0),NA()))</f>
        <v>0.19126569597021806</v>
      </c>
      <c r="Z31" s="2046">
        <f ca="1">IF(Z$19=GPG!$A$28,IF(ROW(Z31)-ROW(Z$26)+1=MATCH(Z$20,GPG!$A$5:$A$11,0),1,0),
IF(Z$19=GPG!$A$29,
(IF(ROUND(Z$11,0)&gt;=1,OFFSET(EM!$B$17,ROW($A31)-ROW($A$26)+(ROW(EM!$C$46)-ROW(EM!$C$14))*(MATCH(Z$22,EM!$B$6:$B$9,0)-1),MIN(Z$23-EM!$B$16,EM!$AF$16-EM!$B$16)),0)+
IF(ROUND(Z$11,0)&gt;=2,OFFSET(EM!$B$17,ROW($A31)-ROW($A$26)+(ROW(EM!$C$46)-ROW(EM!$C$14))*(MATCH(Z$22,EM!$B$6:$B$9,0)-1),MIN(Z$23-EM!$B$16+1,EM!$AF$16-EM!$B$16)),0)+
IF(ROUND(Z$11,0)&gt;=3,OFFSET(EM!$B$17,ROW($A31)-ROW($A$26)+(ROW(EM!$C$46)-ROW(EM!$C$14))*(MATCH(Z$22,EM!$B$6:$B$9,0)-1),MIN(Z$23-EM!$B$16+2,EM!$AF$16-EM!$B$16)),0)+
IF(ROUND(Z$11,0)&gt;=4,OFFSET(EM!$B$17,ROW($A31)-ROW($A$26)+(ROW(EM!$C$46)-ROW(EM!$C$14))*(MATCH(Z$22,EM!$B$6:$B$9,0)-1),MIN(Z$23-EM!$B$16+3,EM!$AF$16-EM!$B$16)),0)+
IF(ROUND(Z$11,0)&gt;=5,OFFSET(EM!$B$17,ROW($A31)-ROW($A$26)+(ROW(EM!$C$46)-ROW(EM!$C$14))*(MATCH(Z$22,EM!$B$6:$B$9,0)-1),MIN(Z$23-EM!$B$16+4,EM!$AF$16-EM!$B$16)),0)+
IF(ROUND(Z$11,0)&gt;=6,OFFSET(EM!$B$17,ROW($A31)-ROW($A$26)+(ROW(EM!$C$46)-ROW(EM!$C$14))*(MATCH(Z$22,EM!$B$6:$B$9,0)-1),MIN(Z$23-EM!$B$16+5,EM!$AF$16-EM!$B$16)),0)+
IF(ROUND(Z$11,0)&gt;=7,OFFSET(EM!$B$17,ROW($A31)-ROW($A$26)+(ROW(EM!$C$46)-ROW(EM!$C$14))*(MATCH(Z$22,EM!$B$6:$B$9,0)-1),MIN(Z$23-EM!$B$16+6,EM!$AF$16-EM!$B$16)),0)+
IF(ROUND(Z$11,0)&gt;=8,OFFSET(EM!$B$17,ROW($A31)-ROW($A$26)+(ROW(EM!$C$46)-ROW(EM!$C$14))*(MATCH(Z$22,EM!$B$6:$B$9,0)-1),MIN(Z$23-EM!$B$16+7,EM!$AF$16-EM!$B$16)),0)+
IF(ROUND(Z$11,0)&gt;=9,OFFSET(EM!$B$17,ROW($A31)-ROW($A$26)+(ROW(EM!$C$46)-ROW(EM!$C$14))*(MATCH(Z$22,EM!$B$6:$B$9,0)-1),MIN(Z$23-EM!$B$16+8,EM!$AF$16-EM!$B$16)),0)+
IF(ROUND(Z$11,0)&gt;=10,OFFSET(EM!$B$17,ROW($A31)-ROW($A$26)+(ROW(EM!$C$46)-ROW(EM!$C$14))*(MATCH(Z$22,EM!$B$6:$B$9,0)-1),MIN(Z$23-EM!$B$16+9,EM!$AF$16-EM!$B$16)),0)+
IF(ROUND(Z$11,0)&gt;=11,OFFSET(EM!$B$17,ROW($A31)-ROW($A$26)+(ROW(EM!$C$46)-ROW(EM!$C$14))*(MATCH(Z$22,EM!$B$6:$B$9,0)-1),MIN(Z$23-EM!$B$16+10,EM!$AF$16-EM!$B$16)),0)+
IF(ROUND(Z$11,0)&gt;=12,OFFSET(EM!$B$17,ROW($A31)-ROW($A$26)+(ROW(EM!$C$46)-ROW(EM!$C$14))*(MATCH(Z$22,EM!$B$6:$B$9,0)-1),MIN(Z$23-EM!$B$16+11,EM!$AF$16-EM!$B$16)),0)+
IF(ROUND(Z$11,0)&gt;=13,OFFSET(EM!$B$17,ROW($A31)-ROW($A$26)+(ROW(EM!$C$46)-ROW(EM!$C$14))*(MATCH(Z$22,EM!$B$6:$B$9,0)-1),MIN(Z$23-EM!$B$16+12,EM!$AF$16-EM!$B$16)),0)+
IF(ROUND(Z$11,0)&gt;=14,OFFSET(EM!$B$17,ROW($A31)-ROW($A$26)+(ROW(EM!$C$46)-ROW(EM!$C$14))*(MATCH(Z$22,EM!$B$6:$B$9,0)-1),MIN(Z$23-EM!$B$16+13,EM!$AF$16-EM!$B$16)),0)+
IF(ROUND(Z$11,0)&gt;=15,OFFSET(EM!$B$17,ROW($A31)-ROW($A$26)+(ROW(EM!$C$46)-ROW(EM!$C$14))*(MATCH(Z$22,EM!$B$6:$B$9,0)-1),MIN(Z$23-EM!$B$16+14,EM!$AF$16-EM!$B$16)),0)+
IF(ROUND(Z$11,0)&gt;=16,OFFSET(EM!$B$17,ROW($A31)-ROW($A$26)+(ROW(EM!$C$46)-ROW(EM!$C$14))*(MATCH(Z$22,EM!$B$6:$B$9,0)-1),MIN(Z$23-EM!$B$16+15,EM!$AF$16-EM!$B$16)),0)+
IF(ROUND(Z$11,0)&gt;=17,OFFSET(EM!$B$17,ROW($A31)-ROW($A$26)+(ROW(EM!$C$46)-ROW(EM!$C$14))*(MATCH(Z$22,EM!$B$6:$B$9,0)-1),MIN(Z$23-EM!$B$16+16,EM!$AF$16-EM!$B$16)),0)+
IF(ROUND(Z$11,0)&gt;=18,OFFSET(EM!$B$17,ROW($A31)-ROW($A$26)+(ROW(EM!$C$46)-ROW(EM!$C$14))*(MATCH(Z$22,EM!$B$6:$B$9,0)-1),MIN(Z$23-EM!$B$16+17,EM!$AF$16-EM!$B$16)),0)+
IF(ROUND(Z$11,0)&gt;=19,OFFSET(EM!$B$17,ROW($A31)-ROW($A$26)+(ROW(EM!$C$46)-ROW(EM!$C$14))*(MATCH(Z$22,EM!$B$6:$B$9,0)-1),MIN(Z$23-EM!$B$16+18,EM!$AF$16-EM!$B$16)),0)+
IF(ROUND(Z$11,0)&gt;=20,OFFSET(EM!$B$17,ROW($A31)-ROW($A$26)+(ROW(EM!$C$46)-ROW(EM!$C$14))*(MATCH(Z$22,EM!$B$6:$B$9,0)-1),MIN(Z$23-EM!$B$16+19,EM!$AF$16-EM!$B$16)),0)+
IF(ROUND(Z$11,0)&gt;=21,OFFSET(EM!$B$17,ROW($A31)-ROW($A$26)+(ROW(EM!$C$46)-ROW(EM!$C$14))*(MATCH(Z$22,EM!$B$6:$B$9,0)-1),MIN(Z$23-EM!$B$16+20,EM!$AF$16-EM!$B$16)),0)+
IF(ROUND(Z$11,0)&gt;=22,OFFSET(EM!$B$17,ROW($A31)-ROW($A$26)+(ROW(EM!$C$46)-ROW(EM!$C$14))*(MATCH(Z$22,EM!$B$6:$B$9,0)-1),MIN(Z$23-EM!$B$16+21,EM!$AF$16-EM!$B$16)),0)+
IF(ROUND(Z$11,0)&gt;=23,OFFSET(EM!$B$17,ROW($A31)-ROW($A$26)+(ROW(EM!$C$46)-ROW(EM!$C$14))*(MATCH(Z$22,EM!$B$6:$B$9,0)-1),MIN(Z$23-EM!$B$16+22,EM!$AF$16-EM!$B$16)),0)+
IF(ROUND(Z$11,0)&gt;=24,OFFSET(EM!$B$17,ROW($A31)-ROW($A$26)+(ROW(EM!$C$46)-ROW(EM!$C$14))*(MATCH(Z$22,EM!$B$6:$B$9,0)-1),MIN(Z$23-EM!$B$16+23,EM!$AF$16-EM!$B$16)),0)+
IF(ROUND(Z$11,0)&gt;=25,OFFSET(EM!$B$17,ROW($A31)-ROW($A$26)+(ROW(EM!$C$46)-ROW(EM!$C$14))*(MATCH(Z$22,EM!$B$6:$B$9,0)-1),MIN(Z$23-EM!$B$16+24,EM!$AF$16-EM!$B$16)),0)+
IF(ROUND(Z$11,0)&gt;=26,OFFSET(EM!$B$17,ROW($A31)-ROW($A$26)+(ROW(EM!$C$46)-ROW(EM!$C$14))*(MATCH(Z$22,EM!$B$6:$B$9,0)-1),MIN(Z$23-EM!$B$16+25,EM!$AF$16-EM!$B$16)),0)+
IF(ROUND(Z$11,0)&gt;=27,OFFSET(EM!$B$17,ROW($A31)-ROW($A$26)+(ROW(EM!$C$46)-ROW(EM!$C$14))*(MATCH(Z$22,EM!$B$6:$B$9,0)-1),MIN(Z$23-EM!$B$16+26,EM!$AF$16-EM!$B$16)),0)+
IF(ROUND(Z$11,0)&gt;=28,OFFSET(EM!$B$17,ROW($A31)-ROW($A$26)+(ROW(EM!$C$46)-ROW(EM!$C$14))*(MATCH(Z$22,EM!$B$6:$B$9,0)-1),MIN(Z$23-EM!$B$16+27,EM!$AF$16-EM!$B$16)),0)+
IF(ROUND(Z$11,0)&gt;=29,OFFSET(EM!$B$17,ROW($A31)-ROW($A$26)+(ROW(EM!$C$46)-ROW(EM!$C$14))*(MATCH(Z$22,EM!$B$6:$B$9,0)-1),MIN(Z$23-EM!$B$16+28,EM!$AF$16-EM!$B$16)),0)+
IF(ROUND(Z$11,0)&gt;=30,OFFSET(EM!$B$17,ROW($A31)-ROW($A$26)+(ROW(EM!$C$46)-ROW(EM!$C$14))*(MATCH(Z$22,EM!$B$6:$B$9,0)-1),MIN(Z$23-EM!$B$16+29,EM!$AF$16-EM!$B$16)),0)+
IF(ROUND(Z$11,0)&gt;=31,OFFSET(EM!$B$17,ROW($A31)-ROW($A$26)+(ROW(EM!$C$46)-ROW(EM!$C$14))*(MATCH(Z$22,EM!$B$6:$B$9,0)-1),MIN(Z$23-EM!$B$16+30,EM!$AF$16-EM!$B$16)),0)+
IF(ROUND(Z$11,0)&gt;=32,OFFSET(EM!$B$17,ROW($A31)-ROW($A$26)+(ROW(EM!$C$46)-ROW(EM!$C$14))*(MATCH(Z$22,EM!$B$6:$B$9,0)-1),MIN(Z$23-EM!$B$16+31,EM!$AF$16-EM!$B$16)),0)+
IF(ROUND(Z$11,0)&gt;=33,OFFSET(EM!$B$17,ROW($A31)-ROW($A$26)+(ROW(EM!$C$46)-ROW(EM!$C$14))*(MATCH(Z$22,EM!$B$6:$B$9,0)-1),MIN(Z$23-EM!$B$16+32,EM!$AF$16-EM!$B$16)),0)+
IF(ROUND(Z$11,0)&gt;=34,OFFSET(EM!$B$17,ROW($A31)-ROW($A$26)+(ROW(EM!$C$46)-ROW(EM!$C$14))*(MATCH(Z$22,EM!$B$6:$B$9,0)-1),MIN(Z$23-EM!$B$16+33,EM!$AF$16-EM!$B$16)),0)+
IF(ROUND(Z$11,0)&gt;=35,OFFSET(EM!$B$17,ROW($A31)-ROW($A$26)+(ROW(EM!$C$46)-ROW(EM!$C$14))*(MATCH(Z$22,EM!$B$6:$B$9,0)-1),MIN(Z$23-EM!$B$16+34,EM!$AF$16-EM!$B$16)),0)+
IF(ROUND(Z$11,0)&gt;=36,OFFSET(EM!$B$17,ROW($A31)-ROW($A$26)+(ROW(EM!$C$46)-ROW(EM!$C$14))*(MATCH(Z$22,EM!$B$6:$B$9,0)-1),MIN(Z$23-EM!$B$16+35,EM!$AF$16-EM!$B$16)),0)+
IF(ROUND(Z$11,0)&gt;=37,OFFSET(EM!$B$17,ROW($A31)-ROW($A$26)+(ROW(EM!$C$46)-ROW(EM!$C$14))*(MATCH(Z$22,EM!$B$6:$B$9,0)-1),MIN(Z$23-EM!$B$16+36,EM!$AF$16-EM!$B$16)),0)+
IF(ROUND(Z$11,0)&gt;=38,OFFSET(EM!$B$17,ROW($A31)-ROW($A$26)+(ROW(EM!$C$46)-ROW(EM!$C$14))*(MATCH(Z$22,EM!$B$6:$B$9,0)-1),MIN(Z$23-EM!$B$16+37,EM!$AF$16-EM!$B$16)),0)+
IF(ROUND(Z$11,0)&gt;=39,OFFSET(EM!$B$17,ROW($A31)-ROW($A$26)+(ROW(EM!$C$46)-ROW(EM!$C$14))*(MATCH(Z$22,EM!$B$6:$B$9,0)-1),MIN(Z$23-EM!$B$16+38,EM!$AF$16-EM!$B$16)),0)+
IF(ROUND(Z$11,0)&gt;=40,OFFSET(EM!$B$17,ROW($A31)-ROW($A$26)+(ROW(EM!$C$46)-ROW(EM!$C$14))*(MATCH(Z$22,EM!$B$6:$B$9,0)-1),MIN(Z$23-EM!$B$16+39,EM!$AF$16-EM!$B$16)),0)
)/ROUND(Z$11,0),NA()))</f>
        <v>0.32150758866209128</v>
      </c>
      <c r="AA31" s="2046">
        <f ca="1">IF(AA$19=GPG!$A$28,IF(ROW(AA31)-ROW(AA$26)+1=MATCH(AA$20,GPG!$A$5:$A$11,0),1,0),
IF(AA$19=GPG!$A$29,
(IF(ROUND(AA$11,0)&gt;=1,OFFSET(EM!$B$17,ROW($A31)-ROW($A$26)+(ROW(EM!$C$46)-ROW(EM!$C$14))*(MATCH(AA$22,EM!$B$6:$B$9,0)-1),MIN(AA$23-EM!$B$16,EM!$AF$16-EM!$B$16)),0)+
IF(ROUND(AA$11,0)&gt;=2,OFFSET(EM!$B$17,ROW($A31)-ROW($A$26)+(ROW(EM!$C$46)-ROW(EM!$C$14))*(MATCH(AA$22,EM!$B$6:$B$9,0)-1),MIN(AA$23-EM!$B$16+1,EM!$AF$16-EM!$B$16)),0)+
IF(ROUND(AA$11,0)&gt;=3,OFFSET(EM!$B$17,ROW($A31)-ROW($A$26)+(ROW(EM!$C$46)-ROW(EM!$C$14))*(MATCH(AA$22,EM!$B$6:$B$9,0)-1),MIN(AA$23-EM!$B$16+2,EM!$AF$16-EM!$B$16)),0)+
IF(ROUND(AA$11,0)&gt;=4,OFFSET(EM!$B$17,ROW($A31)-ROW($A$26)+(ROW(EM!$C$46)-ROW(EM!$C$14))*(MATCH(AA$22,EM!$B$6:$B$9,0)-1),MIN(AA$23-EM!$B$16+3,EM!$AF$16-EM!$B$16)),0)+
IF(ROUND(AA$11,0)&gt;=5,OFFSET(EM!$B$17,ROW($A31)-ROW($A$26)+(ROW(EM!$C$46)-ROW(EM!$C$14))*(MATCH(AA$22,EM!$B$6:$B$9,0)-1),MIN(AA$23-EM!$B$16+4,EM!$AF$16-EM!$B$16)),0)+
IF(ROUND(AA$11,0)&gt;=6,OFFSET(EM!$B$17,ROW($A31)-ROW($A$26)+(ROW(EM!$C$46)-ROW(EM!$C$14))*(MATCH(AA$22,EM!$B$6:$B$9,0)-1),MIN(AA$23-EM!$B$16+5,EM!$AF$16-EM!$B$16)),0)+
IF(ROUND(AA$11,0)&gt;=7,OFFSET(EM!$B$17,ROW($A31)-ROW($A$26)+(ROW(EM!$C$46)-ROW(EM!$C$14))*(MATCH(AA$22,EM!$B$6:$B$9,0)-1),MIN(AA$23-EM!$B$16+6,EM!$AF$16-EM!$B$16)),0)+
IF(ROUND(AA$11,0)&gt;=8,OFFSET(EM!$B$17,ROW($A31)-ROW($A$26)+(ROW(EM!$C$46)-ROW(EM!$C$14))*(MATCH(AA$22,EM!$B$6:$B$9,0)-1),MIN(AA$23-EM!$B$16+7,EM!$AF$16-EM!$B$16)),0)+
IF(ROUND(AA$11,0)&gt;=9,OFFSET(EM!$B$17,ROW($A31)-ROW($A$26)+(ROW(EM!$C$46)-ROW(EM!$C$14))*(MATCH(AA$22,EM!$B$6:$B$9,0)-1),MIN(AA$23-EM!$B$16+8,EM!$AF$16-EM!$B$16)),0)+
IF(ROUND(AA$11,0)&gt;=10,OFFSET(EM!$B$17,ROW($A31)-ROW($A$26)+(ROW(EM!$C$46)-ROW(EM!$C$14))*(MATCH(AA$22,EM!$B$6:$B$9,0)-1),MIN(AA$23-EM!$B$16+9,EM!$AF$16-EM!$B$16)),0)+
IF(ROUND(AA$11,0)&gt;=11,OFFSET(EM!$B$17,ROW($A31)-ROW($A$26)+(ROW(EM!$C$46)-ROW(EM!$C$14))*(MATCH(AA$22,EM!$B$6:$B$9,0)-1),MIN(AA$23-EM!$B$16+10,EM!$AF$16-EM!$B$16)),0)+
IF(ROUND(AA$11,0)&gt;=12,OFFSET(EM!$B$17,ROW($A31)-ROW($A$26)+(ROW(EM!$C$46)-ROW(EM!$C$14))*(MATCH(AA$22,EM!$B$6:$B$9,0)-1),MIN(AA$23-EM!$B$16+11,EM!$AF$16-EM!$B$16)),0)+
IF(ROUND(AA$11,0)&gt;=13,OFFSET(EM!$B$17,ROW($A31)-ROW($A$26)+(ROW(EM!$C$46)-ROW(EM!$C$14))*(MATCH(AA$22,EM!$B$6:$B$9,0)-1),MIN(AA$23-EM!$B$16+12,EM!$AF$16-EM!$B$16)),0)+
IF(ROUND(AA$11,0)&gt;=14,OFFSET(EM!$B$17,ROW($A31)-ROW($A$26)+(ROW(EM!$C$46)-ROW(EM!$C$14))*(MATCH(AA$22,EM!$B$6:$B$9,0)-1),MIN(AA$23-EM!$B$16+13,EM!$AF$16-EM!$B$16)),0)+
IF(ROUND(AA$11,0)&gt;=15,OFFSET(EM!$B$17,ROW($A31)-ROW($A$26)+(ROW(EM!$C$46)-ROW(EM!$C$14))*(MATCH(AA$22,EM!$B$6:$B$9,0)-1),MIN(AA$23-EM!$B$16+14,EM!$AF$16-EM!$B$16)),0)+
IF(ROUND(AA$11,0)&gt;=16,OFFSET(EM!$B$17,ROW($A31)-ROW($A$26)+(ROW(EM!$C$46)-ROW(EM!$C$14))*(MATCH(AA$22,EM!$B$6:$B$9,0)-1),MIN(AA$23-EM!$B$16+15,EM!$AF$16-EM!$B$16)),0)+
IF(ROUND(AA$11,0)&gt;=17,OFFSET(EM!$B$17,ROW($A31)-ROW($A$26)+(ROW(EM!$C$46)-ROW(EM!$C$14))*(MATCH(AA$22,EM!$B$6:$B$9,0)-1),MIN(AA$23-EM!$B$16+16,EM!$AF$16-EM!$B$16)),0)+
IF(ROUND(AA$11,0)&gt;=18,OFFSET(EM!$B$17,ROW($A31)-ROW($A$26)+(ROW(EM!$C$46)-ROW(EM!$C$14))*(MATCH(AA$22,EM!$B$6:$B$9,0)-1),MIN(AA$23-EM!$B$16+17,EM!$AF$16-EM!$B$16)),0)+
IF(ROUND(AA$11,0)&gt;=19,OFFSET(EM!$B$17,ROW($A31)-ROW($A$26)+(ROW(EM!$C$46)-ROW(EM!$C$14))*(MATCH(AA$22,EM!$B$6:$B$9,0)-1),MIN(AA$23-EM!$B$16+18,EM!$AF$16-EM!$B$16)),0)+
IF(ROUND(AA$11,0)&gt;=20,OFFSET(EM!$B$17,ROW($A31)-ROW($A$26)+(ROW(EM!$C$46)-ROW(EM!$C$14))*(MATCH(AA$22,EM!$B$6:$B$9,0)-1),MIN(AA$23-EM!$B$16+19,EM!$AF$16-EM!$B$16)),0)+
IF(ROUND(AA$11,0)&gt;=21,OFFSET(EM!$B$17,ROW($A31)-ROW($A$26)+(ROW(EM!$C$46)-ROW(EM!$C$14))*(MATCH(AA$22,EM!$B$6:$B$9,0)-1),MIN(AA$23-EM!$B$16+20,EM!$AF$16-EM!$B$16)),0)+
IF(ROUND(AA$11,0)&gt;=22,OFFSET(EM!$B$17,ROW($A31)-ROW($A$26)+(ROW(EM!$C$46)-ROW(EM!$C$14))*(MATCH(AA$22,EM!$B$6:$B$9,0)-1),MIN(AA$23-EM!$B$16+21,EM!$AF$16-EM!$B$16)),0)+
IF(ROUND(AA$11,0)&gt;=23,OFFSET(EM!$B$17,ROW($A31)-ROW($A$26)+(ROW(EM!$C$46)-ROW(EM!$C$14))*(MATCH(AA$22,EM!$B$6:$B$9,0)-1),MIN(AA$23-EM!$B$16+22,EM!$AF$16-EM!$B$16)),0)+
IF(ROUND(AA$11,0)&gt;=24,OFFSET(EM!$B$17,ROW($A31)-ROW($A$26)+(ROW(EM!$C$46)-ROW(EM!$C$14))*(MATCH(AA$22,EM!$B$6:$B$9,0)-1),MIN(AA$23-EM!$B$16+23,EM!$AF$16-EM!$B$16)),0)+
IF(ROUND(AA$11,0)&gt;=25,OFFSET(EM!$B$17,ROW($A31)-ROW($A$26)+(ROW(EM!$C$46)-ROW(EM!$C$14))*(MATCH(AA$22,EM!$B$6:$B$9,0)-1),MIN(AA$23-EM!$B$16+24,EM!$AF$16-EM!$B$16)),0)+
IF(ROUND(AA$11,0)&gt;=26,OFFSET(EM!$B$17,ROW($A31)-ROW($A$26)+(ROW(EM!$C$46)-ROW(EM!$C$14))*(MATCH(AA$22,EM!$B$6:$B$9,0)-1),MIN(AA$23-EM!$B$16+25,EM!$AF$16-EM!$B$16)),0)+
IF(ROUND(AA$11,0)&gt;=27,OFFSET(EM!$B$17,ROW($A31)-ROW($A$26)+(ROW(EM!$C$46)-ROW(EM!$C$14))*(MATCH(AA$22,EM!$B$6:$B$9,0)-1),MIN(AA$23-EM!$B$16+26,EM!$AF$16-EM!$B$16)),0)+
IF(ROUND(AA$11,0)&gt;=28,OFFSET(EM!$B$17,ROW($A31)-ROW($A$26)+(ROW(EM!$C$46)-ROW(EM!$C$14))*(MATCH(AA$22,EM!$B$6:$B$9,0)-1),MIN(AA$23-EM!$B$16+27,EM!$AF$16-EM!$B$16)),0)+
IF(ROUND(AA$11,0)&gt;=29,OFFSET(EM!$B$17,ROW($A31)-ROW($A$26)+(ROW(EM!$C$46)-ROW(EM!$C$14))*(MATCH(AA$22,EM!$B$6:$B$9,0)-1),MIN(AA$23-EM!$B$16+28,EM!$AF$16-EM!$B$16)),0)+
IF(ROUND(AA$11,0)&gt;=30,OFFSET(EM!$B$17,ROW($A31)-ROW($A$26)+(ROW(EM!$C$46)-ROW(EM!$C$14))*(MATCH(AA$22,EM!$B$6:$B$9,0)-1),MIN(AA$23-EM!$B$16+29,EM!$AF$16-EM!$B$16)),0)+
IF(ROUND(AA$11,0)&gt;=31,OFFSET(EM!$B$17,ROW($A31)-ROW($A$26)+(ROW(EM!$C$46)-ROW(EM!$C$14))*(MATCH(AA$22,EM!$B$6:$B$9,0)-1),MIN(AA$23-EM!$B$16+30,EM!$AF$16-EM!$B$16)),0)+
IF(ROUND(AA$11,0)&gt;=32,OFFSET(EM!$B$17,ROW($A31)-ROW($A$26)+(ROW(EM!$C$46)-ROW(EM!$C$14))*(MATCH(AA$22,EM!$B$6:$B$9,0)-1),MIN(AA$23-EM!$B$16+31,EM!$AF$16-EM!$B$16)),0)+
IF(ROUND(AA$11,0)&gt;=33,OFFSET(EM!$B$17,ROW($A31)-ROW($A$26)+(ROW(EM!$C$46)-ROW(EM!$C$14))*(MATCH(AA$22,EM!$B$6:$B$9,0)-1),MIN(AA$23-EM!$B$16+32,EM!$AF$16-EM!$B$16)),0)+
IF(ROUND(AA$11,0)&gt;=34,OFFSET(EM!$B$17,ROW($A31)-ROW($A$26)+(ROW(EM!$C$46)-ROW(EM!$C$14))*(MATCH(AA$22,EM!$B$6:$B$9,0)-1),MIN(AA$23-EM!$B$16+33,EM!$AF$16-EM!$B$16)),0)+
IF(ROUND(AA$11,0)&gt;=35,OFFSET(EM!$B$17,ROW($A31)-ROW($A$26)+(ROW(EM!$C$46)-ROW(EM!$C$14))*(MATCH(AA$22,EM!$B$6:$B$9,0)-1),MIN(AA$23-EM!$B$16+34,EM!$AF$16-EM!$B$16)),0)+
IF(ROUND(AA$11,0)&gt;=36,OFFSET(EM!$B$17,ROW($A31)-ROW($A$26)+(ROW(EM!$C$46)-ROW(EM!$C$14))*(MATCH(AA$22,EM!$B$6:$B$9,0)-1),MIN(AA$23-EM!$B$16+35,EM!$AF$16-EM!$B$16)),0)+
IF(ROUND(AA$11,0)&gt;=37,OFFSET(EM!$B$17,ROW($A31)-ROW($A$26)+(ROW(EM!$C$46)-ROW(EM!$C$14))*(MATCH(AA$22,EM!$B$6:$B$9,0)-1),MIN(AA$23-EM!$B$16+36,EM!$AF$16-EM!$B$16)),0)+
IF(ROUND(AA$11,0)&gt;=38,OFFSET(EM!$B$17,ROW($A31)-ROW($A$26)+(ROW(EM!$C$46)-ROW(EM!$C$14))*(MATCH(AA$22,EM!$B$6:$B$9,0)-1),MIN(AA$23-EM!$B$16+37,EM!$AF$16-EM!$B$16)),0)+
IF(ROUND(AA$11,0)&gt;=39,OFFSET(EM!$B$17,ROW($A31)-ROW($A$26)+(ROW(EM!$C$46)-ROW(EM!$C$14))*(MATCH(AA$22,EM!$B$6:$B$9,0)-1),MIN(AA$23-EM!$B$16+38,EM!$AF$16-EM!$B$16)),0)+
IF(ROUND(AA$11,0)&gt;=40,OFFSET(EM!$B$17,ROW($A31)-ROW($A$26)+(ROW(EM!$C$46)-ROW(EM!$C$14))*(MATCH(AA$22,EM!$B$6:$B$9,0)-1),MIN(AA$23-EM!$B$16+39,EM!$AF$16-EM!$B$16)),0)
)/ROUND(AA$11,0),NA()))</f>
        <v>0.19126569597021811</v>
      </c>
      <c r="AB31" s="2046">
        <f ca="1">IF(AB$19=GPG!$A$28,IF(ROW(AB31)-ROW(AB$26)+1=MATCH(AB$20,GPG!$A$5:$A$11,0),1,0),
IF(AB$19=GPG!$A$29,
(IF(ROUND(AB$11,0)&gt;=1,OFFSET(EM!$B$17,ROW($A31)-ROW($A$26)+(ROW(EM!$C$46)-ROW(EM!$C$14))*(MATCH(AB$22,EM!$B$6:$B$9,0)-1),MIN(AB$23-EM!$B$16,EM!$AF$16-EM!$B$16)),0)+
IF(ROUND(AB$11,0)&gt;=2,OFFSET(EM!$B$17,ROW($A31)-ROW($A$26)+(ROW(EM!$C$46)-ROW(EM!$C$14))*(MATCH(AB$22,EM!$B$6:$B$9,0)-1),MIN(AB$23-EM!$B$16+1,EM!$AF$16-EM!$B$16)),0)+
IF(ROUND(AB$11,0)&gt;=3,OFFSET(EM!$B$17,ROW($A31)-ROW($A$26)+(ROW(EM!$C$46)-ROW(EM!$C$14))*(MATCH(AB$22,EM!$B$6:$B$9,0)-1),MIN(AB$23-EM!$B$16+2,EM!$AF$16-EM!$B$16)),0)+
IF(ROUND(AB$11,0)&gt;=4,OFFSET(EM!$B$17,ROW($A31)-ROW($A$26)+(ROW(EM!$C$46)-ROW(EM!$C$14))*(MATCH(AB$22,EM!$B$6:$B$9,0)-1),MIN(AB$23-EM!$B$16+3,EM!$AF$16-EM!$B$16)),0)+
IF(ROUND(AB$11,0)&gt;=5,OFFSET(EM!$B$17,ROW($A31)-ROW($A$26)+(ROW(EM!$C$46)-ROW(EM!$C$14))*(MATCH(AB$22,EM!$B$6:$B$9,0)-1),MIN(AB$23-EM!$B$16+4,EM!$AF$16-EM!$B$16)),0)+
IF(ROUND(AB$11,0)&gt;=6,OFFSET(EM!$B$17,ROW($A31)-ROW($A$26)+(ROW(EM!$C$46)-ROW(EM!$C$14))*(MATCH(AB$22,EM!$B$6:$B$9,0)-1),MIN(AB$23-EM!$B$16+5,EM!$AF$16-EM!$B$16)),0)+
IF(ROUND(AB$11,0)&gt;=7,OFFSET(EM!$B$17,ROW($A31)-ROW($A$26)+(ROW(EM!$C$46)-ROW(EM!$C$14))*(MATCH(AB$22,EM!$B$6:$B$9,0)-1),MIN(AB$23-EM!$B$16+6,EM!$AF$16-EM!$B$16)),0)+
IF(ROUND(AB$11,0)&gt;=8,OFFSET(EM!$B$17,ROW($A31)-ROW($A$26)+(ROW(EM!$C$46)-ROW(EM!$C$14))*(MATCH(AB$22,EM!$B$6:$B$9,0)-1),MIN(AB$23-EM!$B$16+7,EM!$AF$16-EM!$B$16)),0)+
IF(ROUND(AB$11,0)&gt;=9,OFFSET(EM!$B$17,ROW($A31)-ROW($A$26)+(ROW(EM!$C$46)-ROW(EM!$C$14))*(MATCH(AB$22,EM!$B$6:$B$9,0)-1),MIN(AB$23-EM!$B$16+8,EM!$AF$16-EM!$B$16)),0)+
IF(ROUND(AB$11,0)&gt;=10,OFFSET(EM!$B$17,ROW($A31)-ROW($A$26)+(ROW(EM!$C$46)-ROW(EM!$C$14))*(MATCH(AB$22,EM!$B$6:$B$9,0)-1),MIN(AB$23-EM!$B$16+9,EM!$AF$16-EM!$B$16)),0)+
IF(ROUND(AB$11,0)&gt;=11,OFFSET(EM!$B$17,ROW($A31)-ROW($A$26)+(ROW(EM!$C$46)-ROW(EM!$C$14))*(MATCH(AB$22,EM!$B$6:$B$9,0)-1),MIN(AB$23-EM!$B$16+10,EM!$AF$16-EM!$B$16)),0)+
IF(ROUND(AB$11,0)&gt;=12,OFFSET(EM!$B$17,ROW($A31)-ROW($A$26)+(ROW(EM!$C$46)-ROW(EM!$C$14))*(MATCH(AB$22,EM!$B$6:$B$9,0)-1),MIN(AB$23-EM!$B$16+11,EM!$AF$16-EM!$B$16)),0)+
IF(ROUND(AB$11,0)&gt;=13,OFFSET(EM!$B$17,ROW($A31)-ROW($A$26)+(ROW(EM!$C$46)-ROW(EM!$C$14))*(MATCH(AB$22,EM!$B$6:$B$9,0)-1),MIN(AB$23-EM!$B$16+12,EM!$AF$16-EM!$B$16)),0)+
IF(ROUND(AB$11,0)&gt;=14,OFFSET(EM!$B$17,ROW($A31)-ROW($A$26)+(ROW(EM!$C$46)-ROW(EM!$C$14))*(MATCH(AB$22,EM!$B$6:$B$9,0)-1),MIN(AB$23-EM!$B$16+13,EM!$AF$16-EM!$B$16)),0)+
IF(ROUND(AB$11,0)&gt;=15,OFFSET(EM!$B$17,ROW($A31)-ROW($A$26)+(ROW(EM!$C$46)-ROW(EM!$C$14))*(MATCH(AB$22,EM!$B$6:$B$9,0)-1),MIN(AB$23-EM!$B$16+14,EM!$AF$16-EM!$B$16)),0)+
IF(ROUND(AB$11,0)&gt;=16,OFFSET(EM!$B$17,ROW($A31)-ROW($A$26)+(ROW(EM!$C$46)-ROW(EM!$C$14))*(MATCH(AB$22,EM!$B$6:$B$9,0)-1),MIN(AB$23-EM!$B$16+15,EM!$AF$16-EM!$B$16)),0)+
IF(ROUND(AB$11,0)&gt;=17,OFFSET(EM!$B$17,ROW($A31)-ROW($A$26)+(ROW(EM!$C$46)-ROW(EM!$C$14))*(MATCH(AB$22,EM!$B$6:$B$9,0)-1),MIN(AB$23-EM!$B$16+16,EM!$AF$16-EM!$B$16)),0)+
IF(ROUND(AB$11,0)&gt;=18,OFFSET(EM!$B$17,ROW($A31)-ROW($A$26)+(ROW(EM!$C$46)-ROW(EM!$C$14))*(MATCH(AB$22,EM!$B$6:$B$9,0)-1),MIN(AB$23-EM!$B$16+17,EM!$AF$16-EM!$B$16)),0)+
IF(ROUND(AB$11,0)&gt;=19,OFFSET(EM!$B$17,ROW($A31)-ROW($A$26)+(ROW(EM!$C$46)-ROW(EM!$C$14))*(MATCH(AB$22,EM!$B$6:$B$9,0)-1),MIN(AB$23-EM!$B$16+18,EM!$AF$16-EM!$B$16)),0)+
IF(ROUND(AB$11,0)&gt;=20,OFFSET(EM!$B$17,ROW($A31)-ROW($A$26)+(ROW(EM!$C$46)-ROW(EM!$C$14))*(MATCH(AB$22,EM!$B$6:$B$9,0)-1),MIN(AB$23-EM!$B$16+19,EM!$AF$16-EM!$B$16)),0)+
IF(ROUND(AB$11,0)&gt;=21,OFFSET(EM!$B$17,ROW($A31)-ROW($A$26)+(ROW(EM!$C$46)-ROW(EM!$C$14))*(MATCH(AB$22,EM!$B$6:$B$9,0)-1),MIN(AB$23-EM!$B$16+20,EM!$AF$16-EM!$B$16)),0)+
IF(ROUND(AB$11,0)&gt;=22,OFFSET(EM!$B$17,ROW($A31)-ROW($A$26)+(ROW(EM!$C$46)-ROW(EM!$C$14))*(MATCH(AB$22,EM!$B$6:$B$9,0)-1),MIN(AB$23-EM!$B$16+21,EM!$AF$16-EM!$B$16)),0)+
IF(ROUND(AB$11,0)&gt;=23,OFFSET(EM!$B$17,ROW($A31)-ROW($A$26)+(ROW(EM!$C$46)-ROW(EM!$C$14))*(MATCH(AB$22,EM!$B$6:$B$9,0)-1),MIN(AB$23-EM!$B$16+22,EM!$AF$16-EM!$B$16)),0)+
IF(ROUND(AB$11,0)&gt;=24,OFFSET(EM!$B$17,ROW($A31)-ROW($A$26)+(ROW(EM!$C$46)-ROW(EM!$C$14))*(MATCH(AB$22,EM!$B$6:$B$9,0)-1),MIN(AB$23-EM!$B$16+23,EM!$AF$16-EM!$B$16)),0)+
IF(ROUND(AB$11,0)&gt;=25,OFFSET(EM!$B$17,ROW($A31)-ROW($A$26)+(ROW(EM!$C$46)-ROW(EM!$C$14))*(MATCH(AB$22,EM!$B$6:$B$9,0)-1),MIN(AB$23-EM!$B$16+24,EM!$AF$16-EM!$B$16)),0)+
IF(ROUND(AB$11,0)&gt;=26,OFFSET(EM!$B$17,ROW($A31)-ROW($A$26)+(ROW(EM!$C$46)-ROW(EM!$C$14))*(MATCH(AB$22,EM!$B$6:$B$9,0)-1),MIN(AB$23-EM!$B$16+25,EM!$AF$16-EM!$B$16)),0)+
IF(ROUND(AB$11,0)&gt;=27,OFFSET(EM!$B$17,ROW($A31)-ROW($A$26)+(ROW(EM!$C$46)-ROW(EM!$C$14))*(MATCH(AB$22,EM!$B$6:$B$9,0)-1),MIN(AB$23-EM!$B$16+26,EM!$AF$16-EM!$B$16)),0)+
IF(ROUND(AB$11,0)&gt;=28,OFFSET(EM!$B$17,ROW($A31)-ROW($A$26)+(ROW(EM!$C$46)-ROW(EM!$C$14))*(MATCH(AB$22,EM!$B$6:$B$9,0)-1),MIN(AB$23-EM!$B$16+27,EM!$AF$16-EM!$B$16)),0)+
IF(ROUND(AB$11,0)&gt;=29,OFFSET(EM!$B$17,ROW($A31)-ROW($A$26)+(ROW(EM!$C$46)-ROW(EM!$C$14))*(MATCH(AB$22,EM!$B$6:$B$9,0)-1),MIN(AB$23-EM!$B$16+28,EM!$AF$16-EM!$B$16)),0)+
IF(ROUND(AB$11,0)&gt;=30,OFFSET(EM!$B$17,ROW($A31)-ROW($A$26)+(ROW(EM!$C$46)-ROW(EM!$C$14))*(MATCH(AB$22,EM!$B$6:$B$9,0)-1),MIN(AB$23-EM!$B$16+29,EM!$AF$16-EM!$B$16)),0)+
IF(ROUND(AB$11,0)&gt;=31,OFFSET(EM!$B$17,ROW($A31)-ROW($A$26)+(ROW(EM!$C$46)-ROW(EM!$C$14))*(MATCH(AB$22,EM!$B$6:$B$9,0)-1),MIN(AB$23-EM!$B$16+30,EM!$AF$16-EM!$B$16)),0)+
IF(ROUND(AB$11,0)&gt;=32,OFFSET(EM!$B$17,ROW($A31)-ROW($A$26)+(ROW(EM!$C$46)-ROW(EM!$C$14))*(MATCH(AB$22,EM!$B$6:$B$9,0)-1),MIN(AB$23-EM!$B$16+31,EM!$AF$16-EM!$B$16)),0)+
IF(ROUND(AB$11,0)&gt;=33,OFFSET(EM!$B$17,ROW($A31)-ROW($A$26)+(ROW(EM!$C$46)-ROW(EM!$C$14))*(MATCH(AB$22,EM!$B$6:$B$9,0)-1),MIN(AB$23-EM!$B$16+32,EM!$AF$16-EM!$B$16)),0)+
IF(ROUND(AB$11,0)&gt;=34,OFFSET(EM!$B$17,ROW($A31)-ROW($A$26)+(ROW(EM!$C$46)-ROW(EM!$C$14))*(MATCH(AB$22,EM!$B$6:$B$9,0)-1),MIN(AB$23-EM!$B$16+33,EM!$AF$16-EM!$B$16)),0)+
IF(ROUND(AB$11,0)&gt;=35,OFFSET(EM!$B$17,ROW($A31)-ROW($A$26)+(ROW(EM!$C$46)-ROW(EM!$C$14))*(MATCH(AB$22,EM!$B$6:$B$9,0)-1),MIN(AB$23-EM!$B$16+34,EM!$AF$16-EM!$B$16)),0)+
IF(ROUND(AB$11,0)&gt;=36,OFFSET(EM!$B$17,ROW($A31)-ROW($A$26)+(ROW(EM!$C$46)-ROW(EM!$C$14))*(MATCH(AB$22,EM!$B$6:$B$9,0)-1),MIN(AB$23-EM!$B$16+35,EM!$AF$16-EM!$B$16)),0)+
IF(ROUND(AB$11,0)&gt;=37,OFFSET(EM!$B$17,ROW($A31)-ROW($A$26)+(ROW(EM!$C$46)-ROW(EM!$C$14))*(MATCH(AB$22,EM!$B$6:$B$9,0)-1),MIN(AB$23-EM!$B$16+36,EM!$AF$16-EM!$B$16)),0)+
IF(ROUND(AB$11,0)&gt;=38,OFFSET(EM!$B$17,ROW($A31)-ROW($A$26)+(ROW(EM!$C$46)-ROW(EM!$C$14))*(MATCH(AB$22,EM!$B$6:$B$9,0)-1),MIN(AB$23-EM!$B$16+37,EM!$AF$16-EM!$B$16)),0)+
IF(ROUND(AB$11,0)&gt;=39,OFFSET(EM!$B$17,ROW($A31)-ROW($A$26)+(ROW(EM!$C$46)-ROW(EM!$C$14))*(MATCH(AB$22,EM!$B$6:$B$9,0)-1),MIN(AB$23-EM!$B$16+38,EM!$AF$16-EM!$B$16)),0)+
IF(ROUND(AB$11,0)&gt;=40,OFFSET(EM!$B$17,ROW($A31)-ROW($A$26)+(ROW(EM!$C$46)-ROW(EM!$C$14))*(MATCH(AB$22,EM!$B$6:$B$9,0)-1),MIN(AB$23-EM!$B$16+39,EM!$AF$16-EM!$B$16)),0)
)/ROUND(AB$11,0),NA()))</f>
        <v>0.19126569597021797</v>
      </c>
    </row>
    <row r="32" spans="1:28" x14ac:dyDescent="0.45">
      <c r="A32" s="1421" t="s">
        <v>46</v>
      </c>
      <c r="B32" s="2035"/>
      <c r="C32" s="2046">
        <f ca="1">IF(C$19=GPG!$A$28,IF(ROW(C32)-ROW(C$26)+1=MATCH(C$20,GPG!$A$5:$A$11,0),1,0),
IF(C$19=GPG!$A$29,
(IF(ROUND(C$11,0)&gt;=1,OFFSET(EM!$B$17,ROW($A32)-ROW($A$26)+(ROW(EM!$C$46)-ROW(EM!$C$14))*(MATCH(C$22,EM!$B$6:$B$9,0)-1),MIN(C$23-EM!$B$16,EM!$AF$16-EM!$B$16)),0)+
IF(ROUND(C$11,0)&gt;=2,OFFSET(EM!$B$17,ROW($A32)-ROW($A$26)+(ROW(EM!$C$46)-ROW(EM!$C$14))*(MATCH(C$22,EM!$B$6:$B$9,0)-1),MIN(C$23-EM!$B$16+1,EM!$AF$16-EM!$B$16)),0)+
IF(ROUND(C$11,0)&gt;=3,OFFSET(EM!$B$17,ROW($A32)-ROW($A$26)+(ROW(EM!$C$46)-ROW(EM!$C$14))*(MATCH(C$22,EM!$B$6:$B$9,0)-1),MIN(C$23-EM!$B$16+2,EM!$AF$16-EM!$B$16)),0)+
IF(ROUND(C$11,0)&gt;=4,OFFSET(EM!$B$17,ROW($A32)-ROW($A$26)+(ROW(EM!$C$46)-ROW(EM!$C$14))*(MATCH(C$22,EM!$B$6:$B$9,0)-1),MIN(C$23-EM!$B$16+3,EM!$AF$16-EM!$B$16)),0)+
IF(ROUND(C$11,0)&gt;=5,OFFSET(EM!$B$17,ROW($A32)-ROW($A$26)+(ROW(EM!$C$46)-ROW(EM!$C$14))*(MATCH(C$22,EM!$B$6:$B$9,0)-1),MIN(C$23-EM!$B$16+4,EM!$AF$16-EM!$B$16)),0)+
IF(ROUND(C$11,0)&gt;=6,OFFSET(EM!$B$17,ROW($A32)-ROW($A$26)+(ROW(EM!$C$46)-ROW(EM!$C$14))*(MATCH(C$22,EM!$B$6:$B$9,0)-1),MIN(C$23-EM!$B$16+5,EM!$AF$16-EM!$B$16)),0)+
IF(ROUND(C$11,0)&gt;=7,OFFSET(EM!$B$17,ROW($A32)-ROW($A$26)+(ROW(EM!$C$46)-ROW(EM!$C$14))*(MATCH(C$22,EM!$B$6:$B$9,0)-1),MIN(C$23-EM!$B$16+6,EM!$AF$16-EM!$B$16)),0)+
IF(ROUND(C$11,0)&gt;=8,OFFSET(EM!$B$17,ROW($A32)-ROW($A$26)+(ROW(EM!$C$46)-ROW(EM!$C$14))*(MATCH(C$22,EM!$B$6:$B$9,0)-1),MIN(C$23-EM!$B$16+7,EM!$AF$16-EM!$B$16)),0)+
IF(ROUND(C$11,0)&gt;=9,OFFSET(EM!$B$17,ROW($A32)-ROW($A$26)+(ROW(EM!$C$46)-ROW(EM!$C$14))*(MATCH(C$22,EM!$B$6:$B$9,0)-1),MIN(C$23-EM!$B$16+8,EM!$AF$16-EM!$B$16)),0)+
IF(ROUND(C$11,0)&gt;=10,OFFSET(EM!$B$17,ROW($A32)-ROW($A$26)+(ROW(EM!$C$46)-ROW(EM!$C$14))*(MATCH(C$22,EM!$B$6:$B$9,0)-1),MIN(C$23-EM!$B$16+9,EM!$AF$16-EM!$B$16)),0)+
IF(ROUND(C$11,0)&gt;=11,OFFSET(EM!$B$17,ROW($A32)-ROW($A$26)+(ROW(EM!$C$46)-ROW(EM!$C$14))*(MATCH(C$22,EM!$B$6:$B$9,0)-1),MIN(C$23-EM!$B$16+10,EM!$AF$16-EM!$B$16)),0)+
IF(ROUND(C$11,0)&gt;=12,OFFSET(EM!$B$17,ROW($A32)-ROW($A$26)+(ROW(EM!$C$46)-ROW(EM!$C$14))*(MATCH(C$22,EM!$B$6:$B$9,0)-1),MIN(C$23-EM!$B$16+11,EM!$AF$16-EM!$B$16)),0)+
IF(ROUND(C$11,0)&gt;=13,OFFSET(EM!$B$17,ROW($A32)-ROW($A$26)+(ROW(EM!$C$46)-ROW(EM!$C$14))*(MATCH(C$22,EM!$B$6:$B$9,0)-1),MIN(C$23-EM!$B$16+12,EM!$AF$16-EM!$B$16)),0)+
IF(ROUND(C$11,0)&gt;=14,OFFSET(EM!$B$17,ROW($A32)-ROW($A$26)+(ROW(EM!$C$46)-ROW(EM!$C$14))*(MATCH(C$22,EM!$B$6:$B$9,0)-1),MIN(C$23-EM!$B$16+13,EM!$AF$16-EM!$B$16)),0)+
IF(ROUND(C$11,0)&gt;=15,OFFSET(EM!$B$17,ROW($A32)-ROW($A$26)+(ROW(EM!$C$46)-ROW(EM!$C$14))*(MATCH(C$22,EM!$B$6:$B$9,0)-1),MIN(C$23-EM!$B$16+14,EM!$AF$16-EM!$B$16)),0)+
IF(ROUND(C$11,0)&gt;=16,OFFSET(EM!$B$17,ROW($A32)-ROW($A$26)+(ROW(EM!$C$46)-ROW(EM!$C$14))*(MATCH(C$22,EM!$B$6:$B$9,0)-1),MIN(C$23-EM!$B$16+15,EM!$AF$16-EM!$B$16)),0)+
IF(ROUND(C$11,0)&gt;=17,OFFSET(EM!$B$17,ROW($A32)-ROW($A$26)+(ROW(EM!$C$46)-ROW(EM!$C$14))*(MATCH(C$22,EM!$B$6:$B$9,0)-1),MIN(C$23-EM!$B$16+16,EM!$AF$16-EM!$B$16)),0)+
IF(ROUND(C$11,0)&gt;=18,OFFSET(EM!$B$17,ROW($A32)-ROW($A$26)+(ROW(EM!$C$46)-ROW(EM!$C$14))*(MATCH(C$22,EM!$B$6:$B$9,0)-1),MIN(C$23-EM!$B$16+17,EM!$AF$16-EM!$B$16)),0)+
IF(ROUND(C$11,0)&gt;=19,OFFSET(EM!$B$17,ROW($A32)-ROW($A$26)+(ROW(EM!$C$46)-ROW(EM!$C$14))*(MATCH(C$22,EM!$B$6:$B$9,0)-1),MIN(C$23-EM!$B$16+18,EM!$AF$16-EM!$B$16)),0)+
IF(ROUND(C$11,0)&gt;=20,OFFSET(EM!$B$17,ROW($A32)-ROW($A$26)+(ROW(EM!$C$46)-ROW(EM!$C$14))*(MATCH(C$22,EM!$B$6:$B$9,0)-1),MIN(C$23-EM!$B$16+19,EM!$AF$16-EM!$B$16)),0)+
IF(ROUND(C$11,0)&gt;=21,OFFSET(EM!$B$17,ROW($A32)-ROW($A$26)+(ROW(EM!$C$46)-ROW(EM!$C$14))*(MATCH(C$22,EM!$B$6:$B$9,0)-1),MIN(C$23-EM!$B$16+20,EM!$AF$16-EM!$B$16)),0)+
IF(ROUND(C$11,0)&gt;=22,OFFSET(EM!$B$17,ROW($A32)-ROW($A$26)+(ROW(EM!$C$46)-ROW(EM!$C$14))*(MATCH(C$22,EM!$B$6:$B$9,0)-1),MIN(C$23-EM!$B$16+21,EM!$AF$16-EM!$B$16)),0)+
IF(ROUND(C$11,0)&gt;=23,OFFSET(EM!$B$17,ROW($A32)-ROW($A$26)+(ROW(EM!$C$46)-ROW(EM!$C$14))*(MATCH(C$22,EM!$B$6:$B$9,0)-1),MIN(C$23-EM!$B$16+22,EM!$AF$16-EM!$B$16)),0)+
IF(ROUND(C$11,0)&gt;=24,OFFSET(EM!$B$17,ROW($A32)-ROW($A$26)+(ROW(EM!$C$46)-ROW(EM!$C$14))*(MATCH(C$22,EM!$B$6:$B$9,0)-1),MIN(C$23-EM!$B$16+23,EM!$AF$16-EM!$B$16)),0)+
IF(ROUND(C$11,0)&gt;=25,OFFSET(EM!$B$17,ROW($A32)-ROW($A$26)+(ROW(EM!$C$46)-ROW(EM!$C$14))*(MATCH(C$22,EM!$B$6:$B$9,0)-1),MIN(C$23-EM!$B$16+24,EM!$AF$16-EM!$B$16)),0)+
IF(ROUND(C$11,0)&gt;=26,OFFSET(EM!$B$17,ROW($A32)-ROW($A$26)+(ROW(EM!$C$46)-ROW(EM!$C$14))*(MATCH(C$22,EM!$B$6:$B$9,0)-1),MIN(C$23-EM!$B$16+25,EM!$AF$16-EM!$B$16)),0)+
IF(ROUND(C$11,0)&gt;=27,OFFSET(EM!$B$17,ROW($A32)-ROW($A$26)+(ROW(EM!$C$46)-ROW(EM!$C$14))*(MATCH(C$22,EM!$B$6:$B$9,0)-1),MIN(C$23-EM!$B$16+26,EM!$AF$16-EM!$B$16)),0)+
IF(ROUND(C$11,0)&gt;=28,OFFSET(EM!$B$17,ROW($A32)-ROW($A$26)+(ROW(EM!$C$46)-ROW(EM!$C$14))*(MATCH(C$22,EM!$B$6:$B$9,0)-1),MIN(C$23-EM!$B$16+27,EM!$AF$16-EM!$B$16)),0)+
IF(ROUND(C$11,0)&gt;=29,OFFSET(EM!$B$17,ROW($A32)-ROW($A$26)+(ROW(EM!$C$46)-ROW(EM!$C$14))*(MATCH(C$22,EM!$B$6:$B$9,0)-1),MIN(C$23-EM!$B$16+28,EM!$AF$16-EM!$B$16)),0)+
IF(ROUND(C$11,0)&gt;=30,OFFSET(EM!$B$17,ROW($A32)-ROW($A$26)+(ROW(EM!$C$46)-ROW(EM!$C$14))*(MATCH(C$22,EM!$B$6:$B$9,0)-1),MIN(C$23-EM!$B$16+29,EM!$AF$16-EM!$B$16)),0)+
IF(ROUND(C$11,0)&gt;=31,OFFSET(EM!$B$17,ROW($A32)-ROW($A$26)+(ROW(EM!$C$46)-ROW(EM!$C$14))*(MATCH(C$22,EM!$B$6:$B$9,0)-1),MIN(C$23-EM!$B$16+30,EM!$AF$16-EM!$B$16)),0)+
IF(ROUND(C$11,0)&gt;=32,OFFSET(EM!$B$17,ROW($A32)-ROW($A$26)+(ROW(EM!$C$46)-ROW(EM!$C$14))*(MATCH(C$22,EM!$B$6:$B$9,0)-1),MIN(C$23-EM!$B$16+31,EM!$AF$16-EM!$B$16)),0)+
IF(ROUND(C$11,0)&gt;=33,OFFSET(EM!$B$17,ROW($A32)-ROW($A$26)+(ROW(EM!$C$46)-ROW(EM!$C$14))*(MATCH(C$22,EM!$B$6:$B$9,0)-1),MIN(C$23-EM!$B$16+32,EM!$AF$16-EM!$B$16)),0)+
IF(ROUND(C$11,0)&gt;=34,OFFSET(EM!$B$17,ROW($A32)-ROW($A$26)+(ROW(EM!$C$46)-ROW(EM!$C$14))*(MATCH(C$22,EM!$B$6:$B$9,0)-1),MIN(C$23-EM!$B$16+33,EM!$AF$16-EM!$B$16)),0)+
IF(ROUND(C$11,0)&gt;=35,OFFSET(EM!$B$17,ROW($A32)-ROW($A$26)+(ROW(EM!$C$46)-ROW(EM!$C$14))*(MATCH(C$22,EM!$B$6:$B$9,0)-1),MIN(C$23-EM!$B$16+34,EM!$AF$16-EM!$B$16)),0)+
IF(ROUND(C$11,0)&gt;=36,OFFSET(EM!$B$17,ROW($A32)-ROW($A$26)+(ROW(EM!$C$46)-ROW(EM!$C$14))*(MATCH(C$22,EM!$B$6:$B$9,0)-1),MIN(C$23-EM!$B$16+35,EM!$AF$16-EM!$B$16)),0)+
IF(ROUND(C$11,0)&gt;=37,OFFSET(EM!$B$17,ROW($A32)-ROW($A$26)+(ROW(EM!$C$46)-ROW(EM!$C$14))*(MATCH(C$22,EM!$B$6:$B$9,0)-1),MIN(C$23-EM!$B$16+36,EM!$AF$16-EM!$B$16)),0)+
IF(ROUND(C$11,0)&gt;=38,OFFSET(EM!$B$17,ROW($A32)-ROW($A$26)+(ROW(EM!$C$46)-ROW(EM!$C$14))*(MATCH(C$22,EM!$B$6:$B$9,0)-1),MIN(C$23-EM!$B$16+37,EM!$AF$16-EM!$B$16)),0)+
IF(ROUND(C$11,0)&gt;=39,OFFSET(EM!$B$17,ROW($A32)-ROW($A$26)+(ROW(EM!$C$46)-ROW(EM!$C$14))*(MATCH(C$22,EM!$B$6:$B$9,0)-1),MIN(C$23-EM!$B$16+38,EM!$AF$16-EM!$B$16)),0)+
IF(ROUND(C$11,0)&gt;=40,OFFSET(EM!$B$17,ROW($A32)-ROW($A$26)+(ROW(EM!$C$46)-ROW(EM!$C$14))*(MATCH(C$22,EM!$B$6:$B$9,0)-1),MIN(C$23-EM!$B$16+39,EM!$AF$16-EM!$B$16)),0)
)/ROUND(C$11,0),NA()))</f>
        <v>0</v>
      </c>
      <c r="D32" s="2046">
        <f ca="1">IF(D$19=GPG!$A$28,IF(ROW(D32)-ROW(D$26)+1=MATCH(D$20,GPG!$A$5:$A$11,0),1,0),
IF(D$19=GPG!$A$29,
(IF(ROUND(D$11,0)&gt;=1,OFFSET(EM!$B$17,ROW($A32)-ROW($A$26)+(ROW(EM!$C$46)-ROW(EM!$C$14))*(MATCH(D$22,EM!$B$6:$B$9,0)-1),MIN(D$23-EM!$B$16,EM!$AF$16-EM!$B$16)),0)+
IF(ROUND(D$11,0)&gt;=2,OFFSET(EM!$B$17,ROW($A32)-ROW($A$26)+(ROW(EM!$C$46)-ROW(EM!$C$14))*(MATCH(D$22,EM!$B$6:$B$9,0)-1),MIN(D$23-EM!$B$16+1,EM!$AF$16-EM!$B$16)),0)+
IF(ROUND(D$11,0)&gt;=3,OFFSET(EM!$B$17,ROW($A32)-ROW($A$26)+(ROW(EM!$C$46)-ROW(EM!$C$14))*(MATCH(D$22,EM!$B$6:$B$9,0)-1),MIN(D$23-EM!$B$16+2,EM!$AF$16-EM!$B$16)),0)+
IF(ROUND(D$11,0)&gt;=4,OFFSET(EM!$B$17,ROW($A32)-ROW($A$26)+(ROW(EM!$C$46)-ROW(EM!$C$14))*(MATCH(D$22,EM!$B$6:$B$9,0)-1),MIN(D$23-EM!$B$16+3,EM!$AF$16-EM!$B$16)),0)+
IF(ROUND(D$11,0)&gt;=5,OFFSET(EM!$B$17,ROW($A32)-ROW($A$26)+(ROW(EM!$C$46)-ROW(EM!$C$14))*(MATCH(D$22,EM!$B$6:$B$9,0)-1),MIN(D$23-EM!$B$16+4,EM!$AF$16-EM!$B$16)),0)+
IF(ROUND(D$11,0)&gt;=6,OFFSET(EM!$B$17,ROW($A32)-ROW($A$26)+(ROW(EM!$C$46)-ROW(EM!$C$14))*(MATCH(D$22,EM!$B$6:$B$9,0)-1),MIN(D$23-EM!$B$16+5,EM!$AF$16-EM!$B$16)),0)+
IF(ROUND(D$11,0)&gt;=7,OFFSET(EM!$B$17,ROW($A32)-ROW($A$26)+(ROW(EM!$C$46)-ROW(EM!$C$14))*(MATCH(D$22,EM!$B$6:$B$9,0)-1),MIN(D$23-EM!$B$16+6,EM!$AF$16-EM!$B$16)),0)+
IF(ROUND(D$11,0)&gt;=8,OFFSET(EM!$B$17,ROW($A32)-ROW($A$26)+(ROW(EM!$C$46)-ROW(EM!$C$14))*(MATCH(D$22,EM!$B$6:$B$9,0)-1),MIN(D$23-EM!$B$16+7,EM!$AF$16-EM!$B$16)),0)+
IF(ROUND(D$11,0)&gt;=9,OFFSET(EM!$B$17,ROW($A32)-ROW($A$26)+(ROW(EM!$C$46)-ROW(EM!$C$14))*(MATCH(D$22,EM!$B$6:$B$9,0)-1),MIN(D$23-EM!$B$16+8,EM!$AF$16-EM!$B$16)),0)+
IF(ROUND(D$11,0)&gt;=10,OFFSET(EM!$B$17,ROW($A32)-ROW($A$26)+(ROW(EM!$C$46)-ROW(EM!$C$14))*(MATCH(D$22,EM!$B$6:$B$9,0)-1),MIN(D$23-EM!$B$16+9,EM!$AF$16-EM!$B$16)),0)+
IF(ROUND(D$11,0)&gt;=11,OFFSET(EM!$B$17,ROW($A32)-ROW($A$26)+(ROW(EM!$C$46)-ROW(EM!$C$14))*(MATCH(D$22,EM!$B$6:$B$9,0)-1),MIN(D$23-EM!$B$16+10,EM!$AF$16-EM!$B$16)),0)+
IF(ROUND(D$11,0)&gt;=12,OFFSET(EM!$B$17,ROW($A32)-ROW($A$26)+(ROW(EM!$C$46)-ROW(EM!$C$14))*(MATCH(D$22,EM!$B$6:$B$9,0)-1),MIN(D$23-EM!$B$16+11,EM!$AF$16-EM!$B$16)),0)+
IF(ROUND(D$11,0)&gt;=13,OFFSET(EM!$B$17,ROW($A32)-ROW($A$26)+(ROW(EM!$C$46)-ROW(EM!$C$14))*(MATCH(D$22,EM!$B$6:$B$9,0)-1),MIN(D$23-EM!$B$16+12,EM!$AF$16-EM!$B$16)),0)+
IF(ROUND(D$11,0)&gt;=14,OFFSET(EM!$B$17,ROW($A32)-ROW($A$26)+(ROW(EM!$C$46)-ROW(EM!$C$14))*(MATCH(D$22,EM!$B$6:$B$9,0)-1),MIN(D$23-EM!$B$16+13,EM!$AF$16-EM!$B$16)),0)+
IF(ROUND(D$11,0)&gt;=15,OFFSET(EM!$B$17,ROW($A32)-ROW($A$26)+(ROW(EM!$C$46)-ROW(EM!$C$14))*(MATCH(D$22,EM!$B$6:$B$9,0)-1),MIN(D$23-EM!$B$16+14,EM!$AF$16-EM!$B$16)),0)+
IF(ROUND(D$11,0)&gt;=16,OFFSET(EM!$B$17,ROW($A32)-ROW($A$26)+(ROW(EM!$C$46)-ROW(EM!$C$14))*(MATCH(D$22,EM!$B$6:$B$9,0)-1),MIN(D$23-EM!$B$16+15,EM!$AF$16-EM!$B$16)),0)+
IF(ROUND(D$11,0)&gt;=17,OFFSET(EM!$B$17,ROW($A32)-ROW($A$26)+(ROW(EM!$C$46)-ROW(EM!$C$14))*(MATCH(D$22,EM!$B$6:$B$9,0)-1),MIN(D$23-EM!$B$16+16,EM!$AF$16-EM!$B$16)),0)+
IF(ROUND(D$11,0)&gt;=18,OFFSET(EM!$B$17,ROW($A32)-ROW($A$26)+(ROW(EM!$C$46)-ROW(EM!$C$14))*(MATCH(D$22,EM!$B$6:$B$9,0)-1),MIN(D$23-EM!$B$16+17,EM!$AF$16-EM!$B$16)),0)+
IF(ROUND(D$11,0)&gt;=19,OFFSET(EM!$B$17,ROW($A32)-ROW($A$26)+(ROW(EM!$C$46)-ROW(EM!$C$14))*(MATCH(D$22,EM!$B$6:$B$9,0)-1),MIN(D$23-EM!$B$16+18,EM!$AF$16-EM!$B$16)),0)+
IF(ROUND(D$11,0)&gt;=20,OFFSET(EM!$B$17,ROW($A32)-ROW($A$26)+(ROW(EM!$C$46)-ROW(EM!$C$14))*(MATCH(D$22,EM!$B$6:$B$9,0)-1),MIN(D$23-EM!$B$16+19,EM!$AF$16-EM!$B$16)),0)+
IF(ROUND(D$11,0)&gt;=21,OFFSET(EM!$B$17,ROW($A32)-ROW($A$26)+(ROW(EM!$C$46)-ROW(EM!$C$14))*(MATCH(D$22,EM!$B$6:$B$9,0)-1),MIN(D$23-EM!$B$16+20,EM!$AF$16-EM!$B$16)),0)+
IF(ROUND(D$11,0)&gt;=22,OFFSET(EM!$B$17,ROW($A32)-ROW($A$26)+(ROW(EM!$C$46)-ROW(EM!$C$14))*(MATCH(D$22,EM!$B$6:$B$9,0)-1),MIN(D$23-EM!$B$16+21,EM!$AF$16-EM!$B$16)),0)+
IF(ROUND(D$11,0)&gt;=23,OFFSET(EM!$B$17,ROW($A32)-ROW($A$26)+(ROW(EM!$C$46)-ROW(EM!$C$14))*(MATCH(D$22,EM!$B$6:$B$9,0)-1),MIN(D$23-EM!$B$16+22,EM!$AF$16-EM!$B$16)),0)+
IF(ROUND(D$11,0)&gt;=24,OFFSET(EM!$B$17,ROW($A32)-ROW($A$26)+(ROW(EM!$C$46)-ROW(EM!$C$14))*(MATCH(D$22,EM!$B$6:$B$9,0)-1),MIN(D$23-EM!$B$16+23,EM!$AF$16-EM!$B$16)),0)+
IF(ROUND(D$11,0)&gt;=25,OFFSET(EM!$B$17,ROW($A32)-ROW($A$26)+(ROW(EM!$C$46)-ROW(EM!$C$14))*(MATCH(D$22,EM!$B$6:$B$9,0)-1),MIN(D$23-EM!$B$16+24,EM!$AF$16-EM!$B$16)),0)+
IF(ROUND(D$11,0)&gt;=26,OFFSET(EM!$B$17,ROW($A32)-ROW($A$26)+(ROW(EM!$C$46)-ROW(EM!$C$14))*(MATCH(D$22,EM!$B$6:$B$9,0)-1),MIN(D$23-EM!$B$16+25,EM!$AF$16-EM!$B$16)),0)+
IF(ROUND(D$11,0)&gt;=27,OFFSET(EM!$B$17,ROW($A32)-ROW($A$26)+(ROW(EM!$C$46)-ROW(EM!$C$14))*(MATCH(D$22,EM!$B$6:$B$9,0)-1),MIN(D$23-EM!$B$16+26,EM!$AF$16-EM!$B$16)),0)+
IF(ROUND(D$11,0)&gt;=28,OFFSET(EM!$B$17,ROW($A32)-ROW($A$26)+(ROW(EM!$C$46)-ROW(EM!$C$14))*(MATCH(D$22,EM!$B$6:$B$9,0)-1),MIN(D$23-EM!$B$16+27,EM!$AF$16-EM!$B$16)),0)+
IF(ROUND(D$11,0)&gt;=29,OFFSET(EM!$B$17,ROW($A32)-ROW($A$26)+(ROW(EM!$C$46)-ROW(EM!$C$14))*(MATCH(D$22,EM!$B$6:$B$9,0)-1),MIN(D$23-EM!$B$16+28,EM!$AF$16-EM!$B$16)),0)+
IF(ROUND(D$11,0)&gt;=30,OFFSET(EM!$B$17,ROW($A32)-ROW($A$26)+(ROW(EM!$C$46)-ROW(EM!$C$14))*(MATCH(D$22,EM!$B$6:$B$9,0)-1),MIN(D$23-EM!$B$16+29,EM!$AF$16-EM!$B$16)),0)+
IF(ROUND(D$11,0)&gt;=31,OFFSET(EM!$B$17,ROW($A32)-ROW($A$26)+(ROW(EM!$C$46)-ROW(EM!$C$14))*(MATCH(D$22,EM!$B$6:$B$9,0)-1),MIN(D$23-EM!$B$16+30,EM!$AF$16-EM!$B$16)),0)+
IF(ROUND(D$11,0)&gt;=32,OFFSET(EM!$B$17,ROW($A32)-ROW($A$26)+(ROW(EM!$C$46)-ROW(EM!$C$14))*(MATCH(D$22,EM!$B$6:$B$9,0)-1),MIN(D$23-EM!$B$16+31,EM!$AF$16-EM!$B$16)),0)+
IF(ROUND(D$11,0)&gt;=33,OFFSET(EM!$B$17,ROW($A32)-ROW($A$26)+(ROW(EM!$C$46)-ROW(EM!$C$14))*(MATCH(D$22,EM!$B$6:$B$9,0)-1),MIN(D$23-EM!$B$16+32,EM!$AF$16-EM!$B$16)),0)+
IF(ROUND(D$11,0)&gt;=34,OFFSET(EM!$B$17,ROW($A32)-ROW($A$26)+(ROW(EM!$C$46)-ROW(EM!$C$14))*(MATCH(D$22,EM!$B$6:$B$9,0)-1),MIN(D$23-EM!$B$16+33,EM!$AF$16-EM!$B$16)),0)+
IF(ROUND(D$11,0)&gt;=35,OFFSET(EM!$B$17,ROW($A32)-ROW($A$26)+(ROW(EM!$C$46)-ROW(EM!$C$14))*(MATCH(D$22,EM!$B$6:$B$9,0)-1),MIN(D$23-EM!$B$16+34,EM!$AF$16-EM!$B$16)),0)+
IF(ROUND(D$11,0)&gt;=36,OFFSET(EM!$B$17,ROW($A32)-ROW($A$26)+(ROW(EM!$C$46)-ROW(EM!$C$14))*(MATCH(D$22,EM!$B$6:$B$9,0)-1),MIN(D$23-EM!$B$16+35,EM!$AF$16-EM!$B$16)),0)+
IF(ROUND(D$11,0)&gt;=37,OFFSET(EM!$B$17,ROW($A32)-ROW($A$26)+(ROW(EM!$C$46)-ROW(EM!$C$14))*(MATCH(D$22,EM!$B$6:$B$9,0)-1),MIN(D$23-EM!$B$16+36,EM!$AF$16-EM!$B$16)),0)+
IF(ROUND(D$11,0)&gt;=38,OFFSET(EM!$B$17,ROW($A32)-ROW($A$26)+(ROW(EM!$C$46)-ROW(EM!$C$14))*(MATCH(D$22,EM!$B$6:$B$9,0)-1),MIN(D$23-EM!$B$16+37,EM!$AF$16-EM!$B$16)),0)+
IF(ROUND(D$11,0)&gt;=39,OFFSET(EM!$B$17,ROW($A32)-ROW($A$26)+(ROW(EM!$C$46)-ROW(EM!$C$14))*(MATCH(D$22,EM!$B$6:$B$9,0)-1),MIN(D$23-EM!$B$16+38,EM!$AF$16-EM!$B$16)),0)+
IF(ROUND(D$11,0)&gt;=40,OFFSET(EM!$B$17,ROW($A32)-ROW($A$26)+(ROW(EM!$C$46)-ROW(EM!$C$14))*(MATCH(D$22,EM!$B$6:$B$9,0)-1),MIN(D$23-EM!$B$16+39,EM!$AF$16-EM!$B$16)),0)
)/ROUND(D$11,0),NA()))</f>
        <v>0</v>
      </c>
      <c r="E32" s="2046">
        <f ca="1">IF(E$19=GPG!$A$28,IF(ROW(E32)-ROW(E$26)+1=MATCH(E$20,GPG!$A$5:$A$11,0),1,0),
IF(E$19=GPG!$A$29,
(IF(ROUND(E$11,0)&gt;=1,OFFSET(EM!$B$17,ROW($A32)-ROW($A$26)+(ROW(EM!$C$46)-ROW(EM!$C$14))*(MATCH(E$22,EM!$B$6:$B$9,0)-1),MIN(E$23-EM!$B$16,EM!$AF$16-EM!$B$16)),0)+
IF(ROUND(E$11,0)&gt;=2,OFFSET(EM!$B$17,ROW($A32)-ROW($A$26)+(ROW(EM!$C$46)-ROW(EM!$C$14))*(MATCH(E$22,EM!$B$6:$B$9,0)-1),MIN(E$23-EM!$B$16+1,EM!$AF$16-EM!$B$16)),0)+
IF(ROUND(E$11,0)&gt;=3,OFFSET(EM!$B$17,ROW($A32)-ROW($A$26)+(ROW(EM!$C$46)-ROW(EM!$C$14))*(MATCH(E$22,EM!$B$6:$B$9,0)-1),MIN(E$23-EM!$B$16+2,EM!$AF$16-EM!$B$16)),0)+
IF(ROUND(E$11,0)&gt;=4,OFFSET(EM!$B$17,ROW($A32)-ROW($A$26)+(ROW(EM!$C$46)-ROW(EM!$C$14))*(MATCH(E$22,EM!$B$6:$B$9,0)-1),MIN(E$23-EM!$B$16+3,EM!$AF$16-EM!$B$16)),0)+
IF(ROUND(E$11,0)&gt;=5,OFFSET(EM!$B$17,ROW($A32)-ROW($A$26)+(ROW(EM!$C$46)-ROW(EM!$C$14))*(MATCH(E$22,EM!$B$6:$B$9,0)-1),MIN(E$23-EM!$B$16+4,EM!$AF$16-EM!$B$16)),0)+
IF(ROUND(E$11,0)&gt;=6,OFFSET(EM!$B$17,ROW($A32)-ROW($A$26)+(ROW(EM!$C$46)-ROW(EM!$C$14))*(MATCH(E$22,EM!$B$6:$B$9,0)-1),MIN(E$23-EM!$B$16+5,EM!$AF$16-EM!$B$16)),0)+
IF(ROUND(E$11,0)&gt;=7,OFFSET(EM!$B$17,ROW($A32)-ROW($A$26)+(ROW(EM!$C$46)-ROW(EM!$C$14))*(MATCH(E$22,EM!$B$6:$B$9,0)-1),MIN(E$23-EM!$B$16+6,EM!$AF$16-EM!$B$16)),0)+
IF(ROUND(E$11,0)&gt;=8,OFFSET(EM!$B$17,ROW($A32)-ROW($A$26)+(ROW(EM!$C$46)-ROW(EM!$C$14))*(MATCH(E$22,EM!$B$6:$B$9,0)-1),MIN(E$23-EM!$B$16+7,EM!$AF$16-EM!$B$16)),0)+
IF(ROUND(E$11,0)&gt;=9,OFFSET(EM!$B$17,ROW($A32)-ROW($A$26)+(ROW(EM!$C$46)-ROW(EM!$C$14))*(MATCH(E$22,EM!$B$6:$B$9,0)-1),MIN(E$23-EM!$B$16+8,EM!$AF$16-EM!$B$16)),0)+
IF(ROUND(E$11,0)&gt;=10,OFFSET(EM!$B$17,ROW($A32)-ROW($A$26)+(ROW(EM!$C$46)-ROW(EM!$C$14))*(MATCH(E$22,EM!$B$6:$B$9,0)-1),MIN(E$23-EM!$B$16+9,EM!$AF$16-EM!$B$16)),0)+
IF(ROUND(E$11,0)&gt;=11,OFFSET(EM!$B$17,ROW($A32)-ROW($A$26)+(ROW(EM!$C$46)-ROW(EM!$C$14))*(MATCH(E$22,EM!$B$6:$B$9,0)-1),MIN(E$23-EM!$B$16+10,EM!$AF$16-EM!$B$16)),0)+
IF(ROUND(E$11,0)&gt;=12,OFFSET(EM!$B$17,ROW($A32)-ROW($A$26)+(ROW(EM!$C$46)-ROW(EM!$C$14))*(MATCH(E$22,EM!$B$6:$B$9,0)-1),MIN(E$23-EM!$B$16+11,EM!$AF$16-EM!$B$16)),0)+
IF(ROUND(E$11,0)&gt;=13,OFFSET(EM!$B$17,ROW($A32)-ROW($A$26)+(ROW(EM!$C$46)-ROW(EM!$C$14))*(MATCH(E$22,EM!$B$6:$B$9,0)-1),MIN(E$23-EM!$B$16+12,EM!$AF$16-EM!$B$16)),0)+
IF(ROUND(E$11,0)&gt;=14,OFFSET(EM!$B$17,ROW($A32)-ROW($A$26)+(ROW(EM!$C$46)-ROW(EM!$C$14))*(MATCH(E$22,EM!$B$6:$B$9,0)-1),MIN(E$23-EM!$B$16+13,EM!$AF$16-EM!$B$16)),0)+
IF(ROUND(E$11,0)&gt;=15,OFFSET(EM!$B$17,ROW($A32)-ROW($A$26)+(ROW(EM!$C$46)-ROW(EM!$C$14))*(MATCH(E$22,EM!$B$6:$B$9,0)-1),MIN(E$23-EM!$B$16+14,EM!$AF$16-EM!$B$16)),0)+
IF(ROUND(E$11,0)&gt;=16,OFFSET(EM!$B$17,ROW($A32)-ROW($A$26)+(ROW(EM!$C$46)-ROW(EM!$C$14))*(MATCH(E$22,EM!$B$6:$B$9,0)-1),MIN(E$23-EM!$B$16+15,EM!$AF$16-EM!$B$16)),0)+
IF(ROUND(E$11,0)&gt;=17,OFFSET(EM!$B$17,ROW($A32)-ROW($A$26)+(ROW(EM!$C$46)-ROW(EM!$C$14))*(MATCH(E$22,EM!$B$6:$B$9,0)-1),MIN(E$23-EM!$B$16+16,EM!$AF$16-EM!$B$16)),0)+
IF(ROUND(E$11,0)&gt;=18,OFFSET(EM!$B$17,ROW($A32)-ROW($A$26)+(ROW(EM!$C$46)-ROW(EM!$C$14))*(MATCH(E$22,EM!$B$6:$B$9,0)-1),MIN(E$23-EM!$B$16+17,EM!$AF$16-EM!$B$16)),0)+
IF(ROUND(E$11,0)&gt;=19,OFFSET(EM!$B$17,ROW($A32)-ROW($A$26)+(ROW(EM!$C$46)-ROW(EM!$C$14))*(MATCH(E$22,EM!$B$6:$B$9,0)-1),MIN(E$23-EM!$B$16+18,EM!$AF$16-EM!$B$16)),0)+
IF(ROUND(E$11,0)&gt;=20,OFFSET(EM!$B$17,ROW($A32)-ROW($A$26)+(ROW(EM!$C$46)-ROW(EM!$C$14))*(MATCH(E$22,EM!$B$6:$B$9,0)-1),MIN(E$23-EM!$B$16+19,EM!$AF$16-EM!$B$16)),0)+
IF(ROUND(E$11,0)&gt;=21,OFFSET(EM!$B$17,ROW($A32)-ROW($A$26)+(ROW(EM!$C$46)-ROW(EM!$C$14))*(MATCH(E$22,EM!$B$6:$B$9,0)-1),MIN(E$23-EM!$B$16+20,EM!$AF$16-EM!$B$16)),0)+
IF(ROUND(E$11,0)&gt;=22,OFFSET(EM!$B$17,ROW($A32)-ROW($A$26)+(ROW(EM!$C$46)-ROW(EM!$C$14))*(MATCH(E$22,EM!$B$6:$B$9,0)-1),MIN(E$23-EM!$B$16+21,EM!$AF$16-EM!$B$16)),0)+
IF(ROUND(E$11,0)&gt;=23,OFFSET(EM!$B$17,ROW($A32)-ROW($A$26)+(ROW(EM!$C$46)-ROW(EM!$C$14))*(MATCH(E$22,EM!$B$6:$B$9,0)-1),MIN(E$23-EM!$B$16+22,EM!$AF$16-EM!$B$16)),0)+
IF(ROUND(E$11,0)&gt;=24,OFFSET(EM!$B$17,ROW($A32)-ROW($A$26)+(ROW(EM!$C$46)-ROW(EM!$C$14))*(MATCH(E$22,EM!$B$6:$B$9,0)-1),MIN(E$23-EM!$B$16+23,EM!$AF$16-EM!$B$16)),0)+
IF(ROUND(E$11,0)&gt;=25,OFFSET(EM!$B$17,ROW($A32)-ROW($A$26)+(ROW(EM!$C$46)-ROW(EM!$C$14))*(MATCH(E$22,EM!$B$6:$B$9,0)-1),MIN(E$23-EM!$B$16+24,EM!$AF$16-EM!$B$16)),0)+
IF(ROUND(E$11,0)&gt;=26,OFFSET(EM!$B$17,ROW($A32)-ROW($A$26)+(ROW(EM!$C$46)-ROW(EM!$C$14))*(MATCH(E$22,EM!$B$6:$B$9,0)-1),MIN(E$23-EM!$B$16+25,EM!$AF$16-EM!$B$16)),0)+
IF(ROUND(E$11,0)&gt;=27,OFFSET(EM!$B$17,ROW($A32)-ROW($A$26)+(ROW(EM!$C$46)-ROW(EM!$C$14))*(MATCH(E$22,EM!$B$6:$B$9,0)-1),MIN(E$23-EM!$B$16+26,EM!$AF$16-EM!$B$16)),0)+
IF(ROUND(E$11,0)&gt;=28,OFFSET(EM!$B$17,ROW($A32)-ROW($A$26)+(ROW(EM!$C$46)-ROW(EM!$C$14))*(MATCH(E$22,EM!$B$6:$B$9,0)-1),MIN(E$23-EM!$B$16+27,EM!$AF$16-EM!$B$16)),0)+
IF(ROUND(E$11,0)&gt;=29,OFFSET(EM!$B$17,ROW($A32)-ROW($A$26)+(ROW(EM!$C$46)-ROW(EM!$C$14))*(MATCH(E$22,EM!$B$6:$B$9,0)-1),MIN(E$23-EM!$B$16+28,EM!$AF$16-EM!$B$16)),0)+
IF(ROUND(E$11,0)&gt;=30,OFFSET(EM!$B$17,ROW($A32)-ROW($A$26)+(ROW(EM!$C$46)-ROW(EM!$C$14))*(MATCH(E$22,EM!$B$6:$B$9,0)-1),MIN(E$23-EM!$B$16+29,EM!$AF$16-EM!$B$16)),0)+
IF(ROUND(E$11,0)&gt;=31,OFFSET(EM!$B$17,ROW($A32)-ROW($A$26)+(ROW(EM!$C$46)-ROW(EM!$C$14))*(MATCH(E$22,EM!$B$6:$B$9,0)-1),MIN(E$23-EM!$B$16+30,EM!$AF$16-EM!$B$16)),0)+
IF(ROUND(E$11,0)&gt;=32,OFFSET(EM!$B$17,ROW($A32)-ROW($A$26)+(ROW(EM!$C$46)-ROW(EM!$C$14))*(MATCH(E$22,EM!$B$6:$B$9,0)-1),MIN(E$23-EM!$B$16+31,EM!$AF$16-EM!$B$16)),0)+
IF(ROUND(E$11,0)&gt;=33,OFFSET(EM!$B$17,ROW($A32)-ROW($A$26)+(ROW(EM!$C$46)-ROW(EM!$C$14))*(MATCH(E$22,EM!$B$6:$B$9,0)-1),MIN(E$23-EM!$B$16+32,EM!$AF$16-EM!$B$16)),0)+
IF(ROUND(E$11,0)&gt;=34,OFFSET(EM!$B$17,ROW($A32)-ROW($A$26)+(ROW(EM!$C$46)-ROW(EM!$C$14))*(MATCH(E$22,EM!$B$6:$B$9,0)-1),MIN(E$23-EM!$B$16+33,EM!$AF$16-EM!$B$16)),0)+
IF(ROUND(E$11,0)&gt;=35,OFFSET(EM!$B$17,ROW($A32)-ROW($A$26)+(ROW(EM!$C$46)-ROW(EM!$C$14))*(MATCH(E$22,EM!$B$6:$B$9,0)-1),MIN(E$23-EM!$B$16+34,EM!$AF$16-EM!$B$16)),0)+
IF(ROUND(E$11,0)&gt;=36,OFFSET(EM!$B$17,ROW($A32)-ROW($A$26)+(ROW(EM!$C$46)-ROW(EM!$C$14))*(MATCH(E$22,EM!$B$6:$B$9,0)-1),MIN(E$23-EM!$B$16+35,EM!$AF$16-EM!$B$16)),0)+
IF(ROUND(E$11,0)&gt;=37,OFFSET(EM!$B$17,ROW($A32)-ROW($A$26)+(ROW(EM!$C$46)-ROW(EM!$C$14))*(MATCH(E$22,EM!$B$6:$B$9,0)-1),MIN(E$23-EM!$B$16+36,EM!$AF$16-EM!$B$16)),0)+
IF(ROUND(E$11,0)&gt;=38,OFFSET(EM!$B$17,ROW($A32)-ROW($A$26)+(ROW(EM!$C$46)-ROW(EM!$C$14))*(MATCH(E$22,EM!$B$6:$B$9,0)-1),MIN(E$23-EM!$B$16+37,EM!$AF$16-EM!$B$16)),0)+
IF(ROUND(E$11,0)&gt;=39,OFFSET(EM!$B$17,ROW($A32)-ROW($A$26)+(ROW(EM!$C$46)-ROW(EM!$C$14))*(MATCH(E$22,EM!$B$6:$B$9,0)-1),MIN(E$23-EM!$B$16+38,EM!$AF$16-EM!$B$16)),0)+
IF(ROUND(E$11,0)&gt;=40,OFFSET(EM!$B$17,ROW($A32)-ROW($A$26)+(ROW(EM!$C$46)-ROW(EM!$C$14))*(MATCH(E$22,EM!$B$6:$B$9,0)-1),MIN(E$23-EM!$B$16+39,EM!$AF$16-EM!$B$16)),0)
)/ROUND(E$11,0),NA()))</f>
        <v>0</v>
      </c>
      <c r="F32" s="2046">
        <f ca="1">IF(F$19=GPG!$A$28,IF(ROW(F32)-ROW(F$26)+1=MATCH(F$20,GPG!$A$5:$A$11,0),1,0),
IF(F$19=GPG!$A$29,
(IF(ROUND(F$11,0)&gt;=1,OFFSET(EM!$B$17,ROW($A32)-ROW($A$26)+(ROW(EM!$C$46)-ROW(EM!$C$14))*(MATCH(F$22,EM!$B$6:$B$9,0)-1),MIN(F$23-EM!$B$16,EM!$AF$16-EM!$B$16)),0)+
IF(ROUND(F$11,0)&gt;=2,OFFSET(EM!$B$17,ROW($A32)-ROW($A$26)+(ROW(EM!$C$46)-ROW(EM!$C$14))*(MATCH(F$22,EM!$B$6:$B$9,0)-1),MIN(F$23-EM!$B$16+1,EM!$AF$16-EM!$B$16)),0)+
IF(ROUND(F$11,0)&gt;=3,OFFSET(EM!$B$17,ROW($A32)-ROW($A$26)+(ROW(EM!$C$46)-ROW(EM!$C$14))*(MATCH(F$22,EM!$B$6:$B$9,0)-1),MIN(F$23-EM!$B$16+2,EM!$AF$16-EM!$B$16)),0)+
IF(ROUND(F$11,0)&gt;=4,OFFSET(EM!$B$17,ROW($A32)-ROW($A$26)+(ROW(EM!$C$46)-ROW(EM!$C$14))*(MATCH(F$22,EM!$B$6:$B$9,0)-1),MIN(F$23-EM!$B$16+3,EM!$AF$16-EM!$B$16)),0)+
IF(ROUND(F$11,0)&gt;=5,OFFSET(EM!$B$17,ROW($A32)-ROW($A$26)+(ROW(EM!$C$46)-ROW(EM!$C$14))*(MATCH(F$22,EM!$B$6:$B$9,0)-1),MIN(F$23-EM!$B$16+4,EM!$AF$16-EM!$B$16)),0)+
IF(ROUND(F$11,0)&gt;=6,OFFSET(EM!$B$17,ROW($A32)-ROW($A$26)+(ROW(EM!$C$46)-ROW(EM!$C$14))*(MATCH(F$22,EM!$B$6:$B$9,0)-1),MIN(F$23-EM!$B$16+5,EM!$AF$16-EM!$B$16)),0)+
IF(ROUND(F$11,0)&gt;=7,OFFSET(EM!$B$17,ROW($A32)-ROW($A$26)+(ROW(EM!$C$46)-ROW(EM!$C$14))*(MATCH(F$22,EM!$B$6:$B$9,0)-1),MIN(F$23-EM!$B$16+6,EM!$AF$16-EM!$B$16)),0)+
IF(ROUND(F$11,0)&gt;=8,OFFSET(EM!$B$17,ROW($A32)-ROW($A$26)+(ROW(EM!$C$46)-ROW(EM!$C$14))*(MATCH(F$22,EM!$B$6:$B$9,0)-1),MIN(F$23-EM!$B$16+7,EM!$AF$16-EM!$B$16)),0)+
IF(ROUND(F$11,0)&gt;=9,OFFSET(EM!$B$17,ROW($A32)-ROW($A$26)+(ROW(EM!$C$46)-ROW(EM!$C$14))*(MATCH(F$22,EM!$B$6:$B$9,0)-1),MIN(F$23-EM!$B$16+8,EM!$AF$16-EM!$B$16)),0)+
IF(ROUND(F$11,0)&gt;=10,OFFSET(EM!$B$17,ROW($A32)-ROW($A$26)+(ROW(EM!$C$46)-ROW(EM!$C$14))*(MATCH(F$22,EM!$B$6:$B$9,0)-1),MIN(F$23-EM!$B$16+9,EM!$AF$16-EM!$B$16)),0)+
IF(ROUND(F$11,0)&gt;=11,OFFSET(EM!$B$17,ROW($A32)-ROW($A$26)+(ROW(EM!$C$46)-ROW(EM!$C$14))*(MATCH(F$22,EM!$B$6:$B$9,0)-1),MIN(F$23-EM!$B$16+10,EM!$AF$16-EM!$B$16)),0)+
IF(ROUND(F$11,0)&gt;=12,OFFSET(EM!$B$17,ROW($A32)-ROW($A$26)+(ROW(EM!$C$46)-ROW(EM!$C$14))*(MATCH(F$22,EM!$B$6:$B$9,0)-1),MIN(F$23-EM!$B$16+11,EM!$AF$16-EM!$B$16)),0)+
IF(ROUND(F$11,0)&gt;=13,OFFSET(EM!$B$17,ROW($A32)-ROW($A$26)+(ROW(EM!$C$46)-ROW(EM!$C$14))*(MATCH(F$22,EM!$B$6:$B$9,0)-1),MIN(F$23-EM!$B$16+12,EM!$AF$16-EM!$B$16)),0)+
IF(ROUND(F$11,0)&gt;=14,OFFSET(EM!$B$17,ROW($A32)-ROW($A$26)+(ROW(EM!$C$46)-ROW(EM!$C$14))*(MATCH(F$22,EM!$B$6:$B$9,0)-1),MIN(F$23-EM!$B$16+13,EM!$AF$16-EM!$B$16)),0)+
IF(ROUND(F$11,0)&gt;=15,OFFSET(EM!$B$17,ROW($A32)-ROW($A$26)+(ROW(EM!$C$46)-ROW(EM!$C$14))*(MATCH(F$22,EM!$B$6:$B$9,0)-1),MIN(F$23-EM!$B$16+14,EM!$AF$16-EM!$B$16)),0)+
IF(ROUND(F$11,0)&gt;=16,OFFSET(EM!$B$17,ROW($A32)-ROW($A$26)+(ROW(EM!$C$46)-ROW(EM!$C$14))*(MATCH(F$22,EM!$B$6:$B$9,0)-1),MIN(F$23-EM!$B$16+15,EM!$AF$16-EM!$B$16)),0)+
IF(ROUND(F$11,0)&gt;=17,OFFSET(EM!$B$17,ROW($A32)-ROW($A$26)+(ROW(EM!$C$46)-ROW(EM!$C$14))*(MATCH(F$22,EM!$B$6:$B$9,0)-1),MIN(F$23-EM!$B$16+16,EM!$AF$16-EM!$B$16)),0)+
IF(ROUND(F$11,0)&gt;=18,OFFSET(EM!$B$17,ROW($A32)-ROW($A$26)+(ROW(EM!$C$46)-ROW(EM!$C$14))*(MATCH(F$22,EM!$B$6:$B$9,0)-1),MIN(F$23-EM!$B$16+17,EM!$AF$16-EM!$B$16)),0)+
IF(ROUND(F$11,0)&gt;=19,OFFSET(EM!$B$17,ROW($A32)-ROW($A$26)+(ROW(EM!$C$46)-ROW(EM!$C$14))*(MATCH(F$22,EM!$B$6:$B$9,0)-1),MIN(F$23-EM!$B$16+18,EM!$AF$16-EM!$B$16)),0)+
IF(ROUND(F$11,0)&gt;=20,OFFSET(EM!$B$17,ROW($A32)-ROW($A$26)+(ROW(EM!$C$46)-ROW(EM!$C$14))*(MATCH(F$22,EM!$B$6:$B$9,0)-1),MIN(F$23-EM!$B$16+19,EM!$AF$16-EM!$B$16)),0)+
IF(ROUND(F$11,0)&gt;=21,OFFSET(EM!$B$17,ROW($A32)-ROW($A$26)+(ROW(EM!$C$46)-ROW(EM!$C$14))*(MATCH(F$22,EM!$B$6:$B$9,0)-1),MIN(F$23-EM!$B$16+20,EM!$AF$16-EM!$B$16)),0)+
IF(ROUND(F$11,0)&gt;=22,OFFSET(EM!$B$17,ROW($A32)-ROW($A$26)+(ROW(EM!$C$46)-ROW(EM!$C$14))*(MATCH(F$22,EM!$B$6:$B$9,0)-1),MIN(F$23-EM!$B$16+21,EM!$AF$16-EM!$B$16)),0)+
IF(ROUND(F$11,0)&gt;=23,OFFSET(EM!$B$17,ROW($A32)-ROW($A$26)+(ROW(EM!$C$46)-ROW(EM!$C$14))*(MATCH(F$22,EM!$B$6:$B$9,0)-1),MIN(F$23-EM!$B$16+22,EM!$AF$16-EM!$B$16)),0)+
IF(ROUND(F$11,0)&gt;=24,OFFSET(EM!$B$17,ROW($A32)-ROW($A$26)+(ROW(EM!$C$46)-ROW(EM!$C$14))*(MATCH(F$22,EM!$B$6:$B$9,0)-1),MIN(F$23-EM!$B$16+23,EM!$AF$16-EM!$B$16)),0)+
IF(ROUND(F$11,0)&gt;=25,OFFSET(EM!$B$17,ROW($A32)-ROW($A$26)+(ROW(EM!$C$46)-ROW(EM!$C$14))*(MATCH(F$22,EM!$B$6:$B$9,0)-1),MIN(F$23-EM!$B$16+24,EM!$AF$16-EM!$B$16)),0)+
IF(ROUND(F$11,0)&gt;=26,OFFSET(EM!$B$17,ROW($A32)-ROW($A$26)+(ROW(EM!$C$46)-ROW(EM!$C$14))*(MATCH(F$22,EM!$B$6:$B$9,0)-1),MIN(F$23-EM!$B$16+25,EM!$AF$16-EM!$B$16)),0)+
IF(ROUND(F$11,0)&gt;=27,OFFSET(EM!$B$17,ROW($A32)-ROW($A$26)+(ROW(EM!$C$46)-ROW(EM!$C$14))*(MATCH(F$22,EM!$B$6:$B$9,0)-1),MIN(F$23-EM!$B$16+26,EM!$AF$16-EM!$B$16)),0)+
IF(ROUND(F$11,0)&gt;=28,OFFSET(EM!$B$17,ROW($A32)-ROW($A$26)+(ROW(EM!$C$46)-ROW(EM!$C$14))*(MATCH(F$22,EM!$B$6:$B$9,0)-1),MIN(F$23-EM!$B$16+27,EM!$AF$16-EM!$B$16)),0)+
IF(ROUND(F$11,0)&gt;=29,OFFSET(EM!$B$17,ROW($A32)-ROW($A$26)+(ROW(EM!$C$46)-ROW(EM!$C$14))*(MATCH(F$22,EM!$B$6:$B$9,0)-1),MIN(F$23-EM!$B$16+28,EM!$AF$16-EM!$B$16)),0)+
IF(ROUND(F$11,0)&gt;=30,OFFSET(EM!$B$17,ROW($A32)-ROW($A$26)+(ROW(EM!$C$46)-ROW(EM!$C$14))*(MATCH(F$22,EM!$B$6:$B$9,0)-1),MIN(F$23-EM!$B$16+29,EM!$AF$16-EM!$B$16)),0)+
IF(ROUND(F$11,0)&gt;=31,OFFSET(EM!$B$17,ROW($A32)-ROW($A$26)+(ROW(EM!$C$46)-ROW(EM!$C$14))*(MATCH(F$22,EM!$B$6:$B$9,0)-1),MIN(F$23-EM!$B$16+30,EM!$AF$16-EM!$B$16)),0)+
IF(ROUND(F$11,0)&gt;=32,OFFSET(EM!$B$17,ROW($A32)-ROW($A$26)+(ROW(EM!$C$46)-ROW(EM!$C$14))*(MATCH(F$22,EM!$B$6:$B$9,0)-1),MIN(F$23-EM!$B$16+31,EM!$AF$16-EM!$B$16)),0)+
IF(ROUND(F$11,0)&gt;=33,OFFSET(EM!$B$17,ROW($A32)-ROW($A$26)+(ROW(EM!$C$46)-ROW(EM!$C$14))*(MATCH(F$22,EM!$B$6:$B$9,0)-1),MIN(F$23-EM!$B$16+32,EM!$AF$16-EM!$B$16)),0)+
IF(ROUND(F$11,0)&gt;=34,OFFSET(EM!$B$17,ROW($A32)-ROW($A$26)+(ROW(EM!$C$46)-ROW(EM!$C$14))*(MATCH(F$22,EM!$B$6:$B$9,0)-1),MIN(F$23-EM!$B$16+33,EM!$AF$16-EM!$B$16)),0)+
IF(ROUND(F$11,0)&gt;=35,OFFSET(EM!$B$17,ROW($A32)-ROW($A$26)+(ROW(EM!$C$46)-ROW(EM!$C$14))*(MATCH(F$22,EM!$B$6:$B$9,0)-1),MIN(F$23-EM!$B$16+34,EM!$AF$16-EM!$B$16)),0)+
IF(ROUND(F$11,0)&gt;=36,OFFSET(EM!$B$17,ROW($A32)-ROW($A$26)+(ROW(EM!$C$46)-ROW(EM!$C$14))*(MATCH(F$22,EM!$B$6:$B$9,0)-1),MIN(F$23-EM!$B$16+35,EM!$AF$16-EM!$B$16)),0)+
IF(ROUND(F$11,0)&gt;=37,OFFSET(EM!$B$17,ROW($A32)-ROW($A$26)+(ROW(EM!$C$46)-ROW(EM!$C$14))*(MATCH(F$22,EM!$B$6:$B$9,0)-1),MIN(F$23-EM!$B$16+36,EM!$AF$16-EM!$B$16)),0)+
IF(ROUND(F$11,0)&gt;=38,OFFSET(EM!$B$17,ROW($A32)-ROW($A$26)+(ROW(EM!$C$46)-ROW(EM!$C$14))*(MATCH(F$22,EM!$B$6:$B$9,0)-1),MIN(F$23-EM!$B$16+37,EM!$AF$16-EM!$B$16)),0)+
IF(ROUND(F$11,0)&gt;=39,OFFSET(EM!$B$17,ROW($A32)-ROW($A$26)+(ROW(EM!$C$46)-ROW(EM!$C$14))*(MATCH(F$22,EM!$B$6:$B$9,0)-1),MIN(F$23-EM!$B$16+38,EM!$AF$16-EM!$B$16)),0)+
IF(ROUND(F$11,0)&gt;=40,OFFSET(EM!$B$17,ROW($A32)-ROW($A$26)+(ROW(EM!$C$46)-ROW(EM!$C$14))*(MATCH(F$22,EM!$B$6:$B$9,0)-1),MIN(F$23-EM!$B$16+39,EM!$AF$16-EM!$B$16)),0)
)/ROUND(F$11,0),NA()))</f>
        <v>0</v>
      </c>
      <c r="G32" s="2046">
        <f ca="1">IF(G$19=GPG!$A$28,IF(ROW(G32)-ROW(G$26)+1=MATCH(G$20,GPG!$A$5:$A$11,0),1,0),
IF(G$19=GPG!$A$29,
(IF(ROUND(G$11,0)&gt;=1,OFFSET(EM!$B$17,ROW($A32)-ROW($A$26)+(ROW(EM!$C$46)-ROW(EM!$C$14))*(MATCH(G$22,EM!$B$6:$B$9,0)-1),MIN(G$23-EM!$B$16,EM!$AF$16-EM!$B$16)),0)+
IF(ROUND(G$11,0)&gt;=2,OFFSET(EM!$B$17,ROW($A32)-ROW($A$26)+(ROW(EM!$C$46)-ROW(EM!$C$14))*(MATCH(G$22,EM!$B$6:$B$9,0)-1),MIN(G$23-EM!$B$16+1,EM!$AF$16-EM!$B$16)),0)+
IF(ROUND(G$11,0)&gt;=3,OFFSET(EM!$B$17,ROW($A32)-ROW($A$26)+(ROW(EM!$C$46)-ROW(EM!$C$14))*(MATCH(G$22,EM!$B$6:$B$9,0)-1),MIN(G$23-EM!$B$16+2,EM!$AF$16-EM!$B$16)),0)+
IF(ROUND(G$11,0)&gt;=4,OFFSET(EM!$B$17,ROW($A32)-ROW($A$26)+(ROW(EM!$C$46)-ROW(EM!$C$14))*(MATCH(G$22,EM!$B$6:$B$9,0)-1),MIN(G$23-EM!$B$16+3,EM!$AF$16-EM!$B$16)),0)+
IF(ROUND(G$11,0)&gt;=5,OFFSET(EM!$B$17,ROW($A32)-ROW($A$26)+(ROW(EM!$C$46)-ROW(EM!$C$14))*(MATCH(G$22,EM!$B$6:$B$9,0)-1),MIN(G$23-EM!$B$16+4,EM!$AF$16-EM!$B$16)),0)+
IF(ROUND(G$11,0)&gt;=6,OFFSET(EM!$B$17,ROW($A32)-ROW($A$26)+(ROW(EM!$C$46)-ROW(EM!$C$14))*(MATCH(G$22,EM!$B$6:$B$9,0)-1),MIN(G$23-EM!$B$16+5,EM!$AF$16-EM!$B$16)),0)+
IF(ROUND(G$11,0)&gt;=7,OFFSET(EM!$B$17,ROW($A32)-ROW($A$26)+(ROW(EM!$C$46)-ROW(EM!$C$14))*(MATCH(G$22,EM!$B$6:$B$9,0)-1),MIN(G$23-EM!$B$16+6,EM!$AF$16-EM!$B$16)),0)+
IF(ROUND(G$11,0)&gt;=8,OFFSET(EM!$B$17,ROW($A32)-ROW($A$26)+(ROW(EM!$C$46)-ROW(EM!$C$14))*(MATCH(G$22,EM!$B$6:$B$9,0)-1),MIN(G$23-EM!$B$16+7,EM!$AF$16-EM!$B$16)),0)+
IF(ROUND(G$11,0)&gt;=9,OFFSET(EM!$B$17,ROW($A32)-ROW($A$26)+(ROW(EM!$C$46)-ROW(EM!$C$14))*(MATCH(G$22,EM!$B$6:$B$9,0)-1),MIN(G$23-EM!$B$16+8,EM!$AF$16-EM!$B$16)),0)+
IF(ROUND(G$11,0)&gt;=10,OFFSET(EM!$B$17,ROW($A32)-ROW($A$26)+(ROW(EM!$C$46)-ROW(EM!$C$14))*(MATCH(G$22,EM!$B$6:$B$9,0)-1),MIN(G$23-EM!$B$16+9,EM!$AF$16-EM!$B$16)),0)+
IF(ROUND(G$11,0)&gt;=11,OFFSET(EM!$B$17,ROW($A32)-ROW($A$26)+(ROW(EM!$C$46)-ROW(EM!$C$14))*(MATCH(G$22,EM!$B$6:$B$9,0)-1),MIN(G$23-EM!$B$16+10,EM!$AF$16-EM!$B$16)),0)+
IF(ROUND(G$11,0)&gt;=12,OFFSET(EM!$B$17,ROW($A32)-ROW($A$26)+(ROW(EM!$C$46)-ROW(EM!$C$14))*(MATCH(G$22,EM!$B$6:$B$9,0)-1),MIN(G$23-EM!$B$16+11,EM!$AF$16-EM!$B$16)),0)+
IF(ROUND(G$11,0)&gt;=13,OFFSET(EM!$B$17,ROW($A32)-ROW($A$26)+(ROW(EM!$C$46)-ROW(EM!$C$14))*(MATCH(G$22,EM!$B$6:$B$9,0)-1),MIN(G$23-EM!$B$16+12,EM!$AF$16-EM!$B$16)),0)+
IF(ROUND(G$11,0)&gt;=14,OFFSET(EM!$B$17,ROW($A32)-ROW($A$26)+(ROW(EM!$C$46)-ROW(EM!$C$14))*(MATCH(G$22,EM!$B$6:$B$9,0)-1),MIN(G$23-EM!$B$16+13,EM!$AF$16-EM!$B$16)),0)+
IF(ROUND(G$11,0)&gt;=15,OFFSET(EM!$B$17,ROW($A32)-ROW($A$26)+(ROW(EM!$C$46)-ROW(EM!$C$14))*(MATCH(G$22,EM!$B$6:$B$9,0)-1),MIN(G$23-EM!$B$16+14,EM!$AF$16-EM!$B$16)),0)+
IF(ROUND(G$11,0)&gt;=16,OFFSET(EM!$B$17,ROW($A32)-ROW($A$26)+(ROW(EM!$C$46)-ROW(EM!$C$14))*(MATCH(G$22,EM!$B$6:$B$9,0)-1),MIN(G$23-EM!$B$16+15,EM!$AF$16-EM!$B$16)),0)+
IF(ROUND(G$11,0)&gt;=17,OFFSET(EM!$B$17,ROW($A32)-ROW($A$26)+(ROW(EM!$C$46)-ROW(EM!$C$14))*(MATCH(G$22,EM!$B$6:$B$9,0)-1),MIN(G$23-EM!$B$16+16,EM!$AF$16-EM!$B$16)),0)+
IF(ROUND(G$11,0)&gt;=18,OFFSET(EM!$B$17,ROW($A32)-ROW($A$26)+(ROW(EM!$C$46)-ROW(EM!$C$14))*(MATCH(G$22,EM!$B$6:$B$9,0)-1),MIN(G$23-EM!$B$16+17,EM!$AF$16-EM!$B$16)),0)+
IF(ROUND(G$11,0)&gt;=19,OFFSET(EM!$B$17,ROW($A32)-ROW($A$26)+(ROW(EM!$C$46)-ROW(EM!$C$14))*(MATCH(G$22,EM!$B$6:$B$9,0)-1),MIN(G$23-EM!$B$16+18,EM!$AF$16-EM!$B$16)),0)+
IF(ROUND(G$11,0)&gt;=20,OFFSET(EM!$B$17,ROW($A32)-ROW($A$26)+(ROW(EM!$C$46)-ROW(EM!$C$14))*(MATCH(G$22,EM!$B$6:$B$9,0)-1),MIN(G$23-EM!$B$16+19,EM!$AF$16-EM!$B$16)),0)+
IF(ROUND(G$11,0)&gt;=21,OFFSET(EM!$B$17,ROW($A32)-ROW($A$26)+(ROW(EM!$C$46)-ROW(EM!$C$14))*(MATCH(G$22,EM!$B$6:$B$9,0)-1),MIN(G$23-EM!$B$16+20,EM!$AF$16-EM!$B$16)),0)+
IF(ROUND(G$11,0)&gt;=22,OFFSET(EM!$B$17,ROW($A32)-ROW($A$26)+(ROW(EM!$C$46)-ROW(EM!$C$14))*(MATCH(G$22,EM!$B$6:$B$9,0)-1),MIN(G$23-EM!$B$16+21,EM!$AF$16-EM!$B$16)),0)+
IF(ROUND(G$11,0)&gt;=23,OFFSET(EM!$B$17,ROW($A32)-ROW($A$26)+(ROW(EM!$C$46)-ROW(EM!$C$14))*(MATCH(G$22,EM!$B$6:$B$9,0)-1),MIN(G$23-EM!$B$16+22,EM!$AF$16-EM!$B$16)),0)+
IF(ROUND(G$11,0)&gt;=24,OFFSET(EM!$B$17,ROW($A32)-ROW($A$26)+(ROW(EM!$C$46)-ROW(EM!$C$14))*(MATCH(G$22,EM!$B$6:$B$9,0)-1),MIN(G$23-EM!$B$16+23,EM!$AF$16-EM!$B$16)),0)+
IF(ROUND(G$11,0)&gt;=25,OFFSET(EM!$B$17,ROW($A32)-ROW($A$26)+(ROW(EM!$C$46)-ROW(EM!$C$14))*(MATCH(G$22,EM!$B$6:$B$9,0)-1),MIN(G$23-EM!$B$16+24,EM!$AF$16-EM!$B$16)),0)+
IF(ROUND(G$11,0)&gt;=26,OFFSET(EM!$B$17,ROW($A32)-ROW($A$26)+(ROW(EM!$C$46)-ROW(EM!$C$14))*(MATCH(G$22,EM!$B$6:$B$9,0)-1),MIN(G$23-EM!$B$16+25,EM!$AF$16-EM!$B$16)),0)+
IF(ROUND(G$11,0)&gt;=27,OFFSET(EM!$B$17,ROW($A32)-ROW($A$26)+(ROW(EM!$C$46)-ROW(EM!$C$14))*(MATCH(G$22,EM!$B$6:$B$9,0)-1),MIN(G$23-EM!$B$16+26,EM!$AF$16-EM!$B$16)),0)+
IF(ROUND(G$11,0)&gt;=28,OFFSET(EM!$B$17,ROW($A32)-ROW($A$26)+(ROW(EM!$C$46)-ROW(EM!$C$14))*(MATCH(G$22,EM!$B$6:$B$9,0)-1),MIN(G$23-EM!$B$16+27,EM!$AF$16-EM!$B$16)),0)+
IF(ROUND(G$11,0)&gt;=29,OFFSET(EM!$B$17,ROW($A32)-ROW($A$26)+(ROW(EM!$C$46)-ROW(EM!$C$14))*(MATCH(G$22,EM!$B$6:$B$9,0)-1),MIN(G$23-EM!$B$16+28,EM!$AF$16-EM!$B$16)),0)+
IF(ROUND(G$11,0)&gt;=30,OFFSET(EM!$B$17,ROW($A32)-ROW($A$26)+(ROW(EM!$C$46)-ROW(EM!$C$14))*(MATCH(G$22,EM!$B$6:$B$9,0)-1),MIN(G$23-EM!$B$16+29,EM!$AF$16-EM!$B$16)),0)+
IF(ROUND(G$11,0)&gt;=31,OFFSET(EM!$B$17,ROW($A32)-ROW($A$26)+(ROW(EM!$C$46)-ROW(EM!$C$14))*(MATCH(G$22,EM!$B$6:$B$9,0)-1),MIN(G$23-EM!$B$16+30,EM!$AF$16-EM!$B$16)),0)+
IF(ROUND(G$11,0)&gt;=32,OFFSET(EM!$B$17,ROW($A32)-ROW($A$26)+(ROW(EM!$C$46)-ROW(EM!$C$14))*(MATCH(G$22,EM!$B$6:$B$9,0)-1),MIN(G$23-EM!$B$16+31,EM!$AF$16-EM!$B$16)),0)+
IF(ROUND(G$11,0)&gt;=33,OFFSET(EM!$B$17,ROW($A32)-ROW($A$26)+(ROW(EM!$C$46)-ROW(EM!$C$14))*(MATCH(G$22,EM!$B$6:$B$9,0)-1),MIN(G$23-EM!$B$16+32,EM!$AF$16-EM!$B$16)),0)+
IF(ROUND(G$11,0)&gt;=34,OFFSET(EM!$B$17,ROW($A32)-ROW($A$26)+(ROW(EM!$C$46)-ROW(EM!$C$14))*(MATCH(G$22,EM!$B$6:$B$9,0)-1),MIN(G$23-EM!$B$16+33,EM!$AF$16-EM!$B$16)),0)+
IF(ROUND(G$11,0)&gt;=35,OFFSET(EM!$B$17,ROW($A32)-ROW($A$26)+(ROW(EM!$C$46)-ROW(EM!$C$14))*(MATCH(G$22,EM!$B$6:$B$9,0)-1),MIN(G$23-EM!$B$16+34,EM!$AF$16-EM!$B$16)),0)+
IF(ROUND(G$11,0)&gt;=36,OFFSET(EM!$B$17,ROW($A32)-ROW($A$26)+(ROW(EM!$C$46)-ROW(EM!$C$14))*(MATCH(G$22,EM!$B$6:$B$9,0)-1),MIN(G$23-EM!$B$16+35,EM!$AF$16-EM!$B$16)),0)+
IF(ROUND(G$11,0)&gt;=37,OFFSET(EM!$B$17,ROW($A32)-ROW($A$26)+(ROW(EM!$C$46)-ROW(EM!$C$14))*(MATCH(G$22,EM!$B$6:$B$9,0)-1),MIN(G$23-EM!$B$16+36,EM!$AF$16-EM!$B$16)),0)+
IF(ROUND(G$11,0)&gt;=38,OFFSET(EM!$B$17,ROW($A32)-ROW($A$26)+(ROW(EM!$C$46)-ROW(EM!$C$14))*(MATCH(G$22,EM!$B$6:$B$9,0)-1),MIN(G$23-EM!$B$16+37,EM!$AF$16-EM!$B$16)),0)+
IF(ROUND(G$11,0)&gt;=39,OFFSET(EM!$B$17,ROW($A32)-ROW($A$26)+(ROW(EM!$C$46)-ROW(EM!$C$14))*(MATCH(G$22,EM!$B$6:$B$9,0)-1),MIN(G$23-EM!$B$16+38,EM!$AF$16-EM!$B$16)),0)+
IF(ROUND(G$11,0)&gt;=40,OFFSET(EM!$B$17,ROW($A32)-ROW($A$26)+(ROW(EM!$C$46)-ROW(EM!$C$14))*(MATCH(G$22,EM!$B$6:$B$9,0)-1),MIN(G$23-EM!$B$16+39,EM!$AF$16-EM!$B$16)),0)
)/ROUND(G$11,0),NA()))</f>
        <v>0</v>
      </c>
      <c r="H32" s="2046">
        <f ca="1">IF(H$19=GPG!$A$28,IF(ROW(H32)-ROW(H$26)+1=MATCH(H$20,GPG!$A$5:$A$11,0),1,0),
IF(H$19=GPG!$A$29,
(IF(ROUND(H$11,0)&gt;=1,OFFSET(EM!$B$17,ROW($A32)-ROW($A$26)+(ROW(EM!$C$46)-ROW(EM!$C$14))*(MATCH(H$22,EM!$B$6:$B$9,0)-1),MIN(H$23-EM!$B$16,EM!$AF$16-EM!$B$16)),0)+
IF(ROUND(H$11,0)&gt;=2,OFFSET(EM!$B$17,ROW($A32)-ROW($A$26)+(ROW(EM!$C$46)-ROW(EM!$C$14))*(MATCH(H$22,EM!$B$6:$B$9,0)-1),MIN(H$23-EM!$B$16+1,EM!$AF$16-EM!$B$16)),0)+
IF(ROUND(H$11,0)&gt;=3,OFFSET(EM!$B$17,ROW($A32)-ROW($A$26)+(ROW(EM!$C$46)-ROW(EM!$C$14))*(MATCH(H$22,EM!$B$6:$B$9,0)-1),MIN(H$23-EM!$B$16+2,EM!$AF$16-EM!$B$16)),0)+
IF(ROUND(H$11,0)&gt;=4,OFFSET(EM!$B$17,ROW($A32)-ROW($A$26)+(ROW(EM!$C$46)-ROW(EM!$C$14))*(MATCH(H$22,EM!$B$6:$B$9,0)-1),MIN(H$23-EM!$B$16+3,EM!$AF$16-EM!$B$16)),0)+
IF(ROUND(H$11,0)&gt;=5,OFFSET(EM!$B$17,ROW($A32)-ROW($A$26)+(ROW(EM!$C$46)-ROW(EM!$C$14))*(MATCH(H$22,EM!$B$6:$B$9,0)-1),MIN(H$23-EM!$B$16+4,EM!$AF$16-EM!$B$16)),0)+
IF(ROUND(H$11,0)&gt;=6,OFFSET(EM!$B$17,ROW($A32)-ROW($A$26)+(ROW(EM!$C$46)-ROW(EM!$C$14))*(MATCH(H$22,EM!$B$6:$B$9,0)-1),MIN(H$23-EM!$B$16+5,EM!$AF$16-EM!$B$16)),0)+
IF(ROUND(H$11,0)&gt;=7,OFFSET(EM!$B$17,ROW($A32)-ROW($A$26)+(ROW(EM!$C$46)-ROW(EM!$C$14))*(MATCH(H$22,EM!$B$6:$B$9,0)-1),MIN(H$23-EM!$B$16+6,EM!$AF$16-EM!$B$16)),0)+
IF(ROUND(H$11,0)&gt;=8,OFFSET(EM!$B$17,ROW($A32)-ROW($A$26)+(ROW(EM!$C$46)-ROW(EM!$C$14))*(MATCH(H$22,EM!$B$6:$B$9,0)-1),MIN(H$23-EM!$B$16+7,EM!$AF$16-EM!$B$16)),0)+
IF(ROUND(H$11,0)&gt;=9,OFFSET(EM!$B$17,ROW($A32)-ROW($A$26)+(ROW(EM!$C$46)-ROW(EM!$C$14))*(MATCH(H$22,EM!$B$6:$B$9,0)-1),MIN(H$23-EM!$B$16+8,EM!$AF$16-EM!$B$16)),0)+
IF(ROUND(H$11,0)&gt;=10,OFFSET(EM!$B$17,ROW($A32)-ROW($A$26)+(ROW(EM!$C$46)-ROW(EM!$C$14))*(MATCH(H$22,EM!$B$6:$B$9,0)-1),MIN(H$23-EM!$B$16+9,EM!$AF$16-EM!$B$16)),0)+
IF(ROUND(H$11,0)&gt;=11,OFFSET(EM!$B$17,ROW($A32)-ROW($A$26)+(ROW(EM!$C$46)-ROW(EM!$C$14))*(MATCH(H$22,EM!$B$6:$B$9,0)-1),MIN(H$23-EM!$B$16+10,EM!$AF$16-EM!$B$16)),0)+
IF(ROUND(H$11,0)&gt;=12,OFFSET(EM!$B$17,ROW($A32)-ROW($A$26)+(ROW(EM!$C$46)-ROW(EM!$C$14))*(MATCH(H$22,EM!$B$6:$B$9,0)-1),MIN(H$23-EM!$B$16+11,EM!$AF$16-EM!$B$16)),0)+
IF(ROUND(H$11,0)&gt;=13,OFFSET(EM!$B$17,ROW($A32)-ROW($A$26)+(ROW(EM!$C$46)-ROW(EM!$C$14))*(MATCH(H$22,EM!$B$6:$B$9,0)-1),MIN(H$23-EM!$B$16+12,EM!$AF$16-EM!$B$16)),0)+
IF(ROUND(H$11,0)&gt;=14,OFFSET(EM!$B$17,ROW($A32)-ROW($A$26)+(ROW(EM!$C$46)-ROW(EM!$C$14))*(MATCH(H$22,EM!$B$6:$B$9,0)-1),MIN(H$23-EM!$B$16+13,EM!$AF$16-EM!$B$16)),0)+
IF(ROUND(H$11,0)&gt;=15,OFFSET(EM!$B$17,ROW($A32)-ROW($A$26)+(ROW(EM!$C$46)-ROW(EM!$C$14))*(MATCH(H$22,EM!$B$6:$B$9,0)-1),MIN(H$23-EM!$B$16+14,EM!$AF$16-EM!$B$16)),0)+
IF(ROUND(H$11,0)&gt;=16,OFFSET(EM!$B$17,ROW($A32)-ROW($A$26)+(ROW(EM!$C$46)-ROW(EM!$C$14))*(MATCH(H$22,EM!$B$6:$B$9,0)-1),MIN(H$23-EM!$B$16+15,EM!$AF$16-EM!$B$16)),0)+
IF(ROUND(H$11,0)&gt;=17,OFFSET(EM!$B$17,ROW($A32)-ROW($A$26)+(ROW(EM!$C$46)-ROW(EM!$C$14))*(MATCH(H$22,EM!$B$6:$B$9,0)-1),MIN(H$23-EM!$B$16+16,EM!$AF$16-EM!$B$16)),0)+
IF(ROUND(H$11,0)&gt;=18,OFFSET(EM!$B$17,ROW($A32)-ROW($A$26)+(ROW(EM!$C$46)-ROW(EM!$C$14))*(MATCH(H$22,EM!$B$6:$B$9,0)-1),MIN(H$23-EM!$B$16+17,EM!$AF$16-EM!$B$16)),0)+
IF(ROUND(H$11,0)&gt;=19,OFFSET(EM!$B$17,ROW($A32)-ROW($A$26)+(ROW(EM!$C$46)-ROW(EM!$C$14))*(MATCH(H$22,EM!$B$6:$B$9,0)-1),MIN(H$23-EM!$B$16+18,EM!$AF$16-EM!$B$16)),0)+
IF(ROUND(H$11,0)&gt;=20,OFFSET(EM!$B$17,ROW($A32)-ROW($A$26)+(ROW(EM!$C$46)-ROW(EM!$C$14))*(MATCH(H$22,EM!$B$6:$B$9,0)-1),MIN(H$23-EM!$B$16+19,EM!$AF$16-EM!$B$16)),0)+
IF(ROUND(H$11,0)&gt;=21,OFFSET(EM!$B$17,ROW($A32)-ROW($A$26)+(ROW(EM!$C$46)-ROW(EM!$C$14))*(MATCH(H$22,EM!$B$6:$B$9,0)-1),MIN(H$23-EM!$B$16+20,EM!$AF$16-EM!$B$16)),0)+
IF(ROUND(H$11,0)&gt;=22,OFFSET(EM!$B$17,ROW($A32)-ROW($A$26)+(ROW(EM!$C$46)-ROW(EM!$C$14))*(MATCH(H$22,EM!$B$6:$B$9,0)-1),MIN(H$23-EM!$B$16+21,EM!$AF$16-EM!$B$16)),0)+
IF(ROUND(H$11,0)&gt;=23,OFFSET(EM!$B$17,ROW($A32)-ROW($A$26)+(ROW(EM!$C$46)-ROW(EM!$C$14))*(MATCH(H$22,EM!$B$6:$B$9,0)-1),MIN(H$23-EM!$B$16+22,EM!$AF$16-EM!$B$16)),0)+
IF(ROUND(H$11,0)&gt;=24,OFFSET(EM!$B$17,ROW($A32)-ROW($A$26)+(ROW(EM!$C$46)-ROW(EM!$C$14))*(MATCH(H$22,EM!$B$6:$B$9,0)-1),MIN(H$23-EM!$B$16+23,EM!$AF$16-EM!$B$16)),0)+
IF(ROUND(H$11,0)&gt;=25,OFFSET(EM!$B$17,ROW($A32)-ROW($A$26)+(ROW(EM!$C$46)-ROW(EM!$C$14))*(MATCH(H$22,EM!$B$6:$B$9,0)-1),MIN(H$23-EM!$B$16+24,EM!$AF$16-EM!$B$16)),0)+
IF(ROUND(H$11,0)&gt;=26,OFFSET(EM!$B$17,ROW($A32)-ROW($A$26)+(ROW(EM!$C$46)-ROW(EM!$C$14))*(MATCH(H$22,EM!$B$6:$B$9,0)-1),MIN(H$23-EM!$B$16+25,EM!$AF$16-EM!$B$16)),0)+
IF(ROUND(H$11,0)&gt;=27,OFFSET(EM!$B$17,ROW($A32)-ROW($A$26)+(ROW(EM!$C$46)-ROW(EM!$C$14))*(MATCH(H$22,EM!$B$6:$B$9,0)-1),MIN(H$23-EM!$B$16+26,EM!$AF$16-EM!$B$16)),0)+
IF(ROUND(H$11,0)&gt;=28,OFFSET(EM!$B$17,ROW($A32)-ROW($A$26)+(ROW(EM!$C$46)-ROW(EM!$C$14))*(MATCH(H$22,EM!$B$6:$B$9,0)-1),MIN(H$23-EM!$B$16+27,EM!$AF$16-EM!$B$16)),0)+
IF(ROUND(H$11,0)&gt;=29,OFFSET(EM!$B$17,ROW($A32)-ROW($A$26)+(ROW(EM!$C$46)-ROW(EM!$C$14))*(MATCH(H$22,EM!$B$6:$B$9,0)-1),MIN(H$23-EM!$B$16+28,EM!$AF$16-EM!$B$16)),0)+
IF(ROUND(H$11,0)&gt;=30,OFFSET(EM!$B$17,ROW($A32)-ROW($A$26)+(ROW(EM!$C$46)-ROW(EM!$C$14))*(MATCH(H$22,EM!$B$6:$B$9,0)-1),MIN(H$23-EM!$B$16+29,EM!$AF$16-EM!$B$16)),0)+
IF(ROUND(H$11,0)&gt;=31,OFFSET(EM!$B$17,ROW($A32)-ROW($A$26)+(ROW(EM!$C$46)-ROW(EM!$C$14))*(MATCH(H$22,EM!$B$6:$B$9,0)-1),MIN(H$23-EM!$B$16+30,EM!$AF$16-EM!$B$16)),0)+
IF(ROUND(H$11,0)&gt;=32,OFFSET(EM!$B$17,ROW($A32)-ROW($A$26)+(ROW(EM!$C$46)-ROW(EM!$C$14))*(MATCH(H$22,EM!$B$6:$B$9,0)-1),MIN(H$23-EM!$B$16+31,EM!$AF$16-EM!$B$16)),0)+
IF(ROUND(H$11,0)&gt;=33,OFFSET(EM!$B$17,ROW($A32)-ROW($A$26)+(ROW(EM!$C$46)-ROW(EM!$C$14))*(MATCH(H$22,EM!$B$6:$B$9,0)-1),MIN(H$23-EM!$B$16+32,EM!$AF$16-EM!$B$16)),0)+
IF(ROUND(H$11,0)&gt;=34,OFFSET(EM!$B$17,ROW($A32)-ROW($A$26)+(ROW(EM!$C$46)-ROW(EM!$C$14))*(MATCH(H$22,EM!$B$6:$B$9,0)-1),MIN(H$23-EM!$B$16+33,EM!$AF$16-EM!$B$16)),0)+
IF(ROUND(H$11,0)&gt;=35,OFFSET(EM!$B$17,ROW($A32)-ROW($A$26)+(ROW(EM!$C$46)-ROW(EM!$C$14))*(MATCH(H$22,EM!$B$6:$B$9,0)-1),MIN(H$23-EM!$B$16+34,EM!$AF$16-EM!$B$16)),0)+
IF(ROUND(H$11,0)&gt;=36,OFFSET(EM!$B$17,ROW($A32)-ROW($A$26)+(ROW(EM!$C$46)-ROW(EM!$C$14))*(MATCH(H$22,EM!$B$6:$B$9,0)-1),MIN(H$23-EM!$B$16+35,EM!$AF$16-EM!$B$16)),0)+
IF(ROUND(H$11,0)&gt;=37,OFFSET(EM!$B$17,ROW($A32)-ROW($A$26)+(ROW(EM!$C$46)-ROW(EM!$C$14))*(MATCH(H$22,EM!$B$6:$B$9,0)-1),MIN(H$23-EM!$B$16+36,EM!$AF$16-EM!$B$16)),0)+
IF(ROUND(H$11,0)&gt;=38,OFFSET(EM!$B$17,ROW($A32)-ROW($A$26)+(ROW(EM!$C$46)-ROW(EM!$C$14))*(MATCH(H$22,EM!$B$6:$B$9,0)-1),MIN(H$23-EM!$B$16+37,EM!$AF$16-EM!$B$16)),0)+
IF(ROUND(H$11,0)&gt;=39,OFFSET(EM!$B$17,ROW($A32)-ROW($A$26)+(ROW(EM!$C$46)-ROW(EM!$C$14))*(MATCH(H$22,EM!$B$6:$B$9,0)-1),MIN(H$23-EM!$B$16+38,EM!$AF$16-EM!$B$16)),0)+
IF(ROUND(H$11,0)&gt;=40,OFFSET(EM!$B$17,ROW($A32)-ROW($A$26)+(ROW(EM!$C$46)-ROW(EM!$C$14))*(MATCH(H$22,EM!$B$6:$B$9,0)-1),MIN(H$23-EM!$B$16+39,EM!$AF$16-EM!$B$16)),0)
)/ROUND(H$11,0),NA()))</f>
        <v>0</v>
      </c>
      <c r="I32" s="2046">
        <f ca="1">IF(I$19=GPG!$A$28,IF(ROW(I32)-ROW(I$26)+1=MATCH(I$20,GPG!$A$5:$A$11,0),1,0),
IF(I$19=GPG!$A$29,
(IF(ROUND(I$11,0)&gt;=1,OFFSET(EM!$B$17,ROW($A32)-ROW($A$26)+(ROW(EM!$C$46)-ROW(EM!$C$14))*(MATCH(I$22,EM!$B$6:$B$9,0)-1),MIN(I$23-EM!$B$16,EM!$AF$16-EM!$B$16)),0)+
IF(ROUND(I$11,0)&gt;=2,OFFSET(EM!$B$17,ROW($A32)-ROW($A$26)+(ROW(EM!$C$46)-ROW(EM!$C$14))*(MATCH(I$22,EM!$B$6:$B$9,0)-1),MIN(I$23-EM!$B$16+1,EM!$AF$16-EM!$B$16)),0)+
IF(ROUND(I$11,0)&gt;=3,OFFSET(EM!$B$17,ROW($A32)-ROW($A$26)+(ROW(EM!$C$46)-ROW(EM!$C$14))*(MATCH(I$22,EM!$B$6:$B$9,0)-1),MIN(I$23-EM!$B$16+2,EM!$AF$16-EM!$B$16)),0)+
IF(ROUND(I$11,0)&gt;=4,OFFSET(EM!$B$17,ROW($A32)-ROW($A$26)+(ROW(EM!$C$46)-ROW(EM!$C$14))*(MATCH(I$22,EM!$B$6:$B$9,0)-1),MIN(I$23-EM!$B$16+3,EM!$AF$16-EM!$B$16)),0)+
IF(ROUND(I$11,0)&gt;=5,OFFSET(EM!$B$17,ROW($A32)-ROW($A$26)+(ROW(EM!$C$46)-ROW(EM!$C$14))*(MATCH(I$22,EM!$B$6:$B$9,0)-1),MIN(I$23-EM!$B$16+4,EM!$AF$16-EM!$B$16)),0)+
IF(ROUND(I$11,0)&gt;=6,OFFSET(EM!$B$17,ROW($A32)-ROW($A$26)+(ROW(EM!$C$46)-ROW(EM!$C$14))*(MATCH(I$22,EM!$B$6:$B$9,0)-1),MIN(I$23-EM!$B$16+5,EM!$AF$16-EM!$B$16)),0)+
IF(ROUND(I$11,0)&gt;=7,OFFSET(EM!$B$17,ROW($A32)-ROW($A$26)+(ROW(EM!$C$46)-ROW(EM!$C$14))*(MATCH(I$22,EM!$B$6:$B$9,0)-1),MIN(I$23-EM!$B$16+6,EM!$AF$16-EM!$B$16)),0)+
IF(ROUND(I$11,0)&gt;=8,OFFSET(EM!$B$17,ROW($A32)-ROW($A$26)+(ROW(EM!$C$46)-ROW(EM!$C$14))*(MATCH(I$22,EM!$B$6:$B$9,0)-1),MIN(I$23-EM!$B$16+7,EM!$AF$16-EM!$B$16)),0)+
IF(ROUND(I$11,0)&gt;=9,OFFSET(EM!$B$17,ROW($A32)-ROW($A$26)+(ROW(EM!$C$46)-ROW(EM!$C$14))*(MATCH(I$22,EM!$B$6:$B$9,0)-1),MIN(I$23-EM!$B$16+8,EM!$AF$16-EM!$B$16)),0)+
IF(ROUND(I$11,0)&gt;=10,OFFSET(EM!$B$17,ROW($A32)-ROW($A$26)+(ROW(EM!$C$46)-ROW(EM!$C$14))*(MATCH(I$22,EM!$B$6:$B$9,0)-1),MIN(I$23-EM!$B$16+9,EM!$AF$16-EM!$B$16)),0)+
IF(ROUND(I$11,0)&gt;=11,OFFSET(EM!$B$17,ROW($A32)-ROW($A$26)+(ROW(EM!$C$46)-ROW(EM!$C$14))*(MATCH(I$22,EM!$B$6:$B$9,0)-1),MIN(I$23-EM!$B$16+10,EM!$AF$16-EM!$B$16)),0)+
IF(ROUND(I$11,0)&gt;=12,OFFSET(EM!$B$17,ROW($A32)-ROW($A$26)+(ROW(EM!$C$46)-ROW(EM!$C$14))*(MATCH(I$22,EM!$B$6:$B$9,0)-1),MIN(I$23-EM!$B$16+11,EM!$AF$16-EM!$B$16)),0)+
IF(ROUND(I$11,0)&gt;=13,OFFSET(EM!$B$17,ROW($A32)-ROW($A$26)+(ROW(EM!$C$46)-ROW(EM!$C$14))*(MATCH(I$22,EM!$B$6:$B$9,0)-1),MIN(I$23-EM!$B$16+12,EM!$AF$16-EM!$B$16)),0)+
IF(ROUND(I$11,0)&gt;=14,OFFSET(EM!$B$17,ROW($A32)-ROW($A$26)+(ROW(EM!$C$46)-ROW(EM!$C$14))*(MATCH(I$22,EM!$B$6:$B$9,0)-1),MIN(I$23-EM!$B$16+13,EM!$AF$16-EM!$B$16)),0)+
IF(ROUND(I$11,0)&gt;=15,OFFSET(EM!$B$17,ROW($A32)-ROW($A$26)+(ROW(EM!$C$46)-ROW(EM!$C$14))*(MATCH(I$22,EM!$B$6:$B$9,0)-1),MIN(I$23-EM!$B$16+14,EM!$AF$16-EM!$B$16)),0)+
IF(ROUND(I$11,0)&gt;=16,OFFSET(EM!$B$17,ROW($A32)-ROW($A$26)+(ROW(EM!$C$46)-ROW(EM!$C$14))*(MATCH(I$22,EM!$B$6:$B$9,0)-1),MIN(I$23-EM!$B$16+15,EM!$AF$16-EM!$B$16)),0)+
IF(ROUND(I$11,0)&gt;=17,OFFSET(EM!$B$17,ROW($A32)-ROW($A$26)+(ROW(EM!$C$46)-ROW(EM!$C$14))*(MATCH(I$22,EM!$B$6:$B$9,0)-1),MIN(I$23-EM!$B$16+16,EM!$AF$16-EM!$B$16)),0)+
IF(ROUND(I$11,0)&gt;=18,OFFSET(EM!$B$17,ROW($A32)-ROW($A$26)+(ROW(EM!$C$46)-ROW(EM!$C$14))*(MATCH(I$22,EM!$B$6:$B$9,0)-1),MIN(I$23-EM!$B$16+17,EM!$AF$16-EM!$B$16)),0)+
IF(ROUND(I$11,0)&gt;=19,OFFSET(EM!$B$17,ROW($A32)-ROW($A$26)+(ROW(EM!$C$46)-ROW(EM!$C$14))*(MATCH(I$22,EM!$B$6:$B$9,0)-1),MIN(I$23-EM!$B$16+18,EM!$AF$16-EM!$B$16)),0)+
IF(ROUND(I$11,0)&gt;=20,OFFSET(EM!$B$17,ROW($A32)-ROW($A$26)+(ROW(EM!$C$46)-ROW(EM!$C$14))*(MATCH(I$22,EM!$B$6:$B$9,0)-1),MIN(I$23-EM!$B$16+19,EM!$AF$16-EM!$B$16)),0)+
IF(ROUND(I$11,0)&gt;=21,OFFSET(EM!$B$17,ROW($A32)-ROW($A$26)+(ROW(EM!$C$46)-ROW(EM!$C$14))*(MATCH(I$22,EM!$B$6:$B$9,0)-1),MIN(I$23-EM!$B$16+20,EM!$AF$16-EM!$B$16)),0)+
IF(ROUND(I$11,0)&gt;=22,OFFSET(EM!$B$17,ROW($A32)-ROW($A$26)+(ROW(EM!$C$46)-ROW(EM!$C$14))*(MATCH(I$22,EM!$B$6:$B$9,0)-1),MIN(I$23-EM!$B$16+21,EM!$AF$16-EM!$B$16)),0)+
IF(ROUND(I$11,0)&gt;=23,OFFSET(EM!$B$17,ROW($A32)-ROW($A$26)+(ROW(EM!$C$46)-ROW(EM!$C$14))*(MATCH(I$22,EM!$B$6:$B$9,0)-1),MIN(I$23-EM!$B$16+22,EM!$AF$16-EM!$B$16)),0)+
IF(ROUND(I$11,0)&gt;=24,OFFSET(EM!$B$17,ROW($A32)-ROW($A$26)+(ROW(EM!$C$46)-ROW(EM!$C$14))*(MATCH(I$22,EM!$B$6:$B$9,0)-1),MIN(I$23-EM!$B$16+23,EM!$AF$16-EM!$B$16)),0)+
IF(ROUND(I$11,0)&gt;=25,OFFSET(EM!$B$17,ROW($A32)-ROW($A$26)+(ROW(EM!$C$46)-ROW(EM!$C$14))*(MATCH(I$22,EM!$B$6:$B$9,0)-1),MIN(I$23-EM!$B$16+24,EM!$AF$16-EM!$B$16)),0)+
IF(ROUND(I$11,0)&gt;=26,OFFSET(EM!$B$17,ROW($A32)-ROW($A$26)+(ROW(EM!$C$46)-ROW(EM!$C$14))*(MATCH(I$22,EM!$B$6:$B$9,0)-1),MIN(I$23-EM!$B$16+25,EM!$AF$16-EM!$B$16)),0)+
IF(ROUND(I$11,0)&gt;=27,OFFSET(EM!$B$17,ROW($A32)-ROW($A$26)+(ROW(EM!$C$46)-ROW(EM!$C$14))*(MATCH(I$22,EM!$B$6:$B$9,0)-1),MIN(I$23-EM!$B$16+26,EM!$AF$16-EM!$B$16)),0)+
IF(ROUND(I$11,0)&gt;=28,OFFSET(EM!$B$17,ROW($A32)-ROW($A$26)+(ROW(EM!$C$46)-ROW(EM!$C$14))*(MATCH(I$22,EM!$B$6:$B$9,0)-1),MIN(I$23-EM!$B$16+27,EM!$AF$16-EM!$B$16)),0)+
IF(ROUND(I$11,0)&gt;=29,OFFSET(EM!$B$17,ROW($A32)-ROW($A$26)+(ROW(EM!$C$46)-ROW(EM!$C$14))*(MATCH(I$22,EM!$B$6:$B$9,0)-1),MIN(I$23-EM!$B$16+28,EM!$AF$16-EM!$B$16)),0)+
IF(ROUND(I$11,0)&gt;=30,OFFSET(EM!$B$17,ROW($A32)-ROW($A$26)+(ROW(EM!$C$46)-ROW(EM!$C$14))*(MATCH(I$22,EM!$B$6:$B$9,0)-1),MIN(I$23-EM!$B$16+29,EM!$AF$16-EM!$B$16)),0)+
IF(ROUND(I$11,0)&gt;=31,OFFSET(EM!$B$17,ROW($A32)-ROW($A$26)+(ROW(EM!$C$46)-ROW(EM!$C$14))*(MATCH(I$22,EM!$B$6:$B$9,0)-1),MIN(I$23-EM!$B$16+30,EM!$AF$16-EM!$B$16)),0)+
IF(ROUND(I$11,0)&gt;=32,OFFSET(EM!$B$17,ROW($A32)-ROW($A$26)+(ROW(EM!$C$46)-ROW(EM!$C$14))*(MATCH(I$22,EM!$B$6:$B$9,0)-1),MIN(I$23-EM!$B$16+31,EM!$AF$16-EM!$B$16)),0)+
IF(ROUND(I$11,0)&gt;=33,OFFSET(EM!$B$17,ROW($A32)-ROW($A$26)+(ROW(EM!$C$46)-ROW(EM!$C$14))*(MATCH(I$22,EM!$B$6:$B$9,0)-1),MIN(I$23-EM!$B$16+32,EM!$AF$16-EM!$B$16)),0)+
IF(ROUND(I$11,0)&gt;=34,OFFSET(EM!$B$17,ROW($A32)-ROW($A$26)+(ROW(EM!$C$46)-ROW(EM!$C$14))*(MATCH(I$22,EM!$B$6:$B$9,0)-1),MIN(I$23-EM!$B$16+33,EM!$AF$16-EM!$B$16)),0)+
IF(ROUND(I$11,0)&gt;=35,OFFSET(EM!$B$17,ROW($A32)-ROW($A$26)+(ROW(EM!$C$46)-ROW(EM!$C$14))*(MATCH(I$22,EM!$B$6:$B$9,0)-1),MIN(I$23-EM!$B$16+34,EM!$AF$16-EM!$B$16)),0)+
IF(ROUND(I$11,0)&gt;=36,OFFSET(EM!$B$17,ROW($A32)-ROW($A$26)+(ROW(EM!$C$46)-ROW(EM!$C$14))*(MATCH(I$22,EM!$B$6:$B$9,0)-1),MIN(I$23-EM!$B$16+35,EM!$AF$16-EM!$B$16)),0)+
IF(ROUND(I$11,0)&gt;=37,OFFSET(EM!$B$17,ROW($A32)-ROW($A$26)+(ROW(EM!$C$46)-ROW(EM!$C$14))*(MATCH(I$22,EM!$B$6:$B$9,0)-1),MIN(I$23-EM!$B$16+36,EM!$AF$16-EM!$B$16)),0)+
IF(ROUND(I$11,0)&gt;=38,OFFSET(EM!$B$17,ROW($A32)-ROW($A$26)+(ROW(EM!$C$46)-ROW(EM!$C$14))*(MATCH(I$22,EM!$B$6:$B$9,0)-1),MIN(I$23-EM!$B$16+37,EM!$AF$16-EM!$B$16)),0)+
IF(ROUND(I$11,0)&gt;=39,OFFSET(EM!$B$17,ROW($A32)-ROW($A$26)+(ROW(EM!$C$46)-ROW(EM!$C$14))*(MATCH(I$22,EM!$B$6:$B$9,0)-1),MIN(I$23-EM!$B$16+38,EM!$AF$16-EM!$B$16)),0)+
IF(ROUND(I$11,0)&gt;=40,OFFSET(EM!$B$17,ROW($A32)-ROW($A$26)+(ROW(EM!$C$46)-ROW(EM!$C$14))*(MATCH(I$22,EM!$B$6:$B$9,0)-1),MIN(I$23-EM!$B$16+39,EM!$AF$16-EM!$B$16)),0)
)/ROUND(I$11,0),NA()))</f>
        <v>0</v>
      </c>
      <c r="J32" s="2046">
        <f ca="1">IF(J$19=GPG!$A$28,IF(ROW(J32)-ROW(J$26)+1=MATCH(J$20,GPG!$A$5:$A$11,0),1,0),
IF(J$19=GPG!$A$29,
(IF(ROUND(J$11,0)&gt;=1,OFFSET(EM!$B$17,ROW($A32)-ROW($A$26)+(ROW(EM!$C$46)-ROW(EM!$C$14))*(MATCH(J$22,EM!$B$6:$B$9,0)-1),MIN(J$23-EM!$B$16,EM!$AF$16-EM!$B$16)),0)+
IF(ROUND(J$11,0)&gt;=2,OFFSET(EM!$B$17,ROW($A32)-ROW($A$26)+(ROW(EM!$C$46)-ROW(EM!$C$14))*(MATCH(J$22,EM!$B$6:$B$9,0)-1),MIN(J$23-EM!$B$16+1,EM!$AF$16-EM!$B$16)),0)+
IF(ROUND(J$11,0)&gt;=3,OFFSET(EM!$B$17,ROW($A32)-ROW($A$26)+(ROW(EM!$C$46)-ROW(EM!$C$14))*(MATCH(J$22,EM!$B$6:$B$9,0)-1),MIN(J$23-EM!$B$16+2,EM!$AF$16-EM!$B$16)),0)+
IF(ROUND(J$11,0)&gt;=4,OFFSET(EM!$B$17,ROW($A32)-ROW($A$26)+(ROW(EM!$C$46)-ROW(EM!$C$14))*(MATCH(J$22,EM!$B$6:$B$9,0)-1),MIN(J$23-EM!$B$16+3,EM!$AF$16-EM!$B$16)),0)+
IF(ROUND(J$11,0)&gt;=5,OFFSET(EM!$B$17,ROW($A32)-ROW($A$26)+(ROW(EM!$C$46)-ROW(EM!$C$14))*(MATCH(J$22,EM!$B$6:$B$9,0)-1),MIN(J$23-EM!$B$16+4,EM!$AF$16-EM!$B$16)),0)+
IF(ROUND(J$11,0)&gt;=6,OFFSET(EM!$B$17,ROW($A32)-ROW($A$26)+(ROW(EM!$C$46)-ROW(EM!$C$14))*(MATCH(J$22,EM!$B$6:$B$9,0)-1),MIN(J$23-EM!$B$16+5,EM!$AF$16-EM!$B$16)),0)+
IF(ROUND(J$11,0)&gt;=7,OFFSET(EM!$B$17,ROW($A32)-ROW($A$26)+(ROW(EM!$C$46)-ROW(EM!$C$14))*(MATCH(J$22,EM!$B$6:$B$9,0)-1),MIN(J$23-EM!$B$16+6,EM!$AF$16-EM!$B$16)),0)+
IF(ROUND(J$11,0)&gt;=8,OFFSET(EM!$B$17,ROW($A32)-ROW($A$26)+(ROW(EM!$C$46)-ROW(EM!$C$14))*(MATCH(J$22,EM!$B$6:$B$9,0)-1),MIN(J$23-EM!$B$16+7,EM!$AF$16-EM!$B$16)),0)+
IF(ROUND(J$11,0)&gt;=9,OFFSET(EM!$B$17,ROW($A32)-ROW($A$26)+(ROW(EM!$C$46)-ROW(EM!$C$14))*(MATCH(J$22,EM!$B$6:$B$9,0)-1),MIN(J$23-EM!$B$16+8,EM!$AF$16-EM!$B$16)),0)+
IF(ROUND(J$11,0)&gt;=10,OFFSET(EM!$B$17,ROW($A32)-ROW($A$26)+(ROW(EM!$C$46)-ROW(EM!$C$14))*(MATCH(J$22,EM!$B$6:$B$9,0)-1),MIN(J$23-EM!$B$16+9,EM!$AF$16-EM!$B$16)),0)+
IF(ROUND(J$11,0)&gt;=11,OFFSET(EM!$B$17,ROW($A32)-ROW($A$26)+(ROW(EM!$C$46)-ROW(EM!$C$14))*(MATCH(J$22,EM!$B$6:$B$9,0)-1),MIN(J$23-EM!$B$16+10,EM!$AF$16-EM!$B$16)),0)+
IF(ROUND(J$11,0)&gt;=12,OFFSET(EM!$B$17,ROW($A32)-ROW($A$26)+(ROW(EM!$C$46)-ROW(EM!$C$14))*(MATCH(J$22,EM!$B$6:$B$9,0)-1),MIN(J$23-EM!$B$16+11,EM!$AF$16-EM!$B$16)),0)+
IF(ROUND(J$11,0)&gt;=13,OFFSET(EM!$B$17,ROW($A32)-ROW($A$26)+(ROW(EM!$C$46)-ROW(EM!$C$14))*(MATCH(J$22,EM!$B$6:$B$9,0)-1),MIN(J$23-EM!$B$16+12,EM!$AF$16-EM!$B$16)),0)+
IF(ROUND(J$11,0)&gt;=14,OFFSET(EM!$B$17,ROW($A32)-ROW($A$26)+(ROW(EM!$C$46)-ROW(EM!$C$14))*(MATCH(J$22,EM!$B$6:$B$9,0)-1),MIN(J$23-EM!$B$16+13,EM!$AF$16-EM!$B$16)),0)+
IF(ROUND(J$11,0)&gt;=15,OFFSET(EM!$B$17,ROW($A32)-ROW($A$26)+(ROW(EM!$C$46)-ROW(EM!$C$14))*(MATCH(J$22,EM!$B$6:$B$9,0)-1),MIN(J$23-EM!$B$16+14,EM!$AF$16-EM!$B$16)),0)+
IF(ROUND(J$11,0)&gt;=16,OFFSET(EM!$B$17,ROW($A32)-ROW($A$26)+(ROW(EM!$C$46)-ROW(EM!$C$14))*(MATCH(J$22,EM!$B$6:$B$9,0)-1),MIN(J$23-EM!$B$16+15,EM!$AF$16-EM!$B$16)),0)+
IF(ROUND(J$11,0)&gt;=17,OFFSET(EM!$B$17,ROW($A32)-ROW($A$26)+(ROW(EM!$C$46)-ROW(EM!$C$14))*(MATCH(J$22,EM!$B$6:$B$9,0)-1),MIN(J$23-EM!$B$16+16,EM!$AF$16-EM!$B$16)),0)+
IF(ROUND(J$11,0)&gt;=18,OFFSET(EM!$B$17,ROW($A32)-ROW($A$26)+(ROW(EM!$C$46)-ROW(EM!$C$14))*(MATCH(J$22,EM!$B$6:$B$9,0)-1),MIN(J$23-EM!$B$16+17,EM!$AF$16-EM!$B$16)),0)+
IF(ROUND(J$11,0)&gt;=19,OFFSET(EM!$B$17,ROW($A32)-ROW($A$26)+(ROW(EM!$C$46)-ROW(EM!$C$14))*(MATCH(J$22,EM!$B$6:$B$9,0)-1),MIN(J$23-EM!$B$16+18,EM!$AF$16-EM!$B$16)),0)+
IF(ROUND(J$11,0)&gt;=20,OFFSET(EM!$B$17,ROW($A32)-ROW($A$26)+(ROW(EM!$C$46)-ROW(EM!$C$14))*(MATCH(J$22,EM!$B$6:$B$9,0)-1),MIN(J$23-EM!$B$16+19,EM!$AF$16-EM!$B$16)),0)+
IF(ROUND(J$11,0)&gt;=21,OFFSET(EM!$B$17,ROW($A32)-ROW($A$26)+(ROW(EM!$C$46)-ROW(EM!$C$14))*(MATCH(J$22,EM!$B$6:$B$9,0)-1),MIN(J$23-EM!$B$16+20,EM!$AF$16-EM!$B$16)),0)+
IF(ROUND(J$11,0)&gt;=22,OFFSET(EM!$B$17,ROW($A32)-ROW($A$26)+(ROW(EM!$C$46)-ROW(EM!$C$14))*(MATCH(J$22,EM!$B$6:$B$9,0)-1),MIN(J$23-EM!$B$16+21,EM!$AF$16-EM!$B$16)),0)+
IF(ROUND(J$11,0)&gt;=23,OFFSET(EM!$B$17,ROW($A32)-ROW($A$26)+(ROW(EM!$C$46)-ROW(EM!$C$14))*(MATCH(J$22,EM!$B$6:$B$9,0)-1),MIN(J$23-EM!$B$16+22,EM!$AF$16-EM!$B$16)),0)+
IF(ROUND(J$11,0)&gt;=24,OFFSET(EM!$B$17,ROW($A32)-ROW($A$26)+(ROW(EM!$C$46)-ROW(EM!$C$14))*(MATCH(J$22,EM!$B$6:$B$9,0)-1),MIN(J$23-EM!$B$16+23,EM!$AF$16-EM!$B$16)),0)+
IF(ROUND(J$11,0)&gt;=25,OFFSET(EM!$B$17,ROW($A32)-ROW($A$26)+(ROW(EM!$C$46)-ROW(EM!$C$14))*(MATCH(J$22,EM!$B$6:$B$9,0)-1),MIN(J$23-EM!$B$16+24,EM!$AF$16-EM!$B$16)),0)+
IF(ROUND(J$11,0)&gt;=26,OFFSET(EM!$B$17,ROW($A32)-ROW($A$26)+(ROW(EM!$C$46)-ROW(EM!$C$14))*(MATCH(J$22,EM!$B$6:$B$9,0)-1),MIN(J$23-EM!$B$16+25,EM!$AF$16-EM!$B$16)),0)+
IF(ROUND(J$11,0)&gt;=27,OFFSET(EM!$B$17,ROW($A32)-ROW($A$26)+(ROW(EM!$C$46)-ROW(EM!$C$14))*(MATCH(J$22,EM!$B$6:$B$9,0)-1),MIN(J$23-EM!$B$16+26,EM!$AF$16-EM!$B$16)),0)+
IF(ROUND(J$11,0)&gt;=28,OFFSET(EM!$B$17,ROW($A32)-ROW($A$26)+(ROW(EM!$C$46)-ROW(EM!$C$14))*(MATCH(J$22,EM!$B$6:$B$9,0)-1),MIN(J$23-EM!$B$16+27,EM!$AF$16-EM!$B$16)),0)+
IF(ROUND(J$11,0)&gt;=29,OFFSET(EM!$B$17,ROW($A32)-ROW($A$26)+(ROW(EM!$C$46)-ROW(EM!$C$14))*(MATCH(J$22,EM!$B$6:$B$9,0)-1),MIN(J$23-EM!$B$16+28,EM!$AF$16-EM!$B$16)),0)+
IF(ROUND(J$11,0)&gt;=30,OFFSET(EM!$B$17,ROW($A32)-ROW($A$26)+(ROW(EM!$C$46)-ROW(EM!$C$14))*(MATCH(J$22,EM!$B$6:$B$9,0)-1),MIN(J$23-EM!$B$16+29,EM!$AF$16-EM!$B$16)),0)+
IF(ROUND(J$11,0)&gt;=31,OFFSET(EM!$B$17,ROW($A32)-ROW($A$26)+(ROW(EM!$C$46)-ROW(EM!$C$14))*(MATCH(J$22,EM!$B$6:$B$9,0)-1),MIN(J$23-EM!$B$16+30,EM!$AF$16-EM!$B$16)),0)+
IF(ROUND(J$11,0)&gt;=32,OFFSET(EM!$B$17,ROW($A32)-ROW($A$26)+(ROW(EM!$C$46)-ROW(EM!$C$14))*(MATCH(J$22,EM!$B$6:$B$9,0)-1),MIN(J$23-EM!$B$16+31,EM!$AF$16-EM!$B$16)),0)+
IF(ROUND(J$11,0)&gt;=33,OFFSET(EM!$B$17,ROW($A32)-ROW($A$26)+(ROW(EM!$C$46)-ROW(EM!$C$14))*(MATCH(J$22,EM!$B$6:$B$9,0)-1),MIN(J$23-EM!$B$16+32,EM!$AF$16-EM!$B$16)),0)+
IF(ROUND(J$11,0)&gt;=34,OFFSET(EM!$B$17,ROW($A32)-ROW($A$26)+(ROW(EM!$C$46)-ROW(EM!$C$14))*(MATCH(J$22,EM!$B$6:$B$9,0)-1),MIN(J$23-EM!$B$16+33,EM!$AF$16-EM!$B$16)),0)+
IF(ROUND(J$11,0)&gt;=35,OFFSET(EM!$B$17,ROW($A32)-ROW($A$26)+(ROW(EM!$C$46)-ROW(EM!$C$14))*(MATCH(J$22,EM!$B$6:$B$9,0)-1),MIN(J$23-EM!$B$16+34,EM!$AF$16-EM!$B$16)),0)+
IF(ROUND(J$11,0)&gt;=36,OFFSET(EM!$B$17,ROW($A32)-ROW($A$26)+(ROW(EM!$C$46)-ROW(EM!$C$14))*(MATCH(J$22,EM!$B$6:$B$9,0)-1),MIN(J$23-EM!$B$16+35,EM!$AF$16-EM!$B$16)),0)+
IF(ROUND(J$11,0)&gt;=37,OFFSET(EM!$B$17,ROW($A32)-ROW($A$26)+(ROW(EM!$C$46)-ROW(EM!$C$14))*(MATCH(J$22,EM!$B$6:$B$9,0)-1),MIN(J$23-EM!$B$16+36,EM!$AF$16-EM!$B$16)),0)+
IF(ROUND(J$11,0)&gt;=38,OFFSET(EM!$B$17,ROW($A32)-ROW($A$26)+(ROW(EM!$C$46)-ROW(EM!$C$14))*(MATCH(J$22,EM!$B$6:$B$9,0)-1),MIN(J$23-EM!$B$16+37,EM!$AF$16-EM!$B$16)),0)+
IF(ROUND(J$11,0)&gt;=39,OFFSET(EM!$B$17,ROW($A32)-ROW($A$26)+(ROW(EM!$C$46)-ROW(EM!$C$14))*(MATCH(J$22,EM!$B$6:$B$9,0)-1),MIN(J$23-EM!$B$16+38,EM!$AF$16-EM!$B$16)),0)+
IF(ROUND(J$11,0)&gt;=40,OFFSET(EM!$B$17,ROW($A32)-ROW($A$26)+(ROW(EM!$C$46)-ROW(EM!$C$14))*(MATCH(J$22,EM!$B$6:$B$9,0)-1),MIN(J$23-EM!$B$16+39,EM!$AF$16-EM!$B$16)),0)
)/ROUND(J$11,0),NA()))</f>
        <v>0</v>
      </c>
      <c r="K32" s="2046">
        <f ca="1">IF(K$19=GPG!$A$28,IF(ROW(K32)-ROW(K$26)+1=MATCH(K$20,GPG!$A$5:$A$11,0),1,0),
IF(K$19=GPG!$A$29,
(IF(ROUND(K$11,0)&gt;=1,OFFSET(EM!$B$17,ROW($A32)-ROW($A$26)+(ROW(EM!$C$46)-ROW(EM!$C$14))*(MATCH(K$22,EM!$B$6:$B$9,0)-1),MIN(K$23-EM!$B$16,EM!$AF$16-EM!$B$16)),0)+
IF(ROUND(K$11,0)&gt;=2,OFFSET(EM!$B$17,ROW($A32)-ROW($A$26)+(ROW(EM!$C$46)-ROW(EM!$C$14))*(MATCH(K$22,EM!$B$6:$B$9,0)-1),MIN(K$23-EM!$B$16+1,EM!$AF$16-EM!$B$16)),0)+
IF(ROUND(K$11,0)&gt;=3,OFFSET(EM!$B$17,ROW($A32)-ROW($A$26)+(ROW(EM!$C$46)-ROW(EM!$C$14))*(MATCH(K$22,EM!$B$6:$B$9,0)-1),MIN(K$23-EM!$B$16+2,EM!$AF$16-EM!$B$16)),0)+
IF(ROUND(K$11,0)&gt;=4,OFFSET(EM!$B$17,ROW($A32)-ROW($A$26)+(ROW(EM!$C$46)-ROW(EM!$C$14))*(MATCH(K$22,EM!$B$6:$B$9,0)-1),MIN(K$23-EM!$B$16+3,EM!$AF$16-EM!$B$16)),0)+
IF(ROUND(K$11,0)&gt;=5,OFFSET(EM!$B$17,ROW($A32)-ROW($A$26)+(ROW(EM!$C$46)-ROW(EM!$C$14))*(MATCH(K$22,EM!$B$6:$B$9,0)-1),MIN(K$23-EM!$B$16+4,EM!$AF$16-EM!$B$16)),0)+
IF(ROUND(K$11,0)&gt;=6,OFFSET(EM!$B$17,ROW($A32)-ROW($A$26)+(ROW(EM!$C$46)-ROW(EM!$C$14))*(MATCH(K$22,EM!$B$6:$B$9,0)-1),MIN(K$23-EM!$B$16+5,EM!$AF$16-EM!$B$16)),0)+
IF(ROUND(K$11,0)&gt;=7,OFFSET(EM!$B$17,ROW($A32)-ROW($A$26)+(ROW(EM!$C$46)-ROW(EM!$C$14))*(MATCH(K$22,EM!$B$6:$B$9,0)-1),MIN(K$23-EM!$B$16+6,EM!$AF$16-EM!$B$16)),0)+
IF(ROUND(K$11,0)&gt;=8,OFFSET(EM!$B$17,ROW($A32)-ROW($A$26)+(ROW(EM!$C$46)-ROW(EM!$C$14))*(MATCH(K$22,EM!$B$6:$B$9,0)-1),MIN(K$23-EM!$B$16+7,EM!$AF$16-EM!$B$16)),0)+
IF(ROUND(K$11,0)&gt;=9,OFFSET(EM!$B$17,ROW($A32)-ROW($A$26)+(ROW(EM!$C$46)-ROW(EM!$C$14))*(MATCH(K$22,EM!$B$6:$B$9,0)-1),MIN(K$23-EM!$B$16+8,EM!$AF$16-EM!$B$16)),0)+
IF(ROUND(K$11,0)&gt;=10,OFFSET(EM!$B$17,ROW($A32)-ROW($A$26)+(ROW(EM!$C$46)-ROW(EM!$C$14))*(MATCH(K$22,EM!$B$6:$B$9,0)-1),MIN(K$23-EM!$B$16+9,EM!$AF$16-EM!$B$16)),0)+
IF(ROUND(K$11,0)&gt;=11,OFFSET(EM!$B$17,ROW($A32)-ROW($A$26)+(ROW(EM!$C$46)-ROW(EM!$C$14))*(MATCH(K$22,EM!$B$6:$B$9,0)-1),MIN(K$23-EM!$B$16+10,EM!$AF$16-EM!$B$16)),0)+
IF(ROUND(K$11,0)&gt;=12,OFFSET(EM!$B$17,ROW($A32)-ROW($A$26)+(ROW(EM!$C$46)-ROW(EM!$C$14))*(MATCH(K$22,EM!$B$6:$B$9,0)-1),MIN(K$23-EM!$B$16+11,EM!$AF$16-EM!$B$16)),0)+
IF(ROUND(K$11,0)&gt;=13,OFFSET(EM!$B$17,ROW($A32)-ROW($A$26)+(ROW(EM!$C$46)-ROW(EM!$C$14))*(MATCH(K$22,EM!$B$6:$B$9,0)-1),MIN(K$23-EM!$B$16+12,EM!$AF$16-EM!$B$16)),0)+
IF(ROUND(K$11,0)&gt;=14,OFFSET(EM!$B$17,ROW($A32)-ROW($A$26)+(ROW(EM!$C$46)-ROW(EM!$C$14))*(MATCH(K$22,EM!$B$6:$B$9,0)-1),MIN(K$23-EM!$B$16+13,EM!$AF$16-EM!$B$16)),0)+
IF(ROUND(K$11,0)&gt;=15,OFFSET(EM!$B$17,ROW($A32)-ROW($A$26)+(ROW(EM!$C$46)-ROW(EM!$C$14))*(MATCH(K$22,EM!$B$6:$B$9,0)-1),MIN(K$23-EM!$B$16+14,EM!$AF$16-EM!$B$16)),0)+
IF(ROUND(K$11,0)&gt;=16,OFFSET(EM!$B$17,ROW($A32)-ROW($A$26)+(ROW(EM!$C$46)-ROW(EM!$C$14))*(MATCH(K$22,EM!$B$6:$B$9,0)-1),MIN(K$23-EM!$B$16+15,EM!$AF$16-EM!$B$16)),0)+
IF(ROUND(K$11,0)&gt;=17,OFFSET(EM!$B$17,ROW($A32)-ROW($A$26)+(ROW(EM!$C$46)-ROW(EM!$C$14))*(MATCH(K$22,EM!$B$6:$B$9,0)-1),MIN(K$23-EM!$B$16+16,EM!$AF$16-EM!$B$16)),0)+
IF(ROUND(K$11,0)&gt;=18,OFFSET(EM!$B$17,ROW($A32)-ROW($A$26)+(ROW(EM!$C$46)-ROW(EM!$C$14))*(MATCH(K$22,EM!$B$6:$B$9,0)-1),MIN(K$23-EM!$B$16+17,EM!$AF$16-EM!$B$16)),0)+
IF(ROUND(K$11,0)&gt;=19,OFFSET(EM!$B$17,ROW($A32)-ROW($A$26)+(ROW(EM!$C$46)-ROW(EM!$C$14))*(MATCH(K$22,EM!$B$6:$B$9,0)-1),MIN(K$23-EM!$B$16+18,EM!$AF$16-EM!$B$16)),0)+
IF(ROUND(K$11,0)&gt;=20,OFFSET(EM!$B$17,ROW($A32)-ROW($A$26)+(ROW(EM!$C$46)-ROW(EM!$C$14))*(MATCH(K$22,EM!$B$6:$B$9,0)-1),MIN(K$23-EM!$B$16+19,EM!$AF$16-EM!$B$16)),0)+
IF(ROUND(K$11,0)&gt;=21,OFFSET(EM!$B$17,ROW($A32)-ROW($A$26)+(ROW(EM!$C$46)-ROW(EM!$C$14))*(MATCH(K$22,EM!$B$6:$B$9,0)-1),MIN(K$23-EM!$B$16+20,EM!$AF$16-EM!$B$16)),0)+
IF(ROUND(K$11,0)&gt;=22,OFFSET(EM!$B$17,ROW($A32)-ROW($A$26)+(ROW(EM!$C$46)-ROW(EM!$C$14))*(MATCH(K$22,EM!$B$6:$B$9,0)-1),MIN(K$23-EM!$B$16+21,EM!$AF$16-EM!$B$16)),0)+
IF(ROUND(K$11,0)&gt;=23,OFFSET(EM!$B$17,ROW($A32)-ROW($A$26)+(ROW(EM!$C$46)-ROW(EM!$C$14))*(MATCH(K$22,EM!$B$6:$B$9,0)-1),MIN(K$23-EM!$B$16+22,EM!$AF$16-EM!$B$16)),0)+
IF(ROUND(K$11,0)&gt;=24,OFFSET(EM!$B$17,ROW($A32)-ROW($A$26)+(ROW(EM!$C$46)-ROW(EM!$C$14))*(MATCH(K$22,EM!$B$6:$B$9,0)-1),MIN(K$23-EM!$B$16+23,EM!$AF$16-EM!$B$16)),0)+
IF(ROUND(K$11,0)&gt;=25,OFFSET(EM!$B$17,ROW($A32)-ROW($A$26)+(ROW(EM!$C$46)-ROW(EM!$C$14))*(MATCH(K$22,EM!$B$6:$B$9,0)-1),MIN(K$23-EM!$B$16+24,EM!$AF$16-EM!$B$16)),0)+
IF(ROUND(K$11,0)&gt;=26,OFFSET(EM!$B$17,ROW($A32)-ROW($A$26)+(ROW(EM!$C$46)-ROW(EM!$C$14))*(MATCH(K$22,EM!$B$6:$B$9,0)-1),MIN(K$23-EM!$B$16+25,EM!$AF$16-EM!$B$16)),0)+
IF(ROUND(K$11,0)&gt;=27,OFFSET(EM!$B$17,ROW($A32)-ROW($A$26)+(ROW(EM!$C$46)-ROW(EM!$C$14))*(MATCH(K$22,EM!$B$6:$B$9,0)-1),MIN(K$23-EM!$B$16+26,EM!$AF$16-EM!$B$16)),0)+
IF(ROUND(K$11,0)&gt;=28,OFFSET(EM!$B$17,ROW($A32)-ROW($A$26)+(ROW(EM!$C$46)-ROW(EM!$C$14))*(MATCH(K$22,EM!$B$6:$B$9,0)-1),MIN(K$23-EM!$B$16+27,EM!$AF$16-EM!$B$16)),0)+
IF(ROUND(K$11,0)&gt;=29,OFFSET(EM!$B$17,ROW($A32)-ROW($A$26)+(ROW(EM!$C$46)-ROW(EM!$C$14))*(MATCH(K$22,EM!$B$6:$B$9,0)-1),MIN(K$23-EM!$B$16+28,EM!$AF$16-EM!$B$16)),0)+
IF(ROUND(K$11,0)&gt;=30,OFFSET(EM!$B$17,ROW($A32)-ROW($A$26)+(ROW(EM!$C$46)-ROW(EM!$C$14))*(MATCH(K$22,EM!$B$6:$B$9,0)-1),MIN(K$23-EM!$B$16+29,EM!$AF$16-EM!$B$16)),0)+
IF(ROUND(K$11,0)&gt;=31,OFFSET(EM!$B$17,ROW($A32)-ROW($A$26)+(ROW(EM!$C$46)-ROW(EM!$C$14))*(MATCH(K$22,EM!$B$6:$B$9,0)-1),MIN(K$23-EM!$B$16+30,EM!$AF$16-EM!$B$16)),0)+
IF(ROUND(K$11,0)&gt;=32,OFFSET(EM!$B$17,ROW($A32)-ROW($A$26)+(ROW(EM!$C$46)-ROW(EM!$C$14))*(MATCH(K$22,EM!$B$6:$B$9,0)-1),MIN(K$23-EM!$B$16+31,EM!$AF$16-EM!$B$16)),0)+
IF(ROUND(K$11,0)&gt;=33,OFFSET(EM!$B$17,ROW($A32)-ROW($A$26)+(ROW(EM!$C$46)-ROW(EM!$C$14))*(MATCH(K$22,EM!$B$6:$B$9,0)-1),MIN(K$23-EM!$B$16+32,EM!$AF$16-EM!$B$16)),0)+
IF(ROUND(K$11,0)&gt;=34,OFFSET(EM!$B$17,ROW($A32)-ROW($A$26)+(ROW(EM!$C$46)-ROW(EM!$C$14))*(MATCH(K$22,EM!$B$6:$B$9,0)-1),MIN(K$23-EM!$B$16+33,EM!$AF$16-EM!$B$16)),0)+
IF(ROUND(K$11,0)&gt;=35,OFFSET(EM!$B$17,ROW($A32)-ROW($A$26)+(ROW(EM!$C$46)-ROW(EM!$C$14))*(MATCH(K$22,EM!$B$6:$B$9,0)-1),MIN(K$23-EM!$B$16+34,EM!$AF$16-EM!$B$16)),0)+
IF(ROUND(K$11,0)&gt;=36,OFFSET(EM!$B$17,ROW($A32)-ROW($A$26)+(ROW(EM!$C$46)-ROW(EM!$C$14))*(MATCH(K$22,EM!$B$6:$B$9,0)-1),MIN(K$23-EM!$B$16+35,EM!$AF$16-EM!$B$16)),0)+
IF(ROUND(K$11,0)&gt;=37,OFFSET(EM!$B$17,ROW($A32)-ROW($A$26)+(ROW(EM!$C$46)-ROW(EM!$C$14))*(MATCH(K$22,EM!$B$6:$B$9,0)-1),MIN(K$23-EM!$B$16+36,EM!$AF$16-EM!$B$16)),0)+
IF(ROUND(K$11,0)&gt;=38,OFFSET(EM!$B$17,ROW($A32)-ROW($A$26)+(ROW(EM!$C$46)-ROW(EM!$C$14))*(MATCH(K$22,EM!$B$6:$B$9,0)-1),MIN(K$23-EM!$B$16+37,EM!$AF$16-EM!$B$16)),0)+
IF(ROUND(K$11,0)&gt;=39,OFFSET(EM!$B$17,ROW($A32)-ROW($A$26)+(ROW(EM!$C$46)-ROW(EM!$C$14))*(MATCH(K$22,EM!$B$6:$B$9,0)-1),MIN(K$23-EM!$B$16+38,EM!$AF$16-EM!$B$16)),0)+
IF(ROUND(K$11,0)&gt;=40,OFFSET(EM!$B$17,ROW($A32)-ROW($A$26)+(ROW(EM!$C$46)-ROW(EM!$C$14))*(MATCH(K$22,EM!$B$6:$B$9,0)-1),MIN(K$23-EM!$B$16+39,EM!$AF$16-EM!$B$16)),0)
)/ROUND(K$11,0),NA()))</f>
        <v>0</v>
      </c>
      <c r="L32" s="2046">
        <f ca="1">IF(L$19=GPG!$A$28,IF(ROW(L32)-ROW(L$26)+1=MATCH(L$20,GPG!$A$5:$A$11,0),1,0),
IF(L$19=GPG!$A$29,
(IF(ROUND(L$11,0)&gt;=1,OFFSET(EM!$B$17,ROW($A32)-ROW($A$26)+(ROW(EM!$C$46)-ROW(EM!$C$14))*(MATCH(L$22,EM!$B$6:$B$9,0)-1),MIN(L$23-EM!$B$16,EM!$AF$16-EM!$B$16)),0)+
IF(ROUND(L$11,0)&gt;=2,OFFSET(EM!$B$17,ROW($A32)-ROW($A$26)+(ROW(EM!$C$46)-ROW(EM!$C$14))*(MATCH(L$22,EM!$B$6:$B$9,0)-1),MIN(L$23-EM!$B$16+1,EM!$AF$16-EM!$B$16)),0)+
IF(ROUND(L$11,0)&gt;=3,OFFSET(EM!$B$17,ROW($A32)-ROW($A$26)+(ROW(EM!$C$46)-ROW(EM!$C$14))*(MATCH(L$22,EM!$B$6:$B$9,0)-1),MIN(L$23-EM!$B$16+2,EM!$AF$16-EM!$B$16)),0)+
IF(ROUND(L$11,0)&gt;=4,OFFSET(EM!$B$17,ROW($A32)-ROW($A$26)+(ROW(EM!$C$46)-ROW(EM!$C$14))*(MATCH(L$22,EM!$B$6:$B$9,0)-1),MIN(L$23-EM!$B$16+3,EM!$AF$16-EM!$B$16)),0)+
IF(ROUND(L$11,0)&gt;=5,OFFSET(EM!$B$17,ROW($A32)-ROW($A$26)+(ROW(EM!$C$46)-ROW(EM!$C$14))*(MATCH(L$22,EM!$B$6:$B$9,0)-1),MIN(L$23-EM!$B$16+4,EM!$AF$16-EM!$B$16)),0)+
IF(ROUND(L$11,0)&gt;=6,OFFSET(EM!$B$17,ROW($A32)-ROW($A$26)+(ROW(EM!$C$46)-ROW(EM!$C$14))*(MATCH(L$22,EM!$B$6:$B$9,0)-1),MIN(L$23-EM!$B$16+5,EM!$AF$16-EM!$B$16)),0)+
IF(ROUND(L$11,0)&gt;=7,OFFSET(EM!$B$17,ROW($A32)-ROW($A$26)+(ROW(EM!$C$46)-ROW(EM!$C$14))*(MATCH(L$22,EM!$B$6:$B$9,0)-1),MIN(L$23-EM!$B$16+6,EM!$AF$16-EM!$B$16)),0)+
IF(ROUND(L$11,0)&gt;=8,OFFSET(EM!$B$17,ROW($A32)-ROW($A$26)+(ROW(EM!$C$46)-ROW(EM!$C$14))*(MATCH(L$22,EM!$B$6:$B$9,0)-1),MIN(L$23-EM!$B$16+7,EM!$AF$16-EM!$B$16)),0)+
IF(ROUND(L$11,0)&gt;=9,OFFSET(EM!$B$17,ROW($A32)-ROW($A$26)+(ROW(EM!$C$46)-ROW(EM!$C$14))*(MATCH(L$22,EM!$B$6:$B$9,0)-1),MIN(L$23-EM!$B$16+8,EM!$AF$16-EM!$B$16)),0)+
IF(ROUND(L$11,0)&gt;=10,OFFSET(EM!$B$17,ROW($A32)-ROW($A$26)+(ROW(EM!$C$46)-ROW(EM!$C$14))*(MATCH(L$22,EM!$B$6:$B$9,0)-1),MIN(L$23-EM!$B$16+9,EM!$AF$16-EM!$B$16)),0)+
IF(ROUND(L$11,0)&gt;=11,OFFSET(EM!$B$17,ROW($A32)-ROW($A$26)+(ROW(EM!$C$46)-ROW(EM!$C$14))*(MATCH(L$22,EM!$B$6:$B$9,0)-1),MIN(L$23-EM!$B$16+10,EM!$AF$16-EM!$B$16)),0)+
IF(ROUND(L$11,0)&gt;=12,OFFSET(EM!$B$17,ROW($A32)-ROW($A$26)+(ROW(EM!$C$46)-ROW(EM!$C$14))*(MATCH(L$22,EM!$B$6:$B$9,0)-1),MIN(L$23-EM!$B$16+11,EM!$AF$16-EM!$B$16)),0)+
IF(ROUND(L$11,0)&gt;=13,OFFSET(EM!$B$17,ROW($A32)-ROW($A$26)+(ROW(EM!$C$46)-ROW(EM!$C$14))*(MATCH(L$22,EM!$B$6:$B$9,0)-1),MIN(L$23-EM!$B$16+12,EM!$AF$16-EM!$B$16)),0)+
IF(ROUND(L$11,0)&gt;=14,OFFSET(EM!$B$17,ROW($A32)-ROW($A$26)+(ROW(EM!$C$46)-ROW(EM!$C$14))*(MATCH(L$22,EM!$B$6:$B$9,0)-1),MIN(L$23-EM!$B$16+13,EM!$AF$16-EM!$B$16)),0)+
IF(ROUND(L$11,0)&gt;=15,OFFSET(EM!$B$17,ROW($A32)-ROW($A$26)+(ROW(EM!$C$46)-ROW(EM!$C$14))*(MATCH(L$22,EM!$B$6:$B$9,0)-1),MIN(L$23-EM!$B$16+14,EM!$AF$16-EM!$B$16)),0)+
IF(ROUND(L$11,0)&gt;=16,OFFSET(EM!$B$17,ROW($A32)-ROW($A$26)+(ROW(EM!$C$46)-ROW(EM!$C$14))*(MATCH(L$22,EM!$B$6:$B$9,0)-1),MIN(L$23-EM!$B$16+15,EM!$AF$16-EM!$B$16)),0)+
IF(ROUND(L$11,0)&gt;=17,OFFSET(EM!$B$17,ROW($A32)-ROW($A$26)+(ROW(EM!$C$46)-ROW(EM!$C$14))*(MATCH(L$22,EM!$B$6:$B$9,0)-1),MIN(L$23-EM!$B$16+16,EM!$AF$16-EM!$B$16)),0)+
IF(ROUND(L$11,0)&gt;=18,OFFSET(EM!$B$17,ROW($A32)-ROW($A$26)+(ROW(EM!$C$46)-ROW(EM!$C$14))*(MATCH(L$22,EM!$B$6:$B$9,0)-1),MIN(L$23-EM!$B$16+17,EM!$AF$16-EM!$B$16)),0)+
IF(ROUND(L$11,0)&gt;=19,OFFSET(EM!$B$17,ROW($A32)-ROW($A$26)+(ROW(EM!$C$46)-ROW(EM!$C$14))*(MATCH(L$22,EM!$B$6:$B$9,0)-1),MIN(L$23-EM!$B$16+18,EM!$AF$16-EM!$B$16)),0)+
IF(ROUND(L$11,0)&gt;=20,OFFSET(EM!$B$17,ROW($A32)-ROW($A$26)+(ROW(EM!$C$46)-ROW(EM!$C$14))*(MATCH(L$22,EM!$B$6:$B$9,0)-1),MIN(L$23-EM!$B$16+19,EM!$AF$16-EM!$B$16)),0)+
IF(ROUND(L$11,0)&gt;=21,OFFSET(EM!$B$17,ROW($A32)-ROW($A$26)+(ROW(EM!$C$46)-ROW(EM!$C$14))*(MATCH(L$22,EM!$B$6:$B$9,0)-1),MIN(L$23-EM!$B$16+20,EM!$AF$16-EM!$B$16)),0)+
IF(ROUND(L$11,0)&gt;=22,OFFSET(EM!$B$17,ROW($A32)-ROW($A$26)+(ROW(EM!$C$46)-ROW(EM!$C$14))*(MATCH(L$22,EM!$B$6:$B$9,0)-1),MIN(L$23-EM!$B$16+21,EM!$AF$16-EM!$B$16)),0)+
IF(ROUND(L$11,0)&gt;=23,OFFSET(EM!$B$17,ROW($A32)-ROW($A$26)+(ROW(EM!$C$46)-ROW(EM!$C$14))*(MATCH(L$22,EM!$B$6:$B$9,0)-1),MIN(L$23-EM!$B$16+22,EM!$AF$16-EM!$B$16)),0)+
IF(ROUND(L$11,0)&gt;=24,OFFSET(EM!$B$17,ROW($A32)-ROW($A$26)+(ROW(EM!$C$46)-ROW(EM!$C$14))*(MATCH(L$22,EM!$B$6:$B$9,0)-1),MIN(L$23-EM!$B$16+23,EM!$AF$16-EM!$B$16)),0)+
IF(ROUND(L$11,0)&gt;=25,OFFSET(EM!$B$17,ROW($A32)-ROW($A$26)+(ROW(EM!$C$46)-ROW(EM!$C$14))*(MATCH(L$22,EM!$B$6:$B$9,0)-1),MIN(L$23-EM!$B$16+24,EM!$AF$16-EM!$B$16)),0)+
IF(ROUND(L$11,0)&gt;=26,OFFSET(EM!$B$17,ROW($A32)-ROW($A$26)+(ROW(EM!$C$46)-ROW(EM!$C$14))*(MATCH(L$22,EM!$B$6:$B$9,0)-1),MIN(L$23-EM!$B$16+25,EM!$AF$16-EM!$B$16)),0)+
IF(ROUND(L$11,0)&gt;=27,OFFSET(EM!$B$17,ROW($A32)-ROW($A$26)+(ROW(EM!$C$46)-ROW(EM!$C$14))*(MATCH(L$22,EM!$B$6:$B$9,0)-1),MIN(L$23-EM!$B$16+26,EM!$AF$16-EM!$B$16)),0)+
IF(ROUND(L$11,0)&gt;=28,OFFSET(EM!$B$17,ROW($A32)-ROW($A$26)+(ROW(EM!$C$46)-ROW(EM!$C$14))*(MATCH(L$22,EM!$B$6:$B$9,0)-1),MIN(L$23-EM!$B$16+27,EM!$AF$16-EM!$B$16)),0)+
IF(ROUND(L$11,0)&gt;=29,OFFSET(EM!$B$17,ROW($A32)-ROW($A$26)+(ROW(EM!$C$46)-ROW(EM!$C$14))*(MATCH(L$22,EM!$B$6:$B$9,0)-1),MIN(L$23-EM!$B$16+28,EM!$AF$16-EM!$B$16)),0)+
IF(ROUND(L$11,0)&gt;=30,OFFSET(EM!$B$17,ROW($A32)-ROW($A$26)+(ROW(EM!$C$46)-ROW(EM!$C$14))*(MATCH(L$22,EM!$B$6:$B$9,0)-1),MIN(L$23-EM!$B$16+29,EM!$AF$16-EM!$B$16)),0)+
IF(ROUND(L$11,0)&gt;=31,OFFSET(EM!$B$17,ROW($A32)-ROW($A$26)+(ROW(EM!$C$46)-ROW(EM!$C$14))*(MATCH(L$22,EM!$B$6:$B$9,0)-1),MIN(L$23-EM!$B$16+30,EM!$AF$16-EM!$B$16)),0)+
IF(ROUND(L$11,0)&gt;=32,OFFSET(EM!$B$17,ROW($A32)-ROW($A$26)+(ROW(EM!$C$46)-ROW(EM!$C$14))*(MATCH(L$22,EM!$B$6:$B$9,0)-1),MIN(L$23-EM!$B$16+31,EM!$AF$16-EM!$B$16)),0)+
IF(ROUND(L$11,0)&gt;=33,OFFSET(EM!$B$17,ROW($A32)-ROW($A$26)+(ROW(EM!$C$46)-ROW(EM!$C$14))*(MATCH(L$22,EM!$B$6:$B$9,0)-1),MIN(L$23-EM!$B$16+32,EM!$AF$16-EM!$B$16)),0)+
IF(ROUND(L$11,0)&gt;=34,OFFSET(EM!$B$17,ROW($A32)-ROW($A$26)+(ROW(EM!$C$46)-ROW(EM!$C$14))*(MATCH(L$22,EM!$B$6:$B$9,0)-1),MIN(L$23-EM!$B$16+33,EM!$AF$16-EM!$B$16)),0)+
IF(ROUND(L$11,0)&gt;=35,OFFSET(EM!$B$17,ROW($A32)-ROW($A$26)+(ROW(EM!$C$46)-ROW(EM!$C$14))*(MATCH(L$22,EM!$B$6:$B$9,0)-1),MIN(L$23-EM!$B$16+34,EM!$AF$16-EM!$B$16)),0)+
IF(ROUND(L$11,0)&gt;=36,OFFSET(EM!$B$17,ROW($A32)-ROW($A$26)+(ROW(EM!$C$46)-ROW(EM!$C$14))*(MATCH(L$22,EM!$B$6:$B$9,0)-1),MIN(L$23-EM!$B$16+35,EM!$AF$16-EM!$B$16)),0)+
IF(ROUND(L$11,0)&gt;=37,OFFSET(EM!$B$17,ROW($A32)-ROW($A$26)+(ROW(EM!$C$46)-ROW(EM!$C$14))*(MATCH(L$22,EM!$B$6:$B$9,0)-1),MIN(L$23-EM!$B$16+36,EM!$AF$16-EM!$B$16)),0)+
IF(ROUND(L$11,0)&gt;=38,OFFSET(EM!$B$17,ROW($A32)-ROW($A$26)+(ROW(EM!$C$46)-ROW(EM!$C$14))*(MATCH(L$22,EM!$B$6:$B$9,0)-1),MIN(L$23-EM!$B$16+37,EM!$AF$16-EM!$B$16)),0)+
IF(ROUND(L$11,0)&gt;=39,OFFSET(EM!$B$17,ROW($A32)-ROW($A$26)+(ROW(EM!$C$46)-ROW(EM!$C$14))*(MATCH(L$22,EM!$B$6:$B$9,0)-1),MIN(L$23-EM!$B$16+38,EM!$AF$16-EM!$B$16)),0)+
IF(ROUND(L$11,0)&gt;=40,OFFSET(EM!$B$17,ROW($A32)-ROW($A$26)+(ROW(EM!$C$46)-ROW(EM!$C$14))*(MATCH(L$22,EM!$B$6:$B$9,0)-1),MIN(L$23-EM!$B$16+39,EM!$AF$16-EM!$B$16)),0)
)/ROUND(L$11,0),NA()))</f>
        <v>0</v>
      </c>
      <c r="M32" s="2046">
        <f ca="1">IF(M$19=GPG!$A$28,IF(ROW(M32)-ROW(M$26)+1=MATCH(M$20,GPG!$A$5:$A$11,0),1,0),
IF(M$19=GPG!$A$29,
(IF(ROUND(M$11,0)&gt;=1,OFFSET(EM!$B$17,ROW($A32)-ROW($A$26)+(ROW(EM!$C$46)-ROW(EM!$C$14))*(MATCH(M$22,EM!$B$6:$B$9,0)-1),MIN(M$23-EM!$B$16,EM!$AF$16-EM!$B$16)),0)+
IF(ROUND(M$11,0)&gt;=2,OFFSET(EM!$B$17,ROW($A32)-ROW($A$26)+(ROW(EM!$C$46)-ROW(EM!$C$14))*(MATCH(M$22,EM!$B$6:$B$9,0)-1),MIN(M$23-EM!$B$16+1,EM!$AF$16-EM!$B$16)),0)+
IF(ROUND(M$11,0)&gt;=3,OFFSET(EM!$B$17,ROW($A32)-ROW($A$26)+(ROW(EM!$C$46)-ROW(EM!$C$14))*(MATCH(M$22,EM!$B$6:$B$9,0)-1),MIN(M$23-EM!$B$16+2,EM!$AF$16-EM!$B$16)),0)+
IF(ROUND(M$11,0)&gt;=4,OFFSET(EM!$B$17,ROW($A32)-ROW($A$26)+(ROW(EM!$C$46)-ROW(EM!$C$14))*(MATCH(M$22,EM!$B$6:$B$9,0)-1),MIN(M$23-EM!$B$16+3,EM!$AF$16-EM!$B$16)),0)+
IF(ROUND(M$11,0)&gt;=5,OFFSET(EM!$B$17,ROW($A32)-ROW($A$26)+(ROW(EM!$C$46)-ROW(EM!$C$14))*(MATCH(M$22,EM!$B$6:$B$9,0)-1),MIN(M$23-EM!$B$16+4,EM!$AF$16-EM!$B$16)),0)+
IF(ROUND(M$11,0)&gt;=6,OFFSET(EM!$B$17,ROW($A32)-ROW($A$26)+(ROW(EM!$C$46)-ROW(EM!$C$14))*(MATCH(M$22,EM!$B$6:$B$9,0)-1),MIN(M$23-EM!$B$16+5,EM!$AF$16-EM!$B$16)),0)+
IF(ROUND(M$11,0)&gt;=7,OFFSET(EM!$B$17,ROW($A32)-ROW($A$26)+(ROW(EM!$C$46)-ROW(EM!$C$14))*(MATCH(M$22,EM!$B$6:$B$9,0)-1),MIN(M$23-EM!$B$16+6,EM!$AF$16-EM!$B$16)),0)+
IF(ROUND(M$11,0)&gt;=8,OFFSET(EM!$B$17,ROW($A32)-ROW($A$26)+(ROW(EM!$C$46)-ROW(EM!$C$14))*(MATCH(M$22,EM!$B$6:$B$9,0)-1),MIN(M$23-EM!$B$16+7,EM!$AF$16-EM!$B$16)),0)+
IF(ROUND(M$11,0)&gt;=9,OFFSET(EM!$B$17,ROW($A32)-ROW($A$26)+(ROW(EM!$C$46)-ROW(EM!$C$14))*(MATCH(M$22,EM!$B$6:$B$9,0)-1),MIN(M$23-EM!$B$16+8,EM!$AF$16-EM!$B$16)),0)+
IF(ROUND(M$11,0)&gt;=10,OFFSET(EM!$B$17,ROW($A32)-ROW($A$26)+(ROW(EM!$C$46)-ROW(EM!$C$14))*(MATCH(M$22,EM!$B$6:$B$9,0)-1),MIN(M$23-EM!$B$16+9,EM!$AF$16-EM!$B$16)),0)+
IF(ROUND(M$11,0)&gt;=11,OFFSET(EM!$B$17,ROW($A32)-ROW($A$26)+(ROW(EM!$C$46)-ROW(EM!$C$14))*(MATCH(M$22,EM!$B$6:$B$9,0)-1),MIN(M$23-EM!$B$16+10,EM!$AF$16-EM!$B$16)),0)+
IF(ROUND(M$11,0)&gt;=12,OFFSET(EM!$B$17,ROW($A32)-ROW($A$26)+(ROW(EM!$C$46)-ROW(EM!$C$14))*(MATCH(M$22,EM!$B$6:$B$9,0)-1),MIN(M$23-EM!$B$16+11,EM!$AF$16-EM!$B$16)),0)+
IF(ROUND(M$11,0)&gt;=13,OFFSET(EM!$B$17,ROW($A32)-ROW($A$26)+(ROW(EM!$C$46)-ROW(EM!$C$14))*(MATCH(M$22,EM!$B$6:$B$9,0)-1),MIN(M$23-EM!$B$16+12,EM!$AF$16-EM!$B$16)),0)+
IF(ROUND(M$11,0)&gt;=14,OFFSET(EM!$B$17,ROW($A32)-ROW($A$26)+(ROW(EM!$C$46)-ROW(EM!$C$14))*(MATCH(M$22,EM!$B$6:$B$9,0)-1),MIN(M$23-EM!$B$16+13,EM!$AF$16-EM!$B$16)),0)+
IF(ROUND(M$11,0)&gt;=15,OFFSET(EM!$B$17,ROW($A32)-ROW($A$26)+(ROW(EM!$C$46)-ROW(EM!$C$14))*(MATCH(M$22,EM!$B$6:$B$9,0)-1),MIN(M$23-EM!$B$16+14,EM!$AF$16-EM!$B$16)),0)+
IF(ROUND(M$11,0)&gt;=16,OFFSET(EM!$B$17,ROW($A32)-ROW($A$26)+(ROW(EM!$C$46)-ROW(EM!$C$14))*(MATCH(M$22,EM!$B$6:$B$9,0)-1),MIN(M$23-EM!$B$16+15,EM!$AF$16-EM!$B$16)),0)+
IF(ROUND(M$11,0)&gt;=17,OFFSET(EM!$B$17,ROW($A32)-ROW($A$26)+(ROW(EM!$C$46)-ROW(EM!$C$14))*(MATCH(M$22,EM!$B$6:$B$9,0)-1),MIN(M$23-EM!$B$16+16,EM!$AF$16-EM!$B$16)),0)+
IF(ROUND(M$11,0)&gt;=18,OFFSET(EM!$B$17,ROW($A32)-ROW($A$26)+(ROW(EM!$C$46)-ROW(EM!$C$14))*(MATCH(M$22,EM!$B$6:$B$9,0)-1),MIN(M$23-EM!$B$16+17,EM!$AF$16-EM!$B$16)),0)+
IF(ROUND(M$11,0)&gt;=19,OFFSET(EM!$B$17,ROW($A32)-ROW($A$26)+(ROW(EM!$C$46)-ROW(EM!$C$14))*(MATCH(M$22,EM!$B$6:$B$9,0)-1),MIN(M$23-EM!$B$16+18,EM!$AF$16-EM!$B$16)),0)+
IF(ROUND(M$11,0)&gt;=20,OFFSET(EM!$B$17,ROW($A32)-ROW($A$26)+(ROW(EM!$C$46)-ROW(EM!$C$14))*(MATCH(M$22,EM!$B$6:$B$9,0)-1),MIN(M$23-EM!$B$16+19,EM!$AF$16-EM!$B$16)),0)+
IF(ROUND(M$11,0)&gt;=21,OFFSET(EM!$B$17,ROW($A32)-ROW($A$26)+(ROW(EM!$C$46)-ROW(EM!$C$14))*(MATCH(M$22,EM!$B$6:$B$9,0)-1),MIN(M$23-EM!$B$16+20,EM!$AF$16-EM!$B$16)),0)+
IF(ROUND(M$11,0)&gt;=22,OFFSET(EM!$B$17,ROW($A32)-ROW($A$26)+(ROW(EM!$C$46)-ROW(EM!$C$14))*(MATCH(M$22,EM!$B$6:$B$9,0)-1),MIN(M$23-EM!$B$16+21,EM!$AF$16-EM!$B$16)),0)+
IF(ROUND(M$11,0)&gt;=23,OFFSET(EM!$B$17,ROW($A32)-ROW($A$26)+(ROW(EM!$C$46)-ROW(EM!$C$14))*(MATCH(M$22,EM!$B$6:$B$9,0)-1),MIN(M$23-EM!$B$16+22,EM!$AF$16-EM!$B$16)),0)+
IF(ROUND(M$11,0)&gt;=24,OFFSET(EM!$B$17,ROW($A32)-ROW($A$26)+(ROW(EM!$C$46)-ROW(EM!$C$14))*(MATCH(M$22,EM!$B$6:$B$9,0)-1),MIN(M$23-EM!$B$16+23,EM!$AF$16-EM!$B$16)),0)+
IF(ROUND(M$11,0)&gt;=25,OFFSET(EM!$B$17,ROW($A32)-ROW($A$26)+(ROW(EM!$C$46)-ROW(EM!$C$14))*(MATCH(M$22,EM!$B$6:$B$9,0)-1),MIN(M$23-EM!$B$16+24,EM!$AF$16-EM!$B$16)),0)+
IF(ROUND(M$11,0)&gt;=26,OFFSET(EM!$B$17,ROW($A32)-ROW($A$26)+(ROW(EM!$C$46)-ROW(EM!$C$14))*(MATCH(M$22,EM!$B$6:$B$9,0)-1),MIN(M$23-EM!$B$16+25,EM!$AF$16-EM!$B$16)),0)+
IF(ROUND(M$11,0)&gt;=27,OFFSET(EM!$B$17,ROW($A32)-ROW($A$26)+(ROW(EM!$C$46)-ROW(EM!$C$14))*(MATCH(M$22,EM!$B$6:$B$9,0)-1),MIN(M$23-EM!$B$16+26,EM!$AF$16-EM!$B$16)),0)+
IF(ROUND(M$11,0)&gt;=28,OFFSET(EM!$B$17,ROW($A32)-ROW($A$26)+(ROW(EM!$C$46)-ROW(EM!$C$14))*(MATCH(M$22,EM!$B$6:$B$9,0)-1),MIN(M$23-EM!$B$16+27,EM!$AF$16-EM!$B$16)),0)+
IF(ROUND(M$11,0)&gt;=29,OFFSET(EM!$B$17,ROW($A32)-ROW($A$26)+(ROW(EM!$C$46)-ROW(EM!$C$14))*(MATCH(M$22,EM!$B$6:$B$9,0)-1),MIN(M$23-EM!$B$16+28,EM!$AF$16-EM!$B$16)),0)+
IF(ROUND(M$11,0)&gt;=30,OFFSET(EM!$B$17,ROW($A32)-ROW($A$26)+(ROW(EM!$C$46)-ROW(EM!$C$14))*(MATCH(M$22,EM!$B$6:$B$9,0)-1),MIN(M$23-EM!$B$16+29,EM!$AF$16-EM!$B$16)),0)+
IF(ROUND(M$11,0)&gt;=31,OFFSET(EM!$B$17,ROW($A32)-ROW($A$26)+(ROW(EM!$C$46)-ROW(EM!$C$14))*(MATCH(M$22,EM!$B$6:$B$9,0)-1),MIN(M$23-EM!$B$16+30,EM!$AF$16-EM!$B$16)),0)+
IF(ROUND(M$11,0)&gt;=32,OFFSET(EM!$B$17,ROW($A32)-ROW($A$26)+(ROW(EM!$C$46)-ROW(EM!$C$14))*(MATCH(M$22,EM!$B$6:$B$9,0)-1),MIN(M$23-EM!$B$16+31,EM!$AF$16-EM!$B$16)),0)+
IF(ROUND(M$11,0)&gt;=33,OFFSET(EM!$B$17,ROW($A32)-ROW($A$26)+(ROW(EM!$C$46)-ROW(EM!$C$14))*(MATCH(M$22,EM!$B$6:$B$9,0)-1),MIN(M$23-EM!$B$16+32,EM!$AF$16-EM!$B$16)),0)+
IF(ROUND(M$11,0)&gt;=34,OFFSET(EM!$B$17,ROW($A32)-ROW($A$26)+(ROW(EM!$C$46)-ROW(EM!$C$14))*(MATCH(M$22,EM!$B$6:$B$9,0)-1),MIN(M$23-EM!$B$16+33,EM!$AF$16-EM!$B$16)),0)+
IF(ROUND(M$11,0)&gt;=35,OFFSET(EM!$B$17,ROW($A32)-ROW($A$26)+(ROW(EM!$C$46)-ROW(EM!$C$14))*(MATCH(M$22,EM!$B$6:$B$9,0)-1),MIN(M$23-EM!$B$16+34,EM!$AF$16-EM!$B$16)),0)+
IF(ROUND(M$11,0)&gt;=36,OFFSET(EM!$B$17,ROW($A32)-ROW($A$26)+(ROW(EM!$C$46)-ROW(EM!$C$14))*(MATCH(M$22,EM!$B$6:$B$9,0)-1),MIN(M$23-EM!$B$16+35,EM!$AF$16-EM!$B$16)),0)+
IF(ROUND(M$11,0)&gt;=37,OFFSET(EM!$B$17,ROW($A32)-ROW($A$26)+(ROW(EM!$C$46)-ROW(EM!$C$14))*(MATCH(M$22,EM!$B$6:$B$9,0)-1),MIN(M$23-EM!$B$16+36,EM!$AF$16-EM!$B$16)),0)+
IF(ROUND(M$11,0)&gt;=38,OFFSET(EM!$B$17,ROW($A32)-ROW($A$26)+(ROW(EM!$C$46)-ROW(EM!$C$14))*(MATCH(M$22,EM!$B$6:$B$9,0)-1),MIN(M$23-EM!$B$16+37,EM!$AF$16-EM!$B$16)),0)+
IF(ROUND(M$11,0)&gt;=39,OFFSET(EM!$B$17,ROW($A32)-ROW($A$26)+(ROW(EM!$C$46)-ROW(EM!$C$14))*(MATCH(M$22,EM!$B$6:$B$9,0)-1),MIN(M$23-EM!$B$16+38,EM!$AF$16-EM!$B$16)),0)+
IF(ROUND(M$11,0)&gt;=40,OFFSET(EM!$B$17,ROW($A32)-ROW($A$26)+(ROW(EM!$C$46)-ROW(EM!$C$14))*(MATCH(M$22,EM!$B$6:$B$9,0)-1),MIN(M$23-EM!$B$16+39,EM!$AF$16-EM!$B$16)),0)
)/ROUND(M$11,0),NA()))</f>
        <v>0</v>
      </c>
      <c r="N32" s="2046">
        <f ca="1">IF(N$19=GPG!$A$28,IF(ROW(N32)-ROW(N$26)+1=MATCH(N$20,GPG!$A$5:$A$11,0),1,0),
IF(N$19=GPG!$A$29,
(IF(ROUND(N$11,0)&gt;=1,OFFSET(EM!$B$17,ROW($A32)-ROW($A$26)+(ROW(EM!$C$46)-ROW(EM!$C$14))*(MATCH(N$22,EM!$B$6:$B$9,0)-1),MIN(N$23-EM!$B$16,EM!$AF$16-EM!$B$16)),0)+
IF(ROUND(N$11,0)&gt;=2,OFFSET(EM!$B$17,ROW($A32)-ROW($A$26)+(ROW(EM!$C$46)-ROW(EM!$C$14))*(MATCH(N$22,EM!$B$6:$B$9,0)-1),MIN(N$23-EM!$B$16+1,EM!$AF$16-EM!$B$16)),0)+
IF(ROUND(N$11,0)&gt;=3,OFFSET(EM!$B$17,ROW($A32)-ROW($A$26)+(ROW(EM!$C$46)-ROW(EM!$C$14))*(MATCH(N$22,EM!$B$6:$B$9,0)-1),MIN(N$23-EM!$B$16+2,EM!$AF$16-EM!$B$16)),0)+
IF(ROUND(N$11,0)&gt;=4,OFFSET(EM!$B$17,ROW($A32)-ROW($A$26)+(ROW(EM!$C$46)-ROW(EM!$C$14))*(MATCH(N$22,EM!$B$6:$B$9,0)-1),MIN(N$23-EM!$B$16+3,EM!$AF$16-EM!$B$16)),0)+
IF(ROUND(N$11,0)&gt;=5,OFFSET(EM!$B$17,ROW($A32)-ROW($A$26)+(ROW(EM!$C$46)-ROW(EM!$C$14))*(MATCH(N$22,EM!$B$6:$B$9,0)-1),MIN(N$23-EM!$B$16+4,EM!$AF$16-EM!$B$16)),0)+
IF(ROUND(N$11,0)&gt;=6,OFFSET(EM!$B$17,ROW($A32)-ROW($A$26)+(ROW(EM!$C$46)-ROW(EM!$C$14))*(MATCH(N$22,EM!$B$6:$B$9,0)-1),MIN(N$23-EM!$B$16+5,EM!$AF$16-EM!$B$16)),0)+
IF(ROUND(N$11,0)&gt;=7,OFFSET(EM!$B$17,ROW($A32)-ROW($A$26)+(ROW(EM!$C$46)-ROW(EM!$C$14))*(MATCH(N$22,EM!$B$6:$B$9,0)-1),MIN(N$23-EM!$B$16+6,EM!$AF$16-EM!$B$16)),0)+
IF(ROUND(N$11,0)&gt;=8,OFFSET(EM!$B$17,ROW($A32)-ROW($A$26)+(ROW(EM!$C$46)-ROW(EM!$C$14))*(MATCH(N$22,EM!$B$6:$B$9,0)-1),MIN(N$23-EM!$B$16+7,EM!$AF$16-EM!$B$16)),0)+
IF(ROUND(N$11,0)&gt;=9,OFFSET(EM!$B$17,ROW($A32)-ROW($A$26)+(ROW(EM!$C$46)-ROW(EM!$C$14))*(MATCH(N$22,EM!$B$6:$B$9,0)-1),MIN(N$23-EM!$B$16+8,EM!$AF$16-EM!$B$16)),0)+
IF(ROUND(N$11,0)&gt;=10,OFFSET(EM!$B$17,ROW($A32)-ROW($A$26)+(ROW(EM!$C$46)-ROW(EM!$C$14))*(MATCH(N$22,EM!$B$6:$B$9,0)-1),MIN(N$23-EM!$B$16+9,EM!$AF$16-EM!$B$16)),0)+
IF(ROUND(N$11,0)&gt;=11,OFFSET(EM!$B$17,ROW($A32)-ROW($A$26)+(ROW(EM!$C$46)-ROW(EM!$C$14))*(MATCH(N$22,EM!$B$6:$B$9,0)-1),MIN(N$23-EM!$B$16+10,EM!$AF$16-EM!$B$16)),0)+
IF(ROUND(N$11,0)&gt;=12,OFFSET(EM!$B$17,ROW($A32)-ROW($A$26)+(ROW(EM!$C$46)-ROW(EM!$C$14))*(MATCH(N$22,EM!$B$6:$B$9,0)-1),MIN(N$23-EM!$B$16+11,EM!$AF$16-EM!$B$16)),0)+
IF(ROUND(N$11,0)&gt;=13,OFFSET(EM!$B$17,ROW($A32)-ROW($A$26)+(ROW(EM!$C$46)-ROW(EM!$C$14))*(MATCH(N$22,EM!$B$6:$B$9,0)-1),MIN(N$23-EM!$B$16+12,EM!$AF$16-EM!$B$16)),0)+
IF(ROUND(N$11,0)&gt;=14,OFFSET(EM!$B$17,ROW($A32)-ROW($A$26)+(ROW(EM!$C$46)-ROW(EM!$C$14))*(MATCH(N$22,EM!$B$6:$B$9,0)-1),MIN(N$23-EM!$B$16+13,EM!$AF$16-EM!$B$16)),0)+
IF(ROUND(N$11,0)&gt;=15,OFFSET(EM!$B$17,ROW($A32)-ROW($A$26)+(ROW(EM!$C$46)-ROW(EM!$C$14))*(MATCH(N$22,EM!$B$6:$B$9,0)-1),MIN(N$23-EM!$B$16+14,EM!$AF$16-EM!$B$16)),0)+
IF(ROUND(N$11,0)&gt;=16,OFFSET(EM!$B$17,ROW($A32)-ROW($A$26)+(ROW(EM!$C$46)-ROW(EM!$C$14))*(MATCH(N$22,EM!$B$6:$B$9,0)-1),MIN(N$23-EM!$B$16+15,EM!$AF$16-EM!$B$16)),0)+
IF(ROUND(N$11,0)&gt;=17,OFFSET(EM!$B$17,ROW($A32)-ROW($A$26)+(ROW(EM!$C$46)-ROW(EM!$C$14))*(MATCH(N$22,EM!$B$6:$B$9,0)-1),MIN(N$23-EM!$B$16+16,EM!$AF$16-EM!$B$16)),0)+
IF(ROUND(N$11,0)&gt;=18,OFFSET(EM!$B$17,ROW($A32)-ROW($A$26)+(ROW(EM!$C$46)-ROW(EM!$C$14))*(MATCH(N$22,EM!$B$6:$B$9,0)-1),MIN(N$23-EM!$B$16+17,EM!$AF$16-EM!$B$16)),0)+
IF(ROUND(N$11,0)&gt;=19,OFFSET(EM!$B$17,ROW($A32)-ROW($A$26)+(ROW(EM!$C$46)-ROW(EM!$C$14))*(MATCH(N$22,EM!$B$6:$B$9,0)-1),MIN(N$23-EM!$B$16+18,EM!$AF$16-EM!$B$16)),0)+
IF(ROUND(N$11,0)&gt;=20,OFFSET(EM!$B$17,ROW($A32)-ROW($A$26)+(ROW(EM!$C$46)-ROW(EM!$C$14))*(MATCH(N$22,EM!$B$6:$B$9,0)-1),MIN(N$23-EM!$B$16+19,EM!$AF$16-EM!$B$16)),0)+
IF(ROUND(N$11,0)&gt;=21,OFFSET(EM!$B$17,ROW($A32)-ROW($A$26)+(ROW(EM!$C$46)-ROW(EM!$C$14))*(MATCH(N$22,EM!$B$6:$B$9,0)-1),MIN(N$23-EM!$B$16+20,EM!$AF$16-EM!$B$16)),0)+
IF(ROUND(N$11,0)&gt;=22,OFFSET(EM!$B$17,ROW($A32)-ROW($A$26)+(ROW(EM!$C$46)-ROW(EM!$C$14))*(MATCH(N$22,EM!$B$6:$B$9,0)-1),MIN(N$23-EM!$B$16+21,EM!$AF$16-EM!$B$16)),0)+
IF(ROUND(N$11,0)&gt;=23,OFFSET(EM!$B$17,ROW($A32)-ROW($A$26)+(ROW(EM!$C$46)-ROW(EM!$C$14))*(MATCH(N$22,EM!$B$6:$B$9,0)-1),MIN(N$23-EM!$B$16+22,EM!$AF$16-EM!$B$16)),0)+
IF(ROUND(N$11,0)&gt;=24,OFFSET(EM!$B$17,ROW($A32)-ROW($A$26)+(ROW(EM!$C$46)-ROW(EM!$C$14))*(MATCH(N$22,EM!$B$6:$B$9,0)-1),MIN(N$23-EM!$B$16+23,EM!$AF$16-EM!$B$16)),0)+
IF(ROUND(N$11,0)&gt;=25,OFFSET(EM!$B$17,ROW($A32)-ROW($A$26)+(ROW(EM!$C$46)-ROW(EM!$C$14))*(MATCH(N$22,EM!$B$6:$B$9,0)-1),MIN(N$23-EM!$B$16+24,EM!$AF$16-EM!$B$16)),0)+
IF(ROUND(N$11,0)&gt;=26,OFFSET(EM!$B$17,ROW($A32)-ROW($A$26)+(ROW(EM!$C$46)-ROW(EM!$C$14))*(MATCH(N$22,EM!$B$6:$B$9,0)-1),MIN(N$23-EM!$B$16+25,EM!$AF$16-EM!$B$16)),0)+
IF(ROUND(N$11,0)&gt;=27,OFFSET(EM!$B$17,ROW($A32)-ROW($A$26)+(ROW(EM!$C$46)-ROW(EM!$C$14))*(MATCH(N$22,EM!$B$6:$B$9,0)-1),MIN(N$23-EM!$B$16+26,EM!$AF$16-EM!$B$16)),0)+
IF(ROUND(N$11,0)&gt;=28,OFFSET(EM!$B$17,ROW($A32)-ROW($A$26)+(ROW(EM!$C$46)-ROW(EM!$C$14))*(MATCH(N$22,EM!$B$6:$B$9,0)-1),MIN(N$23-EM!$B$16+27,EM!$AF$16-EM!$B$16)),0)+
IF(ROUND(N$11,0)&gt;=29,OFFSET(EM!$B$17,ROW($A32)-ROW($A$26)+(ROW(EM!$C$46)-ROW(EM!$C$14))*(MATCH(N$22,EM!$B$6:$B$9,0)-1),MIN(N$23-EM!$B$16+28,EM!$AF$16-EM!$B$16)),0)+
IF(ROUND(N$11,0)&gt;=30,OFFSET(EM!$B$17,ROW($A32)-ROW($A$26)+(ROW(EM!$C$46)-ROW(EM!$C$14))*(MATCH(N$22,EM!$B$6:$B$9,0)-1),MIN(N$23-EM!$B$16+29,EM!$AF$16-EM!$B$16)),0)+
IF(ROUND(N$11,0)&gt;=31,OFFSET(EM!$B$17,ROW($A32)-ROW($A$26)+(ROW(EM!$C$46)-ROW(EM!$C$14))*(MATCH(N$22,EM!$B$6:$B$9,0)-1),MIN(N$23-EM!$B$16+30,EM!$AF$16-EM!$B$16)),0)+
IF(ROUND(N$11,0)&gt;=32,OFFSET(EM!$B$17,ROW($A32)-ROW($A$26)+(ROW(EM!$C$46)-ROW(EM!$C$14))*(MATCH(N$22,EM!$B$6:$B$9,0)-1),MIN(N$23-EM!$B$16+31,EM!$AF$16-EM!$B$16)),0)+
IF(ROUND(N$11,0)&gt;=33,OFFSET(EM!$B$17,ROW($A32)-ROW($A$26)+(ROW(EM!$C$46)-ROW(EM!$C$14))*(MATCH(N$22,EM!$B$6:$B$9,0)-1),MIN(N$23-EM!$B$16+32,EM!$AF$16-EM!$B$16)),0)+
IF(ROUND(N$11,0)&gt;=34,OFFSET(EM!$B$17,ROW($A32)-ROW($A$26)+(ROW(EM!$C$46)-ROW(EM!$C$14))*(MATCH(N$22,EM!$B$6:$B$9,0)-1),MIN(N$23-EM!$B$16+33,EM!$AF$16-EM!$B$16)),0)+
IF(ROUND(N$11,0)&gt;=35,OFFSET(EM!$B$17,ROW($A32)-ROW($A$26)+(ROW(EM!$C$46)-ROW(EM!$C$14))*(MATCH(N$22,EM!$B$6:$B$9,0)-1),MIN(N$23-EM!$B$16+34,EM!$AF$16-EM!$B$16)),0)+
IF(ROUND(N$11,0)&gt;=36,OFFSET(EM!$B$17,ROW($A32)-ROW($A$26)+(ROW(EM!$C$46)-ROW(EM!$C$14))*(MATCH(N$22,EM!$B$6:$B$9,0)-1),MIN(N$23-EM!$B$16+35,EM!$AF$16-EM!$B$16)),0)+
IF(ROUND(N$11,0)&gt;=37,OFFSET(EM!$B$17,ROW($A32)-ROW($A$26)+(ROW(EM!$C$46)-ROW(EM!$C$14))*(MATCH(N$22,EM!$B$6:$B$9,0)-1),MIN(N$23-EM!$B$16+36,EM!$AF$16-EM!$B$16)),0)+
IF(ROUND(N$11,0)&gt;=38,OFFSET(EM!$B$17,ROW($A32)-ROW($A$26)+(ROW(EM!$C$46)-ROW(EM!$C$14))*(MATCH(N$22,EM!$B$6:$B$9,0)-1),MIN(N$23-EM!$B$16+37,EM!$AF$16-EM!$B$16)),0)+
IF(ROUND(N$11,0)&gt;=39,OFFSET(EM!$B$17,ROW($A32)-ROW($A$26)+(ROW(EM!$C$46)-ROW(EM!$C$14))*(MATCH(N$22,EM!$B$6:$B$9,0)-1),MIN(N$23-EM!$B$16+38,EM!$AF$16-EM!$B$16)),0)+
IF(ROUND(N$11,0)&gt;=40,OFFSET(EM!$B$17,ROW($A32)-ROW($A$26)+(ROW(EM!$C$46)-ROW(EM!$C$14))*(MATCH(N$22,EM!$B$6:$B$9,0)-1),MIN(N$23-EM!$B$16+39,EM!$AF$16-EM!$B$16)),0)
)/ROUND(N$11,0),NA()))</f>
        <v>0</v>
      </c>
      <c r="O32" s="2046">
        <f ca="1">IF(O$19=GPG!$A$28,IF(ROW(O32)-ROW(O$26)+1=MATCH(O$20,GPG!$A$5:$A$11,0),1,0),
IF(O$19=GPG!$A$29,
(IF(ROUND(O$11,0)&gt;=1,OFFSET(EM!$B$17,ROW($A32)-ROW($A$26)+(ROW(EM!$C$46)-ROW(EM!$C$14))*(MATCH(O$22,EM!$B$6:$B$9,0)-1),MIN(O$23-EM!$B$16,EM!$AF$16-EM!$B$16)),0)+
IF(ROUND(O$11,0)&gt;=2,OFFSET(EM!$B$17,ROW($A32)-ROW($A$26)+(ROW(EM!$C$46)-ROW(EM!$C$14))*(MATCH(O$22,EM!$B$6:$B$9,0)-1),MIN(O$23-EM!$B$16+1,EM!$AF$16-EM!$B$16)),0)+
IF(ROUND(O$11,0)&gt;=3,OFFSET(EM!$B$17,ROW($A32)-ROW($A$26)+(ROW(EM!$C$46)-ROW(EM!$C$14))*(MATCH(O$22,EM!$B$6:$B$9,0)-1),MIN(O$23-EM!$B$16+2,EM!$AF$16-EM!$B$16)),0)+
IF(ROUND(O$11,0)&gt;=4,OFFSET(EM!$B$17,ROW($A32)-ROW($A$26)+(ROW(EM!$C$46)-ROW(EM!$C$14))*(MATCH(O$22,EM!$B$6:$B$9,0)-1),MIN(O$23-EM!$B$16+3,EM!$AF$16-EM!$B$16)),0)+
IF(ROUND(O$11,0)&gt;=5,OFFSET(EM!$B$17,ROW($A32)-ROW($A$26)+(ROW(EM!$C$46)-ROW(EM!$C$14))*(MATCH(O$22,EM!$B$6:$B$9,0)-1),MIN(O$23-EM!$B$16+4,EM!$AF$16-EM!$B$16)),0)+
IF(ROUND(O$11,0)&gt;=6,OFFSET(EM!$B$17,ROW($A32)-ROW($A$26)+(ROW(EM!$C$46)-ROW(EM!$C$14))*(MATCH(O$22,EM!$B$6:$B$9,0)-1),MIN(O$23-EM!$B$16+5,EM!$AF$16-EM!$B$16)),0)+
IF(ROUND(O$11,0)&gt;=7,OFFSET(EM!$B$17,ROW($A32)-ROW($A$26)+(ROW(EM!$C$46)-ROW(EM!$C$14))*(MATCH(O$22,EM!$B$6:$B$9,0)-1),MIN(O$23-EM!$B$16+6,EM!$AF$16-EM!$B$16)),0)+
IF(ROUND(O$11,0)&gt;=8,OFFSET(EM!$B$17,ROW($A32)-ROW($A$26)+(ROW(EM!$C$46)-ROW(EM!$C$14))*(MATCH(O$22,EM!$B$6:$B$9,0)-1),MIN(O$23-EM!$B$16+7,EM!$AF$16-EM!$B$16)),0)+
IF(ROUND(O$11,0)&gt;=9,OFFSET(EM!$B$17,ROW($A32)-ROW($A$26)+(ROW(EM!$C$46)-ROW(EM!$C$14))*(MATCH(O$22,EM!$B$6:$B$9,0)-1),MIN(O$23-EM!$B$16+8,EM!$AF$16-EM!$B$16)),0)+
IF(ROUND(O$11,0)&gt;=10,OFFSET(EM!$B$17,ROW($A32)-ROW($A$26)+(ROW(EM!$C$46)-ROW(EM!$C$14))*(MATCH(O$22,EM!$B$6:$B$9,0)-1),MIN(O$23-EM!$B$16+9,EM!$AF$16-EM!$B$16)),0)+
IF(ROUND(O$11,0)&gt;=11,OFFSET(EM!$B$17,ROW($A32)-ROW($A$26)+(ROW(EM!$C$46)-ROW(EM!$C$14))*(MATCH(O$22,EM!$B$6:$B$9,0)-1),MIN(O$23-EM!$B$16+10,EM!$AF$16-EM!$B$16)),0)+
IF(ROUND(O$11,0)&gt;=12,OFFSET(EM!$B$17,ROW($A32)-ROW($A$26)+(ROW(EM!$C$46)-ROW(EM!$C$14))*(MATCH(O$22,EM!$B$6:$B$9,0)-1),MIN(O$23-EM!$B$16+11,EM!$AF$16-EM!$B$16)),0)+
IF(ROUND(O$11,0)&gt;=13,OFFSET(EM!$B$17,ROW($A32)-ROW($A$26)+(ROW(EM!$C$46)-ROW(EM!$C$14))*(MATCH(O$22,EM!$B$6:$B$9,0)-1),MIN(O$23-EM!$B$16+12,EM!$AF$16-EM!$B$16)),0)+
IF(ROUND(O$11,0)&gt;=14,OFFSET(EM!$B$17,ROW($A32)-ROW($A$26)+(ROW(EM!$C$46)-ROW(EM!$C$14))*(MATCH(O$22,EM!$B$6:$B$9,0)-1),MIN(O$23-EM!$B$16+13,EM!$AF$16-EM!$B$16)),0)+
IF(ROUND(O$11,0)&gt;=15,OFFSET(EM!$B$17,ROW($A32)-ROW($A$26)+(ROW(EM!$C$46)-ROW(EM!$C$14))*(MATCH(O$22,EM!$B$6:$B$9,0)-1),MIN(O$23-EM!$B$16+14,EM!$AF$16-EM!$B$16)),0)+
IF(ROUND(O$11,0)&gt;=16,OFFSET(EM!$B$17,ROW($A32)-ROW($A$26)+(ROW(EM!$C$46)-ROW(EM!$C$14))*(MATCH(O$22,EM!$B$6:$B$9,0)-1),MIN(O$23-EM!$B$16+15,EM!$AF$16-EM!$B$16)),0)+
IF(ROUND(O$11,0)&gt;=17,OFFSET(EM!$B$17,ROW($A32)-ROW($A$26)+(ROW(EM!$C$46)-ROW(EM!$C$14))*(MATCH(O$22,EM!$B$6:$B$9,0)-1),MIN(O$23-EM!$B$16+16,EM!$AF$16-EM!$B$16)),0)+
IF(ROUND(O$11,0)&gt;=18,OFFSET(EM!$B$17,ROW($A32)-ROW($A$26)+(ROW(EM!$C$46)-ROW(EM!$C$14))*(MATCH(O$22,EM!$B$6:$B$9,0)-1),MIN(O$23-EM!$B$16+17,EM!$AF$16-EM!$B$16)),0)+
IF(ROUND(O$11,0)&gt;=19,OFFSET(EM!$B$17,ROW($A32)-ROW($A$26)+(ROW(EM!$C$46)-ROW(EM!$C$14))*(MATCH(O$22,EM!$B$6:$B$9,0)-1),MIN(O$23-EM!$B$16+18,EM!$AF$16-EM!$B$16)),0)+
IF(ROUND(O$11,0)&gt;=20,OFFSET(EM!$B$17,ROW($A32)-ROW($A$26)+(ROW(EM!$C$46)-ROW(EM!$C$14))*(MATCH(O$22,EM!$B$6:$B$9,0)-1),MIN(O$23-EM!$B$16+19,EM!$AF$16-EM!$B$16)),0)+
IF(ROUND(O$11,0)&gt;=21,OFFSET(EM!$B$17,ROW($A32)-ROW($A$26)+(ROW(EM!$C$46)-ROW(EM!$C$14))*(MATCH(O$22,EM!$B$6:$B$9,0)-1),MIN(O$23-EM!$B$16+20,EM!$AF$16-EM!$B$16)),0)+
IF(ROUND(O$11,0)&gt;=22,OFFSET(EM!$B$17,ROW($A32)-ROW($A$26)+(ROW(EM!$C$46)-ROW(EM!$C$14))*(MATCH(O$22,EM!$B$6:$B$9,0)-1),MIN(O$23-EM!$B$16+21,EM!$AF$16-EM!$B$16)),0)+
IF(ROUND(O$11,0)&gt;=23,OFFSET(EM!$B$17,ROW($A32)-ROW($A$26)+(ROW(EM!$C$46)-ROW(EM!$C$14))*(MATCH(O$22,EM!$B$6:$B$9,0)-1),MIN(O$23-EM!$B$16+22,EM!$AF$16-EM!$B$16)),0)+
IF(ROUND(O$11,0)&gt;=24,OFFSET(EM!$B$17,ROW($A32)-ROW($A$26)+(ROW(EM!$C$46)-ROW(EM!$C$14))*(MATCH(O$22,EM!$B$6:$B$9,0)-1),MIN(O$23-EM!$B$16+23,EM!$AF$16-EM!$B$16)),0)+
IF(ROUND(O$11,0)&gt;=25,OFFSET(EM!$B$17,ROW($A32)-ROW($A$26)+(ROW(EM!$C$46)-ROW(EM!$C$14))*(MATCH(O$22,EM!$B$6:$B$9,0)-1),MIN(O$23-EM!$B$16+24,EM!$AF$16-EM!$B$16)),0)+
IF(ROUND(O$11,0)&gt;=26,OFFSET(EM!$B$17,ROW($A32)-ROW($A$26)+(ROW(EM!$C$46)-ROW(EM!$C$14))*(MATCH(O$22,EM!$B$6:$B$9,0)-1),MIN(O$23-EM!$B$16+25,EM!$AF$16-EM!$B$16)),0)+
IF(ROUND(O$11,0)&gt;=27,OFFSET(EM!$B$17,ROW($A32)-ROW($A$26)+(ROW(EM!$C$46)-ROW(EM!$C$14))*(MATCH(O$22,EM!$B$6:$B$9,0)-1),MIN(O$23-EM!$B$16+26,EM!$AF$16-EM!$B$16)),0)+
IF(ROUND(O$11,0)&gt;=28,OFFSET(EM!$B$17,ROW($A32)-ROW($A$26)+(ROW(EM!$C$46)-ROW(EM!$C$14))*(MATCH(O$22,EM!$B$6:$B$9,0)-1),MIN(O$23-EM!$B$16+27,EM!$AF$16-EM!$B$16)),0)+
IF(ROUND(O$11,0)&gt;=29,OFFSET(EM!$B$17,ROW($A32)-ROW($A$26)+(ROW(EM!$C$46)-ROW(EM!$C$14))*(MATCH(O$22,EM!$B$6:$B$9,0)-1),MIN(O$23-EM!$B$16+28,EM!$AF$16-EM!$B$16)),0)+
IF(ROUND(O$11,0)&gt;=30,OFFSET(EM!$B$17,ROW($A32)-ROW($A$26)+(ROW(EM!$C$46)-ROW(EM!$C$14))*(MATCH(O$22,EM!$B$6:$B$9,0)-1),MIN(O$23-EM!$B$16+29,EM!$AF$16-EM!$B$16)),0)+
IF(ROUND(O$11,0)&gt;=31,OFFSET(EM!$B$17,ROW($A32)-ROW($A$26)+(ROW(EM!$C$46)-ROW(EM!$C$14))*(MATCH(O$22,EM!$B$6:$B$9,0)-1),MIN(O$23-EM!$B$16+30,EM!$AF$16-EM!$B$16)),0)+
IF(ROUND(O$11,0)&gt;=32,OFFSET(EM!$B$17,ROW($A32)-ROW($A$26)+(ROW(EM!$C$46)-ROW(EM!$C$14))*(MATCH(O$22,EM!$B$6:$B$9,0)-1),MIN(O$23-EM!$B$16+31,EM!$AF$16-EM!$B$16)),0)+
IF(ROUND(O$11,0)&gt;=33,OFFSET(EM!$B$17,ROW($A32)-ROW($A$26)+(ROW(EM!$C$46)-ROW(EM!$C$14))*(MATCH(O$22,EM!$B$6:$B$9,0)-1),MIN(O$23-EM!$B$16+32,EM!$AF$16-EM!$B$16)),0)+
IF(ROUND(O$11,0)&gt;=34,OFFSET(EM!$B$17,ROW($A32)-ROW($A$26)+(ROW(EM!$C$46)-ROW(EM!$C$14))*(MATCH(O$22,EM!$B$6:$B$9,0)-1),MIN(O$23-EM!$B$16+33,EM!$AF$16-EM!$B$16)),0)+
IF(ROUND(O$11,0)&gt;=35,OFFSET(EM!$B$17,ROW($A32)-ROW($A$26)+(ROW(EM!$C$46)-ROW(EM!$C$14))*(MATCH(O$22,EM!$B$6:$B$9,0)-1),MIN(O$23-EM!$B$16+34,EM!$AF$16-EM!$B$16)),0)+
IF(ROUND(O$11,0)&gt;=36,OFFSET(EM!$B$17,ROW($A32)-ROW($A$26)+(ROW(EM!$C$46)-ROW(EM!$C$14))*(MATCH(O$22,EM!$B$6:$B$9,0)-1),MIN(O$23-EM!$B$16+35,EM!$AF$16-EM!$B$16)),0)+
IF(ROUND(O$11,0)&gt;=37,OFFSET(EM!$B$17,ROW($A32)-ROW($A$26)+(ROW(EM!$C$46)-ROW(EM!$C$14))*(MATCH(O$22,EM!$B$6:$B$9,0)-1),MIN(O$23-EM!$B$16+36,EM!$AF$16-EM!$B$16)),0)+
IF(ROUND(O$11,0)&gt;=38,OFFSET(EM!$B$17,ROW($A32)-ROW($A$26)+(ROW(EM!$C$46)-ROW(EM!$C$14))*(MATCH(O$22,EM!$B$6:$B$9,0)-1),MIN(O$23-EM!$B$16+37,EM!$AF$16-EM!$B$16)),0)+
IF(ROUND(O$11,0)&gt;=39,OFFSET(EM!$B$17,ROW($A32)-ROW($A$26)+(ROW(EM!$C$46)-ROW(EM!$C$14))*(MATCH(O$22,EM!$B$6:$B$9,0)-1),MIN(O$23-EM!$B$16+38,EM!$AF$16-EM!$B$16)),0)+
IF(ROUND(O$11,0)&gt;=40,OFFSET(EM!$B$17,ROW($A32)-ROW($A$26)+(ROW(EM!$C$46)-ROW(EM!$C$14))*(MATCH(O$22,EM!$B$6:$B$9,0)-1),MIN(O$23-EM!$B$16+39,EM!$AF$16-EM!$B$16)),0)
)/ROUND(O$11,0),NA()))</f>
        <v>0</v>
      </c>
      <c r="P32" s="2046">
        <f ca="1">IF(P$19=GPG!$A$28,IF(ROW(P32)-ROW(P$26)+1=MATCH(P$20,GPG!$A$5:$A$11,0),1,0),
IF(P$19=GPG!$A$29,
(IF(ROUND(P$11,0)&gt;=1,OFFSET(EM!$B$17,ROW($A32)-ROW($A$26)+(ROW(EM!$C$46)-ROW(EM!$C$14))*(MATCH(P$22,EM!$B$6:$B$9,0)-1),MIN(P$23-EM!$B$16,EM!$AF$16-EM!$B$16)),0)+
IF(ROUND(P$11,0)&gt;=2,OFFSET(EM!$B$17,ROW($A32)-ROW($A$26)+(ROW(EM!$C$46)-ROW(EM!$C$14))*(MATCH(P$22,EM!$B$6:$B$9,0)-1),MIN(P$23-EM!$B$16+1,EM!$AF$16-EM!$B$16)),0)+
IF(ROUND(P$11,0)&gt;=3,OFFSET(EM!$B$17,ROW($A32)-ROW($A$26)+(ROW(EM!$C$46)-ROW(EM!$C$14))*(MATCH(P$22,EM!$B$6:$B$9,0)-1),MIN(P$23-EM!$B$16+2,EM!$AF$16-EM!$B$16)),0)+
IF(ROUND(P$11,0)&gt;=4,OFFSET(EM!$B$17,ROW($A32)-ROW($A$26)+(ROW(EM!$C$46)-ROW(EM!$C$14))*(MATCH(P$22,EM!$B$6:$B$9,0)-1),MIN(P$23-EM!$B$16+3,EM!$AF$16-EM!$B$16)),0)+
IF(ROUND(P$11,0)&gt;=5,OFFSET(EM!$B$17,ROW($A32)-ROW($A$26)+(ROW(EM!$C$46)-ROW(EM!$C$14))*(MATCH(P$22,EM!$B$6:$B$9,0)-1),MIN(P$23-EM!$B$16+4,EM!$AF$16-EM!$B$16)),0)+
IF(ROUND(P$11,0)&gt;=6,OFFSET(EM!$B$17,ROW($A32)-ROW($A$26)+(ROW(EM!$C$46)-ROW(EM!$C$14))*(MATCH(P$22,EM!$B$6:$B$9,0)-1),MIN(P$23-EM!$B$16+5,EM!$AF$16-EM!$B$16)),0)+
IF(ROUND(P$11,0)&gt;=7,OFFSET(EM!$B$17,ROW($A32)-ROW($A$26)+(ROW(EM!$C$46)-ROW(EM!$C$14))*(MATCH(P$22,EM!$B$6:$B$9,0)-1),MIN(P$23-EM!$B$16+6,EM!$AF$16-EM!$B$16)),0)+
IF(ROUND(P$11,0)&gt;=8,OFFSET(EM!$B$17,ROW($A32)-ROW($A$26)+(ROW(EM!$C$46)-ROW(EM!$C$14))*(MATCH(P$22,EM!$B$6:$B$9,0)-1),MIN(P$23-EM!$B$16+7,EM!$AF$16-EM!$B$16)),0)+
IF(ROUND(P$11,0)&gt;=9,OFFSET(EM!$B$17,ROW($A32)-ROW($A$26)+(ROW(EM!$C$46)-ROW(EM!$C$14))*(MATCH(P$22,EM!$B$6:$B$9,0)-1),MIN(P$23-EM!$B$16+8,EM!$AF$16-EM!$B$16)),0)+
IF(ROUND(P$11,0)&gt;=10,OFFSET(EM!$B$17,ROW($A32)-ROW($A$26)+(ROW(EM!$C$46)-ROW(EM!$C$14))*(MATCH(P$22,EM!$B$6:$B$9,0)-1),MIN(P$23-EM!$B$16+9,EM!$AF$16-EM!$B$16)),0)+
IF(ROUND(P$11,0)&gt;=11,OFFSET(EM!$B$17,ROW($A32)-ROW($A$26)+(ROW(EM!$C$46)-ROW(EM!$C$14))*(MATCH(P$22,EM!$B$6:$B$9,0)-1),MIN(P$23-EM!$B$16+10,EM!$AF$16-EM!$B$16)),0)+
IF(ROUND(P$11,0)&gt;=12,OFFSET(EM!$B$17,ROW($A32)-ROW($A$26)+(ROW(EM!$C$46)-ROW(EM!$C$14))*(MATCH(P$22,EM!$B$6:$B$9,0)-1),MIN(P$23-EM!$B$16+11,EM!$AF$16-EM!$B$16)),0)+
IF(ROUND(P$11,0)&gt;=13,OFFSET(EM!$B$17,ROW($A32)-ROW($A$26)+(ROW(EM!$C$46)-ROW(EM!$C$14))*(MATCH(P$22,EM!$B$6:$B$9,0)-1),MIN(P$23-EM!$B$16+12,EM!$AF$16-EM!$B$16)),0)+
IF(ROUND(P$11,0)&gt;=14,OFFSET(EM!$B$17,ROW($A32)-ROW($A$26)+(ROW(EM!$C$46)-ROW(EM!$C$14))*(MATCH(P$22,EM!$B$6:$B$9,0)-1),MIN(P$23-EM!$B$16+13,EM!$AF$16-EM!$B$16)),0)+
IF(ROUND(P$11,0)&gt;=15,OFFSET(EM!$B$17,ROW($A32)-ROW($A$26)+(ROW(EM!$C$46)-ROW(EM!$C$14))*(MATCH(P$22,EM!$B$6:$B$9,0)-1),MIN(P$23-EM!$B$16+14,EM!$AF$16-EM!$B$16)),0)+
IF(ROUND(P$11,0)&gt;=16,OFFSET(EM!$B$17,ROW($A32)-ROW($A$26)+(ROW(EM!$C$46)-ROW(EM!$C$14))*(MATCH(P$22,EM!$B$6:$B$9,0)-1),MIN(P$23-EM!$B$16+15,EM!$AF$16-EM!$B$16)),0)+
IF(ROUND(P$11,0)&gt;=17,OFFSET(EM!$B$17,ROW($A32)-ROW($A$26)+(ROW(EM!$C$46)-ROW(EM!$C$14))*(MATCH(P$22,EM!$B$6:$B$9,0)-1),MIN(P$23-EM!$B$16+16,EM!$AF$16-EM!$B$16)),0)+
IF(ROUND(P$11,0)&gt;=18,OFFSET(EM!$B$17,ROW($A32)-ROW($A$26)+(ROW(EM!$C$46)-ROW(EM!$C$14))*(MATCH(P$22,EM!$B$6:$B$9,0)-1),MIN(P$23-EM!$B$16+17,EM!$AF$16-EM!$B$16)),0)+
IF(ROUND(P$11,0)&gt;=19,OFFSET(EM!$B$17,ROW($A32)-ROW($A$26)+(ROW(EM!$C$46)-ROW(EM!$C$14))*(MATCH(P$22,EM!$B$6:$B$9,0)-1),MIN(P$23-EM!$B$16+18,EM!$AF$16-EM!$B$16)),0)+
IF(ROUND(P$11,0)&gt;=20,OFFSET(EM!$B$17,ROW($A32)-ROW($A$26)+(ROW(EM!$C$46)-ROW(EM!$C$14))*(MATCH(P$22,EM!$B$6:$B$9,0)-1),MIN(P$23-EM!$B$16+19,EM!$AF$16-EM!$B$16)),0)+
IF(ROUND(P$11,0)&gt;=21,OFFSET(EM!$B$17,ROW($A32)-ROW($A$26)+(ROW(EM!$C$46)-ROW(EM!$C$14))*(MATCH(P$22,EM!$B$6:$B$9,0)-1),MIN(P$23-EM!$B$16+20,EM!$AF$16-EM!$B$16)),0)+
IF(ROUND(P$11,0)&gt;=22,OFFSET(EM!$B$17,ROW($A32)-ROW($A$26)+(ROW(EM!$C$46)-ROW(EM!$C$14))*(MATCH(P$22,EM!$B$6:$B$9,0)-1),MIN(P$23-EM!$B$16+21,EM!$AF$16-EM!$B$16)),0)+
IF(ROUND(P$11,0)&gt;=23,OFFSET(EM!$B$17,ROW($A32)-ROW($A$26)+(ROW(EM!$C$46)-ROW(EM!$C$14))*(MATCH(P$22,EM!$B$6:$B$9,0)-1),MIN(P$23-EM!$B$16+22,EM!$AF$16-EM!$B$16)),0)+
IF(ROUND(P$11,0)&gt;=24,OFFSET(EM!$B$17,ROW($A32)-ROW($A$26)+(ROW(EM!$C$46)-ROW(EM!$C$14))*(MATCH(P$22,EM!$B$6:$B$9,0)-1),MIN(P$23-EM!$B$16+23,EM!$AF$16-EM!$B$16)),0)+
IF(ROUND(P$11,0)&gt;=25,OFFSET(EM!$B$17,ROW($A32)-ROW($A$26)+(ROW(EM!$C$46)-ROW(EM!$C$14))*(MATCH(P$22,EM!$B$6:$B$9,0)-1),MIN(P$23-EM!$B$16+24,EM!$AF$16-EM!$B$16)),0)+
IF(ROUND(P$11,0)&gt;=26,OFFSET(EM!$B$17,ROW($A32)-ROW($A$26)+(ROW(EM!$C$46)-ROW(EM!$C$14))*(MATCH(P$22,EM!$B$6:$B$9,0)-1),MIN(P$23-EM!$B$16+25,EM!$AF$16-EM!$B$16)),0)+
IF(ROUND(P$11,0)&gt;=27,OFFSET(EM!$B$17,ROW($A32)-ROW($A$26)+(ROW(EM!$C$46)-ROW(EM!$C$14))*(MATCH(P$22,EM!$B$6:$B$9,0)-1),MIN(P$23-EM!$B$16+26,EM!$AF$16-EM!$B$16)),0)+
IF(ROUND(P$11,0)&gt;=28,OFFSET(EM!$B$17,ROW($A32)-ROW($A$26)+(ROW(EM!$C$46)-ROW(EM!$C$14))*(MATCH(P$22,EM!$B$6:$B$9,0)-1),MIN(P$23-EM!$B$16+27,EM!$AF$16-EM!$B$16)),0)+
IF(ROUND(P$11,0)&gt;=29,OFFSET(EM!$B$17,ROW($A32)-ROW($A$26)+(ROW(EM!$C$46)-ROW(EM!$C$14))*(MATCH(P$22,EM!$B$6:$B$9,0)-1),MIN(P$23-EM!$B$16+28,EM!$AF$16-EM!$B$16)),0)+
IF(ROUND(P$11,0)&gt;=30,OFFSET(EM!$B$17,ROW($A32)-ROW($A$26)+(ROW(EM!$C$46)-ROW(EM!$C$14))*(MATCH(P$22,EM!$B$6:$B$9,0)-1),MIN(P$23-EM!$B$16+29,EM!$AF$16-EM!$B$16)),0)+
IF(ROUND(P$11,0)&gt;=31,OFFSET(EM!$B$17,ROW($A32)-ROW($A$26)+(ROW(EM!$C$46)-ROW(EM!$C$14))*(MATCH(P$22,EM!$B$6:$B$9,0)-1),MIN(P$23-EM!$B$16+30,EM!$AF$16-EM!$B$16)),0)+
IF(ROUND(P$11,0)&gt;=32,OFFSET(EM!$B$17,ROW($A32)-ROW($A$26)+(ROW(EM!$C$46)-ROW(EM!$C$14))*(MATCH(P$22,EM!$B$6:$B$9,0)-1),MIN(P$23-EM!$B$16+31,EM!$AF$16-EM!$B$16)),0)+
IF(ROUND(P$11,0)&gt;=33,OFFSET(EM!$B$17,ROW($A32)-ROW($A$26)+(ROW(EM!$C$46)-ROW(EM!$C$14))*(MATCH(P$22,EM!$B$6:$B$9,0)-1),MIN(P$23-EM!$B$16+32,EM!$AF$16-EM!$B$16)),0)+
IF(ROUND(P$11,0)&gt;=34,OFFSET(EM!$B$17,ROW($A32)-ROW($A$26)+(ROW(EM!$C$46)-ROW(EM!$C$14))*(MATCH(P$22,EM!$B$6:$B$9,0)-1),MIN(P$23-EM!$B$16+33,EM!$AF$16-EM!$B$16)),0)+
IF(ROUND(P$11,0)&gt;=35,OFFSET(EM!$B$17,ROW($A32)-ROW($A$26)+(ROW(EM!$C$46)-ROW(EM!$C$14))*(MATCH(P$22,EM!$B$6:$B$9,0)-1),MIN(P$23-EM!$B$16+34,EM!$AF$16-EM!$B$16)),0)+
IF(ROUND(P$11,0)&gt;=36,OFFSET(EM!$B$17,ROW($A32)-ROW($A$26)+(ROW(EM!$C$46)-ROW(EM!$C$14))*(MATCH(P$22,EM!$B$6:$B$9,0)-1),MIN(P$23-EM!$B$16+35,EM!$AF$16-EM!$B$16)),0)+
IF(ROUND(P$11,0)&gt;=37,OFFSET(EM!$B$17,ROW($A32)-ROW($A$26)+(ROW(EM!$C$46)-ROW(EM!$C$14))*(MATCH(P$22,EM!$B$6:$B$9,0)-1),MIN(P$23-EM!$B$16+36,EM!$AF$16-EM!$B$16)),0)+
IF(ROUND(P$11,0)&gt;=38,OFFSET(EM!$B$17,ROW($A32)-ROW($A$26)+(ROW(EM!$C$46)-ROW(EM!$C$14))*(MATCH(P$22,EM!$B$6:$B$9,0)-1),MIN(P$23-EM!$B$16+37,EM!$AF$16-EM!$B$16)),0)+
IF(ROUND(P$11,0)&gt;=39,OFFSET(EM!$B$17,ROW($A32)-ROW($A$26)+(ROW(EM!$C$46)-ROW(EM!$C$14))*(MATCH(P$22,EM!$B$6:$B$9,0)-1),MIN(P$23-EM!$B$16+38,EM!$AF$16-EM!$B$16)),0)+
IF(ROUND(P$11,0)&gt;=40,OFFSET(EM!$B$17,ROW($A32)-ROW($A$26)+(ROW(EM!$C$46)-ROW(EM!$C$14))*(MATCH(P$22,EM!$B$6:$B$9,0)-1),MIN(P$23-EM!$B$16+39,EM!$AF$16-EM!$B$16)),0)
)/ROUND(P$11,0),NA()))</f>
        <v>0</v>
      </c>
      <c r="Q32" s="2046">
        <f ca="1">IF(Q$19=GPG!$A$28,IF(ROW(Q32)-ROW(Q$26)+1=MATCH(Q$20,GPG!$A$5:$A$11,0),1,0),
IF(Q$19=GPG!$A$29,
(IF(ROUND(Q$11,0)&gt;=1,OFFSET(EM!$B$17,ROW($A32)-ROW($A$26)+(ROW(EM!$C$46)-ROW(EM!$C$14))*(MATCH(Q$22,EM!$B$6:$B$9,0)-1),MIN(Q$23-EM!$B$16,EM!$AF$16-EM!$B$16)),0)+
IF(ROUND(Q$11,0)&gt;=2,OFFSET(EM!$B$17,ROW($A32)-ROW($A$26)+(ROW(EM!$C$46)-ROW(EM!$C$14))*(MATCH(Q$22,EM!$B$6:$B$9,0)-1),MIN(Q$23-EM!$B$16+1,EM!$AF$16-EM!$B$16)),0)+
IF(ROUND(Q$11,0)&gt;=3,OFFSET(EM!$B$17,ROW($A32)-ROW($A$26)+(ROW(EM!$C$46)-ROW(EM!$C$14))*(MATCH(Q$22,EM!$B$6:$B$9,0)-1),MIN(Q$23-EM!$B$16+2,EM!$AF$16-EM!$B$16)),0)+
IF(ROUND(Q$11,0)&gt;=4,OFFSET(EM!$B$17,ROW($A32)-ROW($A$26)+(ROW(EM!$C$46)-ROW(EM!$C$14))*(MATCH(Q$22,EM!$B$6:$B$9,0)-1),MIN(Q$23-EM!$B$16+3,EM!$AF$16-EM!$B$16)),0)+
IF(ROUND(Q$11,0)&gt;=5,OFFSET(EM!$B$17,ROW($A32)-ROW($A$26)+(ROW(EM!$C$46)-ROW(EM!$C$14))*(MATCH(Q$22,EM!$B$6:$B$9,0)-1),MIN(Q$23-EM!$B$16+4,EM!$AF$16-EM!$B$16)),0)+
IF(ROUND(Q$11,0)&gt;=6,OFFSET(EM!$B$17,ROW($A32)-ROW($A$26)+(ROW(EM!$C$46)-ROW(EM!$C$14))*(MATCH(Q$22,EM!$B$6:$B$9,0)-1),MIN(Q$23-EM!$B$16+5,EM!$AF$16-EM!$B$16)),0)+
IF(ROUND(Q$11,0)&gt;=7,OFFSET(EM!$B$17,ROW($A32)-ROW($A$26)+(ROW(EM!$C$46)-ROW(EM!$C$14))*(MATCH(Q$22,EM!$B$6:$B$9,0)-1),MIN(Q$23-EM!$B$16+6,EM!$AF$16-EM!$B$16)),0)+
IF(ROUND(Q$11,0)&gt;=8,OFFSET(EM!$B$17,ROW($A32)-ROW($A$26)+(ROW(EM!$C$46)-ROW(EM!$C$14))*(MATCH(Q$22,EM!$B$6:$B$9,0)-1),MIN(Q$23-EM!$B$16+7,EM!$AF$16-EM!$B$16)),0)+
IF(ROUND(Q$11,0)&gt;=9,OFFSET(EM!$B$17,ROW($A32)-ROW($A$26)+(ROW(EM!$C$46)-ROW(EM!$C$14))*(MATCH(Q$22,EM!$B$6:$B$9,0)-1),MIN(Q$23-EM!$B$16+8,EM!$AF$16-EM!$B$16)),0)+
IF(ROUND(Q$11,0)&gt;=10,OFFSET(EM!$B$17,ROW($A32)-ROW($A$26)+(ROW(EM!$C$46)-ROW(EM!$C$14))*(MATCH(Q$22,EM!$B$6:$B$9,0)-1),MIN(Q$23-EM!$B$16+9,EM!$AF$16-EM!$B$16)),0)+
IF(ROUND(Q$11,0)&gt;=11,OFFSET(EM!$B$17,ROW($A32)-ROW($A$26)+(ROW(EM!$C$46)-ROW(EM!$C$14))*(MATCH(Q$22,EM!$B$6:$B$9,0)-1),MIN(Q$23-EM!$B$16+10,EM!$AF$16-EM!$B$16)),0)+
IF(ROUND(Q$11,0)&gt;=12,OFFSET(EM!$B$17,ROW($A32)-ROW($A$26)+(ROW(EM!$C$46)-ROW(EM!$C$14))*(MATCH(Q$22,EM!$B$6:$B$9,0)-1),MIN(Q$23-EM!$B$16+11,EM!$AF$16-EM!$B$16)),0)+
IF(ROUND(Q$11,0)&gt;=13,OFFSET(EM!$B$17,ROW($A32)-ROW($A$26)+(ROW(EM!$C$46)-ROW(EM!$C$14))*(MATCH(Q$22,EM!$B$6:$B$9,0)-1),MIN(Q$23-EM!$B$16+12,EM!$AF$16-EM!$B$16)),0)+
IF(ROUND(Q$11,0)&gt;=14,OFFSET(EM!$B$17,ROW($A32)-ROW($A$26)+(ROW(EM!$C$46)-ROW(EM!$C$14))*(MATCH(Q$22,EM!$B$6:$B$9,0)-1),MIN(Q$23-EM!$B$16+13,EM!$AF$16-EM!$B$16)),0)+
IF(ROUND(Q$11,0)&gt;=15,OFFSET(EM!$B$17,ROW($A32)-ROW($A$26)+(ROW(EM!$C$46)-ROW(EM!$C$14))*(MATCH(Q$22,EM!$B$6:$B$9,0)-1),MIN(Q$23-EM!$B$16+14,EM!$AF$16-EM!$B$16)),0)+
IF(ROUND(Q$11,0)&gt;=16,OFFSET(EM!$B$17,ROW($A32)-ROW($A$26)+(ROW(EM!$C$46)-ROW(EM!$C$14))*(MATCH(Q$22,EM!$B$6:$B$9,0)-1),MIN(Q$23-EM!$B$16+15,EM!$AF$16-EM!$B$16)),0)+
IF(ROUND(Q$11,0)&gt;=17,OFFSET(EM!$B$17,ROW($A32)-ROW($A$26)+(ROW(EM!$C$46)-ROW(EM!$C$14))*(MATCH(Q$22,EM!$B$6:$B$9,0)-1),MIN(Q$23-EM!$B$16+16,EM!$AF$16-EM!$B$16)),0)+
IF(ROUND(Q$11,0)&gt;=18,OFFSET(EM!$B$17,ROW($A32)-ROW($A$26)+(ROW(EM!$C$46)-ROW(EM!$C$14))*(MATCH(Q$22,EM!$B$6:$B$9,0)-1),MIN(Q$23-EM!$B$16+17,EM!$AF$16-EM!$B$16)),0)+
IF(ROUND(Q$11,0)&gt;=19,OFFSET(EM!$B$17,ROW($A32)-ROW($A$26)+(ROW(EM!$C$46)-ROW(EM!$C$14))*(MATCH(Q$22,EM!$B$6:$B$9,0)-1),MIN(Q$23-EM!$B$16+18,EM!$AF$16-EM!$B$16)),0)+
IF(ROUND(Q$11,0)&gt;=20,OFFSET(EM!$B$17,ROW($A32)-ROW($A$26)+(ROW(EM!$C$46)-ROW(EM!$C$14))*(MATCH(Q$22,EM!$B$6:$B$9,0)-1),MIN(Q$23-EM!$B$16+19,EM!$AF$16-EM!$B$16)),0)+
IF(ROUND(Q$11,0)&gt;=21,OFFSET(EM!$B$17,ROW($A32)-ROW($A$26)+(ROW(EM!$C$46)-ROW(EM!$C$14))*(MATCH(Q$22,EM!$B$6:$B$9,0)-1),MIN(Q$23-EM!$B$16+20,EM!$AF$16-EM!$B$16)),0)+
IF(ROUND(Q$11,0)&gt;=22,OFFSET(EM!$B$17,ROW($A32)-ROW($A$26)+(ROW(EM!$C$46)-ROW(EM!$C$14))*(MATCH(Q$22,EM!$B$6:$B$9,0)-1),MIN(Q$23-EM!$B$16+21,EM!$AF$16-EM!$B$16)),0)+
IF(ROUND(Q$11,0)&gt;=23,OFFSET(EM!$B$17,ROW($A32)-ROW($A$26)+(ROW(EM!$C$46)-ROW(EM!$C$14))*(MATCH(Q$22,EM!$B$6:$B$9,0)-1),MIN(Q$23-EM!$B$16+22,EM!$AF$16-EM!$B$16)),0)+
IF(ROUND(Q$11,0)&gt;=24,OFFSET(EM!$B$17,ROW($A32)-ROW($A$26)+(ROW(EM!$C$46)-ROW(EM!$C$14))*(MATCH(Q$22,EM!$B$6:$B$9,0)-1),MIN(Q$23-EM!$B$16+23,EM!$AF$16-EM!$B$16)),0)+
IF(ROUND(Q$11,0)&gt;=25,OFFSET(EM!$B$17,ROW($A32)-ROW($A$26)+(ROW(EM!$C$46)-ROW(EM!$C$14))*(MATCH(Q$22,EM!$B$6:$B$9,0)-1),MIN(Q$23-EM!$B$16+24,EM!$AF$16-EM!$B$16)),0)+
IF(ROUND(Q$11,0)&gt;=26,OFFSET(EM!$B$17,ROW($A32)-ROW($A$26)+(ROW(EM!$C$46)-ROW(EM!$C$14))*(MATCH(Q$22,EM!$B$6:$B$9,0)-1),MIN(Q$23-EM!$B$16+25,EM!$AF$16-EM!$B$16)),0)+
IF(ROUND(Q$11,0)&gt;=27,OFFSET(EM!$B$17,ROW($A32)-ROW($A$26)+(ROW(EM!$C$46)-ROW(EM!$C$14))*(MATCH(Q$22,EM!$B$6:$B$9,0)-1),MIN(Q$23-EM!$B$16+26,EM!$AF$16-EM!$B$16)),0)+
IF(ROUND(Q$11,0)&gt;=28,OFFSET(EM!$B$17,ROW($A32)-ROW($A$26)+(ROW(EM!$C$46)-ROW(EM!$C$14))*(MATCH(Q$22,EM!$B$6:$B$9,0)-1),MIN(Q$23-EM!$B$16+27,EM!$AF$16-EM!$B$16)),0)+
IF(ROUND(Q$11,0)&gt;=29,OFFSET(EM!$B$17,ROW($A32)-ROW($A$26)+(ROW(EM!$C$46)-ROW(EM!$C$14))*(MATCH(Q$22,EM!$B$6:$B$9,0)-1),MIN(Q$23-EM!$B$16+28,EM!$AF$16-EM!$B$16)),0)+
IF(ROUND(Q$11,0)&gt;=30,OFFSET(EM!$B$17,ROW($A32)-ROW($A$26)+(ROW(EM!$C$46)-ROW(EM!$C$14))*(MATCH(Q$22,EM!$B$6:$B$9,0)-1),MIN(Q$23-EM!$B$16+29,EM!$AF$16-EM!$B$16)),0)+
IF(ROUND(Q$11,0)&gt;=31,OFFSET(EM!$B$17,ROW($A32)-ROW($A$26)+(ROW(EM!$C$46)-ROW(EM!$C$14))*(MATCH(Q$22,EM!$B$6:$B$9,0)-1),MIN(Q$23-EM!$B$16+30,EM!$AF$16-EM!$B$16)),0)+
IF(ROUND(Q$11,0)&gt;=32,OFFSET(EM!$B$17,ROW($A32)-ROW($A$26)+(ROW(EM!$C$46)-ROW(EM!$C$14))*(MATCH(Q$22,EM!$B$6:$B$9,0)-1),MIN(Q$23-EM!$B$16+31,EM!$AF$16-EM!$B$16)),0)+
IF(ROUND(Q$11,0)&gt;=33,OFFSET(EM!$B$17,ROW($A32)-ROW($A$26)+(ROW(EM!$C$46)-ROW(EM!$C$14))*(MATCH(Q$22,EM!$B$6:$B$9,0)-1),MIN(Q$23-EM!$B$16+32,EM!$AF$16-EM!$B$16)),0)+
IF(ROUND(Q$11,0)&gt;=34,OFFSET(EM!$B$17,ROW($A32)-ROW($A$26)+(ROW(EM!$C$46)-ROW(EM!$C$14))*(MATCH(Q$22,EM!$B$6:$B$9,0)-1),MIN(Q$23-EM!$B$16+33,EM!$AF$16-EM!$B$16)),0)+
IF(ROUND(Q$11,0)&gt;=35,OFFSET(EM!$B$17,ROW($A32)-ROW($A$26)+(ROW(EM!$C$46)-ROW(EM!$C$14))*(MATCH(Q$22,EM!$B$6:$B$9,0)-1),MIN(Q$23-EM!$B$16+34,EM!$AF$16-EM!$B$16)),0)+
IF(ROUND(Q$11,0)&gt;=36,OFFSET(EM!$B$17,ROW($A32)-ROW($A$26)+(ROW(EM!$C$46)-ROW(EM!$C$14))*(MATCH(Q$22,EM!$B$6:$B$9,0)-1),MIN(Q$23-EM!$B$16+35,EM!$AF$16-EM!$B$16)),0)+
IF(ROUND(Q$11,0)&gt;=37,OFFSET(EM!$B$17,ROW($A32)-ROW($A$26)+(ROW(EM!$C$46)-ROW(EM!$C$14))*(MATCH(Q$22,EM!$B$6:$B$9,0)-1),MIN(Q$23-EM!$B$16+36,EM!$AF$16-EM!$B$16)),0)+
IF(ROUND(Q$11,0)&gt;=38,OFFSET(EM!$B$17,ROW($A32)-ROW($A$26)+(ROW(EM!$C$46)-ROW(EM!$C$14))*(MATCH(Q$22,EM!$B$6:$B$9,0)-1),MIN(Q$23-EM!$B$16+37,EM!$AF$16-EM!$B$16)),0)+
IF(ROUND(Q$11,0)&gt;=39,OFFSET(EM!$B$17,ROW($A32)-ROW($A$26)+(ROW(EM!$C$46)-ROW(EM!$C$14))*(MATCH(Q$22,EM!$B$6:$B$9,0)-1),MIN(Q$23-EM!$B$16+38,EM!$AF$16-EM!$B$16)),0)+
IF(ROUND(Q$11,0)&gt;=40,OFFSET(EM!$B$17,ROW($A32)-ROW($A$26)+(ROW(EM!$C$46)-ROW(EM!$C$14))*(MATCH(Q$22,EM!$B$6:$B$9,0)-1),MIN(Q$23-EM!$B$16+39,EM!$AF$16-EM!$B$16)),0)
)/ROUND(Q$11,0),NA()))</f>
        <v>0</v>
      </c>
      <c r="R32" s="2046">
        <f ca="1">IF(R$19=GPG!$A$28,IF(ROW(R32)-ROW(R$26)+1=MATCH(R$20,GPG!$A$5:$A$11,0),1,0),
IF(R$19=GPG!$A$29,
(IF(ROUND(R$11,0)&gt;=1,OFFSET(EM!$B$17,ROW($A32)-ROW($A$26)+(ROW(EM!$C$46)-ROW(EM!$C$14))*(MATCH(R$22,EM!$B$6:$B$9,0)-1),MIN(R$23-EM!$B$16,EM!$AF$16-EM!$B$16)),0)+
IF(ROUND(R$11,0)&gt;=2,OFFSET(EM!$B$17,ROW($A32)-ROW($A$26)+(ROW(EM!$C$46)-ROW(EM!$C$14))*(MATCH(R$22,EM!$B$6:$B$9,0)-1),MIN(R$23-EM!$B$16+1,EM!$AF$16-EM!$B$16)),0)+
IF(ROUND(R$11,0)&gt;=3,OFFSET(EM!$B$17,ROW($A32)-ROW($A$26)+(ROW(EM!$C$46)-ROW(EM!$C$14))*(MATCH(R$22,EM!$B$6:$B$9,0)-1),MIN(R$23-EM!$B$16+2,EM!$AF$16-EM!$B$16)),0)+
IF(ROUND(R$11,0)&gt;=4,OFFSET(EM!$B$17,ROW($A32)-ROW($A$26)+(ROW(EM!$C$46)-ROW(EM!$C$14))*(MATCH(R$22,EM!$B$6:$B$9,0)-1),MIN(R$23-EM!$B$16+3,EM!$AF$16-EM!$B$16)),0)+
IF(ROUND(R$11,0)&gt;=5,OFFSET(EM!$B$17,ROW($A32)-ROW($A$26)+(ROW(EM!$C$46)-ROW(EM!$C$14))*(MATCH(R$22,EM!$B$6:$B$9,0)-1),MIN(R$23-EM!$B$16+4,EM!$AF$16-EM!$B$16)),0)+
IF(ROUND(R$11,0)&gt;=6,OFFSET(EM!$B$17,ROW($A32)-ROW($A$26)+(ROW(EM!$C$46)-ROW(EM!$C$14))*(MATCH(R$22,EM!$B$6:$B$9,0)-1),MIN(R$23-EM!$B$16+5,EM!$AF$16-EM!$B$16)),0)+
IF(ROUND(R$11,0)&gt;=7,OFFSET(EM!$B$17,ROW($A32)-ROW($A$26)+(ROW(EM!$C$46)-ROW(EM!$C$14))*(MATCH(R$22,EM!$B$6:$B$9,0)-1),MIN(R$23-EM!$B$16+6,EM!$AF$16-EM!$B$16)),0)+
IF(ROUND(R$11,0)&gt;=8,OFFSET(EM!$B$17,ROW($A32)-ROW($A$26)+(ROW(EM!$C$46)-ROW(EM!$C$14))*(MATCH(R$22,EM!$B$6:$B$9,0)-1),MIN(R$23-EM!$B$16+7,EM!$AF$16-EM!$B$16)),0)+
IF(ROUND(R$11,0)&gt;=9,OFFSET(EM!$B$17,ROW($A32)-ROW($A$26)+(ROW(EM!$C$46)-ROW(EM!$C$14))*(MATCH(R$22,EM!$B$6:$B$9,0)-1),MIN(R$23-EM!$B$16+8,EM!$AF$16-EM!$B$16)),0)+
IF(ROUND(R$11,0)&gt;=10,OFFSET(EM!$B$17,ROW($A32)-ROW($A$26)+(ROW(EM!$C$46)-ROW(EM!$C$14))*(MATCH(R$22,EM!$B$6:$B$9,0)-1),MIN(R$23-EM!$B$16+9,EM!$AF$16-EM!$B$16)),0)+
IF(ROUND(R$11,0)&gt;=11,OFFSET(EM!$B$17,ROW($A32)-ROW($A$26)+(ROW(EM!$C$46)-ROW(EM!$C$14))*(MATCH(R$22,EM!$B$6:$B$9,0)-1),MIN(R$23-EM!$B$16+10,EM!$AF$16-EM!$B$16)),0)+
IF(ROUND(R$11,0)&gt;=12,OFFSET(EM!$B$17,ROW($A32)-ROW($A$26)+(ROW(EM!$C$46)-ROW(EM!$C$14))*(MATCH(R$22,EM!$B$6:$B$9,0)-1),MIN(R$23-EM!$B$16+11,EM!$AF$16-EM!$B$16)),0)+
IF(ROUND(R$11,0)&gt;=13,OFFSET(EM!$B$17,ROW($A32)-ROW($A$26)+(ROW(EM!$C$46)-ROW(EM!$C$14))*(MATCH(R$22,EM!$B$6:$B$9,0)-1),MIN(R$23-EM!$B$16+12,EM!$AF$16-EM!$B$16)),0)+
IF(ROUND(R$11,0)&gt;=14,OFFSET(EM!$B$17,ROW($A32)-ROW($A$26)+(ROW(EM!$C$46)-ROW(EM!$C$14))*(MATCH(R$22,EM!$B$6:$B$9,0)-1),MIN(R$23-EM!$B$16+13,EM!$AF$16-EM!$B$16)),0)+
IF(ROUND(R$11,0)&gt;=15,OFFSET(EM!$B$17,ROW($A32)-ROW($A$26)+(ROW(EM!$C$46)-ROW(EM!$C$14))*(MATCH(R$22,EM!$B$6:$B$9,0)-1),MIN(R$23-EM!$B$16+14,EM!$AF$16-EM!$B$16)),0)+
IF(ROUND(R$11,0)&gt;=16,OFFSET(EM!$B$17,ROW($A32)-ROW($A$26)+(ROW(EM!$C$46)-ROW(EM!$C$14))*(MATCH(R$22,EM!$B$6:$B$9,0)-1),MIN(R$23-EM!$B$16+15,EM!$AF$16-EM!$B$16)),0)+
IF(ROUND(R$11,0)&gt;=17,OFFSET(EM!$B$17,ROW($A32)-ROW($A$26)+(ROW(EM!$C$46)-ROW(EM!$C$14))*(MATCH(R$22,EM!$B$6:$B$9,0)-1),MIN(R$23-EM!$B$16+16,EM!$AF$16-EM!$B$16)),0)+
IF(ROUND(R$11,0)&gt;=18,OFFSET(EM!$B$17,ROW($A32)-ROW($A$26)+(ROW(EM!$C$46)-ROW(EM!$C$14))*(MATCH(R$22,EM!$B$6:$B$9,0)-1),MIN(R$23-EM!$B$16+17,EM!$AF$16-EM!$B$16)),0)+
IF(ROUND(R$11,0)&gt;=19,OFFSET(EM!$B$17,ROW($A32)-ROW($A$26)+(ROW(EM!$C$46)-ROW(EM!$C$14))*(MATCH(R$22,EM!$B$6:$B$9,0)-1),MIN(R$23-EM!$B$16+18,EM!$AF$16-EM!$B$16)),0)+
IF(ROUND(R$11,0)&gt;=20,OFFSET(EM!$B$17,ROW($A32)-ROW($A$26)+(ROW(EM!$C$46)-ROW(EM!$C$14))*(MATCH(R$22,EM!$B$6:$B$9,0)-1),MIN(R$23-EM!$B$16+19,EM!$AF$16-EM!$B$16)),0)+
IF(ROUND(R$11,0)&gt;=21,OFFSET(EM!$B$17,ROW($A32)-ROW($A$26)+(ROW(EM!$C$46)-ROW(EM!$C$14))*(MATCH(R$22,EM!$B$6:$B$9,0)-1),MIN(R$23-EM!$B$16+20,EM!$AF$16-EM!$B$16)),0)+
IF(ROUND(R$11,0)&gt;=22,OFFSET(EM!$B$17,ROW($A32)-ROW($A$26)+(ROW(EM!$C$46)-ROW(EM!$C$14))*(MATCH(R$22,EM!$B$6:$B$9,0)-1),MIN(R$23-EM!$B$16+21,EM!$AF$16-EM!$B$16)),0)+
IF(ROUND(R$11,0)&gt;=23,OFFSET(EM!$B$17,ROW($A32)-ROW($A$26)+(ROW(EM!$C$46)-ROW(EM!$C$14))*(MATCH(R$22,EM!$B$6:$B$9,0)-1),MIN(R$23-EM!$B$16+22,EM!$AF$16-EM!$B$16)),0)+
IF(ROUND(R$11,0)&gt;=24,OFFSET(EM!$B$17,ROW($A32)-ROW($A$26)+(ROW(EM!$C$46)-ROW(EM!$C$14))*(MATCH(R$22,EM!$B$6:$B$9,0)-1),MIN(R$23-EM!$B$16+23,EM!$AF$16-EM!$B$16)),0)+
IF(ROUND(R$11,0)&gt;=25,OFFSET(EM!$B$17,ROW($A32)-ROW($A$26)+(ROW(EM!$C$46)-ROW(EM!$C$14))*(MATCH(R$22,EM!$B$6:$B$9,0)-1),MIN(R$23-EM!$B$16+24,EM!$AF$16-EM!$B$16)),0)+
IF(ROUND(R$11,0)&gt;=26,OFFSET(EM!$B$17,ROW($A32)-ROW($A$26)+(ROW(EM!$C$46)-ROW(EM!$C$14))*(MATCH(R$22,EM!$B$6:$B$9,0)-1),MIN(R$23-EM!$B$16+25,EM!$AF$16-EM!$B$16)),0)+
IF(ROUND(R$11,0)&gt;=27,OFFSET(EM!$B$17,ROW($A32)-ROW($A$26)+(ROW(EM!$C$46)-ROW(EM!$C$14))*(MATCH(R$22,EM!$B$6:$B$9,0)-1),MIN(R$23-EM!$B$16+26,EM!$AF$16-EM!$B$16)),0)+
IF(ROUND(R$11,0)&gt;=28,OFFSET(EM!$B$17,ROW($A32)-ROW($A$26)+(ROW(EM!$C$46)-ROW(EM!$C$14))*(MATCH(R$22,EM!$B$6:$B$9,0)-1),MIN(R$23-EM!$B$16+27,EM!$AF$16-EM!$B$16)),0)+
IF(ROUND(R$11,0)&gt;=29,OFFSET(EM!$B$17,ROW($A32)-ROW($A$26)+(ROW(EM!$C$46)-ROW(EM!$C$14))*(MATCH(R$22,EM!$B$6:$B$9,0)-1),MIN(R$23-EM!$B$16+28,EM!$AF$16-EM!$B$16)),0)+
IF(ROUND(R$11,0)&gt;=30,OFFSET(EM!$B$17,ROW($A32)-ROW($A$26)+(ROW(EM!$C$46)-ROW(EM!$C$14))*(MATCH(R$22,EM!$B$6:$B$9,0)-1),MIN(R$23-EM!$B$16+29,EM!$AF$16-EM!$B$16)),0)+
IF(ROUND(R$11,0)&gt;=31,OFFSET(EM!$B$17,ROW($A32)-ROW($A$26)+(ROW(EM!$C$46)-ROW(EM!$C$14))*(MATCH(R$22,EM!$B$6:$B$9,0)-1),MIN(R$23-EM!$B$16+30,EM!$AF$16-EM!$B$16)),0)+
IF(ROUND(R$11,0)&gt;=32,OFFSET(EM!$B$17,ROW($A32)-ROW($A$26)+(ROW(EM!$C$46)-ROW(EM!$C$14))*(MATCH(R$22,EM!$B$6:$B$9,0)-1),MIN(R$23-EM!$B$16+31,EM!$AF$16-EM!$B$16)),0)+
IF(ROUND(R$11,0)&gt;=33,OFFSET(EM!$B$17,ROW($A32)-ROW($A$26)+(ROW(EM!$C$46)-ROW(EM!$C$14))*(MATCH(R$22,EM!$B$6:$B$9,0)-1),MIN(R$23-EM!$B$16+32,EM!$AF$16-EM!$B$16)),0)+
IF(ROUND(R$11,0)&gt;=34,OFFSET(EM!$B$17,ROW($A32)-ROW($A$26)+(ROW(EM!$C$46)-ROW(EM!$C$14))*(MATCH(R$22,EM!$B$6:$B$9,0)-1),MIN(R$23-EM!$B$16+33,EM!$AF$16-EM!$B$16)),0)+
IF(ROUND(R$11,0)&gt;=35,OFFSET(EM!$B$17,ROW($A32)-ROW($A$26)+(ROW(EM!$C$46)-ROW(EM!$C$14))*(MATCH(R$22,EM!$B$6:$B$9,0)-1),MIN(R$23-EM!$B$16+34,EM!$AF$16-EM!$B$16)),0)+
IF(ROUND(R$11,0)&gt;=36,OFFSET(EM!$B$17,ROW($A32)-ROW($A$26)+(ROW(EM!$C$46)-ROW(EM!$C$14))*(MATCH(R$22,EM!$B$6:$B$9,0)-1),MIN(R$23-EM!$B$16+35,EM!$AF$16-EM!$B$16)),0)+
IF(ROUND(R$11,0)&gt;=37,OFFSET(EM!$B$17,ROW($A32)-ROW($A$26)+(ROW(EM!$C$46)-ROW(EM!$C$14))*(MATCH(R$22,EM!$B$6:$B$9,0)-1),MIN(R$23-EM!$B$16+36,EM!$AF$16-EM!$B$16)),0)+
IF(ROUND(R$11,0)&gt;=38,OFFSET(EM!$B$17,ROW($A32)-ROW($A$26)+(ROW(EM!$C$46)-ROW(EM!$C$14))*(MATCH(R$22,EM!$B$6:$B$9,0)-1),MIN(R$23-EM!$B$16+37,EM!$AF$16-EM!$B$16)),0)+
IF(ROUND(R$11,0)&gt;=39,OFFSET(EM!$B$17,ROW($A32)-ROW($A$26)+(ROW(EM!$C$46)-ROW(EM!$C$14))*(MATCH(R$22,EM!$B$6:$B$9,0)-1),MIN(R$23-EM!$B$16+38,EM!$AF$16-EM!$B$16)),0)+
IF(ROUND(R$11,0)&gt;=40,OFFSET(EM!$B$17,ROW($A32)-ROW($A$26)+(ROW(EM!$C$46)-ROW(EM!$C$14))*(MATCH(R$22,EM!$B$6:$B$9,0)-1),MIN(R$23-EM!$B$16+39,EM!$AF$16-EM!$B$16)),0)
)/ROUND(R$11,0),NA()))</f>
        <v>0</v>
      </c>
      <c r="S32" s="2046">
        <f ca="1">IF(S$19=GPG!$A$28,IF(ROW(S32)-ROW(S$26)+1=MATCH(S$20,GPG!$A$5:$A$11,0),1,0),
IF(S$19=GPG!$A$29,
(IF(ROUND(S$11,0)&gt;=1,OFFSET(EM!$B$17,ROW($A32)-ROW($A$26)+(ROW(EM!$C$46)-ROW(EM!$C$14))*(MATCH(S$22,EM!$B$6:$B$9,0)-1),MIN(S$23-EM!$B$16,EM!$AF$16-EM!$B$16)),0)+
IF(ROUND(S$11,0)&gt;=2,OFFSET(EM!$B$17,ROW($A32)-ROW($A$26)+(ROW(EM!$C$46)-ROW(EM!$C$14))*(MATCH(S$22,EM!$B$6:$B$9,0)-1),MIN(S$23-EM!$B$16+1,EM!$AF$16-EM!$B$16)),0)+
IF(ROUND(S$11,0)&gt;=3,OFFSET(EM!$B$17,ROW($A32)-ROW($A$26)+(ROW(EM!$C$46)-ROW(EM!$C$14))*(MATCH(S$22,EM!$B$6:$B$9,0)-1),MIN(S$23-EM!$B$16+2,EM!$AF$16-EM!$B$16)),0)+
IF(ROUND(S$11,0)&gt;=4,OFFSET(EM!$B$17,ROW($A32)-ROW($A$26)+(ROW(EM!$C$46)-ROW(EM!$C$14))*(MATCH(S$22,EM!$B$6:$B$9,0)-1),MIN(S$23-EM!$B$16+3,EM!$AF$16-EM!$B$16)),0)+
IF(ROUND(S$11,0)&gt;=5,OFFSET(EM!$B$17,ROW($A32)-ROW($A$26)+(ROW(EM!$C$46)-ROW(EM!$C$14))*(MATCH(S$22,EM!$B$6:$B$9,0)-1),MIN(S$23-EM!$B$16+4,EM!$AF$16-EM!$B$16)),0)+
IF(ROUND(S$11,0)&gt;=6,OFFSET(EM!$B$17,ROW($A32)-ROW($A$26)+(ROW(EM!$C$46)-ROW(EM!$C$14))*(MATCH(S$22,EM!$B$6:$B$9,0)-1),MIN(S$23-EM!$B$16+5,EM!$AF$16-EM!$B$16)),0)+
IF(ROUND(S$11,0)&gt;=7,OFFSET(EM!$B$17,ROW($A32)-ROW($A$26)+(ROW(EM!$C$46)-ROW(EM!$C$14))*(MATCH(S$22,EM!$B$6:$B$9,0)-1),MIN(S$23-EM!$B$16+6,EM!$AF$16-EM!$B$16)),0)+
IF(ROUND(S$11,0)&gt;=8,OFFSET(EM!$B$17,ROW($A32)-ROW($A$26)+(ROW(EM!$C$46)-ROW(EM!$C$14))*(MATCH(S$22,EM!$B$6:$B$9,0)-1),MIN(S$23-EM!$B$16+7,EM!$AF$16-EM!$B$16)),0)+
IF(ROUND(S$11,0)&gt;=9,OFFSET(EM!$B$17,ROW($A32)-ROW($A$26)+(ROW(EM!$C$46)-ROW(EM!$C$14))*(MATCH(S$22,EM!$B$6:$B$9,0)-1),MIN(S$23-EM!$B$16+8,EM!$AF$16-EM!$B$16)),0)+
IF(ROUND(S$11,0)&gt;=10,OFFSET(EM!$B$17,ROW($A32)-ROW($A$26)+(ROW(EM!$C$46)-ROW(EM!$C$14))*(MATCH(S$22,EM!$B$6:$B$9,0)-1),MIN(S$23-EM!$B$16+9,EM!$AF$16-EM!$B$16)),0)+
IF(ROUND(S$11,0)&gt;=11,OFFSET(EM!$B$17,ROW($A32)-ROW($A$26)+(ROW(EM!$C$46)-ROW(EM!$C$14))*(MATCH(S$22,EM!$B$6:$B$9,0)-1),MIN(S$23-EM!$B$16+10,EM!$AF$16-EM!$B$16)),0)+
IF(ROUND(S$11,0)&gt;=12,OFFSET(EM!$B$17,ROW($A32)-ROW($A$26)+(ROW(EM!$C$46)-ROW(EM!$C$14))*(MATCH(S$22,EM!$B$6:$B$9,0)-1),MIN(S$23-EM!$B$16+11,EM!$AF$16-EM!$B$16)),0)+
IF(ROUND(S$11,0)&gt;=13,OFFSET(EM!$B$17,ROW($A32)-ROW($A$26)+(ROW(EM!$C$46)-ROW(EM!$C$14))*(MATCH(S$22,EM!$B$6:$B$9,0)-1),MIN(S$23-EM!$B$16+12,EM!$AF$16-EM!$B$16)),0)+
IF(ROUND(S$11,0)&gt;=14,OFFSET(EM!$B$17,ROW($A32)-ROW($A$26)+(ROW(EM!$C$46)-ROW(EM!$C$14))*(MATCH(S$22,EM!$B$6:$B$9,0)-1),MIN(S$23-EM!$B$16+13,EM!$AF$16-EM!$B$16)),0)+
IF(ROUND(S$11,0)&gt;=15,OFFSET(EM!$B$17,ROW($A32)-ROW($A$26)+(ROW(EM!$C$46)-ROW(EM!$C$14))*(MATCH(S$22,EM!$B$6:$B$9,0)-1),MIN(S$23-EM!$B$16+14,EM!$AF$16-EM!$B$16)),0)+
IF(ROUND(S$11,0)&gt;=16,OFFSET(EM!$B$17,ROW($A32)-ROW($A$26)+(ROW(EM!$C$46)-ROW(EM!$C$14))*(MATCH(S$22,EM!$B$6:$B$9,0)-1),MIN(S$23-EM!$B$16+15,EM!$AF$16-EM!$B$16)),0)+
IF(ROUND(S$11,0)&gt;=17,OFFSET(EM!$B$17,ROW($A32)-ROW($A$26)+(ROW(EM!$C$46)-ROW(EM!$C$14))*(MATCH(S$22,EM!$B$6:$B$9,0)-1),MIN(S$23-EM!$B$16+16,EM!$AF$16-EM!$B$16)),0)+
IF(ROUND(S$11,0)&gt;=18,OFFSET(EM!$B$17,ROW($A32)-ROW($A$26)+(ROW(EM!$C$46)-ROW(EM!$C$14))*(MATCH(S$22,EM!$B$6:$B$9,0)-1),MIN(S$23-EM!$B$16+17,EM!$AF$16-EM!$B$16)),0)+
IF(ROUND(S$11,0)&gt;=19,OFFSET(EM!$B$17,ROW($A32)-ROW($A$26)+(ROW(EM!$C$46)-ROW(EM!$C$14))*(MATCH(S$22,EM!$B$6:$B$9,0)-1),MIN(S$23-EM!$B$16+18,EM!$AF$16-EM!$B$16)),0)+
IF(ROUND(S$11,0)&gt;=20,OFFSET(EM!$B$17,ROW($A32)-ROW($A$26)+(ROW(EM!$C$46)-ROW(EM!$C$14))*(MATCH(S$22,EM!$B$6:$B$9,0)-1),MIN(S$23-EM!$B$16+19,EM!$AF$16-EM!$B$16)),0)+
IF(ROUND(S$11,0)&gt;=21,OFFSET(EM!$B$17,ROW($A32)-ROW($A$26)+(ROW(EM!$C$46)-ROW(EM!$C$14))*(MATCH(S$22,EM!$B$6:$B$9,0)-1),MIN(S$23-EM!$B$16+20,EM!$AF$16-EM!$B$16)),0)+
IF(ROUND(S$11,0)&gt;=22,OFFSET(EM!$B$17,ROW($A32)-ROW($A$26)+(ROW(EM!$C$46)-ROW(EM!$C$14))*(MATCH(S$22,EM!$B$6:$B$9,0)-1),MIN(S$23-EM!$B$16+21,EM!$AF$16-EM!$B$16)),0)+
IF(ROUND(S$11,0)&gt;=23,OFFSET(EM!$B$17,ROW($A32)-ROW($A$26)+(ROW(EM!$C$46)-ROW(EM!$C$14))*(MATCH(S$22,EM!$B$6:$B$9,0)-1),MIN(S$23-EM!$B$16+22,EM!$AF$16-EM!$B$16)),0)+
IF(ROUND(S$11,0)&gt;=24,OFFSET(EM!$B$17,ROW($A32)-ROW($A$26)+(ROW(EM!$C$46)-ROW(EM!$C$14))*(MATCH(S$22,EM!$B$6:$B$9,0)-1),MIN(S$23-EM!$B$16+23,EM!$AF$16-EM!$B$16)),0)+
IF(ROUND(S$11,0)&gt;=25,OFFSET(EM!$B$17,ROW($A32)-ROW($A$26)+(ROW(EM!$C$46)-ROW(EM!$C$14))*(MATCH(S$22,EM!$B$6:$B$9,0)-1),MIN(S$23-EM!$B$16+24,EM!$AF$16-EM!$B$16)),0)+
IF(ROUND(S$11,0)&gt;=26,OFFSET(EM!$B$17,ROW($A32)-ROW($A$26)+(ROW(EM!$C$46)-ROW(EM!$C$14))*(MATCH(S$22,EM!$B$6:$B$9,0)-1),MIN(S$23-EM!$B$16+25,EM!$AF$16-EM!$B$16)),0)+
IF(ROUND(S$11,0)&gt;=27,OFFSET(EM!$B$17,ROW($A32)-ROW($A$26)+(ROW(EM!$C$46)-ROW(EM!$C$14))*(MATCH(S$22,EM!$B$6:$B$9,0)-1),MIN(S$23-EM!$B$16+26,EM!$AF$16-EM!$B$16)),0)+
IF(ROUND(S$11,0)&gt;=28,OFFSET(EM!$B$17,ROW($A32)-ROW($A$26)+(ROW(EM!$C$46)-ROW(EM!$C$14))*(MATCH(S$22,EM!$B$6:$B$9,0)-1),MIN(S$23-EM!$B$16+27,EM!$AF$16-EM!$B$16)),0)+
IF(ROUND(S$11,0)&gt;=29,OFFSET(EM!$B$17,ROW($A32)-ROW($A$26)+(ROW(EM!$C$46)-ROW(EM!$C$14))*(MATCH(S$22,EM!$B$6:$B$9,0)-1),MIN(S$23-EM!$B$16+28,EM!$AF$16-EM!$B$16)),0)+
IF(ROUND(S$11,0)&gt;=30,OFFSET(EM!$B$17,ROW($A32)-ROW($A$26)+(ROW(EM!$C$46)-ROW(EM!$C$14))*(MATCH(S$22,EM!$B$6:$B$9,0)-1),MIN(S$23-EM!$B$16+29,EM!$AF$16-EM!$B$16)),0)+
IF(ROUND(S$11,0)&gt;=31,OFFSET(EM!$B$17,ROW($A32)-ROW($A$26)+(ROW(EM!$C$46)-ROW(EM!$C$14))*(MATCH(S$22,EM!$B$6:$B$9,0)-1),MIN(S$23-EM!$B$16+30,EM!$AF$16-EM!$B$16)),0)+
IF(ROUND(S$11,0)&gt;=32,OFFSET(EM!$B$17,ROW($A32)-ROW($A$26)+(ROW(EM!$C$46)-ROW(EM!$C$14))*(MATCH(S$22,EM!$B$6:$B$9,0)-1),MIN(S$23-EM!$B$16+31,EM!$AF$16-EM!$B$16)),0)+
IF(ROUND(S$11,0)&gt;=33,OFFSET(EM!$B$17,ROW($A32)-ROW($A$26)+(ROW(EM!$C$46)-ROW(EM!$C$14))*(MATCH(S$22,EM!$B$6:$B$9,0)-1),MIN(S$23-EM!$B$16+32,EM!$AF$16-EM!$B$16)),0)+
IF(ROUND(S$11,0)&gt;=34,OFFSET(EM!$B$17,ROW($A32)-ROW($A$26)+(ROW(EM!$C$46)-ROW(EM!$C$14))*(MATCH(S$22,EM!$B$6:$B$9,0)-1),MIN(S$23-EM!$B$16+33,EM!$AF$16-EM!$B$16)),0)+
IF(ROUND(S$11,0)&gt;=35,OFFSET(EM!$B$17,ROW($A32)-ROW($A$26)+(ROW(EM!$C$46)-ROW(EM!$C$14))*(MATCH(S$22,EM!$B$6:$B$9,0)-1),MIN(S$23-EM!$B$16+34,EM!$AF$16-EM!$B$16)),0)+
IF(ROUND(S$11,0)&gt;=36,OFFSET(EM!$B$17,ROW($A32)-ROW($A$26)+(ROW(EM!$C$46)-ROW(EM!$C$14))*(MATCH(S$22,EM!$B$6:$B$9,0)-1),MIN(S$23-EM!$B$16+35,EM!$AF$16-EM!$B$16)),0)+
IF(ROUND(S$11,0)&gt;=37,OFFSET(EM!$B$17,ROW($A32)-ROW($A$26)+(ROW(EM!$C$46)-ROW(EM!$C$14))*(MATCH(S$22,EM!$B$6:$B$9,0)-1),MIN(S$23-EM!$B$16+36,EM!$AF$16-EM!$B$16)),0)+
IF(ROUND(S$11,0)&gt;=38,OFFSET(EM!$B$17,ROW($A32)-ROW($A$26)+(ROW(EM!$C$46)-ROW(EM!$C$14))*(MATCH(S$22,EM!$B$6:$B$9,0)-1),MIN(S$23-EM!$B$16+37,EM!$AF$16-EM!$B$16)),0)+
IF(ROUND(S$11,0)&gt;=39,OFFSET(EM!$B$17,ROW($A32)-ROW($A$26)+(ROW(EM!$C$46)-ROW(EM!$C$14))*(MATCH(S$22,EM!$B$6:$B$9,0)-1),MIN(S$23-EM!$B$16+38,EM!$AF$16-EM!$B$16)),0)+
IF(ROUND(S$11,0)&gt;=40,OFFSET(EM!$B$17,ROW($A32)-ROW($A$26)+(ROW(EM!$C$46)-ROW(EM!$C$14))*(MATCH(S$22,EM!$B$6:$B$9,0)-1),MIN(S$23-EM!$B$16+39,EM!$AF$16-EM!$B$16)),0)
)/ROUND(S$11,0),NA()))</f>
        <v>0</v>
      </c>
      <c r="T32" s="2046">
        <f ca="1">IF(T$19=GPG!$A$28,IF(ROW(T32)-ROW(T$26)+1=MATCH(T$20,GPG!$A$5:$A$11,0),1,0),
IF(T$19=GPG!$A$29,
(IF(ROUND(T$11,0)&gt;=1,OFFSET(EM!$B$17,ROW($A32)-ROW($A$26)+(ROW(EM!$C$46)-ROW(EM!$C$14))*(MATCH(T$22,EM!$B$6:$B$9,0)-1),MIN(T$23-EM!$B$16,EM!$AF$16-EM!$B$16)),0)+
IF(ROUND(T$11,0)&gt;=2,OFFSET(EM!$B$17,ROW($A32)-ROW($A$26)+(ROW(EM!$C$46)-ROW(EM!$C$14))*(MATCH(T$22,EM!$B$6:$B$9,0)-1),MIN(T$23-EM!$B$16+1,EM!$AF$16-EM!$B$16)),0)+
IF(ROUND(T$11,0)&gt;=3,OFFSET(EM!$B$17,ROW($A32)-ROW($A$26)+(ROW(EM!$C$46)-ROW(EM!$C$14))*(MATCH(T$22,EM!$B$6:$B$9,0)-1),MIN(T$23-EM!$B$16+2,EM!$AF$16-EM!$B$16)),0)+
IF(ROUND(T$11,0)&gt;=4,OFFSET(EM!$B$17,ROW($A32)-ROW($A$26)+(ROW(EM!$C$46)-ROW(EM!$C$14))*(MATCH(T$22,EM!$B$6:$B$9,0)-1),MIN(T$23-EM!$B$16+3,EM!$AF$16-EM!$B$16)),0)+
IF(ROUND(T$11,0)&gt;=5,OFFSET(EM!$B$17,ROW($A32)-ROW($A$26)+(ROW(EM!$C$46)-ROW(EM!$C$14))*(MATCH(T$22,EM!$B$6:$B$9,0)-1),MIN(T$23-EM!$B$16+4,EM!$AF$16-EM!$B$16)),0)+
IF(ROUND(T$11,0)&gt;=6,OFFSET(EM!$B$17,ROW($A32)-ROW($A$26)+(ROW(EM!$C$46)-ROW(EM!$C$14))*(MATCH(T$22,EM!$B$6:$B$9,0)-1),MIN(T$23-EM!$B$16+5,EM!$AF$16-EM!$B$16)),0)+
IF(ROUND(T$11,0)&gt;=7,OFFSET(EM!$B$17,ROW($A32)-ROW($A$26)+(ROW(EM!$C$46)-ROW(EM!$C$14))*(MATCH(T$22,EM!$B$6:$B$9,0)-1),MIN(T$23-EM!$B$16+6,EM!$AF$16-EM!$B$16)),0)+
IF(ROUND(T$11,0)&gt;=8,OFFSET(EM!$B$17,ROW($A32)-ROW($A$26)+(ROW(EM!$C$46)-ROW(EM!$C$14))*(MATCH(T$22,EM!$B$6:$B$9,0)-1),MIN(T$23-EM!$B$16+7,EM!$AF$16-EM!$B$16)),0)+
IF(ROUND(T$11,0)&gt;=9,OFFSET(EM!$B$17,ROW($A32)-ROW($A$26)+(ROW(EM!$C$46)-ROW(EM!$C$14))*(MATCH(T$22,EM!$B$6:$B$9,0)-1),MIN(T$23-EM!$B$16+8,EM!$AF$16-EM!$B$16)),0)+
IF(ROUND(T$11,0)&gt;=10,OFFSET(EM!$B$17,ROW($A32)-ROW($A$26)+(ROW(EM!$C$46)-ROW(EM!$C$14))*(MATCH(T$22,EM!$B$6:$B$9,0)-1),MIN(T$23-EM!$B$16+9,EM!$AF$16-EM!$B$16)),0)+
IF(ROUND(T$11,0)&gt;=11,OFFSET(EM!$B$17,ROW($A32)-ROW($A$26)+(ROW(EM!$C$46)-ROW(EM!$C$14))*(MATCH(T$22,EM!$B$6:$B$9,0)-1),MIN(T$23-EM!$B$16+10,EM!$AF$16-EM!$B$16)),0)+
IF(ROUND(T$11,0)&gt;=12,OFFSET(EM!$B$17,ROW($A32)-ROW($A$26)+(ROW(EM!$C$46)-ROW(EM!$C$14))*(MATCH(T$22,EM!$B$6:$B$9,0)-1),MIN(T$23-EM!$B$16+11,EM!$AF$16-EM!$B$16)),0)+
IF(ROUND(T$11,0)&gt;=13,OFFSET(EM!$B$17,ROW($A32)-ROW($A$26)+(ROW(EM!$C$46)-ROW(EM!$C$14))*(MATCH(T$22,EM!$B$6:$B$9,0)-1),MIN(T$23-EM!$B$16+12,EM!$AF$16-EM!$B$16)),0)+
IF(ROUND(T$11,0)&gt;=14,OFFSET(EM!$B$17,ROW($A32)-ROW($A$26)+(ROW(EM!$C$46)-ROW(EM!$C$14))*(MATCH(T$22,EM!$B$6:$B$9,0)-1),MIN(T$23-EM!$B$16+13,EM!$AF$16-EM!$B$16)),0)+
IF(ROUND(T$11,0)&gt;=15,OFFSET(EM!$B$17,ROW($A32)-ROW($A$26)+(ROW(EM!$C$46)-ROW(EM!$C$14))*(MATCH(T$22,EM!$B$6:$B$9,0)-1),MIN(T$23-EM!$B$16+14,EM!$AF$16-EM!$B$16)),0)+
IF(ROUND(T$11,0)&gt;=16,OFFSET(EM!$B$17,ROW($A32)-ROW($A$26)+(ROW(EM!$C$46)-ROW(EM!$C$14))*(MATCH(T$22,EM!$B$6:$B$9,0)-1),MIN(T$23-EM!$B$16+15,EM!$AF$16-EM!$B$16)),0)+
IF(ROUND(T$11,0)&gt;=17,OFFSET(EM!$B$17,ROW($A32)-ROW($A$26)+(ROW(EM!$C$46)-ROW(EM!$C$14))*(MATCH(T$22,EM!$B$6:$B$9,0)-1),MIN(T$23-EM!$B$16+16,EM!$AF$16-EM!$B$16)),0)+
IF(ROUND(T$11,0)&gt;=18,OFFSET(EM!$B$17,ROW($A32)-ROW($A$26)+(ROW(EM!$C$46)-ROW(EM!$C$14))*(MATCH(T$22,EM!$B$6:$B$9,0)-1),MIN(T$23-EM!$B$16+17,EM!$AF$16-EM!$B$16)),0)+
IF(ROUND(T$11,0)&gt;=19,OFFSET(EM!$B$17,ROW($A32)-ROW($A$26)+(ROW(EM!$C$46)-ROW(EM!$C$14))*(MATCH(T$22,EM!$B$6:$B$9,0)-1),MIN(T$23-EM!$B$16+18,EM!$AF$16-EM!$B$16)),0)+
IF(ROUND(T$11,0)&gt;=20,OFFSET(EM!$B$17,ROW($A32)-ROW($A$26)+(ROW(EM!$C$46)-ROW(EM!$C$14))*(MATCH(T$22,EM!$B$6:$B$9,0)-1),MIN(T$23-EM!$B$16+19,EM!$AF$16-EM!$B$16)),0)+
IF(ROUND(T$11,0)&gt;=21,OFFSET(EM!$B$17,ROW($A32)-ROW($A$26)+(ROW(EM!$C$46)-ROW(EM!$C$14))*(MATCH(T$22,EM!$B$6:$B$9,0)-1),MIN(T$23-EM!$B$16+20,EM!$AF$16-EM!$B$16)),0)+
IF(ROUND(T$11,0)&gt;=22,OFFSET(EM!$B$17,ROW($A32)-ROW($A$26)+(ROW(EM!$C$46)-ROW(EM!$C$14))*(MATCH(T$22,EM!$B$6:$B$9,0)-1),MIN(T$23-EM!$B$16+21,EM!$AF$16-EM!$B$16)),0)+
IF(ROUND(T$11,0)&gt;=23,OFFSET(EM!$B$17,ROW($A32)-ROW($A$26)+(ROW(EM!$C$46)-ROW(EM!$C$14))*(MATCH(T$22,EM!$B$6:$B$9,0)-1),MIN(T$23-EM!$B$16+22,EM!$AF$16-EM!$B$16)),0)+
IF(ROUND(T$11,0)&gt;=24,OFFSET(EM!$B$17,ROW($A32)-ROW($A$26)+(ROW(EM!$C$46)-ROW(EM!$C$14))*(MATCH(T$22,EM!$B$6:$B$9,0)-1),MIN(T$23-EM!$B$16+23,EM!$AF$16-EM!$B$16)),0)+
IF(ROUND(T$11,0)&gt;=25,OFFSET(EM!$B$17,ROW($A32)-ROW($A$26)+(ROW(EM!$C$46)-ROW(EM!$C$14))*(MATCH(T$22,EM!$B$6:$B$9,0)-1),MIN(T$23-EM!$B$16+24,EM!$AF$16-EM!$B$16)),0)+
IF(ROUND(T$11,0)&gt;=26,OFFSET(EM!$B$17,ROW($A32)-ROW($A$26)+(ROW(EM!$C$46)-ROW(EM!$C$14))*(MATCH(T$22,EM!$B$6:$B$9,0)-1),MIN(T$23-EM!$B$16+25,EM!$AF$16-EM!$B$16)),0)+
IF(ROUND(T$11,0)&gt;=27,OFFSET(EM!$B$17,ROW($A32)-ROW($A$26)+(ROW(EM!$C$46)-ROW(EM!$C$14))*(MATCH(T$22,EM!$B$6:$B$9,0)-1),MIN(T$23-EM!$B$16+26,EM!$AF$16-EM!$B$16)),0)+
IF(ROUND(T$11,0)&gt;=28,OFFSET(EM!$B$17,ROW($A32)-ROW($A$26)+(ROW(EM!$C$46)-ROW(EM!$C$14))*(MATCH(T$22,EM!$B$6:$B$9,0)-1),MIN(T$23-EM!$B$16+27,EM!$AF$16-EM!$B$16)),0)+
IF(ROUND(T$11,0)&gt;=29,OFFSET(EM!$B$17,ROW($A32)-ROW($A$26)+(ROW(EM!$C$46)-ROW(EM!$C$14))*(MATCH(T$22,EM!$B$6:$B$9,0)-1),MIN(T$23-EM!$B$16+28,EM!$AF$16-EM!$B$16)),0)+
IF(ROUND(T$11,0)&gt;=30,OFFSET(EM!$B$17,ROW($A32)-ROW($A$26)+(ROW(EM!$C$46)-ROW(EM!$C$14))*(MATCH(T$22,EM!$B$6:$B$9,0)-1),MIN(T$23-EM!$B$16+29,EM!$AF$16-EM!$B$16)),0)+
IF(ROUND(T$11,0)&gt;=31,OFFSET(EM!$B$17,ROW($A32)-ROW($A$26)+(ROW(EM!$C$46)-ROW(EM!$C$14))*(MATCH(T$22,EM!$B$6:$B$9,0)-1),MIN(T$23-EM!$B$16+30,EM!$AF$16-EM!$B$16)),0)+
IF(ROUND(T$11,0)&gt;=32,OFFSET(EM!$B$17,ROW($A32)-ROW($A$26)+(ROW(EM!$C$46)-ROW(EM!$C$14))*(MATCH(T$22,EM!$B$6:$B$9,0)-1),MIN(T$23-EM!$B$16+31,EM!$AF$16-EM!$B$16)),0)+
IF(ROUND(T$11,0)&gt;=33,OFFSET(EM!$B$17,ROW($A32)-ROW($A$26)+(ROW(EM!$C$46)-ROW(EM!$C$14))*(MATCH(T$22,EM!$B$6:$B$9,0)-1),MIN(T$23-EM!$B$16+32,EM!$AF$16-EM!$B$16)),0)+
IF(ROUND(T$11,0)&gt;=34,OFFSET(EM!$B$17,ROW($A32)-ROW($A$26)+(ROW(EM!$C$46)-ROW(EM!$C$14))*(MATCH(T$22,EM!$B$6:$B$9,0)-1),MIN(T$23-EM!$B$16+33,EM!$AF$16-EM!$B$16)),0)+
IF(ROUND(T$11,0)&gt;=35,OFFSET(EM!$B$17,ROW($A32)-ROW($A$26)+(ROW(EM!$C$46)-ROW(EM!$C$14))*(MATCH(T$22,EM!$B$6:$B$9,0)-1),MIN(T$23-EM!$B$16+34,EM!$AF$16-EM!$B$16)),0)+
IF(ROUND(T$11,0)&gt;=36,OFFSET(EM!$B$17,ROW($A32)-ROW($A$26)+(ROW(EM!$C$46)-ROW(EM!$C$14))*(MATCH(T$22,EM!$B$6:$B$9,0)-1),MIN(T$23-EM!$B$16+35,EM!$AF$16-EM!$B$16)),0)+
IF(ROUND(T$11,0)&gt;=37,OFFSET(EM!$B$17,ROW($A32)-ROW($A$26)+(ROW(EM!$C$46)-ROW(EM!$C$14))*(MATCH(T$22,EM!$B$6:$B$9,0)-1),MIN(T$23-EM!$B$16+36,EM!$AF$16-EM!$B$16)),0)+
IF(ROUND(T$11,0)&gt;=38,OFFSET(EM!$B$17,ROW($A32)-ROW($A$26)+(ROW(EM!$C$46)-ROW(EM!$C$14))*(MATCH(T$22,EM!$B$6:$B$9,0)-1),MIN(T$23-EM!$B$16+37,EM!$AF$16-EM!$B$16)),0)+
IF(ROUND(T$11,0)&gt;=39,OFFSET(EM!$B$17,ROW($A32)-ROW($A$26)+(ROW(EM!$C$46)-ROW(EM!$C$14))*(MATCH(T$22,EM!$B$6:$B$9,0)-1),MIN(T$23-EM!$B$16+38,EM!$AF$16-EM!$B$16)),0)+
IF(ROUND(T$11,0)&gt;=40,OFFSET(EM!$B$17,ROW($A32)-ROW($A$26)+(ROW(EM!$C$46)-ROW(EM!$C$14))*(MATCH(T$22,EM!$B$6:$B$9,0)-1),MIN(T$23-EM!$B$16+39,EM!$AF$16-EM!$B$16)),0)
)/ROUND(T$11,0),NA()))</f>
        <v>0</v>
      </c>
      <c r="U32" s="2046">
        <f ca="1">IF(U$19=GPG!$A$28,IF(ROW(U32)-ROW(U$26)+1=MATCH(U$20,GPG!$A$5:$A$11,0),1,0),
IF(U$19=GPG!$A$29,
(IF(ROUND(U$11,0)&gt;=1,OFFSET(EM!$B$17,ROW($A32)-ROW($A$26)+(ROW(EM!$C$46)-ROW(EM!$C$14))*(MATCH(U$22,EM!$B$6:$B$9,0)-1),MIN(U$23-EM!$B$16,EM!$AF$16-EM!$B$16)),0)+
IF(ROUND(U$11,0)&gt;=2,OFFSET(EM!$B$17,ROW($A32)-ROW($A$26)+(ROW(EM!$C$46)-ROW(EM!$C$14))*(MATCH(U$22,EM!$B$6:$B$9,0)-1),MIN(U$23-EM!$B$16+1,EM!$AF$16-EM!$B$16)),0)+
IF(ROUND(U$11,0)&gt;=3,OFFSET(EM!$B$17,ROW($A32)-ROW($A$26)+(ROW(EM!$C$46)-ROW(EM!$C$14))*(MATCH(U$22,EM!$B$6:$B$9,0)-1),MIN(U$23-EM!$B$16+2,EM!$AF$16-EM!$B$16)),0)+
IF(ROUND(U$11,0)&gt;=4,OFFSET(EM!$B$17,ROW($A32)-ROW($A$26)+(ROW(EM!$C$46)-ROW(EM!$C$14))*(MATCH(U$22,EM!$B$6:$B$9,0)-1),MIN(U$23-EM!$B$16+3,EM!$AF$16-EM!$B$16)),0)+
IF(ROUND(U$11,0)&gt;=5,OFFSET(EM!$B$17,ROW($A32)-ROW($A$26)+(ROW(EM!$C$46)-ROW(EM!$C$14))*(MATCH(U$22,EM!$B$6:$B$9,0)-1),MIN(U$23-EM!$B$16+4,EM!$AF$16-EM!$B$16)),0)+
IF(ROUND(U$11,0)&gt;=6,OFFSET(EM!$B$17,ROW($A32)-ROW($A$26)+(ROW(EM!$C$46)-ROW(EM!$C$14))*(MATCH(U$22,EM!$B$6:$B$9,0)-1),MIN(U$23-EM!$B$16+5,EM!$AF$16-EM!$B$16)),0)+
IF(ROUND(U$11,0)&gt;=7,OFFSET(EM!$B$17,ROW($A32)-ROW($A$26)+(ROW(EM!$C$46)-ROW(EM!$C$14))*(MATCH(U$22,EM!$B$6:$B$9,0)-1),MIN(U$23-EM!$B$16+6,EM!$AF$16-EM!$B$16)),0)+
IF(ROUND(U$11,0)&gt;=8,OFFSET(EM!$B$17,ROW($A32)-ROW($A$26)+(ROW(EM!$C$46)-ROW(EM!$C$14))*(MATCH(U$22,EM!$B$6:$B$9,0)-1),MIN(U$23-EM!$B$16+7,EM!$AF$16-EM!$B$16)),0)+
IF(ROUND(U$11,0)&gt;=9,OFFSET(EM!$B$17,ROW($A32)-ROW($A$26)+(ROW(EM!$C$46)-ROW(EM!$C$14))*(MATCH(U$22,EM!$B$6:$B$9,0)-1),MIN(U$23-EM!$B$16+8,EM!$AF$16-EM!$B$16)),0)+
IF(ROUND(U$11,0)&gt;=10,OFFSET(EM!$B$17,ROW($A32)-ROW($A$26)+(ROW(EM!$C$46)-ROW(EM!$C$14))*(MATCH(U$22,EM!$B$6:$B$9,0)-1),MIN(U$23-EM!$B$16+9,EM!$AF$16-EM!$B$16)),0)+
IF(ROUND(U$11,0)&gt;=11,OFFSET(EM!$B$17,ROW($A32)-ROW($A$26)+(ROW(EM!$C$46)-ROW(EM!$C$14))*(MATCH(U$22,EM!$B$6:$B$9,0)-1),MIN(U$23-EM!$B$16+10,EM!$AF$16-EM!$B$16)),0)+
IF(ROUND(U$11,0)&gt;=12,OFFSET(EM!$B$17,ROW($A32)-ROW($A$26)+(ROW(EM!$C$46)-ROW(EM!$C$14))*(MATCH(U$22,EM!$B$6:$B$9,0)-1),MIN(U$23-EM!$B$16+11,EM!$AF$16-EM!$B$16)),0)+
IF(ROUND(U$11,0)&gt;=13,OFFSET(EM!$B$17,ROW($A32)-ROW($A$26)+(ROW(EM!$C$46)-ROW(EM!$C$14))*(MATCH(U$22,EM!$B$6:$B$9,0)-1),MIN(U$23-EM!$B$16+12,EM!$AF$16-EM!$B$16)),0)+
IF(ROUND(U$11,0)&gt;=14,OFFSET(EM!$B$17,ROW($A32)-ROW($A$26)+(ROW(EM!$C$46)-ROW(EM!$C$14))*(MATCH(U$22,EM!$B$6:$B$9,0)-1),MIN(U$23-EM!$B$16+13,EM!$AF$16-EM!$B$16)),0)+
IF(ROUND(U$11,0)&gt;=15,OFFSET(EM!$B$17,ROW($A32)-ROW($A$26)+(ROW(EM!$C$46)-ROW(EM!$C$14))*(MATCH(U$22,EM!$B$6:$B$9,0)-1),MIN(U$23-EM!$B$16+14,EM!$AF$16-EM!$B$16)),0)+
IF(ROUND(U$11,0)&gt;=16,OFFSET(EM!$B$17,ROW($A32)-ROW($A$26)+(ROW(EM!$C$46)-ROW(EM!$C$14))*(MATCH(U$22,EM!$B$6:$B$9,0)-1),MIN(U$23-EM!$B$16+15,EM!$AF$16-EM!$B$16)),0)+
IF(ROUND(U$11,0)&gt;=17,OFFSET(EM!$B$17,ROW($A32)-ROW($A$26)+(ROW(EM!$C$46)-ROW(EM!$C$14))*(MATCH(U$22,EM!$B$6:$B$9,0)-1),MIN(U$23-EM!$B$16+16,EM!$AF$16-EM!$B$16)),0)+
IF(ROUND(U$11,0)&gt;=18,OFFSET(EM!$B$17,ROW($A32)-ROW($A$26)+(ROW(EM!$C$46)-ROW(EM!$C$14))*(MATCH(U$22,EM!$B$6:$B$9,0)-1),MIN(U$23-EM!$B$16+17,EM!$AF$16-EM!$B$16)),0)+
IF(ROUND(U$11,0)&gt;=19,OFFSET(EM!$B$17,ROW($A32)-ROW($A$26)+(ROW(EM!$C$46)-ROW(EM!$C$14))*(MATCH(U$22,EM!$B$6:$B$9,0)-1),MIN(U$23-EM!$B$16+18,EM!$AF$16-EM!$B$16)),0)+
IF(ROUND(U$11,0)&gt;=20,OFFSET(EM!$B$17,ROW($A32)-ROW($A$26)+(ROW(EM!$C$46)-ROW(EM!$C$14))*(MATCH(U$22,EM!$B$6:$B$9,0)-1),MIN(U$23-EM!$B$16+19,EM!$AF$16-EM!$B$16)),0)+
IF(ROUND(U$11,0)&gt;=21,OFFSET(EM!$B$17,ROW($A32)-ROW($A$26)+(ROW(EM!$C$46)-ROW(EM!$C$14))*(MATCH(U$22,EM!$B$6:$B$9,0)-1),MIN(U$23-EM!$B$16+20,EM!$AF$16-EM!$B$16)),0)+
IF(ROUND(U$11,0)&gt;=22,OFFSET(EM!$B$17,ROW($A32)-ROW($A$26)+(ROW(EM!$C$46)-ROW(EM!$C$14))*(MATCH(U$22,EM!$B$6:$B$9,0)-1),MIN(U$23-EM!$B$16+21,EM!$AF$16-EM!$B$16)),0)+
IF(ROUND(U$11,0)&gt;=23,OFFSET(EM!$B$17,ROW($A32)-ROW($A$26)+(ROW(EM!$C$46)-ROW(EM!$C$14))*(MATCH(U$22,EM!$B$6:$B$9,0)-1),MIN(U$23-EM!$B$16+22,EM!$AF$16-EM!$B$16)),0)+
IF(ROUND(U$11,0)&gt;=24,OFFSET(EM!$B$17,ROW($A32)-ROW($A$26)+(ROW(EM!$C$46)-ROW(EM!$C$14))*(MATCH(U$22,EM!$B$6:$B$9,0)-1),MIN(U$23-EM!$B$16+23,EM!$AF$16-EM!$B$16)),0)+
IF(ROUND(U$11,0)&gt;=25,OFFSET(EM!$B$17,ROW($A32)-ROW($A$26)+(ROW(EM!$C$46)-ROW(EM!$C$14))*(MATCH(U$22,EM!$B$6:$B$9,0)-1),MIN(U$23-EM!$B$16+24,EM!$AF$16-EM!$B$16)),0)+
IF(ROUND(U$11,0)&gt;=26,OFFSET(EM!$B$17,ROW($A32)-ROW($A$26)+(ROW(EM!$C$46)-ROW(EM!$C$14))*(MATCH(U$22,EM!$B$6:$B$9,0)-1),MIN(U$23-EM!$B$16+25,EM!$AF$16-EM!$B$16)),0)+
IF(ROUND(U$11,0)&gt;=27,OFFSET(EM!$B$17,ROW($A32)-ROW($A$26)+(ROW(EM!$C$46)-ROW(EM!$C$14))*(MATCH(U$22,EM!$B$6:$B$9,0)-1),MIN(U$23-EM!$B$16+26,EM!$AF$16-EM!$B$16)),0)+
IF(ROUND(U$11,0)&gt;=28,OFFSET(EM!$B$17,ROW($A32)-ROW($A$26)+(ROW(EM!$C$46)-ROW(EM!$C$14))*(MATCH(U$22,EM!$B$6:$B$9,0)-1),MIN(U$23-EM!$B$16+27,EM!$AF$16-EM!$B$16)),0)+
IF(ROUND(U$11,0)&gt;=29,OFFSET(EM!$B$17,ROW($A32)-ROW($A$26)+(ROW(EM!$C$46)-ROW(EM!$C$14))*(MATCH(U$22,EM!$B$6:$B$9,0)-1),MIN(U$23-EM!$B$16+28,EM!$AF$16-EM!$B$16)),0)+
IF(ROUND(U$11,0)&gt;=30,OFFSET(EM!$B$17,ROW($A32)-ROW($A$26)+(ROW(EM!$C$46)-ROW(EM!$C$14))*(MATCH(U$22,EM!$B$6:$B$9,0)-1),MIN(U$23-EM!$B$16+29,EM!$AF$16-EM!$B$16)),0)+
IF(ROUND(U$11,0)&gt;=31,OFFSET(EM!$B$17,ROW($A32)-ROW($A$26)+(ROW(EM!$C$46)-ROW(EM!$C$14))*(MATCH(U$22,EM!$B$6:$B$9,0)-1),MIN(U$23-EM!$B$16+30,EM!$AF$16-EM!$B$16)),0)+
IF(ROUND(U$11,0)&gt;=32,OFFSET(EM!$B$17,ROW($A32)-ROW($A$26)+(ROW(EM!$C$46)-ROW(EM!$C$14))*(MATCH(U$22,EM!$B$6:$B$9,0)-1),MIN(U$23-EM!$B$16+31,EM!$AF$16-EM!$B$16)),0)+
IF(ROUND(U$11,0)&gt;=33,OFFSET(EM!$B$17,ROW($A32)-ROW($A$26)+(ROW(EM!$C$46)-ROW(EM!$C$14))*(MATCH(U$22,EM!$B$6:$B$9,0)-1),MIN(U$23-EM!$B$16+32,EM!$AF$16-EM!$B$16)),0)+
IF(ROUND(U$11,0)&gt;=34,OFFSET(EM!$B$17,ROW($A32)-ROW($A$26)+(ROW(EM!$C$46)-ROW(EM!$C$14))*(MATCH(U$22,EM!$B$6:$B$9,0)-1),MIN(U$23-EM!$B$16+33,EM!$AF$16-EM!$B$16)),0)+
IF(ROUND(U$11,0)&gt;=35,OFFSET(EM!$B$17,ROW($A32)-ROW($A$26)+(ROW(EM!$C$46)-ROW(EM!$C$14))*(MATCH(U$22,EM!$B$6:$B$9,0)-1),MIN(U$23-EM!$B$16+34,EM!$AF$16-EM!$B$16)),0)+
IF(ROUND(U$11,0)&gt;=36,OFFSET(EM!$B$17,ROW($A32)-ROW($A$26)+(ROW(EM!$C$46)-ROW(EM!$C$14))*(MATCH(U$22,EM!$B$6:$B$9,0)-1),MIN(U$23-EM!$B$16+35,EM!$AF$16-EM!$B$16)),0)+
IF(ROUND(U$11,0)&gt;=37,OFFSET(EM!$B$17,ROW($A32)-ROW($A$26)+(ROW(EM!$C$46)-ROW(EM!$C$14))*(MATCH(U$22,EM!$B$6:$B$9,0)-1),MIN(U$23-EM!$B$16+36,EM!$AF$16-EM!$B$16)),0)+
IF(ROUND(U$11,0)&gt;=38,OFFSET(EM!$B$17,ROW($A32)-ROW($A$26)+(ROW(EM!$C$46)-ROW(EM!$C$14))*(MATCH(U$22,EM!$B$6:$B$9,0)-1),MIN(U$23-EM!$B$16+37,EM!$AF$16-EM!$B$16)),0)+
IF(ROUND(U$11,0)&gt;=39,OFFSET(EM!$B$17,ROW($A32)-ROW($A$26)+(ROW(EM!$C$46)-ROW(EM!$C$14))*(MATCH(U$22,EM!$B$6:$B$9,0)-1),MIN(U$23-EM!$B$16+38,EM!$AF$16-EM!$B$16)),0)+
IF(ROUND(U$11,0)&gt;=40,OFFSET(EM!$B$17,ROW($A32)-ROW($A$26)+(ROW(EM!$C$46)-ROW(EM!$C$14))*(MATCH(U$22,EM!$B$6:$B$9,0)-1),MIN(U$23-EM!$B$16+39,EM!$AF$16-EM!$B$16)),0)
)/ROUND(U$11,0),NA()))</f>
        <v>0</v>
      </c>
      <c r="V32" s="2046">
        <f ca="1">IF(V$19=GPG!$A$28,IF(ROW(V32)-ROW(V$26)+1=MATCH(V$20,GPG!$A$5:$A$11,0),1,0),
IF(V$19=GPG!$A$29,
(IF(ROUND(V$11,0)&gt;=1,OFFSET(EM!$B$17,ROW($A32)-ROW($A$26)+(ROW(EM!$C$46)-ROW(EM!$C$14))*(MATCH(V$22,EM!$B$6:$B$9,0)-1),MIN(V$23-EM!$B$16,EM!$AF$16-EM!$B$16)),0)+
IF(ROUND(V$11,0)&gt;=2,OFFSET(EM!$B$17,ROW($A32)-ROW($A$26)+(ROW(EM!$C$46)-ROW(EM!$C$14))*(MATCH(V$22,EM!$B$6:$B$9,0)-1),MIN(V$23-EM!$B$16+1,EM!$AF$16-EM!$B$16)),0)+
IF(ROUND(V$11,0)&gt;=3,OFFSET(EM!$B$17,ROW($A32)-ROW($A$26)+(ROW(EM!$C$46)-ROW(EM!$C$14))*(MATCH(V$22,EM!$B$6:$B$9,0)-1),MIN(V$23-EM!$B$16+2,EM!$AF$16-EM!$B$16)),0)+
IF(ROUND(V$11,0)&gt;=4,OFFSET(EM!$B$17,ROW($A32)-ROW($A$26)+(ROW(EM!$C$46)-ROW(EM!$C$14))*(MATCH(V$22,EM!$B$6:$B$9,0)-1),MIN(V$23-EM!$B$16+3,EM!$AF$16-EM!$B$16)),0)+
IF(ROUND(V$11,0)&gt;=5,OFFSET(EM!$B$17,ROW($A32)-ROW($A$26)+(ROW(EM!$C$46)-ROW(EM!$C$14))*(MATCH(V$22,EM!$B$6:$B$9,0)-1),MIN(V$23-EM!$B$16+4,EM!$AF$16-EM!$B$16)),0)+
IF(ROUND(V$11,0)&gt;=6,OFFSET(EM!$B$17,ROW($A32)-ROW($A$26)+(ROW(EM!$C$46)-ROW(EM!$C$14))*(MATCH(V$22,EM!$B$6:$B$9,0)-1),MIN(V$23-EM!$B$16+5,EM!$AF$16-EM!$B$16)),0)+
IF(ROUND(V$11,0)&gt;=7,OFFSET(EM!$B$17,ROW($A32)-ROW($A$26)+(ROW(EM!$C$46)-ROW(EM!$C$14))*(MATCH(V$22,EM!$B$6:$B$9,0)-1),MIN(V$23-EM!$B$16+6,EM!$AF$16-EM!$B$16)),0)+
IF(ROUND(V$11,0)&gt;=8,OFFSET(EM!$B$17,ROW($A32)-ROW($A$26)+(ROW(EM!$C$46)-ROW(EM!$C$14))*(MATCH(V$22,EM!$B$6:$B$9,0)-1),MIN(V$23-EM!$B$16+7,EM!$AF$16-EM!$B$16)),0)+
IF(ROUND(V$11,0)&gt;=9,OFFSET(EM!$B$17,ROW($A32)-ROW($A$26)+(ROW(EM!$C$46)-ROW(EM!$C$14))*(MATCH(V$22,EM!$B$6:$B$9,0)-1),MIN(V$23-EM!$B$16+8,EM!$AF$16-EM!$B$16)),0)+
IF(ROUND(V$11,0)&gt;=10,OFFSET(EM!$B$17,ROW($A32)-ROW($A$26)+(ROW(EM!$C$46)-ROW(EM!$C$14))*(MATCH(V$22,EM!$B$6:$B$9,0)-1),MIN(V$23-EM!$B$16+9,EM!$AF$16-EM!$B$16)),0)+
IF(ROUND(V$11,0)&gt;=11,OFFSET(EM!$B$17,ROW($A32)-ROW($A$26)+(ROW(EM!$C$46)-ROW(EM!$C$14))*(MATCH(V$22,EM!$B$6:$B$9,0)-1),MIN(V$23-EM!$B$16+10,EM!$AF$16-EM!$B$16)),0)+
IF(ROUND(V$11,0)&gt;=12,OFFSET(EM!$B$17,ROW($A32)-ROW($A$26)+(ROW(EM!$C$46)-ROW(EM!$C$14))*(MATCH(V$22,EM!$B$6:$B$9,0)-1),MIN(V$23-EM!$B$16+11,EM!$AF$16-EM!$B$16)),0)+
IF(ROUND(V$11,0)&gt;=13,OFFSET(EM!$B$17,ROW($A32)-ROW($A$26)+(ROW(EM!$C$46)-ROW(EM!$C$14))*(MATCH(V$22,EM!$B$6:$B$9,0)-1),MIN(V$23-EM!$B$16+12,EM!$AF$16-EM!$B$16)),0)+
IF(ROUND(V$11,0)&gt;=14,OFFSET(EM!$B$17,ROW($A32)-ROW($A$26)+(ROW(EM!$C$46)-ROW(EM!$C$14))*(MATCH(V$22,EM!$B$6:$B$9,0)-1),MIN(V$23-EM!$B$16+13,EM!$AF$16-EM!$B$16)),0)+
IF(ROUND(V$11,0)&gt;=15,OFFSET(EM!$B$17,ROW($A32)-ROW($A$26)+(ROW(EM!$C$46)-ROW(EM!$C$14))*(MATCH(V$22,EM!$B$6:$B$9,0)-1),MIN(V$23-EM!$B$16+14,EM!$AF$16-EM!$B$16)),0)+
IF(ROUND(V$11,0)&gt;=16,OFFSET(EM!$B$17,ROW($A32)-ROW($A$26)+(ROW(EM!$C$46)-ROW(EM!$C$14))*(MATCH(V$22,EM!$B$6:$B$9,0)-1),MIN(V$23-EM!$B$16+15,EM!$AF$16-EM!$B$16)),0)+
IF(ROUND(V$11,0)&gt;=17,OFFSET(EM!$B$17,ROW($A32)-ROW($A$26)+(ROW(EM!$C$46)-ROW(EM!$C$14))*(MATCH(V$22,EM!$B$6:$B$9,0)-1),MIN(V$23-EM!$B$16+16,EM!$AF$16-EM!$B$16)),0)+
IF(ROUND(V$11,0)&gt;=18,OFFSET(EM!$B$17,ROW($A32)-ROW($A$26)+(ROW(EM!$C$46)-ROW(EM!$C$14))*(MATCH(V$22,EM!$B$6:$B$9,0)-1),MIN(V$23-EM!$B$16+17,EM!$AF$16-EM!$B$16)),0)+
IF(ROUND(V$11,0)&gt;=19,OFFSET(EM!$B$17,ROW($A32)-ROW($A$26)+(ROW(EM!$C$46)-ROW(EM!$C$14))*(MATCH(V$22,EM!$B$6:$B$9,0)-1),MIN(V$23-EM!$B$16+18,EM!$AF$16-EM!$B$16)),0)+
IF(ROUND(V$11,0)&gt;=20,OFFSET(EM!$B$17,ROW($A32)-ROW($A$26)+(ROW(EM!$C$46)-ROW(EM!$C$14))*(MATCH(V$22,EM!$B$6:$B$9,0)-1),MIN(V$23-EM!$B$16+19,EM!$AF$16-EM!$B$16)),0)+
IF(ROUND(V$11,0)&gt;=21,OFFSET(EM!$B$17,ROW($A32)-ROW($A$26)+(ROW(EM!$C$46)-ROW(EM!$C$14))*(MATCH(V$22,EM!$B$6:$B$9,0)-1),MIN(V$23-EM!$B$16+20,EM!$AF$16-EM!$B$16)),0)+
IF(ROUND(V$11,0)&gt;=22,OFFSET(EM!$B$17,ROW($A32)-ROW($A$26)+(ROW(EM!$C$46)-ROW(EM!$C$14))*(MATCH(V$22,EM!$B$6:$B$9,0)-1),MIN(V$23-EM!$B$16+21,EM!$AF$16-EM!$B$16)),0)+
IF(ROUND(V$11,0)&gt;=23,OFFSET(EM!$B$17,ROW($A32)-ROW($A$26)+(ROW(EM!$C$46)-ROW(EM!$C$14))*(MATCH(V$22,EM!$B$6:$B$9,0)-1),MIN(V$23-EM!$B$16+22,EM!$AF$16-EM!$B$16)),0)+
IF(ROUND(V$11,0)&gt;=24,OFFSET(EM!$B$17,ROW($A32)-ROW($A$26)+(ROW(EM!$C$46)-ROW(EM!$C$14))*(MATCH(V$22,EM!$B$6:$B$9,0)-1),MIN(V$23-EM!$B$16+23,EM!$AF$16-EM!$B$16)),0)+
IF(ROUND(V$11,0)&gt;=25,OFFSET(EM!$B$17,ROW($A32)-ROW($A$26)+(ROW(EM!$C$46)-ROW(EM!$C$14))*(MATCH(V$22,EM!$B$6:$B$9,0)-1),MIN(V$23-EM!$B$16+24,EM!$AF$16-EM!$B$16)),0)+
IF(ROUND(V$11,0)&gt;=26,OFFSET(EM!$B$17,ROW($A32)-ROW($A$26)+(ROW(EM!$C$46)-ROW(EM!$C$14))*(MATCH(V$22,EM!$B$6:$B$9,0)-1),MIN(V$23-EM!$B$16+25,EM!$AF$16-EM!$B$16)),0)+
IF(ROUND(V$11,0)&gt;=27,OFFSET(EM!$B$17,ROW($A32)-ROW($A$26)+(ROW(EM!$C$46)-ROW(EM!$C$14))*(MATCH(V$22,EM!$B$6:$B$9,0)-1),MIN(V$23-EM!$B$16+26,EM!$AF$16-EM!$B$16)),0)+
IF(ROUND(V$11,0)&gt;=28,OFFSET(EM!$B$17,ROW($A32)-ROW($A$26)+(ROW(EM!$C$46)-ROW(EM!$C$14))*(MATCH(V$22,EM!$B$6:$B$9,0)-1),MIN(V$23-EM!$B$16+27,EM!$AF$16-EM!$B$16)),0)+
IF(ROUND(V$11,0)&gt;=29,OFFSET(EM!$B$17,ROW($A32)-ROW($A$26)+(ROW(EM!$C$46)-ROW(EM!$C$14))*(MATCH(V$22,EM!$B$6:$B$9,0)-1),MIN(V$23-EM!$B$16+28,EM!$AF$16-EM!$B$16)),0)+
IF(ROUND(V$11,0)&gt;=30,OFFSET(EM!$B$17,ROW($A32)-ROW($A$26)+(ROW(EM!$C$46)-ROW(EM!$C$14))*(MATCH(V$22,EM!$B$6:$B$9,0)-1),MIN(V$23-EM!$B$16+29,EM!$AF$16-EM!$B$16)),0)+
IF(ROUND(V$11,0)&gt;=31,OFFSET(EM!$B$17,ROW($A32)-ROW($A$26)+(ROW(EM!$C$46)-ROW(EM!$C$14))*(MATCH(V$22,EM!$B$6:$B$9,0)-1),MIN(V$23-EM!$B$16+30,EM!$AF$16-EM!$B$16)),0)+
IF(ROUND(V$11,0)&gt;=32,OFFSET(EM!$B$17,ROW($A32)-ROW($A$26)+(ROW(EM!$C$46)-ROW(EM!$C$14))*(MATCH(V$22,EM!$B$6:$B$9,0)-1),MIN(V$23-EM!$B$16+31,EM!$AF$16-EM!$B$16)),0)+
IF(ROUND(V$11,0)&gt;=33,OFFSET(EM!$B$17,ROW($A32)-ROW($A$26)+(ROW(EM!$C$46)-ROW(EM!$C$14))*(MATCH(V$22,EM!$B$6:$B$9,0)-1),MIN(V$23-EM!$B$16+32,EM!$AF$16-EM!$B$16)),0)+
IF(ROUND(V$11,0)&gt;=34,OFFSET(EM!$B$17,ROW($A32)-ROW($A$26)+(ROW(EM!$C$46)-ROW(EM!$C$14))*(MATCH(V$22,EM!$B$6:$B$9,0)-1),MIN(V$23-EM!$B$16+33,EM!$AF$16-EM!$B$16)),0)+
IF(ROUND(V$11,0)&gt;=35,OFFSET(EM!$B$17,ROW($A32)-ROW($A$26)+(ROW(EM!$C$46)-ROW(EM!$C$14))*(MATCH(V$22,EM!$B$6:$B$9,0)-1),MIN(V$23-EM!$B$16+34,EM!$AF$16-EM!$B$16)),0)+
IF(ROUND(V$11,0)&gt;=36,OFFSET(EM!$B$17,ROW($A32)-ROW($A$26)+(ROW(EM!$C$46)-ROW(EM!$C$14))*(MATCH(V$22,EM!$B$6:$B$9,0)-1),MIN(V$23-EM!$B$16+35,EM!$AF$16-EM!$B$16)),0)+
IF(ROUND(V$11,0)&gt;=37,OFFSET(EM!$B$17,ROW($A32)-ROW($A$26)+(ROW(EM!$C$46)-ROW(EM!$C$14))*(MATCH(V$22,EM!$B$6:$B$9,0)-1),MIN(V$23-EM!$B$16+36,EM!$AF$16-EM!$B$16)),0)+
IF(ROUND(V$11,0)&gt;=38,OFFSET(EM!$B$17,ROW($A32)-ROW($A$26)+(ROW(EM!$C$46)-ROW(EM!$C$14))*(MATCH(V$22,EM!$B$6:$B$9,0)-1),MIN(V$23-EM!$B$16+37,EM!$AF$16-EM!$B$16)),0)+
IF(ROUND(V$11,0)&gt;=39,OFFSET(EM!$B$17,ROW($A32)-ROW($A$26)+(ROW(EM!$C$46)-ROW(EM!$C$14))*(MATCH(V$22,EM!$B$6:$B$9,0)-1),MIN(V$23-EM!$B$16+38,EM!$AF$16-EM!$B$16)),0)+
IF(ROUND(V$11,0)&gt;=40,OFFSET(EM!$B$17,ROW($A32)-ROW($A$26)+(ROW(EM!$C$46)-ROW(EM!$C$14))*(MATCH(V$22,EM!$B$6:$B$9,0)-1),MIN(V$23-EM!$B$16+39,EM!$AF$16-EM!$B$16)),0)
)/ROUND(V$11,0),NA()))</f>
        <v>0</v>
      </c>
      <c r="W32" s="2046">
        <f ca="1">IF(W$19=GPG!$A$28,IF(ROW(W32)-ROW(W$26)+1=MATCH(W$20,GPG!$A$5:$A$11,0),1,0),
IF(W$19=GPG!$A$29,
(IF(ROUND(W$11,0)&gt;=1,OFFSET(EM!$B$17,ROW($A32)-ROW($A$26)+(ROW(EM!$C$46)-ROW(EM!$C$14))*(MATCH(W$22,EM!$B$6:$B$9,0)-1),MIN(W$23-EM!$B$16,EM!$AF$16-EM!$B$16)),0)+
IF(ROUND(W$11,0)&gt;=2,OFFSET(EM!$B$17,ROW($A32)-ROW($A$26)+(ROW(EM!$C$46)-ROW(EM!$C$14))*(MATCH(W$22,EM!$B$6:$B$9,0)-1),MIN(W$23-EM!$B$16+1,EM!$AF$16-EM!$B$16)),0)+
IF(ROUND(W$11,0)&gt;=3,OFFSET(EM!$B$17,ROW($A32)-ROW($A$26)+(ROW(EM!$C$46)-ROW(EM!$C$14))*(MATCH(W$22,EM!$B$6:$B$9,0)-1),MIN(W$23-EM!$B$16+2,EM!$AF$16-EM!$B$16)),0)+
IF(ROUND(W$11,0)&gt;=4,OFFSET(EM!$B$17,ROW($A32)-ROW($A$26)+(ROW(EM!$C$46)-ROW(EM!$C$14))*(MATCH(W$22,EM!$B$6:$B$9,0)-1),MIN(W$23-EM!$B$16+3,EM!$AF$16-EM!$B$16)),0)+
IF(ROUND(W$11,0)&gt;=5,OFFSET(EM!$B$17,ROW($A32)-ROW($A$26)+(ROW(EM!$C$46)-ROW(EM!$C$14))*(MATCH(W$22,EM!$B$6:$B$9,0)-1),MIN(W$23-EM!$B$16+4,EM!$AF$16-EM!$B$16)),0)+
IF(ROUND(W$11,0)&gt;=6,OFFSET(EM!$B$17,ROW($A32)-ROW($A$26)+(ROW(EM!$C$46)-ROW(EM!$C$14))*(MATCH(W$22,EM!$B$6:$B$9,0)-1),MIN(W$23-EM!$B$16+5,EM!$AF$16-EM!$B$16)),0)+
IF(ROUND(W$11,0)&gt;=7,OFFSET(EM!$B$17,ROW($A32)-ROW($A$26)+(ROW(EM!$C$46)-ROW(EM!$C$14))*(MATCH(W$22,EM!$B$6:$B$9,0)-1),MIN(W$23-EM!$B$16+6,EM!$AF$16-EM!$B$16)),0)+
IF(ROUND(W$11,0)&gt;=8,OFFSET(EM!$B$17,ROW($A32)-ROW($A$26)+(ROW(EM!$C$46)-ROW(EM!$C$14))*(MATCH(W$22,EM!$B$6:$B$9,0)-1),MIN(W$23-EM!$B$16+7,EM!$AF$16-EM!$B$16)),0)+
IF(ROUND(W$11,0)&gt;=9,OFFSET(EM!$B$17,ROW($A32)-ROW($A$26)+(ROW(EM!$C$46)-ROW(EM!$C$14))*(MATCH(W$22,EM!$B$6:$B$9,0)-1),MIN(W$23-EM!$B$16+8,EM!$AF$16-EM!$B$16)),0)+
IF(ROUND(W$11,0)&gt;=10,OFFSET(EM!$B$17,ROW($A32)-ROW($A$26)+(ROW(EM!$C$46)-ROW(EM!$C$14))*(MATCH(W$22,EM!$B$6:$B$9,0)-1),MIN(W$23-EM!$B$16+9,EM!$AF$16-EM!$B$16)),0)+
IF(ROUND(W$11,0)&gt;=11,OFFSET(EM!$B$17,ROW($A32)-ROW($A$26)+(ROW(EM!$C$46)-ROW(EM!$C$14))*(MATCH(W$22,EM!$B$6:$B$9,0)-1),MIN(W$23-EM!$B$16+10,EM!$AF$16-EM!$B$16)),0)+
IF(ROUND(W$11,0)&gt;=12,OFFSET(EM!$B$17,ROW($A32)-ROW($A$26)+(ROW(EM!$C$46)-ROW(EM!$C$14))*(MATCH(W$22,EM!$B$6:$B$9,0)-1),MIN(W$23-EM!$B$16+11,EM!$AF$16-EM!$B$16)),0)+
IF(ROUND(W$11,0)&gt;=13,OFFSET(EM!$B$17,ROW($A32)-ROW($A$26)+(ROW(EM!$C$46)-ROW(EM!$C$14))*(MATCH(W$22,EM!$B$6:$B$9,0)-1),MIN(W$23-EM!$B$16+12,EM!$AF$16-EM!$B$16)),0)+
IF(ROUND(W$11,0)&gt;=14,OFFSET(EM!$B$17,ROW($A32)-ROW($A$26)+(ROW(EM!$C$46)-ROW(EM!$C$14))*(MATCH(W$22,EM!$B$6:$B$9,0)-1),MIN(W$23-EM!$B$16+13,EM!$AF$16-EM!$B$16)),0)+
IF(ROUND(W$11,0)&gt;=15,OFFSET(EM!$B$17,ROW($A32)-ROW($A$26)+(ROW(EM!$C$46)-ROW(EM!$C$14))*(MATCH(W$22,EM!$B$6:$B$9,0)-1),MIN(W$23-EM!$B$16+14,EM!$AF$16-EM!$B$16)),0)+
IF(ROUND(W$11,0)&gt;=16,OFFSET(EM!$B$17,ROW($A32)-ROW($A$26)+(ROW(EM!$C$46)-ROW(EM!$C$14))*(MATCH(W$22,EM!$B$6:$B$9,0)-1),MIN(W$23-EM!$B$16+15,EM!$AF$16-EM!$B$16)),0)+
IF(ROUND(W$11,0)&gt;=17,OFFSET(EM!$B$17,ROW($A32)-ROW($A$26)+(ROW(EM!$C$46)-ROW(EM!$C$14))*(MATCH(W$22,EM!$B$6:$B$9,0)-1),MIN(W$23-EM!$B$16+16,EM!$AF$16-EM!$B$16)),0)+
IF(ROUND(W$11,0)&gt;=18,OFFSET(EM!$B$17,ROW($A32)-ROW($A$26)+(ROW(EM!$C$46)-ROW(EM!$C$14))*(MATCH(W$22,EM!$B$6:$B$9,0)-1),MIN(W$23-EM!$B$16+17,EM!$AF$16-EM!$B$16)),0)+
IF(ROUND(W$11,0)&gt;=19,OFFSET(EM!$B$17,ROW($A32)-ROW($A$26)+(ROW(EM!$C$46)-ROW(EM!$C$14))*(MATCH(W$22,EM!$B$6:$B$9,0)-1),MIN(W$23-EM!$B$16+18,EM!$AF$16-EM!$B$16)),0)+
IF(ROUND(W$11,0)&gt;=20,OFFSET(EM!$B$17,ROW($A32)-ROW($A$26)+(ROW(EM!$C$46)-ROW(EM!$C$14))*(MATCH(W$22,EM!$B$6:$B$9,0)-1),MIN(W$23-EM!$B$16+19,EM!$AF$16-EM!$B$16)),0)+
IF(ROUND(W$11,0)&gt;=21,OFFSET(EM!$B$17,ROW($A32)-ROW($A$26)+(ROW(EM!$C$46)-ROW(EM!$C$14))*(MATCH(W$22,EM!$B$6:$B$9,0)-1),MIN(W$23-EM!$B$16+20,EM!$AF$16-EM!$B$16)),0)+
IF(ROUND(W$11,0)&gt;=22,OFFSET(EM!$B$17,ROW($A32)-ROW($A$26)+(ROW(EM!$C$46)-ROW(EM!$C$14))*(MATCH(W$22,EM!$B$6:$B$9,0)-1),MIN(W$23-EM!$B$16+21,EM!$AF$16-EM!$B$16)),0)+
IF(ROUND(W$11,0)&gt;=23,OFFSET(EM!$B$17,ROW($A32)-ROW($A$26)+(ROW(EM!$C$46)-ROW(EM!$C$14))*(MATCH(W$22,EM!$B$6:$B$9,0)-1),MIN(W$23-EM!$B$16+22,EM!$AF$16-EM!$B$16)),0)+
IF(ROUND(W$11,0)&gt;=24,OFFSET(EM!$B$17,ROW($A32)-ROW($A$26)+(ROW(EM!$C$46)-ROW(EM!$C$14))*(MATCH(W$22,EM!$B$6:$B$9,0)-1),MIN(W$23-EM!$B$16+23,EM!$AF$16-EM!$B$16)),0)+
IF(ROUND(W$11,0)&gt;=25,OFFSET(EM!$B$17,ROW($A32)-ROW($A$26)+(ROW(EM!$C$46)-ROW(EM!$C$14))*(MATCH(W$22,EM!$B$6:$B$9,0)-1),MIN(W$23-EM!$B$16+24,EM!$AF$16-EM!$B$16)),0)+
IF(ROUND(W$11,0)&gt;=26,OFFSET(EM!$B$17,ROW($A32)-ROW($A$26)+(ROW(EM!$C$46)-ROW(EM!$C$14))*(MATCH(W$22,EM!$B$6:$B$9,0)-1),MIN(W$23-EM!$B$16+25,EM!$AF$16-EM!$B$16)),0)+
IF(ROUND(W$11,0)&gt;=27,OFFSET(EM!$B$17,ROW($A32)-ROW($A$26)+(ROW(EM!$C$46)-ROW(EM!$C$14))*(MATCH(W$22,EM!$B$6:$B$9,0)-1),MIN(W$23-EM!$B$16+26,EM!$AF$16-EM!$B$16)),0)+
IF(ROUND(W$11,0)&gt;=28,OFFSET(EM!$B$17,ROW($A32)-ROW($A$26)+(ROW(EM!$C$46)-ROW(EM!$C$14))*(MATCH(W$22,EM!$B$6:$B$9,0)-1),MIN(W$23-EM!$B$16+27,EM!$AF$16-EM!$B$16)),0)+
IF(ROUND(W$11,0)&gt;=29,OFFSET(EM!$B$17,ROW($A32)-ROW($A$26)+(ROW(EM!$C$46)-ROW(EM!$C$14))*(MATCH(W$22,EM!$B$6:$B$9,0)-1),MIN(W$23-EM!$B$16+28,EM!$AF$16-EM!$B$16)),0)+
IF(ROUND(W$11,0)&gt;=30,OFFSET(EM!$B$17,ROW($A32)-ROW($A$26)+(ROW(EM!$C$46)-ROW(EM!$C$14))*(MATCH(W$22,EM!$B$6:$B$9,0)-1),MIN(W$23-EM!$B$16+29,EM!$AF$16-EM!$B$16)),0)+
IF(ROUND(W$11,0)&gt;=31,OFFSET(EM!$B$17,ROW($A32)-ROW($A$26)+(ROW(EM!$C$46)-ROW(EM!$C$14))*(MATCH(W$22,EM!$B$6:$B$9,0)-1),MIN(W$23-EM!$B$16+30,EM!$AF$16-EM!$B$16)),0)+
IF(ROUND(W$11,0)&gt;=32,OFFSET(EM!$B$17,ROW($A32)-ROW($A$26)+(ROW(EM!$C$46)-ROW(EM!$C$14))*(MATCH(W$22,EM!$B$6:$B$9,0)-1),MIN(W$23-EM!$B$16+31,EM!$AF$16-EM!$B$16)),0)+
IF(ROUND(W$11,0)&gt;=33,OFFSET(EM!$B$17,ROW($A32)-ROW($A$26)+(ROW(EM!$C$46)-ROW(EM!$C$14))*(MATCH(W$22,EM!$B$6:$B$9,0)-1),MIN(W$23-EM!$B$16+32,EM!$AF$16-EM!$B$16)),0)+
IF(ROUND(W$11,0)&gt;=34,OFFSET(EM!$B$17,ROW($A32)-ROW($A$26)+(ROW(EM!$C$46)-ROW(EM!$C$14))*(MATCH(W$22,EM!$B$6:$B$9,0)-1),MIN(W$23-EM!$B$16+33,EM!$AF$16-EM!$B$16)),0)+
IF(ROUND(W$11,0)&gt;=35,OFFSET(EM!$B$17,ROW($A32)-ROW($A$26)+(ROW(EM!$C$46)-ROW(EM!$C$14))*(MATCH(W$22,EM!$B$6:$B$9,0)-1),MIN(W$23-EM!$B$16+34,EM!$AF$16-EM!$B$16)),0)+
IF(ROUND(W$11,0)&gt;=36,OFFSET(EM!$B$17,ROW($A32)-ROW($A$26)+(ROW(EM!$C$46)-ROW(EM!$C$14))*(MATCH(W$22,EM!$B$6:$B$9,0)-1),MIN(W$23-EM!$B$16+35,EM!$AF$16-EM!$B$16)),0)+
IF(ROUND(W$11,0)&gt;=37,OFFSET(EM!$B$17,ROW($A32)-ROW($A$26)+(ROW(EM!$C$46)-ROW(EM!$C$14))*(MATCH(W$22,EM!$B$6:$B$9,0)-1),MIN(W$23-EM!$B$16+36,EM!$AF$16-EM!$B$16)),0)+
IF(ROUND(W$11,0)&gt;=38,OFFSET(EM!$B$17,ROW($A32)-ROW($A$26)+(ROW(EM!$C$46)-ROW(EM!$C$14))*(MATCH(W$22,EM!$B$6:$B$9,0)-1),MIN(W$23-EM!$B$16+37,EM!$AF$16-EM!$B$16)),0)+
IF(ROUND(W$11,0)&gt;=39,OFFSET(EM!$B$17,ROW($A32)-ROW($A$26)+(ROW(EM!$C$46)-ROW(EM!$C$14))*(MATCH(W$22,EM!$B$6:$B$9,0)-1),MIN(W$23-EM!$B$16+38,EM!$AF$16-EM!$B$16)),0)+
IF(ROUND(W$11,0)&gt;=40,OFFSET(EM!$B$17,ROW($A32)-ROW($A$26)+(ROW(EM!$C$46)-ROW(EM!$C$14))*(MATCH(W$22,EM!$B$6:$B$9,0)-1),MIN(W$23-EM!$B$16+39,EM!$AF$16-EM!$B$16)),0)
)/ROUND(W$11,0),NA()))</f>
        <v>0</v>
      </c>
      <c r="X32" s="2046">
        <f ca="1">IF(X$19=GPG!$A$28,IF(ROW(X32)-ROW(X$26)+1=MATCH(X$20,GPG!$A$5:$A$11,0),1,0),
IF(X$19=GPG!$A$29,
(IF(ROUND(X$11,0)&gt;=1,OFFSET(EM!$B$17,ROW($A32)-ROW($A$26)+(ROW(EM!$C$46)-ROW(EM!$C$14))*(MATCH(X$22,EM!$B$6:$B$9,0)-1),MIN(X$23-EM!$B$16,EM!$AF$16-EM!$B$16)),0)+
IF(ROUND(X$11,0)&gt;=2,OFFSET(EM!$B$17,ROW($A32)-ROW($A$26)+(ROW(EM!$C$46)-ROW(EM!$C$14))*(MATCH(X$22,EM!$B$6:$B$9,0)-1),MIN(X$23-EM!$B$16+1,EM!$AF$16-EM!$B$16)),0)+
IF(ROUND(X$11,0)&gt;=3,OFFSET(EM!$B$17,ROW($A32)-ROW($A$26)+(ROW(EM!$C$46)-ROW(EM!$C$14))*(MATCH(X$22,EM!$B$6:$B$9,0)-1),MIN(X$23-EM!$B$16+2,EM!$AF$16-EM!$B$16)),0)+
IF(ROUND(X$11,0)&gt;=4,OFFSET(EM!$B$17,ROW($A32)-ROW($A$26)+(ROW(EM!$C$46)-ROW(EM!$C$14))*(MATCH(X$22,EM!$B$6:$B$9,0)-1),MIN(X$23-EM!$B$16+3,EM!$AF$16-EM!$B$16)),0)+
IF(ROUND(X$11,0)&gt;=5,OFFSET(EM!$B$17,ROW($A32)-ROW($A$26)+(ROW(EM!$C$46)-ROW(EM!$C$14))*(MATCH(X$22,EM!$B$6:$B$9,0)-1),MIN(X$23-EM!$B$16+4,EM!$AF$16-EM!$B$16)),0)+
IF(ROUND(X$11,0)&gt;=6,OFFSET(EM!$B$17,ROW($A32)-ROW($A$26)+(ROW(EM!$C$46)-ROW(EM!$C$14))*(MATCH(X$22,EM!$B$6:$B$9,0)-1),MIN(X$23-EM!$B$16+5,EM!$AF$16-EM!$B$16)),0)+
IF(ROUND(X$11,0)&gt;=7,OFFSET(EM!$B$17,ROW($A32)-ROW($A$26)+(ROW(EM!$C$46)-ROW(EM!$C$14))*(MATCH(X$22,EM!$B$6:$B$9,0)-1),MIN(X$23-EM!$B$16+6,EM!$AF$16-EM!$B$16)),0)+
IF(ROUND(X$11,0)&gt;=8,OFFSET(EM!$B$17,ROW($A32)-ROW($A$26)+(ROW(EM!$C$46)-ROW(EM!$C$14))*(MATCH(X$22,EM!$B$6:$B$9,0)-1),MIN(X$23-EM!$B$16+7,EM!$AF$16-EM!$B$16)),0)+
IF(ROUND(X$11,0)&gt;=9,OFFSET(EM!$B$17,ROW($A32)-ROW($A$26)+(ROW(EM!$C$46)-ROW(EM!$C$14))*(MATCH(X$22,EM!$B$6:$B$9,0)-1),MIN(X$23-EM!$B$16+8,EM!$AF$16-EM!$B$16)),0)+
IF(ROUND(X$11,0)&gt;=10,OFFSET(EM!$B$17,ROW($A32)-ROW($A$26)+(ROW(EM!$C$46)-ROW(EM!$C$14))*(MATCH(X$22,EM!$B$6:$B$9,0)-1),MIN(X$23-EM!$B$16+9,EM!$AF$16-EM!$B$16)),0)+
IF(ROUND(X$11,0)&gt;=11,OFFSET(EM!$B$17,ROW($A32)-ROW($A$26)+(ROW(EM!$C$46)-ROW(EM!$C$14))*(MATCH(X$22,EM!$B$6:$B$9,0)-1),MIN(X$23-EM!$B$16+10,EM!$AF$16-EM!$B$16)),0)+
IF(ROUND(X$11,0)&gt;=12,OFFSET(EM!$B$17,ROW($A32)-ROW($A$26)+(ROW(EM!$C$46)-ROW(EM!$C$14))*(MATCH(X$22,EM!$B$6:$B$9,0)-1),MIN(X$23-EM!$B$16+11,EM!$AF$16-EM!$B$16)),0)+
IF(ROUND(X$11,0)&gt;=13,OFFSET(EM!$B$17,ROW($A32)-ROW($A$26)+(ROW(EM!$C$46)-ROW(EM!$C$14))*(MATCH(X$22,EM!$B$6:$B$9,0)-1),MIN(X$23-EM!$B$16+12,EM!$AF$16-EM!$B$16)),0)+
IF(ROUND(X$11,0)&gt;=14,OFFSET(EM!$B$17,ROW($A32)-ROW($A$26)+(ROW(EM!$C$46)-ROW(EM!$C$14))*(MATCH(X$22,EM!$B$6:$B$9,0)-1),MIN(X$23-EM!$B$16+13,EM!$AF$16-EM!$B$16)),0)+
IF(ROUND(X$11,0)&gt;=15,OFFSET(EM!$B$17,ROW($A32)-ROW($A$26)+(ROW(EM!$C$46)-ROW(EM!$C$14))*(MATCH(X$22,EM!$B$6:$B$9,0)-1),MIN(X$23-EM!$B$16+14,EM!$AF$16-EM!$B$16)),0)+
IF(ROUND(X$11,0)&gt;=16,OFFSET(EM!$B$17,ROW($A32)-ROW($A$26)+(ROW(EM!$C$46)-ROW(EM!$C$14))*(MATCH(X$22,EM!$B$6:$B$9,0)-1),MIN(X$23-EM!$B$16+15,EM!$AF$16-EM!$B$16)),0)+
IF(ROUND(X$11,0)&gt;=17,OFFSET(EM!$B$17,ROW($A32)-ROW($A$26)+(ROW(EM!$C$46)-ROW(EM!$C$14))*(MATCH(X$22,EM!$B$6:$B$9,0)-1),MIN(X$23-EM!$B$16+16,EM!$AF$16-EM!$B$16)),0)+
IF(ROUND(X$11,0)&gt;=18,OFFSET(EM!$B$17,ROW($A32)-ROW($A$26)+(ROW(EM!$C$46)-ROW(EM!$C$14))*(MATCH(X$22,EM!$B$6:$B$9,0)-1),MIN(X$23-EM!$B$16+17,EM!$AF$16-EM!$B$16)),0)+
IF(ROUND(X$11,0)&gt;=19,OFFSET(EM!$B$17,ROW($A32)-ROW($A$26)+(ROW(EM!$C$46)-ROW(EM!$C$14))*(MATCH(X$22,EM!$B$6:$B$9,0)-1),MIN(X$23-EM!$B$16+18,EM!$AF$16-EM!$B$16)),0)+
IF(ROUND(X$11,0)&gt;=20,OFFSET(EM!$B$17,ROW($A32)-ROW($A$26)+(ROW(EM!$C$46)-ROW(EM!$C$14))*(MATCH(X$22,EM!$B$6:$B$9,0)-1),MIN(X$23-EM!$B$16+19,EM!$AF$16-EM!$B$16)),0)+
IF(ROUND(X$11,0)&gt;=21,OFFSET(EM!$B$17,ROW($A32)-ROW($A$26)+(ROW(EM!$C$46)-ROW(EM!$C$14))*(MATCH(X$22,EM!$B$6:$B$9,0)-1),MIN(X$23-EM!$B$16+20,EM!$AF$16-EM!$B$16)),0)+
IF(ROUND(X$11,0)&gt;=22,OFFSET(EM!$B$17,ROW($A32)-ROW($A$26)+(ROW(EM!$C$46)-ROW(EM!$C$14))*(MATCH(X$22,EM!$B$6:$B$9,0)-1),MIN(X$23-EM!$B$16+21,EM!$AF$16-EM!$B$16)),0)+
IF(ROUND(X$11,0)&gt;=23,OFFSET(EM!$B$17,ROW($A32)-ROW($A$26)+(ROW(EM!$C$46)-ROW(EM!$C$14))*(MATCH(X$22,EM!$B$6:$B$9,0)-1),MIN(X$23-EM!$B$16+22,EM!$AF$16-EM!$B$16)),0)+
IF(ROUND(X$11,0)&gt;=24,OFFSET(EM!$B$17,ROW($A32)-ROW($A$26)+(ROW(EM!$C$46)-ROW(EM!$C$14))*(MATCH(X$22,EM!$B$6:$B$9,0)-1),MIN(X$23-EM!$B$16+23,EM!$AF$16-EM!$B$16)),0)+
IF(ROUND(X$11,0)&gt;=25,OFFSET(EM!$B$17,ROW($A32)-ROW($A$26)+(ROW(EM!$C$46)-ROW(EM!$C$14))*(MATCH(X$22,EM!$B$6:$B$9,0)-1),MIN(X$23-EM!$B$16+24,EM!$AF$16-EM!$B$16)),0)+
IF(ROUND(X$11,0)&gt;=26,OFFSET(EM!$B$17,ROW($A32)-ROW($A$26)+(ROW(EM!$C$46)-ROW(EM!$C$14))*(MATCH(X$22,EM!$B$6:$B$9,0)-1),MIN(X$23-EM!$B$16+25,EM!$AF$16-EM!$B$16)),0)+
IF(ROUND(X$11,0)&gt;=27,OFFSET(EM!$B$17,ROW($A32)-ROW($A$26)+(ROW(EM!$C$46)-ROW(EM!$C$14))*(MATCH(X$22,EM!$B$6:$B$9,0)-1),MIN(X$23-EM!$B$16+26,EM!$AF$16-EM!$B$16)),0)+
IF(ROUND(X$11,0)&gt;=28,OFFSET(EM!$B$17,ROW($A32)-ROW($A$26)+(ROW(EM!$C$46)-ROW(EM!$C$14))*(MATCH(X$22,EM!$B$6:$B$9,0)-1),MIN(X$23-EM!$B$16+27,EM!$AF$16-EM!$B$16)),0)+
IF(ROUND(X$11,0)&gt;=29,OFFSET(EM!$B$17,ROW($A32)-ROW($A$26)+(ROW(EM!$C$46)-ROW(EM!$C$14))*(MATCH(X$22,EM!$B$6:$B$9,0)-1),MIN(X$23-EM!$B$16+28,EM!$AF$16-EM!$B$16)),0)+
IF(ROUND(X$11,0)&gt;=30,OFFSET(EM!$B$17,ROW($A32)-ROW($A$26)+(ROW(EM!$C$46)-ROW(EM!$C$14))*(MATCH(X$22,EM!$B$6:$B$9,0)-1),MIN(X$23-EM!$B$16+29,EM!$AF$16-EM!$B$16)),0)+
IF(ROUND(X$11,0)&gt;=31,OFFSET(EM!$B$17,ROW($A32)-ROW($A$26)+(ROW(EM!$C$46)-ROW(EM!$C$14))*(MATCH(X$22,EM!$B$6:$B$9,0)-1),MIN(X$23-EM!$B$16+30,EM!$AF$16-EM!$B$16)),0)+
IF(ROUND(X$11,0)&gt;=32,OFFSET(EM!$B$17,ROW($A32)-ROW($A$26)+(ROW(EM!$C$46)-ROW(EM!$C$14))*(MATCH(X$22,EM!$B$6:$B$9,0)-1),MIN(X$23-EM!$B$16+31,EM!$AF$16-EM!$B$16)),0)+
IF(ROUND(X$11,0)&gt;=33,OFFSET(EM!$B$17,ROW($A32)-ROW($A$26)+(ROW(EM!$C$46)-ROW(EM!$C$14))*(MATCH(X$22,EM!$B$6:$B$9,0)-1),MIN(X$23-EM!$B$16+32,EM!$AF$16-EM!$B$16)),0)+
IF(ROUND(X$11,0)&gt;=34,OFFSET(EM!$B$17,ROW($A32)-ROW($A$26)+(ROW(EM!$C$46)-ROW(EM!$C$14))*(MATCH(X$22,EM!$B$6:$B$9,0)-1),MIN(X$23-EM!$B$16+33,EM!$AF$16-EM!$B$16)),0)+
IF(ROUND(X$11,0)&gt;=35,OFFSET(EM!$B$17,ROW($A32)-ROW($A$26)+(ROW(EM!$C$46)-ROW(EM!$C$14))*(MATCH(X$22,EM!$B$6:$B$9,0)-1),MIN(X$23-EM!$B$16+34,EM!$AF$16-EM!$B$16)),0)+
IF(ROUND(X$11,0)&gt;=36,OFFSET(EM!$B$17,ROW($A32)-ROW($A$26)+(ROW(EM!$C$46)-ROW(EM!$C$14))*(MATCH(X$22,EM!$B$6:$B$9,0)-1),MIN(X$23-EM!$B$16+35,EM!$AF$16-EM!$B$16)),0)+
IF(ROUND(X$11,0)&gt;=37,OFFSET(EM!$B$17,ROW($A32)-ROW($A$26)+(ROW(EM!$C$46)-ROW(EM!$C$14))*(MATCH(X$22,EM!$B$6:$B$9,0)-1),MIN(X$23-EM!$B$16+36,EM!$AF$16-EM!$B$16)),0)+
IF(ROUND(X$11,0)&gt;=38,OFFSET(EM!$B$17,ROW($A32)-ROW($A$26)+(ROW(EM!$C$46)-ROW(EM!$C$14))*(MATCH(X$22,EM!$B$6:$B$9,0)-1),MIN(X$23-EM!$B$16+37,EM!$AF$16-EM!$B$16)),0)+
IF(ROUND(X$11,0)&gt;=39,OFFSET(EM!$B$17,ROW($A32)-ROW($A$26)+(ROW(EM!$C$46)-ROW(EM!$C$14))*(MATCH(X$22,EM!$B$6:$B$9,0)-1),MIN(X$23-EM!$B$16+38,EM!$AF$16-EM!$B$16)),0)+
IF(ROUND(X$11,0)&gt;=40,OFFSET(EM!$B$17,ROW($A32)-ROW($A$26)+(ROW(EM!$C$46)-ROW(EM!$C$14))*(MATCH(X$22,EM!$B$6:$B$9,0)-1),MIN(X$23-EM!$B$16+39,EM!$AF$16-EM!$B$16)),0)
)/ROUND(X$11,0),NA()))</f>
        <v>1</v>
      </c>
      <c r="Y32" s="2046">
        <f ca="1">IF(Y$19=GPG!$A$28,IF(ROW(Y32)-ROW(Y$26)+1=MATCH(Y$20,GPG!$A$5:$A$11,0),1,0),
IF(Y$19=GPG!$A$29,
(IF(ROUND(Y$11,0)&gt;=1,OFFSET(EM!$B$17,ROW($A32)-ROW($A$26)+(ROW(EM!$C$46)-ROW(EM!$C$14))*(MATCH(Y$22,EM!$B$6:$B$9,0)-1),MIN(Y$23-EM!$B$16,EM!$AF$16-EM!$B$16)),0)+
IF(ROUND(Y$11,0)&gt;=2,OFFSET(EM!$B$17,ROW($A32)-ROW($A$26)+(ROW(EM!$C$46)-ROW(EM!$C$14))*(MATCH(Y$22,EM!$B$6:$B$9,0)-1),MIN(Y$23-EM!$B$16+1,EM!$AF$16-EM!$B$16)),0)+
IF(ROUND(Y$11,0)&gt;=3,OFFSET(EM!$B$17,ROW($A32)-ROW($A$26)+(ROW(EM!$C$46)-ROW(EM!$C$14))*(MATCH(Y$22,EM!$B$6:$B$9,0)-1),MIN(Y$23-EM!$B$16+2,EM!$AF$16-EM!$B$16)),0)+
IF(ROUND(Y$11,0)&gt;=4,OFFSET(EM!$B$17,ROW($A32)-ROW($A$26)+(ROW(EM!$C$46)-ROW(EM!$C$14))*(MATCH(Y$22,EM!$B$6:$B$9,0)-1),MIN(Y$23-EM!$B$16+3,EM!$AF$16-EM!$B$16)),0)+
IF(ROUND(Y$11,0)&gt;=5,OFFSET(EM!$B$17,ROW($A32)-ROW($A$26)+(ROW(EM!$C$46)-ROW(EM!$C$14))*(MATCH(Y$22,EM!$B$6:$B$9,0)-1),MIN(Y$23-EM!$B$16+4,EM!$AF$16-EM!$B$16)),0)+
IF(ROUND(Y$11,0)&gt;=6,OFFSET(EM!$B$17,ROW($A32)-ROW($A$26)+(ROW(EM!$C$46)-ROW(EM!$C$14))*(MATCH(Y$22,EM!$B$6:$B$9,0)-1),MIN(Y$23-EM!$B$16+5,EM!$AF$16-EM!$B$16)),0)+
IF(ROUND(Y$11,0)&gt;=7,OFFSET(EM!$B$17,ROW($A32)-ROW($A$26)+(ROW(EM!$C$46)-ROW(EM!$C$14))*(MATCH(Y$22,EM!$B$6:$B$9,0)-1),MIN(Y$23-EM!$B$16+6,EM!$AF$16-EM!$B$16)),0)+
IF(ROUND(Y$11,0)&gt;=8,OFFSET(EM!$B$17,ROW($A32)-ROW($A$26)+(ROW(EM!$C$46)-ROW(EM!$C$14))*(MATCH(Y$22,EM!$B$6:$B$9,0)-1),MIN(Y$23-EM!$B$16+7,EM!$AF$16-EM!$B$16)),0)+
IF(ROUND(Y$11,0)&gt;=9,OFFSET(EM!$B$17,ROW($A32)-ROW($A$26)+(ROW(EM!$C$46)-ROW(EM!$C$14))*(MATCH(Y$22,EM!$B$6:$B$9,0)-1),MIN(Y$23-EM!$B$16+8,EM!$AF$16-EM!$B$16)),0)+
IF(ROUND(Y$11,0)&gt;=10,OFFSET(EM!$B$17,ROW($A32)-ROW($A$26)+(ROW(EM!$C$46)-ROW(EM!$C$14))*(MATCH(Y$22,EM!$B$6:$B$9,0)-1),MIN(Y$23-EM!$B$16+9,EM!$AF$16-EM!$B$16)),0)+
IF(ROUND(Y$11,0)&gt;=11,OFFSET(EM!$B$17,ROW($A32)-ROW($A$26)+(ROW(EM!$C$46)-ROW(EM!$C$14))*(MATCH(Y$22,EM!$B$6:$B$9,0)-1),MIN(Y$23-EM!$B$16+10,EM!$AF$16-EM!$B$16)),0)+
IF(ROUND(Y$11,0)&gt;=12,OFFSET(EM!$B$17,ROW($A32)-ROW($A$26)+(ROW(EM!$C$46)-ROW(EM!$C$14))*(MATCH(Y$22,EM!$B$6:$B$9,0)-1),MIN(Y$23-EM!$B$16+11,EM!$AF$16-EM!$B$16)),0)+
IF(ROUND(Y$11,0)&gt;=13,OFFSET(EM!$B$17,ROW($A32)-ROW($A$26)+(ROW(EM!$C$46)-ROW(EM!$C$14))*(MATCH(Y$22,EM!$B$6:$B$9,0)-1),MIN(Y$23-EM!$B$16+12,EM!$AF$16-EM!$B$16)),0)+
IF(ROUND(Y$11,0)&gt;=14,OFFSET(EM!$B$17,ROW($A32)-ROW($A$26)+(ROW(EM!$C$46)-ROW(EM!$C$14))*(MATCH(Y$22,EM!$B$6:$B$9,0)-1),MIN(Y$23-EM!$B$16+13,EM!$AF$16-EM!$B$16)),0)+
IF(ROUND(Y$11,0)&gt;=15,OFFSET(EM!$B$17,ROW($A32)-ROW($A$26)+(ROW(EM!$C$46)-ROW(EM!$C$14))*(MATCH(Y$22,EM!$B$6:$B$9,0)-1),MIN(Y$23-EM!$B$16+14,EM!$AF$16-EM!$B$16)),0)+
IF(ROUND(Y$11,0)&gt;=16,OFFSET(EM!$B$17,ROW($A32)-ROW($A$26)+(ROW(EM!$C$46)-ROW(EM!$C$14))*(MATCH(Y$22,EM!$B$6:$B$9,0)-1),MIN(Y$23-EM!$B$16+15,EM!$AF$16-EM!$B$16)),0)+
IF(ROUND(Y$11,0)&gt;=17,OFFSET(EM!$B$17,ROW($A32)-ROW($A$26)+(ROW(EM!$C$46)-ROW(EM!$C$14))*(MATCH(Y$22,EM!$B$6:$B$9,0)-1),MIN(Y$23-EM!$B$16+16,EM!$AF$16-EM!$B$16)),0)+
IF(ROUND(Y$11,0)&gt;=18,OFFSET(EM!$B$17,ROW($A32)-ROW($A$26)+(ROW(EM!$C$46)-ROW(EM!$C$14))*(MATCH(Y$22,EM!$B$6:$B$9,0)-1),MIN(Y$23-EM!$B$16+17,EM!$AF$16-EM!$B$16)),0)+
IF(ROUND(Y$11,0)&gt;=19,OFFSET(EM!$B$17,ROW($A32)-ROW($A$26)+(ROW(EM!$C$46)-ROW(EM!$C$14))*(MATCH(Y$22,EM!$B$6:$B$9,0)-1),MIN(Y$23-EM!$B$16+18,EM!$AF$16-EM!$B$16)),0)+
IF(ROUND(Y$11,0)&gt;=20,OFFSET(EM!$B$17,ROW($A32)-ROW($A$26)+(ROW(EM!$C$46)-ROW(EM!$C$14))*(MATCH(Y$22,EM!$B$6:$B$9,0)-1),MIN(Y$23-EM!$B$16+19,EM!$AF$16-EM!$B$16)),0)+
IF(ROUND(Y$11,0)&gt;=21,OFFSET(EM!$B$17,ROW($A32)-ROW($A$26)+(ROW(EM!$C$46)-ROW(EM!$C$14))*(MATCH(Y$22,EM!$B$6:$B$9,0)-1),MIN(Y$23-EM!$B$16+20,EM!$AF$16-EM!$B$16)),0)+
IF(ROUND(Y$11,0)&gt;=22,OFFSET(EM!$B$17,ROW($A32)-ROW($A$26)+(ROW(EM!$C$46)-ROW(EM!$C$14))*(MATCH(Y$22,EM!$B$6:$B$9,0)-1),MIN(Y$23-EM!$B$16+21,EM!$AF$16-EM!$B$16)),0)+
IF(ROUND(Y$11,0)&gt;=23,OFFSET(EM!$B$17,ROW($A32)-ROW($A$26)+(ROW(EM!$C$46)-ROW(EM!$C$14))*(MATCH(Y$22,EM!$B$6:$B$9,0)-1),MIN(Y$23-EM!$B$16+22,EM!$AF$16-EM!$B$16)),0)+
IF(ROUND(Y$11,0)&gt;=24,OFFSET(EM!$B$17,ROW($A32)-ROW($A$26)+(ROW(EM!$C$46)-ROW(EM!$C$14))*(MATCH(Y$22,EM!$B$6:$B$9,0)-1),MIN(Y$23-EM!$B$16+23,EM!$AF$16-EM!$B$16)),0)+
IF(ROUND(Y$11,0)&gt;=25,OFFSET(EM!$B$17,ROW($A32)-ROW($A$26)+(ROW(EM!$C$46)-ROW(EM!$C$14))*(MATCH(Y$22,EM!$B$6:$B$9,0)-1),MIN(Y$23-EM!$B$16+24,EM!$AF$16-EM!$B$16)),0)+
IF(ROUND(Y$11,0)&gt;=26,OFFSET(EM!$B$17,ROW($A32)-ROW($A$26)+(ROW(EM!$C$46)-ROW(EM!$C$14))*(MATCH(Y$22,EM!$B$6:$B$9,0)-1),MIN(Y$23-EM!$B$16+25,EM!$AF$16-EM!$B$16)),0)+
IF(ROUND(Y$11,0)&gt;=27,OFFSET(EM!$B$17,ROW($A32)-ROW($A$26)+(ROW(EM!$C$46)-ROW(EM!$C$14))*(MATCH(Y$22,EM!$B$6:$B$9,0)-1),MIN(Y$23-EM!$B$16+26,EM!$AF$16-EM!$B$16)),0)+
IF(ROUND(Y$11,0)&gt;=28,OFFSET(EM!$B$17,ROW($A32)-ROW($A$26)+(ROW(EM!$C$46)-ROW(EM!$C$14))*(MATCH(Y$22,EM!$B$6:$B$9,0)-1),MIN(Y$23-EM!$B$16+27,EM!$AF$16-EM!$B$16)),0)+
IF(ROUND(Y$11,0)&gt;=29,OFFSET(EM!$B$17,ROW($A32)-ROW($A$26)+(ROW(EM!$C$46)-ROW(EM!$C$14))*(MATCH(Y$22,EM!$B$6:$B$9,0)-1),MIN(Y$23-EM!$B$16+28,EM!$AF$16-EM!$B$16)),0)+
IF(ROUND(Y$11,0)&gt;=30,OFFSET(EM!$B$17,ROW($A32)-ROW($A$26)+(ROW(EM!$C$46)-ROW(EM!$C$14))*(MATCH(Y$22,EM!$B$6:$B$9,0)-1),MIN(Y$23-EM!$B$16+29,EM!$AF$16-EM!$B$16)),0)+
IF(ROUND(Y$11,0)&gt;=31,OFFSET(EM!$B$17,ROW($A32)-ROW($A$26)+(ROW(EM!$C$46)-ROW(EM!$C$14))*(MATCH(Y$22,EM!$B$6:$B$9,0)-1),MIN(Y$23-EM!$B$16+30,EM!$AF$16-EM!$B$16)),0)+
IF(ROUND(Y$11,0)&gt;=32,OFFSET(EM!$B$17,ROW($A32)-ROW($A$26)+(ROW(EM!$C$46)-ROW(EM!$C$14))*(MATCH(Y$22,EM!$B$6:$B$9,0)-1),MIN(Y$23-EM!$B$16+31,EM!$AF$16-EM!$B$16)),0)+
IF(ROUND(Y$11,0)&gt;=33,OFFSET(EM!$B$17,ROW($A32)-ROW($A$26)+(ROW(EM!$C$46)-ROW(EM!$C$14))*(MATCH(Y$22,EM!$B$6:$B$9,0)-1),MIN(Y$23-EM!$B$16+32,EM!$AF$16-EM!$B$16)),0)+
IF(ROUND(Y$11,0)&gt;=34,OFFSET(EM!$B$17,ROW($A32)-ROW($A$26)+(ROW(EM!$C$46)-ROW(EM!$C$14))*(MATCH(Y$22,EM!$B$6:$B$9,0)-1),MIN(Y$23-EM!$B$16+33,EM!$AF$16-EM!$B$16)),0)+
IF(ROUND(Y$11,0)&gt;=35,OFFSET(EM!$B$17,ROW($A32)-ROW($A$26)+(ROW(EM!$C$46)-ROW(EM!$C$14))*(MATCH(Y$22,EM!$B$6:$B$9,0)-1),MIN(Y$23-EM!$B$16+34,EM!$AF$16-EM!$B$16)),0)+
IF(ROUND(Y$11,0)&gt;=36,OFFSET(EM!$B$17,ROW($A32)-ROW($A$26)+(ROW(EM!$C$46)-ROW(EM!$C$14))*(MATCH(Y$22,EM!$B$6:$B$9,0)-1),MIN(Y$23-EM!$B$16+35,EM!$AF$16-EM!$B$16)),0)+
IF(ROUND(Y$11,0)&gt;=37,OFFSET(EM!$B$17,ROW($A32)-ROW($A$26)+(ROW(EM!$C$46)-ROW(EM!$C$14))*(MATCH(Y$22,EM!$B$6:$B$9,0)-1),MIN(Y$23-EM!$B$16+36,EM!$AF$16-EM!$B$16)),0)+
IF(ROUND(Y$11,0)&gt;=38,OFFSET(EM!$B$17,ROW($A32)-ROW($A$26)+(ROW(EM!$C$46)-ROW(EM!$C$14))*(MATCH(Y$22,EM!$B$6:$B$9,0)-1),MIN(Y$23-EM!$B$16+37,EM!$AF$16-EM!$B$16)),0)+
IF(ROUND(Y$11,0)&gt;=39,OFFSET(EM!$B$17,ROW($A32)-ROW($A$26)+(ROW(EM!$C$46)-ROW(EM!$C$14))*(MATCH(Y$22,EM!$B$6:$B$9,0)-1),MIN(Y$23-EM!$B$16+38,EM!$AF$16-EM!$B$16)),0)+
IF(ROUND(Y$11,0)&gt;=40,OFFSET(EM!$B$17,ROW($A32)-ROW($A$26)+(ROW(EM!$C$46)-ROW(EM!$C$14))*(MATCH(Y$22,EM!$B$6:$B$9,0)-1),MIN(Y$23-EM!$B$16+39,EM!$AF$16-EM!$B$16)),0)
)/ROUND(Y$11,0),NA()))</f>
        <v>0</v>
      </c>
      <c r="Z32" s="2046">
        <f ca="1">IF(Z$19=GPG!$A$28,IF(ROW(Z32)-ROW(Z$26)+1=MATCH(Z$20,GPG!$A$5:$A$11,0),1,0),
IF(Z$19=GPG!$A$29,
(IF(ROUND(Z$11,0)&gt;=1,OFFSET(EM!$B$17,ROW($A32)-ROW($A$26)+(ROW(EM!$C$46)-ROW(EM!$C$14))*(MATCH(Z$22,EM!$B$6:$B$9,0)-1),MIN(Z$23-EM!$B$16,EM!$AF$16-EM!$B$16)),0)+
IF(ROUND(Z$11,0)&gt;=2,OFFSET(EM!$B$17,ROW($A32)-ROW($A$26)+(ROW(EM!$C$46)-ROW(EM!$C$14))*(MATCH(Z$22,EM!$B$6:$B$9,0)-1),MIN(Z$23-EM!$B$16+1,EM!$AF$16-EM!$B$16)),0)+
IF(ROUND(Z$11,0)&gt;=3,OFFSET(EM!$B$17,ROW($A32)-ROW($A$26)+(ROW(EM!$C$46)-ROW(EM!$C$14))*(MATCH(Z$22,EM!$B$6:$B$9,0)-1),MIN(Z$23-EM!$B$16+2,EM!$AF$16-EM!$B$16)),0)+
IF(ROUND(Z$11,0)&gt;=4,OFFSET(EM!$B$17,ROW($A32)-ROW($A$26)+(ROW(EM!$C$46)-ROW(EM!$C$14))*(MATCH(Z$22,EM!$B$6:$B$9,0)-1),MIN(Z$23-EM!$B$16+3,EM!$AF$16-EM!$B$16)),0)+
IF(ROUND(Z$11,0)&gt;=5,OFFSET(EM!$B$17,ROW($A32)-ROW($A$26)+(ROW(EM!$C$46)-ROW(EM!$C$14))*(MATCH(Z$22,EM!$B$6:$B$9,0)-1),MIN(Z$23-EM!$B$16+4,EM!$AF$16-EM!$B$16)),0)+
IF(ROUND(Z$11,0)&gt;=6,OFFSET(EM!$B$17,ROW($A32)-ROW($A$26)+(ROW(EM!$C$46)-ROW(EM!$C$14))*(MATCH(Z$22,EM!$B$6:$B$9,0)-1),MIN(Z$23-EM!$B$16+5,EM!$AF$16-EM!$B$16)),0)+
IF(ROUND(Z$11,0)&gt;=7,OFFSET(EM!$B$17,ROW($A32)-ROW($A$26)+(ROW(EM!$C$46)-ROW(EM!$C$14))*(MATCH(Z$22,EM!$B$6:$B$9,0)-1),MIN(Z$23-EM!$B$16+6,EM!$AF$16-EM!$B$16)),0)+
IF(ROUND(Z$11,0)&gt;=8,OFFSET(EM!$B$17,ROW($A32)-ROW($A$26)+(ROW(EM!$C$46)-ROW(EM!$C$14))*(MATCH(Z$22,EM!$B$6:$B$9,0)-1),MIN(Z$23-EM!$B$16+7,EM!$AF$16-EM!$B$16)),0)+
IF(ROUND(Z$11,0)&gt;=9,OFFSET(EM!$B$17,ROW($A32)-ROW($A$26)+(ROW(EM!$C$46)-ROW(EM!$C$14))*(MATCH(Z$22,EM!$B$6:$B$9,0)-1),MIN(Z$23-EM!$B$16+8,EM!$AF$16-EM!$B$16)),0)+
IF(ROUND(Z$11,0)&gt;=10,OFFSET(EM!$B$17,ROW($A32)-ROW($A$26)+(ROW(EM!$C$46)-ROW(EM!$C$14))*(MATCH(Z$22,EM!$B$6:$B$9,0)-1),MIN(Z$23-EM!$B$16+9,EM!$AF$16-EM!$B$16)),0)+
IF(ROUND(Z$11,0)&gt;=11,OFFSET(EM!$B$17,ROW($A32)-ROW($A$26)+(ROW(EM!$C$46)-ROW(EM!$C$14))*(MATCH(Z$22,EM!$B$6:$B$9,0)-1),MIN(Z$23-EM!$B$16+10,EM!$AF$16-EM!$B$16)),0)+
IF(ROUND(Z$11,0)&gt;=12,OFFSET(EM!$B$17,ROW($A32)-ROW($A$26)+(ROW(EM!$C$46)-ROW(EM!$C$14))*(MATCH(Z$22,EM!$B$6:$B$9,0)-1),MIN(Z$23-EM!$B$16+11,EM!$AF$16-EM!$B$16)),0)+
IF(ROUND(Z$11,0)&gt;=13,OFFSET(EM!$B$17,ROW($A32)-ROW($A$26)+(ROW(EM!$C$46)-ROW(EM!$C$14))*(MATCH(Z$22,EM!$B$6:$B$9,0)-1),MIN(Z$23-EM!$B$16+12,EM!$AF$16-EM!$B$16)),0)+
IF(ROUND(Z$11,0)&gt;=14,OFFSET(EM!$B$17,ROW($A32)-ROW($A$26)+(ROW(EM!$C$46)-ROW(EM!$C$14))*(MATCH(Z$22,EM!$B$6:$B$9,0)-1),MIN(Z$23-EM!$B$16+13,EM!$AF$16-EM!$B$16)),0)+
IF(ROUND(Z$11,0)&gt;=15,OFFSET(EM!$B$17,ROW($A32)-ROW($A$26)+(ROW(EM!$C$46)-ROW(EM!$C$14))*(MATCH(Z$22,EM!$B$6:$B$9,0)-1),MIN(Z$23-EM!$B$16+14,EM!$AF$16-EM!$B$16)),0)+
IF(ROUND(Z$11,0)&gt;=16,OFFSET(EM!$B$17,ROW($A32)-ROW($A$26)+(ROW(EM!$C$46)-ROW(EM!$C$14))*(MATCH(Z$22,EM!$B$6:$B$9,0)-1),MIN(Z$23-EM!$B$16+15,EM!$AF$16-EM!$B$16)),0)+
IF(ROUND(Z$11,0)&gt;=17,OFFSET(EM!$B$17,ROW($A32)-ROW($A$26)+(ROW(EM!$C$46)-ROW(EM!$C$14))*(MATCH(Z$22,EM!$B$6:$B$9,0)-1),MIN(Z$23-EM!$B$16+16,EM!$AF$16-EM!$B$16)),0)+
IF(ROUND(Z$11,0)&gt;=18,OFFSET(EM!$B$17,ROW($A32)-ROW($A$26)+(ROW(EM!$C$46)-ROW(EM!$C$14))*(MATCH(Z$22,EM!$B$6:$B$9,0)-1),MIN(Z$23-EM!$B$16+17,EM!$AF$16-EM!$B$16)),0)+
IF(ROUND(Z$11,0)&gt;=19,OFFSET(EM!$B$17,ROW($A32)-ROW($A$26)+(ROW(EM!$C$46)-ROW(EM!$C$14))*(MATCH(Z$22,EM!$B$6:$B$9,0)-1),MIN(Z$23-EM!$B$16+18,EM!$AF$16-EM!$B$16)),0)+
IF(ROUND(Z$11,0)&gt;=20,OFFSET(EM!$B$17,ROW($A32)-ROW($A$26)+(ROW(EM!$C$46)-ROW(EM!$C$14))*(MATCH(Z$22,EM!$B$6:$B$9,0)-1),MIN(Z$23-EM!$B$16+19,EM!$AF$16-EM!$B$16)),0)+
IF(ROUND(Z$11,0)&gt;=21,OFFSET(EM!$B$17,ROW($A32)-ROW($A$26)+(ROW(EM!$C$46)-ROW(EM!$C$14))*(MATCH(Z$22,EM!$B$6:$B$9,0)-1),MIN(Z$23-EM!$B$16+20,EM!$AF$16-EM!$B$16)),0)+
IF(ROUND(Z$11,0)&gt;=22,OFFSET(EM!$B$17,ROW($A32)-ROW($A$26)+(ROW(EM!$C$46)-ROW(EM!$C$14))*(MATCH(Z$22,EM!$B$6:$B$9,0)-1),MIN(Z$23-EM!$B$16+21,EM!$AF$16-EM!$B$16)),0)+
IF(ROUND(Z$11,0)&gt;=23,OFFSET(EM!$B$17,ROW($A32)-ROW($A$26)+(ROW(EM!$C$46)-ROW(EM!$C$14))*(MATCH(Z$22,EM!$B$6:$B$9,0)-1),MIN(Z$23-EM!$B$16+22,EM!$AF$16-EM!$B$16)),0)+
IF(ROUND(Z$11,0)&gt;=24,OFFSET(EM!$B$17,ROW($A32)-ROW($A$26)+(ROW(EM!$C$46)-ROW(EM!$C$14))*(MATCH(Z$22,EM!$B$6:$B$9,0)-1),MIN(Z$23-EM!$B$16+23,EM!$AF$16-EM!$B$16)),0)+
IF(ROUND(Z$11,0)&gt;=25,OFFSET(EM!$B$17,ROW($A32)-ROW($A$26)+(ROW(EM!$C$46)-ROW(EM!$C$14))*(MATCH(Z$22,EM!$B$6:$B$9,0)-1),MIN(Z$23-EM!$B$16+24,EM!$AF$16-EM!$B$16)),0)+
IF(ROUND(Z$11,0)&gt;=26,OFFSET(EM!$B$17,ROW($A32)-ROW($A$26)+(ROW(EM!$C$46)-ROW(EM!$C$14))*(MATCH(Z$22,EM!$B$6:$B$9,0)-1),MIN(Z$23-EM!$B$16+25,EM!$AF$16-EM!$B$16)),0)+
IF(ROUND(Z$11,0)&gt;=27,OFFSET(EM!$B$17,ROW($A32)-ROW($A$26)+(ROW(EM!$C$46)-ROW(EM!$C$14))*(MATCH(Z$22,EM!$B$6:$B$9,0)-1),MIN(Z$23-EM!$B$16+26,EM!$AF$16-EM!$B$16)),0)+
IF(ROUND(Z$11,0)&gt;=28,OFFSET(EM!$B$17,ROW($A32)-ROW($A$26)+(ROW(EM!$C$46)-ROW(EM!$C$14))*(MATCH(Z$22,EM!$B$6:$B$9,0)-1),MIN(Z$23-EM!$B$16+27,EM!$AF$16-EM!$B$16)),0)+
IF(ROUND(Z$11,0)&gt;=29,OFFSET(EM!$B$17,ROW($A32)-ROW($A$26)+(ROW(EM!$C$46)-ROW(EM!$C$14))*(MATCH(Z$22,EM!$B$6:$B$9,0)-1),MIN(Z$23-EM!$B$16+28,EM!$AF$16-EM!$B$16)),0)+
IF(ROUND(Z$11,0)&gt;=30,OFFSET(EM!$B$17,ROW($A32)-ROW($A$26)+(ROW(EM!$C$46)-ROW(EM!$C$14))*(MATCH(Z$22,EM!$B$6:$B$9,0)-1),MIN(Z$23-EM!$B$16+29,EM!$AF$16-EM!$B$16)),0)+
IF(ROUND(Z$11,0)&gt;=31,OFFSET(EM!$B$17,ROW($A32)-ROW($A$26)+(ROW(EM!$C$46)-ROW(EM!$C$14))*(MATCH(Z$22,EM!$B$6:$B$9,0)-1),MIN(Z$23-EM!$B$16+30,EM!$AF$16-EM!$B$16)),0)+
IF(ROUND(Z$11,0)&gt;=32,OFFSET(EM!$B$17,ROW($A32)-ROW($A$26)+(ROW(EM!$C$46)-ROW(EM!$C$14))*(MATCH(Z$22,EM!$B$6:$B$9,0)-1),MIN(Z$23-EM!$B$16+31,EM!$AF$16-EM!$B$16)),0)+
IF(ROUND(Z$11,0)&gt;=33,OFFSET(EM!$B$17,ROW($A32)-ROW($A$26)+(ROW(EM!$C$46)-ROW(EM!$C$14))*(MATCH(Z$22,EM!$B$6:$B$9,0)-1),MIN(Z$23-EM!$B$16+32,EM!$AF$16-EM!$B$16)),0)+
IF(ROUND(Z$11,0)&gt;=34,OFFSET(EM!$B$17,ROW($A32)-ROW($A$26)+(ROW(EM!$C$46)-ROW(EM!$C$14))*(MATCH(Z$22,EM!$B$6:$B$9,0)-1),MIN(Z$23-EM!$B$16+33,EM!$AF$16-EM!$B$16)),0)+
IF(ROUND(Z$11,0)&gt;=35,OFFSET(EM!$B$17,ROW($A32)-ROW($A$26)+(ROW(EM!$C$46)-ROW(EM!$C$14))*(MATCH(Z$22,EM!$B$6:$B$9,0)-1),MIN(Z$23-EM!$B$16+34,EM!$AF$16-EM!$B$16)),0)+
IF(ROUND(Z$11,0)&gt;=36,OFFSET(EM!$B$17,ROW($A32)-ROW($A$26)+(ROW(EM!$C$46)-ROW(EM!$C$14))*(MATCH(Z$22,EM!$B$6:$B$9,0)-1),MIN(Z$23-EM!$B$16+35,EM!$AF$16-EM!$B$16)),0)+
IF(ROUND(Z$11,0)&gt;=37,OFFSET(EM!$B$17,ROW($A32)-ROW($A$26)+(ROW(EM!$C$46)-ROW(EM!$C$14))*(MATCH(Z$22,EM!$B$6:$B$9,0)-1),MIN(Z$23-EM!$B$16+36,EM!$AF$16-EM!$B$16)),0)+
IF(ROUND(Z$11,0)&gt;=38,OFFSET(EM!$B$17,ROW($A32)-ROW($A$26)+(ROW(EM!$C$46)-ROW(EM!$C$14))*(MATCH(Z$22,EM!$B$6:$B$9,0)-1),MIN(Z$23-EM!$B$16+37,EM!$AF$16-EM!$B$16)),0)+
IF(ROUND(Z$11,0)&gt;=39,OFFSET(EM!$B$17,ROW($A32)-ROW($A$26)+(ROW(EM!$C$46)-ROW(EM!$C$14))*(MATCH(Z$22,EM!$B$6:$B$9,0)-1),MIN(Z$23-EM!$B$16+38,EM!$AF$16-EM!$B$16)),0)+
IF(ROUND(Z$11,0)&gt;=40,OFFSET(EM!$B$17,ROW($A32)-ROW($A$26)+(ROW(EM!$C$46)-ROW(EM!$C$14))*(MATCH(Z$22,EM!$B$6:$B$9,0)-1),MIN(Z$23-EM!$B$16+39,EM!$AF$16-EM!$B$16)),0)
)/ROUND(Z$11,0),NA()))</f>
        <v>0</v>
      </c>
      <c r="AA32" s="2046">
        <f ca="1">IF(AA$19=GPG!$A$28,IF(ROW(AA32)-ROW(AA$26)+1=MATCH(AA$20,GPG!$A$5:$A$11,0),1,0),
IF(AA$19=GPG!$A$29,
(IF(ROUND(AA$11,0)&gt;=1,OFFSET(EM!$B$17,ROW($A32)-ROW($A$26)+(ROW(EM!$C$46)-ROW(EM!$C$14))*(MATCH(AA$22,EM!$B$6:$B$9,0)-1),MIN(AA$23-EM!$B$16,EM!$AF$16-EM!$B$16)),0)+
IF(ROUND(AA$11,0)&gt;=2,OFFSET(EM!$B$17,ROW($A32)-ROW($A$26)+(ROW(EM!$C$46)-ROW(EM!$C$14))*(MATCH(AA$22,EM!$B$6:$B$9,0)-1),MIN(AA$23-EM!$B$16+1,EM!$AF$16-EM!$B$16)),0)+
IF(ROUND(AA$11,0)&gt;=3,OFFSET(EM!$B$17,ROW($A32)-ROW($A$26)+(ROW(EM!$C$46)-ROW(EM!$C$14))*(MATCH(AA$22,EM!$B$6:$B$9,0)-1),MIN(AA$23-EM!$B$16+2,EM!$AF$16-EM!$B$16)),0)+
IF(ROUND(AA$11,0)&gt;=4,OFFSET(EM!$B$17,ROW($A32)-ROW($A$26)+(ROW(EM!$C$46)-ROW(EM!$C$14))*(MATCH(AA$22,EM!$B$6:$B$9,0)-1),MIN(AA$23-EM!$B$16+3,EM!$AF$16-EM!$B$16)),0)+
IF(ROUND(AA$11,0)&gt;=5,OFFSET(EM!$B$17,ROW($A32)-ROW($A$26)+(ROW(EM!$C$46)-ROW(EM!$C$14))*(MATCH(AA$22,EM!$B$6:$B$9,0)-1),MIN(AA$23-EM!$B$16+4,EM!$AF$16-EM!$B$16)),0)+
IF(ROUND(AA$11,0)&gt;=6,OFFSET(EM!$B$17,ROW($A32)-ROW($A$26)+(ROW(EM!$C$46)-ROW(EM!$C$14))*(MATCH(AA$22,EM!$B$6:$B$9,0)-1),MIN(AA$23-EM!$B$16+5,EM!$AF$16-EM!$B$16)),0)+
IF(ROUND(AA$11,0)&gt;=7,OFFSET(EM!$B$17,ROW($A32)-ROW($A$26)+(ROW(EM!$C$46)-ROW(EM!$C$14))*(MATCH(AA$22,EM!$B$6:$B$9,0)-1),MIN(AA$23-EM!$B$16+6,EM!$AF$16-EM!$B$16)),0)+
IF(ROUND(AA$11,0)&gt;=8,OFFSET(EM!$B$17,ROW($A32)-ROW($A$26)+(ROW(EM!$C$46)-ROW(EM!$C$14))*(MATCH(AA$22,EM!$B$6:$B$9,0)-1),MIN(AA$23-EM!$B$16+7,EM!$AF$16-EM!$B$16)),0)+
IF(ROUND(AA$11,0)&gt;=9,OFFSET(EM!$B$17,ROW($A32)-ROW($A$26)+(ROW(EM!$C$46)-ROW(EM!$C$14))*(MATCH(AA$22,EM!$B$6:$B$9,0)-1),MIN(AA$23-EM!$B$16+8,EM!$AF$16-EM!$B$16)),0)+
IF(ROUND(AA$11,0)&gt;=10,OFFSET(EM!$B$17,ROW($A32)-ROW($A$26)+(ROW(EM!$C$46)-ROW(EM!$C$14))*(MATCH(AA$22,EM!$B$6:$B$9,0)-1),MIN(AA$23-EM!$B$16+9,EM!$AF$16-EM!$B$16)),0)+
IF(ROUND(AA$11,0)&gt;=11,OFFSET(EM!$B$17,ROW($A32)-ROW($A$26)+(ROW(EM!$C$46)-ROW(EM!$C$14))*(MATCH(AA$22,EM!$B$6:$B$9,0)-1),MIN(AA$23-EM!$B$16+10,EM!$AF$16-EM!$B$16)),0)+
IF(ROUND(AA$11,0)&gt;=12,OFFSET(EM!$B$17,ROW($A32)-ROW($A$26)+(ROW(EM!$C$46)-ROW(EM!$C$14))*(MATCH(AA$22,EM!$B$6:$B$9,0)-1),MIN(AA$23-EM!$B$16+11,EM!$AF$16-EM!$B$16)),0)+
IF(ROUND(AA$11,0)&gt;=13,OFFSET(EM!$B$17,ROW($A32)-ROW($A$26)+(ROW(EM!$C$46)-ROW(EM!$C$14))*(MATCH(AA$22,EM!$B$6:$B$9,0)-1),MIN(AA$23-EM!$B$16+12,EM!$AF$16-EM!$B$16)),0)+
IF(ROUND(AA$11,0)&gt;=14,OFFSET(EM!$B$17,ROW($A32)-ROW($A$26)+(ROW(EM!$C$46)-ROW(EM!$C$14))*(MATCH(AA$22,EM!$B$6:$B$9,0)-1),MIN(AA$23-EM!$B$16+13,EM!$AF$16-EM!$B$16)),0)+
IF(ROUND(AA$11,0)&gt;=15,OFFSET(EM!$B$17,ROW($A32)-ROW($A$26)+(ROW(EM!$C$46)-ROW(EM!$C$14))*(MATCH(AA$22,EM!$B$6:$B$9,0)-1),MIN(AA$23-EM!$B$16+14,EM!$AF$16-EM!$B$16)),0)+
IF(ROUND(AA$11,0)&gt;=16,OFFSET(EM!$B$17,ROW($A32)-ROW($A$26)+(ROW(EM!$C$46)-ROW(EM!$C$14))*(MATCH(AA$22,EM!$B$6:$B$9,0)-1),MIN(AA$23-EM!$B$16+15,EM!$AF$16-EM!$B$16)),0)+
IF(ROUND(AA$11,0)&gt;=17,OFFSET(EM!$B$17,ROW($A32)-ROW($A$26)+(ROW(EM!$C$46)-ROW(EM!$C$14))*(MATCH(AA$22,EM!$B$6:$B$9,0)-1),MIN(AA$23-EM!$B$16+16,EM!$AF$16-EM!$B$16)),0)+
IF(ROUND(AA$11,0)&gt;=18,OFFSET(EM!$B$17,ROW($A32)-ROW($A$26)+(ROW(EM!$C$46)-ROW(EM!$C$14))*(MATCH(AA$22,EM!$B$6:$B$9,0)-1),MIN(AA$23-EM!$B$16+17,EM!$AF$16-EM!$B$16)),0)+
IF(ROUND(AA$11,0)&gt;=19,OFFSET(EM!$B$17,ROW($A32)-ROW($A$26)+(ROW(EM!$C$46)-ROW(EM!$C$14))*(MATCH(AA$22,EM!$B$6:$B$9,0)-1),MIN(AA$23-EM!$B$16+18,EM!$AF$16-EM!$B$16)),0)+
IF(ROUND(AA$11,0)&gt;=20,OFFSET(EM!$B$17,ROW($A32)-ROW($A$26)+(ROW(EM!$C$46)-ROW(EM!$C$14))*(MATCH(AA$22,EM!$B$6:$B$9,0)-1),MIN(AA$23-EM!$B$16+19,EM!$AF$16-EM!$B$16)),0)+
IF(ROUND(AA$11,0)&gt;=21,OFFSET(EM!$B$17,ROW($A32)-ROW($A$26)+(ROW(EM!$C$46)-ROW(EM!$C$14))*(MATCH(AA$22,EM!$B$6:$B$9,0)-1),MIN(AA$23-EM!$B$16+20,EM!$AF$16-EM!$B$16)),0)+
IF(ROUND(AA$11,0)&gt;=22,OFFSET(EM!$B$17,ROW($A32)-ROW($A$26)+(ROW(EM!$C$46)-ROW(EM!$C$14))*(MATCH(AA$22,EM!$B$6:$B$9,0)-1),MIN(AA$23-EM!$B$16+21,EM!$AF$16-EM!$B$16)),0)+
IF(ROUND(AA$11,0)&gt;=23,OFFSET(EM!$B$17,ROW($A32)-ROW($A$26)+(ROW(EM!$C$46)-ROW(EM!$C$14))*(MATCH(AA$22,EM!$B$6:$B$9,0)-1),MIN(AA$23-EM!$B$16+22,EM!$AF$16-EM!$B$16)),0)+
IF(ROUND(AA$11,0)&gt;=24,OFFSET(EM!$B$17,ROW($A32)-ROW($A$26)+(ROW(EM!$C$46)-ROW(EM!$C$14))*(MATCH(AA$22,EM!$B$6:$B$9,0)-1),MIN(AA$23-EM!$B$16+23,EM!$AF$16-EM!$B$16)),0)+
IF(ROUND(AA$11,0)&gt;=25,OFFSET(EM!$B$17,ROW($A32)-ROW($A$26)+(ROW(EM!$C$46)-ROW(EM!$C$14))*(MATCH(AA$22,EM!$B$6:$B$9,0)-1),MIN(AA$23-EM!$B$16+24,EM!$AF$16-EM!$B$16)),0)+
IF(ROUND(AA$11,0)&gt;=26,OFFSET(EM!$B$17,ROW($A32)-ROW($A$26)+(ROW(EM!$C$46)-ROW(EM!$C$14))*(MATCH(AA$22,EM!$B$6:$B$9,0)-1),MIN(AA$23-EM!$B$16+25,EM!$AF$16-EM!$B$16)),0)+
IF(ROUND(AA$11,0)&gt;=27,OFFSET(EM!$B$17,ROW($A32)-ROW($A$26)+(ROW(EM!$C$46)-ROW(EM!$C$14))*(MATCH(AA$22,EM!$B$6:$B$9,0)-1),MIN(AA$23-EM!$B$16+26,EM!$AF$16-EM!$B$16)),0)+
IF(ROUND(AA$11,0)&gt;=28,OFFSET(EM!$B$17,ROW($A32)-ROW($A$26)+(ROW(EM!$C$46)-ROW(EM!$C$14))*(MATCH(AA$22,EM!$B$6:$B$9,0)-1),MIN(AA$23-EM!$B$16+27,EM!$AF$16-EM!$B$16)),0)+
IF(ROUND(AA$11,0)&gt;=29,OFFSET(EM!$B$17,ROW($A32)-ROW($A$26)+(ROW(EM!$C$46)-ROW(EM!$C$14))*(MATCH(AA$22,EM!$B$6:$B$9,0)-1),MIN(AA$23-EM!$B$16+28,EM!$AF$16-EM!$B$16)),0)+
IF(ROUND(AA$11,0)&gt;=30,OFFSET(EM!$B$17,ROW($A32)-ROW($A$26)+(ROW(EM!$C$46)-ROW(EM!$C$14))*(MATCH(AA$22,EM!$B$6:$B$9,0)-1),MIN(AA$23-EM!$B$16+29,EM!$AF$16-EM!$B$16)),0)+
IF(ROUND(AA$11,0)&gt;=31,OFFSET(EM!$B$17,ROW($A32)-ROW($A$26)+(ROW(EM!$C$46)-ROW(EM!$C$14))*(MATCH(AA$22,EM!$B$6:$B$9,0)-1),MIN(AA$23-EM!$B$16+30,EM!$AF$16-EM!$B$16)),0)+
IF(ROUND(AA$11,0)&gt;=32,OFFSET(EM!$B$17,ROW($A32)-ROW($A$26)+(ROW(EM!$C$46)-ROW(EM!$C$14))*(MATCH(AA$22,EM!$B$6:$B$9,0)-1),MIN(AA$23-EM!$B$16+31,EM!$AF$16-EM!$B$16)),0)+
IF(ROUND(AA$11,0)&gt;=33,OFFSET(EM!$B$17,ROW($A32)-ROW($A$26)+(ROW(EM!$C$46)-ROW(EM!$C$14))*(MATCH(AA$22,EM!$B$6:$B$9,0)-1),MIN(AA$23-EM!$B$16+32,EM!$AF$16-EM!$B$16)),0)+
IF(ROUND(AA$11,0)&gt;=34,OFFSET(EM!$B$17,ROW($A32)-ROW($A$26)+(ROW(EM!$C$46)-ROW(EM!$C$14))*(MATCH(AA$22,EM!$B$6:$B$9,0)-1),MIN(AA$23-EM!$B$16+33,EM!$AF$16-EM!$B$16)),0)+
IF(ROUND(AA$11,0)&gt;=35,OFFSET(EM!$B$17,ROW($A32)-ROW($A$26)+(ROW(EM!$C$46)-ROW(EM!$C$14))*(MATCH(AA$22,EM!$B$6:$B$9,0)-1),MIN(AA$23-EM!$B$16+34,EM!$AF$16-EM!$B$16)),0)+
IF(ROUND(AA$11,0)&gt;=36,OFFSET(EM!$B$17,ROW($A32)-ROW($A$26)+(ROW(EM!$C$46)-ROW(EM!$C$14))*(MATCH(AA$22,EM!$B$6:$B$9,0)-1),MIN(AA$23-EM!$B$16+35,EM!$AF$16-EM!$B$16)),0)+
IF(ROUND(AA$11,0)&gt;=37,OFFSET(EM!$B$17,ROW($A32)-ROW($A$26)+(ROW(EM!$C$46)-ROW(EM!$C$14))*(MATCH(AA$22,EM!$B$6:$B$9,0)-1),MIN(AA$23-EM!$B$16+36,EM!$AF$16-EM!$B$16)),0)+
IF(ROUND(AA$11,0)&gt;=38,OFFSET(EM!$B$17,ROW($A32)-ROW($A$26)+(ROW(EM!$C$46)-ROW(EM!$C$14))*(MATCH(AA$22,EM!$B$6:$B$9,0)-1),MIN(AA$23-EM!$B$16+37,EM!$AF$16-EM!$B$16)),0)+
IF(ROUND(AA$11,0)&gt;=39,OFFSET(EM!$B$17,ROW($A32)-ROW($A$26)+(ROW(EM!$C$46)-ROW(EM!$C$14))*(MATCH(AA$22,EM!$B$6:$B$9,0)-1),MIN(AA$23-EM!$B$16+38,EM!$AF$16-EM!$B$16)),0)+
IF(ROUND(AA$11,0)&gt;=40,OFFSET(EM!$B$17,ROW($A32)-ROW($A$26)+(ROW(EM!$C$46)-ROW(EM!$C$14))*(MATCH(AA$22,EM!$B$6:$B$9,0)-1),MIN(AA$23-EM!$B$16+39,EM!$AF$16-EM!$B$16)),0)
)/ROUND(AA$11,0),NA()))</f>
        <v>0</v>
      </c>
      <c r="AB32" s="2046">
        <f ca="1">IF(AB$19=GPG!$A$28,IF(ROW(AB32)-ROW(AB$26)+1=MATCH(AB$20,GPG!$A$5:$A$11,0),1,0),
IF(AB$19=GPG!$A$29,
(IF(ROUND(AB$11,0)&gt;=1,OFFSET(EM!$B$17,ROW($A32)-ROW($A$26)+(ROW(EM!$C$46)-ROW(EM!$C$14))*(MATCH(AB$22,EM!$B$6:$B$9,0)-1),MIN(AB$23-EM!$B$16,EM!$AF$16-EM!$B$16)),0)+
IF(ROUND(AB$11,0)&gt;=2,OFFSET(EM!$B$17,ROW($A32)-ROW($A$26)+(ROW(EM!$C$46)-ROW(EM!$C$14))*(MATCH(AB$22,EM!$B$6:$B$9,0)-1),MIN(AB$23-EM!$B$16+1,EM!$AF$16-EM!$B$16)),0)+
IF(ROUND(AB$11,0)&gt;=3,OFFSET(EM!$B$17,ROW($A32)-ROW($A$26)+(ROW(EM!$C$46)-ROW(EM!$C$14))*(MATCH(AB$22,EM!$B$6:$B$9,0)-1),MIN(AB$23-EM!$B$16+2,EM!$AF$16-EM!$B$16)),0)+
IF(ROUND(AB$11,0)&gt;=4,OFFSET(EM!$B$17,ROW($A32)-ROW($A$26)+(ROW(EM!$C$46)-ROW(EM!$C$14))*(MATCH(AB$22,EM!$B$6:$B$9,0)-1),MIN(AB$23-EM!$B$16+3,EM!$AF$16-EM!$B$16)),0)+
IF(ROUND(AB$11,0)&gt;=5,OFFSET(EM!$B$17,ROW($A32)-ROW($A$26)+(ROW(EM!$C$46)-ROW(EM!$C$14))*(MATCH(AB$22,EM!$B$6:$B$9,0)-1),MIN(AB$23-EM!$B$16+4,EM!$AF$16-EM!$B$16)),0)+
IF(ROUND(AB$11,0)&gt;=6,OFFSET(EM!$B$17,ROW($A32)-ROW($A$26)+(ROW(EM!$C$46)-ROW(EM!$C$14))*(MATCH(AB$22,EM!$B$6:$B$9,0)-1),MIN(AB$23-EM!$B$16+5,EM!$AF$16-EM!$B$16)),0)+
IF(ROUND(AB$11,0)&gt;=7,OFFSET(EM!$B$17,ROW($A32)-ROW($A$26)+(ROW(EM!$C$46)-ROW(EM!$C$14))*(MATCH(AB$22,EM!$B$6:$B$9,0)-1),MIN(AB$23-EM!$B$16+6,EM!$AF$16-EM!$B$16)),0)+
IF(ROUND(AB$11,0)&gt;=8,OFFSET(EM!$B$17,ROW($A32)-ROW($A$26)+(ROW(EM!$C$46)-ROW(EM!$C$14))*(MATCH(AB$22,EM!$B$6:$B$9,0)-1),MIN(AB$23-EM!$B$16+7,EM!$AF$16-EM!$B$16)),0)+
IF(ROUND(AB$11,0)&gt;=9,OFFSET(EM!$B$17,ROW($A32)-ROW($A$26)+(ROW(EM!$C$46)-ROW(EM!$C$14))*(MATCH(AB$22,EM!$B$6:$B$9,0)-1),MIN(AB$23-EM!$B$16+8,EM!$AF$16-EM!$B$16)),0)+
IF(ROUND(AB$11,0)&gt;=10,OFFSET(EM!$B$17,ROW($A32)-ROW($A$26)+(ROW(EM!$C$46)-ROW(EM!$C$14))*(MATCH(AB$22,EM!$B$6:$B$9,0)-1),MIN(AB$23-EM!$B$16+9,EM!$AF$16-EM!$B$16)),0)+
IF(ROUND(AB$11,0)&gt;=11,OFFSET(EM!$B$17,ROW($A32)-ROW($A$26)+(ROW(EM!$C$46)-ROW(EM!$C$14))*(MATCH(AB$22,EM!$B$6:$B$9,0)-1),MIN(AB$23-EM!$B$16+10,EM!$AF$16-EM!$B$16)),0)+
IF(ROUND(AB$11,0)&gt;=12,OFFSET(EM!$B$17,ROW($A32)-ROW($A$26)+(ROW(EM!$C$46)-ROW(EM!$C$14))*(MATCH(AB$22,EM!$B$6:$B$9,0)-1),MIN(AB$23-EM!$B$16+11,EM!$AF$16-EM!$B$16)),0)+
IF(ROUND(AB$11,0)&gt;=13,OFFSET(EM!$B$17,ROW($A32)-ROW($A$26)+(ROW(EM!$C$46)-ROW(EM!$C$14))*(MATCH(AB$22,EM!$B$6:$B$9,0)-1),MIN(AB$23-EM!$B$16+12,EM!$AF$16-EM!$B$16)),0)+
IF(ROUND(AB$11,0)&gt;=14,OFFSET(EM!$B$17,ROW($A32)-ROW($A$26)+(ROW(EM!$C$46)-ROW(EM!$C$14))*(MATCH(AB$22,EM!$B$6:$B$9,0)-1),MIN(AB$23-EM!$B$16+13,EM!$AF$16-EM!$B$16)),0)+
IF(ROUND(AB$11,0)&gt;=15,OFFSET(EM!$B$17,ROW($A32)-ROW($A$26)+(ROW(EM!$C$46)-ROW(EM!$C$14))*(MATCH(AB$22,EM!$B$6:$B$9,0)-1),MIN(AB$23-EM!$B$16+14,EM!$AF$16-EM!$B$16)),0)+
IF(ROUND(AB$11,0)&gt;=16,OFFSET(EM!$B$17,ROW($A32)-ROW($A$26)+(ROW(EM!$C$46)-ROW(EM!$C$14))*(MATCH(AB$22,EM!$B$6:$B$9,0)-1),MIN(AB$23-EM!$B$16+15,EM!$AF$16-EM!$B$16)),0)+
IF(ROUND(AB$11,0)&gt;=17,OFFSET(EM!$B$17,ROW($A32)-ROW($A$26)+(ROW(EM!$C$46)-ROW(EM!$C$14))*(MATCH(AB$22,EM!$B$6:$B$9,0)-1),MIN(AB$23-EM!$B$16+16,EM!$AF$16-EM!$B$16)),0)+
IF(ROUND(AB$11,0)&gt;=18,OFFSET(EM!$B$17,ROW($A32)-ROW($A$26)+(ROW(EM!$C$46)-ROW(EM!$C$14))*(MATCH(AB$22,EM!$B$6:$B$9,0)-1),MIN(AB$23-EM!$B$16+17,EM!$AF$16-EM!$B$16)),0)+
IF(ROUND(AB$11,0)&gt;=19,OFFSET(EM!$B$17,ROW($A32)-ROW($A$26)+(ROW(EM!$C$46)-ROW(EM!$C$14))*(MATCH(AB$22,EM!$B$6:$B$9,0)-1),MIN(AB$23-EM!$B$16+18,EM!$AF$16-EM!$B$16)),0)+
IF(ROUND(AB$11,0)&gt;=20,OFFSET(EM!$B$17,ROW($A32)-ROW($A$26)+(ROW(EM!$C$46)-ROW(EM!$C$14))*(MATCH(AB$22,EM!$B$6:$B$9,0)-1),MIN(AB$23-EM!$B$16+19,EM!$AF$16-EM!$B$16)),0)+
IF(ROUND(AB$11,0)&gt;=21,OFFSET(EM!$B$17,ROW($A32)-ROW($A$26)+(ROW(EM!$C$46)-ROW(EM!$C$14))*(MATCH(AB$22,EM!$B$6:$B$9,0)-1),MIN(AB$23-EM!$B$16+20,EM!$AF$16-EM!$B$16)),0)+
IF(ROUND(AB$11,0)&gt;=22,OFFSET(EM!$B$17,ROW($A32)-ROW($A$26)+(ROW(EM!$C$46)-ROW(EM!$C$14))*(MATCH(AB$22,EM!$B$6:$B$9,0)-1),MIN(AB$23-EM!$B$16+21,EM!$AF$16-EM!$B$16)),0)+
IF(ROUND(AB$11,0)&gt;=23,OFFSET(EM!$B$17,ROW($A32)-ROW($A$26)+(ROW(EM!$C$46)-ROW(EM!$C$14))*(MATCH(AB$22,EM!$B$6:$B$9,0)-1),MIN(AB$23-EM!$B$16+22,EM!$AF$16-EM!$B$16)),0)+
IF(ROUND(AB$11,0)&gt;=24,OFFSET(EM!$B$17,ROW($A32)-ROW($A$26)+(ROW(EM!$C$46)-ROW(EM!$C$14))*(MATCH(AB$22,EM!$B$6:$B$9,0)-1),MIN(AB$23-EM!$B$16+23,EM!$AF$16-EM!$B$16)),0)+
IF(ROUND(AB$11,0)&gt;=25,OFFSET(EM!$B$17,ROW($A32)-ROW($A$26)+(ROW(EM!$C$46)-ROW(EM!$C$14))*(MATCH(AB$22,EM!$B$6:$B$9,0)-1),MIN(AB$23-EM!$B$16+24,EM!$AF$16-EM!$B$16)),0)+
IF(ROUND(AB$11,0)&gt;=26,OFFSET(EM!$B$17,ROW($A32)-ROW($A$26)+(ROW(EM!$C$46)-ROW(EM!$C$14))*(MATCH(AB$22,EM!$B$6:$B$9,0)-1),MIN(AB$23-EM!$B$16+25,EM!$AF$16-EM!$B$16)),0)+
IF(ROUND(AB$11,0)&gt;=27,OFFSET(EM!$B$17,ROW($A32)-ROW($A$26)+(ROW(EM!$C$46)-ROW(EM!$C$14))*(MATCH(AB$22,EM!$B$6:$B$9,0)-1),MIN(AB$23-EM!$B$16+26,EM!$AF$16-EM!$B$16)),0)+
IF(ROUND(AB$11,0)&gt;=28,OFFSET(EM!$B$17,ROW($A32)-ROW($A$26)+(ROW(EM!$C$46)-ROW(EM!$C$14))*(MATCH(AB$22,EM!$B$6:$B$9,0)-1),MIN(AB$23-EM!$B$16+27,EM!$AF$16-EM!$B$16)),0)+
IF(ROUND(AB$11,0)&gt;=29,OFFSET(EM!$B$17,ROW($A32)-ROW($A$26)+(ROW(EM!$C$46)-ROW(EM!$C$14))*(MATCH(AB$22,EM!$B$6:$B$9,0)-1),MIN(AB$23-EM!$B$16+28,EM!$AF$16-EM!$B$16)),0)+
IF(ROUND(AB$11,0)&gt;=30,OFFSET(EM!$B$17,ROW($A32)-ROW($A$26)+(ROW(EM!$C$46)-ROW(EM!$C$14))*(MATCH(AB$22,EM!$B$6:$B$9,0)-1),MIN(AB$23-EM!$B$16+29,EM!$AF$16-EM!$B$16)),0)+
IF(ROUND(AB$11,0)&gt;=31,OFFSET(EM!$B$17,ROW($A32)-ROW($A$26)+(ROW(EM!$C$46)-ROW(EM!$C$14))*(MATCH(AB$22,EM!$B$6:$B$9,0)-1),MIN(AB$23-EM!$B$16+30,EM!$AF$16-EM!$B$16)),0)+
IF(ROUND(AB$11,0)&gt;=32,OFFSET(EM!$B$17,ROW($A32)-ROW($A$26)+(ROW(EM!$C$46)-ROW(EM!$C$14))*(MATCH(AB$22,EM!$B$6:$B$9,0)-1),MIN(AB$23-EM!$B$16+31,EM!$AF$16-EM!$B$16)),0)+
IF(ROUND(AB$11,0)&gt;=33,OFFSET(EM!$B$17,ROW($A32)-ROW($A$26)+(ROW(EM!$C$46)-ROW(EM!$C$14))*(MATCH(AB$22,EM!$B$6:$B$9,0)-1),MIN(AB$23-EM!$B$16+32,EM!$AF$16-EM!$B$16)),0)+
IF(ROUND(AB$11,0)&gt;=34,OFFSET(EM!$B$17,ROW($A32)-ROW($A$26)+(ROW(EM!$C$46)-ROW(EM!$C$14))*(MATCH(AB$22,EM!$B$6:$B$9,0)-1),MIN(AB$23-EM!$B$16+33,EM!$AF$16-EM!$B$16)),0)+
IF(ROUND(AB$11,0)&gt;=35,OFFSET(EM!$B$17,ROW($A32)-ROW($A$26)+(ROW(EM!$C$46)-ROW(EM!$C$14))*(MATCH(AB$22,EM!$B$6:$B$9,0)-1),MIN(AB$23-EM!$B$16+34,EM!$AF$16-EM!$B$16)),0)+
IF(ROUND(AB$11,0)&gt;=36,OFFSET(EM!$B$17,ROW($A32)-ROW($A$26)+(ROW(EM!$C$46)-ROW(EM!$C$14))*(MATCH(AB$22,EM!$B$6:$B$9,0)-1),MIN(AB$23-EM!$B$16+35,EM!$AF$16-EM!$B$16)),0)+
IF(ROUND(AB$11,0)&gt;=37,OFFSET(EM!$B$17,ROW($A32)-ROW($A$26)+(ROW(EM!$C$46)-ROW(EM!$C$14))*(MATCH(AB$22,EM!$B$6:$B$9,0)-1),MIN(AB$23-EM!$B$16+36,EM!$AF$16-EM!$B$16)),0)+
IF(ROUND(AB$11,0)&gt;=38,OFFSET(EM!$B$17,ROW($A32)-ROW($A$26)+(ROW(EM!$C$46)-ROW(EM!$C$14))*(MATCH(AB$22,EM!$B$6:$B$9,0)-1),MIN(AB$23-EM!$B$16+37,EM!$AF$16-EM!$B$16)),0)+
IF(ROUND(AB$11,0)&gt;=39,OFFSET(EM!$B$17,ROW($A32)-ROW($A$26)+(ROW(EM!$C$46)-ROW(EM!$C$14))*(MATCH(AB$22,EM!$B$6:$B$9,0)-1),MIN(AB$23-EM!$B$16+38,EM!$AF$16-EM!$B$16)),0)+
IF(ROUND(AB$11,0)&gt;=40,OFFSET(EM!$B$17,ROW($A32)-ROW($A$26)+(ROW(EM!$C$46)-ROW(EM!$C$14))*(MATCH(AB$22,EM!$B$6:$B$9,0)-1),MIN(AB$23-EM!$B$16+39,EM!$AF$16-EM!$B$16)),0)
)/ROUND(AB$11,0),NA()))</f>
        <v>0</v>
      </c>
    </row>
    <row r="33" spans="1:28" x14ac:dyDescent="0.45">
      <c r="A33" s="1416"/>
      <c r="B33" s="2029"/>
      <c r="C33" s="2003"/>
      <c r="D33" s="2003"/>
      <c r="E33" s="2003"/>
      <c r="F33" s="2003"/>
      <c r="G33" s="2003"/>
      <c r="H33" s="2003"/>
      <c r="I33" s="2003"/>
      <c r="J33" s="2003"/>
      <c r="K33" s="1968"/>
      <c r="L33" s="1968"/>
      <c r="M33" s="1968"/>
      <c r="N33" s="1968"/>
      <c r="O33" s="1968"/>
      <c r="P33" s="1968"/>
      <c r="Q33" s="1968"/>
      <c r="R33" s="1968"/>
      <c r="S33" s="1968"/>
      <c r="T33" s="1968"/>
      <c r="U33" s="1968"/>
      <c r="V33" s="1968"/>
      <c r="W33" s="1969"/>
      <c r="X33" s="1968"/>
      <c r="Y33" s="1968"/>
      <c r="Z33" s="1968"/>
      <c r="AA33" s="1968"/>
      <c r="AB33" s="1968"/>
    </row>
    <row r="34" spans="1:28" x14ac:dyDescent="0.45">
      <c r="A34" s="1421" t="s">
        <v>390</v>
      </c>
      <c r="B34" s="2035" t="s">
        <v>1081</v>
      </c>
      <c r="C34" s="2022">
        <f>IF(C$5="",NA(),VLOOKUP(C$5,WTW_Fuel_properties!$A$5:$C$7,3,FALSE))</f>
        <v>0.22172096119113635</v>
      </c>
      <c r="D34" s="2022" t="e">
        <f>IF(D$5="",NA(),VLOOKUP(D$5,WTW_Fuel_properties!$A$5:$C$7,3,FALSE))</f>
        <v>#N/A</v>
      </c>
      <c r="E34" s="2022">
        <f>IF(E$5="",NA(),VLOOKUP(E$5,WTW_Fuel_properties!$A$5:$C$7,3,FALSE))</f>
        <v>0.22172096119113635</v>
      </c>
      <c r="F34" s="2022" t="e">
        <f>IF(F$5="",NA(),VLOOKUP(F$5,WTW_Fuel_properties!$A$5:$C$7,3,FALSE))</f>
        <v>#N/A</v>
      </c>
      <c r="G34" s="2022">
        <f>IF(G$5="",NA(),VLOOKUP(G$5,WTW_Fuel_properties!$A$5:$C$7,3,FALSE))</f>
        <v>0.22172096119113635</v>
      </c>
      <c r="H34" s="2022" t="e">
        <f>IF(H$5="",NA(),VLOOKUP(H$5,WTW_Fuel_properties!$A$5:$C$7,3,FALSE))</f>
        <v>#N/A</v>
      </c>
      <c r="I34" s="2022">
        <f>IF(I$5="",NA(),VLOOKUP(I$5,WTW_Fuel_properties!$A$5:$C$7,3,FALSE))</f>
        <v>0.22172096119113635</v>
      </c>
      <c r="J34" s="2022" t="e">
        <f>IF(J$5="",NA(),VLOOKUP(J$5,WTW_Fuel_properties!$A$5:$C$7,3,FALSE))</f>
        <v>#N/A</v>
      </c>
      <c r="K34" s="2022">
        <f>IF(K$5="",NA(),VLOOKUP(K$5,WTW_Fuel_properties!$A$5:$C$7,3,FALSE))</f>
        <v>4.5738414361726917E-2</v>
      </c>
      <c r="L34" s="2022" t="e">
        <f>IF(L$5="",NA(),VLOOKUP(L$5,WTW_Fuel_properties!$A$5:$C$7,3,FALSE))</f>
        <v>#N/A</v>
      </c>
      <c r="M34" s="2022">
        <f>IF(M$5="",NA(),VLOOKUP(M$5,WTW_Fuel_properties!$A$5:$C$7,3,FALSE))</f>
        <v>0.19770297600991546</v>
      </c>
      <c r="N34" s="2022">
        <f>IF(N$5="",NA(),VLOOKUP(N$5,WTW_Fuel_properties!$A$5:$C$7,3,FALSE))</f>
        <v>0.19770297600991546</v>
      </c>
      <c r="O34" s="2022">
        <f>IF(O$5="",NA(),VLOOKUP(O$5,WTW_Fuel_properties!$A$5:$C$7,3,FALSE))</f>
        <v>0.19770297600991546</v>
      </c>
      <c r="P34" s="2022">
        <f>IF(P$5="",NA(),VLOOKUP(P$5,WTW_Fuel_properties!$A$5:$C$7,3,FALSE))</f>
        <v>0.19770297600991546</v>
      </c>
      <c r="Q34" s="2022" t="e">
        <f>IF(Q$5="",NA(),VLOOKUP(Q$5,WTW_Fuel_properties!$A$5:$C$7,3,FALSE))</f>
        <v>#N/A</v>
      </c>
      <c r="R34" s="2022" t="e">
        <f>IF(R$5="",NA(),VLOOKUP(R$5,WTW_Fuel_properties!$A$5:$C$7,3,FALSE))</f>
        <v>#N/A</v>
      </c>
      <c r="S34" s="2022" t="e">
        <f>IF(S$5="",NA(),VLOOKUP(S$5,WTW_Fuel_properties!$A$5:$C$7,3,FALSE))</f>
        <v>#N/A</v>
      </c>
      <c r="T34" s="2022" t="e">
        <f>IF(T$5="",NA(),VLOOKUP(T$5,WTW_Fuel_properties!$A$5:$C$7,3,FALSE))</f>
        <v>#N/A</v>
      </c>
      <c r="U34" s="2022">
        <f>IF(U$5="",NA(),VLOOKUP(U$5,WTW_Fuel_properties!$A$5:$C$7,3,FALSE))</f>
        <v>0.19770297600991546</v>
      </c>
      <c r="V34" s="2022" t="e">
        <f>IF(V$5="",NA(),VLOOKUP(V$5,WTW_Fuel_properties!$A$5:$C$7,3,FALSE))</f>
        <v>#N/A</v>
      </c>
      <c r="W34" s="2022" t="e">
        <f>IF(W$5="",NA(),VLOOKUP(W$5,WTW_Fuel_properties!$A$5:$C$7,3,FALSE))</f>
        <v>#N/A</v>
      </c>
      <c r="X34" s="2022">
        <f>IF(X$5="",NA(),VLOOKUP(X$5,WTW_Fuel_properties!$A$5:$C$7,3,FALSE))</f>
        <v>0.22172096119113635</v>
      </c>
      <c r="Y34" s="2022" t="e">
        <f>IF(Y$5="",NA(),VLOOKUP(Y$5,WTW_Fuel_properties!$A$5:$C$7,3,FALSE))</f>
        <v>#N/A</v>
      </c>
      <c r="Z34" s="2022">
        <f>IF(Z$5="",NA(),VLOOKUP(Z$5,WTW_Fuel_properties!$A$5:$C$7,3,FALSE))</f>
        <v>0.19770297600991546</v>
      </c>
      <c r="AA34" s="2022" t="e">
        <f>IF(AA$5="",NA(),VLOOKUP(AA$5,WTW_Fuel_properties!$A$5:$C$7,3,FALSE))</f>
        <v>#N/A</v>
      </c>
      <c r="AB34" s="2022" t="e">
        <f>IF(AB$5="",NA(),VLOOKUP(AB$5,WTW_Fuel_properties!$A$5:$C$7,3,FALSE))</f>
        <v>#N/A</v>
      </c>
    </row>
    <row r="35" spans="1:28" x14ac:dyDescent="0.45">
      <c r="A35" s="1421" t="s">
        <v>391</v>
      </c>
      <c r="B35" s="2035" t="s">
        <v>1081</v>
      </c>
      <c r="C35" s="2022">
        <f ca="1">(C26*WTW_Fuel_properties!$I$47+C27*WTW_Fuel_properties!$I$48+C28*WTW_Fuel_properties!$I$49+C29*WTW_Fuel_properties!$I$50+C30*WTW_Fuel_properties!$I$51+C31*WTW_Fuel_properties!$I$52+C32*WTW_Fuel_properties!$I$53)-1</f>
        <v>1.3915729797328193</v>
      </c>
      <c r="D35" s="2022">
        <f ca="1">(D26*WTW_Fuel_properties!$I$47+D27*WTW_Fuel_properties!$I$48+D28*WTW_Fuel_properties!$I$49+D29*WTW_Fuel_properties!$I$50+D30*WTW_Fuel_properties!$I$51+D31*WTW_Fuel_properties!$I$52+D32*WTW_Fuel_properties!$I$53)-1</f>
        <v>1.6358794306752404</v>
      </c>
      <c r="E35" s="2022">
        <f ca="1">(E26*WTW_Fuel_properties!$I$47+E27*WTW_Fuel_properties!$I$48+E28*WTW_Fuel_properties!$I$49+E29*WTW_Fuel_properties!$I$50+E30*WTW_Fuel_properties!$I$51+E31*WTW_Fuel_properties!$I$52+E32*WTW_Fuel_properties!$I$53)-1</f>
        <v>1.3915729797328193</v>
      </c>
      <c r="F35" s="2022">
        <f ca="1">(F26*WTW_Fuel_properties!$I$47+F27*WTW_Fuel_properties!$I$48+F28*WTW_Fuel_properties!$I$49+F29*WTW_Fuel_properties!$I$50+F30*WTW_Fuel_properties!$I$51+F31*WTW_Fuel_properties!$I$52+F32*WTW_Fuel_properties!$I$53)-1</f>
        <v>1.6358794306752404</v>
      </c>
      <c r="G35" s="2022">
        <f ca="1">(G26*WTW_Fuel_properties!$I$47+G27*WTW_Fuel_properties!$I$48+G28*WTW_Fuel_properties!$I$49+G29*WTW_Fuel_properties!$I$50+G30*WTW_Fuel_properties!$I$51+G31*WTW_Fuel_properties!$I$52+G32*WTW_Fuel_properties!$I$53)-1</f>
        <v>1.4662440863564967</v>
      </c>
      <c r="H35" s="2022">
        <f ca="1">(H26*WTW_Fuel_properties!$I$47+H27*WTW_Fuel_properties!$I$48+H28*WTW_Fuel_properties!$I$49+H29*WTW_Fuel_properties!$I$50+H30*WTW_Fuel_properties!$I$51+H31*WTW_Fuel_properties!$I$52+H32*WTW_Fuel_properties!$I$53)-1</f>
        <v>1.6358794306752404</v>
      </c>
      <c r="I35" s="2022">
        <f ca="1">(I26*WTW_Fuel_properties!$I$47+I27*WTW_Fuel_properties!$I$48+I28*WTW_Fuel_properties!$I$49+I29*WTW_Fuel_properties!$I$50+I30*WTW_Fuel_properties!$I$51+I31*WTW_Fuel_properties!$I$52+I32*WTW_Fuel_properties!$I$53)-1</f>
        <v>1.4662440863564967</v>
      </c>
      <c r="J35" s="2022">
        <f ca="1">(J26*WTW_Fuel_properties!$I$47+J27*WTW_Fuel_properties!$I$48+J28*WTW_Fuel_properties!$I$49+J29*WTW_Fuel_properties!$I$50+J30*WTW_Fuel_properties!$I$51+J31*WTW_Fuel_properties!$I$52+J32*WTW_Fuel_properties!$I$53)-1</f>
        <v>1.6358794306752404</v>
      </c>
      <c r="K35" s="2022">
        <f ca="1">(K26*WTW_Fuel_properties!$I$47+K27*WTW_Fuel_properties!$I$48+K28*WTW_Fuel_properties!$I$49+K29*WTW_Fuel_properties!$I$50+K30*WTW_Fuel_properties!$I$51+K31*WTW_Fuel_properties!$I$52+K32*WTW_Fuel_properties!$I$53)-1</f>
        <v>1.4289781208076135</v>
      </c>
      <c r="L35" s="2022">
        <f ca="1">(L26*WTW_Fuel_properties!$I$47+L27*WTW_Fuel_properties!$I$48+L28*WTW_Fuel_properties!$I$49+L29*WTW_Fuel_properties!$I$50+L30*WTW_Fuel_properties!$I$51+L31*WTW_Fuel_properties!$I$52+L32*WTW_Fuel_properties!$I$53)-1</f>
        <v>1.6358794306752404</v>
      </c>
      <c r="M35" s="2022">
        <f ca="1">(M26*WTW_Fuel_properties!$I$47+M27*WTW_Fuel_properties!$I$48+M28*WTW_Fuel_properties!$I$49+M29*WTW_Fuel_properties!$I$50+M30*WTW_Fuel_properties!$I$51+M31*WTW_Fuel_properties!$I$52+M32*WTW_Fuel_properties!$I$53)-1</f>
        <v>1.3550190497111934</v>
      </c>
      <c r="N35" s="2022">
        <f ca="1">(N26*WTW_Fuel_properties!$I$47+N27*WTW_Fuel_properties!$I$48+N28*WTW_Fuel_properties!$I$49+N29*WTW_Fuel_properties!$I$50+N30*WTW_Fuel_properties!$I$51+N31*WTW_Fuel_properties!$I$52+N32*WTW_Fuel_properties!$I$53)-1</f>
        <v>1.3550190497111934</v>
      </c>
      <c r="O35" s="2022">
        <f ca="1">(O26*WTW_Fuel_properties!$I$47+O27*WTW_Fuel_properties!$I$48+O28*WTW_Fuel_properties!$I$49+O29*WTW_Fuel_properties!$I$50+O30*WTW_Fuel_properties!$I$51+O31*WTW_Fuel_properties!$I$52+O32*WTW_Fuel_properties!$I$53)-1</f>
        <v>1.6358794306752404</v>
      </c>
      <c r="P35" s="2022">
        <f ca="1">(P26*WTW_Fuel_properties!$I$47+P27*WTW_Fuel_properties!$I$48+P28*WTW_Fuel_properties!$I$49+P29*WTW_Fuel_properties!$I$50+P30*WTW_Fuel_properties!$I$51+P31*WTW_Fuel_properties!$I$52+P32*WTW_Fuel_properties!$I$53)-1</f>
        <v>1.6358794306752404</v>
      </c>
      <c r="Q35" s="2022">
        <f ca="1">(Q26*WTW_Fuel_properties!$I$47+Q27*WTW_Fuel_properties!$I$48+Q28*WTW_Fuel_properties!$I$49+Q29*WTW_Fuel_properties!$I$50+Q30*WTW_Fuel_properties!$I$51+Q31*WTW_Fuel_properties!$I$52+Q32*WTW_Fuel_properties!$I$53)-1</f>
        <v>1.6358794306752404</v>
      </c>
      <c r="R35" s="2022">
        <f ca="1">(R26*WTW_Fuel_properties!$I$47+R27*WTW_Fuel_properties!$I$48+R28*WTW_Fuel_properties!$I$49+R29*WTW_Fuel_properties!$I$50+R30*WTW_Fuel_properties!$I$51+R31*WTW_Fuel_properties!$I$52+R32*WTW_Fuel_properties!$I$53)-1</f>
        <v>1.6358794306752404</v>
      </c>
      <c r="S35" s="2022">
        <f ca="1">(S26*WTW_Fuel_properties!$I$47+S27*WTW_Fuel_properties!$I$48+S28*WTW_Fuel_properties!$I$49+S29*WTW_Fuel_properties!$I$50+S30*WTW_Fuel_properties!$I$51+S31*WTW_Fuel_properties!$I$52+S32*WTW_Fuel_properties!$I$53)-1</f>
        <v>1.6358794306752404</v>
      </c>
      <c r="T35" s="2022">
        <f ca="1">(T26*WTW_Fuel_properties!$I$47+T27*WTW_Fuel_properties!$I$48+T28*WTW_Fuel_properties!$I$49+T29*WTW_Fuel_properties!$I$50+T30*WTW_Fuel_properties!$I$51+T31*WTW_Fuel_properties!$I$52+T32*WTW_Fuel_properties!$I$53)-1</f>
        <v>1.6358794306752404</v>
      </c>
      <c r="U35" s="2022">
        <f ca="1">(U26*WTW_Fuel_properties!$I$47+U27*WTW_Fuel_properties!$I$48+U28*WTW_Fuel_properties!$I$49+U29*WTW_Fuel_properties!$I$50+U30*WTW_Fuel_properties!$I$51+U31*WTW_Fuel_properties!$I$52+U32*WTW_Fuel_properties!$I$53)-1</f>
        <v>1.6358794306752404</v>
      </c>
      <c r="V35" s="2022">
        <f ca="1">(V26*WTW_Fuel_properties!$I$47+V27*WTW_Fuel_properties!$I$48+V28*WTW_Fuel_properties!$I$49+V29*WTW_Fuel_properties!$I$50+V30*WTW_Fuel_properties!$I$51+V31*WTW_Fuel_properties!$I$52+V32*WTW_Fuel_properties!$I$53)-1</f>
        <v>1.6358794306752404</v>
      </c>
      <c r="W35" s="2022">
        <f ca="1">(W26*WTW_Fuel_properties!$I$47+W27*WTW_Fuel_properties!$I$48+W28*WTW_Fuel_properties!$I$49+W29*WTW_Fuel_properties!$I$50+W30*WTW_Fuel_properties!$I$51+W31*WTW_Fuel_properties!$I$52+W32*WTW_Fuel_properties!$I$53)-1</f>
        <v>1.6358794306752404</v>
      </c>
      <c r="X35" s="2022">
        <f ca="1">(X26*WTW_Fuel_properties!$I$47+X27*WTW_Fuel_properties!$I$48+X28*WTW_Fuel_properties!$I$49+X29*WTW_Fuel_properties!$I$50+X30*WTW_Fuel_properties!$I$51+X31*WTW_Fuel_properties!$I$52+X32*WTW_Fuel_properties!$I$53)-1</f>
        <v>5.1524710830704645E-2</v>
      </c>
      <c r="Y35" s="2022">
        <f ca="1">(Y26*WTW_Fuel_properties!$I$47+Y27*WTW_Fuel_properties!$I$48+Y28*WTW_Fuel_properties!$I$49+Y29*WTW_Fuel_properties!$I$50+Y30*WTW_Fuel_properties!$I$51+Y31*WTW_Fuel_properties!$I$52+Y32*WTW_Fuel_properties!$I$53)-1</f>
        <v>1.6358794306752404</v>
      </c>
      <c r="Z35" s="2022">
        <f ca="1">(Z26*WTW_Fuel_properties!$I$47+Z27*WTW_Fuel_properties!$I$48+Z28*WTW_Fuel_properties!$I$49+Z29*WTW_Fuel_properties!$I$50+Z30*WTW_Fuel_properties!$I$51+Z31*WTW_Fuel_properties!$I$52+Z32*WTW_Fuel_properties!$I$53)-1</f>
        <v>1.3915729797328193</v>
      </c>
      <c r="AA35" s="2022">
        <f ca="1">(AA26*WTW_Fuel_properties!$I$47+AA27*WTW_Fuel_properties!$I$48+AA28*WTW_Fuel_properties!$I$49+AA29*WTW_Fuel_properties!$I$50+AA30*WTW_Fuel_properties!$I$51+AA31*WTW_Fuel_properties!$I$52+AA32*WTW_Fuel_properties!$I$53)-1</f>
        <v>1.6358794306752404</v>
      </c>
      <c r="AB35" s="2022">
        <f ca="1">(AB26*WTW_Fuel_properties!$I$47+AB27*WTW_Fuel_properties!$I$48+AB28*WTW_Fuel_properties!$I$49+AB29*WTW_Fuel_properties!$I$50+AB30*WTW_Fuel_properties!$I$51+AB31*WTW_Fuel_properties!$I$52+AB32*WTW_Fuel_properties!$I$53)-1</f>
        <v>1.6358794306752404</v>
      </c>
    </row>
    <row r="36" spans="1:28" x14ac:dyDescent="0.45">
      <c r="A36" s="1421" t="s">
        <v>1082</v>
      </c>
      <c r="B36" s="2035" t="s">
        <v>1081</v>
      </c>
      <c r="C36" s="2022" t="e">
        <f>IF(C$17="",NA(),
VLOOKUP(C$17,WTW_Fuel_properties!$C$60:$X$67,COLUMN(WTW_Fuel_properties!$L$58)-COLUMN(WTW_Fuel_properties!$C$58)+1,FALSE))</f>
        <v>#N/A</v>
      </c>
      <c r="D36" s="2022" t="e">
        <f>IF(D$17="",NA(),
VLOOKUP(D$17,WTW_Fuel_properties!$C$60:$X$67,COLUMN(WTW_Fuel_properties!$L$58)-COLUMN(WTW_Fuel_properties!$C$58)+1,FALSE))</f>
        <v>#N/A</v>
      </c>
      <c r="E36" s="2022" t="e">
        <f>IF(E$17="",NA(),
VLOOKUP(E$17,WTW_Fuel_properties!$C$60:$X$67,COLUMN(WTW_Fuel_properties!$L$58)-COLUMN(WTW_Fuel_properties!$C$58)+1,FALSE))</f>
        <v>#N/A</v>
      </c>
      <c r="F36" s="2022" t="e">
        <f>IF(F$17="",NA(),
VLOOKUP(F$17,WTW_Fuel_properties!$C$60:$X$67,COLUMN(WTW_Fuel_properties!$L$58)-COLUMN(WTW_Fuel_properties!$C$58)+1,FALSE))</f>
        <v>#N/A</v>
      </c>
      <c r="G36" s="2022" t="e">
        <f>IF(G$17="",NA(),
VLOOKUP(G$17,WTW_Fuel_properties!$C$60:$X$67,COLUMN(WTW_Fuel_properties!$L$58)-COLUMN(WTW_Fuel_properties!$C$58)+1,FALSE))</f>
        <v>#N/A</v>
      </c>
      <c r="H36" s="2022" t="e">
        <f>IF(H$17="",NA(),
VLOOKUP(H$17,WTW_Fuel_properties!$C$60:$X$67,COLUMN(WTW_Fuel_properties!$L$58)-COLUMN(WTW_Fuel_properties!$C$58)+1,FALSE))</f>
        <v>#N/A</v>
      </c>
      <c r="I36" s="2022" t="e">
        <f>IF(I$17="",NA(),
VLOOKUP(I$17,WTW_Fuel_properties!$C$60:$X$67,COLUMN(WTW_Fuel_properties!$L$58)-COLUMN(WTW_Fuel_properties!$C$58)+1,FALSE))</f>
        <v>#N/A</v>
      </c>
      <c r="J36" s="2022" t="e">
        <f>IF(J$17="",NA(),
VLOOKUP(J$17,WTW_Fuel_properties!$C$60:$X$67,COLUMN(WTW_Fuel_properties!$L$58)-COLUMN(WTW_Fuel_properties!$C$58)+1,FALSE))</f>
        <v>#N/A</v>
      </c>
      <c r="K36" s="2022" t="e">
        <f>IF(K$17="",NA(),
VLOOKUP(K$17,WTW_Fuel_properties!$C$60:$X$67,COLUMN(WTW_Fuel_properties!$L$58)-COLUMN(WTW_Fuel_properties!$C$58)+1,FALSE))</f>
        <v>#N/A</v>
      </c>
      <c r="L36" s="2022" t="e">
        <f>IF(L$17="",NA(),
VLOOKUP(L$17,WTW_Fuel_properties!$C$60:$X$67,COLUMN(WTW_Fuel_properties!$L$58)-COLUMN(WTW_Fuel_properties!$C$58)+1,FALSE))</f>
        <v>#N/A</v>
      </c>
      <c r="M36" s="2022" t="e">
        <f>IF(M$17="",NA(),
VLOOKUP(M$17,WTW_Fuel_properties!$C$60:$X$67,COLUMN(WTW_Fuel_properties!$L$58)-COLUMN(WTW_Fuel_properties!$C$58)+1,FALSE))</f>
        <v>#N/A</v>
      </c>
      <c r="N36" s="2022" t="e">
        <f>IF(N$17="",NA(),
VLOOKUP(N$17,WTW_Fuel_properties!$C$60:$X$67,COLUMN(WTW_Fuel_properties!$L$58)-COLUMN(WTW_Fuel_properties!$C$58)+1,FALSE))</f>
        <v>#N/A</v>
      </c>
      <c r="O36" s="2022" t="e">
        <f>IF(O$17="",NA(),
VLOOKUP(O$17,WTW_Fuel_properties!$C$60:$X$67,COLUMN(WTW_Fuel_properties!$L$58)-COLUMN(WTW_Fuel_properties!$C$58)+1,FALSE))</f>
        <v>#N/A</v>
      </c>
      <c r="P36" s="2022" t="e">
        <f>IF(P$17="",NA(),
VLOOKUP(P$17,WTW_Fuel_properties!$C$60:$X$67,COLUMN(WTW_Fuel_properties!$L$58)-COLUMN(WTW_Fuel_properties!$C$58)+1,FALSE))</f>
        <v>#N/A</v>
      </c>
      <c r="Q36" s="2022" t="e">
        <f>IF(Q$17="",NA(),
VLOOKUP(Q$17,WTW_Fuel_properties!$C$60:$X$67,COLUMN(WTW_Fuel_properties!$L$58)-COLUMN(WTW_Fuel_properties!$C$58)+1,FALSE))</f>
        <v>#N/A</v>
      </c>
      <c r="R36" s="2022" t="e">
        <f>IF(R$17="",NA(),
VLOOKUP(R$17,WTW_Fuel_properties!$C$60:$X$67,COLUMN(WTW_Fuel_properties!$L$58)-COLUMN(WTW_Fuel_properties!$C$58)+1,FALSE))</f>
        <v>#N/A</v>
      </c>
      <c r="S36" s="2022" t="e">
        <f>IF(S$17="",NA(),
VLOOKUP(S$17,WTW_Fuel_properties!$C$60:$X$67,COLUMN(WTW_Fuel_properties!$L$58)-COLUMN(WTW_Fuel_properties!$C$58)+1,FALSE))</f>
        <v>#N/A</v>
      </c>
      <c r="T36" s="2022" t="e">
        <f>IF(T$17="",NA(),
VLOOKUP(T$17,WTW_Fuel_properties!$C$60:$X$67,COLUMN(WTW_Fuel_properties!$L$58)-COLUMN(WTW_Fuel_properties!$C$58)+1,FALSE))</f>
        <v>#N/A</v>
      </c>
      <c r="U36" s="2022" t="e">
        <f>IF(U$17="",NA(),
VLOOKUP(U$17,WTW_Fuel_properties!$C$60:$X$67,COLUMN(WTW_Fuel_properties!$L$58)-COLUMN(WTW_Fuel_properties!$C$58)+1,FALSE))</f>
        <v>#N/A</v>
      </c>
      <c r="V36" s="2022" t="e">
        <f>IF(V$17="",NA(),
VLOOKUP(V$17,WTW_Fuel_properties!$C$60:$X$67,COLUMN(WTW_Fuel_properties!$L$58)-COLUMN(WTW_Fuel_properties!$C$58)+1,FALSE))</f>
        <v>#N/A</v>
      </c>
      <c r="W36" s="2022">
        <f>IF(W$17="",NA(),
VLOOKUP(W$17,WTW_Fuel_properties!$C$60:$X$67,COLUMN(WTW_Fuel_properties!$L$58)-COLUMN(WTW_Fuel_properties!$C$58)+1,FALSE))</f>
        <v>1.6815904073344159</v>
      </c>
      <c r="X36" s="2022" t="e">
        <f>IF(X$17="",NA(),
VLOOKUP(X$17,WTW_Fuel_properties!$C$60:$X$67,COLUMN(WTW_Fuel_properties!$L$58)-COLUMN(WTW_Fuel_properties!$C$58)+1,FALSE))</f>
        <v>#N/A</v>
      </c>
      <c r="Y36" s="2022" t="e">
        <f>IF(Y$17="",NA(),
VLOOKUP(Y$17,WTW_Fuel_properties!$C$60:$X$67,COLUMN(WTW_Fuel_properties!$L$58)-COLUMN(WTW_Fuel_properties!$C$58)+1,FALSE))</f>
        <v>#N/A</v>
      </c>
      <c r="Z36" s="2022" t="e">
        <f>IF(Z$17="",NA(),
VLOOKUP(Z$17,WTW_Fuel_properties!$C$60:$X$67,COLUMN(WTW_Fuel_properties!$L$58)-COLUMN(WTW_Fuel_properties!$C$58)+1,FALSE))</f>
        <v>#N/A</v>
      </c>
      <c r="AA36" s="2022" t="e">
        <f>IF(AA$17="",NA(),
VLOOKUP(AA$17,WTW_Fuel_properties!$C$60:$X$67,COLUMN(WTW_Fuel_properties!$L$58)-COLUMN(WTW_Fuel_properties!$C$58)+1,FALSE))</f>
        <v>#N/A</v>
      </c>
      <c r="AB36" s="2022" t="e">
        <f>IF(AB$17="",NA(),
VLOOKUP(AB$17,WTW_Fuel_properties!$C$60:$X$67,COLUMN(WTW_Fuel_properties!$L$58)-COLUMN(WTW_Fuel_properties!$C$58)+1,FALSE))</f>
        <v>#N/A</v>
      </c>
    </row>
    <row r="37" spans="1:28" x14ac:dyDescent="0.45">
      <c r="A37" s="1416"/>
      <c r="B37" s="2029"/>
      <c r="C37" s="2003"/>
      <c r="D37" s="2003"/>
      <c r="E37" s="2003"/>
      <c r="F37" s="2003"/>
      <c r="G37" s="2003"/>
      <c r="H37" s="2003"/>
      <c r="I37" s="2003"/>
      <c r="J37" s="2003"/>
      <c r="K37" s="1968"/>
      <c r="L37" s="1968"/>
      <c r="M37" s="1968"/>
      <c r="N37" s="1968"/>
      <c r="O37" s="1968"/>
      <c r="P37" s="1968"/>
      <c r="Q37" s="1968"/>
      <c r="R37" s="1968"/>
      <c r="S37" s="1968"/>
      <c r="T37" s="1968"/>
      <c r="U37" s="1968"/>
      <c r="V37" s="1968"/>
      <c r="W37" s="1969"/>
      <c r="X37" s="1968"/>
      <c r="Y37" s="1968"/>
      <c r="Z37" s="1968"/>
      <c r="AA37" s="1968"/>
      <c r="AB37" s="1968"/>
    </row>
    <row r="38" spans="1:28" x14ac:dyDescent="0.45">
      <c r="A38" s="1421" t="s">
        <v>395</v>
      </c>
      <c r="B38" s="2035" t="s">
        <v>1083</v>
      </c>
      <c r="C38" s="2022">
        <f>IF(C5="",NA(),VLOOKUP(C5,WTW_Fuel_properties!$A$94:$C$109,3,FALSE))</f>
        <v>2.7712969199999997</v>
      </c>
      <c r="D38" s="2022" t="e">
        <f>IF(D5="",NA(),VLOOKUP(D5,WTW_Fuel_properties!$A$94:$C$109,3,FALSE))</f>
        <v>#N/A</v>
      </c>
      <c r="E38" s="2022">
        <f>IF(E5="",NA(),VLOOKUP(E5,WTW_Fuel_properties!$A$94:$C$109,3,FALSE))</f>
        <v>2.7712969199999997</v>
      </c>
      <c r="F38" s="2022" t="e">
        <f>IF(F5="",NA(),VLOOKUP(F5,WTW_Fuel_properties!$A$94:$C$109,3,FALSE))</f>
        <v>#N/A</v>
      </c>
      <c r="G38" s="2022">
        <f>IF(G5="",NA(),VLOOKUP(G5,WTW_Fuel_properties!$A$94:$C$109,3,FALSE))</f>
        <v>2.7712969199999997</v>
      </c>
      <c r="H38" s="2022" t="e">
        <f>IF(H5="",NA(),VLOOKUP(H5,WTW_Fuel_properties!$A$94:$C$109,3,FALSE))</f>
        <v>#N/A</v>
      </c>
      <c r="I38" s="2022">
        <f>IF(I5="",NA(),VLOOKUP(I5,WTW_Fuel_properties!$A$94:$C$109,3,FALSE))</f>
        <v>2.7712969199999997</v>
      </c>
      <c r="J38" s="2022" t="e">
        <f>IF(J5="",NA(),VLOOKUP(J5,WTW_Fuel_properties!$A$94:$C$109,3,FALSE))</f>
        <v>#N/A</v>
      </c>
      <c r="K38" s="2022">
        <f>IF(K5="",NA(),VLOOKUP(K5,WTW_Fuel_properties!$A$94:$C$109,3,FALSE))</f>
        <v>2.4134924849999999</v>
      </c>
      <c r="L38" s="2022" t="e">
        <f>IF(L5="",NA(),VLOOKUP(L5,WTW_Fuel_properties!$A$94:$C$109,3,FALSE))</f>
        <v>#N/A</v>
      </c>
      <c r="M38" s="2022">
        <f>IF(M5="",NA(),VLOOKUP(M5,WTW_Fuel_properties!$A$94:$C$109,3,FALSE))</f>
        <v>2.9834686533333334</v>
      </c>
      <c r="N38" s="2022">
        <f>IF(N5="",NA(),VLOOKUP(N5,WTW_Fuel_properties!$A$94:$C$109,3,FALSE))</f>
        <v>2.9834686533333334</v>
      </c>
      <c r="O38" s="2022">
        <f>IF(O5="",NA(),VLOOKUP(O5,WTW_Fuel_properties!$A$94:$C$109,3,FALSE))</f>
        <v>2.9834686533333334</v>
      </c>
      <c r="P38" s="2022">
        <f>IF(P5="",NA(),VLOOKUP(P5,WTW_Fuel_properties!$A$94:$C$109,3,FALSE))</f>
        <v>2.9834686533333334</v>
      </c>
      <c r="Q38" s="2022" t="e">
        <f>IF(Q5="",NA(),VLOOKUP(Q5,WTW_Fuel_properties!$A$94:$C$109,3,FALSE))</f>
        <v>#N/A</v>
      </c>
      <c r="R38" s="2022" t="e">
        <f>IF(R5="",NA(),VLOOKUP(R5,WTW_Fuel_properties!$A$94:$C$109,3,FALSE))</f>
        <v>#N/A</v>
      </c>
      <c r="S38" s="2022" t="e">
        <f>IF(S5="",NA(),VLOOKUP(S5,WTW_Fuel_properties!$A$94:$C$109,3,FALSE))</f>
        <v>#N/A</v>
      </c>
      <c r="T38" s="2022" t="e">
        <f>IF(T5="",NA(),VLOOKUP(T5,WTW_Fuel_properties!$A$94:$C$109,3,FALSE))</f>
        <v>#N/A</v>
      </c>
      <c r="U38" s="2022">
        <f>IF(U5="",NA(),VLOOKUP(U5,WTW_Fuel_properties!$A$94:$C$109,3,FALSE))</f>
        <v>2.9834686533333334</v>
      </c>
      <c r="V38" s="2022" t="e">
        <f>IF(V5="",NA(),VLOOKUP(V5,WTW_Fuel_properties!$A$94:$C$109,3,FALSE))</f>
        <v>#N/A</v>
      </c>
      <c r="W38" s="2022" t="e">
        <f>IF(W5="",NA(),VLOOKUP(W5,WTW_Fuel_properties!$A$94:$C$109,3,FALSE))</f>
        <v>#N/A</v>
      </c>
      <c r="X38" s="2022">
        <f>IF(X5="",NA(),VLOOKUP(X5,WTW_Fuel_properties!$A$94:$C$109,3,FALSE))</f>
        <v>2.7712969199999997</v>
      </c>
      <c r="Y38" s="2022" t="e">
        <f>IF(Y5="",NA(),VLOOKUP(Y5,WTW_Fuel_properties!$A$94:$C$109,3,FALSE))</f>
        <v>#N/A</v>
      </c>
      <c r="Z38" s="2022">
        <f>IF(Z5="",NA(),VLOOKUP(Z5,WTW_Fuel_properties!$A$94:$C$109,3,FALSE))</f>
        <v>2.9834686533333334</v>
      </c>
      <c r="AA38" s="2022" t="e">
        <f>IF(AA5="",NA(),VLOOKUP(AA5,WTW_Fuel_properties!$A$94:$C$109,3,FALSE))</f>
        <v>#N/A</v>
      </c>
      <c r="AB38" s="2022" t="e">
        <f>IF(AB5="",NA(),VLOOKUP(AB5,WTW_Fuel_properties!$A$94:$C$109,3,FALSE))</f>
        <v>#N/A</v>
      </c>
    </row>
    <row r="39" spans="1:28" x14ac:dyDescent="0.45">
      <c r="A39" s="1421" t="s">
        <v>1084</v>
      </c>
      <c r="B39" s="2035" t="s">
        <v>1085</v>
      </c>
      <c r="C39" s="2022">
        <f ca="1">(C26*WTW_Fuel_properties!$E$47+C27*WTW_Fuel_properties!$E$48+C28*WTW_Fuel_properties!$E$49+C29*WTW_Fuel_properties!$E$50+C30*WTW_Fuel_properties!$E$51+C31*WTW_Fuel_properties!$E$52+C32*WTW_Fuel_properties!$E$53)</f>
        <v>639.967850350307</v>
      </c>
      <c r="D39" s="2022">
        <f ca="1">(D26*WTW_Fuel_properties!$E$47+D27*WTW_Fuel_properties!$E$48+D28*WTW_Fuel_properties!$E$49+D29*WTW_Fuel_properties!$E$50+D30*WTW_Fuel_properties!$E$51+D31*WTW_Fuel_properties!$E$52+D32*WTW_Fuel_properties!$E$53)</f>
        <v>791.19014548961047</v>
      </c>
      <c r="E39" s="2022">
        <f ca="1">(E26*WTW_Fuel_properties!$E$47+E27*WTW_Fuel_properties!$E$48+E28*WTW_Fuel_properties!$E$49+E29*WTW_Fuel_properties!$E$50+E30*WTW_Fuel_properties!$E$51+E31*WTW_Fuel_properties!$E$52+E32*WTW_Fuel_properties!$E$53)</f>
        <v>639.967850350307</v>
      </c>
      <c r="F39" s="2022">
        <f ca="1">(F26*WTW_Fuel_properties!$E$47+F27*WTW_Fuel_properties!$E$48+F28*WTW_Fuel_properties!$E$49+F29*WTW_Fuel_properties!$E$50+F30*WTW_Fuel_properties!$E$51+F31*WTW_Fuel_properties!$E$52+F32*WTW_Fuel_properties!$E$53)</f>
        <v>791.19014548961047</v>
      </c>
      <c r="G39" s="2022">
        <f ca="1">(G26*WTW_Fuel_properties!$E$47+G27*WTW_Fuel_properties!$E$48+G28*WTW_Fuel_properties!$E$49+G29*WTW_Fuel_properties!$E$50+G30*WTW_Fuel_properties!$E$51+G31*WTW_Fuel_properties!$E$52+G32*WTW_Fuel_properties!$E$53)</f>
        <v>683.64775291575961</v>
      </c>
      <c r="H39" s="2022">
        <f ca="1">(H26*WTW_Fuel_properties!$E$47+H27*WTW_Fuel_properties!$E$48+H28*WTW_Fuel_properties!$E$49+H29*WTW_Fuel_properties!$E$50+H30*WTW_Fuel_properties!$E$51+H31*WTW_Fuel_properties!$E$52+H32*WTW_Fuel_properties!$E$53)</f>
        <v>791.19014548961047</v>
      </c>
      <c r="I39" s="2022">
        <f ca="1">(I26*WTW_Fuel_properties!$E$47+I27*WTW_Fuel_properties!$E$48+I28*WTW_Fuel_properties!$E$49+I29*WTW_Fuel_properties!$E$50+I30*WTW_Fuel_properties!$E$51+I31*WTW_Fuel_properties!$E$52+I32*WTW_Fuel_properties!$E$53)</f>
        <v>683.64775291575961</v>
      </c>
      <c r="J39" s="2022">
        <f ca="1">(J26*WTW_Fuel_properties!$E$47+J27*WTW_Fuel_properties!$E$48+J28*WTW_Fuel_properties!$E$49+J29*WTW_Fuel_properties!$E$50+J30*WTW_Fuel_properties!$E$51+J31*WTW_Fuel_properties!$E$52+J32*WTW_Fuel_properties!$E$53)</f>
        <v>791.19014548961047</v>
      </c>
      <c r="K39" s="2022">
        <f ca="1">(K26*WTW_Fuel_properties!$E$47+K27*WTW_Fuel_properties!$E$48+K28*WTW_Fuel_properties!$E$49+K29*WTW_Fuel_properties!$E$50+K30*WTW_Fuel_properties!$E$51+K31*WTW_Fuel_properties!$E$52+K32*WTW_Fuel_properties!$E$53)</f>
        <v>661.67636582074726</v>
      </c>
      <c r="L39" s="2022">
        <f ca="1">(L26*WTW_Fuel_properties!$E$47+L27*WTW_Fuel_properties!$E$48+L28*WTW_Fuel_properties!$E$49+L29*WTW_Fuel_properties!$E$50+L30*WTW_Fuel_properties!$E$51+L31*WTW_Fuel_properties!$E$52+L32*WTW_Fuel_properties!$E$53)</f>
        <v>791.19014548961047</v>
      </c>
      <c r="M39" s="2022">
        <f ca="1">(M26*WTW_Fuel_properties!$E$47+M27*WTW_Fuel_properties!$E$48+M28*WTW_Fuel_properties!$E$49+M29*WTW_Fuel_properties!$E$50+M30*WTW_Fuel_properties!$E$51+M31*WTW_Fuel_properties!$E$52+M32*WTW_Fuel_properties!$E$53)</f>
        <v>618.99767540662492</v>
      </c>
      <c r="N39" s="2022">
        <f ca="1">(N26*WTW_Fuel_properties!$E$47+N27*WTW_Fuel_properties!$E$48+N28*WTW_Fuel_properties!$E$49+N29*WTW_Fuel_properties!$E$50+N30*WTW_Fuel_properties!$E$51+N31*WTW_Fuel_properties!$E$52+N32*WTW_Fuel_properties!$E$53)</f>
        <v>618.99767540662492</v>
      </c>
      <c r="O39" s="2022">
        <f ca="1">(O26*WTW_Fuel_properties!$E$47+O27*WTW_Fuel_properties!$E$48+O28*WTW_Fuel_properties!$E$49+O29*WTW_Fuel_properties!$E$50+O30*WTW_Fuel_properties!$E$51+O31*WTW_Fuel_properties!$E$52+O32*WTW_Fuel_properties!$E$53)</f>
        <v>791.19014548961047</v>
      </c>
      <c r="P39" s="2022">
        <f ca="1">(P26*WTW_Fuel_properties!$E$47+P27*WTW_Fuel_properties!$E$48+P28*WTW_Fuel_properties!$E$49+P29*WTW_Fuel_properties!$E$50+P30*WTW_Fuel_properties!$E$51+P31*WTW_Fuel_properties!$E$52+P32*WTW_Fuel_properties!$E$53)</f>
        <v>791.19014548961047</v>
      </c>
      <c r="Q39" s="2022">
        <f ca="1">(Q26*WTW_Fuel_properties!$E$47+Q27*WTW_Fuel_properties!$E$48+Q28*WTW_Fuel_properties!$E$49+Q29*WTW_Fuel_properties!$E$50+Q30*WTW_Fuel_properties!$E$51+Q31*WTW_Fuel_properties!$E$52+Q32*WTW_Fuel_properties!$E$53)</f>
        <v>791.19014548961047</v>
      </c>
      <c r="R39" s="2022">
        <f ca="1">(R26*WTW_Fuel_properties!$E$47+R27*WTW_Fuel_properties!$E$48+R28*WTW_Fuel_properties!$E$49+R29*WTW_Fuel_properties!$E$50+R30*WTW_Fuel_properties!$E$51+R31*WTW_Fuel_properties!$E$52+R32*WTW_Fuel_properties!$E$53)</f>
        <v>791.19014548961047</v>
      </c>
      <c r="S39" s="2022">
        <f ca="1">(S26*WTW_Fuel_properties!$E$47+S27*WTW_Fuel_properties!$E$48+S28*WTW_Fuel_properties!$E$49+S29*WTW_Fuel_properties!$E$50+S30*WTW_Fuel_properties!$E$51+S31*WTW_Fuel_properties!$E$52+S32*WTW_Fuel_properties!$E$53)</f>
        <v>791.19014548961047</v>
      </c>
      <c r="T39" s="2022">
        <f ca="1">(T26*WTW_Fuel_properties!$E$47+T27*WTW_Fuel_properties!$E$48+T28*WTW_Fuel_properties!$E$49+T29*WTW_Fuel_properties!$E$50+T30*WTW_Fuel_properties!$E$51+T31*WTW_Fuel_properties!$E$52+T32*WTW_Fuel_properties!$E$53)</f>
        <v>791.19014548961047</v>
      </c>
      <c r="U39" s="2022">
        <f ca="1">(U26*WTW_Fuel_properties!$E$47+U27*WTW_Fuel_properties!$E$48+U28*WTW_Fuel_properties!$E$49+U29*WTW_Fuel_properties!$E$50+U30*WTW_Fuel_properties!$E$51+U31*WTW_Fuel_properties!$E$52+U32*WTW_Fuel_properties!$E$53)</f>
        <v>791.19014548961047</v>
      </c>
      <c r="V39" s="2022">
        <f ca="1">(V26*WTW_Fuel_properties!$E$47+V27*WTW_Fuel_properties!$E$48+V28*WTW_Fuel_properties!$E$49+V29*WTW_Fuel_properties!$E$50+V30*WTW_Fuel_properties!$E$51+V31*WTW_Fuel_properties!$E$52+V32*WTW_Fuel_properties!$E$53)</f>
        <v>791.19014548961047</v>
      </c>
      <c r="W39" s="2022">
        <f ca="1">(W26*WTW_Fuel_properties!$E$47+W27*WTW_Fuel_properties!$E$48+W28*WTW_Fuel_properties!$E$49+W29*WTW_Fuel_properties!$E$50+W30*WTW_Fuel_properties!$E$51+W31*WTW_Fuel_properties!$E$52+W32*WTW_Fuel_properties!$E$53)</f>
        <v>791.19014548961047</v>
      </c>
      <c r="X39" s="2022">
        <f ca="1">(X26*WTW_Fuel_properties!$E$47+X27*WTW_Fuel_properties!$E$48+X28*WTW_Fuel_properties!$E$49+X29*WTW_Fuel_properties!$E$50+X30*WTW_Fuel_properties!$E$51+X31*WTW_Fuel_properties!$E$52+X32*WTW_Fuel_properties!$E$53)</f>
        <v>9.9319444444444454</v>
      </c>
      <c r="Y39" s="2022">
        <f ca="1">(Y26*WTW_Fuel_properties!$E$47+Y27*WTW_Fuel_properties!$E$48+Y28*WTW_Fuel_properties!$E$49+Y29*WTW_Fuel_properties!$E$50+Y30*WTW_Fuel_properties!$E$51+Y31*WTW_Fuel_properties!$E$52+Y32*WTW_Fuel_properties!$E$53)</f>
        <v>791.19014548961047</v>
      </c>
      <c r="Z39" s="2022">
        <f ca="1">(Z26*WTW_Fuel_properties!$E$47+Z27*WTW_Fuel_properties!$E$48+Z28*WTW_Fuel_properties!$E$49+Z29*WTW_Fuel_properties!$E$50+Z30*WTW_Fuel_properties!$E$51+Z31*WTW_Fuel_properties!$E$52+Z32*WTW_Fuel_properties!$E$53)</f>
        <v>639.967850350307</v>
      </c>
      <c r="AA39" s="2022">
        <f ca="1">(AA26*WTW_Fuel_properties!$E$47+AA27*WTW_Fuel_properties!$E$48+AA28*WTW_Fuel_properties!$E$49+AA29*WTW_Fuel_properties!$E$50+AA30*WTW_Fuel_properties!$E$51+AA31*WTW_Fuel_properties!$E$52+AA32*WTW_Fuel_properties!$E$53)</f>
        <v>791.19014548961047</v>
      </c>
      <c r="AB39" s="2022">
        <f ca="1">(AB26*WTW_Fuel_properties!$E$47+AB27*WTW_Fuel_properties!$E$48+AB28*WTW_Fuel_properties!$E$49+AB29*WTW_Fuel_properties!$E$50+AB30*WTW_Fuel_properties!$E$51+AB31*WTW_Fuel_properties!$E$52+AB32*WTW_Fuel_properties!$E$53)</f>
        <v>791.19014548961047</v>
      </c>
    </row>
    <row r="40" spans="1:28" x14ac:dyDescent="0.45">
      <c r="A40" s="1421" t="s">
        <v>1086</v>
      </c>
      <c r="B40" s="2035" t="s">
        <v>365</v>
      </c>
      <c r="C40" s="2022" t="e">
        <f>IF(C17="",NA(),
IF(C17=WTW_Fuel_properties!$C$68,SUMPRODUCT(AB314:AB319,WTW_Fuel_properties!$X$61:$X$66),
VLOOKUP(C$17,WTW_Fuel_properties!$C$60:$X$67,COLUMN(WTW_Fuel_properties!$X$58)-COLUMN(WTW_Fuel_properties!$C$58)+1,FALSE)))</f>
        <v>#N/A</v>
      </c>
      <c r="D40" s="2022" t="e">
        <f>IF(D17="",NA(),
IF(D17=WTW_Fuel_properties!$C$68,SUMPRODUCT(AC314:AC319,WTW_Fuel_properties!$X$61:$X$66),
VLOOKUP(D$17,WTW_Fuel_properties!$C$60:$X$67,COLUMN(WTW_Fuel_properties!$X$58)-COLUMN(WTW_Fuel_properties!$C$58)+1,FALSE)))</f>
        <v>#N/A</v>
      </c>
      <c r="E40" s="2022" t="e">
        <f>IF(E17="",NA(),
IF(E17=WTW_Fuel_properties!$C$68,SUMPRODUCT(AD314:AD319,WTW_Fuel_properties!$X$61:$X$66),
VLOOKUP(E$17,WTW_Fuel_properties!$C$60:$X$67,COLUMN(WTW_Fuel_properties!$X$58)-COLUMN(WTW_Fuel_properties!$C$58)+1,FALSE)))</f>
        <v>#N/A</v>
      </c>
      <c r="F40" s="2022" t="e">
        <f>IF(F17="",NA(),
IF(F17=WTW_Fuel_properties!$C$68,SUMPRODUCT(AE314:AE319,WTW_Fuel_properties!$X$61:$X$66),
VLOOKUP(F$17,WTW_Fuel_properties!$C$60:$X$67,COLUMN(WTW_Fuel_properties!$X$58)-COLUMN(WTW_Fuel_properties!$C$58)+1,FALSE)))</f>
        <v>#N/A</v>
      </c>
      <c r="G40" s="2022" t="e">
        <f>IF(G17="",NA(),
IF(G17=WTW_Fuel_properties!$C$68,SUMPRODUCT(AD314:AD319,WTW_Fuel_properties!$X$61:$X$66),
VLOOKUP(G$17,WTW_Fuel_properties!$C$60:$X$67,COLUMN(WTW_Fuel_properties!$X$58)-COLUMN(WTW_Fuel_properties!$C$58)+1,FALSE)))</f>
        <v>#N/A</v>
      </c>
      <c r="H40" s="2022" t="e">
        <f>IF(H17="",NA(),
IF(H17=WTW_Fuel_properties!$C$68,SUMPRODUCT(AE314:AE319,WTW_Fuel_properties!$X$61:$X$66),
VLOOKUP(H$17,WTW_Fuel_properties!$C$60:$X$67,COLUMN(WTW_Fuel_properties!$X$58)-COLUMN(WTW_Fuel_properties!$C$58)+1,FALSE)))</f>
        <v>#N/A</v>
      </c>
      <c r="I40" s="2022" t="e">
        <f>IF(I17="",NA(),
IF(I17=WTW_Fuel_properties!$C$68,SUMPRODUCT(AF314:AF319,WTW_Fuel_properties!$X$61:$X$66),
VLOOKUP(I$17,WTW_Fuel_properties!$C$60:$X$67,COLUMN(WTW_Fuel_properties!$X$58)-COLUMN(WTW_Fuel_properties!$C$58)+1,FALSE)))</f>
        <v>#N/A</v>
      </c>
      <c r="J40" s="2022" t="e">
        <f>IF(J17="",NA(),
IF(J17=WTW_Fuel_properties!$C$68,SUMPRODUCT(AG314:AG319,WTW_Fuel_properties!$X$61:$X$66),
VLOOKUP(J$17,WTW_Fuel_properties!$C$60:$X$67,COLUMN(WTW_Fuel_properties!$X$58)-COLUMN(WTW_Fuel_properties!$C$58)+1,FALSE)))</f>
        <v>#N/A</v>
      </c>
      <c r="K40" s="2022" t="e">
        <f>IF(K17="",NA(),
IF(K17=WTW_Fuel_properties!$C$68,SUMPRODUCT(AF314:AF319,WTW_Fuel_properties!$X$61:$X$66),
VLOOKUP(K$17,WTW_Fuel_properties!$C$60:$X$67,COLUMN(WTW_Fuel_properties!$X$58)-COLUMN(WTW_Fuel_properties!$C$58)+1,FALSE)))</f>
        <v>#N/A</v>
      </c>
      <c r="L40" s="2022" t="e">
        <f>IF(L17="",NA(),
IF(L17=WTW_Fuel_properties!$C$68,SUMPRODUCT(AG314:AG319,WTW_Fuel_properties!$X$61:$X$66),
VLOOKUP(L$17,WTW_Fuel_properties!$C$60:$X$67,COLUMN(WTW_Fuel_properties!$X$58)-COLUMN(WTW_Fuel_properties!$C$58)+1,FALSE)))</f>
        <v>#N/A</v>
      </c>
      <c r="M40" s="2022" t="e">
        <f>IF(M17="",NA(),
IF(M17=WTW_Fuel_properties!$C$68,SUMPRODUCT(AI314:AI319,WTW_Fuel_properties!$X$61:$X$66),
VLOOKUP(M$17,WTW_Fuel_properties!$C$60:$X$67,COLUMN(WTW_Fuel_properties!$X$58)-COLUMN(WTW_Fuel_properties!$C$58)+1,FALSE)))</f>
        <v>#N/A</v>
      </c>
      <c r="N40" s="2022" t="e">
        <f>IF(N17="",NA(),
IF(N17=WTW_Fuel_properties!$C$68,SUMPRODUCT(AJ314:AJ319,WTW_Fuel_properties!$X$61:$X$66),
VLOOKUP(N$17,WTW_Fuel_properties!$C$60:$X$67,COLUMN(WTW_Fuel_properties!$X$58)-COLUMN(WTW_Fuel_properties!$C$58)+1,FALSE)))</f>
        <v>#N/A</v>
      </c>
      <c r="O40" s="2022" t="e">
        <f>IF(O17="",NA(),
IF(O17=WTW_Fuel_properties!$C$68,SUMPRODUCT(AK314:AK319,WTW_Fuel_properties!$X$61:$X$66),
VLOOKUP(O$17,WTW_Fuel_properties!$C$60:$X$67,COLUMN(WTW_Fuel_properties!$X$58)-COLUMN(WTW_Fuel_properties!$C$58)+1,FALSE)))</f>
        <v>#N/A</v>
      </c>
      <c r="P40" s="2022" t="e">
        <f>IF(P17="",NA(),
IF(P17=WTW_Fuel_properties!$C$68,SUMPRODUCT(AL314:AL319,WTW_Fuel_properties!$X$61:$X$66),
VLOOKUP(P$17,WTW_Fuel_properties!$C$60:$X$67,COLUMN(WTW_Fuel_properties!$X$58)-COLUMN(WTW_Fuel_properties!$C$58)+1,FALSE)))</f>
        <v>#N/A</v>
      </c>
      <c r="Q40" s="2022" t="e">
        <f>IF(Q17="",NA(),
IF(Q17=WTW_Fuel_properties!$C$68,SUMPRODUCT(AJ314:AJ319,WTW_Fuel_properties!$X$61:$X$66),
VLOOKUP(Q$17,WTW_Fuel_properties!$C$60:$X$67,COLUMN(WTW_Fuel_properties!$X$58)-COLUMN(WTW_Fuel_properties!$C$58)+1,FALSE)))</f>
        <v>#N/A</v>
      </c>
      <c r="R40" s="2022" t="e">
        <f>IF(R17="",NA(),
IF(R17=WTW_Fuel_properties!$C$68,SUMPRODUCT(AK314:AK319,WTW_Fuel_properties!$X$61:$X$66),
VLOOKUP(R$17,WTW_Fuel_properties!$C$60:$X$67,COLUMN(WTW_Fuel_properties!$X$58)-COLUMN(WTW_Fuel_properties!$C$58)+1,FALSE)))</f>
        <v>#N/A</v>
      </c>
      <c r="S40" s="2022" t="e">
        <f>IF(S17="",NA(),
IF(S17=WTW_Fuel_properties!$C$68,SUMPRODUCT(AL314:AL319,WTW_Fuel_properties!$X$61:$X$66),
VLOOKUP(S$17,WTW_Fuel_properties!$C$60:$X$67,COLUMN(WTW_Fuel_properties!$X$58)-COLUMN(WTW_Fuel_properties!$C$58)+1,FALSE)))</f>
        <v>#N/A</v>
      </c>
      <c r="T40" s="2022" t="e">
        <f>IF(T17="",NA(),
IF(T17=WTW_Fuel_properties!$C$68,SUMPRODUCT(AM314:AM319,WTW_Fuel_properties!$X$61:$X$66),
VLOOKUP(T$17,WTW_Fuel_properties!$C$60:$X$67,COLUMN(WTW_Fuel_properties!$X$58)-COLUMN(WTW_Fuel_properties!$C$58)+1,FALSE)))</f>
        <v>#N/A</v>
      </c>
      <c r="U40" s="2022" t="e">
        <f>IF(U17="",NA(),
IF(U17=WTW_Fuel_properties!$C$68,SUMPRODUCT(AN314:AN319,WTW_Fuel_properties!$X$61:$X$66),
VLOOKUP(U$17,WTW_Fuel_properties!$C$60:$X$67,COLUMN(WTW_Fuel_properties!$X$58)-COLUMN(WTW_Fuel_properties!$C$58)+1,FALSE)))</f>
        <v>#N/A</v>
      </c>
      <c r="V40" s="2022" t="e">
        <f>IF(V17="",NA(),
IF(V17=WTW_Fuel_properties!$C$68,SUMPRODUCT(AO314:AO319,WTW_Fuel_properties!$X$61:$X$66),
VLOOKUP(V$17,WTW_Fuel_properties!$C$60:$X$67,COLUMN(WTW_Fuel_properties!$X$58)-COLUMN(WTW_Fuel_properties!$C$58)+1,FALSE)))</f>
        <v>#N/A</v>
      </c>
      <c r="W40" s="2022">
        <f>IF(W17="",NA(),
IF(W17=WTW_Fuel_properties!$C$68,SUMPRODUCT(AP314:AP319,WTW_Fuel_properties!$X$61:$X$66),
VLOOKUP(W$17,WTW_Fuel_properties!$C$60:$X$67,COLUMN(WTW_Fuel_properties!$X$58)-COLUMN(WTW_Fuel_properties!$C$58)+1,FALSE)))</f>
        <v>11.089728024512347</v>
      </c>
      <c r="X40" s="2022" t="e">
        <f>IF(X17="",NA(),
IF(X17=WTW_Fuel_properties!$C$68,SUMPRODUCT(AJ314:AJ319,WTW_Fuel_properties!$X$61:$X$66),
VLOOKUP(X$17,WTW_Fuel_properties!$C$60:$X$67,COLUMN(WTW_Fuel_properties!$X$58)-COLUMN(WTW_Fuel_properties!$C$58)+1,FALSE)))</f>
        <v>#N/A</v>
      </c>
      <c r="Y40" s="2022" t="e">
        <f>IF(Y17="",NA(),
IF(Y17=WTW_Fuel_properties!$C$68,SUMPRODUCT(AK314:AK319,WTW_Fuel_properties!$X$61:$X$66),
VLOOKUP(Y$17,WTW_Fuel_properties!$C$60:$X$67,COLUMN(WTW_Fuel_properties!$X$58)-COLUMN(WTW_Fuel_properties!$C$58)+1,FALSE)))</f>
        <v>#N/A</v>
      </c>
      <c r="Z40" s="2022" t="e">
        <f>IF(Z17="",NA(),
IF(Z17=WTW_Fuel_properties!$C$68,SUMPRODUCT(AL314:AL319,WTW_Fuel_properties!$X$61:$X$66),
VLOOKUP(Z$17,WTW_Fuel_properties!$C$60:$X$67,COLUMN(WTW_Fuel_properties!$X$58)-COLUMN(WTW_Fuel_properties!$C$58)+1,FALSE)))</f>
        <v>#N/A</v>
      </c>
      <c r="AA40" s="2022" t="e">
        <f>IF(AA17="",NA(),
IF(AA17=WTW_Fuel_properties!$C$68,SUMPRODUCT(AM314:AM319,WTW_Fuel_properties!$X$61:$X$66),
VLOOKUP(AA$17,WTW_Fuel_properties!$C$60:$X$67,COLUMN(WTW_Fuel_properties!$X$58)-COLUMN(WTW_Fuel_properties!$C$58)+1,FALSE)))</f>
        <v>#N/A</v>
      </c>
      <c r="AB40" s="2022" t="e">
        <f>IF(AB17="",NA(),
IF(AB17=WTW_Fuel_properties!$C$68,SUMPRODUCT(AJ314:AJ319,WTW_Fuel_properties!$X$61:$X$66),
VLOOKUP(AB$17,WTW_Fuel_properties!$C$60:$X$67,COLUMN(WTW_Fuel_properties!$X$58)-COLUMN(WTW_Fuel_properties!$C$58)+1,FALSE)))</f>
        <v>#N/A</v>
      </c>
    </row>
    <row r="41" spans="1:28" x14ac:dyDescent="0.45">
      <c r="A41" s="1416"/>
      <c r="B41" s="2029"/>
      <c r="C41" s="2003"/>
      <c r="D41" s="2003"/>
      <c r="E41" s="2003"/>
      <c r="F41" s="2003"/>
      <c r="G41" s="2003"/>
      <c r="H41" s="2003"/>
      <c r="I41" s="2003"/>
      <c r="J41" s="2003"/>
      <c r="K41" s="1968"/>
      <c r="L41" s="1968"/>
      <c r="M41" s="1968"/>
      <c r="N41" s="1968"/>
      <c r="O41" s="1968"/>
      <c r="P41" s="1968"/>
      <c r="Q41" s="1968"/>
      <c r="R41" s="1968"/>
      <c r="S41" s="1968"/>
      <c r="T41" s="1968"/>
      <c r="U41" s="1968"/>
      <c r="V41" s="1968"/>
      <c r="W41" s="1969"/>
      <c r="X41" s="1968"/>
      <c r="Y41" s="1968"/>
      <c r="Z41" s="1968"/>
      <c r="AA41" s="1968"/>
      <c r="AB41" s="1968"/>
    </row>
    <row r="42" spans="1:28" x14ac:dyDescent="0.45">
      <c r="A42" s="1421" t="s">
        <v>20</v>
      </c>
      <c r="B42" s="2035" t="s">
        <v>1087</v>
      </c>
      <c r="C42" s="2022">
        <f>C6*Convert!$C$17/100</f>
        <v>0.66976000000000002</v>
      </c>
      <c r="D42" s="2022">
        <f>D6*Convert!$C$17/100</f>
        <v>0</v>
      </c>
      <c r="E42" s="2047">
        <f>E6*Convert!$C$17/100</f>
        <v>0.55813333333333337</v>
      </c>
      <c r="F42" s="2022">
        <f>F6*Convert!$C$17/100</f>
        <v>0</v>
      </c>
      <c r="G42" s="2022">
        <f>G6*Convert!$C$17/100</f>
        <v>0.66976000000000002</v>
      </c>
      <c r="H42" s="2022">
        <f>H6*Convert!$C$17/100</f>
        <v>0</v>
      </c>
      <c r="I42" s="2022">
        <f>I6*Convert!$C$17/100</f>
        <v>0.55813333333333337</v>
      </c>
      <c r="J42" s="2022">
        <f>J6*Convert!$C$17/100</f>
        <v>0</v>
      </c>
      <c r="K42" s="2022">
        <f>K6*Convert!$C$17/100</f>
        <v>1.5288135593220344</v>
      </c>
      <c r="L42" s="2022">
        <f>L6*Convert!$C$17/100</f>
        <v>0</v>
      </c>
      <c r="M42" s="2022">
        <f>M6*Convert!$C$17/100</f>
        <v>10.521070008779169</v>
      </c>
      <c r="N42" s="2022">
        <f>N6*Convert!$C$17/100</f>
        <v>15.683576086956522</v>
      </c>
      <c r="O42" s="2022">
        <f>O6*Convert!$C$17/100</f>
        <v>7.5150468750000003</v>
      </c>
      <c r="P42" s="2022">
        <f>P6*Convert!$C$17/100</f>
        <v>9.018056249999999</v>
      </c>
      <c r="Q42" s="2022">
        <f>Q6*Convert!$C$17/100</f>
        <v>0</v>
      </c>
      <c r="R42" s="2022">
        <f>R6*Convert!$C$17/100</f>
        <v>0</v>
      </c>
      <c r="S42" s="2022">
        <f>S6*Convert!$C$17/100</f>
        <v>0</v>
      </c>
      <c r="T42" s="2022">
        <f>T6*Convert!$C$17/100</f>
        <v>0</v>
      </c>
      <c r="U42" s="2022">
        <f>U6*Convert!$C$17/100</f>
        <v>15.683576086956522</v>
      </c>
      <c r="V42" s="2022">
        <f>V6*Convert!$C$17/100</f>
        <v>0</v>
      </c>
      <c r="W42" s="1582">
        <f>W6*Convert!$C$17/100</f>
        <v>0</v>
      </c>
      <c r="X42" s="2022">
        <f>X6*Convert!$C$17/100</f>
        <v>2.2325333333333335</v>
      </c>
      <c r="Y42" s="2022">
        <f>Y6*Convert!$C$17/100</f>
        <v>0</v>
      </c>
      <c r="Z42" s="2022">
        <f>Z6*Convert!$C$17/100</f>
        <v>2.5765875</v>
      </c>
      <c r="AA42" s="2022">
        <f>AA6*Convert!$C$17/100</f>
        <v>0</v>
      </c>
      <c r="AB42" s="2022">
        <f>AB6*Convert!$C$17/100</f>
        <v>0</v>
      </c>
    </row>
    <row r="43" spans="1:28" x14ac:dyDescent="0.45">
      <c r="A43" s="1421" t="s">
        <v>22</v>
      </c>
      <c r="B43" s="2035" t="s">
        <v>1087</v>
      </c>
      <c r="C43" s="2022">
        <f>C7*Convert!$B$12</f>
        <v>0</v>
      </c>
      <c r="D43" s="2022">
        <f>D7*Convert!$B$12</f>
        <v>0.1008</v>
      </c>
      <c r="E43" s="2022">
        <f>E7*Convert!$B$12</f>
        <v>0</v>
      </c>
      <c r="F43" s="2022">
        <f>F7*Convert!$B$12</f>
        <v>0.1008</v>
      </c>
      <c r="G43" s="2022">
        <f>G7*Convert!$B$12</f>
        <v>0</v>
      </c>
      <c r="H43" s="2022">
        <f>H7*Convert!$B$12</f>
        <v>0.1008</v>
      </c>
      <c r="I43" s="2022">
        <f>I7*Convert!$B$12</f>
        <v>0</v>
      </c>
      <c r="J43" s="2022">
        <f>J7*Convert!$B$12</f>
        <v>0.1008</v>
      </c>
      <c r="K43" s="2022">
        <f>K7*Convert!$B$12</f>
        <v>0</v>
      </c>
      <c r="L43" s="2022">
        <f>L7*Convert!$B$12</f>
        <v>0.28079999999999999</v>
      </c>
      <c r="M43" s="2022">
        <f>M7*Convert!$B$12</f>
        <v>0</v>
      </c>
      <c r="N43" s="2022">
        <f>N7*Convert!$B$12</f>
        <v>0</v>
      </c>
      <c r="O43" s="2022">
        <f>O7*Convert!$B$12</f>
        <v>0</v>
      </c>
      <c r="P43" s="2022">
        <f>P7*Convert!$B$12</f>
        <v>0</v>
      </c>
      <c r="Q43" s="2022">
        <f>Q7*Convert!$B$12</f>
        <v>3.9600000000000004</v>
      </c>
      <c r="R43" s="2022">
        <f>R7*Convert!$B$12</f>
        <v>4.6800000000000006</v>
      </c>
      <c r="S43" s="2022">
        <f>S7*Convert!$B$12</f>
        <v>3.24</v>
      </c>
      <c r="T43" s="2022">
        <f>T7*Convert!$B$12</f>
        <v>3.9600000000000004</v>
      </c>
      <c r="U43" s="2022">
        <f>U7*Convert!$B$12</f>
        <v>0</v>
      </c>
      <c r="V43" s="2022">
        <f>V7*Convert!$B$12</f>
        <v>3.9600000000000004</v>
      </c>
      <c r="W43" s="2022">
        <f>W7*Convert!$B$12</f>
        <v>0</v>
      </c>
      <c r="X43" s="2022">
        <f>X7*Convert!$B$12</f>
        <v>0</v>
      </c>
      <c r="Y43" s="2022">
        <f>Y7*Convert!$B$12</f>
        <v>0.49680000000000007</v>
      </c>
      <c r="Z43" s="2022">
        <f>Z7*Convert!$B$12</f>
        <v>0</v>
      </c>
      <c r="AA43" s="2022">
        <f>AA7*Convert!$B$12</f>
        <v>0.49680000000000007</v>
      </c>
      <c r="AB43" s="2022">
        <f>AB7*Convert!$B$12</f>
        <v>63.795999999999999</v>
      </c>
    </row>
    <row r="44" spans="1:28" x14ac:dyDescent="0.45">
      <c r="A44" s="1421" t="s">
        <v>24</v>
      </c>
      <c r="B44" s="2035" t="s">
        <v>1087</v>
      </c>
      <c r="C44" s="2022">
        <f>C8*Convert!$C$17/100</f>
        <v>0</v>
      </c>
      <c r="D44" s="2022">
        <f>D8*Convert!$C$17/100</f>
        <v>0</v>
      </c>
      <c r="E44" s="2022">
        <f>E8*Convert!$C$17/100</f>
        <v>0</v>
      </c>
      <c r="F44" s="2022">
        <f>F8*Convert!$C$17/100</f>
        <v>0</v>
      </c>
      <c r="G44" s="2022">
        <f>G8*Convert!$C$17/100</f>
        <v>0</v>
      </c>
      <c r="H44" s="2022">
        <f>H8*Convert!$C$17/100</f>
        <v>0</v>
      </c>
      <c r="I44" s="2022">
        <f>I8*Convert!$C$17/100</f>
        <v>0</v>
      </c>
      <c r="J44" s="2022">
        <f>J8*Convert!$C$17/100</f>
        <v>0</v>
      </c>
      <c r="K44" s="2022">
        <f>K8*Convert!$C$17/100</f>
        <v>0</v>
      </c>
      <c r="L44" s="2022">
        <f>L8*Convert!$C$17/100</f>
        <v>0</v>
      </c>
      <c r="M44" s="2022">
        <f>M8*Convert!$C$17/100</f>
        <v>0</v>
      </c>
      <c r="N44" s="2022">
        <f>N8*Convert!$C$17/100</f>
        <v>0</v>
      </c>
      <c r="O44" s="2022">
        <f>O8*Convert!$C$17/100</f>
        <v>0</v>
      </c>
      <c r="P44" s="2022">
        <f>P8*Convert!$C$17/100</f>
        <v>0</v>
      </c>
      <c r="Q44" s="2022">
        <f>Q8*Convert!$C$17/100</f>
        <v>0</v>
      </c>
      <c r="R44" s="2022">
        <f>R8*Convert!$C$17/100</f>
        <v>0</v>
      </c>
      <c r="S44" s="2022">
        <f>S8*Convert!$C$17/100</f>
        <v>0</v>
      </c>
      <c r="T44" s="2022">
        <f>T8*Convert!$C$17/100</f>
        <v>0</v>
      </c>
      <c r="U44" s="2022">
        <f>U8*Convert!$C$17/100</f>
        <v>0</v>
      </c>
      <c r="V44" s="2022">
        <f>V8*Convert!$C$17/100</f>
        <v>0</v>
      </c>
      <c r="W44" s="2022">
        <f>W8*Convert!$C$17/100</f>
        <v>10.008333333333331</v>
      </c>
      <c r="X44" s="2022">
        <f>X8*Convert!$C$17/100</f>
        <v>0</v>
      </c>
      <c r="Y44" s="2022">
        <f>Y8*Convert!$C$17/100</f>
        <v>0</v>
      </c>
      <c r="Z44" s="2022">
        <f>Z8*Convert!$C$17/100</f>
        <v>0</v>
      </c>
      <c r="AA44" s="2022">
        <f>AA8*Convert!$C$17/100</f>
        <v>0</v>
      </c>
      <c r="AB44" s="2022">
        <f>AB8*Convert!$C$17/100</f>
        <v>0</v>
      </c>
    </row>
    <row r="45" spans="1:28" x14ac:dyDescent="0.45">
      <c r="A45" s="1417" t="s">
        <v>258</v>
      </c>
      <c r="B45" s="2032" t="s">
        <v>1087</v>
      </c>
      <c r="C45" s="2024">
        <f t="shared" ref="C45:AB45" si="1">C42*(1-C9)+C43*C9</f>
        <v>0.66976000000000002</v>
      </c>
      <c r="D45" s="2024">
        <f t="shared" si="1"/>
        <v>0.1008</v>
      </c>
      <c r="E45" s="2024">
        <f t="shared" si="1"/>
        <v>0.55813333333333337</v>
      </c>
      <c r="F45" s="2024">
        <f t="shared" si="1"/>
        <v>0.1008</v>
      </c>
      <c r="G45" s="2024">
        <f t="shared" si="1"/>
        <v>0.66976000000000002</v>
      </c>
      <c r="H45" s="2024">
        <f t="shared" si="1"/>
        <v>0.1008</v>
      </c>
      <c r="I45" s="2024">
        <f t="shared" si="1"/>
        <v>0.55813333333333337</v>
      </c>
      <c r="J45" s="2024">
        <f t="shared" si="1"/>
        <v>0.1008</v>
      </c>
      <c r="K45" s="2024">
        <f t="shared" si="1"/>
        <v>1.5288135593220344</v>
      </c>
      <c r="L45" s="2024">
        <f t="shared" si="1"/>
        <v>0.28079999999999999</v>
      </c>
      <c r="M45" s="2024">
        <f t="shared" si="1"/>
        <v>10.521070008779169</v>
      </c>
      <c r="N45" s="2024">
        <f t="shared" si="1"/>
        <v>15.683576086956522</v>
      </c>
      <c r="O45" s="2024">
        <f t="shared" si="1"/>
        <v>7.5150468750000003</v>
      </c>
      <c r="P45" s="2024">
        <f t="shared" si="1"/>
        <v>9.018056249999999</v>
      </c>
      <c r="Q45" s="2024">
        <f t="shared" si="1"/>
        <v>3.9600000000000004</v>
      </c>
      <c r="R45" s="2024">
        <f t="shared" si="1"/>
        <v>4.6800000000000006</v>
      </c>
      <c r="S45" s="2024">
        <f t="shared" si="1"/>
        <v>3.24</v>
      </c>
      <c r="T45" s="2024">
        <f t="shared" si="1"/>
        <v>3.9600000000000004</v>
      </c>
      <c r="U45" s="2024">
        <f>U42*(1-U9)+U43*U9</f>
        <v>15.683576086956522</v>
      </c>
      <c r="V45" s="2024">
        <f>V42*(1-V9)+V43*V9</f>
        <v>3.9600000000000004</v>
      </c>
      <c r="W45" s="2024">
        <f>W42*(1-W9)+W43*W9</f>
        <v>0</v>
      </c>
      <c r="X45" s="2024">
        <f t="shared" si="1"/>
        <v>2.2325333333333335</v>
      </c>
      <c r="Y45" s="2024">
        <f t="shared" si="1"/>
        <v>0.49680000000000007</v>
      </c>
      <c r="Z45" s="2024">
        <f t="shared" si="1"/>
        <v>2.5765875</v>
      </c>
      <c r="AA45" s="2024">
        <f t="shared" si="1"/>
        <v>0.49680000000000007</v>
      </c>
      <c r="AB45" s="2024">
        <f t="shared" si="1"/>
        <v>63.795999999999999</v>
      </c>
    </row>
    <row r="46" spans="1:28" x14ac:dyDescent="0.45">
      <c r="A46" s="1416"/>
      <c r="B46" s="2029"/>
      <c r="C46" s="2003"/>
      <c r="D46" s="2003"/>
      <c r="E46" s="2003"/>
      <c r="F46" s="2003"/>
      <c r="G46" s="2003"/>
      <c r="H46" s="2003"/>
      <c r="I46" s="2003"/>
      <c r="J46" s="2003"/>
      <c r="K46" s="1968"/>
      <c r="L46" s="1968"/>
      <c r="M46" s="1968"/>
      <c r="N46" s="1968"/>
      <c r="O46" s="1968"/>
      <c r="P46" s="1968"/>
      <c r="Q46" s="1968"/>
      <c r="R46" s="1968"/>
      <c r="S46" s="1968"/>
      <c r="T46" s="1968"/>
      <c r="U46" s="1968"/>
      <c r="V46" s="1968"/>
      <c r="W46" s="1969"/>
      <c r="X46" s="1968"/>
      <c r="Y46" s="1968"/>
      <c r="Z46" s="1968"/>
      <c r="AA46" s="1968"/>
      <c r="AB46" s="1968"/>
    </row>
    <row r="47" spans="1:28" x14ac:dyDescent="0.45">
      <c r="A47" s="1421" t="s">
        <v>395</v>
      </c>
      <c r="B47" s="2035" t="s">
        <v>365</v>
      </c>
      <c r="C47" s="2022">
        <f>C38/Convert!$C$17*1000</f>
        <v>82.754924749163877</v>
      </c>
      <c r="D47" s="2022" t="e">
        <f>D38/Convert!$C$17*1000</f>
        <v>#N/A</v>
      </c>
      <c r="E47" s="2022">
        <f>E38/Convert!$C$17*1000</f>
        <v>82.754924749163877</v>
      </c>
      <c r="F47" s="2022" t="e">
        <f>F38/Convert!$C$17*1000</f>
        <v>#N/A</v>
      </c>
      <c r="G47" s="2022">
        <f>G38/Convert!$C$17*1000</f>
        <v>82.754924749163877</v>
      </c>
      <c r="H47" s="2022" t="e">
        <f>H38/Convert!$C$17*1000</f>
        <v>#N/A</v>
      </c>
      <c r="I47" s="2022">
        <f>I38/Convert!$C$17*1000</f>
        <v>82.754924749163877</v>
      </c>
      <c r="J47" s="2022" t="e">
        <f>J38/Convert!$C$17*1000</f>
        <v>#N/A</v>
      </c>
      <c r="K47" s="2022">
        <f>K38/Convert!$C$17*1000</f>
        <v>72.070368042283803</v>
      </c>
      <c r="L47" s="2022" t="e">
        <f>L38/Convert!$C$17*1000</f>
        <v>#N/A</v>
      </c>
      <c r="M47" s="2022">
        <f>M38/Convert!$C$17*1000</f>
        <v>89.090678850135376</v>
      </c>
      <c r="N47" s="2022">
        <f>N38/Convert!$C$17*1000</f>
        <v>89.090678850135376</v>
      </c>
      <c r="O47" s="2022">
        <f>O38/Convert!$C$17*1000</f>
        <v>89.090678850135376</v>
      </c>
      <c r="P47" s="2022">
        <f>P38/Convert!$C$17*1000</f>
        <v>89.090678850135376</v>
      </c>
      <c r="Q47" s="2022" t="e">
        <f>Q38/Convert!$C$17*1000</f>
        <v>#N/A</v>
      </c>
      <c r="R47" s="2022" t="e">
        <f>R38/Convert!$C$17*1000</f>
        <v>#N/A</v>
      </c>
      <c r="S47" s="2022" t="e">
        <f>S38/Convert!$C$17*1000</f>
        <v>#N/A</v>
      </c>
      <c r="T47" s="2022" t="e">
        <f>T38/Convert!$C$17*1000</f>
        <v>#N/A</v>
      </c>
      <c r="U47" s="2022">
        <f>U38/Convert!$C$17*1000</f>
        <v>89.090678850135376</v>
      </c>
      <c r="V47" s="2022" t="e">
        <f>V38/Convert!$C$17*1000</f>
        <v>#N/A</v>
      </c>
      <c r="W47" s="2022" t="e">
        <f>W38/Convert!$C$17*1000</f>
        <v>#N/A</v>
      </c>
      <c r="X47" s="2022">
        <f>X38/Convert!$C$17*1000</f>
        <v>82.754924749163877</v>
      </c>
      <c r="Y47" s="2022" t="e">
        <f>Y38/Convert!$C$17*1000</f>
        <v>#N/A</v>
      </c>
      <c r="Z47" s="2022">
        <f>Z38/Convert!$C$17*1000</f>
        <v>89.090678850135376</v>
      </c>
      <c r="AA47" s="2022" t="e">
        <f>AA38/Convert!$C$17*1000</f>
        <v>#N/A</v>
      </c>
      <c r="AB47" s="2022" t="e">
        <f>AB38/Convert!$C$17*1000</f>
        <v>#N/A</v>
      </c>
    </row>
    <row r="48" spans="1:28" x14ac:dyDescent="0.45">
      <c r="A48" s="1421" t="s">
        <v>396</v>
      </c>
      <c r="B48" s="2035" t="s">
        <v>365</v>
      </c>
      <c r="C48" s="2022">
        <f ca="1">C39/Convert!$B$12</f>
        <v>177.76884731952973</v>
      </c>
      <c r="D48" s="2022">
        <f ca="1">D39/Convert!$B$12</f>
        <v>219.77504041378069</v>
      </c>
      <c r="E48" s="2022">
        <f ca="1">E39/Convert!$B$12</f>
        <v>177.76884731952973</v>
      </c>
      <c r="F48" s="2022">
        <f ca="1">F39/Convert!$B$12</f>
        <v>219.77504041378069</v>
      </c>
      <c r="G48" s="2022">
        <f ca="1">G39/Convert!$B$12</f>
        <v>189.90215358771101</v>
      </c>
      <c r="H48" s="2022">
        <f ca="1">H39/Convert!$B$12</f>
        <v>219.77504041378069</v>
      </c>
      <c r="I48" s="2022">
        <f ca="1">I39/Convert!$B$12</f>
        <v>189.90215358771101</v>
      </c>
      <c r="J48" s="2022">
        <f ca="1">J39/Convert!$B$12</f>
        <v>219.77504041378069</v>
      </c>
      <c r="K48" s="2022">
        <f ca="1">K39/Convert!$B$12</f>
        <v>183.79899050576313</v>
      </c>
      <c r="L48" s="2022">
        <f ca="1">L39/Convert!$B$12</f>
        <v>219.77504041378069</v>
      </c>
      <c r="M48" s="2022">
        <f ca="1">M39/Convert!$B$12</f>
        <v>171.94379872406248</v>
      </c>
      <c r="N48" s="2022">
        <f ca="1">N39/Convert!$B$12</f>
        <v>171.94379872406248</v>
      </c>
      <c r="O48" s="2022">
        <f ca="1">O39/Convert!$B$12</f>
        <v>219.77504041378069</v>
      </c>
      <c r="P48" s="2022">
        <f ca="1">P39/Convert!$B$12</f>
        <v>219.77504041378069</v>
      </c>
      <c r="Q48" s="2022">
        <f ca="1">Q39/Convert!$B$12</f>
        <v>219.77504041378069</v>
      </c>
      <c r="R48" s="2022">
        <f ca="1">R39/Convert!$B$12</f>
        <v>219.77504041378069</v>
      </c>
      <c r="S48" s="2022">
        <f ca="1">S39/Convert!$B$12</f>
        <v>219.77504041378069</v>
      </c>
      <c r="T48" s="2022">
        <f ca="1">T39/Convert!$B$12</f>
        <v>219.77504041378069</v>
      </c>
      <c r="U48" s="2022">
        <f ca="1">U39/Convert!$B$12</f>
        <v>219.77504041378069</v>
      </c>
      <c r="V48" s="2022">
        <f ca="1">V39/Convert!$B$12</f>
        <v>219.77504041378069</v>
      </c>
      <c r="W48" s="2022">
        <f ca="1">W39/Convert!$B$12</f>
        <v>219.77504041378069</v>
      </c>
      <c r="X48" s="2022">
        <f ca="1">X39/Convert!$B$12</f>
        <v>2.7588734567901239</v>
      </c>
      <c r="Y48" s="2022">
        <f ca="1">Y39/Convert!$B$12</f>
        <v>219.77504041378069</v>
      </c>
      <c r="Z48" s="2022">
        <f ca="1">Z39/Convert!$B$12</f>
        <v>177.76884731952973</v>
      </c>
      <c r="AA48" s="2022">
        <f ca="1">AA39/Convert!$B$12</f>
        <v>219.77504041378069</v>
      </c>
      <c r="AB48" s="2022">
        <f ca="1">AB39/Convert!$B$12</f>
        <v>219.77504041378069</v>
      </c>
    </row>
    <row r="49" spans="1:28" x14ac:dyDescent="0.45">
      <c r="A49" s="1416"/>
      <c r="B49" s="2029"/>
      <c r="C49" s="2003"/>
      <c r="D49" s="2003"/>
      <c r="E49" s="2003"/>
      <c r="F49" s="2003"/>
      <c r="G49" s="2003"/>
      <c r="H49" s="2003"/>
      <c r="I49" s="2003"/>
      <c r="J49" s="2003"/>
      <c r="K49" s="2003"/>
      <c r="L49" s="2003"/>
      <c r="M49" s="1968"/>
      <c r="N49" s="1968"/>
      <c r="O49" s="1968"/>
      <c r="P49" s="1968"/>
      <c r="Q49" s="1968"/>
      <c r="R49" s="1968"/>
      <c r="S49" s="1968"/>
      <c r="T49" s="1968"/>
      <c r="U49" s="1968"/>
      <c r="V49" s="1968"/>
      <c r="W49" s="1968"/>
      <c r="X49" s="1968"/>
      <c r="Y49" s="1968"/>
      <c r="Z49" s="1968"/>
      <c r="AA49" s="1968"/>
      <c r="AB49" s="1968"/>
    </row>
    <row r="50" spans="1:28" x14ac:dyDescent="0.45">
      <c r="A50" s="1417" t="s">
        <v>1088</v>
      </c>
      <c r="B50" s="2032" t="s">
        <v>100</v>
      </c>
      <c r="C50" s="2024">
        <f ca="1">C15*
(IF(C42=0,0,(1+C34)*C42*(1-C9))
+IF(C44=0,0,(1+C36)*C44*(1-C9))
+(1+C35)*C43*C9)</f>
        <v>53186.889012879408</v>
      </c>
      <c r="D50" s="2024">
        <f t="shared" ref="D50:AB50" ca="1" si="2">D15*
(IF(D42=0,0,(1+D34)*D42*(1-D9))
+IF(D44=0,0,(1+D36)*D44*(1-D9))
+(1+D35)*D43*D9)</f>
        <v>17270.282029784175</v>
      </c>
      <c r="E50" s="2024">
        <f t="shared" ca="1" si="2"/>
        <v>44322.407510732839</v>
      </c>
      <c r="F50" s="2024">
        <f t="shared" ca="1" si="2"/>
        <v>17270.282029784175</v>
      </c>
      <c r="G50" s="2024">
        <f t="shared" ca="1" si="2"/>
        <v>88372.061744476552</v>
      </c>
      <c r="H50" s="2024">
        <f t="shared" ca="1" si="2"/>
        <v>28695.237834102936</v>
      </c>
      <c r="I50" s="2024">
        <f t="shared" ca="1" si="2"/>
        <v>73643.384787063798</v>
      </c>
      <c r="J50" s="2024">
        <f t="shared" ca="1" si="2"/>
        <v>28695.237834102936</v>
      </c>
      <c r="K50" s="2024">
        <f t="shared" ca="1" si="2"/>
        <v>447646.93886643706</v>
      </c>
      <c r="L50" s="2024">
        <f t="shared" ca="1" si="2"/>
        <v>207243.3843574101</v>
      </c>
      <c r="M50" s="2024">
        <f t="shared" ca="1" si="2"/>
        <v>9072804.1394329034</v>
      </c>
      <c r="N50" s="2024">
        <f t="shared" ca="1" si="2"/>
        <v>15778783.233213648</v>
      </c>
      <c r="O50" s="2024">
        <f t="shared" ca="1" si="2"/>
        <v>6480571.6850698907</v>
      </c>
      <c r="P50" s="2024">
        <f t="shared" ca="1" si="2"/>
        <v>9072800.3590978459</v>
      </c>
      <c r="Q50" s="2024">
        <f t="shared" ca="1" si="2"/>
        <v>7515419.4327412462</v>
      </c>
      <c r="R50" s="2024">
        <f t="shared" ca="1" si="2"/>
        <v>10362169.217870506</v>
      </c>
      <c r="S50" s="2024">
        <f t="shared" ca="1" si="2"/>
        <v>6148979.5358792013</v>
      </c>
      <c r="T50" s="2024">
        <f t="shared" ca="1" si="2"/>
        <v>8767989.3381981216</v>
      </c>
      <c r="U50" s="2024">
        <f ca="1">U15*
(IF(U42=0,0,(1+U34)*U42*(1-U9))
+IF(U44=0,0,(1+U36)*U44*(1-U9))
+(1+U35)*U43*U9)</f>
        <v>27612870.658123884</v>
      </c>
      <c r="V50" s="2024">
        <f ca="1">V15*
(IF(V42=0,0,(1+V34)*V42*(1-V9))
+IF(V44=0,0,(1+V36)*V44*(1-V9))
+(1+V35)*V43*V9)</f>
        <v>15343981.341846712</v>
      </c>
      <c r="W50" s="2024">
        <f ca="1">W15*
(IF(W42=0,0,(1+W34)*W42*(1-W9))
+IF(W44=0,0,(1+W36)*W44*(1-W9))
+(1+W35)*W43*W9)</f>
        <v>39452228.470305748</v>
      </c>
      <c r="X50" s="2024">
        <f t="shared" ca="1" si="2"/>
        <v>495047.19773526216</v>
      </c>
      <c r="Y50" s="2024">
        <f t="shared" ca="1" si="2"/>
        <v>237675.13956044195</v>
      </c>
      <c r="Z50" s="2024">
        <f t="shared" ca="1" si="2"/>
        <v>1481273.5280159749</v>
      </c>
      <c r="AA50" s="2024">
        <f t="shared" ca="1" si="2"/>
        <v>628562.35255654063</v>
      </c>
      <c r="AB50" s="2024">
        <f t="shared" ca="1" si="2"/>
        <v>1205360587.8942757</v>
      </c>
    </row>
    <row r="51" spans="1:28" x14ac:dyDescent="0.45">
      <c r="A51" s="1416"/>
      <c r="B51" s="2029"/>
      <c r="C51" s="2003"/>
      <c r="D51" s="2003"/>
      <c r="E51" s="2003"/>
      <c r="F51" s="2003"/>
      <c r="G51" s="2003"/>
      <c r="H51" s="2003"/>
      <c r="I51" s="2003"/>
      <c r="J51" s="2003"/>
      <c r="K51" s="2003"/>
      <c r="L51" s="2003"/>
      <c r="M51" s="1968"/>
      <c r="N51" s="1968"/>
      <c r="O51" s="1968"/>
      <c r="P51" s="1968"/>
      <c r="Q51" s="1968"/>
      <c r="R51" s="1968"/>
      <c r="S51" s="1968"/>
      <c r="T51" s="1968"/>
      <c r="U51" s="1968"/>
      <c r="V51" s="1968"/>
      <c r="W51" s="1968"/>
      <c r="X51" s="1968"/>
      <c r="Y51" s="1968"/>
      <c r="Z51" s="1968"/>
      <c r="AA51" s="1968"/>
      <c r="AB51" s="1968"/>
    </row>
    <row r="52" spans="1:28" x14ac:dyDescent="0.45">
      <c r="A52" s="1417" t="s">
        <v>1089</v>
      </c>
      <c r="B52" s="2032" t="s">
        <v>103</v>
      </c>
      <c r="C52" s="2024">
        <f t="shared" ref="C52:AB52" ca="1" si="3">C15*
(IF(C42=0,0,C47*C42*(1-C9))
+IF(C44=0,0,C40*C44*(1-C9))
+C43*C48*C9)</f>
        <v>3602685.9959999998</v>
      </c>
      <c r="D52" s="2024">
        <f t="shared" ca="1" si="3"/>
        <v>1439966.064791091</v>
      </c>
      <c r="E52" s="2024">
        <f t="shared" ca="1" si="3"/>
        <v>3002238.33</v>
      </c>
      <c r="F52" s="2024">
        <f t="shared" ca="1" si="3"/>
        <v>1439966.064791091</v>
      </c>
      <c r="G52" s="2024">
        <f t="shared" ca="1" si="3"/>
        <v>5986001.3471999997</v>
      </c>
      <c r="H52" s="2024">
        <f t="shared" ca="1" si="3"/>
        <v>2392558.9999605822</v>
      </c>
      <c r="I52" s="2024">
        <f t="shared" ca="1" si="3"/>
        <v>4988334.4560000002</v>
      </c>
      <c r="J52" s="2024">
        <f t="shared" ca="1" si="3"/>
        <v>2392558.9999605822</v>
      </c>
      <c r="K52" s="2024">
        <f t="shared" ca="1" si="3"/>
        <v>30851003.648744412</v>
      </c>
      <c r="L52" s="2024">
        <f t="shared" ca="1" si="3"/>
        <v>17279592.777493093</v>
      </c>
      <c r="M52" s="2024">
        <f t="shared" ca="1" si="3"/>
        <v>674877073.90459383</v>
      </c>
      <c r="N52" s="2024">
        <f t="shared" ca="1" si="3"/>
        <v>1173698769.9231534</v>
      </c>
      <c r="O52" s="2024">
        <f t="shared" ca="1" si="3"/>
        <v>482054851.9327237</v>
      </c>
      <c r="P52" s="2024">
        <f t="shared" ca="1" si="3"/>
        <v>674876792.70581305</v>
      </c>
      <c r="Q52" s="2024">
        <f t="shared" ca="1" si="3"/>
        <v>626622595.22777152</v>
      </c>
      <c r="R52" s="2024">
        <f t="shared" ca="1" si="3"/>
        <v>863979638.87465465</v>
      </c>
      <c r="S52" s="2024">
        <f t="shared" ca="1" si="3"/>
        <v>512691214.27726763</v>
      </c>
      <c r="T52" s="2024">
        <f t="shared" ca="1" si="3"/>
        <v>731059694.43240011</v>
      </c>
      <c r="U52" s="2024">
        <f ca="1">U15*
(IF(U42=0,0,U47*U42*(1-U9))
+IF(U44=0,0,U40*U44*(1-U9))
+U43*U48*U9)</f>
        <v>2053972847.3655186</v>
      </c>
      <c r="V52" s="2024">
        <f ca="1">V15*
(IF(V42=0,0,V47*V42*(1-V9))
+IF(V44=0,0,V40*V44*(1-V9))
+V43*V48*V9)</f>
        <v>1279354465.2567003</v>
      </c>
      <c r="W52" s="2024">
        <f ca="1">W15*
(IF(W42=0,0,W47*W42*(1-W9))
+IF(W44=0,0,W40*W44*(1-W9))
+W43*W48*W9)</f>
        <v>163154851.12863174</v>
      </c>
      <c r="X52" s="2024">
        <f t="shared" ca="1" si="3"/>
        <v>33532692.732000001</v>
      </c>
      <c r="Y52" s="2024">
        <f t="shared" ca="1" si="3"/>
        <v>19816939.574078277</v>
      </c>
      <c r="Z52" s="2024">
        <f t="shared" ca="1" si="3"/>
        <v>110183966.15605113</v>
      </c>
      <c r="AA52" s="2024">
        <f t="shared" ca="1" si="3"/>
        <v>52408435.237231806</v>
      </c>
      <c r="AB52" s="2024">
        <f t="shared" ca="1" si="3"/>
        <v>100500868452.00677</v>
      </c>
    </row>
    <row r="53" spans="1:28" hidden="1" x14ac:dyDescent="0.45">
      <c r="C53" s="2048"/>
      <c r="D53" s="2048"/>
      <c r="E53" s="2048"/>
      <c r="F53" s="2048"/>
      <c r="G53" s="2048"/>
      <c r="H53" s="2048"/>
      <c r="I53" s="2048"/>
      <c r="J53" s="2048"/>
      <c r="K53" s="2049"/>
      <c r="L53" s="2049"/>
      <c r="M53" s="2049"/>
      <c r="N53" s="2049"/>
      <c r="O53" s="2049"/>
      <c r="P53" s="2049"/>
      <c r="Q53" s="2049"/>
      <c r="R53" s="2049"/>
      <c r="S53" s="2049"/>
      <c r="T53" s="2049"/>
      <c r="U53" s="2049"/>
      <c r="V53" s="2049"/>
      <c r="W53" s="2049"/>
      <c r="X53" s="2049"/>
      <c r="Y53" s="2049"/>
      <c r="Z53" s="2049"/>
      <c r="AA53" s="2049"/>
      <c r="AB53" s="2049"/>
    </row>
    <row r="54" spans="1:28" hidden="1" x14ac:dyDescent="0.45">
      <c r="C54" s="2048"/>
      <c r="D54" s="2048"/>
      <c r="E54" s="2048"/>
      <c r="F54" s="2048"/>
      <c r="G54" s="2048"/>
      <c r="H54" s="2048"/>
      <c r="I54" s="2048"/>
      <c r="J54" s="2048"/>
      <c r="K54" s="2049"/>
      <c r="L54" s="2049"/>
      <c r="M54" s="2049"/>
      <c r="N54" s="2049"/>
      <c r="O54" s="2049"/>
      <c r="P54" s="2049"/>
      <c r="Q54" s="2049"/>
      <c r="R54" s="2049"/>
      <c r="S54" s="2049"/>
      <c r="T54" s="2049"/>
      <c r="U54" s="2049"/>
      <c r="V54" s="2049"/>
      <c r="W54" s="2049"/>
      <c r="X54" s="2049"/>
      <c r="Y54" s="2049"/>
      <c r="Z54" s="2049"/>
      <c r="AA54" s="2049"/>
      <c r="AB54" s="2049"/>
    </row>
    <row r="55" spans="1:28" hidden="1" x14ac:dyDescent="0.45">
      <c r="C55" s="2048"/>
      <c r="D55" s="2048"/>
      <c r="E55" s="2048"/>
      <c r="F55" s="2048"/>
      <c r="G55" s="2048"/>
      <c r="H55" s="2048"/>
      <c r="I55" s="2048"/>
      <c r="J55" s="2048"/>
      <c r="K55" s="2049"/>
      <c r="L55" s="2049"/>
      <c r="M55" s="2049"/>
      <c r="N55" s="2049"/>
      <c r="O55" s="2049"/>
      <c r="P55" s="2049"/>
      <c r="Q55" s="2049"/>
      <c r="R55" s="2049"/>
      <c r="S55" s="2049"/>
      <c r="T55" s="2049"/>
      <c r="U55" s="2049"/>
      <c r="V55" s="2049"/>
      <c r="W55" s="2049"/>
      <c r="X55" s="2049"/>
      <c r="Y55" s="2049"/>
      <c r="Z55" s="2049"/>
      <c r="AA55" s="2049"/>
      <c r="AB55" s="2049"/>
    </row>
    <row r="56" spans="1:28" hidden="1" x14ac:dyDescent="0.45">
      <c r="C56" s="2048"/>
      <c r="D56" s="2048"/>
      <c r="E56" s="2048"/>
      <c r="F56" s="2048"/>
      <c r="G56" s="2048"/>
      <c r="H56" s="2048"/>
      <c r="I56" s="2048"/>
      <c r="J56" s="2048"/>
      <c r="K56" s="2049"/>
      <c r="L56" s="2049"/>
      <c r="M56" s="2049"/>
      <c r="N56" s="2049"/>
      <c r="O56" s="2049"/>
      <c r="P56" s="2049"/>
      <c r="Q56" s="2049"/>
      <c r="R56" s="2049"/>
      <c r="S56" s="2049"/>
      <c r="T56" s="2049"/>
      <c r="U56" s="2049"/>
      <c r="V56" s="2049"/>
      <c r="W56" s="2049"/>
      <c r="X56" s="2049"/>
      <c r="Y56" s="2049"/>
      <c r="Z56" s="2049"/>
      <c r="AA56" s="2049"/>
      <c r="AB56" s="2049"/>
    </row>
    <row r="57" spans="1:28" hidden="1" x14ac:dyDescent="0.45">
      <c r="C57" s="2048"/>
      <c r="D57" s="2048"/>
      <c r="E57" s="2048"/>
      <c r="F57" s="2048"/>
      <c r="G57" s="2048"/>
      <c r="H57" s="2048"/>
      <c r="I57" s="2048"/>
      <c r="J57" s="2048"/>
      <c r="K57" s="2049"/>
      <c r="L57" s="2049"/>
      <c r="M57" s="2049"/>
      <c r="N57" s="2049"/>
      <c r="O57" s="2049"/>
      <c r="P57" s="2049"/>
      <c r="Q57" s="2049"/>
      <c r="R57" s="2049"/>
      <c r="S57" s="2049"/>
      <c r="T57" s="2049"/>
      <c r="U57" s="2049"/>
      <c r="V57" s="2049"/>
      <c r="W57" s="2049"/>
      <c r="X57" s="2049"/>
      <c r="Y57" s="2049"/>
      <c r="Z57" s="2049"/>
      <c r="AA57" s="2049"/>
      <c r="AB57" s="2049"/>
    </row>
    <row r="58" spans="1:28" hidden="1" x14ac:dyDescent="0.45">
      <c r="C58" s="2048"/>
      <c r="D58" s="2048"/>
      <c r="E58" s="2048"/>
      <c r="F58" s="2048"/>
      <c r="G58" s="2048"/>
      <c r="H58" s="2048"/>
      <c r="I58" s="2048"/>
      <c r="J58" s="2048"/>
      <c r="K58" s="2049"/>
      <c r="L58" s="2049"/>
      <c r="M58" s="2049"/>
      <c r="N58" s="2049"/>
      <c r="O58" s="2049"/>
      <c r="P58" s="2049"/>
      <c r="Q58" s="2049"/>
      <c r="R58" s="2049"/>
      <c r="S58" s="2049"/>
      <c r="T58" s="2049"/>
      <c r="U58" s="2049"/>
      <c r="V58" s="2049"/>
      <c r="W58" s="2049"/>
      <c r="X58" s="2049"/>
      <c r="Y58" s="2049"/>
      <c r="Z58" s="2049"/>
      <c r="AA58" s="2049"/>
      <c r="AB58" s="2049"/>
    </row>
    <row r="59" spans="1:28" hidden="1" x14ac:dyDescent="0.45">
      <c r="C59" s="2048"/>
      <c r="D59" s="2048"/>
      <c r="E59" s="2048"/>
      <c r="F59" s="2048"/>
      <c r="G59" s="2048"/>
      <c r="H59" s="2048"/>
      <c r="I59" s="2048"/>
      <c r="J59" s="2048"/>
      <c r="K59" s="2049"/>
      <c r="L59" s="2049"/>
      <c r="M59" s="2049"/>
      <c r="N59" s="2049"/>
      <c r="O59" s="2049"/>
      <c r="P59" s="2049"/>
      <c r="Q59" s="2049"/>
      <c r="R59" s="2049"/>
      <c r="S59" s="2049"/>
      <c r="T59" s="2049"/>
      <c r="U59" s="2049"/>
      <c r="V59" s="2049"/>
      <c r="W59" s="2049"/>
      <c r="X59" s="2049"/>
      <c r="Y59" s="2049"/>
      <c r="Z59" s="2049"/>
      <c r="AA59" s="2049"/>
      <c r="AB59" s="2049"/>
    </row>
    <row r="60" spans="1:28" hidden="1" x14ac:dyDescent="0.45">
      <c r="C60" s="2048"/>
      <c r="D60" s="2048"/>
      <c r="E60" s="2048"/>
      <c r="F60" s="2048"/>
      <c r="G60" s="2048"/>
      <c r="H60" s="2048"/>
      <c r="I60" s="2048"/>
      <c r="J60" s="2048"/>
      <c r="K60" s="2049"/>
      <c r="L60" s="2049"/>
      <c r="M60" s="2049"/>
      <c r="N60" s="2049"/>
      <c r="O60" s="2049"/>
      <c r="P60" s="2049"/>
      <c r="Q60" s="2049"/>
      <c r="R60" s="2049"/>
      <c r="S60" s="2049"/>
      <c r="T60" s="2049"/>
      <c r="U60" s="2049"/>
      <c r="V60" s="2049"/>
      <c r="W60" s="2049"/>
      <c r="X60" s="2049"/>
      <c r="Y60" s="2049"/>
      <c r="Z60" s="2049"/>
      <c r="AA60" s="2049"/>
      <c r="AB60" s="2049"/>
    </row>
    <row r="61" spans="1:28" hidden="1" x14ac:dyDescent="0.45">
      <c r="C61" s="2048"/>
      <c r="D61" s="2048"/>
      <c r="E61" s="2048"/>
      <c r="F61" s="2048"/>
      <c r="G61" s="2048"/>
      <c r="H61" s="2048"/>
      <c r="I61" s="2048"/>
      <c r="J61" s="2048"/>
      <c r="K61" s="2049"/>
      <c r="L61" s="2049"/>
      <c r="M61" s="2049"/>
      <c r="N61" s="2049"/>
      <c r="O61" s="2049"/>
      <c r="P61" s="2049"/>
      <c r="Q61" s="2049"/>
      <c r="R61" s="2049"/>
      <c r="S61" s="2049"/>
      <c r="T61" s="2049"/>
      <c r="U61" s="2049"/>
      <c r="V61" s="2049"/>
      <c r="W61" s="2049"/>
      <c r="X61" s="2049"/>
      <c r="Y61" s="2049"/>
      <c r="Z61" s="2049"/>
      <c r="AA61" s="2049"/>
      <c r="AB61" s="2049"/>
    </row>
    <row r="62" spans="1:28" hidden="1" x14ac:dyDescent="0.45">
      <c r="C62" s="2048"/>
      <c r="D62" s="2048"/>
      <c r="E62" s="2048"/>
      <c r="F62" s="2048"/>
      <c r="G62" s="2048"/>
      <c r="H62" s="2048"/>
      <c r="I62" s="2048"/>
      <c r="J62" s="2048"/>
      <c r="K62" s="2049"/>
      <c r="L62" s="2049"/>
      <c r="M62" s="2049"/>
      <c r="N62" s="2049"/>
      <c r="O62" s="2049"/>
      <c r="P62" s="2049"/>
      <c r="Q62" s="2049"/>
      <c r="R62" s="2049"/>
      <c r="S62" s="2049"/>
      <c r="T62" s="2049"/>
      <c r="U62" s="2049"/>
      <c r="V62" s="2049"/>
      <c r="W62" s="2049"/>
      <c r="X62" s="2049"/>
      <c r="Y62" s="2049"/>
      <c r="Z62" s="2049"/>
      <c r="AA62" s="2049"/>
      <c r="AB62" s="2049"/>
    </row>
    <row r="63" spans="1:28" hidden="1" x14ac:dyDescent="0.45">
      <c r="C63" s="2048"/>
      <c r="D63" s="2048"/>
      <c r="E63" s="2048"/>
      <c r="F63" s="2048"/>
      <c r="G63" s="2048"/>
      <c r="H63" s="2048"/>
      <c r="I63" s="2048"/>
      <c r="J63" s="2048"/>
      <c r="K63" s="2049"/>
      <c r="L63" s="2049"/>
      <c r="M63" s="2049"/>
      <c r="N63" s="2049"/>
      <c r="O63" s="2049"/>
      <c r="P63" s="2049"/>
      <c r="Q63" s="2049"/>
      <c r="R63" s="2049"/>
      <c r="S63" s="2049"/>
      <c r="T63" s="2049"/>
      <c r="U63" s="2049"/>
      <c r="V63" s="2049"/>
      <c r="W63" s="2049"/>
      <c r="X63" s="2049"/>
      <c r="Y63" s="2049"/>
      <c r="Z63" s="2049"/>
      <c r="AA63" s="2049"/>
      <c r="AB63" s="2049"/>
    </row>
    <row r="64" spans="1:28" hidden="1" x14ac:dyDescent="0.45">
      <c r="C64" s="2048"/>
      <c r="D64" s="2048"/>
      <c r="E64" s="2048"/>
      <c r="F64" s="2048"/>
      <c r="G64" s="2048"/>
      <c r="H64" s="2048"/>
      <c r="I64" s="2048"/>
      <c r="J64" s="2048"/>
      <c r="K64" s="2049"/>
      <c r="L64" s="2049"/>
      <c r="M64" s="2049"/>
      <c r="N64" s="2049"/>
      <c r="O64" s="2049"/>
      <c r="P64" s="2049"/>
      <c r="Q64" s="2049"/>
      <c r="R64" s="2049"/>
      <c r="S64" s="2049"/>
      <c r="T64" s="2049"/>
      <c r="U64" s="2049"/>
      <c r="V64" s="2049"/>
      <c r="W64" s="2049"/>
      <c r="X64" s="2049"/>
      <c r="Y64" s="2049"/>
      <c r="Z64" s="2049"/>
      <c r="AA64" s="2049"/>
      <c r="AB64" s="2049"/>
    </row>
    <row r="65" spans="3:28" hidden="1" x14ac:dyDescent="0.45">
      <c r="C65" s="2048"/>
      <c r="D65" s="2048"/>
      <c r="E65" s="2048"/>
      <c r="F65" s="2048"/>
      <c r="G65" s="2048"/>
      <c r="H65" s="2048"/>
      <c r="I65" s="2048"/>
      <c r="J65" s="2048"/>
      <c r="K65" s="2049"/>
      <c r="L65" s="2049"/>
      <c r="M65" s="2049"/>
      <c r="N65" s="2049"/>
      <c r="O65" s="2049"/>
      <c r="P65" s="2049"/>
      <c r="Q65" s="2049"/>
      <c r="R65" s="2049"/>
      <c r="S65" s="2049"/>
      <c r="T65" s="2049"/>
      <c r="U65" s="2049"/>
      <c r="V65" s="2049"/>
      <c r="W65" s="2049"/>
      <c r="X65" s="2049"/>
      <c r="Y65" s="2049"/>
      <c r="Z65" s="2049"/>
      <c r="AA65" s="2049"/>
      <c r="AB65" s="2049"/>
    </row>
    <row r="66" spans="3:28" hidden="1" x14ac:dyDescent="0.45">
      <c r="C66" s="2048"/>
      <c r="D66" s="2048"/>
      <c r="E66" s="2048"/>
      <c r="F66" s="2048"/>
      <c r="G66" s="2048"/>
      <c r="H66" s="2048"/>
      <c r="I66" s="2048"/>
      <c r="J66" s="2048"/>
      <c r="K66" s="2049"/>
      <c r="L66" s="2049"/>
      <c r="M66" s="2049"/>
      <c r="N66" s="2049"/>
      <c r="O66" s="2049"/>
      <c r="P66" s="2049"/>
      <c r="Q66" s="2049"/>
      <c r="R66" s="2049"/>
      <c r="S66" s="2049"/>
      <c r="T66" s="2049"/>
      <c r="U66" s="2049"/>
      <c r="V66" s="2049"/>
      <c r="W66" s="2049"/>
      <c r="X66" s="2049"/>
      <c r="Y66" s="2049"/>
      <c r="Z66" s="2049"/>
      <c r="AA66" s="2049"/>
      <c r="AB66" s="2049"/>
    </row>
    <row r="67" spans="3:28" hidden="1" x14ac:dyDescent="0.45">
      <c r="C67" s="2048"/>
      <c r="D67" s="2048"/>
      <c r="E67" s="2048"/>
      <c r="F67" s="2048"/>
      <c r="G67" s="2048"/>
      <c r="H67" s="2048"/>
      <c r="I67" s="2048"/>
      <c r="J67" s="2048"/>
      <c r="K67" s="2049"/>
      <c r="L67" s="2049"/>
      <c r="M67" s="2049"/>
      <c r="N67" s="2049"/>
      <c r="O67" s="2049"/>
      <c r="P67" s="2049"/>
      <c r="Q67" s="2049"/>
      <c r="R67" s="2049"/>
      <c r="S67" s="2049"/>
      <c r="T67" s="2049"/>
      <c r="U67" s="2049"/>
      <c r="V67" s="2049"/>
      <c r="W67" s="2049"/>
      <c r="X67" s="2049"/>
      <c r="Y67" s="2049"/>
      <c r="Z67" s="2049"/>
      <c r="AA67" s="2049"/>
      <c r="AB67" s="2049"/>
    </row>
    <row r="68" spans="3:28" hidden="1" x14ac:dyDescent="0.45">
      <c r="C68" s="2048"/>
      <c r="D68" s="2048"/>
      <c r="E68" s="2048"/>
      <c r="F68" s="2048"/>
      <c r="G68" s="2048"/>
      <c r="H68" s="2048"/>
      <c r="I68" s="2048"/>
      <c r="J68" s="2048"/>
      <c r="K68" s="2049"/>
      <c r="L68" s="2049"/>
      <c r="M68" s="2049"/>
      <c r="N68" s="2049"/>
      <c r="O68" s="2049"/>
      <c r="P68" s="2049"/>
      <c r="Q68" s="2049"/>
      <c r="R68" s="2049"/>
      <c r="S68" s="2049"/>
      <c r="T68" s="2049"/>
      <c r="U68" s="2049"/>
      <c r="V68" s="2049"/>
      <c r="W68" s="2049"/>
      <c r="X68" s="2049"/>
      <c r="Y68" s="2049"/>
      <c r="Z68" s="2049"/>
      <c r="AA68" s="2049"/>
      <c r="AB68" s="2049"/>
    </row>
    <row r="69" spans="3:28" hidden="1" x14ac:dyDescent="0.45">
      <c r="C69" s="2048"/>
      <c r="D69" s="2048"/>
      <c r="E69" s="2048"/>
      <c r="F69" s="2048"/>
      <c r="G69" s="2048"/>
      <c r="H69" s="2048"/>
      <c r="I69" s="2048"/>
      <c r="J69" s="2048"/>
      <c r="K69" s="2049"/>
      <c r="L69" s="2049"/>
      <c r="M69" s="2049"/>
      <c r="N69" s="2049"/>
      <c r="O69" s="2049"/>
      <c r="P69" s="2049"/>
      <c r="Q69" s="2049"/>
      <c r="R69" s="2049"/>
      <c r="S69" s="2049"/>
      <c r="T69" s="2049"/>
      <c r="U69" s="2049"/>
      <c r="V69" s="2049"/>
      <c r="W69" s="2049"/>
      <c r="X69" s="2049"/>
      <c r="Y69" s="2049"/>
      <c r="Z69" s="2049"/>
      <c r="AA69" s="2049"/>
      <c r="AB69" s="2049"/>
    </row>
    <row r="70" spans="3:28" hidden="1" x14ac:dyDescent="0.45">
      <c r="C70" s="2048"/>
      <c r="D70" s="2048"/>
      <c r="E70" s="2048"/>
      <c r="F70" s="2048"/>
      <c r="G70" s="2048"/>
      <c r="H70" s="2048"/>
      <c r="I70" s="2048"/>
      <c r="J70" s="2048"/>
      <c r="K70" s="2049"/>
      <c r="L70" s="2049"/>
      <c r="M70" s="2049"/>
      <c r="N70" s="2049"/>
      <c r="O70" s="2049"/>
      <c r="P70" s="2049"/>
      <c r="Q70" s="2049"/>
      <c r="R70" s="2049"/>
      <c r="S70" s="2049"/>
      <c r="T70" s="2049"/>
      <c r="U70" s="2049"/>
      <c r="V70" s="2049"/>
      <c r="W70" s="2049"/>
      <c r="X70" s="2049"/>
      <c r="Y70" s="2049"/>
      <c r="Z70" s="2049"/>
      <c r="AA70" s="2049"/>
      <c r="AB70" s="2049"/>
    </row>
    <row r="71" spans="3:28" hidden="1" x14ac:dyDescent="0.45">
      <c r="C71" s="2048"/>
      <c r="D71" s="2048"/>
      <c r="E71" s="2048"/>
      <c r="F71" s="2048"/>
      <c r="G71" s="2048"/>
      <c r="H71" s="2048"/>
      <c r="I71" s="2048"/>
      <c r="J71" s="2048"/>
      <c r="K71" s="2049"/>
      <c r="L71" s="2049"/>
      <c r="M71" s="2049"/>
      <c r="N71" s="2049"/>
      <c r="O71" s="2049"/>
      <c r="P71" s="2049"/>
      <c r="Q71" s="2049"/>
      <c r="R71" s="2049"/>
      <c r="S71" s="2049"/>
      <c r="T71" s="2049"/>
      <c r="U71" s="2049"/>
      <c r="V71" s="2049"/>
      <c r="W71" s="2049"/>
      <c r="X71" s="2049"/>
      <c r="Y71" s="2049"/>
      <c r="Z71" s="2049"/>
      <c r="AA71" s="2049"/>
      <c r="AB71" s="2049"/>
    </row>
    <row r="72" spans="3:28" hidden="1" x14ac:dyDescent="0.45">
      <c r="C72" s="2048"/>
      <c r="D72" s="2048"/>
      <c r="E72" s="2048"/>
      <c r="F72" s="2048"/>
      <c r="G72" s="2048"/>
      <c r="H72" s="2048"/>
      <c r="I72" s="2048"/>
      <c r="J72" s="2048"/>
      <c r="K72" s="2049"/>
      <c r="L72" s="2049"/>
      <c r="M72" s="2049"/>
      <c r="N72" s="2049"/>
      <c r="O72" s="2049"/>
      <c r="P72" s="2049"/>
      <c r="Q72" s="2049"/>
      <c r="R72" s="2049"/>
      <c r="S72" s="2049"/>
      <c r="T72" s="2049"/>
      <c r="U72" s="2049"/>
      <c r="V72" s="2049"/>
      <c r="W72" s="2049"/>
      <c r="X72" s="2049"/>
      <c r="Y72" s="2049"/>
      <c r="Z72" s="2049"/>
      <c r="AA72" s="2049"/>
      <c r="AB72" s="2049"/>
    </row>
    <row r="73" spans="3:28" hidden="1" x14ac:dyDescent="0.45">
      <c r="C73" s="2048"/>
      <c r="D73" s="2048"/>
      <c r="E73" s="2048"/>
      <c r="F73" s="2048"/>
      <c r="G73" s="2048"/>
      <c r="H73" s="2048"/>
      <c r="I73" s="2048"/>
      <c r="J73" s="2048"/>
      <c r="K73" s="2049"/>
      <c r="L73" s="2049"/>
      <c r="M73" s="2049"/>
      <c r="N73" s="2049"/>
      <c r="O73" s="2049"/>
      <c r="P73" s="2049"/>
      <c r="Q73" s="2049"/>
      <c r="R73" s="2049"/>
      <c r="S73" s="2049"/>
      <c r="T73" s="2049"/>
      <c r="U73" s="2049"/>
      <c r="V73" s="2049"/>
      <c r="W73" s="2049"/>
      <c r="X73" s="2049"/>
      <c r="Y73" s="2049"/>
      <c r="Z73" s="2049"/>
      <c r="AA73" s="2049"/>
      <c r="AB73" s="2049"/>
    </row>
    <row r="74" spans="3:28" hidden="1" x14ac:dyDescent="0.45">
      <c r="C74" s="2048"/>
      <c r="D74" s="2048"/>
      <c r="E74" s="2048"/>
      <c r="F74" s="2048"/>
      <c r="G74" s="2048"/>
      <c r="H74" s="2048"/>
      <c r="I74" s="2048"/>
      <c r="J74" s="2048"/>
      <c r="K74" s="2049"/>
      <c r="L74" s="2049"/>
      <c r="M74" s="2049"/>
      <c r="N74" s="2049"/>
      <c r="O74" s="2049"/>
      <c r="P74" s="2049"/>
      <c r="Q74" s="2049"/>
      <c r="R74" s="2049"/>
      <c r="S74" s="2049"/>
      <c r="T74" s="2049"/>
      <c r="U74" s="2049"/>
      <c r="V74" s="2049"/>
      <c r="W74" s="2049"/>
      <c r="X74" s="2049"/>
      <c r="Y74" s="2049"/>
      <c r="Z74" s="2049"/>
      <c r="AA74" s="2049"/>
      <c r="AB74" s="2049"/>
    </row>
    <row r="75" spans="3:28" hidden="1" x14ac:dyDescent="0.45">
      <c r="C75" s="2048"/>
      <c r="D75" s="2048"/>
      <c r="E75" s="2048"/>
      <c r="F75" s="2048"/>
      <c r="G75" s="2048"/>
      <c r="H75" s="2048"/>
      <c r="I75" s="2048"/>
      <c r="J75" s="2048"/>
      <c r="K75" s="2049"/>
      <c r="L75" s="2049"/>
      <c r="M75" s="2049"/>
      <c r="N75" s="2049"/>
      <c r="O75" s="2049"/>
      <c r="P75" s="2049"/>
      <c r="Q75" s="2049"/>
      <c r="R75" s="2049"/>
      <c r="S75" s="2049"/>
      <c r="T75" s="2049"/>
      <c r="U75" s="2049"/>
      <c r="V75" s="2049"/>
      <c r="W75" s="2049"/>
      <c r="X75" s="2049"/>
      <c r="Y75" s="2049"/>
      <c r="Z75" s="2049"/>
      <c r="AA75" s="2049"/>
      <c r="AB75" s="2049"/>
    </row>
    <row r="76" spans="3:28" hidden="1" x14ac:dyDescent="0.45">
      <c r="C76" s="2048"/>
      <c r="D76" s="2048"/>
      <c r="E76" s="2048"/>
      <c r="F76" s="2048"/>
      <c r="G76" s="2048"/>
      <c r="H76" s="2048"/>
      <c r="I76" s="2048"/>
      <c r="J76" s="2048"/>
      <c r="K76" s="2049"/>
      <c r="L76" s="2049"/>
      <c r="M76" s="2049"/>
      <c r="N76" s="2049"/>
      <c r="O76" s="2049"/>
      <c r="P76" s="2049"/>
      <c r="Q76" s="2049"/>
      <c r="R76" s="2049"/>
      <c r="S76" s="2049"/>
      <c r="T76" s="2049"/>
      <c r="U76" s="2049"/>
      <c r="V76" s="2049"/>
      <c r="W76" s="2049"/>
      <c r="X76" s="2049"/>
      <c r="Y76" s="2049"/>
      <c r="Z76" s="2049"/>
      <c r="AA76" s="2049"/>
      <c r="AB76" s="2049"/>
    </row>
    <row r="77" spans="3:28" hidden="1" x14ac:dyDescent="0.45">
      <c r="C77" s="2048"/>
      <c r="D77" s="2048"/>
      <c r="E77" s="2048"/>
      <c r="F77" s="2048"/>
      <c r="G77" s="2048"/>
      <c r="H77" s="2048"/>
      <c r="I77" s="2048"/>
      <c r="J77" s="2048"/>
      <c r="K77" s="2049"/>
      <c r="L77" s="2049"/>
      <c r="M77" s="2049"/>
      <c r="N77" s="2049"/>
      <c r="O77" s="2049"/>
      <c r="P77" s="2049"/>
      <c r="Q77" s="2049"/>
      <c r="R77" s="2049"/>
      <c r="S77" s="2049"/>
      <c r="T77" s="2049"/>
      <c r="U77" s="2049"/>
      <c r="V77" s="2049"/>
      <c r="W77" s="2049"/>
      <c r="X77" s="2049"/>
      <c r="Y77" s="2049"/>
      <c r="Z77" s="2049"/>
      <c r="AA77" s="2049"/>
      <c r="AB77" s="2049"/>
    </row>
    <row r="78" spans="3:28" hidden="1" x14ac:dyDescent="0.45">
      <c r="C78" s="2048"/>
      <c r="D78" s="2048"/>
      <c r="E78" s="2048"/>
      <c r="F78" s="2048"/>
      <c r="G78" s="2048"/>
      <c r="H78" s="2048"/>
      <c r="I78" s="2048"/>
      <c r="J78" s="2048"/>
      <c r="K78" s="2049"/>
      <c r="L78" s="2049"/>
      <c r="M78" s="2049"/>
      <c r="N78" s="2049"/>
      <c r="O78" s="2049"/>
      <c r="P78" s="2049"/>
      <c r="Q78" s="2049"/>
      <c r="R78" s="2049"/>
      <c r="S78" s="2049"/>
      <c r="T78" s="2049"/>
      <c r="U78" s="2049"/>
      <c r="V78" s="2049"/>
      <c r="W78" s="2049"/>
      <c r="X78" s="2049"/>
      <c r="Y78" s="2049"/>
      <c r="Z78" s="2049"/>
      <c r="AA78" s="2049"/>
      <c r="AB78" s="2049"/>
    </row>
    <row r="79" spans="3:28" hidden="1" x14ac:dyDescent="0.45">
      <c r="C79" s="2048"/>
      <c r="D79" s="2048"/>
      <c r="E79" s="2048"/>
      <c r="F79" s="2048"/>
      <c r="G79" s="2048"/>
      <c r="H79" s="2048"/>
      <c r="I79" s="2048"/>
      <c r="J79" s="2048"/>
      <c r="K79" s="2049"/>
      <c r="L79" s="2049"/>
      <c r="M79" s="2049"/>
      <c r="N79" s="2049"/>
      <c r="O79" s="2049"/>
      <c r="P79" s="2049"/>
      <c r="Q79" s="2049"/>
      <c r="R79" s="2049"/>
      <c r="S79" s="2049"/>
      <c r="T79" s="2049"/>
      <c r="U79" s="2049"/>
      <c r="V79" s="2049"/>
      <c r="W79" s="2049"/>
      <c r="X79" s="2049"/>
      <c r="Y79" s="2049"/>
      <c r="Z79" s="2049"/>
      <c r="AA79" s="2049"/>
      <c r="AB79" s="2049"/>
    </row>
    <row r="80" spans="3:28" hidden="1" x14ac:dyDescent="0.45">
      <c r="C80" s="2048"/>
      <c r="D80" s="2048"/>
      <c r="E80" s="2048"/>
      <c r="F80" s="2048"/>
      <c r="G80" s="2048"/>
      <c r="H80" s="2048"/>
      <c r="I80" s="2048"/>
      <c r="J80" s="2048"/>
      <c r="K80" s="2049"/>
      <c r="L80" s="2049"/>
      <c r="M80" s="2049"/>
      <c r="N80" s="2049"/>
      <c r="O80" s="2049"/>
      <c r="P80" s="2049"/>
      <c r="Q80" s="2049"/>
      <c r="R80" s="2049"/>
      <c r="S80" s="2049"/>
      <c r="T80" s="2049"/>
      <c r="U80" s="2049"/>
      <c r="V80" s="2049"/>
      <c r="W80" s="2049"/>
      <c r="X80" s="2049"/>
      <c r="Y80" s="2049"/>
      <c r="Z80" s="2049"/>
      <c r="AA80" s="2049"/>
      <c r="AB80" s="2049"/>
    </row>
    <row r="81" spans="3:28" hidden="1" x14ac:dyDescent="0.45">
      <c r="C81" s="2048"/>
      <c r="D81" s="2048"/>
      <c r="E81" s="2048"/>
      <c r="F81" s="2048"/>
      <c r="G81" s="2048"/>
      <c r="H81" s="2048"/>
      <c r="I81" s="2048"/>
      <c r="J81" s="2048"/>
      <c r="K81" s="2049"/>
      <c r="L81" s="2049"/>
      <c r="M81" s="2049"/>
      <c r="N81" s="2049"/>
      <c r="O81" s="2049"/>
      <c r="P81" s="2049"/>
      <c r="Q81" s="2049"/>
      <c r="R81" s="2049"/>
      <c r="S81" s="2049"/>
      <c r="T81" s="2049"/>
      <c r="U81" s="2049"/>
      <c r="V81" s="2049"/>
      <c r="W81" s="2049"/>
      <c r="X81" s="2049"/>
      <c r="Y81" s="2049"/>
      <c r="Z81" s="2049"/>
      <c r="AA81" s="2049"/>
      <c r="AB81" s="2049"/>
    </row>
    <row r="82" spans="3:28" hidden="1" x14ac:dyDescent="0.45">
      <c r="C82" s="2048"/>
      <c r="D82" s="2048"/>
      <c r="E82" s="2048"/>
      <c r="F82" s="2048"/>
      <c r="G82" s="2048"/>
      <c r="H82" s="2048"/>
      <c r="I82" s="2048"/>
      <c r="J82" s="2048"/>
      <c r="K82" s="2049"/>
      <c r="L82" s="2049"/>
      <c r="M82" s="2049"/>
      <c r="N82" s="2049"/>
      <c r="O82" s="2049"/>
      <c r="P82" s="2049"/>
      <c r="Q82" s="2049"/>
      <c r="R82" s="2049"/>
      <c r="S82" s="2049"/>
      <c r="T82" s="2049"/>
      <c r="U82" s="2049"/>
      <c r="V82" s="2049"/>
      <c r="W82" s="2049"/>
      <c r="X82" s="2049"/>
      <c r="Y82" s="2049"/>
      <c r="Z82" s="2049"/>
      <c r="AA82" s="2049"/>
      <c r="AB82" s="2049"/>
    </row>
    <row r="83" spans="3:28" hidden="1" x14ac:dyDescent="0.45">
      <c r="C83" s="2048"/>
      <c r="D83" s="2048"/>
      <c r="E83" s="2048"/>
      <c r="F83" s="2048"/>
      <c r="G83" s="2048"/>
      <c r="H83" s="2048"/>
      <c r="I83" s="2048"/>
      <c r="J83" s="2048"/>
      <c r="K83" s="2049"/>
      <c r="L83" s="2049"/>
      <c r="M83" s="2049"/>
      <c r="N83" s="2049"/>
      <c r="O83" s="2049"/>
      <c r="P83" s="2049"/>
      <c r="Q83" s="2049"/>
      <c r="R83" s="2049"/>
      <c r="S83" s="2049"/>
      <c r="T83" s="2049"/>
      <c r="U83" s="2049"/>
      <c r="V83" s="2049"/>
      <c r="W83" s="2049"/>
      <c r="X83" s="2049"/>
      <c r="Y83" s="2049"/>
      <c r="Z83" s="2049"/>
      <c r="AA83" s="2049"/>
      <c r="AB83" s="2049"/>
    </row>
    <row r="84" spans="3:28" hidden="1" x14ac:dyDescent="0.45">
      <c r="C84" s="2048"/>
      <c r="D84" s="2048"/>
      <c r="E84" s="2048"/>
      <c r="F84" s="2048"/>
      <c r="G84" s="2048"/>
      <c r="H84" s="2048"/>
      <c r="I84" s="2048"/>
      <c r="J84" s="2048"/>
      <c r="K84" s="2049"/>
      <c r="L84" s="2049"/>
      <c r="M84" s="2049"/>
      <c r="N84" s="2049"/>
      <c r="O84" s="2049"/>
      <c r="P84" s="2049"/>
      <c r="Q84" s="2049"/>
      <c r="R84" s="2049"/>
      <c r="S84" s="2049"/>
      <c r="T84" s="2049"/>
      <c r="U84" s="2049"/>
      <c r="V84" s="2049"/>
      <c r="W84" s="2049"/>
      <c r="X84" s="2049"/>
      <c r="Y84" s="2049"/>
      <c r="Z84" s="2049"/>
      <c r="AA84" s="2049"/>
      <c r="AB84" s="2049"/>
    </row>
    <row r="85" spans="3:28" hidden="1" x14ac:dyDescent="0.45">
      <c r="C85" s="2048"/>
      <c r="D85" s="2048"/>
      <c r="E85" s="2048"/>
      <c r="F85" s="2048"/>
      <c r="G85" s="2048"/>
      <c r="H85" s="2048"/>
      <c r="I85" s="2048"/>
      <c r="J85" s="2048"/>
      <c r="K85" s="2049"/>
      <c r="L85" s="2049"/>
      <c r="M85" s="2049"/>
      <c r="N85" s="2049"/>
      <c r="O85" s="2049"/>
      <c r="P85" s="2049"/>
      <c r="Q85" s="2049"/>
      <c r="R85" s="2049"/>
      <c r="S85" s="2049"/>
      <c r="T85" s="2049"/>
      <c r="U85" s="2049"/>
      <c r="V85" s="2049"/>
      <c r="W85" s="2049"/>
      <c r="X85" s="2049"/>
      <c r="Y85" s="2049"/>
      <c r="Z85" s="2049"/>
      <c r="AA85" s="2049"/>
      <c r="AB85" s="2049"/>
    </row>
    <row r="86" spans="3:28" hidden="1" x14ac:dyDescent="0.45">
      <c r="C86" s="2048"/>
      <c r="D86" s="2048"/>
      <c r="E86" s="2048"/>
      <c r="F86" s="2048"/>
      <c r="G86" s="2048"/>
      <c r="H86" s="2048"/>
      <c r="I86" s="2048"/>
      <c r="J86" s="2048"/>
      <c r="K86" s="2049"/>
      <c r="L86" s="2049"/>
      <c r="M86" s="2049"/>
      <c r="N86" s="2049"/>
      <c r="O86" s="2049"/>
      <c r="P86" s="2049"/>
      <c r="Q86" s="2049"/>
      <c r="R86" s="2049"/>
      <c r="S86" s="2049"/>
      <c r="T86" s="2049"/>
      <c r="U86" s="2049"/>
      <c r="V86" s="2049"/>
      <c r="W86" s="2049"/>
      <c r="X86" s="2049"/>
      <c r="Y86" s="2049"/>
      <c r="Z86" s="2049"/>
      <c r="AA86" s="2049"/>
      <c r="AB86" s="2049"/>
    </row>
    <row r="87" spans="3:28" hidden="1" x14ac:dyDescent="0.45">
      <c r="C87" s="2048"/>
      <c r="D87" s="2048"/>
      <c r="E87" s="2048"/>
      <c r="F87" s="2048"/>
      <c r="G87" s="2048"/>
      <c r="H87" s="2048"/>
      <c r="I87" s="2048"/>
      <c r="J87" s="2048"/>
      <c r="K87" s="2049"/>
      <c r="L87" s="2049"/>
      <c r="M87" s="2049"/>
      <c r="N87" s="2049"/>
      <c r="O87" s="2049"/>
      <c r="P87" s="2049"/>
      <c r="Q87" s="2049"/>
      <c r="R87" s="2049"/>
      <c r="S87" s="2049"/>
      <c r="T87" s="2049"/>
      <c r="U87" s="2049"/>
      <c r="V87" s="2049"/>
      <c r="W87" s="2049"/>
      <c r="X87" s="2049"/>
      <c r="Y87" s="2049"/>
      <c r="Z87" s="2049"/>
      <c r="AA87" s="2049"/>
      <c r="AB87" s="2049"/>
    </row>
    <row r="88" spans="3:28" hidden="1" x14ac:dyDescent="0.45">
      <c r="C88" s="2048"/>
      <c r="D88" s="2048"/>
      <c r="E88" s="2048"/>
      <c r="F88" s="2048"/>
      <c r="G88" s="2048"/>
      <c r="H88" s="2048"/>
      <c r="I88" s="2048"/>
      <c r="J88" s="2048"/>
      <c r="K88" s="2049"/>
      <c r="L88" s="2049"/>
      <c r="M88" s="2049"/>
      <c r="N88" s="2049"/>
      <c r="O88" s="2049"/>
      <c r="P88" s="2049"/>
      <c r="Q88" s="2049"/>
      <c r="R88" s="2049"/>
      <c r="S88" s="2049"/>
      <c r="T88" s="2049"/>
      <c r="U88" s="2049"/>
      <c r="V88" s="2049"/>
      <c r="W88" s="2049"/>
      <c r="X88" s="2049"/>
      <c r="Y88" s="2049"/>
      <c r="Z88" s="2049"/>
      <c r="AA88" s="2049"/>
      <c r="AB88" s="2049"/>
    </row>
    <row r="89" spans="3:28" hidden="1" x14ac:dyDescent="0.45">
      <c r="C89" s="2048"/>
      <c r="D89" s="2048"/>
      <c r="E89" s="2048"/>
      <c r="F89" s="2048"/>
      <c r="G89" s="2048"/>
      <c r="H89" s="2048"/>
      <c r="I89" s="2048"/>
      <c r="J89" s="2048"/>
      <c r="K89" s="2049"/>
      <c r="L89" s="2049"/>
      <c r="M89" s="2049"/>
      <c r="N89" s="2049"/>
      <c r="O89" s="2049"/>
      <c r="P89" s="2049"/>
      <c r="Q89" s="2049"/>
      <c r="R89" s="2049"/>
      <c r="S89" s="2049"/>
      <c r="T89" s="2049"/>
      <c r="U89" s="2049"/>
      <c r="V89" s="2049"/>
      <c r="W89" s="2049"/>
      <c r="X89" s="2049"/>
      <c r="Y89" s="2049"/>
      <c r="Z89" s="2049"/>
      <c r="AA89" s="2049"/>
      <c r="AB89" s="2049"/>
    </row>
    <row r="90" spans="3:28" hidden="1" x14ac:dyDescent="0.45">
      <c r="C90" s="2048"/>
      <c r="D90" s="2048"/>
      <c r="E90" s="2048"/>
      <c r="F90" s="2048"/>
      <c r="G90" s="2048"/>
      <c r="H90" s="2048"/>
      <c r="I90" s="2048"/>
      <c r="J90" s="2048"/>
      <c r="K90" s="2049"/>
      <c r="L90" s="2049"/>
      <c r="M90" s="2049"/>
      <c r="N90" s="2049"/>
      <c r="O90" s="2049"/>
      <c r="P90" s="2049"/>
      <c r="Q90" s="2049"/>
      <c r="R90" s="2049"/>
      <c r="S90" s="2049"/>
      <c r="T90" s="2049"/>
      <c r="U90" s="2049"/>
      <c r="V90" s="2049"/>
      <c r="W90" s="2049"/>
      <c r="X90" s="2049"/>
      <c r="Y90" s="2049"/>
      <c r="Z90" s="2049"/>
      <c r="AA90" s="2049"/>
      <c r="AB90" s="2049"/>
    </row>
    <row r="91" spans="3:28" hidden="1" x14ac:dyDescent="0.45">
      <c r="C91" s="2048"/>
      <c r="D91" s="2048"/>
      <c r="E91" s="2048"/>
      <c r="F91" s="2048"/>
      <c r="G91" s="2048"/>
      <c r="H91" s="2048"/>
      <c r="I91" s="2048"/>
      <c r="J91" s="2048"/>
      <c r="K91" s="2049"/>
      <c r="L91" s="2049"/>
      <c r="M91" s="2049"/>
      <c r="N91" s="2049"/>
      <c r="O91" s="2049"/>
      <c r="P91" s="2049"/>
      <c r="Q91" s="2049"/>
      <c r="R91" s="2049"/>
      <c r="S91" s="2049"/>
      <c r="T91" s="2049"/>
      <c r="U91" s="2049"/>
      <c r="V91" s="2049"/>
      <c r="W91" s="2049"/>
      <c r="X91" s="2049"/>
      <c r="Y91" s="2049"/>
      <c r="Z91" s="2049"/>
      <c r="AA91" s="2049"/>
      <c r="AB91" s="2049"/>
    </row>
    <row r="92" spans="3:28" hidden="1" x14ac:dyDescent="0.45">
      <c r="C92" s="2048"/>
      <c r="D92" s="2048"/>
      <c r="E92" s="2048"/>
      <c r="F92" s="2048"/>
      <c r="G92" s="2048"/>
      <c r="H92" s="2048"/>
      <c r="I92" s="2048"/>
      <c r="J92" s="2048"/>
      <c r="K92" s="2049"/>
      <c r="L92" s="2049"/>
      <c r="M92" s="2049"/>
      <c r="N92" s="2049"/>
      <c r="O92" s="2049"/>
      <c r="P92" s="2049"/>
      <c r="Q92" s="2049"/>
      <c r="R92" s="2049"/>
      <c r="S92" s="2049"/>
      <c r="T92" s="2049"/>
      <c r="U92" s="2049"/>
      <c r="V92" s="2049"/>
      <c r="W92" s="2049"/>
      <c r="X92" s="2049"/>
      <c r="Y92" s="2049"/>
      <c r="Z92" s="2049"/>
      <c r="AA92" s="2049"/>
      <c r="AB92" s="2049"/>
    </row>
    <row r="93" spans="3:28" hidden="1" x14ac:dyDescent="0.45">
      <c r="C93" s="2048"/>
      <c r="D93" s="2048"/>
      <c r="E93" s="2048"/>
      <c r="F93" s="2048"/>
      <c r="G93" s="2048"/>
      <c r="H93" s="2048"/>
      <c r="I93" s="2048"/>
      <c r="J93" s="2048"/>
      <c r="K93" s="2049"/>
      <c r="L93" s="2049"/>
      <c r="M93" s="2049"/>
      <c r="N93" s="2049"/>
      <c r="O93" s="2049"/>
      <c r="P93" s="2049"/>
      <c r="Q93" s="2049"/>
      <c r="R93" s="2049"/>
      <c r="S93" s="2049"/>
      <c r="T93" s="2049"/>
      <c r="U93" s="2049"/>
      <c r="V93" s="2049"/>
      <c r="W93" s="2049"/>
      <c r="X93" s="2049"/>
      <c r="Y93" s="2049"/>
      <c r="Z93" s="2049"/>
      <c r="AA93" s="2049"/>
      <c r="AB93" s="2049"/>
    </row>
    <row r="94" spans="3:28" hidden="1" x14ac:dyDescent="0.45">
      <c r="C94" s="2048"/>
      <c r="D94" s="2048"/>
      <c r="E94" s="2048"/>
      <c r="F94" s="2048"/>
      <c r="G94" s="2048"/>
      <c r="H94" s="2048"/>
      <c r="I94" s="2048"/>
      <c r="J94" s="2048"/>
      <c r="K94" s="2049"/>
      <c r="L94" s="2049"/>
      <c r="M94" s="2049"/>
      <c r="N94" s="2049"/>
      <c r="O94" s="2049"/>
      <c r="P94" s="2049"/>
      <c r="Q94" s="2049"/>
      <c r="R94" s="2049"/>
      <c r="S94" s="2049"/>
      <c r="T94" s="2049"/>
      <c r="U94" s="2049"/>
      <c r="V94" s="2049"/>
      <c r="W94" s="2049"/>
      <c r="X94" s="2049"/>
      <c r="Y94" s="2049"/>
      <c r="Z94" s="2049"/>
      <c r="AA94" s="2049"/>
      <c r="AB94" s="2049"/>
    </row>
    <row r="95" spans="3:28" hidden="1" x14ac:dyDescent="0.45">
      <c r="C95" s="2048"/>
      <c r="D95" s="2048"/>
      <c r="E95" s="2048"/>
      <c r="F95" s="2048"/>
      <c r="G95" s="2048"/>
      <c r="H95" s="2048"/>
      <c r="I95" s="2048"/>
      <c r="J95" s="2048"/>
      <c r="K95" s="2049"/>
      <c r="L95" s="2049"/>
      <c r="M95" s="2049"/>
      <c r="N95" s="2049"/>
      <c r="O95" s="2049"/>
      <c r="P95" s="2049"/>
      <c r="Q95" s="2049"/>
      <c r="R95" s="2049"/>
      <c r="S95" s="2049"/>
      <c r="T95" s="2049"/>
      <c r="U95" s="2049"/>
      <c r="V95" s="2049"/>
      <c r="W95" s="2049"/>
      <c r="X95" s="2049"/>
      <c r="Y95" s="2049"/>
      <c r="Z95" s="2049"/>
      <c r="AA95" s="2049"/>
      <c r="AB95" s="2049"/>
    </row>
    <row r="96" spans="3:28" hidden="1" x14ac:dyDescent="0.45">
      <c r="C96" s="2048"/>
      <c r="D96" s="2048"/>
      <c r="E96" s="2048"/>
      <c r="F96" s="2048"/>
      <c r="G96" s="2048"/>
      <c r="H96" s="2048"/>
      <c r="I96" s="2048"/>
      <c r="J96" s="2048"/>
      <c r="K96" s="2049"/>
      <c r="L96" s="2049"/>
      <c r="M96" s="2049"/>
      <c r="N96" s="2049"/>
      <c r="O96" s="2049"/>
      <c r="P96" s="2049"/>
      <c r="Q96" s="2049"/>
      <c r="R96" s="2049"/>
      <c r="S96" s="2049"/>
      <c r="T96" s="2049"/>
      <c r="U96" s="2049"/>
      <c r="V96" s="2049"/>
      <c r="W96" s="2049"/>
      <c r="X96" s="2049"/>
      <c r="Y96" s="2049"/>
      <c r="Z96" s="2049"/>
      <c r="AA96" s="2049"/>
      <c r="AB96" s="2049"/>
    </row>
    <row r="97" spans="3:28" hidden="1" x14ac:dyDescent="0.45">
      <c r="C97" s="2048"/>
      <c r="D97" s="2048"/>
      <c r="E97" s="2048"/>
      <c r="F97" s="2048"/>
      <c r="G97" s="2048"/>
      <c r="H97" s="2048"/>
      <c r="I97" s="2048"/>
      <c r="J97" s="2048"/>
      <c r="K97" s="2049"/>
      <c r="L97" s="2049"/>
      <c r="M97" s="2049"/>
      <c r="N97" s="2049"/>
      <c r="O97" s="2049"/>
      <c r="P97" s="2049"/>
      <c r="Q97" s="2049"/>
      <c r="R97" s="2049"/>
      <c r="S97" s="2049"/>
      <c r="T97" s="2049"/>
      <c r="U97" s="2049"/>
      <c r="V97" s="2049"/>
      <c r="W97" s="2049"/>
      <c r="X97" s="2049"/>
      <c r="Y97" s="2049"/>
      <c r="Z97" s="2049"/>
      <c r="AA97" s="2049"/>
      <c r="AB97" s="2049"/>
    </row>
    <row r="98" spans="3:28" hidden="1" x14ac:dyDescent="0.45">
      <c r="C98" s="2048"/>
      <c r="D98" s="2048"/>
      <c r="E98" s="2048"/>
      <c r="F98" s="2048"/>
      <c r="G98" s="2048"/>
      <c r="H98" s="2048"/>
      <c r="I98" s="2048"/>
      <c r="J98" s="2048"/>
      <c r="K98" s="2049"/>
      <c r="L98" s="2049"/>
      <c r="M98" s="2049"/>
      <c r="N98" s="2049"/>
      <c r="O98" s="2049"/>
      <c r="P98" s="2049"/>
      <c r="Q98" s="2049"/>
      <c r="R98" s="2049"/>
      <c r="S98" s="2049"/>
      <c r="T98" s="2049"/>
      <c r="U98" s="2049"/>
      <c r="V98" s="2049"/>
      <c r="W98" s="2049"/>
      <c r="X98" s="2049"/>
      <c r="Y98" s="2049"/>
      <c r="Z98" s="2049"/>
      <c r="AA98" s="2049"/>
      <c r="AB98" s="2049"/>
    </row>
    <row r="99" spans="3:28" hidden="1" x14ac:dyDescent="0.45">
      <c r="C99" s="2048"/>
      <c r="D99" s="2048"/>
      <c r="E99" s="2048"/>
      <c r="F99" s="2048"/>
      <c r="G99" s="2048"/>
      <c r="H99" s="2048"/>
      <c r="I99" s="2048"/>
      <c r="J99" s="2048"/>
      <c r="K99" s="2049"/>
      <c r="L99" s="2049"/>
      <c r="M99" s="2049"/>
      <c r="N99" s="2049"/>
      <c r="O99" s="2049"/>
      <c r="P99" s="2049"/>
      <c r="Q99" s="2049"/>
      <c r="R99" s="2049"/>
      <c r="S99" s="2049"/>
      <c r="T99" s="2049"/>
      <c r="U99" s="2049"/>
      <c r="V99" s="2049"/>
      <c r="W99" s="2049"/>
      <c r="X99" s="2049"/>
      <c r="Y99" s="2049"/>
      <c r="Z99" s="2049"/>
      <c r="AA99" s="2049"/>
      <c r="AB99" s="2049"/>
    </row>
    <row r="100" spans="3:28" hidden="1" x14ac:dyDescent="0.45">
      <c r="C100" s="2048"/>
      <c r="D100" s="2048"/>
      <c r="E100" s="2048"/>
      <c r="F100" s="2048"/>
      <c r="G100" s="2048"/>
      <c r="H100" s="2048"/>
      <c r="I100" s="2048"/>
      <c r="J100" s="2048"/>
      <c r="K100" s="2049"/>
      <c r="L100" s="2049"/>
      <c r="M100" s="2049"/>
      <c r="N100" s="2049"/>
      <c r="O100" s="2049"/>
      <c r="P100" s="2049"/>
      <c r="Q100" s="2049"/>
      <c r="R100" s="2049"/>
      <c r="S100" s="2049"/>
      <c r="T100" s="2049"/>
      <c r="U100" s="2049"/>
      <c r="V100" s="2049"/>
      <c r="W100" s="2049"/>
      <c r="X100" s="2049"/>
      <c r="Y100" s="2049"/>
      <c r="Z100" s="2049"/>
      <c r="AA100" s="2049"/>
      <c r="AB100" s="2049"/>
    </row>
    <row r="101" spans="3:28" hidden="1" x14ac:dyDescent="0.45">
      <c r="C101" s="2048"/>
      <c r="D101" s="2048"/>
      <c r="E101" s="2048"/>
      <c r="F101" s="2048"/>
      <c r="G101" s="2048"/>
      <c r="H101" s="2048"/>
      <c r="I101" s="2048"/>
      <c r="J101" s="2048"/>
      <c r="K101" s="2049"/>
      <c r="L101" s="2049"/>
      <c r="M101" s="2049"/>
      <c r="N101" s="2049"/>
      <c r="O101" s="2049"/>
      <c r="P101" s="2049"/>
      <c r="Q101" s="2049"/>
      <c r="R101" s="2049"/>
      <c r="S101" s="2049"/>
      <c r="T101" s="2049"/>
      <c r="U101" s="2049"/>
      <c r="V101" s="2049"/>
      <c r="W101" s="2049"/>
      <c r="X101" s="2049"/>
      <c r="Y101" s="2049"/>
      <c r="Z101" s="2049"/>
      <c r="AA101" s="2049"/>
      <c r="AB101" s="2049"/>
    </row>
    <row r="102" spans="3:28" hidden="1" x14ac:dyDescent="0.45">
      <c r="C102" s="2048"/>
      <c r="D102" s="2048"/>
      <c r="E102" s="2048"/>
      <c r="F102" s="2048"/>
      <c r="G102" s="2048"/>
      <c r="H102" s="2048"/>
      <c r="I102" s="2048"/>
      <c r="J102" s="2048"/>
      <c r="K102" s="2049"/>
      <c r="L102" s="2049"/>
      <c r="M102" s="2049"/>
      <c r="N102" s="2049"/>
      <c r="O102" s="2049"/>
      <c r="P102" s="2049"/>
      <c r="Q102" s="2049"/>
      <c r="R102" s="2049"/>
      <c r="S102" s="2049"/>
      <c r="T102" s="2049"/>
      <c r="U102" s="2049"/>
      <c r="V102" s="2049"/>
      <c r="W102" s="2049"/>
      <c r="X102" s="2049"/>
      <c r="Y102" s="2049"/>
      <c r="Z102" s="2049"/>
      <c r="AA102" s="2049"/>
      <c r="AB102" s="2049"/>
    </row>
    <row r="103" spans="3:28" hidden="1" x14ac:dyDescent="0.45">
      <c r="C103" s="2048"/>
      <c r="D103" s="2048"/>
      <c r="E103" s="2048"/>
      <c r="F103" s="2048"/>
      <c r="G103" s="2048"/>
      <c r="H103" s="2048"/>
      <c r="I103" s="2048"/>
      <c r="J103" s="2048"/>
      <c r="K103" s="2049"/>
      <c r="L103" s="2049"/>
      <c r="M103" s="2049"/>
      <c r="N103" s="2049"/>
      <c r="O103" s="2049"/>
      <c r="P103" s="2049"/>
      <c r="Q103" s="2049"/>
      <c r="R103" s="2049"/>
      <c r="S103" s="2049"/>
      <c r="T103" s="2049"/>
      <c r="U103" s="2049"/>
      <c r="V103" s="2049"/>
      <c r="W103" s="2049"/>
      <c r="X103" s="2049"/>
      <c r="Y103" s="2049"/>
      <c r="Z103" s="2049"/>
      <c r="AA103" s="2049"/>
      <c r="AB103" s="2049"/>
    </row>
    <row r="104" spans="3:28" hidden="1" x14ac:dyDescent="0.45">
      <c r="C104" s="2048"/>
      <c r="D104" s="2048"/>
      <c r="E104" s="2048"/>
      <c r="F104" s="2048"/>
      <c r="G104" s="2048"/>
      <c r="H104" s="2048"/>
      <c r="I104" s="2048"/>
      <c r="J104" s="2048"/>
      <c r="K104" s="2049"/>
      <c r="L104" s="2049"/>
      <c r="M104" s="2049"/>
      <c r="N104" s="2049"/>
      <c r="O104" s="2049"/>
      <c r="P104" s="2049"/>
      <c r="Q104" s="2049"/>
      <c r="R104" s="2049"/>
      <c r="S104" s="2049"/>
      <c r="T104" s="2049"/>
      <c r="U104" s="2049"/>
      <c r="V104" s="2049"/>
      <c r="W104" s="2049"/>
      <c r="X104" s="2049"/>
      <c r="Y104" s="2049"/>
      <c r="Z104" s="2049"/>
      <c r="AA104" s="2049"/>
      <c r="AB104" s="2049"/>
    </row>
    <row r="105" spans="3:28" hidden="1" x14ac:dyDescent="0.45">
      <c r="C105" s="8"/>
      <c r="D105" s="8"/>
      <c r="E105" s="8"/>
      <c r="F105" s="8"/>
      <c r="G105" s="8"/>
      <c r="H105" s="8"/>
      <c r="I105" s="8"/>
      <c r="J105" s="8"/>
    </row>
    <row r="106" spans="3:28" hidden="1" x14ac:dyDescent="0.45">
      <c r="C106" s="8"/>
      <c r="D106" s="8"/>
      <c r="E106" s="8"/>
      <c r="F106" s="8"/>
      <c r="G106" s="8"/>
      <c r="H106" s="8"/>
      <c r="I106" s="8"/>
      <c r="J106" s="8"/>
    </row>
    <row r="107" spans="3:28" hidden="1" x14ac:dyDescent="0.45">
      <c r="C107" s="8"/>
      <c r="D107" s="8"/>
      <c r="E107" s="8"/>
      <c r="F107" s="8"/>
      <c r="G107" s="8"/>
      <c r="H107" s="8"/>
      <c r="I107" s="8"/>
      <c r="J107" s="8"/>
    </row>
    <row r="108" spans="3:28" hidden="1" x14ac:dyDescent="0.45">
      <c r="C108" s="8"/>
      <c r="D108" s="8"/>
      <c r="E108" s="8"/>
      <c r="F108" s="8"/>
      <c r="G108" s="8"/>
      <c r="H108" s="8"/>
      <c r="I108" s="8"/>
      <c r="J108" s="8"/>
    </row>
    <row r="109" spans="3:28" hidden="1" x14ac:dyDescent="0.45">
      <c r="C109" s="8"/>
      <c r="D109" s="8"/>
      <c r="E109" s="8"/>
      <c r="F109" s="8"/>
      <c r="G109" s="8"/>
      <c r="H109" s="8"/>
      <c r="I109" s="8"/>
      <c r="J109" s="8"/>
    </row>
    <row r="110" spans="3:28" hidden="1" x14ac:dyDescent="0.45">
      <c r="C110" s="8"/>
      <c r="D110" s="8"/>
      <c r="E110" s="8"/>
      <c r="F110" s="8"/>
      <c r="G110" s="8"/>
      <c r="H110" s="8"/>
      <c r="I110" s="8"/>
      <c r="J110" s="8"/>
    </row>
    <row r="111" spans="3:28" hidden="1" x14ac:dyDescent="0.45">
      <c r="C111" s="8"/>
      <c r="D111" s="8"/>
      <c r="E111" s="8"/>
      <c r="F111" s="8"/>
      <c r="G111" s="8"/>
      <c r="H111" s="8"/>
      <c r="I111" s="8"/>
      <c r="J111" s="8"/>
    </row>
    <row r="112" spans="3:28" hidden="1" x14ac:dyDescent="0.45">
      <c r="C112" s="8"/>
      <c r="D112" s="8"/>
      <c r="E112" s="8"/>
      <c r="F112" s="8"/>
      <c r="G112" s="8"/>
      <c r="H112" s="8"/>
      <c r="I112" s="8"/>
      <c r="J112" s="8"/>
    </row>
    <row r="113" spans="3:10" hidden="1" x14ac:dyDescent="0.45">
      <c r="C113" s="8"/>
      <c r="D113" s="8"/>
      <c r="E113" s="8"/>
      <c r="F113" s="8"/>
      <c r="G113" s="8"/>
      <c r="H113" s="8"/>
      <c r="I113" s="8"/>
      <c r="J113" s="8"/>
    </row>
    <row r="114" spans="3:10" hidden="1" x14ac:dyDescent="0.45">
      <c r="C114" s="8"/>
      <c r="D114" s="8"/>
      <c r="E114" s="8"/>
      <c r="F114" s="8"/>
      <c r="G114" s="8"/>
      <c r="H114" s="8"/>
      <c r="I114" s="8"/>
      <c r="J114" s="8"/>
    </row>
    <row r="115" spans="3:10" hidden="1" x14ac:dyDescent="0.45">
      <c r="C115" s="8"/>
      <c r="D115" s="8"/>
      <c r="E115" s="8"/>
      <c r="F115" s="8"/>
      <c r="G115" s="8"/>
      <c r="H115" s="8"/>
      <c r="I115" s="8"/>
      <c r="J115" s="8"/>
    </row>
    <row r="116" spans="3:10" hidden="1" x14ac:dyDescent="0.45">
      <c r="C116" s="8"/>
      <c r="D116" s="8"/>
      <c r="E116" s="8"/>
      <c r="F116" s="8"/>
      <c r="G116" s="8"/>
      <c r="H116" s="8"/>
      <c r="I116" s="8"/>
      <c r="J116" s="8"/>
    </row>
    <row r="117" spans="3:10" hidden="1" x14ac:dyDescent="0.45">
      <c r="C117" s="8"/>
      <c r="D117" s="8"/>
      <c r="E117" s="8"/>
      <c r="F117" s="8"/>
      <c r="G117" s="8"/>
      <c r="H117" s="8"/>
      <c r="I117" s="8"/>
      <c r="J117" s="8"/>
    </row>
    <row r="118" spans="3:10" hidden="1" x14ac:dyDescent="0.45">
      <c r="C118" s="8"/>
      <c r="D118" s="8"/>
      <c r="E118" s="8"/>
      <c r="F118" s="8"/>
      <c r="G118" s="8"/>
      <c r="H118" s="8"/>
      <c r="I118" s="8"/>
      <c r="J118" s="8"/>
    </row>
    <row r="119" spans="3:10" hidden="1" x14ac:dyDescent="0.45">
      <c r="C119" s="8"/>
      <c r="D119" s="8"/>
      <c r="E119" s="8"/>
      <c r="F119" s="8"/>
      <c r="G119" s="8"/>
      <c r="H119" s="8"/>
      <c r="I119" s="8"/>
      <c r="J119" s="8"/>
    </row>
    <row r="120" spans="3:10" hidden="1" x14ac:dyDescent="0.45">
      <c r="C120" s="8"/>
      <c r="D120" s="8"/>
      <c r="E120" s="8"/>
      <c r="F120" s="8"/>
      <c r="G120" s="8"/>
      <c r="H120" s="8"/>
      <c r="I120" s="8"/>
      <c r="J120" s="8"/>
    </row>
    <row r="121" spans="3:10" hidden="1" x14ac:dyDescent="0.45">
      <c r="C121" s="8"/>
      <c r="D121" s="8"/>
      <c r="E121" s="8"/>
      <c r="F121" s="8"/>
      <c r="G121" s="8"/>
      <c r="H121" s="8"/>
      <c r="I121" s="8"/>
      <c r="J121" s="8"/>
    </row>
    <row r="122" spans="3:10" hidden="1" x14ac:dyDescent="0.45">
      <c r="C122" s="8"/>
      <c r="D122" s="8"/>
      <c r="E122" s="8"/>
      <c r="F122" s="8"/>
      <c r="G122" s="8"/>
      <c r="H122" s="8"/>
      <c r="I122" s="8"/>
      <c r="J122" s="8"/>
    </row>
    <row r="123" spans="3:10" hidden="1" x14ac:dyDescent="0.45">
      <c r="C123" s="8"/>
      <c r="D123" s="8"/>
      <c r="E123" s="8"/>
      <c r="F123" s="8"/>
      <c r="G123" s="8"/>
      <c r="H123" s="8"/>
      <c r="I123" s="8"/>
      <c r="J123" s="8"/>
    </row>
    <row r="124" spans="3:10" hidden="1" x14ac:dyDescent="0.45">
      <c r="C124" s="8"/>
      <c r="D124" s="8"/>
      <c r="E124" s="8"/>
      <c r="F124" s="8"/>
      <c r="G124" s="8"/>
      <c r="H124" s="8"/>
      <c r="I124" s="8"/>
      <c r="J124" s="8"/>
    </row>
    <row r="125" spans="3:10" hidden="1" x14ac:dyDescent="0.45">
      <c r="C125" s="8"/>
      <c r="D125" s="8"/>
      <c r="E125" s="8"/>
      <c r="F125" s="8"/>
      <c r="G125" s="8"/>
      <c r="H125" s="8"/>
      <c r="I125" s="8"/>
      <c r="J125" s="8"/>
    </row>
    <row r="126" spans="3:10" hidden="1" x14ac:dyDescent="0.45">
      <c r="C126" s="8"/>
      <c r="D126" s="8"/>
      <c r="E126" s="8"/>
      <c r="F126" s="8"/>
      <c r="G126" s="8"/>
      <c r="H126" s="8"/>
      <c r="I126" s="8"/>
      <c r="J126" s="8"/>
    </row>
    <row r="127" spans="3:10" hidden="1" x14ac:dyDescent="0.45">
      <c r="C127" s="8"/>
      <c r="D127" s="8"/>
      <c r="E127" s="8"/>
      <c r="F127" s="8"/>
      <c r="G127" s="8"/>
      <c r="H127" s="8"/>
      <c r="I127" s="8"/>
      <c r="J127" s="8"/>
    </row>
    <row r="128" spans="3:10" hidden="1" x14ac:dyDescent="0.45">
      <c r="C128" s="8"/>
      <c r="D128" s="8"/>
      <c r="E128" s="8"/>
      <c r="F128" s="8"/>
      <c r="G128" s="8"/>
      <c r="H128" s="8"/>
      <c r="I128" s="8"/>
      <c r="J128" s="8"/>
    </row>
    <row r="129" spans="3:10" hidden="1" x14ac:dyDescent="0.45">
      <c r="C129" s="8"/>
      <c r="D129" s="8"/>
      <c r="E129" s="8"/>
      <c r="F129" s="8"/>
      <c r="G129" s="8"/>
      <c r="H129" s="8"/>
      <c r="I129" s="8"/>
      <c r="J129" s="8"/>
    </row>
    <row r="130" spans="3:10" hidden="1" x14ac:dyDescent="0.45">
      <c r="C130" s="8"/>
      <c r="D130" s="8"/>
      <c r="E130" s="8"/>
      <c r="F130" s="8"/>
      <c r="G130" s="8"/>
      <c r="H130" s="8"/>
      <c r="I130" s="8"/>
      <c r="J130" s="8"/>
    </row>
    <row r="131" spans="3:10" hidden="1" x14ac:dyDescent="0.45">
      <c r="C131" s="8"/>
      <c r="D131" s="8"/>
      <c r="E131" s="8"/>
      <c r="F131" s="8"/>
      <c r="G131" s="8"/>
      <c r="H131" s="8"/>
      <c r="I131" s="8"/>
      <c r="J131" s="8"/>
    </row>
    <row r="132" spans="3:10" hidden="1" x14ac:dyDescent="0.45">
      <c r="C132" s="8"/>
      <c r="D132" s="8"/>
      <c r="E132" s="8"/>
      <c r="F132" s="8"/>
      <c r="G132" s="8"/>
      <c r="H132" s="8"/>
      <c r="I132" s="8"/>
      <c r="J132" s="8"/>
    </row>
    <row r="133" spans="3:10" hidden="1" x14ac:dyDescent="0.45">
      <c r="C133" s="8"/>
      <c r="D133" s="8"/>
      <c r="E133" s="8"/>
      <c r="F133" s="8"/>
      <c r="G133" s="8"/>
      <c r="H133" s="8"/>
      <c r="I133" s="8"/>
      <c r="J133" s="8"/>
    </row>
    <row r="134" spans="3:10" hidden="1" x14ac:dyDescent="0.45">
      <c r="C134" s="8"/>
      <c r="D134" s="8"/>
      <c r="E134" s="8"/>
      <c r="F134" s="8"/>
      <c r="G134" s="8"/>
      <c r="H134" s="8"/>
      <c r="I134" s="8"/>
      <c r="J134" s="8"/>
    </row>
    <row r="135" spans="3:10" hidden="1" x14ac:dyDescent="0.45">
      <c r="C135" s="8"/>
      <c r="D135" s="8"/>
      <c r="E135" s="8"/>
      <c r="F135" s="8"/>
      <c r="G135" s="8"/>
      <c r="H135" s="8"/>
      <c r="I135" s="8"/>
      <c r="J135" s="8"/>
    </row>
    <row r="136" spans="3:10" hidden="1" x14ac:dyDescent="0.45">
      <c r="C136" s="8"/>
      <c r="D136" s="8"/>
      <c r="E136" s="8"/>
      <c r="F136" s="8"/>
      <c r="G136" s="8"/>
      <c r="H136" s="8"/>
      <c r="I136" s="8"/>
      <c r="J136" s="8"/>
    </row>
    <row r="137" spans="3:10" hidden="1" x14ac:dyDescent="0.45">
      <c r="C137" s="8"/>
      <c r="D137" s="8"/>
      <c r="E137" s="8"/>
      <c r="F137" s="8"/>
      <c r="G137" s="8"/>
      <c r="H137" s="8"/>
      <c r="I137" s="8"/>
      <c r="J137" s="8"/>
    </row>
    <row r="138" spans="3:10" hidden="1" x14ac:dyDescent="0.45">
      <c r="C138" s="8"/>
      <c r="D138" s="8"/>
      <c r="E138" s="8"/>
      <c r="F138" s="8"/>
      <c r="G138" s="8"/>
      <c r="H138" s="8"/>
      <c r="I138" s="8"/>
      <c r="J138" s="8"/>
    </row>
    <row r="139" spans="3:10" hidden="1" x14ac:dyDescent="0.45">
      <c r="C139" s="8"/>
      <c r="D139" s="8"/>
      <c r="E139" s="8"/>
      <c r="F139" s="8"/>
      <c r="G139" s="8"/>
      <c r="H139" s="8"/>
      <c r="I139" s="8"/>
      <c r="J139" s="8"/>
    </row>
    <row r="140" spans="3:10" hidden="1" x14ac:dyDescent="0.45">
      <c r="C140" s="8"/>
      <c r="D140" s="8"/>
      <c r="E140" s="8"/>
      <c r="F140" s="8"/>
      <c r="G140" s="8"/>
      <c r="H140" s="8"/>
      <c r="I140" s="8"/>
      <c r="J140" s="8"/>
    </row>
    <row r="141" spans="3:10" hidden="1" x14ac:dyDescent="0.45">
      <c r="C141" s="8"/>
      <c r="D141" s="8"/>
      <c r="E141" s="8"/>
      <c r="F141" s="8"/>
      <c r="G141" s="8"/>
      <c r="H141" s="8"/>
      <c r="I141" s="8"/>
      <c r="J141" s="8"/>
    </row>
  </sheetData>
  <mergeCells count="1">
    <mergeCell ref="A1:AB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AE19"/>
  <sheetViews>
    <sheetView showGridLines="0" zoomScale="85" zoomScaleNormal="85" workbookViewId="0">
      <pane xSplit="2" ySplit="3" topLeftCell="C4" activePane="bottomRight" state="frozen"/>
      <selection sqref="A1:AB1"/>
      <selection pane="topRight" sqref="A1:AB1"/>
      <selection pane="bottomLeft" sqref="A1:AB1"/>
      <selection pane="bottomRight" sqref="A1:AB1"/>
    </sheetView>
  </sheetViews>
  <sheetFormatPr defaultColWidth="0" defaultRowHeight="14.25" zeroHeight="1" x14ac:dyDescent="0.45"/>
  <cols>
    <col min="1" max="1" width="67.1328125" style="1423" customWidth="1"/>
    <col min="2" max="2" width="23.1328125" style="994" customWidth="1"/>
    <col min="3" max="3" width="10.19921875" style="1" customWidth="1"/>
    <col min="4" max="4" width="8.86328125" style="1" customWidth="1"/>
    <col min="5" max="5" width="11.19921875" style="1" customWidth="1"/>
    <col min="6" max="6" width="11.796875" style="1" customWidth="1"/>
    <col min="7" max="10" width="10.53125" style="1" customWidth="1"/>
    <col min="11" max="11" width="10.796875" style="1" customWidth="1"/>
    <col min="12" max="12" width="9.86328125" style="1" customWidth="1"/>
    <col min="13" max="16" width="11.86328125" style="1" customWidth="1"/>
    <col min="17" max="27" width="12" style="1" customWidth="1"/>
    <col min="28" max="28" width="11.19921875" style="1" customWidth="1"/>
    <col min="29" max="31" width="0" style="1" hidden="1" customWidth="1"/>
    <col min="32" max="16384" width="8.86328125" style="1" hidden="1"/>
  </cols>
  <sheetData>
    <row r="1" spans="1:31" s="2028" customFormat="1" ht="18" x14ac:dyDescent="0.55000000000000004">
      <c r="A1" s="2163" t="s">
        <v>3577</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5"/>
    </row>
    <row r="2" spans="1:31" s="1414" customFormat="1" ht="65.650000000000006"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55000000000000004">
      <c r="A3" s="1415" t="s">
        <v>1131</v>
      </c>
      <c r="B3" s="2029"/>
      <c r="C3" s="1953"/>
      <c r="D3" s="1953"/>
      <c r="E3" s="1953"/>
      <c r="F3" s="1953"/>
      <c r="G3" s="1953"/>
      <c r="H3" s="1953"/>
      <c r="I3" s="1953"/>
      <c r="J3" s="1953"/>
      <c r="K3" s="1953"/>
      <c r="L3" s="1953"/>
      <c r="M3" s="1953"/>
      <c r="N3" s="1953"/>
      <c r="O3" s="1953"/>
      <c r="P3" s="1953"/>
      <c r="Q3" s="1953"/>
      <c r="R3" s="1953"/>
      <c r="S3" s="1953"/>
      <c r="T3" s="1953"/>
      <c r="U3" s="1953"/>
      <c r="V3" s="1953"/>
      <c r="W3" s="1954"/>
      <c r="X3" s="1953"/>
      <c r="Y3" s="1953"/>
      <c r="Z3" s="1953"/>
      <c r="AA3" s="1953"/>
      <c r="AB3" s="1953"/>
    </row>
    <row r="4" spans="1:31" x14ac:dyDescent="0.45">
      <c r="A4" s="1416"/>
      <c r="B4" s="2029"/>
      <c r="C4" s="1953"/>
      <c r="D4" s="1953"/>
      <c r="E4" s="1953"/>
      <c r="F4" s="1953"/>
      <c r="G4" s="1953"/>
      <c r="H4" s="1953"/>
      <c r="I4" s="1953"/>
      <c r="J4" s="1953"/>
      <c r="K4" s="1953"/>
      <c r="L4" s="1953"/>
      <c r="M4" s="1953"/>
      <c r="N4" s="1953"/>
      <c r="O4" s="1953"/>
      <c r="P4" s="1953"/>
      <c r="Q4" s="1953"/>
      <c r="R4" s="1953"/>
      <c r="S4" s="1953"/>
      <c r="T4" s="1953"/>
      <c r="U4" s="1953"/>
      <c r="V4" s="1953"/>
      <c r="W4" s="1954"/>
      <c r="X4" s="1953"/>
      <c r="Y4" s="1953"/>
      <c r="Z4" s="1953"/>
      <c r="AA4" s="1953"/>
      <c r="AB4" s="1953"/>
    </row>
    <row r="5" spans="1:31" x14ac:dyDescent="0.45">
      <c r="A5" s="1419" t="s">
        <v>34</v>
      </c>
      <c r="B5" s="2030" t="s">
        <v>40</v>
      </c>
      <c r="C5" s="2016" t="str">
        <f>'Base inputs'!C50</f>
        <v>None</v>
      </c>
      <c r="D5" s="2016" t="str">
        <f>'Base inputs'!D50</f>
        <v>None</v>
      </c>
      <c r="E5" s="2016" t="str">
        <f>'Base inputs'!E50</f>
        <v>None</v>
      </c>
      <c r="F5" s="2016" t="str">
        <f>'Base inputs'!F50</f>
        <v>None</v>
      </c>
      <c r="G5" s="2016" t="str">
        <f>'Base inputs'!G50</f>
        <v>Van - ICE</v>
      </c>
      <c r="H5" s="2016" t="str">
        <f>'Base inputs'!H50</f>
        <v>Van - ICE</v>
      </c>
      <c r="I5" s="2016" t="str">
        <f>'Base inputs'!I50</f>
        <v>Van - ICE</v>
      </c>
      <c r="J5" s="2016" t="str">
        <f>'Base inputs'!J50</f>
        <v>Van - ICE</v>
      </c>
      <c r="K5" s="2016" t="str">
        <f>'Base inputs'!K50</f>
        <v>None</v>
      </c>
      <c r="L5" s="2016" t="str">
        <f>'Base inputs'!L50</f>
        <v>None</v>
      </c>
      <c r="M5" s="2016" t="str">
        <f>'Base inputs'!M50</f>
        <v>None</v>
      </c>
      <c r="N5" s="2016" t="str">
        <f>'Base inputs'!N50</f>
        <v>None</v>
      </c>
      <c r="O5" s="2016" t="str">
        <f>'Base inputs'!O50</f>
        <v>None</v>
      </c>
      <c r="P5" s="2016" t="str">
        <f>'Base inputs'!P50</f>
        <v>None</v>
      </c>
      <c r="Q5" s="2016" t="str">
        <f>'Base inputs'!Q50</f>
        <v>None</v>
      </c>
      <c r="R5" s="2016" t="str">
        <f>'Base inputs'!R50</f>
        <v>None</v>
      </c>
      <c r="S5" s="2016" t="str">
        <f>'Base inputs'!S50</f>
        <v>None</v>
      </c>
      <c r="T5" s="2016" t="str">
        <f>'Base inputs'!T50</f>
        <v>None</v>
      </c>
      <c r="U5" s="2016" t="str">
        <f>'Base inputs'!U50</f>
        <v>None</v>
      </c>
      <c r="V5" s="2016" t="str">
        <f>'Base inputs'!V50</f>
        <v>None</v>
      </c>
      <c r="W5" s="2016" t="str">
        <f>'Base inputs'!W50</f>
        <v>None</v>
      </c>
      <c r="X5" s="2016" t="str">
        <f>'Base inputs'!X50</f>
        <v>None</v>
      </c>
      <c r="Y5" s="2016" t="str">
        <f>'Base inputs'!Y50</f>
        <v>None</v>
      </c>
      <c r="Z5" s="2016" t="str">
        <f>'Base inputs'!Z50</f>
        <v>None</v>
      </c>
      <c r="AA5" s="2016" t="str">
        <f>'Base inputs'!AA50</f>
        <v>None</v>
      </c>
      <c r="AB5" s="2016" t="str">
        <f>'Base inputs'!AB50</f>
        <v>None</v>
      </c>
    </row>
    <row r="6" spans="1:31" x14ac:dyDescent="0.45">
      <c r="A6" s="1416"/>
      <c r="B6" s="2029"/>
      <c r="C6" s="1953"/>
      <c r="D6" s="1953"/>
      <c r="E6" s="1953"/>
      <c r="F6" s="1953"/>
      <c r="G6" s="1953"/>
      <c r="H6" s="1953"/>
      <c r="I6" s="1953"/>
      <c r="J6" s="1953"/>
      <c r="K6" s="1953"/>
      <c r="L6" s="1953"/>
      <c r="M6" s="1953"/>
      <c r="N6" s="1953"/>
      <c r="O6" s="1953"/>
      <c r="P6" s="1953"/>
      <c r="Q6" s="1953"/>
      <c r="R6" s="1953"/>
      <c r="S6" s="1953"/>
      <c r="T6" s="1953"/>
      <c r="U6" s="1953"/>
      <c r="V6" s="1953"/>
      <c r="W6" s="1954"/>
      <c r="X6" s="1953"/>
      <c r="Y6" s="1953"/>
      <c r="Z6" s="1953"/>
      <c r="AA6" s="1953"/>
      <c r="AB6" s="1953"/>
    </row>
    <row r="7" spans="1:31" x14ac:dyDescent="0.45">
      <c r="A7" s="1419" t="s">
        <v>1090</v>
      </c>
      <c r="B7" s="2030" t="s">
        <v>5</v>
      </c>
      <c r="C7" s="2031">
        <f>Use!C14</f>
        <v>17.80821917808219</v>
      </c>
      <c r="D7" s="2031">
        <f>Use!D14</f>
        <v>17.80821917808219</v>
      </c>
      <c r="E7" s="2031">
        <f>Use!E14</f>
        <v>17.80821917808219</v>
      </c>
      <c r="F7" s="2031">
        <f>Use!F14</f>
        <v>17.80821917808219</v>
      </c>
      <c r="G7" s="2031">
        <f>Use!G14</f>
        <v>49.315068493150683</v>
      </c>
      <c r="H7" s="2031">
        <f>Use!H14</f>
        <v>49.315068493150683</v>
      </c>
      <c r="I7" s="2031">
        <f>Use!I14</f>
        <v>49.315068493150683</v>
      </c>
      <c r="J7" s="2031">
        <f>Use!J14</f>
        <v>49.315068493150683</v>
      </c>
      <c r="K7" s="2031">
        <f>'Base variables computation'!K7</f>
        <v>100</v>
      </c>
      <c r="L7" s="2031">
        <f>'Base variables computation'!L7</f>
        <v>100</v>
      </c>
      <c r="M7" s="2031">
        <f>Use!M14</f>
        <v>164.38356164383561</v>
      </c>
      <c r="N7" s="2031">
        <f>Use!N14</f>
        <v>191.78082191780823</v>
      </c>
      <c r="O7" s="2031">
        <f>Use!O14</f>
        <v>164.38356164383561</v>
      </c>
      <c r="P7" s="2031">
        <f>Use!P14</f>
        <v>191.78082191780823</v>
      </c>
      <c r="Q7" s="2031">
        <f>Use!Q14</f>
        <v>164.38356164383561</v>
      </c>
      <c r="R7" s="2031">
        <f>Use!R14</f>
        <v>191.78082191780823</v>
      </c>
      <c r="S7" s="2031">
        <f>Use!S14</f>
        <v>164.38356164383561</v>
      </c>
      <c r="T7" s="2031">
        <f>Use!T14</f>
        <v>191.78082191780823</v>
      </c>
      <c r="U7" s="2031">
        <f>Use!U14</f>
        <v>335.61643835616439</v>
      </c>
      <c r="V7" s="2031">
        <f>Use!V14</f>
        <v>335.61643835616439</v>
      </c>
      <c r="W7" s="2031">
        <f>Use!W14</f>
        <v>335.61643835616439</v>
      </c>
      <c r="X7" s="2031">
        <f>Use!X14</f>
        <v>33.150684931506852</v>
      </c>
      <c r="Y7" s="2031">
        <f>Use!Y14</f>
        <v>33.150684931506852</v>
      </c>
      <c r="Z7" s="2031">
        <f>Use!Z14</f>
        <v>131.50684931506851</v>
      </c>
      <c r="AA7" s="2031">
        <f>Use!AA14</f>
        <v>131.50684931506851</v>
      </c>
      <c r="AB7" s="2031">
        <f>Use!AB14</f>
        <v>490.95890410958901</v>
      </c>
    </row>
    <row r="8" spans="1:31" x14ac:dyDescent="0.45">
      <c r="A8" s="1419" t="s">
        <v>6</v>
      </c>
      <c r="B8" s="2030" t="s">
        <v>7</v>
      </c>
      <c r="C8" s="2031">
        <f>Use!C15</f>
        <v>65000</v>
      </c>
      <c r="D8" s="2031">
        <f>Use!D15</f>
        <v>65000</v>
      </c>
      <c r="E8" s="2031">
        <f>Use!E15</f>
        <v>65000</v>
      </c>
      <c r="F8" s="2031">
        <f>Use!F15</f>
        <v>65000</v>
      </c>
      <c r="G8" s="2031">
        <f>Use!G15</f>
        <v>108000</v>
      </c>
      <c r="H8" s="2031">
        <f>Use!H15</f>
        <v>108000</v>
      </c>
      <c r="I8" s="2031">
        <f>Use!I15</f>
        <v>108000</v>
      </c>
      <c r="J8" s="2031">
        <f>Use!J15</f>
        <v>108000</v>
      </c>
      <c r="K8" s="2031">
        <f>Use!K15</f>
        <v>280000</v>
      </c>
      <c r="L8" s="2031">
        <f>Use!L15</f>
        <v>280000</v>
      </c>
      <c r="M8" s="2031">
        <f>Use!M15</f>
        <v>720000</v>
      </c>
      <c r="N8" s="2031">
        <f>Use!N15</f>
        <v>840000</v>
      </c>
      <c r="O8" s="2031">
        <f>Use!O15</f>
        <v>720000</v>
      </c>
      <c r="P8" s="2031">
        <f>Use!P15</f>
        <v>840000</v>
      </c>
      <c r="Q8" s="2031">
        <f>Use!Q15</f>
        <v>720000</v>
      </c>
      <c r="R8" s="2031">
        <f>Use!R15</f>
        <v>840000</v>
      </c>
      <c r="S8" s="2031">
        <f>Use!S15</f>
        <v>720000</v>
      </c>
      <c r="T8" s="2031">
        <f>Use!T15</f>
        <v>840000</v>
      </c>
      <c r="U8" s="2031">
        <f>Use!U15</f>
        <v>1470000</v>
      </c>
      <c r="V8" s="2031">
        <f>Use!V15</f>
        <v>1470000</v>
      </c>
      <c r="W8" s="2031">
        <f>Use!W15</f>
        <v>1470000</v>
      </c>
      <c r="X8" s="2031">
        <f>Use!X15</f>
        <v>181500</v>
      </c>
      <c r="Y8" s="2031">
        <f>Use!Y15</f>
        <v>181500</v>
      </c>
      <c r="Z8" s="2031">
        <f>Use!Z15</f>
        <v>480000</v>
      </c>
      <c r="AA8" s="2031">
        <f>Use!AA15</f>
        <v>480000</v>
      </c>
      <c r="AB8" s="2031">
        <f>Use!AB15</f>
        <v>7168000</v>
      </c>
    </row>
    <row r="9" spans="1:31" ht="28.5" x14ac:dyDescent="0.45">
      <c r="A9" s="1419" t="s">
        <v>35</v>
      </c>
      <c r="B9" s="2030" t="s">
        <v>41</v>
      </c>
      <c r="C9" s="2031">
        <f>'Base inputs'!C51</f>
        <v>0</v>
      </c>
      <c r="D9" s="2031">
        <f>'Base inputs'!D51</f>
        <v>0</v>
      </c>
      <c r="E9" s="2031">
        <f>'Base inputs'!E51</f>
        <v>0</v>
      </c>
      <c r="F9" s="2031">
        <f>'Base inputs'!F51</f>
        <v>0</v>
      </c>
      <c r="G9" s="2031">
        <f>'Base inputs'!G51</f>
        <v>0</v>
      </c>
      <c r="H9" s="2031">
        <f>'Base inputs'!H51</f>
        <v>11.25</v>
      </c>
      <c r="I9" s="2031">
        <f>'Base inputs'!I51</f>
        <v>0</v>
      </c>
      <c r="J9" s="2031">
        <f>'Base inputs'!J51</f>
        <v>11.25</v>
      </c>
      <c r="K9" s="2031">
        <f>'Base inputs'!K51</f>
        <v>11.25</v>
      </c>
      <c r="L9" s="2031">
        <f>'Base inputs'!L51</f>
        <v>11.25</v>
      </c>
      <c r="M9" s="2031">
        <f>'Base inputs'!M51</f>
        <v>0.5</v>
      </c>
      <c r="N9" s="2031">
        <f>'Base inputs'!N51</f>
        <v>0.5</v>
      </c>
      <c r="O9" s="2031">
        <f>'Base inputs'!O51</f>
        <v>0.5</v>
      </c>
      <c r="P9" s="2031">
        <f>'Base inputs'!P51</f>
        <v>0.5</v>
      </c>
      <c r="Q9" s="2031">
        <f>'Base inputs'!Q51</f>
        <v>0.5</v>
      </c>
      <c r="R9" s="2031">
        <f>'Base inputs'!R51</f>
        <v>0.5</v>
      </c>
      <c r="S9" s="2031">
        <f>'Base inputs'!S51</f>
        <v>0.5</v>
      </c>
      <c r="T9" s="2031">
        <f>'Base inputs'!T51</f>
        <v>0.5</v>
      </c>
      <c r="U9" s="2031">
        <f>'Base inputs'!U51</f>
        <v>0.5</v>
      </c>
      <c r="V9" s="2031">
        <f>'Base inputs'!V51</f>
        <v>0.5</v>
      </c>
      <c r="W9" s="2031">
        <f>'Base inputs'!W51</f>
        <v>0.5</v>
      </c>
      <c r="X9" s="2031">
        <f>'Base inputs'!X51</f>
        <v>0</v>
      </c>
      <c r="Y9" s="2031">
        <f>'Base inputs'!Y51</f>
        <v>0</v>
      </c>
      <c r="Z9" s="2031">
        <f>'Base inputs'!Z51</f>
        <v>23.420596293311849</v>
      </c>
      <c r="AA9" s="2031">
        <f>'Base inputs'!AA51</f>
        <v>23.420596293311849</v>
      </c>
      <c r="AB9" s="2031">
        <f>'Base inputs'!AB51</f>
        <v>0</v>
      </c>
    </row>
    <row r="10" spans="1:31" x14ac:dyDescent="0.45">
      <c r="A10" s="1419" t="s">
        <v>1091</v>
      </c>
      <c r="B10" s="2030" t="s">
        <v>1092</v>
      </c>
      <c r="C10" s="2031">
        <f>'Base variables computation'!C22</f>
        <v>0</v>
      </c>
      <c r="D10" s="2031">
        <f>'Base variables computation'!D22</f>
        <v>0</v>
      </c>
      <c r="E10" s="2031">
        <f>'Base variables computation'!E22</f>
        <v>0</v>
      </c>
      <c r="F10" s="2031">
        <f>'Base variables computation'!F22</f>
        <v>0</v>
      </c>
      <c r="G10" s="2031">
        <f>'Base variables computation'!G22</f>
        <v>0</v>
      </c>
      <c r="H10" s="2031">
        <f>'Base variables computation'!H22</f>
        <v>14.058333333333334</v>
      </c>
      <c r="I10" s="2031">
        <f>'Base variables computation'!I22</f>
        <v>0</v>
      </c>
      <c r="J10" s="2031">
        <f>'Base variables computation'!J22</f>
        <v>14.058333333333334</v>
      </c>
      <c r="K10" s="2031">
        <f>'Base variables computation'!K22</f>
        <v>11.25</v>
      </c>
      <c r="L10" s="2031">
        <f>'Base variables computation'!L22</f>
        <v>14.058333333333334</v>
      </c>
      <c r="M10" s="2031">
        <f>'Base variables computation'!M22</f>
        <v>1.0638297872340425</v>
      </c>
      <c r="N10" s="2031">
        <f>'Base variables computation'!N22</f>
        <v>1.0638297872340425</v>
      </c>
      <c r="O10" s="2031">
        <f>'Base variables computation'!O22</f>
        <v>1.0638297872340425</v>
      </c>
      <c r="P10" s="2031">
        <f>'Base variables computation'!P22</f>
        <v>1.0638297872340425</v>
      </c>
      <c r="Q10" s="2031">
        <f>'Base variables computation'!Q22</f>
        <v>1.0638297872340425</v>
      </c>
      <c r="R10" s="2031">
        <f>'Base variables computation'!R22</f>
        <v>1.0638297872340425</v>
      </c>
      <c r="S10" s="2031">
        <f>'Base variables computation'!S22</f>
        <v>1.0638297872340425</v>
      </c>
      <c r="T10" s="2031">
        <f>'Base variables computation'!T22</f>
        <v>1.0638297872340425</v>
      </c>
      <c r="U10" s="2031">
        <f>'Base variables computation'!U22</f>
        <v>1.0638297872340425</v>
      </c>
      <c r="V10" s="2031">
        <f>'Base variables computation'!V22</f>
        <v>1.0638297872340425</v>
      </c>
      <c r="W10" s="2031">
        <f>'Base variables computation'!W22</f>
        <v>1.0638297872340425</v>
      </c>
      <c r="X10" s="2031">
        <f>'Base variables computation'!X22</f>
        <v>0</v>
      </c>
      <c r="Y10" s="2031">
        <f>'Base variables computation'!Y22</f>
        <v>0</v>
      </c>
      <c r="Z10" s="2031">
        <f>'Base variables computation'!Z22</f>
        <v>1</v>
      </c>
      <c r="AA10" s="2031">
        <f>'Base variables computation'!AA22</f>
        <v>1</v>
      </c>
      <c r="AB10" s="2031">
        <f>'Base variables computation'!AB22</f>
        <v>0</v>
      </c>
    </row>
    <row r="11" spans="1:31" x14ac:dyDescent="0.45">
      <c r="A11" s="1416"/>
      <c r="B11" s="2029"/>
      <c r="C11" s="1955"/>
      <c r="D11" s="1953"/>
      <c r="E11" s="1953"/>
      <c r="F11" s="1953"/>
      <c r="G11" s="1953"/>
      <c r="H11" s="1953"/>
      <c r="I11" s="1953"/>
      <c r="J11" s="1953"/>
      <c r="K11" s="1953"/>
      <c r="L11" s="1953"/>
      <c r="M11" s="1953"/>
      <c r="N11" s="1953"/>
      <c r="O11" s="1953"/>
      <c r="P11" s="1953"/>
      <c r="Q11" s="1953"/>
      <c r="R11" s="1953"/>
      <c r="S11" s="1953"/>
      <c r="T11" s="1953"/>
      <c r="U11" s="1953"/>
      <c r="V11" s="1953"/>
      <c r="W11" s="1954"/>
      <c r="X11" s="1953"/>
      <c r="Y11" s="1953"/>
      <c r="Z11" s="1953"/>
      <c r="AA11" s="1953"/>
      <c r="AB11" s="1953"/>
    </row>
    <row r="12" spans="1:31" ht="71.25" x14ac:dyDescent="0.45">
      <c r="A12" s="1433" t="s">
        <v>1093</v>
      </c>
      <c r="B12" s="2032" t="s">
        <v>1094</v>
      </c>
      <c r="C12" s="1952">
        <f t="shared" ref="C12:AB12" si="0">IF(C9=0,0,C9/C10/C7)</f>
        <v>0</v>
      </c>
      <c r="D12" s="1952">
        <f t="shared" si="0"/>
        <v>0</v>
      </c>
      <c r="E12" s="1952">
        <f t="shared" si="0"/>
        <v>0</v>
      </c>
      <c r="F12" s="1952">
        <f t="shared" si="0"/>
        <v>0</v>
      </c>
      <c r="G12" s="1952">
        <f t="shared" si="0"/>
        <v>0</v>
      </c>
      <c r="H12" s="1952">
        <f t="shared" si="0"/>
        <v>1.6227030231179607E-2</v>
      </c>
      <c r="I12" s="1952">
        <f t="shared" si="0"/>
        <v>0</v>
      </c>
      <c r="J12" s="1952">
        <f t="shared" si="0"/>
        <v>1.6227030231179607E-2</v>
      </c>
      <c r="K12" s="1952">
        <f>IF(K9=0,0,K9/K10/K7)</f>
        <v>0.01</v>
      </c>
      <c r="L12" s="1952">
        <f t="shared" si="0"/>
        <v>8.0023710729104913E-3</v>
      </c>
      <c r="M12" s="2033">
        <f t="shared" si="0"/>
        <v>2.859166666666667E-3</v>
      </c>
      <c r="N12" s="2034">
        <f t="shared" si="0"/>
        <v>2.4507142857142857E-3</v>
      </c>
      <c r="O12" s="2033">
        <f t="shared" si="0"/>
        <v>2.859166666666667E-3</v>
      </c>
      <c r="P12" s="2033">
        <f t="shared" si="0"/>
        <v>2.4507142857142857E-3</v>
      </c>
      <c r="Q12" s="2033">
        <f t="shared" si="0"/>
        <v>2.859166666666667E-3</v>
      </c>
      <c r="R12" s="2033">
        <f t="shared" si="0"/>
        <v>2.4507142857142857E-3</v>
      </c>
      <c r="S12" s="2033">
        <f t="shared" si="0"/>
        <v>2.859166666666667E-3</v>
      </c>
      <c r="T12" s="2033">
        <f t="shared" si="0"/>
        <v>2.4507142857142857E-3</v>
      </c>
      <c r="U12" s="2033">
        <f>IF(U9=0,0,U9/U10/U7)</f>
        <v>1.4004081632653061E-3</v>
      </c>
      <c r="V12" s="2033">
        <f>IF(V9=0,0,V9/V10/V7)</f>
        <v>1.4004081632653061E-3</v>
      </c>
      <c r="W12" s="2033">
        <f>IF(W9=0,0,W9/W10/W7)</f>
        <v>1.4004081632653061E-3</v>
      </c>
      <c r="X12" s="2033">
        <f t="shared" si="0"/>
        <v>0</v>
      </c>
      <c r="Y12" s="2033">
        <f t="shared" si="0"/>
        <v>0</v>
      </c>
      <c r="Z12" s="2033">
        <f t="shared" si="0"/>
        <v>0.17809411764705885</v>
      </c>
      <c r="AA12" s="2033">
        <f t="shared" si="0"/>
        <v>0.17809411764705885</v>
      </c>
      <c r="AB12" s="2033">
        <f t="shared" si="0"/>
        <v>0</v>
      </c>
    </row>
    <row r="13" spans="1:31" x14ac:dyDescent="0.45">
      <c r="A13" s="1416"/>
      <c r="B13" s="2029"/>
      <c r="C13" s="1955"/>
      <c r="D13" s="1953"/>
      <c r="E13" s="1953"/>
      <c r="F13" s="1953"/>
      <c r="G13" s="1953"/>
      <c r="H13" s="1953"/>
      <c r="I13" s="1953"/>
      <c r="J13" s="1953"/>
      <c r="K13" s="1953"/>
      <c r="L13" s="1953"/>
      <c r="M13" s="1953"/>
      <c r="N13" s="1953"/>
      <c r="O13" s="1953"/>
      <c r="P13" s="1953"/>
      <c r="Q13" s="1953"/>
      <c r="R13" s="1953"/>
      <c r="S13" s="1953"/>
      <c r="T13" s="1953"/>
      <c r="U13" s="1953"/>
      <c r="V13" s="1953"/>
      <c r="W13" s="1954"/>
      <c r="X13" s="1953"/>
      <c r="Y13" s="1953"/>
      <c r="Z13" s="1953"/>
      <c r="AA13" s="1953"/>
      <c r="AB13" s="1953"/>
    </row>
    <row r="14" spans="1:31" ht="28.5" x14ac:dyDescent="0.45">
      <c r="A14" s="1421" t="s">
        <v>392</v>
      </c>
      <c r="B14" s="2035" t="s">
        <v>384</v>
      </c>
      <c r="C14" s="2036">
        <f>HLOOKUP(C$5,OPE_inputs!$E$3:$R$15,ROW(OPE_inputs!$B12)-ROW(OPE_inputs!$B$3)+1,FALSE)</f>
        <v>0</v>
      </c>
      <c r="D14" s="2036">
        <f>HLOOKUP(D$5,OPE_inputs!$E$3:$R$15,ROW(OPE_inputs!$B12)-ROW(OPE_inputs!$B$3)+1,FALSE)</f>
        <v>0</v>
      </c>
      <c r="E14" s="2036">
        <f>HLOOKUP(E$5,OPE_inputs!$E$3:$R$15,ROW(OPE_inputs!$B12)-ROW(OPE_inputs!$B$3)+1,FALSE)</f>
        <v>0</v>
      </c>
      <c r="F14" s="2036">
        <f>HLOOKUP(F$5,OPE_inputs!$E$3:$R$15,ROW(OPE_inputs!$B12)-ROW(OPE_inputs!$B$3)+1,FALSE)</f>
        <v>0</v>
      </c>
      <c r="G14" s="2036">
        <f>HLOOKUP(G$5,OPE_inputs!$E$3:$R$15,ROW(OPE_inputs!$B12)-ROW(OPE_inputs!$B$3)+1,FALSE)</f>
        <v>3.5391021272727277</v>
      </c>
      <c r="H14" s="2036">
        <f>HLOOKUP(H$5,OPE_inputs!$E$3:$R$15,ROW(OPE_inputs!$B12)-ROW(OPE_inputs!$B$3)+1,FALSE)</f>
        <v>3.5391021272727277</v>
      </c>
      <c r="I14" s="2036">
        <f>HLOOKUP(I$5,OPE_inputs!$E$3:$R$15,ROW(OPE_inputs!$B12)-ROW(OPE_inputs!$B$3)+1,FALSE)</f>
        <v>3.5391021272727277</v>
      </c>
      <c r="J14" s="2036">
        <f>HLOOKUP(J$5,OPE_inputs!$E$3:$R$15,ROW(OPE_inputs!$B12)-ROW(OPE_inputs!$B$3)+1,FALSE)</f>
        <v>3.5391021272727277</v>
      </c>
      <c r="K14" s="2036">
        <f>HLOOKUP(K$5,OPE_inputs!$E$3:$R$15,ROW(OPE_inputs!$B12)-ROW(OPE_inputs!$B$3)+1,FALSE)</f>
        <v>0</v>
      </c>
      <c r="L14" s="2036">
        <f>HLOOKUP(L$5,OPE_inputs!$E$3:$R$15,ROW(OPE_inputs!$B12)-ROW(OPE_inputs!$B$3)+1,FALSE)</f>
        <v>0</v>
      </c>
      <c r="M14" s="2036">
        <f>HLOOKUP(M$5,OPE_inputs!$E$3:$R$15,ROW(OPE_inputs!$B12)-ROW(OPE_inputs!$B$3)+1,FALSE)</f>
        <v>0</v>
      </c>
      <c r="N14" s="2036">
        <f>HLOOKUP(N$5,OPE_inputs!$E$3:$R$15,ROW(OPE_inputs!$B12)-ROW(OPE_inputs!$B$3)+1,FALSE)</f>
        <v>0</v>
      </c>
      <c r="O14" s="2036">
        <f>HLOOKUP(O$5,OPE_inputs!$E$3:$R$15,ROW(OPE_inputs!$B12)-ROW(OPE_inputs!$B$3)+1,FALSE)</f>
        <v>0</v>
      </c>
      <c r="P14" s="2036">
        <f>HLOOKUP(P$5,OPE_inputs!$E$3:$R$15,ROW(OPE_inputs!$B12)-ROW(OPE_inputs!$B$3)+1,FALSE)</f>
        <v>0</v>
      </c>
      <c r="Q14" s="2036">
        <f>HLOOKUP(Q$5,OPE_inputs!$E$3:$R$15,ROW(OPE_inputs!$B12)-ROW(OPE_inputs!$B$3)+1,FALSE)</f>
        <v>0</v>
      </c>
      <c r="R14" s="2036">
        <f>HLOOKUP(R$5,OPE_inputs!$E$3:$R$15,ROW(OPE_inputs!$B12)-ROW(OPE_inputs!$B$3)+1,FALSE)</f>
        <v>0</v>
      </c>
      <c r="S14" s="2036">
        <f>HLOOKUP(S$5,OPE_inputs!$E$3:$R$15,ROW(OPE_inputs!$B12)-ROW(OPE_inputs!$B$3)+1,FALSE)</f>
        <v>0</v>
      </c>
      <c r="T14" s="2036">
        <f>HLOOKUP(T$5,OPE_inputs!$E$3:$R$15,ROW(OPE_inputs!$B12)-ROW(OPE_inputs!$B$3)+1,FALSE)</f>
        <v>0</v>
      </c>
      <c r="U14" s="2036">
        <f>HLOOKUP(U$5,OPE_inputs!$E$3:$R$15,ROW(OPE_inputs!$B12)-ROW(OPE_inputs!$B$3)+1,FALSE)</f>
        <v>0</v>
      </c>
      <c r="V14" s="2036">
        <f>HLOOKUP(V$5,OPE_inputs!$E$3:$R$15,ROW(OPE_inputs!$B12)-ROW(OPE_inputs!$B$3)+1,FALSE)</f>
        <v>0</v>
      </c>
      <c r="W14" s="2036">
        <f>HLOOKUP(W$5,OPE_inputs!$E$3:$R$15,ROW(OPE_inputs!$B12)-ROW(OPE_inputs!$B$3)+1,FALSE)</f>
        <v>0</v>
      </c>
      <c r="X14" s="2036">
        <f>HLOOKUP(X$5,OPE_inputs!$E$3:$R$15,ROW(OPE_inputs!$B12)-ROW(OPE_inputs!$B$3)+1,FALSE)</f>
        <v>0</v>
      </c>
      <c r="Y14" s="2036">
        <f>HLOOKUP(Y$5,OPE_inputs!$E$3:$R$15,ROW(OPE_inputs!$B12)-ROW(OPE_inputs!$B$3)+1,FALSE)</f>
        <v>0</v>
      </c>
      <c r="Z14" s="2036">
        <f>HLOOKUP(Z$5,OPE_inputs!$E$3:$R$15,ROW(OPE_inputs!$B12)-ROW(OPE_inputs!$B$3)+1,FALSE)</f>
        <v>0</v>
      </c>
      <c r="AA14" s="2036">
        <f>HLOOKUP(AA$5,OPE_inputs!$E$3:$R$15,ROW(OPE_inputs!$B12)-ROW(OPE_inputs!$B$3)+1,FALSE)</f>
        <v>0</v>
      </c>
      <c r="AB14" s="2036">
        <f>HLOOKUP(AB$5,OPE_inputs!$E$3:$R$15,ROW(OPE_inputs!$B12)-ROW(OPE_inputs!$B$3)+1,FALSE)</f>
        <v>0</v>
      </c>
    </row>
    <row r="15" spans="1:31" ht="28.5" x14ac:dyDescent="0.45">
      <c r="A15" s="1421" t="s">
        <v>398</v>
      </c>
      <c r="B15" s="2035" t="s">
        <v>1095</v>
      </c>
      <c r="C15" s="2036">
        <f>HLOOKUP(C$5,OPE_inputs!$E$3:$R$15,ROW(OPE_inputs!$B15)-ROW(OPE_inputs!$B$3)+1,FALSE)</f>
        <v>0</v>
      </c>
      <c r="D15" s="2036">
        <f>HLOOKUP(D$5,OPE_inputs!$E$3:$R$15,ROW(OPE_inputs!$B15)-ROW(OPE_inputs!$B$3)+1,FALSE)</f>
        <v>0</v>
      </c>
      <c r="E15" s="2036">
        <f>HLOOKUP(E$5,OPE_inputs!$E$3:$R$15,ROW(OPE_inputs!$B15)-ROW(OPE_inputs!$B$3)+1,FALSE)</f>
        <v>0</v>
      </c>
      <c r="F15" s="2036">
        <f>HLOOKUP(F$5,OPE_inputs!$E$3:$R$15,ROW(OPE_inputs!$B15)-ROW(OPE_inputs!$B$3)+1,FALSE)</f>
        <v>0</v>
      </c>
      <c r="G15" s="2036">
        <f>HLOOKUP(G$5,OPE_inputs!$E$3:$R$15,ROW(OPE_inputs!$B15)-ROW(OPE_inputs!$B$3)+1,FALSE)</f>
        <v>245.25977741999998</v>
      </c>
      <c r="H15" s="2036">
        <f>HLOOKUP(H$5,OPE_inputs!$E$3:$R$15,ROW(OPE_inputs!$B15)-ROW(OPE_inputs!$B$3)+1,FALSE)</f>
        <v>245.25977741999998</v>
      </c>
      <c r="I15" s="2036">
        <f>HLOOKUP(I$5,OPE_inputs!$E$3:$R$15,ROW(OPE_inputs!$B15)-ROW(OPE_inputs!$B$3)+1,FALSE)</f>
        <v>245.25977741999998</v>
      </c>
      <c r="J15" s="2036">
        <f>HLOOKUP(J$5,OPE_inputs!$E$3:$R$15,ROW(OPE_inputs!$B15)-ROW(OPE_inputs!$B$3)+1,FALSE)</f>
        <v>245.25977741999998</v>
      </c>
      <c r="K15" s="2036">
        <f>HLOOKUP(K$5,OPE_inputs!$E$3:$R$15,ROW(OPE_inputs!$B15)-ROW(OPE_inputs!$B$3)+1,FALSE)</f>
        <v>0</v>
      </c>
      <c r="L15" s="2036">
        <f>HLOOKUP(L$5,OPE_inputs!$E$3:$R$15,ROW(OPE_inputs!$B15)-ROW(OPE_inputs!$B$3)+1,FALSE)</f>
        <v>0</v>
      </c>
      <c r="M15" s="2036">
        <f>HLOOKUP(M$5,OPE_inputs!$E$3:$R$15,ROW(OPE_inputs!$B15)-ROW(OPE_inputs!$B$3)+1,FALSE)</f>
        <v>0</v>
      </c>
      <c r="N15" s="2036">
        <f>HLOOKUP(N$5,OPE_inputs!$E$3:$R$15,ROW(OPE_inputs!$B15)-ROW(OPE_inputs!$B$3)+1,FALSE)</f>
        <v>0</v>
      </c>
      <c r="O15" s="2036">
        <f>HLOOKUP(O$5,OPE_inputs!$E$3:$R$15,ROW(OPE_inputs!$B15)-ROW(OPE_inputs!$B$3)+1,FALSE)</f>
        <v>0</v>
      </c>
      <c r="P15" s="2036">
        <f>HLOOKUP(P$5,OPE_inputs!$E$3:$R$15,ROW(OPE_inputs!$B15)-ROW(OPE_inputs!$B$3)+1,FALSE)</f>
        <v>0</v>
      </c>
      <c r="Q15" s="2036">
        <f>HLOOKUP(Q$5,OPE_inputs!$E$3:$R$15,ROW(OPE_inputs!$B15)-ROW(OPE_inputs!$B$3)+1,FALSE)</f>
        <v>0</v>
      </c>
      <c r="R15" s="2036">
        <f>HLOOKUP(R$5,OPE_inputs!$E$3:$R$15,ROW(OPE_inputs!$B15)-ROW(OPE_inputs!$B$3)+1,FALSE)</f>
        <v>0</v>
      </c>
      <c r="S15" s="2036">
        <f>HLOOKUP(S$5,OPE_inputs!$E$3:$R$15,ROW(OPE_inputs!$B15)-ROW(OPE_inputs!$B$3)+1,FALSE)</f>
        <v>0</v>
      </c>
      <c r="T15" s="2036">
        <f>HLOOKUP(T$5,OPE_inputs!$E$3:$R$15,ROW(OPE_inputs!$B15)-ROW(OPE_inputs!$B$3)+1,FALSE)</f>
        <v>0</v>
      </c>
      <c r="U15" s="2036">
        <f>HLOOKUP(U$5,OPE_inputs!$E$3:$R$15,ROW(OPE_inputs!$B15)-ROW(OPE_inputs!$B$3)+1,FALSE)</f>
        <v>0</v>
      </c>
      <c r="V15" s="2036">
        <f>HLOOKUP(V$5,OPE_inputs!$E$3:$R$15,ROW(OPE_inputs!$B15)-ROW(OPE_inputs!$B$3)+1,FALSE)</f>
        <v>0</v>
      </c>
      <c r="W15" s="2036">
        <f>HLOOKUP(W$5,OPE_inputs!$E$3:$R$15,ROW(OPE_inputs!$B15)-ROW(OPE_inputs!$B$3)+1,FALSE)</f>
        <v>0</v>
      </c>
      <c r="X15" s="2036">
        <f>HLOOKUP(X$5,OPE_inputs!$E$3:$R$15,ROW(OPE_inputs!$B15)-ROW(OPE_inputs!$B$3)+1,FALSE)</f>
        <v>0</v>
      </c>
      <c r="Y15" s="2036">
        <f>HLOOKUP(Y$5,OPE_inputs!$E$3:$R$15,ROW(OPE_inputs!$B15)-ROW(OPE_inputs!$B$3)+1,FALSE)</f>
        <v>0</v>
      </c>
      <c r="Z15" s="2036">
        <f>HLOOKUP(Z$5,OPE_inputs!$E$3:$R$15,ROW(OPE_inputs!$B15)-ROW(OPE_inputs!$B$3)+1,FALSE)</f>
        <v>0</v>
      </c>
      <c r="AA15" s="2036">
        <f>HLOOKUP(AA$5,OPE_inputs!$E$3:$R$15,ROW(OPE_inputs!$B15)-ROW(OPE_inputs!$B$3)+1,FALSE)</f>
        <v>0</v>
      </c>
      <c r="AB15" s="2036">
        <f>HLOOKUP(AB$5,OPE_inputs!$E$3:$R$15,ROW(OPE_inputs!$B15)-ROW(OPE_inputs!$B$3)+1,FALSE)</f>
        <v>0</v>
      </c>
    </row>
    <row r="16" spans="1:31" x14ac:dyDescent="0.45">
      <c r="A16" s="1416"/>
      <c r="B16" s="2029"/>
      <c r="C16" s="1955"/>
      <c r="D16" s="1953"/>
      <c r="E16" s="1953"/>
      <c r="F16" s="1953"/>
      <c r="G16" s="1953"/>
      <c r="H16" s="1953"/>
      <c r="I16" s="1953"/>
      <c r="J16" s="1953"/>
      <c r="K16" s="1953"/>
      <c r="L16" s="1953"/>
      <c r="M16" s="1953"/>
      <c r="N16" s="1953"/>
      <c r="O16" s="1953"/>
      <c r="P16" s="1953"/>
      <c r="Q16" s="1953"/>
      <c r="R16" s="1953"/>
      <c r="S16" s="1953"/>
      <c r="T16" s="1953"/>
      <c r="U16" s="1953"/>
      <c r="V16" s="1953"/>
      <c r="W16" s="1954"/>
      <c r="X16" s="1953"/>
      <c r="Y16" s="1953"/>
      <c r="Z16" s="1953"/>
      <c r="AA16" s="1953"/>
      <c r="AB16" s="1953"/>
    </row>
    <row r="17" spans="1:28" x14ac:dyDescent="0.45">
      <c r="A17" s="1417" t="s">
        <v>1096</v>
      </c>
      <c r="B17" s="2032" t="s">
        <v>100</v>
      </c>
      <c r="C17" s="1952">
        <f t="shared" ref="C17:L17" si="1">C14*C12*C8</f>
        <v>0</v>
      </c>
      <c r="D17" s="1952">
        <f t="shared" si="1"/>
        <v>0</v>
      </c>
      <c r="E17" s="1952">
        <f t="shared" si="1"/>
        <v>0</v>
      </c>
      <c r="F17" s="1952">
        <f t="shared" si="1"/>
        <v>0</v>
      </c>
      <c r="G17" s="1952">
        <f t="shared" si="1"/>
        <v>0</v>
      </c>
      <c r="H17" s="1952">
        <f t="shared" si="1"/>
        <v>6202.3446587325534</v>
      </c>
      <c r="I17" s="1952">
        <f t="shared" si="1"/>
        <v>0</v>
      </c>
      <c r="J17" s="1952">
        <f t="shared" si="1"/>
        <v>6202.3446587325534</v>
      </c>
      <c r="K17" s="1952">
        <f>K14*K12*K8</f>
        <v>0</v>
      </c>
      <c r="L17" s="1952">
        <f t="shared" si="1"/>
        <v>0</v>
      </c>
      <c r="M17" s="1952">
        <f ca="1">Use!M50*M12</f>
        <v>25940.659168661914</v>
      </c>
      <c r="N17" s="1952">
        <f ca="1">Use!N50*N12</f>
        <v>38669.289480825733</v>
      </c>
      <c r="O17" s="1952">
        <f ca="1">Use!O50*O12</f>
        <v>18529.034542895664</v>
      </c>
      <c r="P17" s="1952">
        <f ca="1">Use!P50*P12</f>
        <v>22234.841451474793</v>
      </c>
      <c r="Q17" s="1952">
        <f ca="1">Use!Q50*Q12</f>
        <v>21487.836728112681</v>
      </c>
      <c r="R17" s="1952">
        <f ca="1">Use!R50*R12</f>
        <v>25394.716133224076</v>
      </c>
      <c r="S17" s="1952">
        <f ca="1">Use!S50*S12</f>
        <v>17580.957323001287</v>
      </c>
      <c r="T17" s="1952">
        <f ca="1">Use!T50*T12</f>
        <v>21487.836728112681</v>
      </c>
      <c r="U17" s="1952">
        <f ca="1">Use!U50*U12</f>
        <v>38669.289480825733</v>
      </c>
      <c r="V17" s="1952">
        <f ca="1">Use!V50*V12</f>
        <v>21487.836728112681</v>
      </c>
      <c r="W17" s="1952">
        <f ca="1">Use!W50*W12</f>
        <v>55249.222808824088</v>
      </c>
      <c r="X17" s="1952">
        <f>X14*X12*X8</f>
        <v>0</v>
      </c>
      <c r="Y17" s="1952">
        <f>Y14*Y12*Y8</f>
        <v>0</v>
      </c>
      <c r="Z17" s="1952">
        <f ca="1">Use!Z50*Z12</f>
        <v>263806.10196595098</v>
      </c>
      <c r="AA17" s="1952">
        <f ca="1">Use!AA50*AA12</f>
        <v>111943.25756471662</v>
      </c>
      <c r="AB17" s="1952">
        <f ca="1">Use!AB50*AB12</f>
        <v>0</v>
      </c>
    </row>
    <row r="18" spans="1:28" x14ac:dyDescent="0.45">
      <c r="A18" s="1416"/>
      <c r="B18" s="2029"/>
      <c r="C18" s="1955"/>
      <c r="D18" s="1955"/>
      <c r="E18" s="1955"/>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row>
    <row r="19" spans="1:28" x14ac:dyDescent="0.45">
      <c r="A19" s="1417" t="s">
        <v>1097</v>
      </c>
      <c r="B19" s="2032" t="s">
        <v>103</v>
      </c>
      <c r="C19" s="1952">
        <f t="shared" ref="C19:L19" si="2">C15*C12*C8</f>
        <v>0</v>
      </c>
      <c r="D19" s="1952">
        <f t="shared" si="2"/>
        <v>0</v>
      </c>
      <c r="E19" s="1952">
        <f t="shared" si="2"/>
        <v>0</v>
      </c>
      <c r="F19" s="1952">
        <f t="shared" si="2"/>
        <v>0</v>
      </c>
      <c r="G19" s="1952">
        <f t="shared" si="2"/>
        <v>0</v>
      </c>
      <c r="H19" s="1952">
        <f t="shared" si="2"/>
        <v>429822.4848501659</v>
      </c>
      <c r="I19" s="1952">
        <f t="shared" si="2"/>
        <v>0</v>
      </c>
      <c r="J19" s="1952">
        <f t="shared" si="2"/>
        <v>429822.4848501659</v>
      </c>
      <c r="K19" s="1952">
        <f t="shared" si="2"/>
        <v>0</v>
      </c>
      <c r="L19" s="1952">
        <f t="shared" si="2"/>
        <v>0</v>
      </c>
      <c r="M19" s="1952">
        <f ca="1">Use!M52*M12</f>
        <v>1929586.0338055515</v>
      </c>
      <c r="N19" s="1952">
        <f ca="1">Use!N52*N12</f>
        <v>2876400.3425759566</v>
      </c>
      <c r="O19" s="1952">
        <f ca="1">Use!O52*O12</f>
        <v>1378275.1641509794</v>
      </c>
      <c r="P19" s="1952">
        <f ca="1">Use!P52*P12</f>
        <v>1653930.1969811746</v>
      </c>
      <c r="Q19" s="1952">
        <f ca="1">Use!Q52*Q12</f>
        <v>1791618.4368554037</v>
      </c>
      <c r="R19" s="1952">
        <f ca="1">Use!R52*R12</f>
        <v>2117367.2435563859</v>
      </c>
      <c r="S19" s="1952">
        <f ca="1">Use!S52*S12</f>
        <v>1465869.6301544211</v>
      </c>
      <c r="T19" s="1952">
        <f ca="1">Use!T52*T12</f>
        <v>1791618.4368554035</v>
      </c>
      <c r="U19" s="1952">
        <f ca="1">Use!U52*U12</f>
        <v>2876400.3425759566</v>
      </c>
      <c r="V19" s="1952">
        <f ca="1">Use!V52*V12</f>
        <v>1791618.4368554035</v>
      </c>
      <c r="W19" s="1952">
        <f ca="1">Use!W52*W12</f>
        <v>228483.38539687163</v>
      </c>
      <c r="X19" s="1952">
        <f>X15*X12*X8</f>
        <v>0</v>
      </c>
      <c r="Y19" s="1952">
        <f>Y15*Y12*Y8</f>
        <v>0</v>
      </c>
      <c r="Z19" s="1952">
        <f ca="1">Use!Z52*Z12</f>
        <v>19623116.23141532</v>
      </c>
      <c r="AA19" s="1952">
        <f ca="1">Use!AA52*AA12</f>
        <v>9333634.0308378264</v>
      </c>
      <c r="AB19" s="1952">
        <f ca="1">Use!AB52*AB12</f>
        <v>0</v>
      </c>
    </row>
  </sheetData>
  <mergeCells count="1">
    <mergeCell ref="A1:AB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4</vt:i4>
      </vt:variant>
    </vt:vector>
  </HeadingPairs>
  <TitlesOfParts>
    <vt:vector size="79" baseType="lpstr">
      <vt:lpstr>Instructions</vt:lpstr>
      <vt:lpstr>INPUTS&gt;&gt;</vt:lpstr>
      <vt:lpstr>Base inputs</vt:lpstr>
      <vt:lpstr>EM</vt:lpstr>
      <vt:lpstr>PHASES&gt;&gt;</vt:lpstr>
      <vt:lpstr>Vehicle manufacturing</vt:lpstr>
      <vt:lpstr>Transport</vt:lpstr>
      <vt:lpstr>Use</vt:lpstr>
      <vt:lpstr>Operational services</vt:lpstr>
      <vt:lpstr>Infrastructure</vt:lpstr>
      <vt:lpstr>RESULTS&gt;&gt;</vt:lpstr>
      <vt:lpstr>Summary</vt:lpstr>
      <vt:lpstr>Graphs</vt:lpstr>
      <vt:lpstr>DATA_SHEETS&gt;&gt;</vt:lpstr>
      <vt:lpstr>Defaultvalues</vt:lpstr>
      <vt:lpstr>Default_data_source</vt:lpstr>
      <vt:lpstr>Base variables computation</vt:lpstr>
      <vt:lpstr>WTW_Fuel_properties</vt:lpstr>
      <vt:lpstr>GPG</vt:lpstr>
      <vt:lpstr>MFG_inputs</vt:lpstr>
      <vt:lpstr>TRA_inputs</vt:lpstr>
      <vt:lpstr>OPE_inputs</vt:lpstr>
      <vt:lpstr>Tech_Spec_Escoot</vt:lpstr>
      <vt:lpstr>Tech_Spec_New_Escoot</vt:lpstr>
      <vt:lpstr>Tech_Spec_Rail</vt:lpstr>
      <vt:lpstr>Tech_Specs_Car</vt:lpstr>
      <vt:lpstr>Tech_Specs_Infra</vt:lpstr>
      <vt:lpstr>Convert</vt:lpstr>
      <vt:lpstr>GREET1_2_DATASHEETS&gt;&gt;</vt:lpstr>
      <vt:lpstr>Battery_Sum</vt:lpstr>
      <vt:lpstr>Mat_Inputs</vt:lpstr>
      <vt:lpstr>Vehi_ADR</vt:lpstr>
      <vt:lpstr>Vehi_Comp_Sum</vt:lpstr>
      <vt:lpstr>Vehi_Fluids</vt:lpstr>
      <vt:lpstr>Vehi_Inputs</vt:lpstr>
      <vt:lpstr>Battery Assembly</vt:lpstr>
      <vt:lpstr>LiMn2O4</vt:lpstr>
      <vt:lpstr>Mat_Sum</vt:lpstr>
      <vt:lpstr>Car</vt:lpstr>
      <vt:lpstr>SUV</vt:lpstr>
      <vt:lpstr>Steel</vt:lpstr>
      <vt:lpstr>C.Iron</vt:lpstr>
      <vt:lpstr>W.Al</vt:lpstr>
      <vt:lpstr>C.Al</vt:lpstr>
      <vt:lpstr>Copper</vt:lpstr>
      <vt:lpstr>Glass</vt:lpstr>
      <vt:lpstr>Plastic</vt:lpstr>
      <vt:lpstr>Rubber</vt:lpstr>
      <vt:lpstr>Cement_Concrete</vt:lpstr>
      <vt:lpstr>Battery Assembly_AlSmeltingCoal</vt:lpstr>
      <vt:lpstr>C.Al_AlSmeltingCoal</vt:lpstr>
      <vt:lpstr>C.Iron_AlSmeltingCoal</vt:lpstr>
      <vt:lpstr>W.Al_AlSmeltingCoal</vt:lpstr>
      <vt:lpstr>Steel_AlSmeltingCoal</vt:lpstr>
      <vt:lpstr>Copper_AlSmeltingCoal</vt:lpstr>
      <vt:lpstr>Glass_AlSmeltingCoal</vt:lpstr>
      <vt:lpstr>Plastic_AlSmeltingCoal</vt:lpstr>
      <vt:lpstr>Rubber_AlSmeltingCoal</vt:lpstr>
      <vt:lpstr>Vehi_ADR_AlSmeltingCoal</vt:lpstr>
      <vt:lpstr>Vehi_Inputs_AlSmeltingCoal</vt:lpstr>
      <vt:lpstr>Battery_Sum_AlSmeltingCoal</vt:lpstr>
      <vt:lpstr>LiMn2O4_AlSmeltingCoal</vt:lpstr>
      <vt:lpstr>Mat_Inputs_AlSmeltingCoal</vt:lpstr>
      <vt:lpstr>Mat_Sum_AlSmeltingCoal</vt:lpstr>
      <vt:lpstr>Vehi_Comp_Sum_SUV</vt:lpstr>
      <vt:lpstr>Petroleum</vt:lpstr>
      <vt:lpstr>Electric</vt:lpstr>
      <vt:lpstr>NG</vt:lpstr>
      <vt:lpstr>Hydrogen</vt:lpstr>
      <vt:lpstr>Vehicles</vt:lpstr>
      <vt:lpstr>Hydrogen_ElectrolysisCoal</vt:lpstr>
      <vt:lpstr>Hydrogen_ElectrolysisOil</vt:lpstr>
      <vt:lpstr>Hydrogen_ElectrolysisNG</vt:lpstr>
      <vt:lpstr>Hydrogen_ElectrolysisNuclear</vt:lpstr>
      <vt:lpstr>Hydrogen_ElectrolysisRenew</vt:lpstr>
      <vt:lpstr>Default_value</vt:lpstr>
      <vt:lpstr>Vehi_ADR_AlSmeltingCoal!GREET2_Assembly</vt:lpstr>
      <vt:lpstr>Steel_AlSmeltingCoal!GREET2_RecSteel</vt:lpstr>
      <vt:lpstr>Steel_AlSmeltingCoal!GREET2_Steel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2023-10-10T11:04:11Z</dcterms:modified>
</cp:coreProperties>
</file>